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Contacto" sheetId="2" r:id="rId6"/>
    <sheet state="visible" name="INGRESOS_API" sheetId="3" r:id="rId7"/>
    <sheet state="visible" name="Hoja 9" sheetId="4" r:id="rId8"/>
    <sheet state="visible" name="RESUMEN INGRESOS" sheetId="5" r:id="rId9"/>
    <sheet state="hidden" name="bd rtas" sheetId="6" r:id="rId10"/>
    <sheet state="hidden" name="datos" sheetId="7" r:id="rId11"/>
    <sheet state="hidden" name="ingreso a caja" sheetId="8" r:id="rId12"/>
    <sheet state="hidden" name="caja ingresos" sheetId="9" r:id="rId13"/>
    <sheet state="hidden" name="bd caja" sheetId="10" r:id="rId14"/>
    <sheet state="visible" name="FICHA PARA IMPRIMIR" sheetId="11" r:id="rId15"/>
    <sheet state="visible" name="HOJA BASE DE DATOS (NO TOCAR!!)" sheetId="12" r:id="rId16"/>
    <sheet state="visible" name="FICHAS PACIENTES" sheetId="13" r:id="rId17"/>
  </sheets>
  <definedNames>
    <definedName hidden="1" localSheetId="0" name="_xlnm._FilterDatabase">'Respuestas de formulario 1'!$A$1:$X$2759</definedName>
  </definedNames>
  <calcPr/>
</workbook>
</file>

<file path=xl/sharedStrings.xml><?xml version="1.0" encoding="utf-8"?>
<sst xmlns="http://schemas.openxmlformats.org/spreadsheetml/2006/main" count="20198" uniqueCount="7341">
  <si>
    <t>Marca temporal</t>
  </si>
  <si>
    <t>Apellido</t>
  </si>
  <si>
    <t>Nombre</t>
  </si>
  <si>
    <t>e-mail</t>
  </si>
  <si>
    <t>Fecha de nacimiento</t>
  </si>
  <si>
    <t>DNI</t>
  </si>
  <si>
    <t>Teléfono</t>
  </si>
  <si>
    <t>¿Cómo nos encontraste?</t>
  </si>
  <si>
    <t>¿Cómo te vas a atender?</t>
  </si>
  <si>
    <t>¿Cuál es tu obra social?</t>
  </si>
  <si>
    <t>¿Realizás actividad física?</t>
  </si>
  <si>
    <t>¿Qué actividad física realizás?</t>
  </si>
  <si>
    <t>¿Cuántas veces por semana entrenás?</t>
  </si>
  <si>
    <t/>
  </si>
  <si>
    <t>¿Realizás activad física?</t>
  </si>
  <si>
    <t>FUENTE</t>
  </si>
  <si>
    <t>AÑO</t>
  </si>
  <si>
    <t>MES</t>
  </si>
  <si>
    <t>Llanos</t>
  </si>
  <si>
    <t>Cristian</t>
  </si>
  <si>
    <t xml:space="preserve">Cristian_kobe@hotmail.com </t>
  </si>
  <si>
    <t>Google</t>
  </si>
  <si>
    <t>Obra social</t>
  </si>
  <si>
    <t>APROSS</t>
  </si>
  <si>
    <t>Leiva</t>
  </si>
  <si>
    <t xml:space="preserve">Nilda Carolina </t>
  </si>
  <si>
    <t>caroagus023@gmail.com</t>
  </si>
  <si>
    <t>Recomendación</t>
  </si>
  <si>
    <t>Particular</t>
  </si>
  <si>
    <t>Far</t>
  </si>
  <si>
    <t xml:space="preserve">Juan Manuel </t>
  </si>
  <si>
    <t>Manufar87@hotmail.com</t>
  </si>
  <si>
    <t xml:space="preserve">Urquía </t>
  </si>
  <si>
    <t>Yohana</t>
  </si>
  <si>
    <t>yohana.urquia@gmail.com</t>
  </si>
  <si>
    <t>Lopez</t>
  </si>
  <si>
    <t>Gonzalo Daniel</t>
  </si>
  <si>
    <t xml:space="preserve">Zonlopez10@gmail.com </t>
  </si>
  <si>
    <t>Lo conozco al fabri de defensores</t>
  </si>
  <si>
    <t xml:space="preserve">Agüero </t>
  </si>
  <si>
    <t xml:space="preserve">juanmamendiolaza@gmail.com </t>
  </si>
  <si>
    <t xml:space="preserve">Valdez </t>
  </si>
  <si>
    <t xml:space="preserve">Rubén </t>
  </si>
  <si>
    <t>Rubenavaldez930@gmail.com</t>
  </si>
  <si>
    <t>Voy al gym Manantial</t>
  </si>
  <si>
    <t>Giménez</t>
  </si>
  <si>
    <t>Fernando</t>
  </si>
  <si>
    <t>gimenezfa@gmail.com</t>
  </si>
  <si>
    <t>JOHNSON</t>
  </si>
  <si>
    <t>GUILLERMO</t>
  </si>
  <si>
    <t>guillermorjohnson@gmail.com</t>
  </si>
  <si>
    <t>caja Notarial</t>
  </si>
  <si>
    <t>Carnevale</t>
  </si>
  <si>
    <t>Mariela</t>
  </si>
  <si>
    <t>marielacarnevale533@hotmail.com</t>
  </si>
  <si>
    <t>Isa Minuet</t>
  </si>
  <si>
    <t>Elías</t>
  </si>
  <si>
    <t>eliasisaa@gmail.com</t>
  </si>
  <si>
    <t>SANCOR</t>
  </si>
  <si>
    <t>Ghibaudo</t>
  </si>
  <si>
    <t>Pablo</t>
  </si>
  <si>
    <t>lic.pabloghibaudo@gmail.com</t>
  </si>
  <si>
    <t>Asinari</t>
  </si>
  <si>
    <t>Emanuel</t>
  </si>
  <si>
    <t>Soy amigo de la feliz pareja</t>
  </si>
  <si>
    <t>Rivara</t>
  </si>
  <si>
    <t>Mauro Alejandro</t>
  </si>
  <si>
    <t>rivaramauro@hotmail.com</t>
  </si>
  <si>
    <t>CPCE</t>
  </si>
  <si>
    <t>Andino</t>
  </si>
  <si>
    <t>Guillermo Regino</t>
  </si>
  <si>
    <t>puchiandino1@gmail.com</t>
  </si>
  <si>
    <t>DASPU</t>
  </si>
  <si>
    <t>MUÑOZ</t>
  </si>
  <si>
    <t>Emery omar</t>
  </si>
  <si>
    <t>escribaniamunoz@gmail.com</t>
  </si>
  <si>
    <t>CAJA NOTARIAL</t>
  </si>
  <si>
    <t>Boasso</t>
  </si>
  <si>
    <t>Lucas</t>
  </si>
  <si>
    <t xml:space="preserve">sosamariapia@hotmail.com </t>
  </si>
  <si>
    <t>Druetta</t>
  </si>
  <si>
    <t>Joaquín</t>
  </si>
  <si>
    <t>joadruetta@gmail.com</t>
  </si>
  <si>
    <t>Hilbe</t>
  </si>
  <si>
    <t>Estela</t>
  </si>
  <si>
    <t xml:space="preserve">Estelahilbe5@hotmail.com </t>
  </si>
  <si>
    <t>Jerarquico salud</t>
  </si>
  <si>
    <t>Conrero</t>
  </si>
  <si>
    <t>Valentino</t>
  </si>
  <si>
    <t>vconrero@gmail.com</t>
  </si>
  <si>
    <t>Medifé</t>
  </si>
  <si>
    <t>Gonzalez</t>
  </si>
  <si>
    <t xml:space="preserve">Nicolas </t>
  </si>
  <si>
    <t>Nicomatigonzalez@hotmail.com</t>
  </si>
  <si>
    <t>Araujo</t>
  </si>
  <si>
    <t xml:space="preserve">Dora Susana </t>
  </si>
  <si>
    <t>sietejuana@gmail.com</t>
  </si>
  <si>
    <t>Boasi</t>
  </si>
  <si>
    <t>Ivana</t>
  </si>
  <si>
    <t>ivanaboasi@gmail.com</t>
  </si>
  <si>
    <t>Ferreyra</t>
  </si>
  <si>
    <t>Ariel</t>
  </si>
  <si>
    <t>ariel.jferreyra@gmail.com</t>
  </si>
  <si>
    <t>ramos</t>
  </si>
  <si>
    <t xml:space="preserve">Baena </t>
  </si>
  <si>
    <t xml:space="preserve">Gustavo Ariel </t>
  </si>
  <si>
    <t xml:space="preserve">arielbaena@hotmail.com.ar </t>
  </si>
  <si>
    <t>Lozano</t>
  </si>
  <si>
    <t>Ezequiel</t>
  </si>
  <si>
    <t>ezelozano7@gmail.com</t>
  </si>
  <si>
    <t>Lazcano</t>
  </si>
  <si>
    <t>Stella</t>
  </si>
  <si>
    <t>Accornero</t>
  </si>
  <si>
    <t xml:space="preserve">Ignacio </t>
  </si>
  <si>
    <t>nachoaccornero@hotmail.com</t>
  </si>
  <si>
    <t>Ortelli</t>
  </si>
  <si>
    <t>Esther</t>
  </si>
  <si>
    <t>esther.tarantino@hotmail.com</t>
  </si>
  <si>
    <t>Sibona</t>
  </si>
  <si>
    <t>Karina</t>
  </si>
  <si>
    <t>karinasibona@hotmail.com</t>
  </si>
  <si>
    <t>Pepi</t>
  </si>
  <si>
    <t>Bettina</t>
  </si>
  <si>
    <t>Cardoni</t>
  </si>
  <si>
    <t>Gino</t>
  </si>
  <si>
    <t>gino.baret@gmail.com</t>
  </si>
  <si>
    <t xml:space="preserve">Gutiérrez </t>
  </si>
  <si>
    <t>Ángela nora</t>
  </si>
  <si>
    <t>angelanoragutierrez03@gmail.com</t>
  </si>
  <si>
    <t xml:space="preserve">Heredia Pereyra </t>
  </si>
  <si>
    <t xml:space="preserve">Mercedes Andrea </t>
  </si>
  <si>
    <t xml:space="preserve">mercedesahp@hotmail.com </t>
  </si>
  <si>
    <t>Perini</t>
  </si>
  <si>
    <t>Leonardo</t>
  </si>
  <si>
    <t>Lf04_cba@hotmail.com</t>
  </si>
  <si>
    <t>Brun</t>
  </si>
  <si>
    <t>Luciano</t>
  </si>
  <si>
    <t>lucianobrun@hotmail.com</t>
  </si>
  <si>
    <t>Dolivo</t>
  </si>
  <si>
    <t>Josefina</t>
  </si>
  <si>
    <t>dolivojosefina@gmail.com</t>
  </si>
  <si>
    <t>LASTRA</t>
  </si>
  <si>
    <t>MELISA</t>
  </si>
  <si>
    <t>MELISALASTRA@GMAIL.COM</t>
  </si>
  <si>
    <t>A.P.M</t>
  </si>
  <si>
    <t>Menzi</t>
  </si>
  <si>
    <t>Antonio</t>
  </si>
  <si>
    <t>tony.menzi@gmail.com</t>
  </si>
  <si>
    <t>Cartilla Obra Social</t>
  </si>
  <si>
    <t>PREVENCIÓN</t>
  </si>
  <si>
    <t>MARQUEZ</t>
  </si>
  <si>
    <t>ELENA BEATRIZ</t>
  </si>
  <si>
    <t>elenabeatrizmarquez@g.mail.com</t>
  </si>
  <si>
    <t>Nievas Acosta</t>
  </si>
  <si>
    <t>Marcos Daniel</t>
  </si>
  <si>
    <t>Mnievasacosta@gmail.com</t>
  </si>
  <si>
    <t>Vocos</t>
  </si>
  <si>
    <t>Lucia</t>
  </si>
  <si>
    <t>Garino</t>
  </si>
  <si>
    <t>Dario</t>
  </si>
  <si>
    <t>dariog128@hotmail.com</t>
  </si>
  <si>
    <t>layus</t>
  </si>
  <si>
    <t>Daniel</t>
  </si>
  <si>
    <t>dansocias77@gmail.com</t>
  </si>
  <si>
    <t>Retter</t>
  </si>
  <si>
    <t>Norma</t>
  </si>
  <si>
    <t>normaretter@hotmail.com</t>
  </si>
  <si>
    <t>Bracco</t>
  </si>
  <si>
    <t>Munir</t>
  </si>
  <si>
    <t>munirbracco@hotmail.com</t>
  </si>
  <si>
    <t>AE San Pedro</t>
  </si>
  <si>
    <t xml:space="preserve">Rodriguez </t>
  </si>
  <si>
    <t>Reinaldo</t>
  </si>
  <si>
    <t>Jerarquicos salud</t>
  </si>
  <si>
    <t>Vega Machado</t>
  </si>
  <si>
    <t>Alejandro</t>
  </si>
  <si>
    <t>alejandro.vega79@gmail.com</t>
  </si>
  <si>
    <t>Vega</t>
  </si>
  <si>
    <t>Maria belen</t>
  </si>
  <si>
    <t>Micheloud</t>
  </si>
  <si>
    <t>Santiago</t>
  </si>
  <si>
    <t>caroponce_@hotmail.com</t>
  </si>
  <si>
    <t>Palacios</t>
  </si>
  <si>
    <t>santipalacios17@hotmail.com</t>
  </si>
  <si>
    <t xml:space="preserve">Viberti </t>
  </si>
  <si>
    <t>Carlos</t>
  </si>
  <si>
    <t>Arrieta</t>
  </si>
  <si>
    <t>Claudio Carlos</t>
  </si>
  <si>
    <t>ccarrieta@gmail.com</t>
  </si>
  <si>
    <t>Compañera natación</t>
  </si>
  <si>
    <t>Martinez</t>
  </si>
  <si>
    <t>Sergio dario</t>
  </si>
  <si>
    <t>Sergiooomartinezz.@gmail.</t>
  </si>
  <si>
    <t>Ibarra</t>
  </si>
  <si>
    <t>Marta</t>
  </si>
  <si>
    <t>draibarrajaramillo@gmail.com</t>
  </si>
  <si>
    <t>Avila</t>
  </si>
  <si>
    <t>Patricia</t>
  </si>
  <si>
    <t>avilapati@hotmail.com</t>
  </si>
  <si>
    <t xml:space="preserve">Teran </t>
  </si>
  <si>
    <t>emanuelterande05@gmail.com</t>
  </si>
  <si>
    <t>Abadie</t>
  </si>
  <si>
    <t>Raul</t>
  </si>
  <si>
    <t>raulgabadie@hotmail.com</t>
  </si>
  <si>
    <t>Ceballos</t>
  </si>
  <si>
    <t>José</t>
  </si>
  <si>
    <t>Jose.maria.ceballos94@gmail.com</t>
  </si>
  <si>
    <t>Raffin</t>
  </si>
  <si>
    <t xml:space="preserve">Vilma Rosa </t>
  </si>
  <si>
    <t>vraffin002@gmail.com</t>
  </si>
  <si>
    <t>Propaganda en noticias</t>
  </si>
  <si>
    <t>ICIKSON</t>
  </si>
  <si>
    <t>Tomas</t>
  </si>
  <si>
    <t>tomasicikson@gmail.com</t>
  </si>
  <si>
    <t>Rios giache</t>
  </si>
  <si>
    <t>Luciano lucas</t>
  </si>
  <si>
    <t xml:space="preserve">Lucianolucasrg98@gmail.com </t>
  </si>
  <si>
    <t>Ruiz</t>
  </si>
  <si>
    <t>Luis</t>
  </si>
  <si>
    <t>Lruizgalizi@gmail.com</t>
  </si>
  <si>
    <t>Joaquin Adolfo</t>
  </si>
  <si>
    <t xml:space="preserve"> Inbrechts </t>
  </si>
  <si>
    <t>Lisett</t>
  </si>
  <si>
    <t>inbrechts@gmail.com</t>
  </si>
  <si>
    <t>Ledis</t>
  </si>
  <si>
    <t xml:space="preserve">Galarce </t>
  </si>
  <si>
    <t xml:space="preserve">Cag1@hotmail.com.ar </t>
  </si>
  <si>
    <t>Aisa</t>
  </si>
  <si>
    <t>Ruben</t>
  </si>
  <si>
    <t>rubenelderaisa@hotmail.com</t>
  </si>
  <si>
    <t>Reyna</t>
  </si>
  <si>
    <t>lucasereyna@gmail.com</t>
  </si>
  <si>
    <t>Quiligotti</t>
  </si>
  <si>
    <t>pabloquiligotti@gmail.com</t>
  </si>
  <si>
    <t>Federada Salud</t>
  </si>
  <si>
    <t>Armando</t>
  </si>
  <si>
    <t>Marcos</t>
  </si>
  <si>
    <t>marcos.armando1@gmail.com</t>
  </si>
  <si>
    <t>Heredia</t>
  </si>
  <si>
    <t>Andres</t>
  </si>
  <si>
    <t xml:space="preserve">andresheredia911@gmail.com </t>
  </si>
  <si>
    <t>Sebastián</t>
  </si>
  <si>
    <t>Octavio</t>
  </si>
  <si>
    <t>octaviosebastiann@gmail.com</t>
  </si>
  <si>
    <t>Instagram</t>
  </si>
  <si>
    <t xml:space="preserve">Fernández </t>
  </si>
  <si>
    <t>Marcos Gabriel</t>
  </si>
  <si>
    <t xml:space="preserve">markosgabriel_1206@hotmail.com </t>
  </si>
  <si>
    <t>Apromed</t>
  </si>
  <si>
    <t>Cantonati</t>
  </si>
  <si>
    <t xml:space="preserve">María Belén </t>
  </si>
  <si>
    <t>Belcantonati@hotmail.com</t>
  </si>
  <si>
    <t>Camila</t>
  </si>
  <si>
    <t>camidrue@gmail.com</t>
  </si>
  <si>
    <t>CASTRO</t>
  </si>
  <si>
    <t>Mirta Cristina</t>
  </si>
  <si>
    <t>micricas@hotmail.com</t>
  </si>
  <si>
    <t>Semeraro</t>
  </si>
  <si>
    <t>Nora</t>
  </si>
  <si>
    <t>norasemeraro@gmail.com</t>
  </si>
  <si>
    <t>OSSEG</t>
  </si>
  <si>
    <t>Sueldo</t>
  </si>
  <si>
    <t>Belkis Anabella</t>
  </si>
  <si>
    <t>basueldo@gmail.com</t>
  </si>
  <si>
    <t>Ponce</t>
  </si>
  <si>
    <t>Federico</t>
  </si>
  <si>
    <t>federico.jponce@gmail.com</t>
  </si>
  <si>
    <t xml:space="preserve">Baigorri </t>
  </si>
  <si>
    <t>Joel</t>
  </si>
  <si>
    <t>Baigorri.joel@gmail.com</t>
  </si>
  <si>
    <t>Grion</t>
  </si>
  <si>
    <t>alejandrogrion@gmail.com</t>
  </si>
  <si>
    <t>Biani</t>
  </si>
  <si>
    <t xml:space="preserve">Jeremias </t>
  </si>
  <si>
    <t>diegoivanbiani79@gmail.com</t>
  </si>
  <si>
    <t xml:space="preserve">Castro </t>
  </si>
  <si>
    <t xml:space="preserve">Facundo </t>
  </si>
  <si>
    <t>castrofacundo265@gmail.com</t>
  </si>
  <si>
    <t>DUARTE POLANCO</t>
  </si>
  <si>
    <t>AXEL MATIAS</t>
  </si>
  <si>
    <t>amatiasduarte@gmail.com</t>
  </si>
  <si>
    <t>Bordino</t>
  </si>
  <si>
    <t xml:space="preserve">Alvaro </t>
  </si>
  <si>
    <t xml:space="preserve">Alvarobordino1995@gmail.com </t>
  </si>
  <si>
    <t>Freno</t>
  </si>
  <si>
    <t>Pablo Manuel</t>
  </si>
  <si>
    <t>pablomanuelfreno@gmail.com</t>
  </si>
  <si>
    <t>Medife</t>
  </si>
  <si>
    <t>Gadea</t>
  </si>
  <si>
    <t>Erik paul</t>
  </si>
  <si>
    <t xml:space="preserve">erikgadea@hotmail.com.ar </t>
  </si>
  <si>
    <t>Unimed</t>
  </si>
  <si>
    <t>Charif</t>
  </si>
  <si>
    <t xml:space="preserve">Asdrubal </t>
  </si>
  <si>
    <t xml:space="preserve">Ivoncharif556@gmail.com </t>
  </si>
  <si>
    <t>Oña</t>
  </si>
  <si>
    <t>Ignacio</t>
  </si>
  <si>
    <t>ignaona@gmail.com</t>
  </si>
  <si>
    <t>Depaul</t>
  </si>
  <si>
    <t>Emilia</t>
  </si>
  <si>
    <t>emiliadepaul.mkt@gmail.com</t>
  </si>
  <si>
    <t xml:space="preserve">Menacho </t>
  </si>
  <si>
    <t xml:space="preserve">Silvia </t>
  </si>
  <si>
    <t>silviambaigorri@gmail.com</t>
  </si>
  <si>
    <t>Fernandez Lopez</t>
  </si>
  <si>
    <t>Jeronimo</t>
  </si>
  <si>
    <t>jerofernandezlopez@gmail.com</t>
  </si>
  <si>
    <t>Sosa</t>
  </si>
  <si>
    <t xml:space="preserve">Carlos Alberto </t>
  </si>
  <si>
    <t>caro-elstein@hotmail.com</t>
  </si>
  <si>
    <t>Ositac</t>
  </si>
  <si>
    <t>Romano</t>
  </si>
  <si>
    <t>Camilo Francisco</t>
  </si>
  <si>
    <t>camilofranciscoromano@gmail.com</t>
  </si>
  <si>
    <t xml:space="preserve">Medife </t>
  </si>
  <si>
    <t>España luppo</t>
  </si>
  <si>
    <t xml:space="preserve">Emilia040905@gmail.com </t>
  </si>
  <si>
    <t>Caminoa</t>
  </si>
  <si>
    <t xml:space="preserve">Abril </t>
  </si>
  <si>
    <t>Abril.caminoa16@gmail.com</t>
  </si>
  <si>
    <t>Prieto Marconi</t>
  </si>
  <si>
    <t>Sofia</t>
  </si>
  <si>
    <t>sofiprieto070215@gmail.com</t>
  </si>
  <si>
    <t>Abaca</t>
  </si>
  <si>
    <t>Lucas Hernan</t>
  </si>
  <si>
    <t>lucasabaca@hotmail.como</t>
  </si>
  <si>
    <t xml:space="preserve">Avalian </t>
  </si>
  <si>
    <t>Lake</t>
  </si>
  <si>
    <t xml:space="preserve">Matías Eduardo </t>
  </si>
  <si>
    <t>matiaslake23@gmail.com</t>
  </si>
  <si>
    <t>Daniele</t>
  </si>
  <si>
    <t>Maria teresa</t>
  </si>
  <si>
    <t xml:space="preserve">danielemariateresa83@gmail.com </t>
  </si>
  <si>
    <t>Chantre</t>
  </si>
  <si>
    <t>Diego agustin</t>
  </si>
  <si>
    <t>diegochantre@gmail.com</t>
  </si>
  <si>
    <t>Rizzi</t>
  </si>
  <si>
    <t>Diego</t>
  </si>
  <si>
    <t>Diegorizzi17@gmail.com.ar</t>
  </si>
  <si>
    <t>Facebook</t>
  </si>
  <si>
    <t>Diaz</t>
  </si>
  <si>
    <t>Jose Angel</t>
  </si>
  <si>
    <t>rubenjdiaz@yahoo.com</t>
  </si>
  <si>
    <t>Cabrera</t>
  </si>
  <si>
    <t>Rodrigo</t>
  </si>
  <si>
    <t xml:space="preserve">lrcabrera85@gmail.com </t>
  </si>
  <si>
    <t xml:space="preserve">AVALIAN </t>
  </si>
  <si>
    <t xml:space="preserve">Gauna </t>
  </si>
  <si>
    <t xml:space="preserve">Kevin Maico </t>
  </si>
  <si>
    <t xml:space="preserve">Kevingauna123@gmail.com </t>
  </si>
  <si>
    <t xml:space="preserve">Ande </t>
  </si>
  <si>
    <t>Jazmin</t>
  </si>
  <si>
    <t>jazminande@icloud.com</t>
  </si>
  <si>
    <t>España</t>
  </si>
  <si>
    <t xml:space="preserve">Ezequiel Mariano </t>
  </si>
  <si>
    <t>marianoezequiel79@gmail.com</t>
  </si>
  <si>
    <t xml:space="preserve">Morales </t>
  </si>
  <si>
    <t>Francisco</t>
  </si>
  <si>
    <t>Cra_mcs@hotmail.com</t>
  </si>
  <si>
    <t>Avalian</t>
  </si>
  <si>
    <t>Garcia</t>
  </si>
  <si>
    <t>Miriam Beatriz</t>
  </si>
  <si>
    <t>miriamkica245@gmail.com</t>
  </si>
  <si>
    <t xml:space="preserve">Polesel </t>
  </si>
  <si>
    <t>Facundo Tiziano</t>
  </si>
  <si>
    <t xml:space="preserve">facundopolesel@gmail.com </t>
  </si>
  <si>
    <t>Kevin</t>
  </si>
  <si>
    <t>agustina.ramirez.582001@gmail.com</t>
  </si>
  <si>
    <t>FRAIRE</t>
  </si>
  <si>
    <t>fluisf59@gmail.com</t>
  </si>
  <si>
    <t>Bonaldi</t>
  </si>
  <si>
    <t xml:space="preserve">Damián </t>
  </si>
  <si>
    <t>damianbadbonaldi@yahoo.com.ar</t>
  </si>
  <si>
    <t>Pussetto</t>
  </si>
  <si>
    <t>lucaspussetto@gmail.com</t>
  </si>
  <si>
    <t>Federada salud</t>
  </si>
  <si>
    <t>Medina</t>
  </si>
  <si>
    <t xml:space="preserve">Ana Paula </t>
  </si>
  <si>
    <t>apaulamedina26@gmail.com</t>
  </si>
  <si>
    <t>Olivera</t>
  </si>
  <si>
    <t>Franco Emanuel</t>
  </si>
  <si>
    <t>franco_boca48@hotmail.com</t>
  </si>
  <si>
    <t>Cavalli</t>
  </si>
  <si>
    <t xml:space="preserve">Cesar Matias </t>
  </si>
  <si>
    <t>cavallicesarmatias@gmail.com</t>
  </si>
  <si>
    <t xml:space="preserve">Horacio </t>
  </si>
  <si>
    <t>mhoracioagustin@gmail.com</t>
  </si>
  <si>
    <t>Ordóñez</t>
  </si>
  <si>
    <t xml:space="preserve">Santiago </t>
  </si>
  <si>
    <t>sordonez1951@gmail.com</t>
  </si>
  <si>
    <t>LIBRETTI</t>
  </si>
  <si>
    <t>Vanessa del rosario</t>
  </si>
  <si>
    <t xml:space="preserve">Vanelibretti@hotmail.com </t>
  </si>
  <si>
    <t xml:space="preserve">Porque sos mi amigo ! </t>
  </si>
  <si>
    <t>Moretto</t>
  </si>
  <si>
    <t>Paco_95_pl@outlook.es</t>
  </si>
  <si>
    <t>Gandini</t>
  </si>
  <si>
    <t>sofigandini93@gmail.com</t>
  </si>
  <si>
    <t>LASCANO</t>
  </si>
  <si>
    <t>Brusco</t>
  </si>
  <si>
    <t>Lillian Maria</t>
  </si>
  <si>
    <t>lilibrusco@yahoo.com.ar</t>
  </si>
  <si>
    <t xml:space="preserve">Pereyra </t>
  </si>
  <si>
    <t xml:space="preserve">Guadalupe </t>
  </si>
  <si>
    <t>Guadalupepereyrabrusco@gmail.com</t>
  </si>
  <si>
    <t>Pucheta</t>
  </si>
  <si>
    <t>Facundo</t>
  </si>
  <si>
    <t>facupuche1995@gmail.com</t>
  </si>
  <si>
    <t>Ospia</t>
  </si>
  <si>
    <t>Castro</t>
  </si>
  <si>
    <t>Ramiro</t>
  </si>
  <si>
    <t xml:space="preserve"> Cesatro@hotmail.com</t>
  </si>
  <si>
    <t xml:space="preserve">Ponce </t>
  </si>
  <si>
    <t xml:space="preserve">Lucas </t>
  </si>
  <si>
    <t xml:space="preserve">Lucasiponcev@gmail.com </t>
  </si>
  <si>
    <t xml:space="preserve">Google maps </t>
  </si>
  <si>
    <t>ANTUNEZ</t>
  </si>
  <si>
    <t>JORGE ALEXANDER</t>
  </si>
  <si>
    <t>JORGEALEXANDERANTUNEZ@GMAIL.COM</t>
  </si>
  <si>
    <t>AGUIRRE</t>
  </si>
  <si>
    <t>Juan</t>
  </si>
  <si>
    <t>-</t>
  </si>
  <si>
    <t>Integral Salud</t>
  </si>
  <si>
    <t>Facundom_15@hotmail.com</t>
  </si>
  <si>
    <t>Marques</t>
  </si>
  <si>
    <t>Recomendacion Medica</t>
  </si>
  <si>
    <t>Cledy</t>
  </si>
  <si>
    <t xml:space="preserve">Barrios </t>
  </si>
  <si>
    <t>Rita</t>
  </si>
  <si>
    <t>ritaebarrios@hotmail.com</t>
  </si>
  <si>
    <t>CARRION</t>
  </si>
  <si>
    <t>Miriam</t>
  </si>
  <si>
    <t>Velez</t>
  </si>
  <si>
    <t>Soledad</t>
  </si>
  <si>
    <t>mariasoledad.velez@gmail.com</t>
  </si>
  <si>
    <t>RUIZ</t>
  </si>
  <si>
    <t>Eduardo</t>
  </si>
  <si>
    <t>Lascano</t>
  </si>
  <si>
    <t>lascano.daniel@gmail.com</t>
  </si>
  <si>
    <t>AVALIAN</t>
  </si>
  <si>
    <t xml:space="preserve">Ramirez </t>
  </si>
  <si>
    <t xml:space="preserve">Paula vanesa </t>
  </si>
  <si>
    <t>Pauu8439@gmail.com</t>
  </si>
  <si>
    <t>Llorens</t>
  </si>
  <si>
    <t>juansellorens@msn.com</t>
  </si>
  <si>
    <t>Alaye</t>
  </si>
  <si>
    <t xml:space="preserve">María Alejandra </t>
  </si>
  <si>
    <t>alejandra.alaye@gmail.com</t>
  </si>
  <si>
    <t>Costamagna</t>
  </si>
  <si>
    <t>Franco</t>
  </si>
  <si>
    <t>francolcosta1@gmail.com</t>
  </si>
  <si>
    <t xml:space="preserve">Núñez </t>
  </si>
  <si>
    <t>Viviana del Valle</t>
  </si>
  <si>
    <t>videval10@gmail.com</t>
  </si>
  <si>
    <t xml:space="preserve">Balbin </t>
  </si>
  <si>
    <t>nicolasebalbin@gmail.com</t>
  </si>
  <si>
    <t xml:space="preserve">Federada salud </t>
  </si>
  <si>
    <t>Messina</t>
  </si>
  <si>
    <t>Ana</t>
  </si>
  <si>
    <t>Ana-messina@hotmail.com</t>
  </si>
  <si>
    <t>Bramed</t>
  </si>
  <si>
    <t>Pedroni</t>
  </si>
  <si>
    <t>ingpablopedroni@yahoo.com.ar</t>
  </si>
  <si>
    <t xml:space="preserve">Recomendacion </t>
  </si>
  <si>
    <t>Dasuten</t>
  </si>
  <si>
    <t>Pereira</t>
  </si>
  <si>
    <t>Americo</t>
  </si>
  <si>
    <t>Integral</t>
  </si>
  <si>
    <t>CONTE</t>
  </si>
  <si>
    <t>Andrea</t>
  </si>
  <si>
    <t>fabianmolinajr@hotmail.com</t>
  </si>
  <si>
    <t>Recomendacion</t>
  </si>
  <si>
    <t>Silva</t>
  </si>
  <si>
    <t xml:space="preserve">Grisel </t>
  </si>
  <si>
    <t xml:space="preserve">gdani1981@gmail.com </t>
  </si>
  <si>
    <t xml:space="preserve">SERAFINI </t>
  </si>
  <si>
    <t xml:space="preserve">Jorgelina </t>
  </si>
  <si>
    <t>jor.serafini@gmail.com</t>
  </si>
  <si>
    <t>Seveso</t>
  </si>
  <si>
    <t>fseveso@gmail.com</t>
  </si>
  <si>
    <t>COUFIS</t>
  </si>
  <si>
    <t>ELENA</t>
  </si>
  <si>
    <t>MIKONOS_CBA@HOTMAIL.COM</t>
  </si>
  <si>
    <t>Loyola</t>
  </si>
  <si>
    <t xml:space="preserve">Antonio </t>
  </si>
  <si>
    <t>carmenolariaga1@gmail.com</t>
  </si>
  <si>
    <t>FARIAS</t>
  </si>
  <si>
    <t>Mercedes Cristina</t>
  </si>
  <si>
    <t>Torres</t>
  </si>
  <si>
    <t>Cecilia</t>
  </si>
  <si>
    <t>Ceciliatbazzini@gmail.com</t>
  </si>
  <si>
    <t>Garlati</t>
  </si>
  <si>
    <t>Alexia</t>
  </si>
  <si>
    <t>ale_garlati8@hotmail.com</t>
  </si>
  <si>
    <t>Casartelli</t>
  </si>
  <si>
    <t>Graciela</t>
  </si>
  <si>
    <t>Tejeda</t>
  </si>
  <si>
    <t>Silvana</t>
  </si>
  <si>
    <t>Sikitejeda@gmail.com</t>
  </si>
  <si>
    <t>Najle</t>
  </si>
  <si>
    <t>Pedro</t>
  </si>
  <si>
    <t>pedronajle2003@gmail.com</t>
  </si>
  <si>
    <t>Monzon</t>
  </si>
  <si>
    <t>Juan Manuel</t>
  </si>
  <si>
    <t>juanmonzon9713@gmail.com</t>
  </si>
  <si>
    <t>Susana</t>
  </si>
  <si>
    <t>susamelia1941@hotmail.com</t>
  </si>
  <si>
    <t>Franciosi</t>
  </si>
  <si>
    <t>Augusto</t>
  </si>
  <si>
    <t>augustogfranciosi@gmail.com</t>
  </si>
  <si>
    <t>Bazan</t>
  </si>
  <si>
    <t>santibazan@hotmail.com</t>
  </si>
  <si>
    <t>Gaite</t>
  </si>
  <si>
    <t>Gaston</t>
  </si>
  <si>
    <t>gastongabrielgaite@gmail.com</t>
  </si>
  <si>
    <t xml:space="preserve">Cordoba </t>
  </si>
  <si>
    <t>arielcordoba79@gmail.com</t>
  </si>
  <si>
    <t>Yunes</t>
  </si>
  <si>
    <t>Miguel</t>
  </si>
  <si>
    <t>arqyunes@gmail.com</t>
  </si>
  <si>
    <t>Issoglio</t>
  </si>
  <si>
    <t>Javier</t>
  </si>
  <si>
    <t>javier.issoglio@gmail.com</t>
  </si>
  <si>
    <t>Cuello</t>
  </si>
  <si>
    <t>Alexis</t>
  </si>
  <si>
    <t>alexiscuello98@gmail.com</t>
  </si>
  <si>
    <t>Oviedo</t>
  </si>
  <si>
    <t>Fedeoviedo1992@gmail.com</t>
  </si>
  <si>
    <t>Petenian</t>
  </si>
  <si>
    <t>Mariana</t>
  </si>
  <si>
    <t>petenianmariana @gmail.com</t>
  </si>
  <si>
    <t xml:space="preserve">Butiler </t>
  </si>
  <si>
    <t>kevin22-03@hotmail.com</t>
  </si>
  <si>
    <t>Johnson</t>
  </si>
  <si>
    <t>Benjamín</t>
  </si>
  <si>
    <t>benjawamba@gmail.com</t>
  </si>
  <si>
    <t>Caja Notarial</t>
  </si>
  <si>
    <t xml:space="preserve">Di Gregorio Soria </t>
  </si>
  <si>
    <t>andreasoria70@live.com.ar</t>
  </si>
  <si>
    <t xml:space="preserve">Dominguez </t>
  </si>
  <si>
    <t xml:space="preserve">Maria Florencia </t>
  </si>
  <si>
    <t>flopid@hotmail.com</t>
  </si>
  <si>
    <t>Apm</t>
  </si>
  <si>
    <t>Loza</t>
  </si>
  <si>
    <t>Delfina</t>
  </si>
  <si>
    <t>gabrieladagatti6@gmail.com</t>
  </si>
  <si>
    <t xml:space="preserve">Ramos </t>
  </si>
  <si>
    <t>Mario jose</t>
  </si>
  <si>
    <t>ramosmariojose@gmail.com</t>
  </si>
  <si>
    <t>Quilaleo</t>
  </si>
  <si>
    <t>Alejandra</t>
  </si>
  <si>
    <t xml:space="preserve">alebquilaleo@gmail.com </t>
  </si>
  <si>
    <t>Ardiles</t>
  </si>
  <si>
    <t>Constanza</t>
  </si>
  <si>
    <t>cotyard4@hotmail.com</t>
  </si>
  <si>
    <t xml:space="preserve">Ruiz </t>
  </si>
  <si>
    <t xml:space="preserve">Raul </t>
  </si>
  <si>
    <t>Raulruize05@gmail.com</t>
  </si>
  <si>
    <t>Maidana</t>
  </si>
  <si>
    <t>tomasmaidana08@gmail.com</t>
  </si>
  <si>
    <t>ARAYA CORNEJO</t>
  </si>
  <si>
    <t>LAUTARO</t>
  </si>
  <si>
    <t>GABITOCORNEJO@HOTMAIL.COM</t>
  </si>
  <si>
    <t>WAMBA</t>
  </si>
  <si>
    <t>MARIA VICTORIA</t>
  </si>
  <si>
    <t>vickywamba@hotmail.com</t>
  </si>
  <si>
    <t>Vartanian</t>
  </si>
  <si>
    <t>Marcelo</t>
  </si>
  <si>
    <t>vartanianmarcelo@hotmail.com</t>
  </si>
  <si>
    <t>Jorge luis</t>
  </si>
  <si>
    <t>Puchetajorge498@gmail.com</t>
  </si>
  <si>
    <t xml:space="preserve">Rivero </t>
  </si>
  <si>
    <t xml:space="preserve">Cecilia del Valle </t>
  </si>
  <si>
    <t>ceciliarivero1975@yahoo.com.ar</t>
  </si>
  <si>
    <t xml:space="preserve">Bellido </t>
  </si>
  <si>
    <t xml:space="preserve">Alberto </t>
  </si>
  <si>
    <t>Albertobell@gmail.com</t>
  </si>
  <si>
    <t xml:space="preserve">Agundez </t>
  </si>
  <si>
    <t>Alejo</t>
  </si>
  <si>
    <t>alejoagundez13@gmail.com</t>
  </si>
  <si>
    <t xml:space="preserve">Piechenstainer </t>
  </si>
  <si>
    <t xml:space="preserve">Estefania </t>
  </si>
  <si>
    <t>estefaniapiechenstainer@gmail.com</t>
  </si>
  <si>
    <t>Rosso</t>
  </si>
  <si>
    <t xml:space="preserve">Maximiliano </t>
  </si>
  <si>
    <t>maxirosso271@gmail.com</t>
  </si>
  <si>
    <t xml:space="preserve">Medifé </t>
  </si>
  <si>
    <t>Maldona</t>
  </si>
  <si>
    <t>lucasmaldonado1960@gmail.com</t>
  </si>
  <si>
    <t>Caballero</t>
  </si>
  <si>
    <t>Daina</t>
  </si>
  <si>
    <t>daianacaballero063@gmail.com</t>
  </si>
  <si>
    <t>Ossoelsac</t>
  </si>
  <si>
    <t>Bianchi</t>
  </si>
  <si>
    <t>Chiara</t>
  </si>
  <si>
    <t>chiaribianchi378@gmail.com</t>
  </si>
  <si>
    <t>Albarracin</t>
  </si>
  <si>
    <t>Alberto</t>
  </si>
  <si>
    <t>Ventas@gtecdesarrollosyservicios.com</t>
  </si>
  <si>
    <t>ROQUE</t>
  </si>
  <si>
    <t>MARIA EMILIA</t>
  </si>
  <si>
    <t>maraiemiliaroque@gmail.com</t>
  </si>
  <si>
    <t>RIVELLO</t>
  </si>
  <si>
    <t>norasrivello@gmail.com</t>
  </si>
  <si>
    <t>Amilibia</t>
  </si>
  <si>
    <t>cami-amilibia@hotmail.com</t>
  </si>
  <si>
    <t>Barbero Gatica</t>
  </si>
  <si>
    <t>Bautista</t>
  </si>
  <si>
    <t>barberogaticabautista@gmail.com</t>
  </si>
  <si>
    <t>Fantin</t>
  </si>
  <si>
    <t>augustofantinf@gmail.com</t>
  </si>
  <si>
    <t>Baez</t>
  </si>
  <si>
    <t>Carolina</t>
  </si>
  <si>
    <t>Caro_Baez_97@hotmail.com</t>
  </si>
  <si>
    <t>Mayra Paola</t>
  </si>
  <si>
    <t>mpfariasq@gmail.com</t>
  </si>
  <si>
    <t>Lavezzo</t>
  </si>
  <si>
    <t>ilavezzo@yahoo.com.ar</t>
  </si>
  <si>
    <t xml:space="preserve">Martinez </t>
  </si>
  <si>
    <t xml:space="preserve">Haydee </t>
  </si>
  <si>
    <t>m.oviedomarce@gmail.com</t>
  </si>
  <si>
    <t>Cortez</t>
  </si>
  <si>
    <t xml:space="preserve">Bárbara Melisa </t>
  </si>
  <si>
    <t>melisacortez@hotmail.com.ar</t>
  </si>
  <si>
    <t>Lastra</t>
  </si>
  <si>
    <t>APM</t>
  </si>
  <si>
    <t>Labraga</t>
  </si>
  <si>
    <t>Mercedes</t>
  </si>
  <si>
    <t>labraga3204@gmail.com</t>
  </si>
  <si>
    <t xml:space="preserve">Aranda </t>
  </si>
  <si>
    <t xml:space="preserve">Estela monica </t>
  </si>
  <si>
    <t>arandamoni@hotmail.com</t>
  </si>
  <si>
    <t>Heinzen</t>
  </si>
  <si>
    <t>Lidia Claudia</t>
  </si>
  <si>
    <t>indiaheinzen@gmial.com</t>
  </si>
  <si>
    <t>Google maps</t>
  </si>
  <si>
    <t>Capdevila</t>
  </si>
  <si>
    <t>leo.capdevila@hotmail.com</t>
  </si>
  <si>
    <t xml:space="preserve">OMINT </t>
  </si>
  <si>
    <t>Sánchez Gavier</t>
  </si>
  <si>
    <t xml:space="preserve">Joaquín </t>
  </si>
  <si>
    <t>Sanchezgavierj@gmail.com</t>
  </si>
  <si>
    <t>Tambussi</t>
  </si>
  <si>
    <t>Raquel</t>
  </si>
  <si>
    <t>Correa</t>
  </si>
  <si>
    <t>Jonathan</t>
  </si>
  <si>
    <t>correin_88@hotmail.com</t>
  </si>
  <si>
    <t>Eguiluz</t>
  </si>
  <si>
    <t>María Liliana</t>
  </si>
  <si>
    <t>lilianaeguiluz@gmail.com</t>
  </si>
  <si>
    <t>Ya me hice atender alli</t>
  </si>
  <si>
    <t xml:space="preserve">Giannoboli </t>
  </si>
  <si>
    <t xml:space="preserve">Luciano </t>
  </si>
  <si>
    <t>luchogianno@hotmail.com</t>
  </si>
  <si>
    <t>Altamirano</t>
  </si>
  <si>
    <t>Enzo Gustavo</t>
  </si>
  <si>
    <t>enzo.altamirano@hotmail.com</t>
  </si>
  <si>
    <t>3/9/0070</t>
  </si>
  <si>
    <t xml:space="preserve">Alicia </t>
  </si>
  <si>
    <t>aliciae_castro@hotmail.com</t>
  </si>
  <si>
    <t>García</t>
  </si>
  <si>
    <t>Justina</t>
  </si>
  <si>
    <t>sandrayacob09@gmail.com</t>
  </si>
  <si>
    <t>Sottile</t>
  </si>
  <si>
    <t>sotaigna@gmail.com</t>
  </si>
  <si>
    <t>OMINT</t>
  </si>
  <si>
    <t>jaisa301@gmail.com</t>
  </si>
  <si>
    <t>Apm acba</t>
  </si>
  <si>
    <t xml:space="preserve">Dealbera </t>
  </si>
  <si>
    <t xml:space="preserve">Hugo </t>
  </si>
  <si>
    <t>hdealbera@hotmail.com</t>
  </si>
  <si>
    <t>Bondio</t>
  </si>
  <si>
    <t>luisrbondio@gmail.com</t>
  </si>
  <si>
    <t>Swiss Medical</t>
  </si>
  <si>
    <t xml:space="preserve">Paz Benard </t>
  </si>
  <si>
    <t xml:space="preserve">Benjamín José </t>
  </si>
  <si>
    <t>BENJA.PAZ.BENJA@GMAIL.COM</t>
  </si>
  <si>
    <t>Mazzeo</t>
  </si>
  <si>
    <t>Juan Cruz</t>
  </si>
  <si>
    <t>Mazzeojc@gmail.com</t>
  </si>
  <si>
    <t>Guemes</t>
  </si>
  <si>
    <t>Julieta</t>
  </si>
  <si>
    <t>guemesjulieta@gmail.com</t>
  </si>
  <si>
    <t>Ocampo</t>
  </si>
  <si>
    <t>Fabiana</t>
  </si>
  <si>
    <t>fabianaocampo428@gmail.com</t>
  </si>
  <si>
    <t>de la Colina</t>
  </si>
  <si>
    <t>facudelac@gmail.com</t>
  </si>
  <si>
    <t>Stodart</t>
  </si>
  <si>
    <t>María</t>
  </si>
  <si>
    <t>mariastodart@yahoo.com.ar</t>
  </si>
  <si>
    <t>FERREYRA</t>
  </si>
  <si>
    <t>Yamila</t>
  </si>
  <si>
    <t>yam.ferreyra@gmail.com</t>
  </si>
  <si>
    <t>Balbo</t>
  </si>
  <si>
    <t>kevingonbalbo@gmail.com</t>
  </si>
  <si>
    <t>Carrica</t>
  </si>
  <si>
    <t xml:space="preserve">Maria Fernanda </t>
  </si>
  <si>
    <t>fernandacarrica@gmail.com</t>
  </si>
  <si>
    <t>Angulo</t>
  </si>
  <si>
    <t>Viviana</t>
  </si>
  <si>
    <t xml:space="preserve">Osseg </t>
  </si>
  <si>
    <t>Guemes vassallo</t>
  </si>
  <si>
    <t>Juan martin</t>
  </si>
  <si>
    <t>Guemesjuan23@gmail.com</t>
  </si>
  <si>
    <t>daniel alejandro</t>
  </si>
  <si>
    <t>9/8/0073</t>
  </si>
  <si>
    <t>Fiser</t>
  </si>
  <si>
    <t>karinafiser@gmail.com</t>
  </si>
  <si>
    <t xml:space="preserve">Robotti </t>
  </si>
  <si>
    <t>Nicolas</t>
  </si>
  <si>
    <t>nicoarobotti@gmail.com</t>
  </si>
  <si>
    <t>Rios</t>
  </si>
  <si>
    <t>alejariosjara@icloud.com</t>
  </si>
  <si>
    <t>Baruffaldi</t>
  </si>
  <si>
    <t>María elena</t>
  </si>
  <si>
    <t>baruffaldi.mariaelena@hotmail.com</t>
  </si>
  <si>
    <t>Hijo y amigos</t>
  </si>
  <si>
    <t>Martich Oviedo</t>
  </si>
  <si>
    <t>Tadeo</t>
  </si>
  <si>
    <t>oviedo3231@gmail.com</t>
  </si>
  <si>
    <t>Antonia Matilde</t>
  </si>
  <si>
    <t>piojin@live.com</t>
  </si>
  <si>
    <t>Davila</t>
  </si>
  <si>
    <t>Paulo</t>
  </si>
  <si>
    <t>paulo_davila@hotmail.com</t>
  </si>
  <si>
    <t>Farias</t>
  </si>
  <si>
    <t>Matias</t>
  </si>
  <si>
    <t>matias2exe@gmail.com</t>
  </si>
  <si>
    <t xml:space="preserve">Bomone </t>
  </si>
  <si>
    <t>santiago1420@live.com</t>
  </si>
  <si>
    <t xml:space="preserve">Bulacio Guerrero </t>
  </si>
  <si>
    <t>mabulacioguerrero@gmail.com</t>
  </si>
  <si>
    <t>Francile</t>
  </si>
  <si>
    <t>juan.francile@gmail.com</t>
  </si>
  <si>
    <t xml:space="preserve">Battistoni </t>
  </si>
  <si>
    <t xml:space="preserve">Lautaro </t>
  </si>
  <si>
    <t>battistonilauti@gmail.com</t>
  </si>
  <si>
    <t>Maximiliano</t>
  </si>
  <si>
    <t>maxicongar@gmail.com</t>
  </si>
  <si>
    <t>marcelogustavolopez98@gmail.com</t>
  </si>
  <si>
    <t xml:space="preserve">Coniberti </t>
  </si>
  <si>
    <t xml:space="preserve">Maria Irene </t>
  </si>
  <si>
    <t>miconi3@yahoo.com.ar</t>
  </si>
  <si>
    <t>YANECK</t>
  </si>
  <si>
    <t>Adriana</t>
  </si>
  <si>
    <t>adryjan@hotmail.com</t>
  </si>
  <si>
    <t xml:space="preserve">Oliva </t>
  </si>
  <si>
    <t>Ignacio@envivoproducciones.net</t>
  </si>
  <si>
    <t>Mullins</t>
  </si>
  <si>
    <t xml:space="preserve">Tomás </t>
  </si>
  <si>
    <t xml:space="preserve">xsawter@gmail.com </t>
  </si>
  <si>
    <t xml:space="preserve">Guayán </t>
  </si>
  <si>
    <t xml:space="preserve">Martin </t>
  </si>
  <si>
    <t>martinfguayan@gmail.com</t>
  </si>
  <si>
    <t>Santore</t>
  </si>
  <si>
    <t>Eliana</t>
  </si>
  <si>
    <t xml:space="preserve">elysantoree@gmail.com </t>
  </si>
  <si>
    <t>Calanducci</t>
  </si>
  <si>
    <t>Catalina</t>
  </si>
  <si>
    <t>catamcalan@gmail.com</t>
  </si>
  <si>
    <t>Integral salud</t>
  </si>
  <si>
    <t>Dudeley</t>
  </si>
  <si>
    <t>Dwight</t>
  </si>
  <si>
    <t>Ghiorzi</t>
  </si>
  <si>
    <t>ignacio@gosamply.com</t>
  </si>
  <si>
    <t xml:space="preserve">Osde </t>
  </si>
  <si>
    <t>Puertas</t>
  </si>
  <si>
    <t>zusi.p@hotmail.com</t>
  </si>
  <si>
    <t>Buffa</t>
  </si>
  <si>
    <t>Antonella</t>
  </si>
  <si>
    <t>antobuffa1996@gmail.com</t>
  </si>
  <si>
    <t>Peralta Turus</t>
  </si>
  <si>
    <t>Turusfederico@gmail.com</t>
  </si>
  <si>
    <t>Nadra</t>
  </si>
  <si>
    <t>Luna</t>
  </si>
  <si>
    <t>lunaesmeraldanadra@gmail.com</t>
  </si>
  <si>
    <t xml:space="preserve">Fraire </t>
  </si>
  <si>
    <t>Valentina</t>
  </si>
  <si>
    <t>valefraire5@gmail.com</t>
  </si>
  <si>
    <t xml:space="preserve">Rodríguez </t>
  </si>
  <si>
    <t xml:space="preserve">Juana </t>
  </si>
  <si>
    <t>juanidelvrodriguez@hotmail.com</t>
  </si>
  <si>
    <t>Intili</t>
  </si>
  <si>
    <t>santospecados@hotmail.com.ar</t>
  </si>
  <si>
    <t>Patrignani</t>
  </si>
  <si>
    <t>Melquiades.tattooer@gmail.com</t>
  </si>
  <si>
    <t>Moyano</t>
  </si>
  <si>
    <t xml:space="preserve">Alicia Alejandra </t>
  </si>
  <si>
    <t>a.ale.moyano@gmail.com</t>
  </si>
  <si>
    <t>Luque</t>
  </si>
  <si>
    <t>Maria</t>
  </si>
  <si>
    <t>Fabio</t>
  </si>
  <si>
    <t>kalachakra87@gmail.com</t>
  </si>
  <si>
    <t xml:space="preserve">Santillan </t>
  </si>
  <si>
    <t>Nsantillan@mi.unc.edu.ar</t>
  </si>
  <si>
    <t xml:space="preserve">Contreras </t>
  </si>
  <si>
    <t xml:space="preserve">Lucas David </t>
  </si>
  <si>
    <t>lucas.lbc@hotmail.com.ar</t>
  </si>
  <si>
    <t xml:space="preserve">Tomé </t>
  </si>
  <si>
    <t xml:space="preserve">Hugo Dante </t>
  </si>
  <si>
    <t>pelautome@gmail.com</t>
  </si>
  <si>
    <t>Cordero</t>
  </si>
  <si>
    <t>Ángeles</t>
  </si>
  <si>
    <t>corderomariadelosangeles464@gmail.com</t>
  </si>
  <si>
    <t>Hurtado</t>
  </si>
  <si>
    <t>hurtadomariavalentina@gmail.com</t>
  </si>
  <si>
    <t xml:space="preserve">Menéndez Argañaras </t>
  </si>
  <si>
    <t xml:space="preserve">Graciela María </t>
  </si>
  <si>
    <t>menendezgracielagm@gmail.com</t>
  </si>
  <si>
    <t xml:space="preserve">Cattaneo </t>
  </si>
  <si>
    <t>Santiago Andres</t>
  </si>
  <si>
    <t xml:space="preserve">Santicatta14@gmail.com </t>
  </si>
  <si>
    <t xml:space="preserve">Pulita </t>
  </si>
  <si>
    <t xml:space="preserve">Santiagopulita693@gmail.com </t>
  </si>
  <si>
    <t>Pavani</t>
  </si>
  <si>
    <t>marielatesio@hotmail.com</t>
  </si>
  <si>
    <t>Borthiry</t>
  </si>
  <si>
    <t>franco.borthiry@gmail.com</t>
  </si>
  <si>
    <t xml:space="preserve">Giuliani </t>
  </si>
  <si>
    <t xml:space="preserve">Emanuel </t>
  </si>
  <si>
    <t>ema_giuliani@outlook.com</t>
  </si>
  <si>
    <t>Atti</t>
  </si>
  <si>
    <t>Maria ines</t>
  </si>
  <si>
    <t>mariainesatti@yahoo.com.ar</t>
  </si>
  <si>
    <t>6/30/0064</t>
  </si>
  <si>
    <t>Wayar</t>
  </si>
  <si>
    <t>Samiel</t>
  </si>
  <si>
    <t>Swc1897@gmail.com</t>
  </si>
  <si>
    <t>Balestrini</t>
  </si>
  <si>
    <t>nicobalestrini@gmail.com</t>
  </si>
  <si>
    <t>Boreal</t>
  </si>
  <si>
    <t xml:space="preserve">Garcia </t>
  </si>
  <si>
    <t>Claudio</t>
  </si>
  <si>
    <t xml:space="preserve">Claudiogarcia117@gmail.com </t>
  </si>
  <si>
    <t>Ferla</t>
  </si>
  <si>
    <t>Grazia</t>
  </si>
  <si>
    <t>ferlagrazia@gmail.com</t>
  </si>
  <si>
    <t xml:space="preserve">Nieto Ramirez </t>
  </si>
  <si>
    <t xml:space="preserve">Benjamin </t>
  </si>
  <si>
    <t>loreramirez@live.com</t>
  </si>
  <si>
    <t>Fabaro</t>
  </si>
  <si>
    <t>Maria Teresa</t>
  </si>
  <si>
    <t>Saavedra</t>
  </si>
  <si>
    <t>Lautaro</t>
  </si>
  <si>
    <t>Lauty378@hotmail.com</t>
  </si>
  <si>
    <t>Me compartio el contacto CHRISTIAN LASSEN</t>
  </si>
  <si>
    <t>Herreros</t>
  </si>
  <si>
    <t>Gustavo</t>
  </si>
  <si>
    <t>gustavoherreros@hotmail.com</t>
  </si>
  <si>
    <t>Martini</t>
  </si>
  <si>
    <t>nicolasmartinibonsignore@gmail.com</t>
  </si>
  <si>
    <t xml:space="preserve">Hernandez </t>
  </si>
  <si>
    <t xml:space="preserve">Marta Elena </t>
  </si>
  <si>
    <t xml:space="preserve">martitaelena36@gmail.com </t>
  </si>
  <si>
    <t>9/21/0062</t>
  </si>
  <si>
    <t>Gabriel</t>
  </si>
  <si>
    <t xml:space="preserve">Usandivaras </t>
  </si>
  <si>
    <t xml:space="preserve">Monica alejandra </t>
  </si>
  <si>
    <t>Usandivarasmonica70@gmail.com</t>
  </si>
  <si>
    <t>Herrera</t>
  </si>
  <si>
    <t>Candelaria</t>
  </si>
  <si>
    <t>lauracuffia@gmail.com</t>
  </si>
  <si>
    <t>TABORDA</t>
  </si>
  <si>
    <t>DENIS</t>
  </si>
  <si>
    <t>denischarbe@gmail.com</t>
  </si>
  <si>
    <t>Ferrari</t>
  </si>
  <si>
    <t>Mateo</t>
  </si>
  <si>
    <t>ferrari.mateo71@gmail.com</t>
  </si>
  <si>
    <t>FUENTES</t>
  </si>
  <si>
    <t>JORGE ALBERTO</t>
  </si>
  <si>
    <t>JORGE68FUENTESS@GMAIL.COM</t>
  </si>
  <si>
    <t>Denis</t>
  </si>
  <si>
    <t>SIRONI</t>
  </si>
  <si>
    <t>sironifrancisco@gmail.com</t>
  </si>
  <si>
    <t>FERRERO</t>
  </si>
  <si>
    <t>gf.ferrero.cba@gmail.com</t>
  </si>
  <si>
    <t>Canessini</t>
  </si>
  <si>
    <t>dm10nico@hotmail.com</t>
  </si>
  <si>
    <t>Jerarquicos Salud</t>
  </si>
  <si>
    <t>TRUCCO</t>
  </si>
  <si>
    <t>MARIO</t>
  </si>
  <si>
    <t>marietto@hotmail.com.ar</t>
  </si>
  <si>
    <t>Dallegre</t>
  </si>
  <si>
    <t>anto2772@gmail.com</t>
  </si>
  <si>
    <t xml:space="preserve">Maps </t>
  </si>
  <si>
    <t xml:space="preserve">Demaría </t>
  </si>
  <si>
    <t xml:space="preserve">Rodolfo Alejandro </t>
  </si>
  <si>
    <t>rademaria@hotmail.com</t>
  </si>
  <si>
    <t>b.marcos.a@gmail.com</t>
  </si>
  <si>
    <t>Hernandez</t>
  </si>
  <si>
    <t>Roxana</t>
  </si>
  <si>
    <t>roxanahernandez_1@yahoo.com.ar</t>
  </si>
  <si>
    <t>Jorge</t>
  </si>
  <si>
    <t>jorgegadea.jg@gmail.com</t>
  </si>
  <si>
    <t>Muñoz</t>
  </si>
  <si>
    <t>Martin</t>
  </si>
  <si>
    <t>Martinhoelm@gmail.com</t>
  </si>
  <si>
    <t>Villega</t>
  </si>
  <si>
    <t xml:space="preserve">Hebe lorena </t>
  </si>
  <si>
    <t>hebevillega@gmail.com</t>
  </si>
  <si>
    <t>Gallerino</t>
  </si>
  <si>
    <t>jgallerino@gmial.com</t>
  </si>
  <si>
    <t>Romero</t>
  </si>
  <si>
    <t>alejandro_mehesz@hotmail.com</t>
  </si>
  <si>
    <t>Pueyrredon</t>
  </si>
  <si>
    <t>Caja de abogados</t>
  </si>
  <si>
    <t>Vigilante</t>
  </si>
  <si>
    <t>Claudia</t>
  </si>
  <si>
    <t>clauvigi@yahoo.com.ar</t>
  </si>
  <si>
    <t>Carignano</t>
  </si>
  <si>
    <t>gustavocarignano@yahoo.com.ar</t>
  </si>
  <si>
    <t>BACCOLA</t>
  </si>
  <si>
    <t>ESTELA</t>
  </si>
  <si>
    <t>baceste@gmail.com</t>
  </si>
  <si>
    <t>Nestor</t>
  </si>
  <si>
    <t>nesgonza61@hotmai.com</t>
  </si>
  <si>
    <t>Varea</t>
  </si>
  <si>
    <t>mavarea96@gmail.com</t>
  </si>
  <si>
    <t>MALDONADO</t>
  </si>
  <si>
    <t>Mauricio</t>
  </si>
  <si>
    <t>maurii.maldonado87@gmail.com</t>
  </si>
  <si>
    <t>Aznarez</t>
  </si>
  <si>
    <t>Juana</t>
  </si>
  <si>
    <t>juaniaznarez@gmail.com</t>
  </si>
  <si>
    <t>Palmieri</t>
  </si>
  <si>
    <t>Carla</t>
  </si>
  <si>
    <t>carlypalmieri@gmail.com</t>
  </si>
  <si>
    <t>Swiss medical</t>
  </si>
  <si>
    <t>allende</t>
  </si>
  <si>
    <t>julian</t>
  </si>
  <si>
    <t>allende.p.julian@gmail.com</t>
  </si>
  <si>
    <t>Racca</t>
  </si>
  <si>
    <t>Maria Veronica</t>
  </si>
  <si>
    <t>Mveroracca@gmail.com</t>
  </si>
  <si>
    <t>Navas</t>
  </si>
  <si>
    <t>sofianavasd@gmail.com</t>
  </si>
  <si>
    <t>Bustos</t>
  </si>
  <si>
    <t>maria_cbustos@hotmail.com</t>
  </si>
  <si>
    <t>Porque vivo cerca</t>
  </si>
  <si>
    <t>Caja de Abogados</t>
  </si>
  <si>
    <t xml:space="preserve">Sebastian </t>
  </si>
  <si>
    <t>Sebastianrobotti@gmail.com</t>
  </si>
  <si>
    <t>Ferrer</t>
  </si>
  <si>
    <t xml:space="preserve">Gina </t>
  </si>
  <si>
    <t xml:space="preserve">fgina6404@gmail.com </t>
  </si>
  <si>
    <t>Hinga</t>
  </si>
  <si>
    <t>Oscar</t>
  </si>
  <si>
    <t xml:space="preserve">Beibi1025@gmail.com </t>
  </si>
  <si>
    <t>ARCE</t>
  </si>
  <si>
    <t>FERNANDEZ</t>
  </si>
  <si>
    <t>GABRIEL</t>
  </si>
  <si>
    <t>atito_04@hotmai.com</t>
  </si>
  <si>
    <t>Medico</t>
  </si>
  <si>
    <t>Apross</t>
  </si>
  <si>
    <t xml:space="preserve">DOMINGUEZ </t>
  </si>
  <si>
    <t>Mdominguez@foodsmentor.com</t>
  </si>
  <si>
    <t>Omint</t>
  </si>
  <si>
    <t>Figueroa</t>
  </si>
  <si>
    <t>Afigueroa211@gmail.com</t>
  </si>
  <si>
    <t>Quinteros</t>
  </si>
  <si>
    <t>quinterosismael@hotmail.com</t>
  </si>
  <si>
    <t>Russo</t>
  </si>
  <si>
    <t>maartinrusso@gmail.com</t>
  </si>
  <si>
    <t>DALLEGRE</t>
  </si>
  <si>
    <t>Enrrique</t>
  </si>
  <si>
    <t>dallegre.enrrique@gmail.com</t>
  </si>
  <si>
    <t>Luciano Emanuel</t>
  </si>
  <si>
    <t>Lucianoegfm5@gmail.com</t>
  </si>
  <si>
    <t xml:space="preserve">Gomez Altamirano </t>
  </si>
  <si>
    <t>Pedro alejandro</t>
  </si>
  <si>
    <t>Pedro.gomez@uccom.com.ar</t>
  </si>
  <si>
    <t>Costa Sanchez</t>
  </si>
  <si>
    <t>Virginia</t>
  </si>
  <si>
    <t>elusolsan@gmail.com</t>
  </si>
  <si>
    <t xml:space="preserve">Spataro </t>
  </si>
  <si>
    <t xml:space="preserve">Alejandro Pedro </t>
  </si>
  <si>
    <t>apspataro@yahoo.com.ar</t>
  </si>
  <si>
    <t>vivi_leiva75@hotmail.com</t>
  </si>
  <si>
    <t>Scott</t>
  </si>
  <si>
    <t>William</t>
  </si>
  <si>
    <t>achalay12@gmail.com</t>
  </si>
  <si>
    <t>Gil Fiorenza</t>
  </si>
  <si>
    <t>Alicia</t>
  </si>
  <si>
    <t>Aliciagilfiorenza@gmail.com</t>
  </si>
  <si>
    <t xml:space="preserve">Gomez </t>
  </si>
  <si>
    <t>Alexis joel</t>
  </si>
  <si>
    <t>Gomezalexisjoel200@gmail.com</t>
  </si>
  <si>
    <t>Salamone</t>
  </si>
  <si>
    <t>Simon</t>
  </si>
  <si>
    <t>timisalamone_92@hotmail.com</t>
  </si>
  <si>
    <t>Alvaro</t>
  </si>
  <si>
    <t xml:space="preserve">Bonsignore Daniele </t>
  </si>
  <si>
    <t>Lourdes</t>
  </si>
  <si>
    <t xml:space="preserve">Cristinadaniele76@gmail.com </t>
  </si>
  <si>
    <t>Lavayen</t>
  </si>
  <si>
    <t>Agustin</t>
  </si>
  <si>
    <t>aguslavayen@hotmail.com</t>
  </si>
  <si>
    <t>Cristian Nicolas</t>
  </si>
  <si>
    <t>reynacristian863@gmail.com</t>
  </si>
  <si>
    <t>Roch</t>
  </si>
  <si>
    <t>Florencia</t>
  </si>
  <si>
    <t>flor_roch@hotmail.com</t>
  </si>
  <si>
    <t>Paolini</t>
  </si>
  <si>
    <t>Wendy</t>
  </si>
  <si>
    <t>wen.199@hotmail.com</t>
  </si>
  <si>
    <t xml:space="preserve">ZALAZAR </t>
  </si>
  <si>
    <t>Jorge Andres</t>
  </si>
  <si>
    <t>fz_sh@live.com.ar</t>
  </si>
  <si>
    <t xml:space="preserve">Dorflinger </t>
  </si>
  <si>
    <t>Genth</t>
  </si>
  <si>
    <t xml:space="preserve">Susana </t>
  </si>
  <si>
    <t>susygenth@gmail.com</t>
  </si>
  <si>
    <t>Ford</t>
  </si>
  <si>
    <t>Estela nora</t>
  </si>
  <si>
    <t>estelaford@hotmail.com</t>
  </si>
  <si>
    <t>11/4/0049</t>
  </si>
  <si>
    <t>Salvatierra</t>
  </si>
  <si>
    <t>Jesica</t>
  </si>
  <si>
    <t>Casado</t>
  </si>
  <si>
    <t>delficasado@hotmail.com</t>
  </si>
  <si>
    <t>SOBA</t>
  </si>
  <si>
    <t xml:space="preserve">SAID EMANUEL </t>
  </si>
  <si>
    <t>Ema_kerro@hotmail.com</t>
  </si>
  <si>
    <t>cotilavayen29@gmail.com</t>
  </si>
  <si>
    <t>Sajama</t>
  </si>
  <si>
    <t>nery_mauricio5@hotmail.com</t>
  </si>
  <si>
    <t>Arraya</t>
  </si>
  <si>
    <t>Adrian</t>
  </si>
  <si>
    <t>Arrayaadrian@gmail.com</t>
  </si>
  <si>
    <t xml:space="preserve">Prevension </t>
  </si>
  <si>
    <t>ARAGNO</t>
  </si>
  <si>
    <t>JAVIER CARLOS</t>
  </si>
  <si>
    <t>servihierros@gmail.com</t>
  </si>
  <si>
    <t>Peralta</t>
  </si>
  <si>
    <t>intecpro.industrial@gmail.com</t>
  </si>
  <si>
    <t>Perez</t>
  </si>
  <si>
    <t>Flavio agustin</t>
  </si>
  <si>
    <t>Agustinperezlog@gmail.com</t>
  </si>
  <si>
    <t>Juan sebastian</t>
  </si>
  <si>
    <t>GOMEZ</t>
  </si>
  <si>
    <t>NATALIA</t>
  </si>
  <si>
    <t>nataliagcastanos@gmail.com</t>
  </si>
  <si>
    <t>Berardo</t>
  </si>
  <si>
    <t>Nicolasberardo1998@gmail.com</t>
  </si>
  <si>
    <t>Mm</t>
  </si>
  <si>
    <t xml:space="preserve">Machado </t>
  </si>
  <si>
    <t>Franmachado2006@gmail.com</t>
  </si>
  <si>
    <t>Vincen</t>
  </si>
  <si>
    <t>pablovincen@hotmail.com</t>
  </si>
  <si>
    <t xml:space="preserve">Sanchez </t>
  </si>
  <si>
    <t xml:space="preserve">Macarena </t>
  </si>
  <si>
    <t xml:space="preserve">Macasanchez17h@gmail.com </t>
  </si>
  <si>
    <t>Paz</t>
  </si>
  <si>
    <t xml:space="preserve">Juan Cruz </t>
  </si>
  <si>
    <t>juancruzpaz3@gmail.com</t>
  </si>
  <si>
    <t>Ottaviani</t>
  </si>
  <si>
    <t xml:space="preserve">Piero </t>
  </si>
  <si>
    <t>Piero_cba@hotmail.com</t>
  </si>
  <si>
    <t>Weinhönig</t>
  </si>
  <si>
    <t>Björn</t>
  </si>
  <si>
    <t>CCHPX3XHL</t>
  </si>
  <si>
    <t>JAROVSKY</t>
  </si>
  <si>
    <t>ILAN</t>
  </si>
  <si>
    <t>ijarovsky@gmail.com</t>
  </si>
  <si>
    <t>Battistelli</t>
  </si>
  <si>
    <t xml:space="preserve">Adriana </t>
  </si>
  <si>
    <t>pbattistelli78@hotmail.com</t>
  </si>
  <si>
    <t>Bartolacci</t>
  </si>
  <si>
    <t>Mario</t>
  </si>
  <si>
    <t>mariobartolacci86@gmail.com</t>
  </si>
  <si>
    <t>Morcillo</t>
  </si>
  <si>
    <t>alemorcillo22@gmail.com</t>
  </si>
  <si>
    <t>Moreno</t>
  </si>
  <si>
    <t xml:space="preserve">Diego </t>
  </si>
  <si>
    <t>Diego98moreno@gmail.com</t>
  </si>
  <si>
    <t>Bonsignore</t>
  </si>
  <si>
    <t>Lara</t>
  </si>
  <si>
    <t>larabonsignore14@gmail.com</t>
  </si>
  <si>
    <t xml:space="preserve">Molina </t>
  </si>
  <si>
    <t xml:space="preserve">Adriana  Leticia </t>
  </si>
  <si>
    <t xml:space="preserve">Letymoll@hotmail.com </t>
  </si>
  <si>
    <t>omis</t>
  </si>
  <si>
    <t>tomas</t>
  </si>
  <si>
    <t>tomiomis2005@gmail.com</t>
  </si>
  <si>
    <t xml:space="preserve">swiss medical </t>
  </si>
  <si>
    <t>Guevara</t>
  </si>
  <si>
    <t>Leandro</t>
  </si>
  <si>
    <t>mv.leandroguevara@gmail.com</t>
  </si>
  <si>
    <t xml:space="preserve">Costantino </t>
  </si>
  <si>
    <t xml:space="preserve">Gaston </t>
  </si>
  <si>
    <t>costantinogaston@hotmail.com</t>
  </si>
  <si>
    <t>Amorini</t>
  </si>
  <si>
    <t>Juan Pablo</t>
  </si>
  <si>
    <t>jupa_03@hotmail.com</t>
  </si>
  <si>
    <t>Ramirez</t>
  </si>
  <si>
    <t>Aurora Beatriz</t>
  </si>
  <si>
    <t>SOTO ROJAS</t>
  </si>
  <si>
    <t xml:space="preserve">Ignacio Mateo </t>
  </si>
  <si>
    <t>sotorojas.0188@gmail.com</t>
  </si>
  <si>
    <t xml:space="preserve">Policía federal </t>
  </si>
  <si>
    <t>Tosolini</t>
  </si>
  <si>
    <t>Luis Guillermo</t>
  </si>
  <si>
    <t xml:space="preserve">zmiretti@uepc.org.ar </t>
  </si>
  <si>
    <t xml:space="preserve">Musella Monnier </t>
  </si>
  <si>
    <t>Máximo</t>
  </si>
  <si>
    <t>maximomusella2017@gmail.com</t>
  </si>
  <si>
    <t>Maza</t>
  </si>
  <si>
    <t xml:space="preserve">Carlos Dario </t>
  </si>
  <si>
    <t>carlosdariomaza@gmail.com</t>
  </si>
  <si>
    <t>Carranza</t>
  </si>
  <si>
    <t>juacru33@gmail.com</t>
  </si>
  <si>
    <t>voy al gym manantial</t>
  </si>
  <si>
    <t>particular</t>
  </si>
  <si>
    <t>Espinoza</t>
  </si>
  <si>
    <t>Edith</t>
  </si>
  <si>
    <t>fitnessteam.eem@gmail.com</t>
  </si>
  <si>
    <t>Pilone</t>
  </si>
  <si>
    <t>alejandropilone5@gmail.com</t>
  </si>
  <si>
    <t>Googlemaps</t>
  </si>
  <si>
    <t xml:space="preserve">Chavez </t>
  </si>
  <si>
    <t>Daniela</t>
  </si>
  <si>
    <t>Losageleschavez79@gmail.com</t>
  </si>
  <si>
    <t>Bongiorni</t>
  </si>
  <si>
    <t>Agustina</t>
  </si>
  <si>
    <t>abongiornifacu@gmail.com</t>
  </si>
  <si>
    <t>Osde</t>
  </si>
  <si>
    <t>Rivilli</t>
  </si>
  <si>
    <t xml:space="preserve">Damián Plácido </t>
  </si>
  <si>
    <t>apvalor@hotmail.com</t>
  </si>
  <si>
    <t>Novillo</t>
  </si>
  <si>
    <t>Emiliano</t>
  </si>
  <si>
    <t>Si</t>
  </si>
  <si>
    <t>Gimnasio</t>
  </si>
  <si>
    <t>3 a 5 veces por semana</t>
  </si>
  <si>
    <t>alvaroperaltamasin@gmail.com</t>
  </si>
  <si>
    <t>Fútbol</t>
  </si>
  <si>
    <t>1 a 2 veces por semana</t>
  </si>
  <si>
    <t xml:space="preserve">Andres </t>
  </si>
  <si>
    <t>Riosandres151@gmail.com</t>
  </si>
  <si>
    <t>Rugby</t>
  </si>
  <si>
    <t>Francisco Agustin</t>
  </si>
  <si>
    <t>Ceallosfranciscoagustin@gmail.com</t>
  </si>
  <si>
    <t>Leonel federico</t>
  </si>
  <si>
    <t>Leonelherrera028@gmail.com</t>
  </si>
  <si>
    <t>No</t>
  </si>
  <si>
    <t>Gomez</t>
  </si>
  <si>
    <t>Sabrina</t>
  </si>
  <si>
    <t>sabri.sg69@gmail.com</t>
  </si>
  <si>
    <t>Varoli</t>
  </si>
  <si>
    <t>Nilda</t>
  </si>
  <si>
    <t xml:space="preserve">Vaca Starodubskys </t>
  </si>
  <si>
    <t xml:space="preserve">Enzo Martin </t>
  </si>
  <si>
    <t>martinvaca2002920@gmail.com</t>
  </si>
  <si>
    <t>Solis</t>
  </si>
  <si>
    <t>Elva del Valle</t>
  </si>
  <si>
    <t>esolcampos@gmail.com</t>
  </si>
  <si>
    <t>Osorio</t>
  </si>
  <si>
    <t xml:space="preserve">Carla Guadalupe </t>
  </si>
  <si>
    <t>guadalupe94osorio@gmail.com</t>
  </si>
  <si>
    <t>Boriglio</t>
  </si>
  <si>
    <t>Hernan</t>
  </si>
  <si>
    <t>borigliohernan@gmail.com</t>
  </si>
  <si>
    <t>patricia_peralta20@yahoo.com.ar</t>
  </si>
  <si>
    <t>Rossi</t>
  </si>
  <si>
    <t>Paulino</t>
  </si>
  <si>
    <t>Paulinorosi@gmail.com</t>
  </si>
  <si>
    <t>Lerda</t>
  </si>
  <si>
    <t>fotocromiacordoba@gmail.com</t>
  </si>
  <si>
    <t xml:space="preserve">Padel y gimnasio </t>
  </si>
  <si>
    <t>Bertetti</t>
  </si>
  <si>
    <t>Sentidopublicidad@gmail.com</t>
  </si>
  <si>
    <t xml:space="preserve">Natación </t>
  </si>
  <si>
    <t>Ospaca</t>
  </si>
  <si>
    <t>Bardus</t>
  </si>
  <si>
    <t>Alan</t>
  </si>
  <si>
    <t xml:space="preserve">Miretti </t>
  </si>
  <si>
    <t xml:space="preserve">Jorge </t>
  </si>
  <si>
    <t>jorgemartinmiretti@hotmail.com</t>
  </si>
  <si>
    <t xml:space="preserve">Scuash </t>
  </si>
  <si>
    <t xml:space="preserve">Barrionuevo </t>
  </si>
  <si>
    <t>Ileana</t>
  </si>
  <si>
    <t>ilebarrionuevo@gmail.com</t>
  </si>
  <si>
    <t>Swiss medical plan TNIG</t>
  </si>
  <si>
    <t>Ferez</t>
  </si>
  <si>
    <t>mferez92@gmail.com</t>
  </si>
  <si>
    <t>Iosfa</t>
  </si>
  <si>
    <t>Beker</t>
  </si>
  <si>
    <t>Judith</t>
  </si>
  <si>
    <t>judithbeker@hotmail.com</t>
  </si>
  <si>
    <t>Sonia</t>
  </si>
  <si>
    <t>soniaandrea1713@gmail.com</t>
  </si>
  <si>
    <t>Dottori</t>
  </si>
  <si>
    <t>Benicio</t>
  </si>
  <si>
    <t xml:space="preserve">Fútbol </t>
  </si>
  <si>
    <t xml:space="preserve">Martínez Grimaldi </t>
  </si>
  <si>
    <t>julietamg0863@gmail.com</t>
  </si>
  <si>
    <t xml:space="preserve">Quevedo </t>
  </si>
  <si>
    <t xml:space="preserve">Claudia Ariana </t>
  </si>
  <si>
    <t>claudiaarianaquevedo19@gmail.com</t>
  </si>
  <si>
    <t>Serafini</t>
  </si>
  <si>
    <t>reimonda2014@hotmail.com</t>
  </si>
  <si>
    <t>Rodriguez</t>
  </si>
  <si>
    <t>javiendrek@hotmail.com</t>
  </si>
  <si>
    <t>Puccio</t>
  </si>
  <si>
    <t>Maria fernanda</t>
  </si>
  <si>
    <t>Fernandapuccio@gmail.com</t>
  </si>
  <si>
    <t xml:space="preserve">Ortega </t>
  </si>
  <si>
    <t xml:space="preserve">Noelia </t>
  </si>
  <si>
    <t>noelia_c_ortega@hotmail.com</t>
  </si>
  <si>
    <t xml:space="preserve">Carotti </t>
  </si>
  <si>
    <t xml:space="preserve">Juan Ignacio </t>
  </si>
  <si>
    <t>Juanignaciocarotti@gmail.com</t>
  </si>
  <si>
    <t>6 a 7 veces por semana</t>
  </si>
  <si>
    <t>Colalillo</t>
  </si>
  <si>
    <t>fernandocolalillo@gmial.com</t>
  </si>
  <si>
    <t>Graciela Isabel</t>
  </si>
  <si>
    <t>GIACHE</t>
  </si>
  <si>
    <t>ANDREA</t>
  </si>
  <si>
    <t>agiache_73@hotmail.com</t>
  </si>
  <si>
    <t>Integral Salud (Ospoce)</t>
  </si>
  <si>
    <t>Saad</t>
  </si>
  <si>
    <t>dra_saad@hotmail.com</t>
  </si>
  <si>
    <t>Pilate</t>
  </si>
  <si>
    <t>Agüero</t>
  </si>
  <si>
    <t>Nidia Ester</t>
  </si>
  <si>
    <t>nidyaest3@gmail.com</t>
  </si>
  <si>
    <t>Bonfati</t>
  </si>
  <si>
    <t>Santino</t>
  </si>
  <si>
    <t>andresanti09@gmail.com</t>
  </si>
  <si>
    <t>Navarro</t>
  </si>
  <si>
    <t>Nahuel</t>
  </si>
  <si>
    <t>nahunavarro07@gmail.com</t>
  </si>
  <si>
    <t>Gandolfo</t>
  </si>
  <si>
    <t>pggandolfo@gmail.com</t>
  </si>
  <si>
    <t>Andrea Fabiana</t>
  </si>
  <si>
    <t>fabianaconte321@gmail.com</t>
  </si>
  <si>
    <t>Massaccesi</t>
  </si>
  <si>
    <t>Sergio Mauricio</t>
  </si>
  <si>
    <t>smassaccesi@gmail.com</t>
  </si>
  <si>
    <t>Heredia Edelstein</t>
  </si>
  <si>
    <t>Gonzalo</t>
  </si>
  <si>
    <t>gonzaloherediae@gmail.com</t>
  </si>
  <si>
    <t>Escalada y running</t>
  </si>
  <si>
    <t>Roberto</t>
  </si>
  <si>
    <t>rrgomez05@yahoo.com.ar</t>
  </si>
  <si>
    <t>Aguirre</t>
  </si>
  <si>
    <t>Luis Feliciano</t>
  </si>
  <si>
    <t>luisfelicianoaguirre@gmail.com</t>
  </si>
  <si>
    <t xml:space="preserve">Hurtado </t>
  </si>
  <si>
    <t xml:space="preserve">Valentina </t>
  </si>
  <si>
    <t>Iba al gym Manantial</t>
  </si>
  <si>
    <t>Avendaño</t>
  </si>
  <si>
    <t>Silvina</t>
  </si>
  <si>
    <t>silvanaaven@gmail.com</t>
  </si>
  <si>
    <t xml:space="preserve">ROLDÁN </t>
  </si>
  <si>
    <t>Jose</t>
  </si>
  <si>
    <t>Roljose22@hotmail.com</t>
  </si>
  <si>
    <t>Arguello</t>
  </si>
  <si>
    <t>Laura</t>
  </si>
  <si>
    <t>laux.arguello@gmail.com</t>
  </si>
  <si>
    <t>Cecchi</t>
  </si>
  <si>
    <t>nico_cecchi@hotmail.com</t>
  </si>
  <si>
    <t>gibellini</t>
  </si>
  <si>
    <t>ezequiel</t>
  </si>
  <si>
    <t>ezequielgibellini@hotmail.com</t>
  </si>
  <si>
    <t>Contreras</t>
  </si>
  <si>
    <t>prettywoman0219@gmail.com</t>
  </si>
  <si>
    <t>7/11/0070</t>
  </si>
  <si>
    <t>DAJRUCH</t>
  </si>
  <si>
    <t>Liliana</t>
  </si>
  <si>
    <t>elba.dajruch@unc.edu.ar</t>
  </si>
  <si>
    <t>Almada</t>
  </si>
  <si>
    <t>Luciana</t>
  </si>
  <si>
    <t>lucianascount@gmail.com</t>
  </si>
  <si>
    <t xml:space="preserve">Pasillo del híper </t>
  </si>
  <si>
    <t xml:space="preserve">Rollers </t>
  </si>
  <si>
    <t xml:space="preserve">Coleoni </t>
  </si>
  <si>
    <t xml:space="preserve">Lázaro </t>
  </si>
  <si>
    <t>Martina.heredia@marquezyasociados.com.ar</t>
  </si>
  <si>
    <t>Rigoni</t>
  </si>
  <si>
    <t>mcrigoni06@gmail.com</t>
  </si>
  <si>
    <t>Yoga</t>
  </si>
  <si>
    <t>Osadef</t>
  </si>
  <si>
    <t>Sarrá</t>
  </si>
  <si>
    <t>Liliana Beatriz</t>
  </si>
  <si>
    <t>sarralilianabeatriz@gmail.com</t>
  </si>
  <si>
    <t>Bertazzo</t>
  </si>
  <si>
    <t>Carlos Marcelo</t>
  </si>
  <si>
    <t>cmbertazzo@gmail.com</t>
  </si>
  <si>
    <t>Caminata y trote</t>
  </si>
  <si>
    <t>Labrada Restrepo</t>
  </si>
  <si>
    <t xml:space="preserve">Patricia </t>
  </si>
  <si>
    <t>paticolabrada@gmail.com</t>
  </si>
  <si>
    <t xml:space="preserve">Aqua gym </t>
  </si>
  <si>
    <t>Serrano</t>
  </si>
  <si>
    <t>Angel</t>
  </si>
  <si>
    <t xml:space="preserve">angelmserranog@gmail.com </t>
  </si>
  <si>
    <t>Palavecino</t>
  </si>
  <si>
    <t>francogpalavecino@gmail.com</t>
  </si>
  <si>
    <t>Padel</t>
  </si>
  <si>
    <t>Soria</t>
  </si>
  <si>
    <t>Lucas Martin</t>
  </si>
  <si>
    <t>lucas.soria.2050@gmail.com</t>
  </si>
  <si>
    <t>Muay Thai - gimnasio - correr</t>
  </si>
  <si>
    <t>Bonifacio</t>
  </si>
  <si>
    <t>Carina</t>
  </si>
  <si>
    <t>carinabonifacio@hotmail.com</t>
  </si>
  <si>
    <t>Giorgi</t>
  </si>
  <si>
    <t>Ivan</t>
  </si>
  <si>
    <t>ivan.rodriguezgiorgi@gmail.com</t>
  </si>
  <si>
    <t>Garay</t>
  </si>
  <si>
    <t xml:space="preserve">Jenifer </t>
  </si>
  <si>
    <t>jenigarayent@gmail.com</t>
  </si>
  <si>
    <t xml:space="preserve">Futbol, Hockey y Gimnasio </t>
  </si>
  <si>
    <t xml:space="preserve">Nuñez </t>
  </si>
  <si>
    <t xml:space="preserve">Alfredo Ernesto </t>
  </si>
  <si>
    <t>nalfredo1968@gmail.com</t>
  </si>
  <si>
    <t>Aguero</t>
  </si>
  <si>
    <t xml:space="preserve">Nidia </t>
  </si>
  <si>
    <t>Baroni</t>
  </si>
  <si>
    <t xml:space="preserve">Tania Anahí </t>
  </si>
  <si>
    <t>Taniabaroni23@gmail.com</t>
  </si>
  <si>
    <t>Novaira</t>
  </si>
  <si>
    <t>alenoa@hotmail.com</t>
  </si>
  <si>
    <t>Jose Eduardo</t>
  </si>
  <si>
    <t>mediterraneaserviciosgenerales@gmail.com</t>
  </si>
  <si>
    <t xml:space="preserve">Loforte </t>
  </si>
  <si>
    <t>lofdiego@gmail.com</t>
  </si>
  <si>
    <t xml:space="preserve">CrossFit </t>
  </si>
  <si>
    <t>Rodolfi</t>
  </si>
  <si>
    <t>Juanrodolfi1923@gmail.com</t>
  </si>
  <si>
    <t>Básquet</t>
  </si>
  <si>
    <t xml:space="preserve">Martínez </t>
  </si>
  <si>
    <t>Esmeralda</t>
  </si>
  <si>
    <t>Ejecutivavilahouse.em@gmail.com</t>
  </si>
  <si>
    <t xml:space="preserve">Balestrini </t>
  </si>
  <si>
    <t xml:space="preserve">Agustina Belén </t>
  </si>
  <si>
    <t xml:space="preserve">agustinabalestrini26@gmail.com </t>
  </si>
  <si>
    <t>HERNANDEZ</t>
  </si>
  <si>
    <t>Maria Cecilia</t>
  </si>
  <si>
    <t>cecilia821@hotmail.com</t>
  </si>
  <si>
    <t xml:space="preserve">Oviedo </t>
  </si>
  <si>
    <t>Camila lucía</t>
  </si>
  <si>
    <t>oviedocam9@gmail.com</t>
  </si>
  <si>
    <t>Pilates</t>
  </si>
  <si>
    <t xml:space="preserve">Boretto </t>
  </si>
  <si>
    <t>andresboretto11@gmail.com</t>
  </si>
  <si>
    <t>Irisarri</t>
  </si>
  <si>
    <t>cirisarri@gmail.com</t>
  </si>
  <si>
    <t>Pereira Cabrera</t>
  </si>
  <si>
    <t>Maria Laura</t>
  </si>
  <si>
    <t xml:space="preserve">lalau02@hotmail.com </t>
  </si>
  <si>
    <t>Yoga. Método Iyengar</t>
  </si>
  <si>
    <t xml:space="preserve">Irisarri </t>
  </si>
  <si>
    <t>Tomasirisarri00@gmail.com</t>
  </si>
  <si>
    <t xml:space="preserve">Chancalay </t>
  </si>
  <si>
    <t xml:space="preserve">María Victoria </t>
  </si>
  <si>
    <t>victoriachanca@hotmail.com</t>
  </si>
  <si>
    <t>Arab cohen</t>
  </si>
  <si>
    <t>Arableonardi@gmail.com</t>
  </si>
  <si>
    <t>Padel y Gimnasio</t>
  </si>
  <si>
    <t>Montero</t>
  </si>
  <si>
    <t>juampimontero@gmail.com</t>
  </si>
  <si>
    <t xml:space="preserve">Llanos </t>
  </si>
  <si>
    <t xml:space="preserve">Debora marina </t>
  </si>
  <si>
    <t>deborallanos@gmail.com</t>
  </si>
  <si>
    <t>mariosalamone@hotmail.com</t>
  </si>
  <si>
    <t>Romera</t>
  </si>
  <si>
    <t>Analia</t>
  </si>
  <si>
    <t>analiaromera70@gmail.com</t>
  </si>
  <si>
    <t>Pisarskis</t>
  </si>
  <si>
    <t>Lautipi123@gmail.com</t>
  </si>
  <si>
    <t>Ahumada</t>
  </si>
  <si>
    <t>lucasahumada1977@gmail.com</t>
  </si>
  <si>
    <t>Kickboxing</t>
  </si>
  <si>
    <t>Servired</t>
  </si>
  <si>
    <t>Valdez</t>
  </si>
  <si>
    <t>Agustin Ernesto</t>
  </si>
  <si>
    <t>agustin_cba13@outlook.es</t>
  </si>
  <si>
    <t>Brisa</t>
  </si>
  <si>
    <t>Brisaclp@hotmail.com</t>
  </si>
  <si>
    <t>Hockey</t>
  </si>
  <si>
    <t>Arab Cohen</t>
  </si>
  <si>
    <t>eduardoarab@hotmail.com</t>
  </si>
  <si>
    <t>rodriguez</t>
  </si>
  <si>
    <t>luis martin</t>
  </si>
  <si>
    <t>luismartinrodriguez194747@gmail.com</t>
  </si>
  <si>
    <t xml:space="preserve">Juan Eduardo </t>
  </si>
  <si>
    <t>juaneduardodiaz81@outlook.com</t>
  </si>
  <si>
    <t>Larrey</t>
  </si>
  <si>
    <t>Diego Francisco</t>
  </si>
  <si>
    <t>estudiolarrey@gmail.com</t>
  </si>
  <si>
    <t>Jiu jitsii</t>
  </si>
  <si>
    <t>Nieto</t>
  </si>
  <si>
    <t>Manuel</t>
  </si>
  <si>
    <t>rolandomanuel_nieto@hotmail.com</t>
  </si>
  <si>
    <t>Moix</t>
  </si>
  <si>
    <t>javier.moix@gmail.com</t>
  </si>
  <si>
    <t>FOURCADE</t>
  </si>
  <si>
    <t>valentinafourcadejerez@gmail.com</t>
  </si>
  <si>
    <t>Voley</t>
  </si>
  <si>
    <t xml:space="preserve">Jose </t>
  </si>
  <si>
    <t>jcuellocuello365@gmail.com</t>
  </si>
  <si>
    <t>Running</t>
  </si>
  <si>
    <t>Baravalle</t>
  </si>
  <si>
    <t>bautybaravalle@gmail.com</t>
  </si>
  <si>
    <t>Benjamin</t>
  </si>
  <si>
    <t>marinabergoglio@gmail.com</t>
  </si>
  <si>
    <t>BORGNA</t>
  </si>
  <si>
    <t>SACHA NAHUEL</t>
  </si>
  <si>
    <t>snborgna@hotmail.com</t>
  </si>
  <si>
    <t>Travella</t>
  </si>
  <si>
    <t>Guido</t>
  </si>
  <si>
    <t>gtgolfguide@gmail.com</t>
  </si>
  <si>
    <t>golf y tenis</t>
  </si>
  <si>
    <t>MET</t>
  </si>
  <si>
    <t>Avella</t>
  </si>
  <si>
    <t>Amelia</t>
  </si>
  <si>
    <t>nardelli</t>
  </si>
  <si>
    <t>marian</t>
  </si>
  <si>
    <t>nardellimarian@gmail.com</t>
  </si>
  <si>
    <t>Baile</t>
  </si>
  <si>
    <t>Micolini</t>
  </si>
  <si>
    <t>Isabel</t>
  </si>
  <si>
    <t>imicolini@hotmail.com</t>
  </si>
  <si>
    <t xml:space="preserve">Santodomingo </t>
  </si>
  <si>
    <t xml:space="preserve">Luis Antonio </t>
  </si>
  <si>
    <t>santodomingo83@hotmail.com</t>
  </si>
  <si>
    <t xml:space="preserve">Running y futbol </t>
  </si>
  <si>
    <t xml:space="preserve"> Nicolas</t>
  </si>
  <si>
    <t>nicolasreyna79@gmail.com</t>
  </si>
  <si>
    <t>Giannoboli</t>
  </si>
  <si>
    <t>Ciro</t>
  </si>
  <si>
    <t>ciro.giannoboli@gmail.com</t>
  </si>
  <si>
    <t>hockey</t>
  </si>
  <si>
    <t>Vargas</t>
  </si>
  <si>
    <t xml:space="preserve">Rocío Belen </t>
  </si>
  <si>
    <t>rociobelenvargas1408@gmail.com</t>
  </si>
  <si>
    <t>ARIAS</t>
  </si>
  <si>
    <t>Sergio Sebastián</t>
  </si>
  <si>
    <t>sergioarias@live.com.ar</t>
  </si>
  <si>
    <t>POLICIA FEDERAL ARGENTINA (Superintendencia de Bienestar)</t>
  </si>
  <si>
    <t xml:space="preserve">Rover olivera </t>
  </si>
  <si>
    <t>Julian</t>
  </si>
  <si>
    <t xml:space="preserve">Soniaolivera7@hotmail.com </t>
  </si>
  <si>
    <t>Baena</t>
  </si>
  <si>
    <t>baenadaniel1@gmail.com</t>
  </si>
  <si>
    <t>Polesel</t>
  </si>
  <si>
    <t xml:space="preserve">Sarsur </t>
  </si>
  <si>
    <t>Celia</t>
  </si>
  <si>
    <t>c.sarsur@gmail.com</t>
  </si>
  <si>
    <t>German</t>
  </si>
  <si>
    <t>Guillermo</t>
  </si>
  <si>
    <t>guilleger84@gmail.com</t>
  </si>
  <si>
    <t>lozanosantiago987@gmail.com</t>
  </si>
  <si>
    <t>Rover</t>
  </si>
  <si>
    <t>soniaolivera7@hotmail.com</t>
  </si>
  <si>
    <t>Bomone</t>
  </si>
  <si>
    <t>Carlos horacio</t>
  </si>
  <si>
    <t>carlosbomone@gmail.com</t>
  </si>
  <si>
    <t>Tillard</t>
  </si>
  <si>
    <t>mateotillard@gmail.com</t>
  </si>
  <si>
    <t>Profe lucas de sport club de gauss</t>
  </si>
  <si>
    <t xml:space="preserve">Mendoza chavez </t>
  </si>
  <si>
    <t xml:space="preserve">Rosa esther </t>
  </si>
  <si>
    <t>Chavezrosaesthermendoza@gmail.com</t>
  </si>
  <si>
    <t>DEA COL</t>
  </si>
  <si>
    <t>p.francisco.27hotmail.com</t>
  </si>
  <si>
    <t>Vaca</t>
  </si>
  <si>
    <t>hugovacanarvaja@hotmail.com</t>
  </si>
  <si>
    <t>poder judicial</t>
  </si>
  <si>
    <t>Delatorre</t>
  </si>
  <si>
    <t>Sebastian</t>
  </si>
  <si>
    <t>Costa</t>
  </si>
  <si>
    <t>Santiago.costa.m@gmail.com</t>
  </si>
  <si>
    <t>Tenis y gim</t>
  </si>
  <si>
    <t>Bastian</t>
  </si>
  <si>
    <t>claudionieto2002@gmail.com</t>
  </si>
  <si>
    <t xml:space="preserve">Galeno </t>
  </si>
  <si>
    <t>Dolores</t>
  </si>
  <si>
    <t>doloresm.cervi@hotmail.com</t>
  </si>
  <si>
    <t>Bruno</t>
  </si>
  <si>
    <t>Jonathan Gabriel</t>
  </si>
  <si>
    <t>Gabrielbrunoo2016@gmail.com</t>
  </si>
  <si>
    <t xml:space="preserve">Nuccetelli </t>
  </si>
  <si>
    <t xml:space="preserve">Federico </t>
  </si>
  <si>
    <t>fedenuche@gmail.com</t>
  </si>
  <si>
    <t xml:space="preserve">Jiujitsu brasilero </t>
  </si>
  <si>
    <t>Pacher</t>
  </si>
  <si>
    <t xml:space="preserve">Maria Eugenia </t>
  </si>
  <si>
    <t>mepacher2016@gmail.com</t>
  </si>
  <si>
    <t>Zumba</t>
  </si>
  <si>
    <t>Nores</t>
  </si>
  <si>
    <t>Nicolas Luis</t>
  </si>
  <si>
    <t>niconores@hotmail.com</t>
  </si>
  <si>
    <t>tenis</t>
  </si>
  <si>
    <t>Acosta</t>
  </si>
  <si>
    <t>ezequielacosta1992@gmail.com</t>
  </si>
  <si>
    <t>bonetto</t>
  </si>
  <si>
    <t>Alicia Beatriz</t>
  </si>
  <si>
    <t>aliciabbonetto@gmail.com</t>
  </si>
  <si>
    <t>pilates, Tap y ,caminata</t>
  </si>
  <si>
    <t>Moreno Salinas</t>
  </si>
  <si>
    <t>silvia.salinas78@gmail.com</t>
  </si>
  <si>
    <t xml:space="preserve">ya fuimos varias veces </t>
  </si>
  <si>
    <t xml:space="preserve">Eliana </t>
  </si>
  <si>
    <t>eli.sanchez@hotmail.com</t>
  </si>
  <si>
    <t>Menacho</t>
  </si>
  <si>
    <t>David</t>
  </si>
  <si>
    <t>davidmenacho@hotmail.com</t>
  </si>
  <si>
    <t>Profe de Arte Marciales</t>
  </si>
  <si>
    <t>PARASKEVOPULOS</t>
  </si>
  <si>
    <t xml:space="preserve">Marco Antonio </t>
  </si>
  <si>
    <t>marcoantonioparask@gmail.com</t>
  </si>
  <si>
    <t>9/17/0083</t>
  </si>
  <si>
    <t>vaschetti</t>
  </si>
  <si>
    <t>mariano</t>
  </si>
  <si>
    <t>mvaschetti@hotmail.com</t>
  </si>
  <si>
    <t>padel, bici</t>
  </si>
  <si>
    <t>Marcos Ezequiel</t>
  </si>
  <si>
    <t>OSDE</t>
  </si>
  <si>
    <t>Merlini</t>
  </si>
  <si>
    <t>Guadalupe</t>
  </si>
  <si>
    <t>gmerlini2005@gmail.com</t>
  </si>
  <si>
    <t>Mi super amiga Lara</t>
  </si>
  <si>
    <t>Valles</t>
  </si>
  <si>
    <t>Gabriel agustin</t>
  </si>
  <si>
    <t>Gaby_Belgrano90@hotmail.com</t>
  </si>
  <si>
    <t>Reano</t>
  </si>
  <si>
    <t>Veronica</t>
  </si>
  <si>
    <t>Veroreano@hotmail.com</t>
  </si>
  <si>
    <t xml:space="preserve">Takaya </t>
  </si>
  <si>
    <t xml:space="preserve">Ana María </t>
  </si>
  <si>
    <t>fliatakaya@gmail.com</t>
  </si>
  <si>
    <t xml:space="preserve">Taichichuan </t>
  </si>
  <si>
    <t xml:space="preserve">Quispe Zevallos </t>
  </si>
  <si>
    <t xml:space="preserve">Fernando Mateo </t>
  </si>
  <si>
    <t>matelfixx@gmail.com</t>
  </si>
  <si>
    <t>Ana Paula</t>
  </si>
  <si>
    <t>Anapaulapalacios17@gmail.com</t>
  </si>
  <si>
    <t>Reyes</t>
  </si>
  <si>
    <t>Pilar</t>
  </si>
  <si>
    <t>pilar584@gmail.com</t>
  </si>
  <si>
    <t>Padlet</t>
  </si>
  <si>
    <t xml:space="preserve">RAUEH </t>
  </si>
  <si>
    <t>ADRIANA</t>
  </si>
  <si>
    <t>adri_raueh@hotmail.com</t>
  </si>
  <si>
    <t>Medicus, plan Family care</t>
  </si>
  <si>
    <t>Kerkebe</t>
  </si>
  <si>
    <t>Jorge Adrián</t>
  </si>
  <si>
    <t>jkerkebe@mac.com</t>
  </si>
  <si>
    <t>Desposito</t>
  </si>
  <si>
    <t>Hernán</t>
  </si>
  <si>
    <t>Hernandesposito@hotmail.com</t>
  </si>
  <si>
    <t>Musculacion</t>
  </si>
  <si>
    <t>arq.martinezgonzalo@gmail.com</t>
  </si>
  <si>
    <t>BALZI</t>
  </si>
  <si>
    <t>SANTINO</t>
  </si>
  <si>
    <t>meguanziroli@unc.edu.ar</t>
  </si>
  <si>
    <t>Maccio</t>
  </si>
  <si>
    <t>maccio.matias@gmail.com</t>
  </si>
  <si>
    <t>Lazaro</t>
  </si>
  <si>
    <t>Dardo omar</t>
  </si>
  <si>
    <t>creacion3204@gmail.com</t>
  </si>
  <si>
    <t>Newcom</t>
  </si>
  <si>
    <t>Pappalardo</t>
  </si>
  <si>
    <t>pappalardoj@gmail.com</t>
  </si>
  <si>
    <t>Caminata</t>
  </si>
  <si>
    <t>Giovannoni caminos</t>
  </si>
  <si>
    <t>Graciela maria</t>
  </si>
  <si>
    <t>Sivinnca@gmail.com</t>
  </si>
  <si>
    <t xml:space="preserve">Beltran Lanfranconi </t>
  </si>
  <si>
    <t xml:space="preserve">Tatiana </t>
  </si>
  <si>
    <t>tatibeltran1112@gmail.com</t>
  </si>
  <si>
    <t>3/20/0070</t>
  </si>
  <si>
    <t>Munch Rabanal</t>
  </si>
  <si>
    <t>Oriana</t>
  </si>
  <si>
    <t xml:space="preserve">Sandrarz19@gmail.com </t>
  </si>
  <si>
    <t>Acrotela</t>
  </si>
  <si>
    <t>Apfelbaum</t>
  </si>
  <si>
    <t>laura.herman1@gmail.com</t>
  </si>
  <si>
    <t>Reviglio</t>
  </si>
  <si>
    <t>Hilda</t>
  </si>
  <si>
    <t>cesarmg77@gmail.com</t>
  </si>
  <si>
    <t xml:space="preserve">Gonza_6944@hotmail.com </t>
  </si>
  <si>
    <t>Ercoli</t>
  </si>
  <si>
    <t>matiasercoli95@gmail.com</t>
  </si>
  <si>
    <t>Giacomelli</t>
  </si>
  <si>
    <t>Lucila</t>
  </si>
  <si>
    <t>lucilagiacomelliv@gmail.com</t>
  </si>
  <si>
    <t>Tita</t>
  </si>
  <si>
    <t>Ileana Micaela</t>
  </si>
  <si>
    <t>i.micaelatita@gmail.com</t>
  </si>
  <si>
    <t>LOPEZ</t>
  </si>
  <si>
    <t>Maite</t>
  </si>
  <si>
    <t>Ochandorena</t>
  </si>
  <si>
    <t>martinochandorena@hotmail.com</t>
  </si>
  <si>
    <t xml:space="preserve">Magdalena </t>
  </si>
  <si>
    <t>magdamoyano1@gmail.com</t>
  </si>
  <si>
    <t>La conozco a Anto</t>
  </si>
  <si>
    <t>Luis Ricardo</t>
  </si>
  <si>
    <t>orlandi.olga@gmail.com</t>
  </si>
  <si>
    <t>Orlandi</t>
  </si>
  <si>
    <t xml:space="preserve">Olga E. </t>
  </si>
  <si>
    <t>yoga</t>
  </si>
  <si>
    <t>Gabriela</t>
  </si>
  <si>
    <t>gabriela.martinezmarma@grupomarma.com.ar</t>
  </si>
  <si>
    <t xml:space="preserve">Solana Martinez </t>
  </si>
  <si>
    <t>flavio.solana@hotmail.com</t>
  </si>
  <si>
    <t>Bohne</t>
  </si>
  <si>
    <t>Erica</t>
  </si>
  <si>
    <t>eribohne@yahoo.com.ar</t>
  </si>
  <si>
    <t>Amato</t>
  </si>
  <si>
    <t>Melanie Sol</t>
  </si>
  <si>
    <t>melanie.amato@mi.unc.edu.ar</t>
  </si>
  <si>
    <t>Ketibian</t>
  </si>
  <si>
    <t>Fabian</t>
  </si>
  <si>
    <t>ketibian@hotmail.com</t>
  </si>
  <si>
    <t>Alvarez</t>
  </si>
  <si>
    <t>marcealvarez4@hotmail.com</t>
  </si>
  <si>
    <t>La Valva</t>
  </si>
  <si>
    <t>Trinidad</t>
  </si>
  <si>
    <t>trinilav2004@gmail.com</t>
  </si>
  <si>
    <t>Festa</t>
  </si>
  <si>
    <t>Walter</t>
  </si>
  <si>
    <t>unmaridoencasaweb@gmail.com</t>
  </si>
  <si>
    <t xml:space="preserve">Salguero </t>
  </si>
  <si>
    <t xml:space="preserve">Daniel.salguero820@gmail.com </t>
  </si>
  <si>
    <t xml:space="preserve">Gea </t>
  </si>
  <si>
    <t>Bruzzo</t>
  </si>
  <si>
    <t xml:space="preserve">César </t>
  </si>
  <si>
    <t>ce_bruzzo@hotmail.com</t>
  </si>
  <si>
    <t>Atienza</t>
  </si>
  <si>
    <t xml:space="preserve">Julieta.atienza@mi.unc.edu.ar </t>
  </si>
  <si>
    <t>Gudiño</t>
  </si>
  <si>
    <t xml:space="preserve">Ivana </t>
  </si>
  <si>
    <t>ivanagudinio@gmail.com</t>
  </si>
  <si>
    <t xml:space="preserve">Figueroa Giardi </t>
  </si>
  <si>
    <t xml:space="preserve">Francisco Uriel </t>
  </si>
  <si>
    <t>figue9804@gmail.com</t>
  </si>
  <si>
    <t>Carreras</t>
  </si>
  <si>
    <t xml:space="preserve">Julieta </t>
  </si>
  <si>
    <t>julieta.carreras09@gmail.com</t>
  </si>
  <si>
    <t>Bergoglio</t>
  </si>
  <si>
    <t xml:space="preserve">Bruno </t>
  </si>
  <si>
    <t>brunobergoglio99@gmail.com</t>
  </si>
  <si>
    <t>Sinastra</t>
  </si>
  <si>
    <t>esinastra@gmail.com</t>
  </si>
  <si>
    <t>Leichner</t>
  </si>
  <si>
    <t xml:space="preserve">Matías </t>
  </si>
  <si>
    <t>Leichner.matias27@gmail.com</t>
  </si>
  <si>
    <t>Omin</t>
  </si>
  <si>
    <t xml:space="preserve">Capuano </t>
  </si>
  <si>
    <t>caritocapuano@gmail.com</t>
  </si>
  <si>
    <t>Marite</t>
  </si>
  <si>
    <t>marite-martinez@hotmail.com</t>
  </si>
  <si>
    <t xml:space="preserve">Barrera </t>
  </si>
  <si>
    <t>victoroviedo@live.com.ar</t>
  </si>
  <si>
    <t xml:space="preserve">Vásquez </t>
  </si>
  <si>
    <t xml:space="preserve">Inés María </t>
  </si>
  <si>
    <t>Inés 77@live .com.ar</t>
  </si>
  <si>
    <t>Valentin</t>
  </si>
  <si>
    <t>cecchivalentin@gmail.com</t>
  </si>
  <si>
    <t>MOLINA</t>
  </si>
  <si>
    <t>RICARDO JAVIER</t>
  </si>
  <si>
    <t>Gym-javi@hotmail.com</t>
  </si>
  <si>
    <t>Aliaga</t>
  </si>
  <si>
    <t>Maria Mercedes</t>
  </si>
  <si>
    <t>marimealiaga@hormail.com</t>
  </si>
  <si>
    <t xml:space="preserve">Magallanes </t>
  </si>
  <si>
    <t xml:space="preserve">Rodrigo </t>
  </si>
  <si>
    <t>Rodrigocadcam@hotmail.com</t>
  </si>
  <si>
    <t>Salas</t>
  </si>
  <si>
    <t>Yanina</t>
  </si>
  <si>
    <t xml:space="preserve">yaninasalas@gmail.com </t>
  </si>
  <si>
    <t xml:space="preserve">BECCACECE </t>
  </si>
  <si>
    <t>Mariela Vanina</t>
  </si>
  <si>
    <t>marielabeccacece@gmail.com</t>
  </si>
  <si>
    <t xml:space="preserve">Villafañe </t>
  </si>
  <si>
    <t xml:space="preserve">Claudio </t>
  </si>
  <si>
    <t>claudiovillafane@gmail.com</t>
  </si>
  <si>
    <t xml:space="preserve">Bicicleta </t>
  </si>
  <si>
    <t>Soukiassian</t>
  </si>
  <si>
    <t>nestorypatri1@gmail.com</t>
  </si>
  <si>
    <t>Bici</t>
  </si>
  <si>
    <t>Campos</t>
  </si>
  <si>
    <t>Julio</t>
  </si>
  <si>
    <t>juliocamposherrera@gmail.com</t>
  </si>
  <si>
    <t>Moron</t>
  </si>
  <si>
    <t>Rodolfo  antonio</t>
  </si>
  <si>
    <t>Rodolfoantoniomoron50@gmail.com</t>
  </si>
  <si>
    <t>2/28/0061</t>
  </si>
  <si>
    <t>Tenis</t>
  </si>
  <si>
    <t>Naranjo</t>
  </si>
  <si>
    <t>Damian Joel</t>
  </si>
  <si>
    <t xml:space="preserve">noranasello@hotmail.com </t>
  </si>
  <si>
    <t>9/27/0091</t>
  </si>
  <si>
    <t>Met(con reintegro)</t>
  </si>
  <si>
    <t>Madia</t>
  </si>
  <si>
    <t xml:space="preserve">Laura </t>
  </si>
  <si>
    <t>Laucm@protonmail.com</t>
  </si>
  <si>
    <t xml:space="preserve">Gustavo Federico </t>
  </si>
  <si>
    <t>tavomedina30@hotmail.com</t>
  </si>
  <si>
    <t xml:space="preserve">Ferrarassi Britos </t>
  </si>
  <si>
    <t xml:space="preserve">Nahuel </t>
  </si>
  <si>
    <t>nicolasferrarassi@gmail.com</t>
  </si>
  <si>
    <t>Fiorella</t>
  </si>
  <si>
    <t>Staff del gym</t>
  </si>
  <si>
    <t>PERDOMO</t>
  </si>
  <si>
    <t>Andretich</t>
  </si>
  <si>
    <t>lucianaandretich@hotmail.com</t>
  </si>
  <si>
    <t>Nieto Collar</t>
  </si>
  <si>
    <t>nietoluciana3@gmail.com</t>
  </si>
  <si>
    <t>ab.andresjuanmanuel@gmail.com</t>
  </si>
  <si>
    <t>Carrizo</t>
  </si>
  <si>
    <t>lucascarrizo094@gmail.com</t>
  </si>
  <si>
    <t>Palacio</t>
  </si>
  <si>
    <t>Cristian gustavo</t>
  </si>
  <si>
    <t>coticarignano@gmail.com</t>
  </si>
  <si>
    <t>Rivera</t>
  </si>
  <si>
    <t>nriveracolman@yahoo.com.ar</t>
  </si>
  <si>
    <t>Marino</t>
  </si>
  <si>
    <t>marinoramirez56@yahoo.com.ar</t>
  </si>
  <si>
    <t>Passerini</t>
  </si>
  <si>
    <t>santiago.passerini1@gmail.com</t>
  </si>
  <si>
    <t>Golf</t>
  </si>
  <si>
    <t xml:space="preserve">Flores bur </t>
  </si>
  <si>
    <t>Emafloresbur@gmail.com</t>
  </si>
  <si>
    <t>Cristori</t>
  </si>
  <si>
    <t>Nelson</t>
  </si>
  <si>
    <t>cristorinelson@gmail.com</t>
  </si>
  <si>
    <t>Osvaldo</t>
  </si>
  <si>
    <t>naranjo.osvaldo@gmail.com</t>
  </si>
  <si>
    <t>Brizuela</t>
  </si>
  <si>
    <t>camila.b@upc.edu.ar</t>
  </si>
  <si>
    <t>wsp</t>
  </si>
  <si>
    <t>escalada</t>
  </si>
  <si>
    <t>Gianni</t>
  </si>
  <si>
    <t>jcagianni@gmail.com</t>
  </si>
  <si>
    <t xml:space="preserve">Gandolfi </t>
  </si>
  <si>
    <t xml:space="preserve">Laura de Lourdes </t>
  </si>
  <si>
    <t>lauralgandolfi@gmail.com</t>
  </si>
  <si>
    <t xml:space="preserve">Boreal Magnum </t>
  </si>
  <si>
    <t xml:space="preserve">González </t>
  </si>
  <si>
    <t>gonzaleznacho63@gmail.com</t>
  </si>
  <si>
    <t xml:space="preserve">Espinosa </t>
  </si>
  <si>
    <t>Aldo</t>
  </si>
  <si>
    <t>smslistos@gmail.com</t>
  </si>
  <si>
    <t>Floreani</t>
  </si>
  <si>
    <t>antonellafloreani6@gmail.com</t>
  </si>
  <si>
    <t xml:space="preserve">Taekwondo </t>
  </si>
  <si>
    <t>Pereyra Brusco</t>
  </si>
  <si>
    <t>Joaquin</t>
  </si>
  <si>
    <t>Gayol</t>
  </si>
  <si>
    <t>miriamgayol@hotmail.comm</t>
  </si>
  <si>
    <t>Cpce</t>
  </si>
  <si>
    <t>Gallardo</t>
  </si>
  <si>
    <t>ale47gallardo@gmail.com</t>
  </si>
  <si>
    <t>Swiss</t>
  </si>
  <si>
    <t>Ojeda</t>
  </si>
  <si>
    <t>Joaquin Emanuel</t>
  </si>
  <si>
    <t>lauramaidanasalta@gmail.com</t>
  </si>
  <si>
    <t>Schuf</t>
  </si>
  <si>
    <t>camischuf@gmail.com</t>
  </si>
  <si>
    <t>medife</t>
  </si>
  <si>
    <t>Esteban</t>
  </si>
  <si>
    <t>esteban0912@gmail.com</t>
  </si>
  <si>
    <t>Squash</t>
  </si>
  <si>
    <t xml:space="preserve">Alejandra </t>
  </si>
  <si>
    <t xml:space="preserve">alero841@gmail.com </t>
  </si>
  <si>
    <t xml:space="preserve">Yoga y caminatas </t>
  </si>
  <si>
    <t xml:space="preserve">Boreal Plan Magnum </t>
  </si>
  <si>
    <t>Castagnet</t>
  </si>
  <si>
    <t>gastoncastagnet@gmail.com</t>
  </si>
  <si>
    <t>Profe Leo Festa</t>
  </si>
  <si>
    <t>Baigorri</t>
  </si>
  <si>
    <t>sebabaigorri@hotmail.com</t>
  </si>
  <si>
    <t xml:space="preserve">Lautaro Gabriel </t>
  </si>
  <si>
    <t>galleguillocecilia62@gmail.com</t>
  </si>
  <si>
    <t>Boreal salud</t>
  </si>
  <si>
    <t>Pivatto</t>
  </si>
  <si>
    <t>Christian</t>
  </si>
  <si>
    <t>ch.pivatto@gmail.com</t>
  </si>
  <si>
    <t xml:space="preserve">Bustos </t>
  </si>
  <si>
    <t>Alex</t>
  </si>
  <si>
    <t>Aleexcdo@gmail.com</t>
  </si>
  <si>
    <t>Reynoso marconetto</t>
  </si>
  <si>
    <t xml:space="preserve">Nicolás </t>
  </si>
  <si>
    <t>nicolasreynoso20@gmail.com</t>
  </si>
  <si>
    <t>Giraudo</t>
  </si>
  <si>
    <t>maxigiraudo@gmail.com</t>
  </si>
  <si>
    <t>Y daspu</t>
  </si>
  <si>
    <t>Festa Gaon</t>
  </si>
  <si>
    <t>diegofestagaon10@gmail.com</t>
  </si>
  <si>
    <t>gabrielgayol@hotmail.com</t>
  </si>
  <si>
    <t>Walker de martini</t>
  </si>
  <si>
    <t>John</t>
  </si>
  <si>
    <t>guadademartini@gmail.com</t>
  </si>
  <si>
    <t>Matheu</t>
  </si>
  <si>
    <t>jeromatheu93@gmail.com</t>
  </si>
  <si>
    <t>Cimo</t>
  </si>
  <si>
    <t>Julia</t>
  </si>
  <si>
    <t>Fabricio</t>
  </si>
  <si>
    <t>romerogadea96@gmail.com</t>
  </si>
  <si>
    <t>Moine</t>
  </si>
  <si>
    <t>Maria del Carmen</t>
  </si>
  <si>
    <t>mariadelcarmenmoine@gmail.com</t>
  </si>
  <si>
    <t xml:space="preserve">Leon </t>
  </si>
  <si>
    <t>Romina</t>
  </si>
  <si>
    <t>romy5714@hotmail.com</t>
  </si>
  <si>
    <t xml:space="preserve">Cabaña </t>
  </si>
  <si>
    <t>sa5m24@hotmail.com</t>
  </si>
  <si>
    <t>Medicus</t>
  </si>
  <si>
    <t>Balbi</t>
  </si>
  <si>
    <t>Geraldine</t>
  </si>
  <si>
    <t>geraldinebalbi@hotmail.com</t>
  </si>
  <si>
    <t>funcional, zumba y caminar</t>
  </si>
  <si>
    <t xml:space="preserve">Caja de abogados </t>
  </si>
  <si>
    <t>Amata</t>
  </si>
  <si>
    <t>Ricardo</t>
  </si>
  <si>
    <t>tatoamata@hotmail.com</t>
  </si>
  <si>
    <t>Battistini</t>
  </si>
  <si>
    <t>Maria Cristina</t>
  </si>
  <si>
    <t>francocarignano13@gmail.com</t>
  </si>
  <si>
    <t>serlin</t>
  </si>
  <si>
    <t>lucas</t>
  </si>
  <si>
    <t>lucasserlin1@gmail.com</t>
  </si>
  <si>
    <t>swiss medical</t>
  </si>
  <si>
    <t>Bertone</t>
  </si>
  <si>
    <t>verogeniabertone@gmail.com</t>
  </si>
  <si>
    <t>Osptv</t>
  </si>
  <si>
    <t>Contreras Pulitta</t>
  </si>
  <si>
    <t>valentinocontreras06@gmail.com</t>
  </si>
  <si>
    <t>Natacion</t>
  </si>
  <si>
    <t>TOMASELLI</t>
  </si>
  <si>
    <t>DIEGO</t>
  </si>
  <si>
    <t>diegotomaselli@hotmail.com</t>
  </si>
  <si>
    <t>Sanchez</t>
  </si>
  <si>
    <t>Amilcar</t>
  </si>
  <si>
    <t>amilcarmsanchez@gmail.com</t>
  </si>
  <si>
    <t>Bonato</t>
  </si>
  <si>
    <t xml:space="preserve">Zoe Alexia </t>
  </si>
  <si>
    <t>bonatozoe@gmail.com</t>
  </si>
  <si>
    <t>santibattistoni22@gmail.com</t>
  </si>
  <si>
    <t xml:space="preserve">Francisco </t>
  </si>
  <si>
    <t>Bateriascrash@gmail.com</t>
  </si>
  <si>
    <t>Rivadeneyra</t>
  </si>
  <si>
    <t>Evelyn Noelia</t>
  </si>
  <si>
    <t>Noeri</t>
  </si>
  <si>
    <t>Bohogu</t>
  </si>
  <si>
    <t xml:space="preserve">Alejandra Verónica </t>
  </si>
  <si>
    <t>ale-veronunez@hotmail.com</t>
  </si>
  <si>
    <t>Boreal Magnum</t>
  </si>
  <si>
    <t>Ande</t>
  </si>
  <si>
    <t>valentinande8@gmail.com</t>
  </si>
  <si>
    <t>SESIN</t>
  </si>
  <si>
    <t>Dante</t>
  </si>
  <si>
    <t xml:space="preserve">Carranza </t>
  </si>
  <si>
    <t>Brenda</t>
  </si>
  <si>
    <t>brendacarranza318@gmail.com</t>
  </si>
  <si>
    <t>Micelli</t>
  </si>
  <si>
    <t>Claudiomicelli@crystalcord.com.ar</t>
  </si>
  <si>
    <t>Ruano</t>
  </si>
  <si>
    <t>aruanogomez@gmail.com</t>
  </si>
  <si>
    <t xml:space="preserve">Macchiavello </t>
  </si>
  <si>
    <t>Rosario</t>
  </si>
  <si>
    <t>Rosariomacch@gmail.com</t>
  </si>
  <si>
    <t xml:space="preserve">Padel </t>
  </si>
  <si>
    <t>Acevedo</t>
  </si>
  <si>
    <t>Griselda Del Valle</t>
  </si>
  <si>
    <t>Lagordabella_454@hotmsil.com</t>
  </si>
  <si>
    <t>Dastolfo</t>
  </si>
  <si>
    <t>Gisela Marisa</t>
  </si>
  <si>
    <t>gisedastolfo@gmail.com</t>
  </si>
  <si>
    <t xml:space="preserve">Dottori </t>
  </si>
  <si>
    <t xml:space="preserve">Santino </t>
  </si>
  <si>
    <t>evargas@santander.com.ar</t>
  </si>
  <si>
    <t>Saurin</t>
  </si>
  <si>
    <t>juulisaurin@gmail.com</t>
  </si>
  <si>
    <t>Faustino</t>
  </si>
  <si>
    <t>Quinterosismael@hotmail.com</t>
  </si>
  <si>
    <t>Moya</t>
  </si>
  <si>
    <t>Estela Cristina</t>
  </si>
  <si>
    <t>estecrimo@gmail.com</t>
  </si>
  <si>
    <t>Caparros</t>
  </si>
  <si>
    <t>Sergio</t>
  </si>
  <si>
    <t>Ana Laura</t>
  </si>
  <si>
    <t>LESSIO</t>
  </si>
  <si>
    <t>mario@lessio.com.ar</t>
  </si>
  <si>
    <t>gabygomeznoseda@hotmail.com</t>
  </si>
  <si>
    <t>Bibiloni</t>
  </si>
  <si>
    <t>nicobibiloni2@gmail.com</t>
  </si>
  <si>
    <t>Di pauli</t>
  </si>
  <si>
    <t>emidipauli@gmail.com</t>
  </si>
  <si>
    <t>Bonadeo</t>
  </si>
  <si>
    <t>hernanbonadeo@gmail.com</t>
  </si>
  <si>
    <t>Della Siega</t>
  </si>
  <si>
    <t>rubendellasiega57@gmail.com</t>
  </si>
  <si>
    <t xml:space="preserve">Bongiorno </t>
  </si>
  <si>
    <t xml:space="preserve">Virginia </t>
  </si>
  <si>
    <t>Vir.bongiorno@hotmail.com</t>
  </si>
  <si>
    <t>Acrobacias aereas</t>
  </si>
  <si>
    <t>Izquierdo</t>
  </si>
  <si>
    <t>miizquierdo59@gmail.com</t>
  </si>
  <si>
    <t>Baila Flamenco</t>
  </si>
  <si>
    <t>Peñaloza</t>
  </si>
  <si>
    <t>Arias</t>
  </si>
  <si>
    <t>Andresarias04@icloud.com</t>
  </si>
  <si>
    <t>Guerrini</t>
  </si>
  <si>
    <t>marceguerrini@gmail.com</t>
  </si>
  <si>
    <t>Malbrán</t>
  </si>
  <si>
    <t>jrmalbran@hotmai.com</t>
  </si>
  <si>
    <t>Padel, caminata.</t>
  </si>
  <si>
    <t>Rojas</t>
  </si>
  <si>
    <t>Marco</t>
  </si>
  <si>
    <t>Maurino</t>
  </si>
  <si>
    <t>julio@sgv.com.ar</t>
  </si>
  <si>
    <t xml:space="preserve">Guevara </t>
  </si>
  <si>
    <t xml:space="preserve">Mariela </t>
  </si>
  <si>
    <t>msguevara2@gmail.com</t>
  </si>
  <si>
    <t>Pereyra</t>
  </si>
  <si>
    <t>pablodanielpereyra11@gmail.com</t>
  </si>
  <si>
    <t>Hadad</t>
  </si>
  <si>
    <t>Diego Ignacio</t>
  </si>
  <si>
    <t>diegohadad10@gmail.com</t>
  </si>
  <si>
    <t>Paez</t>
  </si>
  <si>
    <t>Sol</t>
  </si>
  <si>
    <t>solpaez.17@gmail.com</t>
  </si>
  <si>
    <t>María Mauricia</t>
  </si>
  <si>
    <t>Norma.perez71@hotmail.com</t>
  </si>
  <si>
    <t>Mateos</t>
  </si>
  <si>
    <t>sebitamateos1080@gmail.com</t>
  </si>
  <si>
    <t xml:space="preserve">Raquel elizabeth </t>
  </si>
  <si>
    <t>kelybus.1983@gmail.com</t>
  </si>
  <si>
    <t>Graciela del Rosario</t>
  </si>
  <si>
    <t>MARIAFERNANDA_PERALTA@HOTMAIL.COM</t>
  </si>
  <si>
    <t>Otero</t>
  </si>
  <si>
    <t>oterodrigo37@gmail.com</t>
  </si>
  <si>
    <t>Ricci</t>
  </si>
  <si>
    <t>ricci_pablo@hotmail.com</t>
  </si>
  <si>
    <t>Futball y Gimnasio</t>
  </si>
  <si>
    <t>Sampayo</t>
  </si>
  <si>
    <t>Alesampayo.srf@gmail.com</t>
  </si>
  <si>
    <t>Ferro</t>
  </si>
  <si>
    <t>Estefania Eva</t>
  </si>
  <si>
    <t>Ferroestefania@gmail.com</t>
  </si>
  <si>
    <t>Moran</t>
  </si>
  <si>
    <t>eduardomoran22@gmail.com</t>
  </si>
  <si>
    <t>Zogbi</t>
  </si>
  <si>
    <t>Santiago Tomas</t>
  </si>
  <si>
    <t>santizogbi98@gmail.com</t>
  </si>
  <si>
    <t xml:space="preserve">Padel, Futbol y Gimnasio </t>
  </si>
  <si>
    <t>Adamo</t>
  </si>
  <si>
    <t>sofiadamo@hotmail.com</t>
  </si>
  <si>
    <t>Aragones</t>
  </si>
  <si>
    <t>Marianela</t>
  </si>
  <si>
    <t>maridrew13@gmail.com</t>
  </si>
  <si>
    <t>Hechalar</t>
  </si>
  <si>
    <t>Gastonhechalar@gmail.com</t>
  </si>
  <si>
    <t>Ramallo</t>
  </si>
  <si>
    <t>Amir</t>
  </si>
  <si>
    <t>amiirramallo31031998@gmail.com</t>
  </si>
  <si>
    <t>danimjuri@hotmail.com</t>
  </si>
  <si>
    <t xml:space="preserve">Villullas </t>
  </si>
  <si>
    <t>susanavillullas@hotmail.com</t>
  </si>
  <si>
    <t>Rostagno</t>
  </si>
  <si>
    <t xml:space="preserve">Gimnasio, natación, pádel </t>
  </si>
  <si>
    <t>Pianaroli</t>
  </si>
  <si>
    <t>Bruno brandon</t>
  </si>
  <si>
    <t>Lalii.pedernera18@gmail.com</t>
  </si>
  <si>
    <t>HERRERA</t>
  </si>
  <si>
    <t>ISABELLA</t>
  </si>
  <si>
    <t>isabellaherreranasif@gmail.com</t>
  </si>
  <si>
    <t>Corzo</t>
  </si>
  <si>
    <t>Renzo</t>
  </si>
  <si>
    <t>renzogonzalocorzo@gmail.com</t>
  </si>
  <si>
    <t xml:space="preserve">Tabares </t>
  </si>
  <si>
    <t>andres17ttt@gmail.com</t>
  </si>
  <si>
    <t>12/27/0084</t>
  </si>
  <si>
    <t xml:space="preserve"> Carballo </t>
  </si>
  <si>
    <t xml:space="preserve">Victoria </t>
  </si>
  <si>
    <t>victoriacarballogonzalez@gmail.com</t>
  </si>
  <si>
    <t xml:space="preserve">Cabrera </t>
  </si>
  <si>
    <t>elpirata.nico10@gmail.com</t>
  </si>
  <si>
    <t>Ardini</t>
  </si>
  <si>
    <t>Maxiardini@gmail.com</t>
  </si>
  <si>
    <t>Freire</t>
  </si>
  <si>
    <t>Mara</t>
  </si>
  <si>
    <t>marafreire1204@gmail.com</t>
  </si>
  <si>
    <t>Celeste</t>
  </si>
  <si>
    <t>Celesoria3179@gmail.com</t>
  </si>
  <si>
    <t>Kwiecinski</t>
  </si>
  <si>
    <t>nicolaskw77@gmail.com</t>
  </si>
  <si>
    <t>Oliviero</t>
  </si>
  <si>
    <t>Eliana.oliviero1985@gmail.com</t>
  </si>
  <si>
    <t>Gawuryn</t>
  </si>
  <si>
    <t>joelsgaw@gmail.com</t>
  </si>
  <si>
    <t xml:space="preserve">Donatela </t>
  </si>
  <si>
    <t>guidodonatela@gmail.com</t>
  </si>
  <si>
    <t>Lutteral</t>
  </si>
  <si>
    <t>Jessica Natalia</t>
  </si>
  <si>
    <t>jessilutt93@gmail.com</t>
  </si>
  <si>
    <t>Taekwondo</t>
  </si>
  <si>
    <t xml:space="preserve">Palacios </t>
  </si>
  <si>
    <t>lucianopalacios48@gmail.com</t>
  </si>
  <si>
    <t xml:space="preserve">Giorgetti </t>
  </si>
  <si>
    <t>Angelo</t>
  </si>
  <si>
    <t>angelogiorgetti3@gmail.com</t>
  </si>
  <si>
    <t>María Florencia</t>
  </si>
  <si>
    <t>mflorheredia24@gmail.com</t>
  </si>
  <si>
    <t>Tenis - Padel</t>
  </si>
  <si>
    <t>veronicacentini@hotmail.com</t>
  </si>
  <si>
    <t>Amalia</t>
  </si>
  <si>
    <t>ILLIA</t>
  </si>
  <si>
    <t>Sannazzaro</t>
  </si>
  <si>
    <t>snzrodolfo@gmail.com</t>
  </si>
  <si>
    <t>Mi papá va a Manantial</t>
  </si>
  <si>
    <t>Parra</t>
  </si>
  <si>
    <t xml:space="preserve">Guillermo </t>
  </si>
  <si>
    <t>guillermoparra667@gmail.com</t>
  </si>
  <si>
    <t>berton</t>
  </si>
  <si>
    <t>ivana paola</t>
  </si>
  <si>
    <t>bertpaola1983@gmail.com</t>
  </si>
  <si>
    <t>PATIÑO</t>
  </si>
  <si>
    <t>Cuatri</t>
  </si>
  <si>
    <t>carlaecabreracba@gmail.com</t>
  </si>
  <si>
    <t>Droguett</t>
  </si>
  <si>
    <t>gabrieldariodroguett@gmail.com</t>
  </si>
  <si>
    <t xml:space="preserve">Angiolini </t>
  </si>
  <si>
    <t xml:space="preserve">Antonella </t>
  </si>
  <si>
    <t>angioanti@gmail.com</t>
  </si>
  <si>
    <t>SERRANO</t>
  </si>
  <si>
    <t>Traumatologo de Gauss</t>
  </si>
  <si>
    <t xml:space="preserve">javier._garcia@hotmail.com </t>
  </si>
  <si>
    <t>Polirrubrosol@gmail.com</t>
  </si>
  <si>
    <t>7/7/0079</t>
  </si>
  <si>
    <t>gpereyra@hotmail.com</t>
  </si>
  <si>
    <t>Guzman</t>
  </si>
  <si>
    <t>Maria Eugenia</t>
  </si>
  <si>
    <t>eugitaguzman@hotmail.com</t>
  </si>
  <si>
    <t xml:space="preserve">Barbara Antonella </t>
  </si>
  <si>
    <t>alejandraeugeniamoyano@gmail.com</t>
  </si>
  <si>
    <t xml:space="preserve">Rentine juncos </t>
  </si>
  <si>
    <t xml:space="preserve">Alma azul </t>
  </si>
  <si>
    <t>eliizabethjuncoss@gmail.com</t>
  </si>
  <si>
    <t xml:space="preserve">Gabriel </t>
  </si>
  <si>
    <t>Gabrielalejandrogomez7@gmail.com</t>
  </si>
  <si>
    <t>X mi hija</t>
  </si>
  <si>
    <t xml:space="preserve">Ghione </t>
  </si>
  <si>
    <t>vrosales@iua.edu.ar</t>
  </si>
  <si>
    <t>fabireyna13@gmail.com</t>
  </si>
  <si>
    <t>Montagna</t>
  </si>
  <si>
    <t>ale4683@hotmail.com</t>
  </si>
  <si>
    <t>Ordoñez</t>
  </si>
  <si>
    <t>Gómez andurno</t>
  </si>
  <si>
    <t>Tomás Agustin</t>
  </si>
  <si>
    <t>Noelia</t>
  </si>
  <si>
    <t>Diaznoelia124@gmail.com</t>
  </si>
  <si>
    <t>Santiezel30@gmail.com</t>
  </si>
  <si>
    <t>Gallerano</t>
  </si>
  <si>
    <t>luciano_liceopaz@hotmail.com.ar</t>
  </si>
  <si>
    <t>MEDIFÉ</t>
  </si>
  <si>
    <t>gonzalojavier441@gmail.com</t>
  </si>
  <si>
    <t>Guagliano</t>
  </si>
  <si>
    <t>guagliano.agustin@gmail.com</t>
  </si>
  <si>
    <t>Voy al sportclub de gauss</t>
  </si>
  <si>
    <t>Platia</t>
  </si>
  <si>
    <t>lucianaplatia@gmail.com</t>
  </si>
  <si>
    <t>García Abad</t>
  </si>
  <si>
    <t>María Luz</t>
  </si>
  <si>
    <t>Luzgarciaabad193@gmail.com</t>
  </si>
  <si>
    <t>Pilates, TPA</t>
  </si>
  <si>
    <t>IOSFA</t>
  </si>
  <si>
    <t>Peretti</t>
  </si>
  <si>
    <t>Ferperetti@hotmail.com</t>
  </si>
  <si>
    <t>Nuñez</t>
  </si>
  <si>
    <t xml:space="preserve">Gladys </t>
  </si>
  <si>
    <t>Ggcanga@gmail.com</t>
  </si>
  <si>
    <t xml:space="preserve">Reynoso </t>
  </si>
  <si>
    <t xml:space="preserve">Ana </t>
  </si>
  <si>
    <t>reynosofabiana245@gmail.com</t>
  </si>
  <si>
    <t xml:space="preserve">Patiño </t>
  </si>
  <si>
    <t>María Fernanda</t>
  </si>
  <si>
    <t>Mfpatinio@gmail.com</t>
  </si>
  <si>
    <t>Gimnasia personalizada</t>
  </si>
  <si>
    <t>Vannucci</t>
  </si>
  <si>
    <t>Daspu</t>
  </si>
  <si>
    <t>Claus</t>
  </si>
  <si>
    <t>sabriclaus.sc@gmail.com</t>
  </si>
  <si>
    <t>Andrés heredia</t>
  </si>
  <si>
    <t xml:space="preserve">Pádel y voley </t>
  </si>
  <si>
    <t xml:space="preserve">Marcos </t>
  </si>
  <si>
    <t>marcosoliva22@hotmail.com</t>
  </si>
  <si>
    <t xml:space="preserve">Caminar </t>
  </si>
  <si>
    <t>Jerárquicos salud</t>
  </si>
  <si>
    <t>Reynoso</t>
  </si>
  <si>
    <t>Monica</t>
  </si>
  <si>
    <t>monicareynoso007@gmail.com</t>
  </si>
  <si>
    <t xml:space="preserve">Zárate </t>
  </si>
  <si>
    <t xml:space="preserve">Augusto </t>
  </si>
  <si>
    <t>augustozarate6@gmail.com</t>
  </si>
  <si>
    <t>Angela</t>
  </si>
  <si>
    <t>angela_seimon@hotmail.com</t>
  </si>
  <si>
    <t>manubomone@gmail.com</t>
  </si>
  <si>
    <t xml:space="preserve">Della Vedoba </t>
  </si>
  <si>
    <t xml:space="preserve">Cecilia </t>
  </si>
  <si>
    <t>cdellavedoba@gmail.com</t>
  </si>
  <si>
    <t>adrianaflma3553@yahoo.com.ar</t>
  </si>
  <si>
    <t>Vivas</t>
  </si>
  <si>
    <t xml:space="preserve">Cismondi </t>
  </si>
  <si>
    <t>Maricismondi@gmail.com</t>
  </si>
  <si>
    <t>MONICA</t>
  </si>
  <si>
    <t>monicacastro890@gmail.com</t>
  </si>
  <si>
    <t>Venezia</t>
  </si>
  <si>
    <t>Agostina</t>
  </si>
  <si>
    <t>agosvenezia1@gmail.com</t>
  </si>
  <si>
    <t>Ya me había rehabilitado con ustedes</t>
  </si>
  <si>
    <t>Valeria Isabel</t>
  </si>
  <si>
    <t>valeriarios12061978@gmail.com</t>
  </si>
  <si>
    <t>Francoromeroo99@gmail.com</t>
  </si>
  <si>
    <t xml:space="preserve">Gimnasio y jiujitsu brasileño </t>
  </si>
  <si>
    <t xml:space="preserve">BARDUS CASTELLANOS </t>
  </si>
  <si>
    <t xml:space="preserve">Patricia Alejandra </t>
  </si>
  <si>
    <t>Patobardus@hotmail.com</t>
  </si>
  <si>
    <t>Canale</t>
  </si>
  <si>
    <t>acanale1080@gmail.com</t>
  </si>
  <si>
    <t>martarodriguez@gmail.com</t>
  </si>
  <si>
    <t>Fernandez</t>
  </si>
  <si>
    <t>Opdea</t>
  </si>
  <si>
    <t xml:space="preserve">Longo </t>
  </si>
  <si>
    <t xml:space="preserve">Aldo Marcelo </t>
  </si>
  <si>
    <t>aldolongo617@gmail.com</t>
  </si>
  <si>
    <t>Caminatas, MTB, full body</t>
  </si>
  <si>
    <t>Vila</t>
  </si>
  <si>
    <t>paracuentas63@gmail.com</t>
  </si>
  <si>
    <t>Sagues</t>
  </si>
  <si>
    <t>Rossa</t>
  </si>
  <si>
    <t>vickyrossa07@gmail.com</t>
  </si>
  <si>
    <t>Gonzalo damian</t>
  </si>
  <si>
    <t>polirrubrosol@gmail.com</t>
  </si>
  <si>
    <t>Sergiorbustos@hormail.com</t>
  </si>
  <si>
    <t xml:space="preserve">Pádel </t>
  </si>
  <si>
    <t>Met</t>
  </si>
  <si>
    <t>Casella Volosin</t>
  </si>
  <si>
    <t>Guido_casella@hotmail.com</t>
  </si>
  <si>
    <t>Capponi</t>
  </si>
  <si>
    <t>Ernesto</t>
  </si>
  <si>
    <t>ernestocapponi1@gmail.com</t>
  </si>
  <si>
    <t>Yoga terapeutico + Gimnasia adaptada</t>
  </si>
  <si>
    <t xml:space="preserve">Parra </t>
  </si>
  <si>
    <t>diego@familiaparra.com.ar</t>
  </si>
  <si>
    <t>FRANCESCANGELI</t>
  </si>
  <si>
    <t xml:space="preserve">María Laura </t>
  </si>
  <si>
    <t xml:space="preserve">Laurif51@hotmail.com </t>
  </si>
  <si>
    <t>Rosa</t>
  </si>
  <si>
    <t>Mirta</t>
  </si>
  <si>
    <t>Abdala</t>
  </si>
  <si>
    <t>Gerardo</t>
  </si>
  <si>
    <t>gerardoabdala@gmail.com</t>
  </si>
  <si>
    <t>Leo Festa</t>
  </si>
  <si>
    <t>osde</t>
  </si>
  <si>
    <t>Pesse</t>
  </si>
  <si>
    <t xml:space="preserve">Cáceres Medina </t>
  </si>
  <si>
    <t xml:space="preserve">Aisquiel </t>
  </si>
  <si>
    <t>mariang199113@gmail.com</t>
  </si>
  <si>
    <t>Claudio alejandro</t>
  </si>
  <si>
    <t>clauditoo1993@gmail.com</t>
  </si>
  <si>
    <t xml:space="preserve">Conocidos </t>
  </si>
  <si>
    <t>PALENCIA</t>
  </si>
  <si>
    <t>FABIO</t>
  </si>
  <si>
    <t>fabiopalencia9@hotmail.com</t>
  </si>
  <si>
    <t xml:space="preserve">Gianotti Katsuda </t>
  </si>
  <si>
    <t>cheto004@hotmail.com</t>
  </si>
  <si>
    <t>34679628314-3515063219</t>
  </si>
  <si>
    <t>Kwiecien</t>
  </si>
  <si>
    <t xml:space="preserve">Adriana Graciela </t>
  </si>
  <si>
    <t>adriana_graciela09@hotmail.com</t>
  </si>
  <si>
    <t>Pileta</t>
  </si>
  <si>
    <t>Ledesma</t>
  </si>
  <si>
    <t>Ledesmasebastian@hotmail.es</t>
  </si>
  <si>
    <t>ledesmasebastian@hotmail.es</t>
  </si>
  <si>
    <t>Anain</t>
  </si>
  <si>
    <t>juanchi107@hotmail.com</t>
  </si>
  <si>
    <t>Gym Gauss</t>
  </si>
  <si>
    <t>Bonifay</t>
  </si>
  <si>
    <t>Ary</t>
  </si>
  <si>
    <t>ary.bonifay@gmail.com</t>
  </si>
  <si>
    <t>Ya me había rehabilitado anteriormente</t>
  </si>
  <si>
    <t>SWISS</t>
  </si>
  <si>
    <t>Ortiz</t>
  </si>
  <si>
    <t>jmoberto2019@gmail.com</t>
  </si>
  <si>
    <t>Delgado</t>
  </si>
  <si>
    <t>matiasdelgado98@hotmail.com</t>
  </si>
  <si>
    <t>Natacion + Ejercicios de pesas en casa</t>
  </si>
  <si>
    <t>Parcher</t>
  </si>
  <si>
    <t>ileanaparcher@yahoo.com.ar</t>
  </si>
  <si>
    <t>Horacio</t>
  </si>
  <si>
    <t>Orso</t>
  </si>
  <si>
    <t>Estela_orso@hotmail.com</t>
  </si>
  <si>
    <t>Benetti</t>
  </si>
  <si>
    <t>Tennis y Gim</t>
  </si>
  <si>
    <t>GOLDBERG</t>
  </si>
  <si>
    <t>Ivo</t>
  </si>
  <si>
    <t>Agudelo</t>
  </si>
  <si>
    <t>Diana carolina</t>
  </si>
  <si>
    <t>Caro.piedrahita@outlook.com</t>
  </si>
  <si>
    <t xml:space="preserve">Montañez Sandoz </t>
  </si>
  <si>
    <t xml:space="preserve">Agustína </t>
  </si>
  <si>
    <t>agusmsandoz@gmail.com</t>
  </si>
  <si>
    <t>baravallecatalina@gmail.com</t>
  </si>
  <si>
    <t xml:space="preserve">Rundie </t>
  </si>
  <si>
    <t>Rafael alejandro</t>
  </si>
  <si>
    <t>Alejandrorundie@gmail.com</t>
  </si>
  <si>
    <t>Cristobal</t>
  </si>
  <si>
    <t>Cristobalnov@hotmial.com</t>
  </si>
  <si>
    <t>Gimnasio+padel+correr+bici</t>
  </si>
  <si>
    <t>Lobaiza</t>
  </si>
  <si>
    <t>Morán de la Vega</t>
  </si>
  <si>
    <t>gmorandela ega@hotmail.com</t>
  </si>
  <si>
    <t xml:space="preserve">Pucheta </t>
  </si>
  <si>
    <t>Uriel</t>
  </si>
  <si>
    <t>Puchetauriel123@gmail.com</t>
  </si>
  <si>
    <t>Ramos</t>
  </si>
  <si>
    <t>Ulises</t>
  </si>
  <si>
    <t>uliramos99@gmail.com</t>
  </si>
  <si>
    <t>Osunra</t>
  </si>
  <si>
    <t xml:space="preserve">Enzo Valentín </t>
  </si>
  <si>
    <t>Valee_723@hotmail.com</t>
  </si>
  <si>
    <t xml:space="preserve">Recomendación de otro paciente </t>
  </si>
  <si>
    <t>BLASCO</t>
  </si>
  <si>
    <t>ALFREDO</t>
  </si>
  <si>
    <t>alfredofblasco@gmail.com</t>
  </si>
  <si>
    <t>MEDICUS</t>
  </si>
  <si>
    <t>Vassia</t>
  </si>
  <si>
    <t>karinavassia2@gmail.com</t>
  </si>
  <si>
    <t>Capretta</t>
  </si>
  <si>
    <t>gastoncapretta@hotmail.com</t>
  </si>
  <si>
    <t>Bicicleta+spinning</t>
  </si>
  <si>
    <t>Biava</t>
  </si>
  <si>
    <t>marianabiava2505@gmail.com</t>
  </si>
  <si>
    <t>Exequiel</t>
  </si>
  <si>
    <t>baravallee@gmail.com</t>
  </si>
  <si>
    <t>Natacion y Gimnasio</t>
  </si>
  <si>
    <t>Rossotto</t>
  </si>
  <si>
    <t>drossotto@hotmail.com</t>
  </si>
  <si>
    <t>Garlot</t>
  </si>
  <si>
    <t>nicogarlot@hotmail.com</t>
  </si>
  <si>
    <t xml:space="preserve">Almagro </t>
  </si>
  <si>
    <t xml:space="preserve">Teresita Beatriz </t>
  </si>
  <si>
    <t>Bettyalmagro14@gmail.com</t>
  </si>
  <si>
    <t>Soto</t>
  </si>
  <si>
    <t>Paula</t>
  </si>
  <si>
    <t>paulajulietasoto@gmail.com</t>
  </si>
  <si>
    <t>avalian</t>
  </si>
  <si>
    <t>Antoniaci</t>
  </si>
  <si>
    <t>Rocio</t>
  </si>
  <si>
    <t>rocioantoniaci64@gmail.com</t>
  </si>
  <si>
    <t>Zumba+Ritmo</t>
  </si>
  <si>
    <t>Marimon</t>
  </si>
  <si>
    <t>andreamarimon2405@gmail.com</t>
  </si>
  <si>
    <t>Dahbar</t>
  </si>
  <si>
    <t xml:space="preserve">Silvina Susana </t>
  </si>
  <si>
    <t xml:space="preserve">dahbarsilvina@gmail.com </t>
  </si>
  <si>
    <t>Pilates funcional</t>
  </si>
  <si>
    <t>Magdalena A</t>
  </si>
  <si>
    <t>magdalenaarmindape@gmail.com</t>
  </si>
  <si>
    <t>Grandi</t>
  </si>
  <si>
    <t>Novgorodtsev</t>
  </si>
  <si>
    <t>Nikita</t>
  </si>
  <si>
    <t>cooltank01@gmail.com</t>
  </si>
  <si>
    <t>Segovia</t>
  </si>
  <si>
    <t xml:space="preserve">Pérez </t>
  </si>
  <si>
    <t>inesperezema@gmail.com</t>
  </si>
  <si>
    <t xml:space="preserve">Maria Inés </t>
  </si>
  <si>
    <t xml:space="preserve">Osoelsac </t>
  </si>
  <si>
    <t>Maturano</t>
  </si>
  <si>
    <t>Clarisa</t>
  </si>
  <si>
    <t xml:space="preserve">Varela </t>
  </si>
  <si>
    <t xml:space="preserve">Daniel Alejandro </t>
  </si>
  <si>
    <t xml:space="preserve">danielalevarela1973@gmail.com </t>
  </si>
  <si>
    <t xml:space="preserve">Boreal </t>
  </si>
  <si>
    <t>Tello</t>
  </si>
  <si>
    <t>verotello81@hotmail.com</t>
  </si>
  <si>
    <t>Lucio</t>
  </si>
  <si>
    <t>Malcolm</t>
  </si>
  <si>
    <t>Elsa</t>
  </si>
  <si>
    <t>emp-39@hotmail.com</t>
  </si>
  <si>
    <t>Martín alberto</t>
  </si>
  <si>
    <t>Surf</t>
  </si>
  <si>
    <t xml:space="preserve">EGUILUZ </t>
  </si>
  <si>
    <t>Alfredo</t>
  </si>
  <si>
    <t>eguiluzalfredo@gmail.com</t>
  </si>
  <si>
    <t>Raimondi</t>
  </si>
  <si>
    <t>Letizia Lucila</t>
  </si>
  <si>
    <t>letiraimondi@gmail.com</t>
  </si>
  <si>
    <t>Danza -Salsa</t>
  </si>
  <si>
    <t>Toloza</t>
  </si>
  <si>
    <t>mario.toloza3472@hotmail.com</t>
  </si>
  <si>
    <t>Mine</t>
  </si>
  <si>
    <t>Poder Judicial</t>
  </si>
  <si>
    <t>Viglietti</t>
  </si>
  <si>
    <t>Mauro</t>
  </si>
  <si>
    <t>psicologomauroceballos@gmail.com</t>
  </si>
  <si>
    <t xml:space="preserve">Lucero Bringas </t>
  </si>
  <si>
    <t xml:space="preserve">Enrique Rafael </t>
  </si>
  <si>
    <t>enriquelucerobringas@gmail.com</t>
  </si>
  <si>
    <t>Calistenia</t>
  </si>
  <si>
    <t xml:space="preserve">Aguirre </t>
  </si>
  <si>
    <t xml:space="preserve">Carlos Javier </t>
  </si>
  <si>
    <t>Deejayhouserekete@hotmail.com.ar</t>
  </si>
  <si>
    <t>Torta</t>
  </si>
  <si>
    <t>Mirian</t>
  </si>
  <si>
    <t>tortamirian@gmail.com</t>
  </si>
  <si>
    <t>Di Lascio</t>
  </si>
  <si>
    <t>fabriciodl41@gmail.com</t>
  </si>
  <si>
    <t xml:space="preserve">Etchemendy </t>
  </si>
  <si>
    <t xml:space="preserve">M. Cristina </t>
  </si>
  <si>
    <t>criset26@hotmail.com</t>
  </si>
  <si>
    <t>GONZALEZ</t>
  </si>
  <si>
    <t>PATRICIA</t>
  </si>
  <si>
    <t>patogonzalez_@hotmail.com</t>
  </si>
  <si>
    <t>aeroyoga</t>
  </si>
  <si>
    <t>SWISS MEDICAL POR REINTEGRO</t>
  </si>
  <si>
    <t xml:space="preserve">Garzón Funes </t>
  </si>
  <si>
    <t xml:space="preserve">Tomás Enrique </t>
  </si>
  <si>
    <t>tegf14@gmail.com</t>
  </si>
  <si>
    <t xml:space="preserve">Caporaletti </t>
  </si>
  <si>
    <t>juancaporaletti@yahoo.com.ar</t>
  </si>
  <si>
    <t>Running mas Gimnasio</t>
  </si>
  <si>
    <t>delgado_mx@hotmail.com</t>
  </si>
  <si>
    <t>Vilchez</t>
  </si>
  <si>
    <t>Pricila</t>
  </si>
  <si>
    <t>prici1543@gmail.com</t>
  </si>
  <si>
    <t xml:space="preserve">Gustavo </t>
  </si>
  <si>
    <t>gustavoalmada67@gmail.com</t>
  </si>
  <si>
    <t>Mondino</t>
  </si>
  <si>
    <t>Nancy liliana</t>
  </si>
  <si>
    <t>maximoyano95@gmail.com</t>
  </si>
  <si>
    <t>gimnasio</t>
  </si>
  <si>
    <t>Miretti</t>
  </si>
  <si>
    <t>Zulema</t>
  </si>
  <si>
    <t>rivero</t>
  </si>
  <si>
    <t>sabrina fernanda</t>
  </si>
  <si>
    <t>sabri.rivero@hotmail.com.ar</t>
  </si>
  <si>
    <t>Castagno</t>
  </si>
  <si>
    <t>Ema005@hotmail.com</t>
  </si>
  <si>
    <t xml:space="preserve">Virginio </t>
  </si>
  <si>
    <t xml:space="preserve">Sebastián </t>
  </si>
  <si>
    <t>svirginio@gmail.com</t>
  </si>
  <si>
    <t>Escalada/montañismo</t>
  </si>
  <si>
    <t>Cara</t>
  </si>
  <si>
    <t xml:space="preserve">María Luisa </t>
  </si>
  <si>
    <t>lulucara48@gmail.com</t>
  </si>
  <si>
    <t xml:space="preserve">Brandi </t>
  </si>
  <si>
    <t>Hector</t>
  </si>
  <si>
    <t>milagros1361qgmail.com</t>
  </si>
  <si>
    <t>Grecco</t>
  </si>
  <si>
    <t>danielalbertogrecco@gmail.com</t>
  </si>
  <si>
    <t>Milagros</t>
  </si>
  <si>
    <t>milimoretto@hotmail.com</t>
  </si>
  <si>
    <t xml:space="preserve">Pilates </t>
  </si>
  <si>
    <t>Cornejo</t>
  </si>
  <si>
    <t>Maria josefina</t>
  </si>
  <si>
    <t>giselasr28@gmail.com</t>
  </si>
  <si>
    <t>juanmanuel.oviedo14@gmail.com</t>
  </si>
  <si>
    <t>tenis y gym</t>
  </si>
  <si>
    <t>Chanampa</t>
  </si>
  <si>
    <t>Marcela</t>
  </si>
  <si>
    <t>marcela.chanampa@gmail.com</t>
  </si>
  <si>
    <t>cornejo</t>
  </si>
  <si>
    <t>maria josefina17</t>
  </si>
  <si>
    <t>mjcornejo142@gmail.com</t>
  </si>
  <si>
    <t>franmorandelavega@gmail.com</t>
  </si>
  <si>
    <t>Ocaño</t>
  </si>
  <si>
    <t>Esteban Guillermo</t>
  </si>
  <si>
    <t>Salman</t>
  </si>
  <si>
    <t>Ana Maria</t>
  </si>
  <si>
    <t>DELLAROCCA</t>
  </si>
  <si>
    <t>CELESTE</t>
  </si>
  <si>
    <t>dellaroccaceleste@gmail.com</t>
  </si>
  <si>
    <t xml:space="preserve">la conoci a anto en la pileta </t>
  </si>
  <si>
    <t>nataciòn y gimnasio</t>
  </si>
  <si>
    <t>Moyano Bustos</t>
  </si>
  <si>
    <t xml:space="preserve">Matias Joaquin </t>
  </si>
  <si>
    <t>matiasmoyanobustos</t>
  </si>
  <si>
    <t>gonzaloarieltorres05@gmail.com</t>
  </si>
  <si>
    <t>Gimnasio+Futbol</t>
  </si>
  <si>
    <t>Chocobar</t>
  </si>
  <si>
    <t>gonzalocbes@hotmail.com</t>
  </si>
  <si>
    <t xml:space="preserve">Sánchez </t>
  </si>
  <si>
    <t xml:space="preserve">Alejandro </t>
  </si>
  <si>
    <t>alejandrocsanchez@hotmail.com</t>
  </si>
  <si>
    <t xml:space="preserve">Velasco </t>
  </si>
  <si>
    <t xml:space="preserve">Viviana </t>
  </si>
  <si>
    <t>Vivianavelasco5862@gmail.com</t>
  </si>
  <si>
    <t>gomez</t>
  </si>
  <si>
    <t>adriana</t>
  </si>
  <si>
    <t>giulianoromero0@gmail.com</t>
  </si>
  <si>
    <t xml:space="preserve">SOCIAS ALTAMIRANO </t>
  </si>
  <si>
    <t>Cordobamma@gmail.com</t>
  </si>
  <si>
    <t>Ciclismo de montaña</t>
  </si>
  <si>
    <t>jose22_oviedo@hotmail.com</t>
  </si>
  <si>
    <t xml:space="preserve">Rainero </t>
  </si>
  <si>
    <t xml:space="preserve">Carlos </t>
  </si>
  <si>
    <t>Perfocor@hotmail.com</t>
  </si>
  <si>
    <t>Julietabustos_7@hotmail.com</t>
  </si>
  <si>
    <t xml:space="preserve">Conozco el profesional </t>
  </si>
  <si>
    <t>Micieli</t>
  </si>
  <si>
    <t>Christian Martin</t>
  </si>
  <si>
    <t>christianmicieli@gmail.com</t>
  </si>
  <si>
    <t xml:space="preserve">DELCASTILLO </t>
  </si>
  <si>
    <t xml:space="preserve">GUSTAVO </t>
  </si>
  <si>
    <t>gustavodelcastillo515@hotmail.com</t>
  </si>
  <si>
    <t>gimnasio, calistenia, trek</t>
  </si>
  <si>
    <t>Anibal</t>
  </si>
  <si>
    <t xml:space="preserve">Altamirano </t>
  </si>
  <si>
    <t>Joana</t>
  </si>
  <si>
    <t>Altamirano 33</t>
  </si>
  <si>
    <t>altamiranojoana28@gmail.com</t>
  </si>
  <si>
    <t>NIETO</t>
  </si>
  <si>
    <t>maccio.andres@gmail.com</t>
  </si>
  <si>
    <t>Escalada</t>
  </si>
  <si>
    <t>Pagola</t>
  </si>
  <si>
    <t>Lila</t>
  </si>
  <si>
    <t>lilapagola@gmail.com</t>
  </si>
  <si>
    <t>pilates</t>
  </si>
  <si>
    <t>Cantos</t>
  </si>
  <si>
    <t>Cantosmiguel1973@gmail.com</t>
  </si>
  <si>
    <t>ALBARRACIN</t>
  </si>
  <si>
    <t xml:space="preserve">ALBERTO </t>
  </si>
  <si>
    <t>albarracin.1387@gmail.com</t>
  </si>
  <si>
    <t xml:space="preserve">Zacarias </t>
  </si>
  <si>
    <t xml:space="preserve">Claudio Alejandro </t>
  </si>
  <si>
    <t>claugomezcoiffeur@gmail.com</t>
  </si>
  <si>
    <t>Biolato</t>
  </si>
  <si>
    <t>Romina paola</t>
  </si>
  <si>
    <t>romibiolato@gmail.com</t>
  </si>
  <si>
    <t>Swiss nedical reintegro</t>
  </si>
  <si>
    <t xml:space="preserve">Echenique </t>
  </si>
  <si>
    <t>Patricio</t>
  </si>
  <si>
    <t>patoechenique@hotmail.com</t>
  </si>
  <si>
    <t>VENTRE</t>
  </si>
  <si>
    <t>GUSTAVO</t>
  </si>
  <si>
    <t>gustavo_ventre@hotmail.com</t>
  </si>
  <si>
    <t>MEDIFE</t>
  </si>
  <si>
    <t>Jorge agustin</t>
  </si>
  <si>
    <t>agusfiguer@gmail.com</t>
  </si>
  <si>
    <t>Mujica</t>
  </si>
  <si>
    <t>Ramon</t>
  </si>
  <si>
    <t>ram.mujicad@gmail.com</t>
  </si>
  <si>
    <t>MEDIFE - PLAN PLATA</t>
  </si>
  <si>
    <t xml:space="preserve">Gonzalez Mazzoni </t>
  </si>
  <si>
    <t>Santigonma@gmail.com</t>
  </si>
  <si>
    <t xml:space="preserve">javicat79@gmail.com </t>
  </si>
  <si>
    <t xml:space="preserve">Sánchez Salamanca </t>
  </si>
  <si>
    <t>laurasanchezsalamanca@gmail.com</t>
  </si>
  <si>
    <t>Entrenamiento funcional</t>
  </si>
  <si>
    <t>MARTINEZ</t>
  </si>
  <si>
    <t>ANA MARIA</t>
  </si>
  <si>
    <t>anitabosio@hotmail.com</t>
  </si>
  <si>
    <t>Cordoba</t>
  </si>
  <si>
    <t>francocba999@gmail.com</t>
  </si>
  <si>
    <t>Avaca</t>
  </si>
  <si>
    <t>karensantucho29@gmail.com</t>
  </si>
  <si>
    <t>Abalos</t>
  </si>
  <si>
    <t>Nahuelandresabalos@hotmail.com</t>
  </si>
  <si>
    <t xml:space="preserve">Christian </t>
  </si>
  <si>
    <t>c.lutteral@live.com</t>
  </si>
  <si>
    <t xml:space="preserve">Prados </t>
  </si>
  <si>
    <t xml:space="preserve">Yolanda </t>
  </si>
  <si>
    <t>yoly-p-prados@hotmail.com</t>
  </si>
  <si>
    <t xml:space="preserve">Montes </t>
  </si>
  <si>
    <t>orlandomontis33@gmail.com</t>
  </si>
  <si>
    <t>cordero</t>
  </si>
  <si>
    <t>veronica</t>
  </si>
  <si>
    <t>vmariacordero@gmail.com</t>
  </si>
  <si>
    <t>Bizzera</t>
  </si>
  <si>
    <t>Franco Ariel</t>
  </si>
  <si>
    <t>francobizzera@gmail.com</t>
  </si>
  <si>
    <t xml:space="preserve">STRICKLER </t>
  </si>
  <si>
    <t xml:space="preserve">Osvaldo Carlos </t>
  </si>
  <si>
    <t>Milanohelados@hotmail.com</t>
  </si>
  <si>
    <t xml:space="preserve">ABAD </t>
  </si>
  <si>
    <t>abaddm@gmail.com</t>
  </si>
  <si>
    <t xml:space="preserve">motociclismo recreativo </t>
  </si>
  <si>
    <t>Ybarra</t>
  </si>
  <si>
    <t>Andrea viviana</t>
  </si>
  <si>
    <t>Sybarra26@gmail.com</t>
  </si>
  <si>
    <t>APESTEGUIA</t>
  </si>
  <si>
    <t xml:space="preserve">Rodrigo Nicolás </t>
  </si>
  <si>
    <t>rodrigoquinteros170@gmail.com</t>
  </si>
  <si>
    <t>Giaccaglia</t>
  </si>
  <si>
    <t>Sandra</t>
  </si>
  <si>
    <t>S_giaccaglia@hotmail.com</t>
  </si>
  <si>
    <t>Granada</t>
  </si>
  <si>
    <t>Roberta</t>
  </si>
  <si>
    <t>yaninamonier@gmail.com</t>
  </si>
  <si>
    <t>GONZALES</t>
  </si>
  <si>
    <t>fotocabinascrash@gmail.com</t>
  </si>
  <si>
    <t>Margarita Irene</t>
  </si>
  <si>
    <t>maru-irene10@hotmail.com</t>
  </si>
  <si>
    <t xml:space="preserve">Horovitz </t>
  </si>
  <si>
    <t>benjahorovitz2@gmail.com</t>
  </si>
  <si>
    <t xml:space="preserve">Oliva Ceballos </t>
  </si>
  <si>
    <t xml:space="preserve">Giselle Elizabet </t>
  </si>
  <si>
    <t>tiiti.ac@gmail.com</t>
  </si>
  <si>
    <t>Acroyoga</t>
  </si>
  <si>
    <t>Yorio</t>
  </si>
  <si>
    <t>caroyorio92@gmail.com</t>
  </si>
  <si>
    <t>Coraglio</t>
  </si>
  <si>
    <t>Georgina</t>
  </si>
  <si>
    <t>geocoraglio@gmail.com</t>
  </si>
  <si>
    <t>a veces running y bici</t>
  </si>
  <si>
    <t>marcacho_07@hotmail.com</t>
  </si>
  <si>
    <t xml:space="preserve">Notararigo </t>
  </si>
  <si>
    <t>Carreño</t>
  </si>
  <si>
    <t>nico911@live.com.ar</t>
  </si>
  <si>
    <t>Viale</t>
  </si>
  <si>
    <t>EMERY OMAR</t>
  </si>
  <si>
    <t>emeryomunoz@gmail.com</t>
  </si>
  <si>
    <t>boxeo y gim</t>
  </si>
  <si>
    <t>caja notarial</t>
  </si>
  <si>
    <t>maxeze232@gmail.com</t>
  </si>
  <si>
    <t>Liotta</t>
  </si>
  <si>
    <t xml:space="preserve">Oscar Alberto </t>
  </si>
  <si>
    <t>oscarliotta@hotmail.com</t>
  </si>
  <si>
    <t xml:space="preserve">Castro Tomé </t>
  </si>
  <si>
    <t xml:space="preserve">Ramón </t>
  </si>
  <si>
    <t>Panero</t>
  </si>
  <si>
    <t>maritepanero@gmail.com</t>
  </si>
  <si>
    <t>Gallara</t>
  </si>
  <si>
    <t>Daniel G</t>
  </si>
  <si>
    <t>danielgallara13@gmail.com</t>
  </si>
  <si>
    <t>Ayerbe</t>
  </si>
  <si>
    <t>ayerbea@gmail.com</t>
  </si>
  <si>
    <t>YERIO</t>
  </si>
  <si>
    <t xml:space="preserve">Josefina </t>
  </si>
  <si>
    <t>yeriojosefina19@gmail.com</t>
  </si>
  <si>
    <t xml:space="preserve">Peralta </t>
  </si>
  <si>
    <t>Marisel</t>
  </si>
  <si>
    <t>mariselmnp@gmail.com</t>
  </si>
  <si>
    <t>SILVA</t>
  </si>
  <si>
    <t>Mary</t>
  </si>
  <si>
    <t>egialvarez@hotmail.com</t>
  </si>
  <si>
    <t>danii2017.dap@gmail.com</t>
  </si>
  <si>
    <t>Futbol+Correr</t>
  </si>
  <si>
    <t>Werner</t>
  </si>
  <si>
    <t>Victoria</t>
  </si>
  <si>
    <t>Marielamazzoni@gmail.com</t>
  </si>
  <si>
    <t>Marchisone</t>
  </si>
  <si>
    <t>marchisonel@gmail.com</t>
  </si>
  <si>
    <t>valenmartini2002@gmail.com</t>
  </si>
  <si>
    <t xml:space="preserve">Vanina </t>
  </si>
  <si>
    <t>palaciosvanina39@gmail.com</t>
  </si>
  <si>
    <t>3516771341 / 3515901845</t>
  </si>
  <si>
    <t>Morales</t>
  </si>
  <si>
    <t>juanfamorales@gmail.com</t>
  </si>
  <si>
    <t xml:space="preserve">Ya los conocía </t>
  </si>
  <si>
    <t>Caminatas y gym</t>
  </si>
  <si>
    <t>Menseguez</t>
  </si>
  <si>
    <t>Pont</t>
  </si>
  <si>
    <t xml:space="preserve">María Angélica </t>
  </si>
  <si>
    <t>gabrielazurlo@gmail,com</t>
  </si>
  <si>
    <t>Scordo</t>
  </si>
  <si>
    <t>Claudiascordo16@gmail.com</t>
  </si>
  <si>
    <t>Flamenco</t>
  </si>
  <si>
    <t>Dolard</t>
  </si>
  <si>
    <t>Dorflinger</t>
  </si>
  <si>
    <t>1059walter@gmail.com</t>
  </si>
  <si>
    <t>Fronto</t>
  </si>
  <si>
    <t>Aguirre Messina</t>
  </si>
  <si>
    <t>Paloma</t>
  </si>
  <si>
    <t>palomamessina10@gmail.com</t>
  </si>
  <si>
    <t>Mailen</t>
  </si>
  <si>
    <t>cele_1504@hotmail.com</t>
  </si>
  <si>
    <t xml:space="preserve">Cavallero Figueroa </t>
  </si>
  <si>
    <t>Alma</t>
  </si>
  <si>
    <t>ingaramo.ma@gmail.com</t>
  </si>
  <si>
    <t>Ale47gallardo@gmail.com</t>
  </si>
  <si>
    <t>Iba al gym manantial</t>
  </si>
  <si>
    <t>Ludueña</t>
  </si>
  <si>
    <t>nachitoiacc@gmail.com</t>
  </si>
  <si>
    <t xml:space="preserve">CERASO </t>
  </si>
  <si>
    <t>lucasceraso@hotmail.com</t>
  </si>
  <si>
    <t xml:space="preserve">Trote, caminata y futbol eventualmente </t>
  </si>
  <si>
    <t>Batallan</t>
  </si>
  <si>
    <t>rbatallan@broggio.com.ar</t>
  </si>
  <si>
    <t>GIACOMELLI</t>
  </si>
  <si>
    <t xml:space="preserve">Franco </t>
  </si>
  <si>
    <t>francopgsa@gmail.com</t>
  </si>
  <si>
    <t>gimnasio, BMX</t>
  </si>
  <si>
    <t xml:space="preserve">Maylen </t>
  </si>
  <si>
    <t>acostamaylen6@gmail.com</t>
  </si>
  <si>
    <t>Cabanillas</t>
  </si>
  <si>
    <t>miguecabanillas@gmail.com</t>
  </si>
  <si>
    <t>Angelica Nene</t>
  </si>
  <si>
    <t>nenecitapatino0501@gmail.com</t>
  </si>
  <si>
    <t xml:space="preserve"> </t>
  </si>
  <si>
    <t>lic.vatiluschi@gmail.com</t>
  </si>
  <si>
    <t>Handball</t>
  </si>
  <si>
    <t>Tobares</t>
  </si>
  <si>
    <t>Regina</t>
  </si>
  <si>
    <t>regina.tobares@gmail.com</t>
  </si>
  <si>
    <t>Patin</t>
  </si>
  <si>
    <t xml:space="preserve">Davila </t>
  </si>
  <si>
    <t xml:space="preserve">Pablo </t>
  </si>
  <si>
    <t>pablo_davila@hotmail.com</t>
  </si>
  <si>
    <t xml:space="preserve">Moretto </t>
  </si>
  <si>
    <t>h_moretto65*hotmail.com</t>
  </si>
  <si>
    <t>VIBERTI</t>
  </si>
  <si>
    <t>carlosvibertipapa@gmail.com</t>
  </si>
  <si>
    <t>Gym y montain</t>
  </si>
  <si>
    <t>Merdidian</t>
  </si>
  <si>
    <t>Juan Carlos</t>
  </si>
  <si>
    <t>jcmer77@gmail.com</t>
  </si>
  <si>
    <t xml:space="preserve">Barra González </t>
  </si>
  <si>
    <t>alegonzalezra@gmail.com</t>
  </si>
  <si>
    <t xml:space="preserve">Blanco </t>
  </si>
  <si>
    <t xml:space="preserve">Luis Manuel </t>
  </si>
  <si>
    <t>luismanuelblanco17@gmail.com</t>
  </si>
  <si>
    <t>Bassano</t>
  </si>
  <si>
    <t>jorgealbertobassano@gmail.com</t>
  </si>
  <si>
    <t>Gonzalez Mazzoni</t>
  </si>
  <si>
    <t>octigonma@gmail.com</t>
  </si>
  <si>
    <t xml:space="preserve">De manera ocasional pádel </t>
  </si>
  <si>
    <t>OSPIA</t>
  </si>
  <si>
    <t>Imasor62@gmail.com</t>
  </si>
  <si>
    <t>Pedroza</t>
  </si>
  <si>
    <t>Gervino</t>
  </si>
  <si>
    <t>gervinoluis058@gmail.com</t>
  </si>
  <si>
    <t>Carlota Mercedes</t>
  </si>
  <si>
    <t>carlotamf31@gmail.com</t>
  </si>
  <si>
    <t xml:space="preserve">Cardozo </t>
  </si>
  <si>
    <t xml:space="preserve">Augusto David </t>
  </si>
  <si>
    <t>Auguda@hotmail.com</t>
  </si>
  <si>
    <t>Claure</t>
  </si>
  <si>
    <t>isamicaela31@gmail.com</t>
  </si>
  <si>
    <t xml:space="preserve">isamicaela31@gmail.com </t>
  </si>
  <si>
    <t>Roulet</t>
  </si>
  <si>
    <t>Elias</t>
  </si>
  <si>
    <t>eliasroulet@gmail.com</t>
  </si>
  <si>
    <t xml:space="preserve">Peltzer </t>
  </si>
  <si>
    <t>Enrique</t>
  </si>
  <si>
    <t>peltzer.enrique@gmail.com</t>
  </si>
  <si>
    <t>Baldoma</t>
  </si>
  <si>
    <t>Baldomatatos@hotmail.com</t>
  </si>
  <si>
    <t xml:space="preserve">Galvez </t>
  </si>
  <si>
    <t>fedegalvez399@gmail.com</t>
  </si>
  <si>
    <t>DIBPFA</t>
  </si>
  <si>
    <t>Maria Belen</t>
  </si>
  <si>
    <t>mariabelen.perezc@gmail.com</t>
  </si>
  <si>
    <t>Nora Hilda</t>
  </si>
  <si>
    <t>norabordino8@gmail.com</t>
  </si>
  <si>
    <t>Fontanella</t>
  </si>
  <si>
    <t>Agofontanella@gmail.com</t>
  </si>
  <si>
    <t>GLOWACKI</t>
  </si>
  <si>
    <t>Gregorio</t>
  </si>
  <si>
    <t xml:space="preserve">Eva </t>
  </si>
  <si>
    <t>evagesanchez@hotmail.com</t>
  </si>
  <si>
    <t>Funcional</t>
  </si>
  <si>
    <t>OLOCCO</t>
  </si>
  <si>
    <t>oloccodavid86@gmail.com</t>
  </si>
  <si>
    <t xml:space="preserve">ya nos conocia de antes </t>
  </si>
  <si>
    <t>susanacostamagna@hotmail.com</t>
  </si>
  <si>
    <t>SEGHEZZO</t>
  </si>
  <si>
    <t xml:space="preserve">Chiara Belen </t>
  </si>
  <si>
    <t>chiaraSEGHEZZO23@gmail.com</t>
  </si>
  <si>
    <t xml:space="preserve">Patin (es profe) y pilates </t>
  </si>
  <si>
    <t>luis_cba.18@hotmai.com</t>
  </si>
  <si>
    <t>Gimnasio+karate</t>
  </si>
  <si>
    <t xml:space="preserve">Salas </t>
  </si>
  <si>
    <t xml:space="preserve">Fernando </t>
  </si>
  <si>
    <t>Hillar</t>
  </si>
  <si>
    <t>alehillar90@gmail.com</t>
  </si>
  <si>
    <t>Quiroga</t>
  </si>
  <si>
    <t>ignacioequiroga@gmail.com</t>
  </si>
  <si>
    <t>Running y gimnasio</t>
  </si>
  <si>
    <t>Macagno</t>
  </si>
  <si>
    <t>Gomez barbeito</t>
  </si>
  <si>
    <t>Juan ignacio</t>
  </si>
  <si>
    <t>arq.gomezbarbeito@gmail.com</t>
  </si>
  <si>
    <t>Trad</t>
  </si>
  <si>
    <t>JAiro</t>
  </si>
  <si>
    <t>jairotrad@gmail.com</t>
  </si>
  <si>
    <t>Ceballos Ferri</t>
  </si>
  <si>
    <t>Geronimo</t>
  </si>
  <si>
    <t>Feito</t>
  </si>
  <si>
    <t>jrfeitoantilef@gmail.com</t>
  </si>
  <si>
    <t>Paddle</t>
  </si>
  <si>
    <t>altamirano.lucas21@gmail.com</t>
  </si>
  <si>
    <t>Gimnasio + Futbol</t>
  </si>
  <si>
    <t>Veronica Tamara</t>
  </si>
  <si>
    <t>verooramoos.cat@gmail.com</t>
  </si>
  <si>
    <t>licenrriqueguevara@hotmail.com</t>
  </si>
  <si>
    <t>Mascarello</t>
  </si>
  <si>
    <t>MONTOYA</t>
  </si>
  <si>
    <t>nahuel.fernandez@biofarmaweb.com.ar</t>
  </si>
  <si>
    <t>Pinto</t>
  </si>
  <si>
    <t>Igna11pinto@gmail.com</t>
  </si>
  <si>
    <t>bazan</t>
  </si>
  <si>
    <t>Alicia Susana</t>
  </si>
  <si>
    <t>alibazan@yahoo.com.ar</t>
  </si>
  <si>
    <t>aquagym</t>
  </si>
  <si>
    <t>Urey</t>
  </si>
  <si>
    <t xml:space="preserve">Lilian gisela </t>
  </si>
  <si>
    <t>giselaurey@gmail.com</t>
  </si>
  <si>
    <t>Quiroga Monnier</t>
  </si>
  <si>
    <t>gregoquiroga15@gmail.com</t>
  </si>
  <si>
    <t>Andrada</t>
  </si>
  <si>
    <t>Gonzalo J</t>
  </si>
  <si>
    <t>gonzaloqq@hotmail.com</t>
  </si>
  <si>
    <t>Escalada deportiva</t>
  </si>
  <si>
    <t>Spinosa</t>
  </si>
  <si>
    <t xml:space="preserve">Ana Estefania </t>
  </si>
  <si>
    <t>spinosa.ana.estefania@gmail.com</t>
  </si>
  <si>
    <t>Esqui</t>
  </si>
  <si>
    <t>Belisle</t>
  </si>
  <si>
    <t>ceciliabelisle2@gmail.com</t>
  </si>
  <si>
    <t>Colautti</t>
  </si>
  <si>
    <t>Adele</t>
  </si>
  <si>
    <t xml:space="preserve">Caminta+Bici </t>
  </si>
  <si>
    <t>Gangarrossa</t>
  </si>
  <si>
    <t>Franco Albano</t>
  </si>
  <si>
    <t>francogangarrossa@gmail.com</t>
  </si>
  <si>
    <t>7/24/0080</t>
  </si>
  <si>
    <t>Vittone</t>
  </si>
  <si>
    <t>smvittone@hotmail.com</t>
  </si>
  <si>
    <t>Strasorier</t>
  </si>
  <si>
    <t>Santistraso123@gmail.com</t>
  </si>
  <si>
    <t>Krivoruk</t>
  </si>
  <si>
    <t>raulikrivoruk@gmail.com</t>
  </si>
  <si>
    <t>6/5/0946</t>
  </si>
  <si>
    <t>Karate</t>
  </si>
  <si>
    <t>Martinez Tello</t>
  </si>
  <si>
    <t xml:space="preserve">Juliana </t>
  </si>
  <si>
    <t>vat198138@gmail.com</t>
  </si>
  <si>
    <t>JUAN</t>
  </si>
  <si>
    <t>alejandrojuan@live.com</t>
  </si>
  <si>
    <t>Guillen</t>
  </si>
  <si>
    <t>fgguillen@hotmail.com</t>
  </si>
  <si>
    <t>Perez Dopazo</t>
  </si>
  <si>
    <t>Martha Viviana</t>
  </si>
  <si>
    <t>Mpdopazo@hotmail.com</t>
  </si>
  <si>
    <t xml:space="preserve">luisbuffa6@gmail.com </t>
  </si>
  <si>
    <t>Pedacchia</t>
  </si>
  <si>
    <t>Agustinpedacchia@gmail.com</t>
  </si>
  <si>
    <t>Padel+Gimnasio+Futbol</t>
  </si>
  <si>
    <t xml:space="preserve">Ugolino </t>
  </si>
  <si>
    <t>pituugolino96@gmail.com</t>
  </si>
  <si>
    <t>ZAFE</t>
  </si>
  <si>
    <t>Sabor</t>
  </si>
  <si>
    <t>Segundo</t>
  </si>
  <si>
    <t>Merlo</t>
  </si>
  <si>
    <t xml:space="preserve">David maximiliano </t>
  </si>
  <si>
    <t>davidmerlo_1991@hotmail.com</t>
  </si>
  <si>
    <t>Mariana Belen</t>
  </si>
  <si>
    <t>mar.belen2017@gmail.com</t>
  </si>
  <si>
    <t>Riego</t>
  </si>
  <si>
    <t>riego.gonzalo.a@gmail.com</t>
  </si>
  <si>
    <t>Kick boxing y Gimnasio</t>
  </si>
  <si>
    <t>Cruzado</t>
  </si>
  <si>
    <t>Lucascruzado@hotmail.com</t>
  </si>
  <si>
    <t>Lungaro</t>
  </si>
  <si>
    <t>Maria Elizabeth</t>
  </si>
  <si>
    <t>marylungaro52@gmail.com</t>
  </si>
  <si>
    <t>LAUENSTEIN</t>
  </si>
  <si>
    <t>Mariel</t>
  </si>
  <si>
    <t>Bas</t>
  </si>
  <si>
    <t xml:space="preserve">Maria paula </t>
  </si>
  <si>
    <t xml:space="preserve">TORRES </t>
  </si>
  <si>
    <t>facu.cordobalt@gmail.com</t>
  </si>
  <si>
    <t xml:space="preserve">Gerardo </t>
  </si>
  <si>
    <t>gera620@hotmail.com</t>
  </si>
  <si>
    <t xml:space="preserve">Funcional </t>
  </si>
  <si>
    <t>Emmanuel</t>
  </si>
  <si>
    <t>ema_1311@hotmail.com</t>
  </si>
  <si>
    <t xml:space="preserve">Swiss medical </t>
  </si>
  <si>
    <t>Marquez Ochoa</t>
  </si>
  <si>
    <t>Maria Paz</t>
  </si>
  <si>
    <t>ceciliaalejandraochoa@gmail.com</t>
  </si>
  <si>
    <t xml:space="preserve">Argañaraz </t>
  </si>
  <si>
    <t>ccllaauuddiioo1976@gmail.com</t>
  </si>
  <si>
    <t xml:space="preserve">Voy al gym sportclub </t>
  </si>
  <si>
    <t>Argañaraz</t>
  </si>
  <si>
    <t>Ccllaauuddiioo1976@gmail.com</t>
  </si>
  <si>
    <t>Tesan</t>
  </si>
  <si>
    <t>leonardojtesan@hotmail.com</t>
  </si>
  <si>
    <t xml:space="preserve">Edith Maria </t>
  </si>
  <si>
    <t>edithcordobacontadora@hotmail.com</t>
  </si>
  <si>
    <t xml:space="preserve">Buschiazzo Perez </t>
  </si>
  <si>
    <t>Luana</t>
  </si>
  <si>
    <t>suenoseperez@hotmail.com.ar</t>
  </si>
  <si>
    <t>Hockey y danza jazz</t>
  </si>
  <si>
    <t>Buschiazzo Perez</t>
  </si>
  <si>
    <t>Hockey y danza Jazz</t>
  </si>
  <si>
    <t xml:space="preserve">Paula </t>
  </si>
  <si>
    <t xml:space="preserve">Balian </t>
  </si>
  <si>
    <t>Paula_balian@hotmail.com</t>
  </si>
  <si>
    <t xml:space="preserve">Reintegro osde </t>
  </si>
  <si>
    <t>Edith Maria Laura</t>
  </si>
  <si>
    <t>Bicicleta Fija</t>
  </si>
  <si>
    <t>Pardo</t>
  </si>
  <si>
    <t>Elias Agustin</t>
  </si>
  <si>
    <t>aguspardo@gmail.com</t>
  </si>
  <si>
    <t xml:space="preserve">Graciela </t>
  </si>
  <si>
    <t>Gracielatdelgado@gmail.com</t>
  </si>
  <si>
    <t>Batalla</t>
  </si>
  <si>
    <t>Rosa Ramona</t>
  </si>
  <si>
    <t>Míguez</t>
  </si>
  <si>
    <t>Nora Élida</t>
  </si>
  <si>
    <t>migueznora@gmail.com</t>
  </si>
  <si>
    <t>Walker</t>
  </si>
  <si>
    <t>walker_raul@hotmail.com</t>
  </si>
  <si>
    <t xml:space="preserve">Pelliza </t>
  </si>
  <si>
    <t xml:space="preserve">Romina Paola </t>
  </si>
  <si>
    <t>azulpiaciro@gmail.com</t>
  </si>
  <si>
    <t>lsegundo419@gmail.com</t>
  </si>
  <si>
    <t>Tapia</t>
  </si>
  <si>
    <t>makwiecien@gmail.com</t>
  </si>
  <si>
    <t xml:space="preserve">Lauricella </t>
  </si>
  <si>
    <t>soynahuel95@gmail.com</t>
  </si>
  <si>
    <t>Yo busqué por google</t>
  </si>
  <si>
    <t>CHEJOSKI</t>
  </si>
  <si>
    <t>marcoschejoski99@gmail.com</t>
  </si>
  <si>
    <t>Richard</t>
  </si>
  <si>
    <t>francorichardtt@gmail.com</t>
  </si>
  <si>
    <t>Pelaez</t>
  </si>
  <si>
    <t>Jose Luis</t>
  </si>
  <si>
    <t>Dominguez</t>
  </si>
  <si>
    <t>rociodominguez03@hotmail.com</t>
  </si>
  <si>
    <t>vero_sanchez@outlook.com</t>
  </si>
  <si>
    <t>Hugo</t>
  </si>
  <si>
    <t>hugo_almada@yahoo.com.ar</t>
  </si>
  <si>
    <t>Celi</t>
  </si>
  <si>
    <t>Abril</t>
  </si>
  <si>
    <t>roxanasilva@live.com</t>
  </si>
  <si>
    <t>Acrobacias en telas</t>
  </si>
  <si>
    <t>Mazzola</t>
  </si>
  <si>
    <t>asmazzola@gmail.com</t>
  </si>
  <si>
    <t>Gladys Viviana</t>
  </si>
  <si>
    <t>cesarcastro013@gmail.com</t>
  </si>
  <si>
    <t>Eliana Noelia</t>
  </si>
  <si>
    <t>facubritos2015@gmail.com</t>
  </si>
  <si>
    <t xml:space="preserve">Huespe </t>
  </si>
  <si>
    <t>Sofihuespe@hotmail.com</t>
  </si>
  <si>
    <t>Pádel / gym</t>
  </si>
  <si>
    <t>Arrietto</t>
  </si>
  <si>
    <t xml:space="preserve">Gabriela </t>
  </si>
  <si>
    <t>gabyarrietto67@gmail.com</t>
  </si>
  <si>
    <t>8/21/0067</t>
  </si>
  <si>
    <t>Casamayor</t>
  </si>
  <si>
    <t>Matiascasamayor62@gmail.com</t>
  </si>
  <si>
    <t>Iturri</t>
  </si>
  <si>
    <t xml:space="preserve">Juan Pablo </t>
  </si>
  <si>
    <t>jpablo.iturri@gmail.com</t>
  </si>
  <si>
    <t>Montesco</t>
  </si>
  <si>
    <t>Pablo bruno</t>
  </si>
  <si>
    <t>Pini57@gmail.com</t>
  </si>
  <si>
    <t>Balbiano</t>
  </si>
  <si>
    <t>javibalbiano@gmail.com</t>
  </si>
  <si>
    <t>Diez</t>
  </si>
  <si>
    <t>pedrodiezcuenca01@gmail.com</t>
  </si>
  <si>
    <t>SWISS MEDICAL</t>
  </si>
  <si>
    <t>Huespe</t>
  </si>
  <si>
    <t>Sofía</t>
  </si>
  <si>
    <t>Tissot</t>
  </si>
  <si>
    <t>gastontissot1@gmail.com</t>
  </si>
  <si>
    <t>TISSOT</t>
  </si>
  <si>
    <t>GASTON</t>
  </si>
  <si>
    <t>ferlopeziacc@gmail.com</t>
  </si>
  <si>
    <t>Molina</t>
  </si>
  <si>
    <t>MATIAS</t>
  </si>
  <si>
    <t>matiasmolina18@hotmail.com</t>
  </si>
  <si>
    <t>Ceclilia</t>
  </si>
  <si>
    <t>Ceci_hahn@hotmail.com</t>
  </si>
  <si>
    <t>FIGLIOLIA</t>
  </si>
  <si>
    <t>Alejandrolucasfigliolia@gmail.com</t>
  </si>
  <si>
    <t>En persona</t>
  </si>
  <si>
    <t>Truco</t>
  </si>
  <si>
    <t>Perea</t>
  </si>
  <si>
    <t>Barrio</t>
  </si>
  <si>
    <t>Luis Pablo</t>
  </si>
  <si>
    <t>barrio.luispablo@gmail.colm</t>
  </si>
  <si>
    <t>Guell</t>
  </si>
  <si>
    <t xml:space="preserve">Reyes </t>
  </si>
  <si>
    <t>Juan Jorge</t>
  </si>
  <si>
    <t>caminata</t>
  </si>
  <si>
    <t>Lanfranchi</t>
  </si>
  <si>
    <t>Micaela Gisel</t>
  </si>
  <si>
    <t>micalanfranchi@gmail.com</t>
  </si>
  <si>
    <t xml:space="preserve">Nuccetelli Nieto </t>
  </si>
  <si>
    <t xml:space="preserve">Simón </t>
  </si>
  <si>
    <t>Tavella</t>
  </si>
  <si>
    <t>Marina</t>
  </si>
  <si>
    <t>mmtavella@gmail.com</t>
  </si>
  <si>
    <t>Corbella</t>
  </si>
  <si>
    <t>gracorbella@hotmail.com</t>
  </si>
  <si>
    <t>8/14/0060</t>
  </si>
  <si>
    <t>Ciencias  Economicas</t>
  </si>
  <si>
    <t>Ruibal</t>
  </si>
  <si>
    <t>oruibal@uepc.org.ar</t>
  </si>
  <si>
    <t xml:space="preserve">Laura Susana </t>
  </si>
  <si>
    <t>laurapereyra5@gmail.com</t>
  </si>
  <si>
    <t>Calderon</t>
  </si>
  <si>
    <t>Diana Marcela</t>
  </si>
  <si>
    <t>calderon.marcela8@gmail.com</t>
  </si>
  <si>
    <t>andrada</t>
  </si>
  <si>
    <t>Jonathan david</t>
  </si>
  <si>
    <t>NIBEYRO</t>
  </si>
  <si>
    <t>Ariadna</t>
  </si>
  <si>
    <t>nibeyroa@gmail.com</t>
  </si>
  <si>
    <t>DASUTEN</t>
  </si>
  <si>
    <t>Ramis</t>
  </si>
  <si>
    <t>lucasramis28@gmail.com</t>
  </si>
  <si>
    <t>Santa</t>
  </si>
  <si>
    <t>Jose Alfredo</t>
  </si>
  <si>
    <t>Mamar</t>
  </si>
  <si>
    <t>Gimnasia Artistica</t>
  </si>
  <si>
    <t xml:space="preserve">BALDUCCI </t>
  </si>
  <si>
    <t>SALVADOR</t>
  </si>
  <si>
    <t>cariviglione12@gmail.com</t>
  </si>
  <si>
    <t>Alonso</t>
  </si>
  <si>
    <t>julietalonso@gmail.com</t>
  </si>
  <si>
    <t>Laura carina</t>
  </si>
  <si>
    <t>lacarivega@gmail.com</t>
  </si>
  <si>
    <t>Cordeiro</t>
  </si>
  <si>
    <t>julietacordeiro01@gmail.com</t>
  </si>
  <si>
    <t xml:space="preserve">Márquez </t>
  </si>
  <si>
    <t>Natalia</t>
  </si>
  <si>
    <t>Marqueznatalia141@gmail.com</t>
  </si>
  <si>
    <t>6/26/0025</t>
  </si>
  <si>
    <t xml:space="preserve">Londero </t>
  </si>
  <si>
    <t>lucaslondero368@gmail.com</t>
  </si>
  <si>
    <t>Bazán</t>
  </si>
  <si>
    <t>Valentinabazzan25@gmail.com</t>
  </si>
  <si>
    <t>Cecato</t>
  </si>
  <si>
    <t>lautaro.cecato@gmail.com</t>
  </si>
  <si>
    <t>santiagopalavecino2@gmail.com</t>
  </si>
  <si>
    <t>Barrionuevo</t>
  </si>
  <si>
    <t>jockey</t>
  </si>
  <si>
    <t>TORRI</t>
  </si>
  <si>
    <t>Ruben Daniel</t>
  </si>
  <si>
    <t xml:space="preserve">Jessica Gabriela </t>
  </si>
  <si>
    <t>jessicamartinez527@gmail.com</t>
  </si>
  <si>
    <t xml:space="preserve">DIAZ </t>
  </si>
  <si>
    <t>ROLANDO</t>
  </si>
  <si>
    <t>Plantinesdiaz@gmail.com</t>
  </si>
  <si>
    <t xml:space="preserve">caminata </t>
  </si>
  <si>
    <t>QUEVEDO</t>
  </si>
  <si>
    <t xml:space="preserve">Nelson Damian </t>
  </si>
  <si>
    <t>nelsondamianquevedo@gmail.com</t>
  </si>
  <si>
    <t>arguellodario244@gmail.com</t>
  </si>
  <si>
    <t>Robles</t>
  </si>
  <si>
    <t>roblesnico@hotmail.com</t>
  </si>
  <si>
    <t>Irastorza</t>
  </si>
  <si>
    <t>ricardoirastorza@yahoo.com.ar</t>
  </si>
  <si>
    <t xml:space="preserve">Jessica </t>
  </si>
  <si>
    <t xml:space="preserve">Clases de funcional </t>
  </si>
  <si>
    <t>BOREAL</t>
  </si>
  <si>
    <t>Amuchastegui</t>
  </si>
  <si>
    <t>Beatriz Liliana</t>
  </si>
  <si>
    <t>bealil_08@hotmail.com</t>
  </si>
  <si>
    <t>Orcetti</t>
  </si>
  <si>
    <t>fedeorcetti@hotmail.com</t>
  </si>
  <si>
    <t>Barbero</t>
  </si>
  <si>
    <t>Edgardo Ruben</t>
  </si>
  <si>
    <t>barberoedgardo1@gmail.com</t>
  </si>
  <si>
    <t>gonzaloperezcba@gmail.com</t>
  </si>
  <si>
    <t>NIZA</t>
  </si>
  <si>
    <t xml:space="preserve">Blanca </t>
  </si>
  <si>
    <t>blancaniza61@gmail.com</t>
  </si>
  <si>
    <t>Lucas Victorio</t>
  </si>
  <si>
    <t>lucasgiannoboli@gmail.com</t>
  </si>
  <si>
    <t>Cooper</t>
  </si>
  <si>
    <t>pedrocooper99@gmail.com</t>
  </si>
  <si>
    <t>Correa Volpara</t>
  </si>
  <si>
    <t>jlvolpara@gmail.com</t>
  </si>
  <si>
    <t>Los conozco</t>
  </si>
  <si>
    <t>Patricia del Valle</t>
  </si>
  <si>
    <t>patriciaherrerrareal@gmail.com</t>
  </si>
  <si>
    <t xml:space="preserve">Olivera </t>
  </si>
  <si>
    <t>agustinolivera5000@gmail.com</t>
  </si>
  <si>
    <t>gimnasio + futbol</t>
  </si>
  <si>
    <t>ricardojoserojas1969@gmail.com</t>
  </si>
  <si>
    <t>Paya</t>
  </si>
  <si>
    <t xml:space="preserve">Leonardo </t>
  </si>
  <si>
    <t>Payaleonardo@gmail.com</t>
  </si>
  <si>
    <t>Barzola</t>
  </si>
  <si>
    <t>jose10u@hotmail.com</t>
  </si>
  <si>
    <t xml:space="preserve">Font </t>
  </si>
  <si>
    <t xml:space="preserve">Natalia Soledad </t>
  </si>
  <si>
    <t>Natalia.font@unc.edu.ar</t>
  </si>
  <si>
    <t>Nahir</t>
  </si>
  <si>
    <t>nahirmartin@hotmail.com</t>
  </si>
  <si>
    <t>Casas</t>
  </si>
  <si>
    <t>Matias nahuel</t>
  </si>
  <si>
    <t>casasmatias327@gmail.com</t>
  </si>
  <si>
    <t>moreno fassone</t>
  </si>
  <si>
    <t>catalina</t>
  </si>
  <si>
    <t>fassonecatalina@gmail.com</t>
  </si>
  <si>
    <t>Paulina</t>
  </si>
  <si>
    <t>nicolas_jd_ramirez@hotmail.com</t>
  </si>
  <si>
    <t xml:space="preserve">Valdiviezo </t>
  </si>
  <si>
    <t xml:space="preserve">Valentino </t>
  </si>
  <si>
    <t>valenvaldi18@gmail.com</t>
  </si>
  <si>
    <t xml:space="preserve">padel y gimnasio </t>
  </si>
  <si>
    <t>Crozzol</t>
  </si>
  <si>
    <t>Kohon</t>
  </si>
  <si>
    <t>carlosdanielkohon@gmail.com</t>
  </si>
  <si>
    <t>Trabajo como ing agronomo</t>
  </si>
  <si>
    <t xml:space="preserve">Bustamante </t>
  </si>
  <si>
    <t>anitalbustamante@gmail.com</t>
  </si>
  <si>
    <t xml:space="preserve">Vendramini </t>
  </si>
  <si>
    <t xml:space="preserve">Mauro </t>
  </si>
  <si>
    <t>10/30/0079</t>
  </si>
  <si>
    <t>pablorodriguezbris@gmail.com</t>
  </si>
  <si>
    <t>Bagnasco</t>
  </si>
  <si>
    <t xml:space="preserve">Mercedes </t>
  </si>
  <si>
    <t>mercedesbagnasco@gmail.com</t>
  </si>
  <si>
    <t xml:space="preserve">Mi hija </t>
  </si>
  <si>
    <t xml:space="preserve">Agustín </t>
  </si>
  <si>
    <t>agusibarra000@gmail.com</t>
  </si>
  <si>
    <t xml:space="preserve">Gimnasio, fútbol y boxeo </t>
  </si>
  <si>
    <t>Sesma</t>
  </si>
  <si>
    <t>sesmamyriam@hotmail.com</t>
  </si>
  <si>
    <t>Pilates, caminar</t>
  </si>
  <si>
    <t xml:space="preserve">de Ipola </t>
  </si>
  <si>
    <t>matiasdeipola@gmail.com</t>
  </si>
  <si>
    <t>Atletismo en pista</t>
  </si>
  <si>
    <t xml:space="preserve">BERETTA </t>
  </si>
  <si>
    <t xml:space="preserve">Vanesa </t>
  </si>
  <si>
    <t>vanberetta@hotmail.com</t>
  </si>
  <si>
    <t xml:space="preserve">Atletismo </t>
  </si>
  <si>
    <t xml:space="preserve">Albarracin </t>
  </si>
  <si>
    <t xml:space="preserve">abarracinabril.12@gmail.com </t>
  </si>
  <si>
    <t xml:space="preserve">Boreal plan Magnum </t>
  </si>
  <si>
    <t>pignata</t>
  </si>
  <si>
    <t>franco</t>
  </si>
  <si>
    <t>francopignata1@gmail.com</t>
  </si>
  <si>
    <t>Spaccesi</t>
  </si>
  <si>
    <t>virginiaspaccesi@hotmail.com</t>
  </si>
  <si>
    <t>Volmaro</t>
  </si>
  <si>
    <t>lucas.volmaro@gmail.com</t>
  </si>
  <si>
    <t>pablosebabazan@gmail.com</t>
  </si>
  <si>
    <t xml:space="preserve">Gerasimchuk </t>
  </si>
  <si>
    <t xml:space="preserve">Ana Milena </t>
  </si>
  <si>
    <t>Silviaelenacuna@gmail.com</t>
  </si>
  <si>
    <t xml:space="preserve">Lanfranchi </t>
  </si>
  <si>
    <t>Micalanfranchi@gmail.com</t>
  </si>
  <si>
    <t>Bustamante</t>
  </si>
  <si>
    <t>santi.bustamante.1995@hotmail.com</t>
  </si>
  <si>
    <t>Arletti</t>
  </si>
  <si>
    <t>agustinarletti2004@gmail.com</t>
  </si>
  <si>
    <t>Leyes</t>
  </si>
  <si>
    <t>GARBIGLIA</t>
  </si>
  <si>
    <t>Lucas Sebastian</t>
  </si>
  <si>
    <t>lucasgarbiglia@hotmail.com</t>
  </si>
  <si>
    <t>Santamaria</t>
  </si>
  <si>
    <t xml:space="preserve">Ana Laura </t>
  </si>
  <si>
    <t xml:space="preserve">Anixsantamaria@gmail.com </t>
  </si>
  <si>
    <t xml:space="preserve">Notación _Gimnasio </t>
  </si>
  <si>
    <t>glagysherminiagomez@gmail.com</t>
  </si>
  <si>
    <t>Matejcic</t>
  </si>
  <si>
    <t>Alematejcic@yahoo.com.ar</t>
  </si>
  <si>
    <t>Mammana</t>
  </si>
  <si>
    <t>amammana31@gmail.com</t>
  </si>
  <si>
    <t>BALEIRON</t>
  </si>
  <si>
    <t>SERGIO RAÚL</t>
  </si>
  <si>
    <t>arq_baleiron@hotmail.com</t>
  </si>
  <si>
    <t>Carpetta</t>
  </si>
  <si>
    <t xml:space="preserve">Reginatto </t>
  </si>
  <si>
    <t>cvirgolini@gmail.com</t>
  </si>
  <si>
    <t>Sommo</t>
  </si>
  <si>
    <t>Cristina</t>
  </si>
  <si>
    <t>Fraile</t>
  </si>
  <si>
    <t>Millanelcbacapital@gmail.com</t>
  </si>
  <si>
    <t xml:space="preserve">Patricia Beatriz </t>
  </si>
  <si>
    <t>Mariano</t>
  </si>
  <si>
    <t>ferreyramg131@gmail.com</t>
  </si>
  <si>
    <t>capretta</t>
  </si>
  <si>
    <t>tomascapretta1@gmail.com</t>
  </si>
  <si>
    <t>MARIONI</t>
  </si>
  <si>
    <t xml:space="preserve">Sergio </t>
  </si>
  <si>
    <t>distribuidoramonse@hotmail.com.ar</t>
  </si>
  <si>
    <t xml:space="preserve">Maria de los Angeles </t>
  </si>
  <si>
    <t>ma.guillen.1711@gmail.com</t>
  </si>
  <si>
    <t>PORPORATO</t>
  </si>
  <si>
    <t>raporpo@hotmail.com</t>
  </si>
  <si>
    <t xml:space="preserve">Scalzadona </t>
  </si>
  <si>
    <t>julietascalzadona@gmail.com</t>
  </si>
  <si>
    <t xml:space="preserve">Swiss Medical </t>
  </si>
  <si>
    <t>Amparo</t>
  </si>
  <si>
    <t>amparosoriamartinez@gmail.com</t>
  </si>
  <si>
    <t>trekking,escalo,gimnasio</t>
  </si>
  <si>
    <t>Valentinocontreras06@gmail.com</t>
  </si>
  <si>
    <t xml:space="preserve">Lombardi </t>
  </si>
  <si>
    <t>lombardiego.1022@gmail.com</t>
  </si>
  <si>
    <t>Pahl</t>
  </si>
  <si>
    <t>Mouxaut</t>
  </si>
  <si>
    <t>Iñaki</t>
  </si>
  <si>
    <t>inakimuxo@gmail.com</t>
  </si>
  <si>
    <t>Blasco</t>
  </si>
  <si>
    <t>Omar Fernando</t>
  </si>
  <si>
    <t>omarblasco@gmail.com</t>
  </si>
  <si>
    <t xml:space="preserve">Aguade </t>
  </si>
  <si>
    <t>aguadececilia@hotmail.com</t>
  </si>
  <si>
    <t xml:space="preserve">Medife plata </t>
  </si>
  <si>
    <t xml:space="preserve">Ávila </t>
  </si>
  <si>
    <t>Ale</t>
  </si>
  <si>
    <t>Miraflor_19@hotmail.com</t>
  </si>
  <si>
    <t>REINOSO</t>
  </si>
  <si>
    <t xml:space="preserve">Luis Angel </t>
  </si>
  <si>
    <t>ce.reynoso@hotmail.com</t>
  </si>
  <si>
    <t>Colomer</t>
  </si>
  <si>
    <t>javiercolomer02@gmail.com</t>
  </si>
  <si>
    <t>Sport Club de la Gaus</t>
  </si>
  <si>
    <t>Mercado</t>
  </si>
  <si>
    <t>ARMOA</t>
  </si>
  <si>
    <t>Maria Angeles</t>
  </si>
  <si>
    <t>ema_359@hotmail.com</t>
  </si>
  <si>
    <t>Swess Medical</t>
  </si>
  <si>
    <t>Mija</t>
  </si>
  <si>
    <t>matiasamp1@gmail.com</t>
  </si>
  <si>
    <t>ngarcialopez@gmail.com</t>
  </si>
  <si>
    <t>YACUZZI</t>
  </si>
  <si>
    <t xml:space="preserve">Florencia </t>
  </si>
  <si>
    <t>floor.yacuzzi@hotmail.com</t>
  </si>
  <si>
    <t xml:space="preserve">Boxeo </t>
  </si>
  <si>
    <t>Argañaraz Pons</t>
  </si>
  <si>
    <t>Luciano Martín</t>
  </si>
  <si>
    <t>luciano.arganaraz4@gmail.com</t>
  </si>
  <si>
    <t>Padel y caminatas</t>
  </si>
  <si>
    <t>RUFEIL</t>
  </si>
  <si>
    <t>EMILIANO JOSE</t>
  </si>
  <si>
    <t>emiliano_rufeil@hotmail.com</t>
  </si>
  <si>
    <t>Gym Sport</t>
  </si>
  <si>
    <t>Juarez</t>
  </si>
  <si>
    <t xml:space="preserve">Cristina Noemi </t>
  </si>
  <si>
    <t>cristinajuarez12@hotmail.com</t>
  </si>
  <si>
    <t xml:space="preserve">Moyano </t>
  </si>
  <si>
    <t xml:space="preserve">Gonzalo </t>
  </si>
  <si>
    <t>Gonzamoyano@icloud.com</t>
  </si>
  <si>
    <t xml:space="preserve">Diaz </t>
  </si>
  <si>
    <t xml:space="preserve">Belén </t>
  </si>
  <si>
    <t>beludiaz139@gmail.com</t>
  </si>
  <si>
    <t>PARTEMI</t>
  </si>
  <si>
    <t>Mileva</t>
  </si>
  <si>
    <t>ivonplocki@hotmail.com</t>
  </si>
  <si>
    <t>HOCKEY</t>
  </si>
  <si>
    <t>OSSEG plan integral</t>
  </si>
  <si>
    <t>Cecconello</t>
  </si>
  <si>
    <t>francocecconello@hotmail.com</t>
  </si>
  <si>
    <t>Obra social prevención salud</t>
  </si>
  <si>
    <t>Monteverde</t>
  </si>
  <si>
    <t>dmonteverdee@gmail.com</t>
  </si>
  <si>
    <t>Calles</t>
  </si>
  <si>
    <t>brendacalles@hotmail.com</t>
  </si>
  <si>
    <t>Lara Valentina</t>
  </si>
  <si>
    <t>laravalentinamz@gmail.com</t>
  </si>
  <si>
    <t>Damino</t>
  </si>
  <si>
    <t>Verónica</t>
  </si>
  <si>
    <t>mvdamino@gmail.com</t>
  </si>
  <si>
    <t xml:space="preserve">Caminata, trote y pádel </t>
  </si>
  <si>
    <t xml:space="preserve">RASPA </t>
  </si>
  <si>
    <t>Teresa</t>
  </si>
  <si>
    <t>mtereraspa@gmail.com</t>
  </si>
  <si>
    <t>Revol</t>
  </si>
  <si>
    <t>Eugenia</t>
  </si>
  <si>
    <t>euge.revol@outlook.com</t>
  </si>
  <si>
    <t>Basquet + Musculacion</t>
  </si>
  <si>
    <t xml:space="preserve">Guevara Boros </t>
  </si>
  <si>
    <t xml:space="preserve">Andy Exel </t>
  </si>
  <si>
    <t>andyguevarakjt@gmail.com</t>
  </si>
  <si>
    <t xml:space="preserve">Ciclismo </t>
  </si>
  <si>
    <t>HERNANDEZ MORA</t>
  </si>
  <si>
    <t>ASUNCION</t>
  </si>
  <si>
    <t>asunfi63@gmail.com</t>
  </si>
  <si>
    <t>cuando vine al hospital privado, les encontrè</t>
  </si>
  <si>
    <t>facu.torres2609@gmail.com</t>
  </si>
  <si>
    <t>Lucrecia</t>
  </si>
  <si>
    <t>Voy al gym SportClub</t>
  </si>
  <si>
    <t>GERMAN</t>
  </si>
  <si>
    <t>ingfer79@yahoo.com.ar</t>
  </si>
  <si>
    <t>Monetto</t>
  </si>
  <si>
    <t>monettoconstanza@gmail.com</t>
  </si>
  <si>
    <t xml:space="preserve">Mi pareja va al fisio </t>
  </si>
  <si>
    <t>Listoffsky</t>
  </si>
  <si>
    <t>Martina</t>
  </si>
  <si>
    <t>7/15/0204</t>
  </si>
  <si>
    <t>Pulitta</t>
  </si>
  <si>
    <t>Griselda ivana</t>
  </si>
  <si>
    <t>griseldapulitta@gmail.com</t>
  </si>
  <si>
    <t>Frarcedic</t>
  </si>
  <si>
    <t xml:space="preserve">Cravero </t>
  </si>
  <si>
    <t xml:space="preserve">Atilio </t>
  </si>
  <si>
    <t>ATICRAVERO83@GMAIL.COM</t>
  </si>
  <si>
    <t>Blint</t>
  </si>
  <si>
    <t xml:space="preserve">Igor </t>
  </si>
  <si>
    <t>santiagoblint77@gmail.com</t>
  </si>
  <si>
    <t>delgado</t>
  </si>
  <si>
    <t>jakitaontop2007@gamil.com</t>
  </si>
  <si>
    <t>Marchetti</t>
  </si>
  <si>
    <t>Gloria</t>
  </si>
  <si>
    <t xml:space="preserve">Claudia </t>
  </si>
  <si>
    <t>claudialcabrera@hotmail.com</t>
  </si>
  <si>
    <t>M41roberto@mi.unc.edu.ar</t>
  </si>
  <si>
    <t>Karate kyokushin contacto completo</t>
  </si>
  <si>
    <t xml:space="preserve">ELENA </t>
  </si>
  <si>
    <t xml:space="preserve">Vanina Fabiola Josefina </t>
  </si>
  <si>
    <t>martillera.elena@gmail.com</t>
  </si>
  <si>
    <t xml:space="preserve">BECHER  </t>
  </si>
  <si>
    <t xml:space="preserve">Néstor Fabian </t>
  </si>
  <si>
    <t>Luis angel</t>
  </si>
  <si>
    <t>luis_cba.18@hotmail.com</t>
  </si>
  <si>
    <t xml:space="preserve">Karate y gimnasio </t>
  </si>
  <si>
    <t xml:space="preserve">Alexis </t>
  </si>
  <si>
    <t>alexissosa16@gmail.com</t>
  </si>
  <si>
    <t>Zampedri</t>
  </si>
  <si>
    <t>sofii_230@hotmail.com</t>
  </si>
  <si>
    <t>Torres Mazzucchi</t>
  </si>
  <si>
    <t>Maria Elena</t>
  </si>
  <si>
    <t>malenastral@hotmail.com</t>
  </si>
  <si>
    <t>Caminar slgo de gimnasio</t>
  </si>
  <si>
    <t>Pautasso</t>
  </si>
  <si>
    <t>juancitopautasso@gmail.com</t>
  </si>
  <si>
    <t>Voy al sportclub</t>
  </si>
  <si>
    <t>Vazquez</t>
  </si>
  <si>
    <t>vzmarisela@gmail.com</t>
  </si>
  <si>
    <t>Bernabeu</t>
  </si>
  <si>
    <t>Remonda</t>
  </si>
  <si>
    <t>federemonda@gmail.com</t>
  </si>
  <si>
    <t>Villagra</t>
  </si>
  <si>
    <t xml:space="preserve">Argota </t>
  </si>
  <si>
    <t>Luciana@goldenticketviajes.com</t>
  </si>
  <si>
    <t xml:space="preserve">Gimnasia artística </t>
  </si>
  <si>
    <t>Villarroel</t>
  </si>
  <si>
    <t>Atala</t>
  </si>
  <si>
    <t>Maria Jose</t>
  </si>
  <si>
    <t>mariajoseatala@gmail.com</t>
  </si>
  <si>
    <t xml:space="preserve">Recomendaciones </t>
  </si>
  <si>
    <t>Hockey sobre patines maratón en patines</t>
  </si>
  <si>
    <t>Freitez</t>
  </si>
  <si>
    <t>Nili</t>
  </si>
  <si>
    <t>nilifreitez@gmail.com</t>
  </si>
  <si>
    <t>GUTIERREZ</t>
  </si>
  <si>
    <t>ROCIO AILEN</t>
  </si>
  <si>
    <t>rocioailengutierrez@gmail.com</t>
  </si>
  <si>
    <t xml:space="preserve">Albert </t>
  </si>
  <si>
    <t>Carlos Martin</t>
  </si>
  <si>
    <t>tinmar_2008@hotmail.com</t>
  </si>
  <si>
    <t>Pilates y trote</t>
  </si>
  <si>
    <t>Cambronera</t>
  </si>
  <si>
    <t>analauracambronera3075@gmail.com</t>
  </si>
  <si>
    <t>Mantelli</t>
  </si>
  <si>
    <t xml:space="preserve">Juan Francisco </t>
  </si>
  <si>
    <t>mantellijuanjuan@gmail.com</t>
  </si>
  <si>
    <t xml:space="preserve">Coll </t>
  </si>
  <si>
    <t xml:space="preserve">Veronica </t>
  </si>
  <si>
    <t>verocoll9@gmail.com</t>
  </si>
  <si>
    <t>soleferreyra13@hotmail.com</t>
  </si>
  <si>
    <t>Argota</t>
  </si>
  <si>
    <t>Maria Victoria</t>
  </si>
  <si>
    <t>Salvador</t>
  </si>
  <si>
    <t>rominalorenab@hotmail.com</t>
  </si>
  <si>
    <t>PELAEZ</t>
  </si>
  <si>
    <t>VICTOR HORACIO</t>
  </si>
  <si>
    <t>victor22xt@gmail.com</t>
  </si>
  <si>
    <t>Vanegas</t>
  </si>
  <si>
    <t xml:space="preserve">Fabián </t>
  </si>
  <si>
    <t>vanegasmaximo@yahoo.com.ar</t>
  </si>
  <si>
    <t xml:space="preserve">José Hector </t>
  </si>
  <si>
    <t>jos_pep-rod@hotmail.com</t>
  </si>
  <si>
    <t>Acuagym</t>
  </si>
  <si>
    <t>Collomb</t>
  </si>
  <si>
    <t>agucollomb@gmail.com</t>
  </si>
  <si>
    <t>Funcional+Futbol</t>
  </si>
  <si>
    <t>costamagna</t>
  </si>
  <si>
    <t>susana</t>
  </si>
  <si>
    <t xml:space="preserve">BORDINO </t>
  </si>
  <si>
    <t xml:space="preserve">alvarobordino1995@gmail </t>
  </si>
  <si>
    <t xml:space="preserve">ya venía con nosotros </t>
  </si>
  <si>
    <t xml:space="preserve">Jmelnitzky </t>
  </si>
  <si>
    <t>jmelnitzkyf@gmail.com</t>
  </si>
  <si>
    <t xml:space="preserve">Rossetto </t>
  </si>
  <si>
    <t>cecirosst@gmail.com</t>
  </si>
  <si>
    <t>Tpa</t>
  </si>
  <si>
    <t>SUAREZ</t>
  </si>
  <si>
    <t>NOEMI</t>
  </si>
  <si>
    <t>SONIASUA_65@HOTMAIL.COM</t>
  </si>
  <si>
    <t>VELEZ</t>
  </si>
  <si>
    <t xml:space="preserve">Enrique Alberto </t>
  </si>
  <si>
    <t>Enriquealbertovelez3@gmail.com</t>
  </si>
  <si>
    <t xml:space="preserve">Su esposa se atendía con nosotros </t>
  </si>
  <si>
    <t xml:space="preserve">Natación, Tpa </t>
  </si>
  <si>
    <t>CORZO</t>
  </si>
  <si>
    <t xml:space="preserve">Renzo </t>
  </si>
  <si>
    <t xml:space="preserve">ya venia con nosotros </t>
  </si>
  <si>
    <t xml:space="preserve">Beatriz </t>
  </si>
  <si>
    <t>poncequique@hotmail.com</t>
  </si>
  <si>
    <t>Tennis</t>
  </si>
  <si>
    <t>jenimolina964@gmail.com</t>
  </si>
  <si>
    <t>Godoy</t>
  </si>
  <si>
    <t xml:space="preserve">José María </t>
  </si>
  <si>
    <t>josemariagodoy0@gmail.com</t>
  </si>
  <si>
    <t xml:space="preserve">Fantin Quilaleo </t>
  </si>
  <si>
    <t>alebquilaleo@gmail.com</t>
  </si>
  <si>
    <t xml:space="preserve">Gruttadauria </t>
  </si>
  <si>
    <t>Inmomg@gmail.com</t>
  </si>
  <si>
    <t xml:space="preserve">Joaco Villalba </t>
  </si>
  <si>
    <t>mcristinabarrionuevo@hotmail.com</t>
  </si>
  <si>
    <t>Mosca</t>
  </si>
  <si>
    <t>andy_lasmagnolias_@hotmail.com</t>
  </si>
  <si>
    <t>Garis</t>
  </si>
  <si>
    <t xml:space="preserve">Filippo </t>
  </si>
  <si>
    <t>Ivavelardez@gmail.com</t>
  </si>
  <si>
    <t>Hamsa</t>
  </si>
  <si>
    <t>Monzoni</t>
  </si>
  <si>
    <t xml:space="preserve">Valentin </t>
  </si>
  <si>
    <t>Valentinpalacios221@gmail.com</t>
  </si>
  <si>
    <t xml:space="preserve">Boxeo,basquet y gimnasio </t>
  </si>
  <si>
    <t>UNIMED</t>
  </si>
  <si>
    <t>manucalan@gmail.com</t>
  </si>
  <si>
    <t>Oliva Cabrera</t>
  </si>
  <si>
    <t>Maria Sol</t>
  </si>
  <si>
    <t>solcioliva07@gmail.com</t>
  </si>
  <si>
    <t xml:space="preserve">Mathias </t>
  </si>
  <si>
    <t>Mathiaslastra@gmail.com</t>
  </si>
  <si>
    <t>juan_pabloramirez@hotmail.com</t>
  </si>
  <si>
    <t>Carlos Julio</t>
  </si>
  <si>
    <t>Oliva</t>
  </si>
  <si>
    <t>Melina</t>
  </si>
  <si>
    <t>melinasoledadoliva@gmail.com</t>
  </si>
  <si>
    <t>Chanquia</t>
  </si>
  <si>
    <t>Beatriz</t>
  </si>
  <si>
    <t xml:space="preserve">ya nos conocian de antes </t>
  </si>
  <si>
    <t>Rafael</t>
  </si>
  <si>
    <t xml:space="preserve">Sam Sam </t>
  </si>
  <si>
    <t xml:space="preserve">Cristian </t>
  </si>
  <si>
    <t>cristian.samsam@gmail.com</t>
  </si>
  <si>
    <t xml:space="preserve">SORIANO </t>
  </si>
  <si>
    <t xml:space="preserve">NATALIA LORENA </t>
  </si>
  <si>
    <t>docentenaty27@gmail.com</t>
  </si>
  <si>
    <t>Maria Gabriela</t>
  </si>
  <si>
    <t>paragabriela@hotmail.com</t>
  </si>
  <si>
    <t xml:space="preserve">Grassano Nacif </t>
  </si>
  <si>
    <t xml:space="preserve">Giuliana </t>
  </si>
  <si>
    <t>macecilianacif@gmail.com</t>
  </si>
  <si>
    <t xml:space="preserve">Hockey </t>
  </si>
  <si>
    <t>Lesta</t>
  </si>
  <si>
    <t xml:space="preserve">María Ilda del Valle </t>
  </si>
  <si>
    <t>marililesta@gmail.com</t>
  </si>
  <si>
    <t>Tai Chi</t>
  </si>
  <si>
    <t>Nobrega</t>
  </si>
  <si>
    <t xml:space="preserve">Noriega </t>
  </si>
  <si>
    <t xml:space="preserve">José Ariel </t>
  </si>
  <si>
    <t>josarino@hotmail.com</t>
  </si>
  <si>
    <t>Zadiz</t>
  </si>
  <si>
    <t>josefinazadizgmial.com</t>
  </si>
  <si>
    <t>10/9/0005</t>
  </si>
  <si>
    <t xml:space="preserve">Olmos Brillarelli </t>
  </si>
  <si>
    <t>agusolmos66@hotmail.com</t>
  </si>
  <si>
    <t>3515521575</t>
  </si>
  <si>
    <t>AZAR</t>
  </si>
  <si>
    <t>JALIL</t>
  </si>
  <si>
    <t>karinabringas1@gmail.com</t>
  </si>
  <si>
    <t>Canalis</t>
  </si>
  <si>
    <t>Santiago Martin</t>
  </si>
  <si>
    <t>santicanalis20@gmail.com</t>
  </si>
  <si>
    <t>Hidalgo</t>
  </si>
  <si>
    <t>Teo salvador</t>
  </si>
  <si>
    <t>mariohidalgo80@gmail.com</t>
  </si>
  <si>
    <t xml:space="preserve">Ordoñez </t>
  </si>
  <si>
    <t>Yanina.ordonez33@gmail.com</t>
  </si>
  <si>
    <t>herrera</t>
  </si>
  <si>
    <t xml:space="preserve">julian </t>
  </si>
  <si>
    <t>julianherre11@gmail.com</t>
  </si>
  <si>
    <t>padel</t>
  </si>
  <si>
    <t>jc.ledesma556@gmail.com</t>
  </si>
  <si>
    <t>Casella</t>
  </si>
  <si>
    <t>Goria</t>
  </si>
  <si>
    <t>Alejandra Cecilia</t>
  </si>
  <si>
    <t>alegoria.delfi@gmail.com</t>
  </si>
  <si>
    <t>Nélida</t>
  </si>
  <si>
    <t>negraalonso22@gmail.com</t>
  </si>
  <si>
    <t>Picco</t>
  </si>
  <si>
    <t>Gabriel Alejandro</t>
  </si>
  <si>
    <t>gabrielpicco@hotmail.com</t>
  </si>
  <si>
    <t xml:space="preserve">Vittar Alvis </t>
  </si>
  <si>
    <t>Samir</t>
  </si>
  <si>
    <t>Samirvittar44@gmail.com</t>
  </si>
  <si>
    <t xml:space="preserve">Tenis y gimnasio </t>
  </si>
  <si>
    <t>Obieta</t>
  </si>
  <si>
    <t xml:space="preserve">Lombardo </t>
  </si>
  <si>
    <t>jorgelombar@gmail.com</t>
  </si>
  <si>
    <t>Pádel</t>
  </si>
  <si>
    <t>Escuti</t>
  </si>
  <si>
    <t>nicoescuti7@gmail.com</t>
  </si>
  <si>
    <t>Crossfit</t>
  </si>
  <si>
    <t>juanmanurey1971@gmail.com</t>
  </si>
  <si>
    <t>Fausto</t>
  </si>
  <si>
    <t>faustogiannoboli@gmail.com</t>
  </si>
  <si>
    <t>Rugby + Gimnasio</t>
  </si>
  <si>
    <t>Osella</t>
  </si>
  <si>
    <t>Susana Beatriz</t>
  </si>
  <si>
    <t>s-osella@hotmail.com</t>
  </si>
  <si>
    <t>Pilates y Camino dos o tres veces p/semana</t>
  </si>
  <si>
    <t xml:space="preserve">Pablo Osvaldo </t>
  </si>
  <si>
    <t>pablomartinez8214@gmail.com</t>
  </si>
  <si>
    <t>barrionuevo</t>
  </si>
  <si>
    <t>evangelina ruth</t>
  </si>
  <si>
    <t>evis7814@gmail.com</t>
  </si>
  <si>
    <t xml:space="preserve">Lopez </t>
  </si>
  <si>
    <t>cr_glopez@hotmail.com</t>
  </si>
  <si>
    <t>natalialvarez726@gmail.com</t>
  </si>
  <si>
    <t>Buzzetti</t>
  </si>
  <si>
    <t>reginabuzzetti@gmail.com</t>
  </si>
  <si>
    <t>Bertino</t>
  </si>
  <si>
    <t xml:space="preserve">aabertino23@gmail.com </t>
  </si>
  <si>
    <t>Caminatas</t>
  </si>
  <si>
    <t>Castellano</t>
  </si>
  <si>
    <t>Baseball</t>
  </si>
  <si>
    <t xml:space="preserve">Velardez </t>
  </si>
  <si>
    <t>Ivana del valle</t>
  </si>
  <si>
    <t>Okelly</t>
  </si>
  <si>
    <t>raulokelly@hotmail.com</t>
  </si>
  <si>
    <t xml:space="preserve">Caminata </t>
  </si>
  <si>
    <t>Scalia</t>
  </si>
  <si>
    <t>Lilian</t>
  </si>
  <si>
    <t>elizabethlilian@hotmail.com</t>
  </si>
  <si>
    <t>yoga y gimnasio</t>
  </si>
  <si>
    <t xml:space="preserve">Llorens </t>
  </si>
  <si>
    <t xml:space="preserve">Beretta </t>
  </si>
  <si>
    <t>Rezzonico</t>
  </si>
  <si>
    <t>Gimnasio+Futbol+Padel</t>
  </si>
  <si>
    <t>Virgolini</t>
  </si>
  <si>
    <t>tetelovirgolini@homtail.com</t>
  </si>
  <si>
    <t>Lenzina</t>
  </si>
  <si>
    <t>lulenzina@gmail.com</t>
  </si>
  <si>
    <t>Amalia Beatriz</t>
  </si>
  <si>
    <t>amalbeat.fg@gmail.com</t>
  </si>
  <si>
    <t>Aqua gym</t>
  </si>
  <si>
    <t>Edelstein</t>
  </si>
  <si>
    <t>Josefinaedelstein@gmail.com</t>
  </si>
  <si>
    <t>Tula</t>
  </si>
  <si>
    <t>Pablo Alejandro</t>
  </si>
  <si>
    <t>Pablo.cpl.94@gmail.com</t>
  </si>
  <si>
    <t>Peralta Carranza</t>
  </si>
  <si>
    <t>Aixa Huilen</t>
  </si>
  <si>
    <t>huilen2345@gmail.com</t>
  </si>
  <si>
    <t>Verdu</t>
  </si>
  <si>
    <t>susanaverdu@gmail,com</t>
  </si>
  <si>
    <t>pilates y gym</t>
  </si>
  <si>
    <t xml:space="preserve">BEPRE </t>
  </si>
  <si>
    <t>Diabetesdiabetes2013@yahoo.com.ar</t>
  </si>
  <si>
    <t>Caja notarial</t>
  </si>
  <si>
    <t>BERETTA</t>
  </si>
  <si>
    <t>ALEJANDRO</t>
  </si>
  <si>
    <t xml:space="preserve">julisantotomas@gmail.com </t>
  </si>
  <si>
    <t>pardo.agustin94@gmail.com</t>
  </si>
  <si>
    <t>lautaroirisarri2006@gmail.com</t>
  </si>
  <si>
    <t>Futbol+Gimnasio</t>
  </si>
  <si>
    <t>Mayco</t>
  </si>
  <si>
    <t>maycomaylin@gmail.com</t>
  </si>
  <si>
    <t>sergiofrancile@yahoo.com.ar</t>
  </si>
  <si>
    <t>nanobonaldi@hotmail.com</t>
  </si>
  <si>
    <t>boxeo</t>
  </si>
  <si>
    <t>Caudana</t>
  </si>
  <si>
    <t>valentincaudana19@gmail.com</t>
  </si>
  <si>
    <t xml:space="preserve">Juárez </t>
  </si>
  <si>
    <t>matiasgjmatias@gmail.com</t>
  </si>
  <si>
    <t xml:space="preserve">Jacqueline Marisol </t>
  </si>
  <si>
    <t>jacquesz176@gmail.com</t>
  </si>
  <si>
    <t xml:space="preserve">Parmentier </t>
  </si>
  <si>
    <t>claudiaparmentier2@gmail.com</t>
  </si>
  <si>
    <t xml:space="preserve">Cesar </t>
  </si>
  <si>
    <t>Tejo</t>
  </si>
  <si>
    <t>mermalbran@hotmail.com</t>
  </si>
  <si>
    <t>Toledo</t>
  </si>
  <si>
    <t xml:space="preserve">Brenda Alexandra </t>
  </si>
  <si>
    <t>alexandratoledook@gmail.com</t>
  </si>
  <si>
    <t>Demarco</t>
  </si>
  <si>
    <t>pablodemarco1986@hotmail.com</t>
  </si>
  <si>
    <t>Maldonado</t>
  </si>
  <si>
    <t>Luli</t>
  </si>
  <si>
    <t>florencialulymaldo@gmail.com</t>
  </si>
  <si>
    <t>Gimnasio + Running</t>
  </si>
  <si>
    <t>LEMA</t>
  </si>
  <si>
    <t xml:space="preserve">Juan Pedro </t>
  </si>
  <si>
    <t>jplema2009@gmail.com</t>
  </si>
  <si>
    <t>OCEC</t>
  </si>
  <si>
    <t xml:space="preserve">Tissera olivera </t>
  </si>
  <si>
    <t>Sitera1414@gmail.com</t>
  </si>
  <si>
    <t>Frangi</t>
  </si>
  <si>
    <t>Sol Maria</t>
  </si>
  <si>
    <t>solfrangi@hotmail.com</t>
  </si>
  <si>
    <t>tomasferreyra93@gmail.com</t>
  </si>
  <si>
    <t>BMX</t>
  </si>
  <si>
    <t>BRIZIO</t>
  </si>
  <si>
    <t>MARCELO</t>
  </si>
  <si>
    <t>mbrizio2005@yahoo.com.ar</t>
  </si>
  <si>
    <t>Rally</t>
  </si>
  <si>
    <t>THEAUX</t>
  </si>
  <si>
    <t>jn.theaux@gmail.com</t>
  </si>
  <si>
    <t xml:space="preserve">Maldonado </t>
  </si>
  <si>
    <t>Mateomald1010@gmail.com</t>
  </si>
  <si>
    <t>Calvet</t>
  </si>
  <si>
    <t>marielcalvet@gmail.com</t>
  </si>
  <si>
    <t xml:space="preserve">Pedroni </t>
  </si>
  <si>
    <t>jppedroni@gmail.com</t>
  </si>
  <si>
    <t>pabloluque0612@gmail.com</t>
  </si>
  <si>
    <t>DANCIGER</t>
  </si>
  <si>
    <t>CARLOS</t>
  </si>
  <si>
    <t>ced3928@yahoo.com.ar</t>
  </si>
  <si>
    <t>Bicicleta</t>
  </si>
  <si>
    <t>AGUSTIN</t>
  </si>
  <si>
    <t>Cassinerio</t>
  </si>
  <si>
    <t>Bici+ Ejercicios</t>
  </si>
  <si>
    <t>ROMERO</t>
  </si>
  <si>
    <t>Hector Fabian</t>
  </si>
  <si>
    <t>197909zzaa@gmail.com</t>
  </si>
  <si>
    <t>Enduro</t>
  </si>
  <si>
    <t>Lara Paz</t>
  </si>
  <si>
    <t>larapazcarignano33@gmail.com</t>
  </si>
  <si>
    <t>Cuffia</t>
  </si>
  <si>
    <t xml:space="preserve">Golf+entrenamiento </t>
  </si>
  <si>
    <t xml:space="preserve">SCARAFIA </t>
  </si>
  <si>
    <t xml:space="preserve">JUAN MANUEL </t>
  </si>
  <si>
    <t>jmscarafia81@gmail.com</t>
  </si>
  <si>
    <t>Curtó</t>
  </si>
  <si>
    <t xml:space="preserve">Berenice </t>
  </si>
  <si>
    <t>berenicecurto@gmail.com</t>
  </si>
  <si>
    <t xml:space="preserve">Caminata, trote </t>
  </si>
  <si>
    <t>CASTAÑEDA</t>
  </si>
  <si>
    <t xml:space="preserve">FRANCISCO </t>
  </si>
  <si>
    <t>fbercelone@gmail.com</t>
  </si>
  <si>
    <t>Jenifer Estefania</t>
  </si>
  <si>
    <t>jenifermolina390@gmail.com</t>
  </si>
  <si>
    <t>Trabajo en sportclub</t>
  </si>
  <si>
    <t>Bock</t>
  </si>
  <si>
    <t>Ezequielbock@hotmail.com</t>
  </si>
  <si>
    <t>Graffi</t>
  </si>
  <si>
    <t xml:space="preserve">Daniel </t>
  </si>
  <si>
    <t>Danielgraffi@hotmail.com</t>
  </si>
  <si>
    <t>Bravo</t>
  </si>
  <si>
    <t>santiagobravo1983@gmail.com</t>
  </si>
  <si>
    <t>Gimnasio+padel</t>
  </si>
  <si>
    <t xml:space="preserve">MORENO </t>
  </si>
  <si>
    <t xml:space="preserve">JAVIER </t>
  </si>
  <si>
    <t>umayuriel@gmail.com</t>
  </si>
  <si>
    <t>Baudino</t>
  </si>
  <si>
    <t>ceci_baudino@hotmail.com</t>
  </si>
  <si>
    <t>Ejercicio de fuerza+bici+yoga</t>
  </si>
  <si>
    <t>gerardogonzalez_cba@hotmail.com</t>
  </si>
  <si>
    <t>caja de abogados</t>
  </si>
  <si>
    <t>Sliva</t>
  </si>
  <si>
    <t>Betina</t>
  </si>
  <si>
    <t>betinasliva@hotmail.com</t>
  </si>
  <si>
    <t>Entrenamiento+Padel</t>
  </si>
  <si>
    <t>Scherman</t>
  </si>
  <si>
    <t>crscherman@gmail.com</t>
  </si>
  <si>
    <t>franhuespe@gmail.com</t>
  </si>
  <si>
    <t>Crossfit/padel</t>
  </si>
  <si>
    <t xml:space="preserve">Arguello </t>
  </si>
  <si>
    <t xml:space="preserve">Iván </t>
  </si>
  <si>
    <t>arguelloivan022@gmail.com</t>
  </si>
  <si>
    <t>Petri</t>
  </si>
  <si>
    <t>facundopetri@gmail.com</t>
  </si>
  <si>
    <t>Raquellascano78@gmail.com</t>
  </si>
  <si>
    <t>STEFANOV</t>
  </si>
  <si>
    <t xml:space="preserve">MARTA MARÍA </t>
  </si>
  <si>
    <t>stefanovmarta@live.com.ar</t>
  </si>
  <si>
    <t>OSPE</t>
  </si>
  <si>
    <t>Armoa</t>
  </si>
  <si>
    <t>jorge omar</t>
  </si>
  <si>
    <t>jorgeoarmoa@gmail.com</t>
  </si>
  <si>
    <t xml:space="preserve">Santa Engracia </t>
  </si>
  <si>
    <t>Gala Sol</t>
  </si>
  <si>
    <t>abgalasantae@gmail.com</t>
  </si>
  <si>
    <t>Zamar</t>
  </si>
  <si>
    <t>Agustín</t>
  </si>
  <si>
    <t>squash</t>
  </si>
  <si>
    <t>Cravero</t>
  </si>
  <si>
    <t>Bautista Ignacio</t>
  </si>
  <si>
    <t>bauticra7@gmail.com</t>
  </si>
  <si>
    <t>Ortega</t>
  </si>
  <si>
    <t>dv.ortega98@gmail.com</t>
  </si>
  <si>
    <t>Videla</t>
  </si>
  <si>
    <t>videlasofi3@gmail.com</t>
  </si>
  <si>
    <t xml:space="preserve">Ciaravino </t>
  </si>
  <si>
    <t>maxiciaravino@gmail.com</t>
  </si>
  <si>
    <t>Ladu</t>
  </si>
  <si>
    <t>Hernan Alejandro</t>
  </si>
  <si>
    <t>hernanalladu@gmail.com</t>
  </si>
  <si>
    <t xml:space="preserve">Vaschetti </t>
  </si>
  <si>
    <t xml:space="preserve">Mariano </t>
  </si>
  <si>
    <t>Linares</t>
  </si>
  <si>
    <t>gonzalito270665@gmail.com</t>
  </si>
  <si>
    <t>adrianacalderon711@gmail.com</t>
  </si>
  <si>
    <t>leiva</t>
  </si>
  <si>
    <t>agostina</t>
  </si>
  <si>
    <t>agos.leiva98@gmail.com</t>
  </si>
  <si>
    <t>Cáceres Angeletti</t>
  </si>
  <si>
    <t xml:space="preserve">Maria Belen </t>
  </si>
  <si>
    <t>mbcaceres07@gmail.com</t>
  </si>
  <si>
    <t>lautaro.lr.lr@gmail.com</t>
  </si>
  <si>
    <t>SportClub</t>
  </si>
  <si>
    <t>Gimnasio + Jockey</t>
  </si>
  <si>
    <t>Info@mebisa.com.ar</t>
  </si>
  <si>
    <t>Neder</t>
  </si>
  <si>
    <t>julianneder@gmail.com</t>
  </si>
  <si>
    <t>Lima</t>
  </si>
  <si>
    <t>Osvaldo Fabián</t>
  </si>
  <si>
    <t>limafab@yahoo.com.ar</t>
  </si>
  <si>
    <t xml:space="preserve">Ruiz Diaz </t>
  </si>
  <si>
    <t xml:space="preserve">Leonardo Emanuel </t>
  </si>
  <si>
    <t xml:space="preserve">Leonardoruiz@upc.edu.ar </t>
  </si>
  <si>
    <t>Roganti</t>
  </si>
  <si>
    <t>l_roganti@hotmail.com</t>
  </si>
  <si>
    <t>Gimnasio y TPA</t>
  </si>
  <si>
    <t>Fede.luna1988@gmail.com</t>
  </si>
  <si>
    <t>Básquet y Running</t>
  </si>
  <si>
    <t>FERRARIS</t>
  </si>
  <si>
    <t xml:space="preserve">Ainelén </t>
  </si>
  <si>
    <t>ferrarisainelen@gmail.com</t>
  </si>
  <si>
    <t>Guaditaoth@hotmail.com</t>
  </si>
  <si>
    <t>FILI</t>
  </si>
  <si>
    <t>florfili@gmail.com</t>
  </si>
  <si>
    <t>GIUSTO</t>
  </si>
  <si>
    <t>anamariagiusto3@gmail.com</t>
  </si>
  <si>
    <t>Nacul</t>
  </si>
  <si>
    <t>launacul@hotmail.com</t>
  </si>
  <si>
    <t xml:space="preserve">Dora Mercedes </t>
  </si>
  <si>
    <t>Profedoramoreno@gmail.com</t>
  </si>
  <si>
    <t>Tuero</t>
  </si>
  <si>
    <t>María Marcela</t>
  </si>
  <si>
    <t>Marcela.tuero@hotmail.com</t>
  </si>
  <si>
    <t>Valentini</t>
  </si>
  <si>
    <t>Conrado</t>
  </si>
  <si>
    <t>Conradovalentini41@gmail.com</t>
  </si>
  <si>
    <t xml:space="preserve">Lescano </t>
  </si>
  <si>
    <t>Santiflescano@gmail.com</t>
  </si>
  <si>
    <t xml:space="preserve">Cadima </t>
  </si>
  <si>
    <t xml:space="preserve">Nicolas Gabriel </t>
  </si>
  <si>
    <t>nc8901265@gmail.com</t>
  </si>
  <si>
    <t xml:space="preserve">Pavese </t>
  </si>
  <si>
    <t xml:space="preserve">Noelia Edith </t>
  </si>
  <si>
    <t>Noeliapavese@gmail.com</t>
  </si>
  <si>
    <t>Ciclismo/ caminanta</t>
  </si>
  <si>
    <t>bonino</t>
  </si>
  <si>
    <t>rsabonino@gmail.com</t>
  </si>
  <si>
    <t>Newcon</t>
  </si>
  <si>
    <t>apm</t>
  </si>
  <si>
    <t>Das Biaggio</t>
  </si>
  <si>
    <t xml:space="preserve">Facundo julian </t>
  </si>
  <si>
    <t>Dasbiaggiofac@gmail.com</t>
  </si>
  <si>
    <t>Ciclismo</t>
  </si>
  <si>
    <t>valentina.giannoboli@gmail.com</t>
  </si>
  <si>
    <t>Lira</t>
  </si>
  <si>
    <t>Aaron</t>
  </si>
  <si>
    <t>Aaronlira099@gmail.com</t>
  </si>
  <si>
    <t>Masco</t>
  </si>
  <si>
    <t>luismasco@gmail.com</t>
  </si>
  <si>
    <t>FUI AL GYM GAUSS</t>
  </si>
  <si>
    <t>SWISS MEDICAL SMG20 GLOBAL</t>
  </si>
  <si>
    <t>Vera</t>
  </si>
  <si>
    <t xml:space="preserve">Miryam Dominga </t>
  </si>
  <si>
    <t xml:space="preserve">PAMI </t>
  </si>
  <si>
    <t>Kaskin</t>
  </si>
  <si>
    <t>Benjamon</t>
  </si>
  <si>
    <t>benjaminklaskin@gmail.com</t>
  </si>
  <si>
    <t xml:space="preserve">Zuleta </t>
  </si>
  <si>
    <t xml:space="preserve">Diego Sebastián </t>
  </si>
  <si>
    <t>Belen</t>
  </si>
  <si>
    <t>belencastellanoolcese@gmail.com</t>
  </si>
  <si>
    <t>Castellaro</t>
  </si>
  <si>
    <t>Italo Gustavo</t>
  </si>
  <si>
    <t>gustavocastellaro@gmail,com</t>
  </si>
  <si>
    <t xml:space="preserve">tenis, peregrinacion, gym </t>
  </si>
  <si>
    <t>rodritorres2006@gmail.com</t>
  </si>
  <si>
    <t xml:space="preserve">Ceballos </t>
  </si>
  <si>
    <t xml:space="preserve">Repetti </t>
  </si>
  <si>
    <t xml:space="preserve">Uma </t>
  </si>
  <si>
    <t>urepetti50@gmail.com</t>
  </si>
  <si>
    <t xml:space="preserve">Natación de alto rendimiento </t>
  </si>
  <si>
    <t>Camposmartina85@gmail.com</t>
  </si>
  <si>
    <t>RAMOS LARA</t>
  </si>
  <si>
    <t>LAURA MARGARITA</t>
  </si>
  <si>
    <t>TRECEDESEPTIEMBRE@GMAIL.COM</t>
  </si>
  <si>
    <t>9/18/0060</t>
  </si>
  <si>
    <t>Varela</t>
  </si>
  <si>
    <t xml:space="preserve">Ethel </t>
  </si>
  <si>
    <t>Ethelvarela@hotmail.com</t>
  </si>
  <si>
    <t>Tai chi</t>
  </si>
  <si>
    <t>Lazo</t>
  </si>
  <si>
    <t>adrilazo31@gmail.com</t>
  </si>
  <si>
    <t>GRAZIANI</t>
  </si>
  <si>
    <t>matigraziani1997@gmail.com</t>
  </si>
  <si>
    <t>Grenon</t>
  </si>
  <si>
    <t>Uma</t>
  </si>
  <si>
    <t>Grenonuma123@gmail.com</t>
  </si>
  <si>
    <t xml:space="preserve">San roman </t>
  </si>
  <si>
    <t xml:space="preserve">Maria elena </t>
  </si>
  <si>
    <t>esanroman69@hotmail.com</t>
  </si>
  <si>
    <t>Delera</t>
  </si>
  <si>
    <t>agudelera@gmail.com</t>
  </si>
  <si>
    <t>brockoshark28@gmail.com</t>
  </si>
  <si>
    <t>Artes marciales mixtas y gimnasio</t>
  </si>
  <si>
    <t>gonzalezguada32@gmail.com</t>
  </si>
  <si>
    <t>jcarrizo76@gmail.com</t>
  </si>
  <si>
    <t>ramirez</t>
  </si>
  <si>
    <t xml:space="preserve">franco </t>
  </si>
  <si>
    <t>brockoshark20@gamil.com</t>
  </si>
  <si>
    <t>mma</t>
  </si>
  <si>
    <t>OVIEDO</t>
  </si>
  <si>
    <t>oviedo.guille@gmail.com</t>
  </si>
  <si>
    <t>Ugarte</t>
  </si>
  <si>
    <t>ugartejuanmanuel@hotmail.com</t>
  </si>
  <si>
    <t>Leyba</t>
  </si>
  <si>
    <t>Pauleyba@hotmail.com</t>
  </si>
  <si>
    <t>Cortizo</t>
  </si>
  <si>
    <t>Felipe</t>
  </si>
  <si>
    <t>fcortizo2006@gmail.com</t>
  </si>
  <si>
    <t xml:space="preserve">Omint </t>
  </si>
  <si>
    <t>Loyacono</t>
  </si>
  <si>
    <t>marianoloyacono@gmail.com</t>
  </si>
  <si>
    <t>Diee.albaa@hotmail.com</t>
  </si>
  <si>
    <t>Garella</t>
  </si>
  <si>
    <t>Irma</t>
  </si>
  <si>
    <t xml:space="preserve">Flavio Raúl </t>
  </si>
  <si>
    <t>flaviognc@hotmail.com</t>
  </si>
  <si>
    <t xml:space="preserve">Iba al manantial </t>
  </si>
  <si>
    <t xml:space="preserve">Caminata en cinta </t>
  </si>
  <si>
    <t>hantonella952@gmail.com</t>
  </si>
  <si>
    <t>SCOPPA</t>
  </si>
  <si>
    <t>JUAN MANUEL</t>
  </si>
  <si>
    <t>jms.agent@gmail.com</t>
  </si>
  <si>
    <t>PADEL Y GYM MUY POCO</t>
  </si>
  <si>
    <t>FEDERADA SALUD PLAN 2000</t>
  </si>
  <si>
    <t>paulina</t>
  </si>
  <si>
    <t>paulinaramirez1407@gmail.com</t>
  </si>
  <si>
    <t>Misael Alejandro</t>
  </si>
  <si>
    <t>misaelmaidana05@gmail.com</t>
  </si>
  <si>
    <t>natacion</t>
  </si>
  <si>
    <t xml:space="preserve">Marchisio </t>
  </si>
  <si>
    <t xml:space="preserve">Cristina </t>
  </si>
  <si>
    <t>cristinamarchisio5@gmail.com</t>
  </si>
  <si>
    <t>Aguayin</t>
  </si>
  <si>
    <t>CHAIJ</t>
  </si>
  <si>
    <t>JORGE ADRIAN</t>
  </si>
  <si>
    <t>adrian.chaij@gmail.com</t>
  </si>
  <si>
    <t>NATACION</t>
  </si>
  <si>
    <t>Mottura</t>
  </si>
  <si>
    <t>vmottura@gmail.com</t>
  </si>
  <si>
    <t>Padel+Tenis+Crossfit</t>
  </si>
  <si>
    <t>Oberto</t>
  </si>
  <si>
    <t>Fede</t>
  </si>
  <si>
    <t>foberto86@gmail.com</t>
  </si>
  <si>
    <t>Leonel</t>
  </si>
  <si>
    <t>dleodiaz9@gmail.com</t>
  </si>
  <si>
    <t>Contanza</t>
  </si>
  <si>
    <t>paolamoli28@gmail.com</t>
  </si>
  <si>
    <t>Roure</t>
  </si>
  <si>
    <t>Cesar</t>
  </si>
  <si>
    <t xml:space="preserve">villareal </t>
  </si>
  <si>
    <t xml:space="preserve">nicolas </t>
  </si>
  <si>
    <t>nicolasvillarealcrc@gmail.com</t>
  </si>
  <si>
    <t xml:space="preserve">Juega al rugby en CRC </t>
  </si>
  <si>
    <t>Amaya</t>
  </si>
  <si>
    <t>amayajavier@hotmail.com</t>
  </si>
  <si>
    <t>Jurczyszyn</t>
  </si>
  <si>
    <t>Tomas Agustin</t>
  </si>
  <si>
    <t>tomas.jurczyszyn@gmail.com</t>
  </si>
  <si>
    <t xml:space="preserve">Natacion </t>
  </si>
  <si>
    <t>Sara</t>
  </si>
  <si>
    <t>Mirta Agustina</t>
  </si>
  <si>
    <t>laura.contreras.sara@gmail.com</t>
  </si>
  <si>
    <t xml:space="preserve">FIGUEROA </t>
  </si>
  <si>
    <t xml:space="preserve">Celina </t>
  </si>
  <si>
    <t>celi6044@gmail.com</t>
  </si>
  <si>
    <t>Vanina</t>
  </si>
  <si>
    <t>Profevaninaacosta@gmail.com</t>
  </si>
  <si>
    <t xml:space="preserve">MAIDANA </t>
  </si>
  <si>
    <t xml:space="preserve">CECILIA INÉS </t>
  </si>
  <si>
    <t>cecimaidana@hotmail.com</t>
  </si>
  <si>
    <t>Union Personal</t>
  </si>
  <si>
    <t xml:space="preserve">Bartolini </t>
  </si>
  <si>
    <t xml:space="preserve">Daniela Alejandra </t>
  </si>
  <si>
    <t>dbartolini45@gmail.com</t>
  </si>
  <si>
    <t xml:space="preserve">Perez </t>
  </si>
  <si>
    <t xml:space="preserve">Walter </t>
  </si>
  <si>
    <t>walter1809perez@gmail.com</t>
  </si>
  <si>
    <t xml:space="preserve">natación y yoga </t>
  </si>
  <si>
    <t>Bonayuti</t>
  </si>
  <si>
    <t>florencia.bonayuti@gmail.com</t>
  </si>
  <si>
    <t>Padel+ Gimnasio</t>
  </si>
  <si>
    <t>Sam Sam</t>
  </si>
  <si>
    <t>samsamgalera1@gmail.com</t>
  </si>
  <si>
    <t>tankelopezcab@gmail.com</t>
  </si>
  <si>
    <t>dalpino</t>
  </si>
  <si>
    <t>rocio</t>
  </si>
  <si>
    <t>rociodalpino@gmail.com</t>
  </si>
  <si>
    <t>Alcalde</t>
  </si>
  <si>
    <t>Mariana Andrea</t>
  </si>
  <si>
    <t>mariana_alcalde@yahoo.com.ar</t>
  </si>
  <si>
    <t xml:space="preserve">Cordova </t>
  </si>
  <si>
    <t xml:space="preserve">Manuel Alberto </t>
  </si>
  <si>
    <t>Betocordova@hotmail.com</t>
  </si>
  <si>
    <t>florencia.rod05@gmail.com</t>
  </si>
  <si>
    <t xml:space="preserve">Fenoglio </t>
  </si>
  <si>
    <t>Jesica Muriel</t>
  </si>
  <si>
    <t>Jesicafenoglio@gmail.com</t>
  </si>
  <si>
    <t>Schroeder</t>
  </si>
  <si>
    <t>Valeria</t>
  </si>
  <si>
    <t>valita55ar@yahoo.com.ar</t>
  </si>
  <si>
    <t>Madoery</t>
  </si>
  <si>
    <t>frmaldovery@gmail.com</t>
  </si>
  <si>
    <t>Dr Pedraza ITC</t>
  </si>
  <si>
    <t>BAZAN</t>
  </si>
  <si>
    <t>ottavianimarce@gmail.com</t>
  </si>
  <si>
    <t>Olguin</t>
  </si>
  <si>
    <t>rolguings08@hotmail.com</t>
  </si>
  <si>
    <t>García Aresca</t>
  </si>
  <si>
    <t>Juliana</t>
  </si>
  <si>
    <t>mjuliana8@hotmail.com</t>
  </si>
  <si>
    <t>tomass.racca@gmail.com</t>
  </si>
  <si>
    <t xml:space="preserve">Villalba </t>
  </si>
  <si>
    <t xml:space="preserve">Aida Hortensia </t>
  </si>
  <si>
    <t>mararitavelazquez@gmail.com</t>
  </si>
  <si>
    <t>Villalba</t>
  </si>
  <si>
    <t>Aida Hortensia</t>
  </si>
  <si>
    <t>darobravi@gmail.com</t>
  </si>
  <si>
    <t>Rmlascano@gmail.com</t>
  </si>
  <si>
    <t xml:space="preserve">Sandra </t>
  </si>
  <si>
    <t>Sandrapalacios2009@hotmail.com</t>
  </si>
  <si>
    <t>Aquagym</t>
  </si>
  <si>
    <t>Fantini</t>
  </si>
  <si>
    <t xml:space="preserve">Joaquin </t>
  </si>
  <si>
    <t>tinfantini@gmail.com</t>
  </si>
  <si>
    <t xml:space="preserve">Puricelli </t>
  </si>
  <si>
    <t xml:space="preserve">Cesar Ivan </t>
  </si>
  <si>
    <t>pypdesinfecciones@gmail.com</t>
  </si>
  <si>
    <t>ALZATE</t>
  </si>
  <si>
    <t>DANGELO</t>
  </si>
  <si>
    <t>Peter</t>
  </si>
  <si>
    <t>peter.dangelo0@gmail.com</t>
  </si>
  <si>
    <t>MASINI</t>
  </si>
  <si>
    <t>osvaldomasini@gmail..com</t>
  </si>
  <si>
    <t>TPA+Natacion</t>
  </si>
  <si>
    <t>Vives Llompart</t>
  </si>
  <si>
    <t>lumall@hotmail.com</t>
  </si>
  <si>
    <t>CURELLICH</t>
  </si>
  <si>
    <t>CRISTIAN IVAN</t>
  </si>
  <si>
    <t>cristiancurellich@gmail.com</t>
  </si>
  <si>
    <t>swiss medical por reintegro</t>
  </si>
  <si>
    <t>PAEZ</t>
  </si>
  <si>
    <t>Blanca Nieve</t>
  </si>
  <si>
    <t>blancarosapaez@hotmail.com</t>
  </si>
  <si>
    <t>Falon</t>
  </si>
  <si>
    <t>Luisa</t>
  </si>
  <si>
    <t>lizzyfalon09@gmail.com</t>
  </si>
  <si>
    <t>mauriciotapiagm@gmail.com</t>
  </si>
  <si>
    <t>Gimnasio y Futbol</t>
  </si>
  <si>
    <t>guillermo.arraya@gmail.com</t>
  </si>
  <si>
    <t>kellerban</t>
  </si>
  <si>
    <t>Guillermo Jose</t>
  </si>
  <si>
    <t>ludemmel@gmail.com</t>
  </si>
  <si>
    <t>Gimasio y rugby</t>
  </si>
  <si>
    <t>Casas Pavon</t>
  </si>
  <si>
    <t>Martin Miguel</t>
  </si>
  <si>
    <t>Martincasas399@gmail.com</t>
  </si>
  <si>
    <t>Pupiguzman4@gmail.com</t>
  </si>
  <si>
    <t>luchooliva.04@gmail.com</t>
  </si>
  <si>
    <t>Francesca</t>
  </si>
  <si>
    <t>yaninasaldivarrossetto@gmail.com</t>
  </si>
  <si>
    <t>Francisco Joaquin</t>
  </si>
  <si>
    <t>joaquidepaul@gmail.com</t>
  </si>
  <si>
    <t>Tenis+Gimnasio</t>
  </si>
  <si>
    <t>Omalley</t>
  </si>
  <si>
    <t>Mick</t>
  </si>
  <si>
    <t>Omalleymick6363@gmail.com</t>
  </si>
  <si>
    <t>PB46743</t>
  </si>
  <si>
    <t xml:space="preserve">López </t>
  </si>
  <si>
    <t>2017lopezsandra@gmail.com</t>
  </si>
  <si>
    <t>6/8/0065</t>
  </si>
  <si>
    <t xml:space="preserve">WERNER </t>
  </si>
  <si>
    <t>alejandromarianowerner@gmail.com</t>
  </si>
  <si>
    <t>tenis, gimnasio</t>
  </si>
  <si>
    <t>Frias</t>
  </si>
  <si>
    <t>jorgeluisfrias@gmail.com</t>
  </si>
  <si>
    <t>Flores Perazzone</t>
  </si>
  <si>
    <t>Valeria Alejandra</t>
  </si>
  <si>
    <t>valeriafperazzone@gmail.com</t>
  </si>
  <si>
    <t xml:space="preserve">Roque </t>
  </si>
  <si>
    <t>roquetenis@gmail.com</t>
  </si>
  <si>
    <t xml:space="preserve"> Amigo</t>
  </si>
  <si>
    <t xml:space="preserve">Santucho </t>
  </si>
  <si>
    <t>maximilianosantucho229@gmail.com</t>
  </si>
  <si>
    <t>Frankel</t>
  </si>
  <si>
    <t>Marco Dolv</t>
  </si>
  <si>
    <t>Pace</t>
  </si>
  <si>
    <t>Maria florencia</t>
  </si>
  <si>
    <t>Paceflorencia.lic@gmail.com</t>
  </si>
  <si>
    <t>Vilte</t>
  </si>
  <si>
    <t>Isidora</t>
  </si>
  <si>
    <t>britos.macarena1994@gmail.com</t>
  </si>
  <si>
    <t>Berra</t>
  </si>
  <si>
    <t>gabriel</t>
  </si>
  <si>
    <t xml:space="preserve">Piacenza </t>
  </si>
  <si>
    <t>Piacenzagastonhugo@gmail.com</t>
  </si>
  <si>
    <t>Ramires</t>
  </si>
  <si>
    <t>camirmoreno5@gmail.com</t>
  </si>
  <si>
    <t>Jose Francisco</t>
  </si>
  <si>
    <t>joseiacc21@hotmail.com</t>
  </si>
  <si>
    <t xml:space="preserve">María Cristina </t>
  </si>
  <si>
    <t>mcristina.cordoba48@gmail.com</t>
  </si>
  <si>
    <t>parra</t>
  </si>
  <si>
    <t>mauricio german</t>
  </si>
  <si>
    <t>mauriciooparra40@gmail.com</t>
  </si>
  <si>
    <t>TORRES</t>
  </si>
  <si>
    <t>lucianamolina1990@gmail.com</t>
  </si>
  <si>
    <t>Futbol y pilates</t>
  </si>
  <si>
    <t>Masini</t>
  </si>
  <si>
    <t>VEGA, BALAT</t>
  </si>
  <si>
    <t xml:space="preserve">Leticia </t>
  </si>
  <si>
    <t>Lety1818@hotmail.com</t>
  </si>
  <si>
    <t>ROLOTTI</t>
  </si>
  <si>
    <t>TRINIDAD</t>
  </si>
  <si>
    <t>rolottitrinidad@gmail.com</t>
  </si>
  <si>
    <t>Roberts</t>
  </si>
  <si>
    <t>Andrea monica</t>
  </si>
  <si>
    <t>andreamroberts28@gmail.com</t>
  </si>
  <si>
    <t xml:space="preserve">Jaime </t>
  </si>
  <si>
    <t>Fidel Adolfo</t>
  </si>
  <si>
    <t>filijaime42@gmail.com</t>
  </si>
  <si>
    <t>PALACIOS</t>
  </si>
  <si>
    <t xml:space="preserve">anapaulapalacios17@gmail.com </t>
  </si>
  <si>
    <t xml:space="preserve">pilates </t>
  </si>
  <si>
    <t>Carretero</t>
  </si>
  <si>
    <t>julietacarretero@gmail.com</t>
  </si>
  <si>
    <t>mauricioacostalucas15@gmail.com</t>
  </si>
  <si>
    <t>Alzate</t>
  </si>
  <si>
    <t>Juncos</t>
  </si>
  <si>
    <t>rami</t>
  </si>
  <si>
    <t xml:space="preserve">tulian </t>
  </si>
  <si>
    <t>Valetulian1@gmail.com</t>
  </si>
  <si>
    <t>Musculación</t>
  </si>
  <si>
    <t>Domina</t>
  </si>
  <si>
    <t xml:space="preserve">Martín </t>
  </si>
  <si>
    <t>Martindomina07@gmail.com</t>
  </si>
  <si>
    <t xml:space="preserve">María Florencia </t>
  </si>
  <si>
    <t>poncemariaflorencia@gmail.com</t>
  </si>
  <si>
    <t xml:space="preserve">Moreira </t>
  </si>
  <si>
    <t>Lucas Manuel</t>
  </si>
  <si>
    <t>lucaasmoreira1996@gmail.com</t>
  </si>
  <si>
    <t>PEREYRA</t>
  </si>
  <si>
    <t>Pereyran@hotmail.com</t>
  </si>
  <si>
    <t>gareuge@hotmail.com</t>
  </si>
  <si>
    <t>Avalos</t>
  </si>
  <si>
    <t>adalbertoavalos36@gmail.com</t>
  </si>
  <si>
    <t xml:space="preserve">Romero </t>
  </si>
  <si>
    <t>juana060185@gmail.com</t>
  </si>
  <si>
    <t>Gustavo Adalberto</t>
  </si>
  <si>
    <t>ayala</t>
  </si>
  <si>
    <t>damian</t>
  </si>
  <si>
    <t>damianayala4266@gmail.com</t>
  </si>
  <si>
    <t xml:space="preserve">Jordan </t>
  </si>
  <si>
    <t>rodrigojordan77@gmail.com</t>
  </si>
  <si>
    <t xml:space="preserve">Leguizamon </t>
  </si>
  <si>
    <t xml:space="preserve">Ezequiel </t>
  </si>
  <si>
    <t>escuderosilvia32@gmail.com</t>
  </si>
  <si>
    <t>diegoperaltaturin@gmail.com</t>
  </si>
  <si>
    <t>Zurita</t>
  </si>
  <si>
    <t>Nicolás</t>
  </si>
  <si>
    <t>nicozurita04@gmail.com</t>
  </si>
  <si>
    <t xml:space="preserve">Almirón </t>
  </si>
  <si>
    <t>almironmatiass@gmail.com</t>
  </si>
  <si>
    <t>Norma del Valle</t>
  </si>
  <si>
    <t>normamjuarez@gmail.com</t>
  </si>
  <si>
    <t>Jerarquico Salud</t>
  </si>
  <si>
    <t>Pizarro</t>
  </si>
  <si>
    <t>Omar</t>
  </si>
  <si>
    <t>Omar@peype.com</t>
  </si>
  <si>
    <t>Quevedo</t>
  </si>
  <si>
    <t>Jose.l.quevedo16@gmail.com</t>
  </si>
  <si>
    <t>Jaimes Rondine</t>
  </si>
  <si>
    <t>Maria de los Angeles</t>
  </si>
  <si>
    <t>mjrondine@unc.edu.ar</t>
  </si>
  <si>
    <t>Regis</t>
  </si>
  <si>
    <t>Aylen</t>
  </si>
  <si>
    <t>saylenr@gmail.com</t>
  </si>
  <si>
    <t xml:space="preserve">Ya fui paciente </t>
  </si>
  <si>
    <t>Pilates y padel</t>
  </si>
  <si>
    <t xml:space="preserve">Jerárquicos Salud </t>
  </si>
  <si>
    <t>Obando</t>
  </si>
  <si>
    <t>Silvio</t>
  </si>
  <si>
    <t xml:space="preserve">Camargo </t>
  </si>
  <si>
    <t xml:space="preserve">María Elena </t>
  </si>
  <si>
    <t>mariacamargo8865@gmail.com</t>
  </si>
  <si>
    <t>L’Argentiere Caresano</t>
  </si>
  <si>
    <t>paucare@hotmail.com</t>
  </si>
  <si>
    <t>Stefan</t>
  </si>
  <si>
    <t>stefanh279@gmail.com</t>
  </si>
  <si>
    <t>Hugo Angel10</t>
  </si>
  <si>
    <t>h_gmz@hotmail.com</t>
  </si>
  <si>
    <t>Adultos</t>
  </si>
  <si>
    <t xml:space="preserve">Gimnasio y running </t>
  </si>
  <si>
    <t>Nau</t>
  </si>
  <si>
    <t xml:space="preserve">Elisa Verónica </t>
  </si>
  <si>
    <t>lisanaumor@gmail.com</t>
  </si>
  <si>
    <t>Vergara</t>
  </si>
  <si>
    <t>gabriela.verg87@gmail.com</t>
  </si>
  <si>
    <t xml:space="preserve">Susana del Carmen </t>
  </si>
  <si>
    <t>Suavila17@gmeil.com</t>
  </si>
  <si>
    <t xml:space="preserve">Aguayin </t>
  </si>
  <si>
    <t>MARIA DEL HUERTO</t>
  </si>
  <si>
    <t>fernandezmariadelhuero@gmail.com</t>
  </si>
  <si>
    <t>Bolognese</t>
  </si>
  <si>
    <t xml:space="preserve">leonel maximiliano </t>
  </si>
  <si>
    <t>maxilbolog07@gmail.com</t>
  </si>
  <si>
    <t xml:space="preserve">hockey </t>
  </si>
  <si>
    <t>Pirazzini</t>
  </si>
  <si>
    <t>dpirazzini@gmail.com</t>
  </si>
  <si>
    <t xml:space="preserve">Flavia </t>
  </si>
  <si>
    <t xml:space="preserve">Di Raimondo </t>
  </si>
  <si>
    <t xml:space="preserve">Fabiana </t>
  </si>
  <si>
    <t>Fabi_diraimondo@hotmail.com</t>
  </si>
  <si>
    <t>Nelida</t>
  </si>
  <si>
    <t>GIECO</t>
  </si>
  <si>
    <t>Rosa Mabel</t>
  </si>
  <si>
    <t>mabegieco@gmail.com</t>
  </si>
  <si>
    <t xml:space="preserve">mondino </t>
  </si>
  <si>
    <t xml:space="preserve">federico </t>
  </si>
  <si>
    <t xml:space="preserve">federicomondino@gmail.com </t>
  </si>
  <si>
    <t>Peano</t>
  </si>
  <si>
    <t>fabripeano@gmail.com</t>
  </si>
  <si>
    <t>Rufeil Sandrigo</t>
  </si>
  <si>
    <t>erufeil@hotmail.com</t>
  </si>
  <si>
    <t>Emanuel Asinari</t>
  </si>
  <si>
    <t>Taek-wondo</t>
  </si>
  <si>
    <t>Gallerano casartelli</t>
  </si>
  <si>
    <t xml:space="preserve">Julio vicente </t>
  </si>
  <si>
    <t>Juliogallerano1978@gmail.comJuliogallerano1978</t>
  </si>
  <si>
    <t>Velazco</t>
  </si>
  <si>
    <t>clvelazco71@gmail.com</t>
  </si>
  <si>
    <t xml:space="preserve">Familiar </t>
  </si>
  <si>
    <t>eherrerasir@gmail.com</t>
  </si>
  <si>
    <t>Sakalian</t>
  </si>
  <si>
    <t>Luca</t>
  </si>
  <si>
    <t>lucasakalian03@gmail.com</t>
  </si>
  <si>
    <t>Futbol sala</t>
  </si>
  <si>
    <t>Solorzano</t>
  </si>
  <si>
    <t>nacho-solorzano@hotmail.com</t>
  </si>
  <si>
    <t>San Pedro</t>
  </si>
  <si>
    <t xml:space="preserve">Maria Amelia </t>
  </si>
  <si>
    <t>mariaamelia.sanpedro@gmail.com</t>
  </si>
  <si>
    <t>nuin</t>
  </si>
  <si>
    <t>anabela</t>
  </si>
  <si>
    <t>ananuin87@gmail.com</t>
  </si>
  <si>
    <t>MATIAS GABRIEL</t>
  </si>
  <si>
    <t>matiasgom96@gmail.com</t>
  </si>
  <si>
    <t>SCIS</t>
  </si>
  <si>
    <t xml:space="preserve">BRIZUELA </t>
  </si>
  <si>
    <t>fernandobrizuela15@hotmail.com</t>
  </si>
  <si>
    <t>Modica</t>
  </si>
  <si>
    <t>Chochimodica@gmail.com</t>
  </si>
  <si>
    <t>Mainardi</t>
  </si>
  <si>
    <t>danielmainardi@gmail.com</t>
  </si>
  <si>
    <t>recomendado por Dra Pacher</t>
  </si>
  <si>
    <t xml:space="preserve">Ferreyra </t>
  </si>
  <si>
    <t>sole40097@gmail.com</t>
  </si>
  <si>
    <t>Bogdanova</t>
  </si>
  <si>
    <t>Lia</t>
  </si>
  <si>
    <t>glowlady2014@gmail.com</t>
  </si>
  <si>
    <t>marisa_berardo@hotmail.com</t>
  </si>
  <si>
    <t>Abrego</t>
  </si>
  <si>
    <t>María Ester</t>
  </si>
  <si>
    <t xml:space="preserve">maruabrego61@gmail.com </t>
  </si>
  <si>
    <t>María Ximena</t>
  </si>
  <si>
    <t>alvarez.xime@gmail.com</t>
  </si>
  <si>
    <t>Jordan</t>
  </si>
  <si>
    <t>jordanlucase@gmail.com</t>
  </si>
  <si>
    <t>Gimnasio, Futbol, Padel, Kitesurf</t>
  </si>
  <si>
    <t>Buccolini</t>
  </si>
  <si>
    <t>tomastrebeta@gmail.com</t>
  </si>
  <si>
    <t>Macarena</t>
  </si>
  <si>
    <t>diaz.macarena.rocio@gmail.com</t>
  </si>
  <si>
    <t>Cerezo</t>
  </si>
  <si>
    <t>gustavom.cerezo@gmail.com</t>
  </si>
  <si>
    <t>Elkin Moreno</t>
  </si>
  <si>
    <t>Carlos Ernesto</t>
  </si>
  <si>
    <t>Ciencias economicas</t>
  </si>
  <si>
    <t>Gasparini</t>
  </si>
  <si>
    <t>manugaspa2019@gmail.com</t>
  </si>
  <si>
    <t>Futbol profesional</t>
  </si>
  <si>
    <t xml:space="preserve">Mayra mabel </t>
  </si>
  <si>
    <t>mayratolozamabel@gmail.com</t>
  </si>
  <si>
    <t>10/19/0099</t>
  </si>
  <si>
    <t>moriconi</t>
  </si>
  <si>
    <t>fernando</t>
  </si>
  <si>
    <t>nanimoriconi_@hotmail.com</t>
  </si>
  <si>
    <t>Roldán</t>
  </si>
  <si>
    <t>artistica_josefina@hotmail.com</t>
  </si>
  <si>
    <t xml:space="preserve">Balanzino </t>
  </si>
  <si>
    <t xml:space="preserve">Adrian </t>
  </si>
  <si>
    <t>adrianbalanzino@gmail.com</t>
  </si>
  <si>
    <t>Juan Luis</t>
  </si>
  <si>
    <t>Isaía</t>
  </si>
  <si>
    <t>Santiago Ramón</t>
  </si>
  <si>
    <t>santiagoisaia@gmail.com</t>
  </si>
  <si>
    <t xml:space="preserve">Viñes Cipollina </t>
  </si>
  <si>
    <t>Jvinescipollina@gmail.com</t>
  </si>
  <si>
    <t>Lidia</t>
  </si>
  <si>
    <t>Gimnasia deportiva</t>
  </si>
  <si>
    <t xml:space="preserve">Weihmüller </t>
  </si>
  <si>
    <t xml:space="preserve">María Eugenia </t>
  </si>
  <si>
    <t>meugeniaw1975@gmail.com</t>
  </si>
  <si>
    <t>BOLOGNA</t>
  </si>
  <si>
    <t xml:space="preserve">lucia.bologna@hotmail.com </t>
  </si>
  <si>
    <t xml:space="preserve">Del Castillo </t>
  </si>
  <si>
    <t>Maricel</t>
  </si>
  <si>
    <t>mariseledc@gmail.com</t>
  </si>
  <si>
    <t>Barbetta</t>
  </si>
  <si>
    <t>Juan luis</t>
  </si>
  <si>
    <t>Juanbarbetta@gmail.com</t>
  </si>
  <si>
    <t xml:space="preserve">Gimnasio </t>
  </si>
  <si>
    <t xml:space="preserve">BOAGLIO </t>
  </si>
  <si>
    <t xml:space="preserve">Laura Leonor </t>
  </si>
  <si>
    <t>lauraboaglio@gmail.com</t>
  </si>
  <si>
    <t xml:space="preserve">Chocobares </t>
  </si>
  <si>
    <t>gastonchocobares@hotmail.com</t>
  </si>
  <si>
    <t xml:space="preserve">Liliana Inés </t>
  </si>
  <si>
    <t>Lilianaromer@gmail.com</t>
  </si>
  <si>
    <t>Natación</t>
  </si>
  <si>
    <t xml:space="preserve">Loyola </t>
  </si>
  <si>
    <t>Rodrigoloyolarivero@gmail.com</t>
  </si>
  <si>
    <t>Pádel Running Gimnasio Futbol</t>
  </si>
  <si>
    <t xml:space="preserve">Maria Elizabeth </t>
  </si>
  <si>
    <t>nene_eli@hotmail.com</t>
  </si>
  <si>
    <t>Kardahi</t>
  </si>
  <si>
    <t>Julio Eduardo</t>
  </si>
  <si>
    <t>eduardokardahi@gmail.com</t>
  </si>
  <si>
    <t>Tenis de mesa</t>
  </si>
  <si>
    <t>Emilia del Carmen</t>
  </si>
  <si>
    <t>Emicarperez@.com</t>
  </si>
  <si>
    <t>Lucas Matias</t>
  </si>
  <si>
    <t>centroinmobiliariocba@gmail.com</t>
  </si>
  <si>
    <t>Javif</t>
  </si>
  <si>
    <t xml:space="preserve">Jesica </t>
  </si>
  <si>
    <t>Jesi_32@hotmail.com</t>
  </si>
  <si>
    <t xml:space="preserve">MEDIFÉ </t>
  </si>
  <si>
    <t>Gasser</t>
  </si>
  <si>
    <t xml:space="preserve">Néstor </t>
  </si>
  <si>
    <t>Nhgassr@yahoo.com.ar</t>
  </si>
  <si>
    <t>Menel</t>
  </si>
  <si>
    <t>lilianmenel@hotmail.com</t>
  </si>
  <si>
    <t>victorialvarez91@gmail.com</t>
  </si>
  <si>
    <t>danii.ledes@live.com.ar</t>
  </si>
  <si>
    <t>Flores</t>
  </si>
  <si>
    <t>Yago bautista</t>
  </si>
  <si>
    <t>fransuarez1912@gmail.com</t>
  </si>
  <si>
    <t xml:space="preserve">PRINZI </t>
  </si>
  <si>
    <t xml:space="preserve">Omar </t>
  </si>
  <si>
    <t xml:space="preserve">oprinzi@gmail.com </t>
  </si>
  <si>
    <t>Fernández</t>
  </si>
  <si>
    <t>adolfofacu@yahoo.com.ar</t>
  </si>
  <si>
    <t>4/18/0073</t>
  </si>
  <si>
    <t>cesarlu_92@hotmail.com</t>
  </si>
  <si>
    <t>Bogananni</t>
  </si>
  <si>
    <t>Di Gregorio</t>
  </si>
  <si>
    <t>Matias.p.digregorio@gmail.com</t>
  </si>
  <si>
    <t xml:space="preserve">Rivadeneira </t>
  </si>
  <si>
    <t xml:space="preserve">Santos </t>
  </si>
  <si>
    <t>patry-78@hotmail.com</t>
  </si>
  <si>
    <t xml:space="preserve">351-6687129 </t>
  </si>
  <si>
    <t>Bicicleta fija, estiramientos, enlongacion, tjo con mancuernas, sentadilla en casa</t>
  </si>
  <si>
    <t>Lagazzi</t>
  </si>
  <si>
    <t>lagazzi.juan@gmail.com</t>
  </si>
  <si>
    <t>albiazul.22@hotmail.com</t>
  </si>
  <si>
    <t>Futbol y gimnasio</t>
  </si>
  <si>
    <t>flor-rodriguez@hotmail.com</t>
  </si>
  <si>
    <t>Recomendacio</t>
  </si>
  <si>
    <t>Zumba y gimnasio</t>
  </si>
  <si>
    <t>Ferrero</t>
  </si>
  <si>
    <t>Rogelio</t>
  </si>
  <si>
    <t>rogelioferreromuruaga84@gmail.com</t>
  </si>
  <si>
    <t>Prinzi</t>
  </si>
  <si>
    <t>antoprinzi@gmail.com</t>
  </si>
  <si>
    <t>Tenis y tela</t>
  </si>
  <si>
    <t>alefundacioninfanciasegura@gmail.com</t>
  </si>
  <si>
    <t>03512316482</t>
  </si>
  <si>
    <t>BRITOS</t>
  </si>
  <si>
    <t>Miguel Angel</t>
  </si>
  <si>
    <t>STUPIK</t>
  </si>
  <si>
    <t xml:space="preserve">Martina </t>
  </si>
  <si>
    <t xml:space="preserve">axelivanst@gmail.com </t>
  </si>
  <si>
    <t xml:space="preserve">Gimnasia deportiva </t>
  </si>
  <si>
    <t xml:space="preserve">García </t>
  </si>
  <si>
    <t>pinedoisa15@gmail.com</t>
  </si>
  <si>
    <t>Salomon</t>
  </si>
  <si>
    <t>Norma Beatriz</t>
  </si>
  <si>
    <t>normabsalomon@gmail.com</t>
  </si>
  <si>
    <t>Bususcovich</t>
  </si>
  <si>
    <t xml:space="preserve">Huilen </t>
  </si>
  <si>
    <t>huillenbususcovich@gmail.com</t>
  </si>
  <si>
    <t>11 54697728</t>
  </si>
  <si>
    <t xml:space="preserve">Name </t>
  </si>
  <si>
    <t>Phone 1 - Value</t>
  </si>
  <si>
    <t>Estado de contacto</t>
  </si>
  <si>
    <t>DETALLE_ERROR</t>
  </si>
  <si>
    <t>CREADO</t>
  </si>
  <si>
    <t xml:space="preserve">Leiva Nilda Carolina </t>
  </si>
  <si>
    <t>+549513844529</t>
  </si>
  <si>
    <t xml:space="preserve">Far Juan Manuel </t>
  </si>
  <si>
    <t>+549512006711</t>
  </si>
  <si>
    <t>Urquía  Yohana</t>
  </si>
  <si>
    <t>+549516299562</t>
  </si>
  <si>
    <t>Lopez Gonzalo Daniel</t>
  </si>
  <si>
    <t>+549515186768</t>
  </si>
  <si>
    <t xml:space="preserve">Agüero  Juan Manuel </t>
  </si>
  <si>
    <t>+549516219534</t>
  </si>
  <si>
    <t xml:space="preserve">Valdez  Rubén </t>
  </si>
  <si>
    <t>+549513374771</t>
  </si>
  <si>
    <t>Giménez Fernando</t>
  </si>
  <si>
    <t>+549516953672</t>
  </si>
  <si>
    <t>JOHNSON GUILLERMO</t>
  </si>
  <si>
    <t>+549515138062</t>
  </si>
  <si>
    <t>Carnevale Mariela</t>
  </si>
  <si>
    <t>+549513040216</t>
  </si>
  <si>
    <t>Isa Minuet Elías</t>
  </si>
  <si>
    <t>+549517580512</t>
  </si>
  <si>
    <t>Ghibaudo Pablo</t>
  </si>
  <si>
    <t>+549515528353</t>
  </si>
  <si>
    <t>Asinari Emanuel</t>
  </si>
  <si>
    <t>+549516098550</t>
  </si>
  <si>
    <t>Rivara Mauro Alejandro</t>
  </si>
  <si>
    <t>+549516536874</t>
  </si>
  <si>
    <t>Andino Guillermo Regino</t>
  </si>
  <si>
    <t>+549517014316</t>
  </si>
  <si>
    <t>MUÑOZ Emery omar</t>
  </si>
  <si>
    <t>+549513493623</t>
  </si>
  <si>
    <t>Boasso Lucas</t>
  </si>
  <si>
    <t>+549516280350</t>
  </si>
  <si>
    <t>Druetta Joaquín</t>
  </si>
  <si>
    <t>+549513861638</t>
  </si>
  <si>
    <t>Hilbe Estela</t>
  </si>
  <si>
    <t>+549513123179</t>
  </si>
  <si>
    <t>Conrero Valentino</t>
  </si>
  <si>
    <t>+549515290969</t>
  </si>
  <si>
    <t xml:space="preserve">Gonzalez Nicolas </t>
  </si>
  <si>
    <t>+549512558234</t>
  </si>
  <si>
    <t xml:space="preserve">Araujo Dora Susana </t>
  </si>
  <si>
    <t>+549513503636</t>
  </si>
  <si>
    <t>Boasi Ivana</t>
  </si>
  <si>
    <t>+549513732026</t>
  </si>
  <si>
    <t>Ferreyra Ariel</t>
  </si>
  <si>
    <t>+549516535435</t>
  </si>
  <si>
    <t xml:space="preserve">Baena  Gustavo Ariel </t>
  </si>
  <si>
    <t>+549516419517</t>
  </si>
  <si>
    <t>Lozano Ezequiel</t>
  </si>
  <si>
    <t>+549517384848</t>
  </si>
  <si>
    <t>Lazcano Stella</t>
  </si>
  <si>
    <t>+549512757694</t>
  </si>
  <si>
    <t xml:space="preserve">Accornero Ignacio </t>
  </si>
  <si>
    <t>+54965987371</t>
  </si>
  <si>
    <t>Ortelli Esther</t>
  </si>
  <si>
    <t>+549515306152</t>
  </si>
  <si>
    <t>Sibona Karina</t>
  </si>
  <si>
    <t>+549512588741</t>
  </si>
  <si>
    <t>Pepi Bettina</t>
  </si>
  <si>
    <t>Cardoni Gino</t>
  </si>
  <si>
    <t>+549512287296</t>
  </si>
  <si>
    <t>Gutiérrez  Ángela nora</t>
  </si>
  <si>
    <t>+549512484269</t>
  </si>
  <si>
    <t xml:space="preserve">Heredia Pereyra  Mercedes Andrea </t>
  </si>
  <si>
    <t>+549513401354</t>
  </si>
  <si>
    <t>Perini Leonardo</t>
  </si>
  <si>
    <t>+549512615886</t>
  </si>
  <si>
    <t>Brun Luciano</t>
  </si>
  <si>
    <t>+549513904324</t>
  </si>
  <si>
    <t>Dolivo Josefina</t>
  </si>
  <si>
    <t>+549525454941</t>
  </si>
  <si>
    <t>LASTRA MELISA</t>
  </si>
  <si>
    <t>+549512441614</t>
  </si>
  <si>
    <t>Menzi Antonio</t>
  </si>
  <si>
    <t>+549512064245</t>
  </si>
  <si>
    <t>MARQUEZ ELENA BEATRIZ</t>
  </si>
  <si>
    <t>+549512770181</t>
  </si>
  <si>
    <t>Nievas Acosta Marcos Daniel</t>
  </si>
  <si>
    <t>+549516558107</t>
  </si>
  <si>
    <t>Vocos Lucia</t>
  </si>
  <si>
    <t>+5497677271846</t>
  </si>
  <si>
    <t>Garino Dario</t>
  </si>
  <si>
    <t>+549515571888</t>
  </si>
  <si>
    <t>layus Daniel</t>
  </si>
  <si>
    <t>+549515471689</t>
  </si>
  <si>
    <t>Retter Norma</t>
  </si>
  <si>
    <t>+549513241502</t>
  </si>
  <si>
    <t>Bracco Munir</t>
  </si>
  <si>
    <t>+549515185921</t>
  </si>
  <si>
    <t>Rodriguez  Reinaldo</t>
  </si>
  <si>
    <t>+549491464298</t>
  </si>
  <si>
    <t>Vega Machado Alejandro</t>
  </si>
  <si>
    <t>+549515583969</t>
  </si>
  <si>
    <t>Vega Maria belen</t>
  </si>
  <si>
    <t>+549513798148</t>
  </si>
  <si>
    <t>Micheloud Santiago</t>
  </si>
  <si>
    <t>+549513287710</t>
  </si>
  <si>
    <t>Palacios Santiago</t>
  </si>
  <si>
    <t>+549516160854</t>
  </si>
  <si>
    <t>Viberti  Carlos</t>
  </si>
  <si>
    <t>+549515385789</t>
  </si>
  <si>
    <t>Arrieta Claudio Carlos</t>
  </si>
  <si>
    <t>+549516137697</t>
  </si>
  <si>
    <t>Martinez Sergio dario</t>
  </si>
  <si>
    <t>+549513516889</t>
  </si>
  <si>
    <t>Ibarra Marta</t>
  </si>
  <si>
    <t>+549516505375</t>
  </si>
  <si>
    <t>Avila Patricia</t>
  </si>
  <si>
    <t>+549512774033</t>
  </si>
  <si>
    <t>Teran  Emanuel</t>
  </si>
  <si>
    <t>+549518137350</t>
  </si>
  <si>
    <t>Abadie Raul</t>
  </si>
  <si>
    <t>+549516655602</t>
  </si>
  <si>
    <t>Ceballos José</t>
  </si>
  <si>
    <t>+549517590683</t>
  </si>
  <si>
    <t xml:space="preserve">Raffin Vilma Rosa </t>
  </si>
  <si>
    <t>+549515389887</t>
  </si>
  <si>
    <t>ICIKSON Tomas</t>
  </si>
  <si>
    <t>+549516113790</t>
  </si>
  <si>
    <t>Rios giache Luciano lucas</t>
  </si>
  <si>
    <t>+549512893805</t>
  </si>
  <si>
    <t>Ruiz Luis</t>
  </si>
  <si>
    <t>+549518142452</t>
  </si>
  <si>
    <t>Martinez Joaquin Adolfo</t>
  </si>
  <si>
    <t>+549516566224</t>
  </si>
  <si>
    <t xml:space="preserve"> Inbrechts  Lisett</t>
  </si>
  <si>
    <t>+549513475295</t>
  </si>
  <si>
    <t>Gutiérrez  Ledis</t>
  </si>
  <si>
    <t>YA_EXISTE</t>
  </si>
  <si>
    <t>Galarce  Carlos</t>
  </si>
  <si>
    <t>+549513642210</t>
  </si>
  <si>
    <t>Aisa Ruben</t>
  </si>
  <si>
    <t>+549515415895</t>
  </si>
  <si>
    <t>Reyna Lucas</t>
  </si>
  <si>
    <t>+549515131485</t>
  </si>
  <si>
    <t>Quiligotti Pablo</t>
  </si>
  <si>
    <t>+549516870843</t>
  </si>
  <si>
    <t>Armando Marcos</t>
  </si>
  <si>
    <t>+549513887184</t>
  </si>
  <si>
    <t>Heredia Andres</t>
  </si>
  <si>
    <t>+549515331363</t>
  </si>
  <si>
    <t>Sebastián Octavio</t>
  </si>
  <si>
    <t>+549517060825</t>
  </si>
  <si>
    <t>Fernández  Marcos Gabriel</t>
  </si>
  <si>
    <t>+549516324625</t>
  </si>
  <si>
    <t xml:space="preserve">Cantonati María Belén </t>
  </si>
  <si>
    <t>+549516330590</t>
  </si>
  <si>
    <t>Druetta Camila</t>
  </si>
  <si>
    <t>+549512024838</t>
  </si>
  <si>
    <t>CASTRO Mirta Cristina</t>
  </si>
  <si>
    <t>+549516520221</t>
  </si>
  <si>
    <t>Semeraro Nora</t>
  </si>
  <si>
    <t>+549516608455</t>
  </si>
  <si>
    <t>Sueldo Belkis Anabella</t>
  </si>
  <si>
    <t>+549512466755</t>
  </si>
  <si>
    <t>Ponce Federico</t>
  </si>
  <si>
    <t>+549517502384</t>
  </si>
  <si>
    <t>Baigorri  Joel</t>
  </si>
  <si>
    <t>+549513471220</t>
  </si>
  <si>
    <t>Grion Alejandro</t>
  </si>
  <si>
    <t>+549512388424</t>
  </si>
  <si>
    <t xml:space="preserve">Biani Jeremias </t>
  </si>
  <si>
    <t>+549513357046</t>
  </si>
  <si>
    <t xml:space="preserve">Castro  Facundo </t>
  </si>
  <si>
    <t>+549542461695</t>
  </si>
  <si>
    <t>DUARTE POLANCO AXEL MATIAS</t>
  </si>
  <si>
    <t>+549513792102</t>
  </si>
  <si>
    <t xml:space="preserve">Bordino Alvaro </t>
  </si>
  <si>
    <t>+549515337720</t>
  </si>
  <si>
    <t>Freno Pablo Manuel</t>
  </si>
  <si>
    <t>+549515435327</t>
  </si>
  <si>
    <t>Gadea Erik paul</t>
  </si>
  <si>
    <t>+549522400613</t>
  </si>
  <si>
    <t xml:space="preserve">Charif Asdrubal </t>
  </si>
  <si>
    <t>+549513537495</t>
  </si>
  <si>
    <t>Oña Ignacio</t>
  </si>
  <si>
    <t>+549513746660</t>
  </si>
  <si>
    <t>Depaul Emilia</t>
  </si>
  <si>
    <t>+549517680758</t>
  </si>
  <si>
    <t xml:space="preserve">Menacho  Silvia </t>
  </si>
  <si>
    <t>+549513854962</t>
  </si>
  <si>
    <t>Fernandez Lopez Jeronimo</t>
  </si>
  <si>
    <t>+549518069982</t>
  </si>
  <si>
    <t xml:space="preserve">Sosa Carlos Alberto </t>
  </si>
  <si>
    <t>+549513242191</t>
  </si>
  <si>
    <t>Romano Camilo Francisco</t>
  </si>
  <si>
    <t>+549512486914</t>
  </si>
  <si>
    <t>España luppo Emilia</t>
  </si>
  <si>
    <t>+549516166272</t>
  </si>
  <si>
    <t xml:space="preserve">Caminoa Abril </t>
  </si>
  <si>
    <t>+549235414440</t>
  </si>
  <si>
    <t>Prieto Marconi Sofia</t>
  </si>
  <si>
    <t>+549515485039</t>
  </si>
  <si>
    <t>Abaca Lucas Hernan</t>
  </si>
  <si>
    <t>+549517582118</t>
  </si>
  <si>
    <t xml:space="preserve">Lake Matías Eduardo </t>
  </si>
  <si>
    <t>+549543310724</t>
  </si>
  <si>
    <t>Daniele Maria teresa</t>
  </si>
  <si>
    <t>+549572528274</t>
  </si>
  <si>
    <t>Chantre Diego agustin</t>
  </si>
  <si>
    <t>+549515916832</t>
  </si>
  <si>
    <t>Rizzi Diego</t>
  </si>
  <si>
    <t>+549512194317</t>
  </si>
  <si>
    <t>Diaz Jose Angel</t>
  </si>
  <si>
    <t>+549514765141</t>
  </si>
  <si>
    <t>Cabrera Rodrigo</t>
  </si>
  <si>
    <t>+549517451367</t>
  </si>
  <si>
    <t xml:space="preserve">Gauna  Kevin Maico </t>
  </si>
  <si>
    <t>+549515170701</t>
  </si>
  <si>
    <t>Ande  Jazmin</t>
  </si>
  <si>
    <t>+549513959141</t>
  </si>
  <si>
    <t xml:space="preserve">España Ezequiel Mariano </t>
  </si>
  <si>
    <t>+549515165404</t>
  </si>
  <si>
    <t>Morales  Francisco</t>
  </si>
  <si>
    <t>+549516524747</t>
  </si>
  <si>
    <t>Garcia Miriam Beatriz</t>
  </si>
  <si>
    <t>+549518196953</t>
  </si>
  <si>
    <t>Polesel  Facundo Tiziano</t>
  </si>
  <si>
    <t>+549522650239</t>
  </si>
  <si>
    <t>Diaz Kevin</t>
  </si>
  <si>
    <t>+549541644433</t>
  </si>
  <si>
    <t>FRAIRE Fernando</t>
  </si>
  <si>
    <t>+549513878291</t>
  </si>
  <si>
    <t xml:space="preserve">Bonaldi Damián </t>
  </si>
  <si>
    <t>+549512261804</t>
  </si>
  <si>
    <t>Pussetto Lucas</t>
  </si>
  <si>
    <t>+549512350238</t>
  </si>
  <si>
    <t xml:space="preserve">Medina Ana Paula </t>
  </si>
  <si>
    <t>+549517184341</t>
  </si>
  <si>
    <t>Olivera Franco Emanuel</t>
  </si>
  <si>
    <t>+549647613949</t>
  </si>
  <si>
    <t xml:space="preserve">Cavalli Cesar Matias </t>
  </si>
  <si>
    <t>+549513967686</t>
  </si>
  <si>
    <t xml:space="preserve">Martinez Horacio </t>
  </si>
  <si>
    <t>+549512280898</t>
  </si>
  <si>
    <t xml:space="preserve">Ordóñez Santiago </t>
  </si>
  <si>
    <t>+549518070833</t>
  </si>
  <si>
    <t>LIBRETTI Vanessa del rosario</t>
  </si>
  <si>
    <t>+549516427771</t>
  </si>
  <si>
    <t>Moretto Marcos</t>
  </si>
  <si>
    <t>+549512012248</t>
  </si>
  <si>
    <t>Gandini Sofia</t>
  </si>
  <si>
    <t>+549513082496</t>
  </si>
  <si>
    <t>LASCANO Stella</t>
  </si>
  <si>
    <t>Brusco Lillian Maria</t>
  </si>
  <si>
    <t>+549516208417</t>
  </si>
  <si>
    <t xml:space="preserve">Pereyra  Guadalupe </t>
  </si>
  <si>
    <t>+549513565463</t>
  </si>
  <si>
    <t>Pucheta Facundo</t>
  </si>
  <si>
    <t>+549518061862</t>
  </si>
  <si>
    <t>Castro Ramiro</t>
  </si>
  <si>
    <t>+549517691077</t>
  </si>
  <si>
    <t xml:space="preserve">Ponce  Lucas </t>
  </si>
  <si>
    <t>+549516789198</t>
  </si>
  <si>
    <t>ANTUNEZ JORGE ALEXANDER</t>
  </si>
  <si>
    <t>+549765221448</t>
  </si>
  <si>
    <t>AGUIRRE Juan</t>
  </si>
  <si>
    <t>+549515094262</t>
  </si>
  <si>
    <t>Martinez Facundo</t>
  </si>
  <si>
    <t>+549513890655</t>
  </si>
  <si>
    <t>Marques Patricia</t>
  </si>
  <si>
    <t>+549964454765</t>
  </si>
  <si>
    <t>Araujo Cledy</t>
  </si>
  <si>
    <t>+549584838207</t>
  </si>
  <si>
    <t>Barrios  Rita</t>
  </si>
  <si>
    <t>+549515217761</t>
  </si>
  <si>
    <t>CARRION Miriam</t>
  </si>
  <si>
    <t>+549513026863</t>
  </si>
  <si>
    <t>Velez Soledad</t>
  </si>
  <si>
    <t>+549513918579</t>
  </si>
  <si>
    <t>RUIZ Eduardo</t>
  </si>
  <si>
    <t>+549515462813</t>
  </si>
  <si>
    <t>Lascano Daniel</t>
  </si>
  <si>
    <t>+549512860038</t>
  </si>
  <si>
    <t xml:space="preserve">Ramirez  Paula vanesa </t>
  </si>
  <si>
    <t>+549513994011</t>
  </si>
  <si>
    <t>Llorens Juan</t>
  </si>
  <si>
    <t>+549516515677</t>
  </si>
  <si>
    <t xml:space="preserve">Alaye María Alejandra </t>
  </si>
  <si>
    <t>+549516174560</t>
  </si>
  <si>
    <t>Costamagna Franco</t>
  </si>
  <si>
    <t>+549512127858</t>
  </si>
  <si>
    <t>Núñez  Viviana del Valle</t>
  </si>
  <si>
    <t>+549515644065</t>
  </si>
  <si>
    <t xml:space="preserve">Balbin  Nicolas </t>
  </si>
  <si>
    <t>+549517527822</t>
  </si>
  <si>
    <t>Messina Ana</t>
  </si>
  <si>
    <t>+549515915922</t>
  </si>
  <si>
    <t>Pedroni Pablo</t>
  </si>
  <si>
    <t>+549514597882</t>
  </si>
  <si>
    <t>Pereira Americo</t>
  </si>
  <si>
    <t>+549515177527</t>
  </si>
  <si>
    <t>CONTE Andrea</t>
  </si>
  <si>
    <t>+549515902432</t>
  </si>
  <si>
    <t xml:space="preserve">Silva Grisel </t>
  </si>
  <si>
    <t>+549513031330</t>
  </si>
  <si>
    <t xml:space="preserve">SERAFINI  Jorgelina </t>
  </si>
  <si>
    <t>+549513843569</t>
  </si>
  <si>
    <t>Seveso Federico</t>
  </si>
  <si>
    <t>+549516241259</t>
  </si>
  <si>
    <t>COUFIS ELENA</t>
  </si>
  <si>
    <t>+549517639805</t>
  </si>
  <si>
    <t xml:space="preserve">Loyola Antonio </t>
  </si>
  <si>
    <t>+549512634458</t>
  </si>
  <si>
    <t>FARIAS Mercedes Cristina</t>
  </si>
  <si>
    <t>+549512606736</t>
  </si>
  <si>
    <t>Torres Cecilia</t>
  </si>
  <si>
    <t>+549511528811</t>
  </si>
  <si>
    <t>Garlati Alexia</t>
  </si>
  <si>
    <t>+549517632469</t>
  </si>
  <si>
    <t>Casartelli Graciela</t>
  </si>
  <si>
    <t>+549512116536</t>
  </si>
  <si>
    <t>Tejeda Silvana</t>
  </si>
  <si>
    <t>+549515125167</t>
  </si>
  <si>
    <t>Najle Pedro</t>
  </si>
  <si>
    <t>+549512396381</t>
  </si>
  <si>
    <t>Monzon Juan Manuel</t>
  </si>
  <si>
    <t>+549512534884</t>
  </si>
  <si>
    <t>Castro Susana</t>
  </si>
  <si>
    <t>+549512022176</t>
  </si>
  <si>
    <t>Franciosi Augusto</t>
  </si>
  <si>
    <t>+549516143218</t>
  </si>
  <si>
    <t>Bazan Santiago</t>
  </si>
  <si>
    <t>+549516090602</t>
  </si>
  <si>
    <t>Gaite Gaston</t>
  </si>
  <si>
    <t>+549513510356</t>
  </si>
  <si>
    <t>Cordoba  Ariel</t>
  </si>
  <si>
    <t>+549516831832</t>
  </si>
  <si>
    <t>Yunes Miguel</t>
  </si>
  <si>
    <t>+549515105133</t>
  </si>
  <si>
    <t>Issoglio Javier</t>
  </si>
  <si>
    <t>+549513902940</t>
  </si>
  <si>
    <t>Cuello Alexis</t>
  </si>
  <si>
    <t>+549516627280</t>
  </si>
  <si>
    <t>Oviedo Federico</t>
  </si>
  <si>
    <t>+549516826366</t>
  </si>
  <si>
    <t>Petenian Mariana</t>
  </si>
  <si>
    <t>+549512050186</t>
  </si>
  <si>
    <t>Butiler  Kevin</t>
  </si>
  <si>
    <t>+549517028458</t>
  </si>
  <si>
    <t>Johnson Benjamín</t>
  </si>
  <si>
    <t>+549515159997</t>
  </si>
  <si>
    <t xml:space="preserve">Di Gregorio Soria  Lucas </t>
  </si>
  <si>
    <t>+549512328741</t>
  </si>
  <si>
    <t xml:space="preserve">Dominguez  Maria Florencia </t>
  </si>
  <si>
    <t>+549512894700</t>
  </si>
  <si>
    <t>Loza Delfina</t>
  </si>
  <si>
    <t>+549516960587</t>
  </si>
  <si>
    <t>Ramos  Mario jose</t>
  </si>
  <si>
    <t>+549512785708</t>
  </si>
  <si>
    <t>Quilaleo Alejandra</t>
  </si>
  <si>
    <t>+549516123681</t>
  </si>
  <si>
    <t>Ardiles Constanza</t>
  </si>
  <si>
    <t>+549516372470</t>
  </si>
  <si>
    <t xml:space="preserve">Ruiz  Raul </t>
  </si>
  <si>
    <t>+549516725368</t>
  </si>
  <si>
    <t>Maidana Tomas</t>
  </si>
  <si>
    <t>+549517307004</t>
  </si>
  <si>
    <t>ARAYA CORNEJO LAUTARO</t>
  </si>
  <si>
    <t>+549512187399</t>
  </si>
  <si>
    <t>WAMBA MARIA VICTORIA</t>
  </si>
  <si>
    <t>+549515138175</t>
  </si>
  <si>
    <t>Vartanian Marcelo</t>
  </si>
  <si>
    <t>+549512050168</t>
  </si>
  <si>
    <t>Pucheta Jorge luis</t>
  </si>
  <si>
    <t>+549515631119</t>
  </si>
  <si>
    <t xml:space="preserve">Rivero  Cecilia del Valle </t>
  </si>
  <si>
    <t>+549516575554</t>
  </si>
  <si>
    <t xml:space="preserve">Bellido  Alberto </t>
  </si>
  <si>
    <t>+549512191091</t>
  </si>
  <si>
    <t>Agundez  Alejo</t>
  </si>
  <si>
    <t>+549513739600</t>
  </si>
  <si>
    <t xml:space="preserve">Piechenstainer  Estefania </t>
  </si>
  <si>
    <t>+549513235241</t>
  </si>
  <si>
    <t xml:space="preserve">Rosso Maximiliano </t>
  </si>
  <si>
    <t>+549512254247</t>
  </si>
  <si>
    <t>Maldona Lucas</t>
  </si>
  <si>
    <t>+549513609800</t>
  </si>
  <si>
    <t>Caballero Daina</t>
  </si>
  <si>
    <t>+549516456821</t>
  </si>
  <si>
    <t>Bianchi Chiara</t>
  </si>
  <si>
    <t>+549512834841</t>
  </si>
  <si>
    <t>Albarracin Alberto</t>
  </si>
  <si>
    <t>+549513165406</t>
  </si>
  <si>
    <t>ROQUE MARIA EMILIA</t>
  </si>
  <si>
    <t>+549516367337</t>
  </si>
  <si>
    <t>RIVELLO Nora</t>
  </si>
  <si>
    <t>+549517606768</t>
  </si>
  <si>
    <t>Amilibia Camila</t>
  </si>
  <si>
    <t>+549513492216</t>
  </si>
  <si>
    <t>Barbero Gatica Bautista</t>
  </si>
  <si>
    <t>+549515306105</t>
  </si>
  <si>
    <t>Fantin Augusto</t>
  </si>
  <si>
    <t>+549513302736</t>
  </si>
  <si>
    <t>Baez Carolina</t>
  </si>
  <si>
    <t>+549515488755</t>
  </si>
  <si>
    <t>FARIAS Mayra Paola</t>
  </si>
  <si>
    <t>+549513755004</t>
  </si>
  <si>
    <t>Lavezzo Ignacio</t>
  </si>
  <si>
    <t>+549515720444</t>
  </si>
  <si>
    <t xml:space="preserve">Martinez  Haydee </t>
  </si>
  <si>
    <t>+549512357242</t>
  </si>
  <si>
    <t xml:space="preserve">Cortez Bárbara Melisa </t>
  </si>
  <si>
    <t>+549513272243</t>
  </si>
  <si>
    <t>Lastra Alberto</t>
  </si>
  <si>
    <t>+549517664617</t>
  </si>
  <si>
    <t>Labraga Mercedes</t>
  </si>
  <si>
    <t>+549944663487</t>
  </si>
  <si>
    <t xml:space="preserve">Aranda  Estela monica </t>
  </si>
  <si>
    <t>+549512804614</t>
  </si>
  <si>
    <t>Heinzen Lidia Claudia</t>
  </si>
  <si>
    <t>+549496547548</t>
  </si>
  <si>
    <t>Capdevila Leonardo</t>
  </si>
  <si>
    <t>+549512482920</t>
  </si>
  <si>
    <t xml:space="preserve">Sánchez Gavier Joaquín </t>
  </si>
  <si>
    <t>+549518082314</t>
  </si>
  <si>
    <t>Tambussi Raquel</t>
  </si>
  <si>
    <t>+549514084599</t>
  </si>
  <si>
    <t>Correa Jonathan</t>
  </si>
  <si>
    <t>+549516638041</t>
  </si>
  <si>
    <t>Eguiluz María Liliana</t>
  </si>
  <si>
    <t>+549512411843</t>
  </si>
  <si>
    <t xml:space="preserve">Giannoboli  Luciano </t>
  </si>
  <si>
    <t>+549516635355</t>
  </si>
  <si>
    <t>Altamirano Enzo Gustavo</t>
  </si>
  <si>
    <t>+549516777328</t>
  </si>
  <si>
    <t xml:space="preserve">Castro Alicia </t>
  </si>
  <si>
    <t>+5493855093215</t>
  </si>
  <si>
    <t>García Justina</t>
  </si>
  <si>
    <t>+549513097972</t>
  </si>
  <si>
    <t>Sottile Ignacio</t>
  </si>
  <si>
    <t>+5495126410350</t>
  </si>
  <si>
    <t>Aisa Javier</t>
  </si>
  <si>
    <t>+549515494355</t>
  </si>
  <si>
    <t xml:space="preserve">Dealbera  Hugo </t>
  </si>
  <si>
    <t>+549515053549</t>
  </si>
  <si>
    <t>Bondio Luis</t>
  </si>
  <si>
    <t>+549512374665</t>
  </si>
  <si>
    <t xml:space="preserve">Paz Benard  Benjamín José </t>
  </si>
  <si>
    <t>+549513915833</t>
  </si>
  <si>
    <t>Mazzeo Juan Cruz</t>
  </si>
  <si>
    <t>+549516577070</t>
  </si>
  <si>
    <t>Guemes Julieta</t>
  </si>
  <si>
    <t>+5497208306798</t>
  </si>
  <si>
    <t>Ocampo Fabiana</t>
  </si>
  <si>
    <t>+549518568359</t>
  </si>
  <si>
    <t>de la Colina Facundo</t>
  </si>
  <si>
    <t>+549516430984</t>
  </si>
  <si>
    <t>Stodart María</t>
  </si>
  <si>
    <t>+549516590226</t>
  </si>
  <si>
    <t>FERREYRA Yamila</t>
  </si>
  <si>
    <t>+549517055921</t>
  </si>
  <si>
    <t>Balbo Kevin</t>
  </si>
  <si>
    <t>+549549503496</t>
  </si>
  <si>
    <t xml:space="preserve">Carrica Maria Fernanda </t>
  </si>
  <si>
    <t>+549513476226</t>
  </si>
  <si>
    <t>Angulo Viviana</t>
  </si>
  <si>
    <t>+549515914285</t>
  </si>
  <si>
    <t>Guemes vassallo Juan martin</t>
  </si>
  <si>
    <t>+549517562048</t>
  </si>
  <si>
    <t>Rodriguez  daniel alejandro</t>
  </si>
  <si>
    <t>+549518107029</t>
  </si>
  <si>
    <t>Fiser Karina</t>
  </si>
  <si>
    <t>+549515136079</t>
  </si>
  <si>
    <t>Robotti  Nicolas</t>
  </si>
  <si>
    <t>+5493516747915</t>
  </si>
  <si>
    <t>Rios Alejandra</t>
  </si>
  <si>
    <t>+549512956100</t>
  </si>
  <si>
    <t>Baruffaldi María elena</t>
  </si>
  <si>
    <t>+549512355487</t>
  </si>
  <si>
    <t>Martich Oviedo Tadeo</t>
  </si>
  <si>
    <t>+549512372941</t>
  </si>
  <si>
    <t>Castro Antonia Matilde</t>
  </si>
  <si>
    <t>+549513565063</t>
  </si>
  <si>
    <t>Davila Paulo</t>
  </si>
  <si>
    <t>+549513022880</t>
  </si>
  <si>
    <t>Farias Matias</t>
  </si>
  <si>
    <t>+549516514821</t>
  </si>
  <si>
    <t>Bomone  Santiago</t>
  </si>
  <si>
    <t>+549513071620</t>
  </si>
  <si>
    <t xml:space="preserve">Bulacio Guerrero  María Belén </t>
  </si>
  <si>
    <t>+549516357888</t>
  </si>
  <si>
    <t>Francile Juan</t>
  </si>
  <si>
    <t>+549516157379</t>
  </si>
  <si>
    <t xml:space="preserve">Battistoni  Lautaro </t>
  </si>
  <si>
    <t>+549517143835</t>
  </si>
  <si>
    <t>Conrero Maximiliano</t>
  </si>
  <si>
    <t>+549515604413</t>
  </si>
  <si>
    <t>Lopez Marcelo</t>
  </si>
  <si>
    <t>+549517501884</t>
  </si>
  <si>
    <t xml:space="preserve">Coniberti  Maria Irene </t>
  </si>
  <si>
    <t>+54953789403</t>
  </si>
  <si>
    <t>YANECK Adriana</t>
  </si>
  <si>
    <t>+549515576028</t>
  </si>
  <si>
    <t xml:space="preserve">Oliva  Ignacio </t>
  </si>
  <si>
    <t>+549517452777</t>
  </si>
  <si>
    <t xml:space="preserve">Mullins Tomás </t>
  </si>
  <si>
    <t>+549515503211</t>
  </si>
  <si>
    <t xml:space="preserve">Guayán  Martin </t>
  </si>
  <si>
    <t>+549517694767</t>
  </si>
  <si>
    <t>Santore Eliana</t>
  </si>
  <si>
    <t>+549513477569</t>
  </si>
  <si>
    <t>Calanducci Catalina</t>
  </si>
  <si>
    <t>+549515167007</t>
  </si>
  <si>
    <t>Dudeley Dwight</t>
  </si>
  <si>
    <t>+5493216242487</t>
  </si>
  <si>
    <t>Ghiorzi Ignacio</t>
  </si>
  <si>
    <t>+549516174676</t>
  </si>
  <si>
    <t>Puertas Susana</t>
  </si>
  <si>
    <t>+549516099547</t>
  </si>
  <si>
    <t>Buffa Antonella</t>
  </si>
  <si>
    <t>+549513130073</t>
  </si>
  <si>
    <t>Peralta Turus Federico</t>
  </si>
  <si>
    <t>+549525475393</t>
  </si>
  <si>
    <t>Nadra Luna</t>
  </si>
  <si>
    <t>+549512550180</t>
  </si>
  <si>
    <t>Fraire  Valentina</t>
  </si>
  <si>
    <t>+549513232626</t>
  </si>
  <si>
    <t xml:space="preserve">Rodríguez  Juana </t>
  </si>
  <si>
    <t>+549515311574</t>
  </si>
  <si>
    <t>Intili Marcos</t>
  </si>
  <si>
    <t>+549515165553</t>
  </si>
  <si>
    <t>Patrignani Miguel</t>
  </si>
  <si>
    <t>+549517059127</t>
  </si>
  <si>
    <t xml:space="preserve">Moyano Alicia Alejandra </t>
  </si>
  <si>
    <t>+549516869222</t>
  </si>
  <si>
    <t>Luque Maria</t>
  </si>
  <si>
    <t>+549516468636</t>
  </si>
  <si>
    <t>Oviedo Fabio</t>
  </si>
  <si>
    <t>+549513090464</t>
  </si>
  <si>
    <t>Santillan  Nicolas</t>
  </si>
  <si>
    <t>+549512526328</t>
  </si>
  <si>
    <t xml:space="preserve">Contreras  Lucas David </t>
  </si>
  <si>
    <t>+549512179377</t>
  </si>
  <si>
    <t xml:space="preserve">Tomé  Hugo Dante </t>
  </si>
  <si>
    <t>+549518171709</t>
  </si>
  <si>
    <t>Cordero Ángeles</t>
  </si>
  <si>
    <t>+549517668014</t>
  </si>
  <si>
    <t>Hurtado Valentina</t>
  </si>
  <si>
    <t>+549518643090</t>
  </si>
  <si>
    <t xml:space="preserve">Menéndez Argañaras  Graciela María </t>
  </si>
  <si>
    <t>+549515523954</t>
  </si>
  <si>
    <t>Cattaneo  Santiago Andres</t>
  </si>
  <si>
    <t>+549517564453</t>
  </si>
  <si>
    <t>Pulita  Santiago</t>
  </si>
  <si>
    <t>+549518017718</t>
  </si>
  <si>
    <t>Pavani Delfina</t>
  </si>
  <si>
    <t>+549516143065</t>
  </si>
  <si>
    <t>Borthiry Franco</t>
  </si>
  <si>
    <t>+549512537189</t>
  </si>
  <si>
    <t xml:space="preserve">Giuliani  Emanuel </t>
  </si>
  <si>
    <t>+549517555421</t>
  </si>
  <si>
    <t>Atti Maria ines</t>
  </si>
  <si>
    <t>+549515900607</t>
  </si>
  <si>
    <t>Wayar Samiel</t>
  </si>
  <si>
    <t>+549517350066</t>
  </si>
  <si>
    <t>Balestrini Nicolas</t>
  </si>
  <si>
    <t>+549517674121</t>
  </si>
  <si>
    <t>Garcia  Claudio</t>
  </si>
  <si>
    <t>+549512185759</t>
  </si>
  <si>
    <t>Ferla Grazia</t>
  </si>
  <si>
    <t>+549513029274</t>
  </si>
  <si>
    <t xml:space="preserve">Nieto Ramirez  Benjamin </t>
  </si>
  <si>
    <t>+549513865777</t>
  </si>
  <si>
    <t>Fabaro Maria Teresa</t>
  </si>
  <si>
    <t>+549512380824</t>
  </si>
  <si>
    <t>Saavedra Lautaro</t>
  </si>
  <si>
    <t>+549518050928</t>
  </si>
  <si>
    <t>Herreros Gustavo</t>
  </si>
  <si>
    <t>+549516777703</t>
  </si>
  <si>
    <t>Martini Nicolas</t>
  </si>
  <si>
    <t>+54993485174886</t>
  </si>
  <si>
    <t xml:space="preserve">Hernandez  Marta Elena </t>
  </si>
  <si>
    <t>+549517358844</t>
  </si>
  <si>
    <t>Pavani Gabriel</t>
  </si>
  <si>
    <t>+549516340660</t>
  </si>
  <si>
    <t xml:space="preserve">Usandivaras  Monica alejandra </t>
  </si>
  <si>
    <t>+549513301429</t>
  </si>
  <si>
    <t>Herrera Candelaria</t>
  </si>
  <si>
    <t>+549515929933</t>
  </si>
  <si>
    <t>TABORDA DENIS</t>
  </si>
  <si>
    <t>+549576522726</t>
  </si>
  <si>
    <t>Ferrari Mateo</t>
  </si>
  <si>
    <t>+549517642959</t>
  </si>
  <si>
    <t>FUENTES JORGE ALBERTO</t>
  </si>
  <si>
    <t>+549515504001</t>
  </si>
  <si>
    <t>TABORDA Denis</t>
  </si>
  <si>
    <t>SIRONI Francisco</t>
  </si>
  <si>
    <t>+549513835080</t>
  </si>
  <si>
    <t>FERRERO Gustavo</t>
  </si>
  <si>
    <t>+549516175792</t>
  </si>
  <si>
    <t>Canessini Nicolas</t>
  </si>
  <si>
    <t>+549515933992</t>
  </si>
  <si>
    <t>TRUCCO MARIO</t>
  </si>
  <si>
    <t>+549513529639</t>
  </si>
  <si>
    <t>Dallegre Antonella</t>
  </si>
  <si>
    <t>+549512205620</t>
  </si>
  <si>
    <t xml:space="preserve">Demaría  Rodolfo Alejandro </t>
  </si>
  <si>
    <t>+549516597726</t>
  </si>
  <si>
    <t>Bazan Marcos</t>
  </si>
  <si>
    <t>+549513726770</t>
  </si>
  <si>
    <t>Hernandez Roxana</t>
  </si>
  <si>
    <t>+549516876546</t>
  </si>
  <si>
    <t>Gadea Jorge</t>
  </si>
  <si>
    <t>+549516815531</t>
  </si>
  <si>
    <t>Muñoz Martin</t>
  </si>
  <si>
    <t>+549516535691</t>
  </si>
  <si>
    <t xml:space="preserve">Villega Hebe lorena </t>
  </si>
  <si>
    <t>+549513021922</t>
  </si>
  <si>
    <t>Gallerino Jorge</t>
  </si>
  <si>
    <t>+549512512427</t>
  </si>
  <si>
    <t>Romero Alejandro</t>
  </si>
  <si>
    <t>+549515429030</t>
  </si>
  <si>
    <t>Pueyrredon Catalina</t>
  </si>
  <si>
    <t>+549516439701</t>
  </si>
  <si>
    <t>Vigilante Claudia</t>
  </si>
  <si>
    <t>+549517051244</t>
  </si>
  <si>
    <t>Carignano Gustavo</t>
  </si>
  <si>
    <t>+549513435345</t>
  </si>
  <si>
    <t>BACCOLA ESTELA</t>
  </si>
  <si>
    <t>+549512439697</t>
  </si>
  <si>
    <t>Gonzalez Nestor</t>
  </si>
  <si>
    <t>+549516856322</t>
  </si>
  <si>
    <t>Varea Matias</t>
  </si>
  <si>
    <t>+549585147531</t>
  </si>
  <si>
    <t>MALDONADO Mauricio</t>
  </si>
  <si>
    <t>+549513226500</t>
  </si>
  <si>
    <t>Aznarez Juana</t>
  </si>
  <si>
    <t>+549517567169</t>
  </si>
  <si>
    <t>Palmieri Carla</t>
  </si>
  <si>
    <t>+549549454078</t>
  </si>
  <si>
    <t>allende julian</t>
  </si>
  <si>
    <t>+549517464820</t>
  </si>
  <si>
    <t>Racca Maria Veronica</t>
  </si>
  <si>
    <t>+549516001979</t>
  </si>
  <si>
    <t>Navas Sofia</t>
  </si>
  <si>
    <t>+549516957798</t>
  </si>
  <si>
    <t>Bustos María</t>
  </si>
  <si>
    <t>+549515914849</t>
  </si>
  <si>
    <t xml:space="preserve">Robotti  Sebastian </t>
  </si>
  <si>
    <t>+549516784956</t>
  </si>
  <si>
    <t xml:space="preserve">Ferrer Gina </t>
  </si>
  <si>
    <t>+549513529301</t>
  </si>
  <si>
    <t>Hinga Oscar</t>
  </si>
  <si>
    <t>+549515102216</t>
  </si>
  <si>
    <t>ARCE Juan</t>
  </si>
  <si>
    <t>+549518792958</t>
  </si>
  <si>
    <t>FERNANDEZ GABRIEL</t>
  </si>
  <si>
    <t>+549513176900</t>
  </si>
  <si>
    <t>DOMINGUEZ  Marta</t>
  </si>
  <si>
    <t>+549515995584</t>
  </si>
  <si>
    <t>Figueroa Alejandro</t>
  </si>
  <si>
    <t>+549517435050</t>
  </si>
  <si>
    <t>Quinteros Francisco</t>
  </si>
  <si>
    <t>+549512357187</t>
  </si>
  <si>
    <t>Russo Martin</t>
  </si>
  <si>
    <t>+549516371178</t>
  </si>
  <si>
    <t>DALLEGRE Enrrique</t>
  </si>
  <si>
    <t>+549516520703</t>
  </si>
  <si>
    <t>Gonzalez Luciano Emanuel</t>
  </si>
  <si>
    <t>+549512683711</t>
  </si>
  <si>
    <t>Gomez Altamirano  Pedro alejandro</t>
  </si>
  <si>
    <t>+549517696439</t>
  </si>
  <si>
    <t>Costa Sanchez Virginia</t>
  </si>
  <si>
    <t>+549516619200</t>
  </si>
  <si>
    <t xml:space="preserve">Spataro  Alejandro Pedro </t>
  </si>
  <si>
    <t>+549515339130</t>
  </si>
  <si>
    <t>Leiva Viviana</t>
  </si>
  <si>
    <t>+549515155206</t>
  </si>
  <si>
    <t>Scott William</t>
  </si>
  <si>
    <t>+549516724499</t>
  </si>
  <si>
    <t>Gil Fiorenza Alicia</t>
  </si>
  <si>
    <t>+549517013688</t>
  </si>
  <si>
    <t>Gomez  Alexis joel</t>
  </si>
  <si>
    <t>+549516014408</t>
  </si>
  <si>
    <t>Salamone Simon</t>
  </si>
  <si>
    <t>+549513515911</t>
  </si>
  <si>
    <t>Bordino Alvaro</t>
  </si>
  <si>
    <t>Bonsignore Daniele  Lourdes</t>
  </si>
  <si>
    <t>+549515914755</t>
  </si>
  <si>
    <t>Lavayen Agustin</t>
  </si>
  <si>
    <t>+549516811228</t>
  </si>
  <si>
    <t>Reyna Cristian Nicolas</t>
  </si>
  <si>
    <t>+549516629076</t>
  </si>
  <si>
    <t>Roch Florencia</t>
  </si>
  <si>
    <t>+549513842740</t>
  </si>
  <si>
    <t>Paolini Wendy</t>
  </si>
  <si>
    <t>+549515946901</t>
  </si>
  <si>
    <t>ZALAZAR  Jorge Andres</t>
  </si>
  <si>
    <t>+549518100318</t>
  </si>
  <si>
    <t>Dorflinger  Karina</t>
  </si>
  <si>
    <t>+549512037904</t>
  </si>
  <si>
    <t xml:space="preserve">Genth Susana </t>
  </si>
  <si>
    <t>+549516187661</t>
  </si>
  <si>
    <t>Ford Estela nora</t>
  </si>
  <si>
    <t>+549513220214</t>
  </si>
  <si>
    <t>Salvatierra Jesica</t>
  </si>
  <si>
    <t>+549512728398</t>
  </si>
  <si>
    <t>Casado Delfina</t>
  </si>
  <si>
    <t>+549513856349</t>
  </si>
  <si>
    <t xml:space="preserve">SOBA SAID EMANUEL </t>
  </si>
  <si>
    <t>+549515587733</t>
  </si>
  <si>
    <t>Lavayen Constanza</t>
  </si>
  <si>
    <t>+549517056910</t>
  </si>
  <si>
    <t>Sajama Mauricio</t>
  </si>
  <si>
    <t>+549513957444</t>
  </si>
  <si>
    <t>Arraya Adrian</t>
  </si>
  <si>
    <t>+549517068363</t>
  </si>
  <si>
    <t>ARAGNO JAVIER CARLOS</t>
  </si>
  <si>
    <t>+549512068678</t>
  </si>
  <si>
    <t>Peralta Gabriel</t>
  </si>
  <si>
    <t>+549517506330</t>
  </si>
  <si>
    <t>Perez Flavio agustin</t>
  </si>
  <si>
    <t>+549513818130</t>
  </si>
  <si>
    <t>Llorens Juan sebastian</t>
  </si>
  <si>
    <t>GOMEZ NATALIA</t>
  </si>
  <si>
    <t>+549512211627</t>
  </si>
  <si>
    <t>Berardo Nicolas</t>
  </si>
  <si>
    <t>+549534820680</t>
  </si>
  <si>
    <t>Machado  Francisco</t>
  </si>
  <si>
    <t>+549515088712</t>
  </si>
  <si>
    <t>Vincen Pablo</t>
  </si>
  <si>
    <t>+549517446263</t>
  </si>
  <si>
    <t xml:space="preserve">Sanchez  Macarena </t>
  </si>
  <si>
    <t>+549517366155</t>
  </si>
  <si>
    <t xml:space="preserve">Paz Juan Cruz </t>
  </si>
  <si>
    <t>+549513412384</t>
  </si>
  <si>
    <t xml:space="preserve">Ottaviani Piero </t>
  </si>
  <si>
    <t>+549513852512</t>
  </si>
  <si>
    <t>Weinhönig Björn</t>
  </si>
  <si>
    <t>+549512581809</t>
  </si>
  <si>
    <t>JAROVSKY ILAN</t>
  </si>
  <si>
    <t>+549517673918</t>
  </si>
  <si>
    <t xml:space="preserve">Battistelli Adriana </t>
  </si>
  <si>
    <t>+549517872352</t>
  </si>
  <si>
    <t>Bartolacci Mario</t>
  </si>
  <si>
    <t>+549518128884</t>
  </si>
  <si>
    <t>Morcillo Alejandra</t>
  </si>
  <si>
    <t>+549513037791</t>
  </si>
  <si>
    <t xml:space="preserve">Moreno Diego </t>
  </si>
  <si>
    <t>+549512339426</t>
  </si>
  <si>
    <t>Bonsignore Lara</t>
  </si>
  <si>
    <t>+549513246122</t>
  </si>
  <si>
    <t xml:space="preserve">Molina  Adriana  Leticia </t>
  </si>
  <si>
    <t>+549515404114</t>
  </si>
  <si>
    <t>omis tomas</t>
  </si>
  <si>
    <t>+549513945282</t>
  </si>
  <si>
    <t>Guevara Leandro</t>
  </si>
  <si>
    <t>+549512205936</t>
  </si>
  <si>
    <t xml:space="preserve">Costantino  Gaston </t>
  </si>
  <si>
    <t>+549512018717</t>
  </si>
  <si>
    <t>Amorini Juan Pablo</t>
  </si>
  <si>
    <t>+549512337731</t>
  </si>
  <si>
    <t>Ramirez Aurora Beatriz</t>
  </si>
  <si>
    <t>+549513820345</t>
  </si>
  <si>
    <t xml:space="preserve">SOTO ROJAS Ignacio Mateo </t>
  </si>
  <si>
    <t>+549512125057</t>
  </si>
  <si>
    <t>Tosolini Luis Guillermo</t>
  </si>
  <si>
    <t>+549516724587</t>
  </si>
  <si>
    <t>Musella Monnier  Máximo</t>
  </si>
  <si>
    <t>+549515329739</t>
  </si>
  <si>
    <t xml:space="preserve">Maza Carlos Dario </t>
  </si>
  <si>
    <t>+549512421378</t>
  </si>
  <si>
    <t>Carranza Juan Cruz</t>
  </si>
  <si>
    <t>+549513037002</t>
  </si>
  <si>
    <t>Espinoza Edith</t>
  </si>
  <si>
    <t>+549516159236</t>
  </si>
  <si>
    <t>Pilone Alejandro</t>
  </si>
  <si>
    <t>+549512314596</t>
  </si>
  <si>
    <t>Chavez  Daniela</t>
  </si>
  <si>
    <t>+549515471795</t>
  </si>
  <si>
    <t>Bongiorni Agustina</t>
  </si>
  <si>
    <t>+549123886159</t>
  </si>
  <si>
    <t xml:space="preserve">Rivilli Damián Plácido </t>
  </si>
  <si>
    <t>+549515585740</t>
  </si>
  <si>
    <t>Novillo Emiliano</t>
  </si>
  <si>
    <t>+549512272206</t>
  </si>
  <si>
    <t>Peralta Daniel</t>
  </si>
  <si>
    <t>+549516564532</t>
  </si>
  <si>
    <t xml:space="preserve">Rios Andres </t>
  </si>
  <si>
    <t>+549515081835</t>
  </si>
  <si>
    <t>Ceballos Francisco Agustin</t>
  </si>
  <si>
    <t>+549517552344</t>
  </si>
  <si>
    <t>Herrera Leonel federico</t>
  </si>
  <si>
    <t>+549516468723</t>
  </si>
  <si>
    <t>Gomez Sabrina</t>
  </si>
  <si>
    <t>+549516165805</t>
  </si>
  <si>
    <t>Varoli Nilda</t>
  </si>
  <si>
    <t>+549513974629</t>
  </si>
  <si>
    <t xml:space="preserve">Vaca Starodubskys  Enzo Martin </t>
  </si>
  <si>
    <t>+549516260284</t>
  </si>
  <si>
    <t>Solis Elva del Valle</t>
  </si>
  <si>
    <t>+549518119918</t>
  </si>
  <si>
    <t xml:space="preserve">Osorio Carla Guadalupe </t>
  </si>
  <si>
    <t>+549516339420</t>
  </si>
  <si>
    <t>Boriglio Hernan</t>
  </si>
  <si>
    <t>+549516430542</t>
  </si>
  <si>
    <t>Peralta Patricia</t>
  </si>
  <si>
    <t>+549515477733</t>
  </si>
  <si>
    <t>Rossi Paulino</t>
  </si>
  <si>
    <t>+549964410225</t>
  </si>
  <si>
    <t>Lerda Maximiliano</t>
  </si>
  <si>
    <t>+549515737919</t>
  </si>
  <si>
    <t>Bertetti Adrian</t>
  </si>
  <si>
    <t>+549512230904</t>
  </si>
  <si>
    <t>Bardus Alan</t>
  </si>
  <si>
    <t>+549517963302</t>
  </si>
  <si>
    <t xml:space="preserve">Miretti  Jorge </t>
  </si>
  <si>
    <t>+549512280313</t>
  </si>
  <si>
    <t>Barrionuevo  Ileana</t>
  </si>
  <si>
    <t>+549513251452</t>
  </si>
  <si>
    <t>Ferez Maximiliano</t>
  </si>
  <si>
    <t>+549794700700</t>
  </si>
  <si>
    <t>Beker Judith</t>
  </si>
  <si>
    <t>+549515076894</t>
  </si>
  <si>
    <t>Gonzalez Sonia</t>
  </si>
  <si>
    <t>+549512272950</t>
  </si>
  <si>
    <t>Dottori Benicio</t>
  </si>
  <si>
    <t>Martínez Grimaldi  Julieta</t>
  </si>
  <si>
    <t>+549512286465</t>
  </si>
  <si>
    <t xml:space="preserve">Quevedo  Claudia Ariana </t>
  </si>
  <si>
    <t>+549512033019</t>
  </si>
  <si>
    <t>Serafini Claudio</t>
  </si>
  <si>
    <t>+549516802585</t>
  </si>
  <si>
    <t>Rodriguez Javier</t>
  </si>
  <si>
    <t>+549513049933</t>
  </si>
  <si>
    <t>Puccio Maria fernanda</t>
  </si>
  <si>
    <t>+549513189627</t>
  </si>
  <si>
    <t xml:space="preserve">Ortega  Noelia </t>
  </si>
  <si>
    <t>+549516233665</t>
  </si>
  <si>
    <t xml:space="preserve">Carotti  Juan Ignacio </t>
  </si>
  <si>
    <t>+549516068850</t>
  </si>
  <si>
    <t>Colalillo Fernando</t>
  </si>
  <si>
    <t>+549515550823</t>
  </si>
  <si>
    <t>Garcia Graciela Isabel</t>
  </si>
  <si>
    <t>+549515187279</t>
  </si>
  <si>
    <t>GIACHE ANDREA</t>
  </si>
  <si>
    <t>+549516263835</t>
  </si>
  <si>
    <t>Saad Patricia</t>
  </si>
  <si>
    <t>+549515393920</t>
  </si>
  <si>
    <t>Agüero Nidia Ester</t>
  </si>
  <si>
    <t>+549513587000</t>
  </si>
  <si>
    <t>Bonfati Santino</t>
  </si>
  <si>
    <t>+549512346796</t>
  </si>
  <si>
    <t>Navarro Nahuel</t>
  </si>
  <si>
    <t>+549513862586</t>
  </si>
  <si>
    <t>Gandolfo Pedro</t>
  </si>
  <si>
    <t>+549515177638</t>
  </si>
  <si>
    <t>CONTE Andrea Fabiana</t>
  </si>
  <si>
    <t>+549518635433</t>
  </si>
  <si>
    <t>Massaccesi Sergio Mauricio</t>
  </si>
  <si>
    <t>+549512590916</t>
  </si>
  <si>
    <t>Heredia Edelstein Gonzalo</t>
  </si>
  <si>
    <t>+549517691147</t>
  </si>
  <si>
    <t>Gomez Roberto</t>
  </si>
  <si>
    <t>+549517544794</t>
  </si>
  <si>
    <t>Aguirre Luis Feliciano</t>
  </si>
  <si>
    <t>+549515953559</t>
  </si>
  <si>
    <t xml:space="preserve">Hurtado  Valentina </t>
  </si>
  <si>
    <t>Avendaño Silvina</t>
  </si>
  <si>
    <t>+549512338865</t>
  </si>
  <si>
    <t>ROLDÁN  Jose</t>
  </si>
  <si>
    <t>+549517633277</t>
  </si>
  <si>
    <t>Arguello Laura</t>
  </si>
  <si>
    <t>+549455202012</t>
  </si>
  <si>
    <t>Cecchi Nicolas</t>
  </si>
  <si>
    <t>+549512317248</t>
  </si>
  <si>
    <t>gibellini ezequiel</t>
  </si>
  <si>
    <t>+549518029865</t>
  </si>
  <si>
    <t>Contreras Sonia</t>
  </si>
  <si>
    <t>+549513079243</t>
  </si>
  <si>
    <t>DAJRUCH Liliana</t>
  </si>
  <si>
    <t>+549512949624</t>
  </si>
  <si>
    <t>Almada Luciana</t>
  </si>
  <si>
    <t>+549512013979</t>
  </si>
  <si>
    <t xml:space="preserve">Coleoni  Lázaro </t>
  </si>
  <si>
    <t>+549541623935</t>
  </si>
  <si>
    <t>Rigoni Camila</t>
  </si>
  <si>
    <t>+549513935846</t>
  </si>
  <si>
    <t>Sarrá Liliana Beatriz</t>
  </si>
  <si>
    <t>+549516454969</t>
  </si>
  <si>
    <t>Bertazzo Carlos Marcelo</t>
  </si>
  <si>
    <t>+549516300421</t>
  </si>
  <si>
    <t xml:space="preserve">Labrada Restrepo Patricia </t>
  </si>
  <si>
    <t>+549515208163</t>
  </si>
  <si>
    <t>Serrano Angel</t>
  </si>
  <si>
    <t>+549513100273</t>
  </si>
  <si>
    <t>Palavecino Franco</t>
  </si>
  <si>
    <t>+549517728306</t>
  </si>
  <si>
    <t>Soria Lucas Martin</t>
  </si>
  <si>
    <t>+549513525964</t>
  </si>
  <si>
    <t>Bonifacio Carina</t>
  </si>
  <si>
    <t>+549516839702</t>
  </si>
  <si>
    <t>Giorgi Ivan</t>
  </si>
  <si>
    <t>+549516146528</t>
  </si>
  <si>
    <t xml:space="preserve">Garay Jenifer </t>
  </si>
  <si>
    <t>+549512090869</t>
  </si>
  <si>
    <t xml:space="preserve">Nuñez  Alfredo Ernesto </t>
  </si>
  <si>
    <t>+549516688686</t>
  </si>
  <si>
    <t xml:space="preserve">Aguero Nidia </t>
  </si>
  <si>
    <t xml:space="preserve">Baroni Tania Anahí </t>
  </si>
  <si>
    <t>+549515193313</t>
  </si>
  <si>
    <t>Novaira Alejandra</t>
  </si>
  <si>
    <t>+549515607661</t>
  </si>
  <si>
    <t>Marques Jose Eduardo</t>
  </si>
  <si>
    <t>+549513979501</t>
  </si>
  <si>
    <t xml:space="preserve">Loforte  Diego </t>
  </si>
  <si>
    <t>+549512082142</t>
  </si>
  <si>
    <t xml:space="preserve">Rodolfi Juan Cruz </t>
  </si>
  <si>
    <t>+549512107843</t>
  </si>
  <si>
    <t>Martínez  Esmeralda</t>
  </si>
  <si>
    <t>+549517049267</t>
  </si>
  <si>
    <t xml:space="preserve">Balestrini  Agustina Belén </t>
  </si>
  <si>
    <t>+549512051211</t>
  </si>
  <si>
    <t>HERNANDEZ Maria Cecilia</t>
  </si>
  <si>
    <t>+549512630652</t>
  </si>
  <si>
    <t>Oviedo  Camila lucía</t>
  </si>
  <si>
    <t>+549512397685</t>
  </si>
  <si>
    <t>Boretto  Andrea</t>
  </si>
  <si>
    <t>+549512343275</t>
  </si>
  <si>
    <t>Irisarri Carlos</t>
  </si>
  <si>
    <t>+549513571392</t>
  </si>
  <si>
    <t>Pereira Cabrera Maria Laura</t>
  </si>
  <si>
    <t>+549512451017</t>
  </si>
  <si>
    <t>Irisarri  Tomas</t>
  </si>
  <si>
    <t>+549512620340</t>
  </si>
  <si>
    <t xml:space="preserve">Chancalay  María Victoria </t>
  </si>
  <si>
    <t>+549516991024</t>
  </si>
  <si>
    <t>Arab cohen Leonardo</t>
  </si>
  <si>
    <t>+549513416296</t>
  </si>
  <si>
    <t>Montero Lautaro</t>
  </si>
  <si>
    <t>+549512001589</t>
  </si>
  <si>
    <t xml:space="preserve">Llanos  Debora marina </t>
  </si>
  <si>
    <t>+549515304633</t>
  </si>
  <si>
    <t>Salamone Mario</t>
  </si>
  <si>
    <t>+549515954670</t>
  </si>
  <si>
    <t>Romera Analia</t>
  </si>
  <si>
    <t>+549512336451</t>
  </si>
  <si>
    <t>Pisarskis Lautaro</t>
  </si>
  <si>
    <t>+549513053037</t>
  </si>
  <si>
    <t>Ahumada Lucas</t>
  </si>
  <si>
    <t>+549516258020</t>
  </si>
  <si>
    <t>Valdez Agustin Ernesto</t>
  </si>
  <si>
    <t>+549518588248</t>
  </si>
  <si>
    <t>Lozano Brisa</t>
  </si>
  <si>
    <t>+549512091753</t>
  </si>
  <si>
    <t>Arab Cohen Eduardo</t>
  </si>
  <si>
    <t>+549516569411</t>
  </si>
  <si>
    <t>rodriguez luis martin</t>
  </si>
  <si>
    <t>+549152483323</t>
  </si>
  <si>
    <t xml:space="preserve">Diaz Juan Eduardo </t>
  </si>
  <si>
    <t>+549517607935</t>
  </si>
  <si>
    <t>Larrey Diego Francisco</t>
  </si>
  <si>
    <t>+549514033772</t>
  </si>
  <si>
    <t>Nieto Manuel</t>
  </si>
  <si>
    <t>+549516187533</t>
  </si>
  <si>
    <t>Moix Javier</t>
  </si>
  <si>
    <t>+549513326266</t>
  </si>
  <si>
    <t>FOURCADE Valentina</t>
  </si>
  <si>
    <t>+549512035054</t>
  </si>
  <si>
    <t xml:space="preserve">Cuello Jose </t>
  </si>
  <si>
    <t>+549518650307</t>
  </si>
  <si>
    <t>Baravalle Bautista</t>
  </si>
  <si>
    <t>+549516830023</t>
  </si>
  <si>
    <t>Baravalle Benjamin</t>
  </si>
  <si>
    <t>BORGNA SACHA NAHUEL</t>
  </si>
  <si>
    <t>+549516262969</t>
  </si>
  <si>
    <t>Travella Guido</t>
  </si>
  <si>
    <t>+5493516300005</t>
  </si>
  <si>
    <t>Avella Amelia</t>
  </si>
  <si>
    <t>+549513282084</t>
  </si>
  <si>
    <t>nardelli marian</t>
  </si>
  <si>
    <t>+549517325355</t>
  </si>
  <si>
    <t>Micolini Isabel</t>
  </si>
  <si>
    <t>+549512373722</t>
  </si>
  <si>
    <t xml:space="preserve">Santodomingo  Luis Antonio </t>
  </si>
  <si>
    <t>+549513432313</t>
  </si>
  <si>
    <t>Reyna  Nicolas</t>
  </si>
  <si>
    <t>+549518127039</t>
  </si>
  <si>
    <t>Giannoboli Ciro</t>
  </si>
  <si>
    <t>+549517659763</t>
  </si>
  <si>
    <t xml:space="preserve">Vargas Rocío Belen </t>
  </si>
  <si>
    <t>+549513349220</t>
  </si>
  <si>
    <t>ARIAS Sergio Sebastián</t>
  </si>
  <si>
    <t>+549150959593</t>
  </si>
  <si>
    <t>Rover olivera  Julian</t>
  </si>
  <si>
    <t>+549513592526</t>
  </si>
  <si>
    <t>Baena Daniel</t>
  </si>
  <si>
    <t>+549515114143</t>
  </si>
  <si>
    <t>Polesel Facundo</t>
  </si>
  <si>
    <t>Sarsur  Celia</t>
  </si>
  <si>
    <t>+549516086487</t>
  </si>
  <si>
    <t>German Guillermo</t>
  </si>
  <si>
    <t>+549515317558</t>
  </si>
  <si>
    <t>Lozano Santiago</t>
  </si>
  <si>
    <t>+549517913805</t>
  </si>
  <si>
    <t>Rover Julian</t>
  </si>
  <si>
    <t>+549516512619</t>
  </si>
  <si>
    <t>Bomone Carlos horacio</t>
  </si>
  <si>
    <t>+549516424506</t>
  </si>
  <si>
    <t>Tillard Mateo</t>
  </si>
  <si>
    <t>+549515557367</t>
  </si>
  <si>
    <t xml:space="preserve">Mendoza chavez  Rosa esther </t>
  </si>
  <si>
    <t>+549515106479</t>
  </si>
  <si>
    <t>DEA COL Pedro</t>
  </si>
  <si>
    <t>+549512191217</t>
  </si>
  <si>
    <t>Vaca Miguel</t>
  </si>
  <si>
    <t>+549515406413</t>
  </si>
  <si>
    <t>Delatorre Sebastian</t>
  </si>
  <si>
    <t>+549513054939</t>
  </si>
  <si>
    <t>Costa Santiago</t>
  </si>
  <si>
    <t>+549512101784</t>
  </si>
  <si>
    <t>Nieto Bastian</t>
  </si>
  <si>
    <t>+549515104601</t>
  </si>
  <si>
    <t>Martínez  Dolores</t>
  </si>
  <si>
    <t>+549517069048</t>
  </si>
  <si>
    <t>Bruno Jonathan Gabriel</t>
  </si>
  <si>
    <t>+549513165576</t>
  </si>
  <si>
    <t xml:space="preserve">Nuccetelli  Federico </t>
  </si>
  <si>
    <t>+549512378483</t>
  </si>
  <si>
    <t xml:space="preserve">Pacher Maria Eugenia </t>
  </si>
  <si>
    <t>+549513573431</t>
  </si>
  <si>
    <t>Nores Nicolas Luis</t>
  </si>
  <si>
    <t>+549515317848</t>
  </si>
  <si>
    <t>Acosta Ezequiel</t>
  </si>
  <si>
    <t>+549513395407</t>
  </si>
  <si>
    <t>bonetto Alicia Beatriz</t>
  </si>
  <si>
    <t>+549516465446</t>
  </si>
  <si>
    <t>Moreno Salinas Camila</t>
  </si>
  <si>
    <t>+549513929219</t>
  </si>
  <si>
    <t xml:space="preserve">Sanchez  Eliana </t>
  </si>
  <si>
    <t>+549512488931</t>
  </si>
  <si>
    <t>Menacho David</t>
  </si>
  <si>
    <t>+549516167281</t>
  </si>
  <si>
    <t xml:space="preserve">PARASKEVOPULOS Marco Antonio </t>
  </si>
  <si>
    <t>+549515631822</t>
  </si>
  <si>
    <t>vaschetti mariano</t>
  </si>
  <si>
    <t>+549517674577</t>
  </si>
  <si>
    <t>Armando Marcos Ezequiel</t>
  </si>
  <si>
    <t>Merlini Guadalupe</t>
  </si>
  <si>
    <t>+549564333703</t>
  </si>
  <si>
    <t>Valles Gabriel agustin</t>
  </si>
  <si>
    <t>+549516173592</t>
  </si>
  <si>
    <t>Reano Veronica</t>
  </si>
  <si>
    <t>+549516619705</t>
  </si>
  <si>
    <t xml:space="preserve">Takaya  Ana María </t>
  </si>
  <si>
    <t>+549513859662</t>
  </si>
  <si>
    <t xml:space="preserve">Quispe Zevallos  Fernando Mateo </t>
  </si>
  <si>
    <t>+549518029805</t>
  </si>
  <si>
    <t>Palacios Ana Paula</t>
  </si>
  <si>
    <t>+549517357423</t>
  </si>
  <si>
    <t>Reyes Pilar</t>
  </si>
  <si>
    <t>+549515928931</t>
  </si>
  <si>
    <t>RAUEH  ADRIANA</t>
  </si>
  <si>
    <t>+549513211132</t>
  </si>
  <si>
    <t>Kerkebe Jorge Adrián</t>
  </si>
  <si>
    <t>+549515116201</t>
  </si>
  <si>
    <t>Desposito Hernán</t>
  </si>
  <si>
    <t>+549512594972</t>
  </si>
  <si>
    <t>Martinez Gonzalo</t>
  </si>
  <si>
    <t>+549513880924</t>
  </si>
  <si>
    <t>BALZI SANTINO</t>
  </si>
  <si>
    <t>+549516327965</t>
  </si>
  <si>
    <t>Maccio Matias</t>
  </si>
  <si>
    <t>+549517630449</t>
  </si>
  <si>
    <t>Lazaro Dardo omar</t>
  </si>
  <si>
    <t>+549944606553</t>
  </si>
  <si>
    <t>Pappalardo Juan</t>
  </si>
  <si>
    <t>+549516371481</t>
  </si>
  <si>
    <t>Giovannoni caminos Graciela maria</t>
  </si>
  <si>
    <t>+549415779654</t>
  </si>
  <si>
    <t xml:space="preserve">Beltran Lanfranconi  Tatiana </t>
  </si>
  <si>
    <t>+549517678122</t>
  </si>
  <si>
    <t>Munch Rabanal Oriana</t>
  </si>
  <si>
    <t>+549516332430</t>
  </si>
  <si>
    <t>Apfelbaum Julieta</t>
  </si>
  <si>
    <t>+549515913364</t>
  </si>
  <si>
    <t>Reviglio Hilda</t>
  </si>
  <si>
    <t>+549516646943</t>
  </si>
  <si>
    <t>Ferreyra Gonzalo</t>
  </si>
  <si>
    <t>+549572548472</t>
  </si>
  <si>
    <t>Ercoli Matias</t>
  </si>
  <si>
    <t>+549512727110</t>
  </si>
  <si>
    <t>Giacomelli Lucila</t>
  </si>
  <si>
    <t>+549516765970</t>
  </si>
  <si>
    <t>Tita Ileana Micaela</t>
  </si>
  <si>
    <t>+549515908389</t>
  </si>
  <si>
    <t>LOPEZ Maite</t>
  </si>
  <si>
    <t>+549518080998</t>
  </si>
  <si>
    <t>Ochandorena Martin</t>
  </si>
  <si>
    <t>+549512238507</t>
  </si>
  <si>
    <t xml:space="preserve">Moyano Magdalena </t>
  </si>
  <si>
    <t>+549516872041</t>
  </si>
  <si>
    <t>Almada Luis Ricardo</t>
  </si>
  <si>
    <t>+549516379799</t>
  </si>
  <si>
    <t xml:space="preserve">Orlandi Olga E. </t>
  </si>
  <si>
    <t>Martinez Gabriela</t>
  </si>
  <si>
    <t>+549516641216</t>
  </si>
  <si>
    <t>Solana Martinez  Lourdes</t>
  </si>
  <si>
    <t>+549516136605</t>
  </si>
  <si>
    <t>Bohne Erica</t>
  </si>
  <si>
    <t>+549513545007</t>
  </si>
  <si>
    <t>Amato Melanie Sol</t>
  </si>
  <si>
    <t>+549512480097</t>
  </si>
  <si>
    <t>Ketibian Fabian</t>
  </si>
  <si>
    <t>+549515186926</t>
  </si>
  <si>
    <t>Alvarez Marcelo</t>
  </si>
  <si>
    <t>+549516547039</t>
  </si>
  <si>
    <t>La Valva Trinidad</t>
  </si>
  <si>
    <t>+549512606496</t>
  </si>
  <si>
    <t>Festa Walter</t>
  </si>
  <si>
    <t>+549516878235</t>
  </si>
  <si>
    <t>Salguero  Daniel</t>
  </si>
  <si>
    <t>+549518058807</t>
  </si>
  <si>
    <t xml:space="preserve">Bruzzo César </t>
  </si>
  <si>
    <t>+549513139577</t>
  </si>
  <si>
    <t>Atienza Julieta</t>
  </si>
  <si>
    <t>+549645300647</t>
  </si>
  <si>
    <t xml:space="preserve">Gudiño Ivana </t>
  </si>
  <si>
    <t>+549517548373</t>
  </si>
  <si>
    <t xml:space="preserve">Figueroa Giardi  Francisco Uriel </t>
  </si>
  <si>
    <t>+549543642008</t>
  </si>
  <si>
    <t xml:space="preserve">Carreras Julieta </t>
  </si>
  <si>
    <t>+549513083558</t>
  </si>
  <si>
    <t xml:space="preserve">Bergoglio Bruno </t>
  </si>
  <si>
    <t>+549517535954</t>
  </si>
  <si>
    <t>Sinastra Ezequiel</t>
  </si>
  <si>
    <t>+549512084672</t>
  </si>
  <si>
    <t xml:space="preserve">Leichner Matías </t>
  </si>
  <si>
    <t>+549512335760</t>
  </si>
  <si>
    <t>Capuano  Carolina</t>
  </si>
  <si>
    <t>+549517516899</t>
  </si>
  <si>
    <t>Martinez Marite</t>
  </si>
  <si>
    <t>+549513189626</t>
  </si>
  <si>
    <t xml:space="preserve">Barrera  Patricia </t>
  </si>
  <si>
    <t>+549513510244</t>
  </si>
  <si>
    <t xml:space="preserve">Vásquez  Inés María </t>
  </si>
  <si>
    <t>+549516109616</t>
  </si>
  <si>
    <t>Cecchi Valentin</t>
  </si>
  <si>
    <t>+549516893622</t>
  </si>
  <si>
    <t>MOLINA RICARDO JAVIER</t>
  </si>
  <si>
    <t>+549516331313</t>
  </si>
  <si>
    <t>Aliaga Maria Mercedes</t>
  </si>
  <si>
    <t>+549516128265</t>
  </si>
  <si>
    <t>Bonifacio Daniel</t>
  </si>
  <si>
    <t>+549515083098</t>
  </si>
  <si>
    <t xml:space="preserve">Magallanes  Rodrigo </t>
  </si>
  <si>
    <t>+549517674937</t>
  </si>
  <si>
    <t>Salas Yanina</t>
  </si>
  <si>
    <t>+549513912985</t>
  </si>
  <si>
    <t>BECCACECE  Mariela Vanina</t>
  </si>
  <si>
    <t>+549512069905</t>
  </si>
  <si>
    <t xml:space="preserve">Villafañe  Claudio </t>
  </si>
  <si>
    <t>+549515638053</t>
  </si>
  <si>
    <t xml:space="preserve">Soukiassian Patricia </t>
  </si>
  <si>
    <t>+549518613437</t>
  </si>
  <si>
    <t>Campos Julio</t>
  </si>
  <si>
    <t>+549513566060</t>
  </si>
  <si>
    <t>Moron Rodolfo  antonio</t>
  </si>
  <si>
    <t>+549512464627</t>
  </si>
  <si>
    <t>Naranjo Damian Joel</t>
  </si>
  <si>
    <t>+549516565317</t>
  </si>
  <si>
    <t xml:space="preserve">Madia Laura </t>
  </si>
  <si>
    <t>+549121629091</t>
  </si>
  <si>
    <t xml:space="preserve">Medina Gustavo Federico </t>
  </si>
  <si>
    <t>+549516756852</t>
  </si>
  <si>
    <t xml:space="preserve">Ferrarassi Britos  Nahuel </t>
  </si>
  <si>
    <t>+549516710990</t>
  </si>
  <si>
    <t>Vargas Fiorella</t>
  </si>
  <si>
    <t>+549517014769</t>
  </si>
  <si>
    <t>PERDOMO Antonella</t>
  </si>
  <si>
    <t>+549516819300</t>
  </si>
  <si>
    <t>Andretich Luciana</t>
  </si>
  <si>
    <t>+549516468609</t>
  </si>
  <si>
    <t>Nieto Collar Luciana</t>
  </si>
  <si>
    <t>+549518166981</t>
  </si>
  <si>
    <t>Andres  Juan Manuel</t>
  </si>
  <si>
    <t>+549513411318</t>
  </si>
  <si>
    <t>Carrizo Lucas</t>
  </si>
  <si>
    <t>+549513475545</t>
  </si>
  <si>
    <t>Palacio Cristian gustavo</t>
  </si>
  <si>
    <t>+549512711704</t>
  </si>
  <si>
    <t>Carignano Constanza</t>
  </si>
  <si>
    <t>+549517912616</t>
  </si>
  <si>
    <t>Rivera Nicolas</t>
  </si>
  <si>
    <t>+549512277895</t>
  </si>
  <si>
    <t>Ramirez Marino</t>
  </si>
  <si>
    <t>+549515995580</t>
  </si>
  <si>
    <t>Passerini Santiago</t>
  </si>
  <si>
    <t>+549517650020</t>
  </si>
  <si>
    <t xml:space="preserve">Flores bur  Emanuel </t>
  </si>
  <si>
    <t>+549518057754</t>
  </si>
  <si>
    <t>Cristori Nelson</t>
  </si>
  <si>
    <t>+549516604672</t>
  </si>
  <si>
    <t>Naranjo Osvaldo</t>
  </si>
  <si>
    <t>+549516569941</t>
  </si>
  <si>
    <t>Brizuela Camila</t>
  </si>
  <si>
    <t>+549513576861</t>
  </si>
  <si>
    <t>Gianni Juan</t>
  </si>
  <si>
    <t>+549516348177</t>
  </si>
  <si>
    <t xml:space="preserve">Gandolfi  Laura de Lourdes </t>
  </si>
  <si>
    <t>+549516229217</t>
  </si>
  <si>
    <t xml:space="preserve">González  Juan Ignacio </t>
  </si>
  <si>
    <t>+549517637449</t>
  </si>
  <si>
    <t>Espinosa  Aldo</t>
  </si>
  <si>
    <t>+549513160016</t>
  </si>
  <si>
    <t>Floreani Antonella</t>
  </si>
  <si>
    <t>+549513951413</t>
  </si>
  <si>
    <t>Pereyra Brusco Joaquin</t>
  </si>
  <si>
    <t>Gayol Miriam</t>
  </si>
  <si>
    <t>+549513068284</t>
  </si>
  <si>
    <t>Gallardo Alejandro</t>
  </si>
  <si>
    <t>+549517672758</t>
  </si>
  <si>
    <t>Ojeda Joaquin Emanuel</t>
  </si>
  <si>
    <t>+549518097304</t>
  </si>
  <si>
    <t>Schuf Camila</t>
  </si>
  <si>
    <t>+549512413092</t>
  </si>
  <si>
    <t>Fernández  Esteban</t>
  </si>
  <si>
    <t>+549513375260</t>
  </si>
  <si>
    <t xml:space="preserve">Rodríguez  Alejandra </t>
  </si>
  <si>
    <t>+549516422201</t>
  </si>
  <si>
    <t>Castagnet Gaston</t>
  </si>
  <si>
    <t>+549515149180</t>
  </si>
  <si>
    <t>Baigorri Sebastian</t>
  </si>
  <si>
    <t>+549516080610</t>
  </si>
  <si>
    <t xml:space="preserve">Rodríguez  Lautaro Gabriel </t>
  </si>
  <si>
    <t>+549512182319</t>
  </si>
  <si>
    <t>Pivatto Christian</t>
  </si>
  <si>
    <t>+549920663064</t>
  </si>
  <si>
    <t>Bustos  Alex</t>
  </si>
  <si>
    <t>+549513703452</t>
  </si>
  <si>
    <t xml:space="preserve">Reynoso marconetto Nicolás </t>
  </si>
  <si>
    <t>+549518175527</t>
  </si>
  <si>
    <t>Maximiliano  Giraudo</t>
  </si>
  <si>
    <t>+549517653630</t>
  </si>
  <si>
    <t>Festa Gaon Diego</t>
  </si>
  <si>
    <t>+549515559108</t>
  </si>
  <si>
    <t>Gayol Gabriel</t>
  </si>
  <si>
    <t>+549515934519</t>
  </si>
  <si>
    <t>Walker de martini John</t>
  </si>
  <si>
    <t>+549517342634</t>
  </si>
  <si>
    <t>Matheu Jeronimo</t>
  </si>
  <si>
    <t>+549518154005</t>
  </si>
  <si>
    <t>Cimo Julia</t>
  </si>
  <si>
    <t>+549512145133</t>
  </si>
  <si>
    <t>Romero Fabricio</t>
  </si>
  <si>
    <t>+549513200999</t>
  </si>
  <si>
    <t>Moine Maria del Carmen</t>
  </si>
  <si>
    <t>+549513241344</t>
  </si>
  <si>
    <t>Leon  Romina</t>
  </si>
  <si>
    <t>+549513735700</t>
  </si>
  <si>
    <t>Cabaña  Julieta</t>
  </si>
  <si>
    <t>+549126499645</t>
  </si>
  <si>
    <t>Balbi Geraldine</t>
  </si>
  <si>
    <t>+549515636836</t>
  </si>
  <si>
    <t>Amata Ricardo</t>
  </si>
  <si>
    <t>+549517538501</t>
  </si>
  <si>
    <t>Battistini Maria Cristina</t>
  </si>
  <si>
    <t>+549516450262</t>
  </si>
  <si>
    <t>Carignano Franco</t>
  </si>
  <si>
    <t>+549515720555</t>
  </si>
  <si>
    <t>serlin lucas</t>
  </si>
  <si>
    <t>+549513938792</t>
  </si>
  <si>
    <t>Bertone Veronica</t>
  </si>
  <si>
    <t>+549515923208</t>
  </si>
  <si>
    <t>Contreras Pulitta Valentino</t>
  </si>
  <si>
    <t>+549518638864</t>
  </si>
  <si>
    <t>TOMASELLI DIEGO</t>
  </si>
  <si>
    <t>+549516744744</t>
  </si>
  <si>
    <t>Balestrini Alberto</t>
  </si>
  <si>
    <t>+549515317590</t>
  </si>
  <si>
    <t>Sanchez Amilcar</t>
  </si>
  <si>
    <t>+549512563083</t>
  </si>
  <si>
    <t xml:space="preserve">Bonato Zoe Alexia </t>
  </si>
  <si>
    <t>+549966602051</t>
  </si>
  <si>
    <t>Battistoni  Santiago</t>
  </si>
  <si>
    <t>+549516134519</t>
  </si>
  <si>
    <t xml:space="preserve">González  Francisco </t>
  </si>
  <si>
    <t>+549513698015</t>
  </si>
  <si>
    <t>Rivadeneyra Evelyn Noelia</t>
  </si>
  <si>
    <t>+549516351034</t>
  </si>
  <si>
    <t>Bohogu Martin</t>
  </si>
  <si>
    <t>+549516826804</t>
  </si>
  <si>
    <t xml:space="preserve">Nuñez  Alejandra Verónica </t>
  </si>
  <si>
    <t>+549512242987</t>
  </si>
  <si>
    <t>Ande Valentin</t>
  </si>
  <si>
    <t>+549517370378</t>
  </si>
  <si>
    <t>SESIN Dante</t>
  </si>
  <si>
    <t>+549515087917</t>
  </si>
  <si>
    <t>Carranza  Brenda</t>
  </si>
  <si>
    <t>+549513338526</t>
  </si>
  <si>
    <t xml:space="preserve">Micelli Claudio </t>
  </si>
  <si>
    <t>+549515190577</t>
  </si>
  <si>
    <t>Ruano Antonella</t>
  </si>
  <si>
    <t>+549513143334</t>
  </si>
  <si>
    <t>Macchiavello  Rosario</t>
  </si>
  <si>
    <t>+549149797102</t>
  </si>
  <si>
    <t>Acevedo Griselda Del Valle</t>
  </si>
  <si>
    <t>+549516077026</t>
  </si>
  <si>
    <t>Dastolfo Gisela Marisa</t>
  </si>
  <si>
    <t>+549513854926</t>
  </si>
  <si>
    <t xml:space="preserve">Dottori  Santino </t>
  </si>
  <si>
    <t>Vargas Emiliano</t>
  </si>
  <si>
    <t>+549512690651</t>
  </si>
  <si>
    <t>Saurin Julieta</t>
  </si>
  <si>
    <t>+549512769374</t>
  </si>
  <si>
    <t>Quinteros Faustino</t>
  </si>
  <si>
    <t>Moya Estela Cristina</t>
  </si>
  <si>
    <t>+549512277554</t>
  </si>
  <si>
    <t>Caparros Sergio</t>
  </si>
  <si>
    <t>+549196322831</t>
  </si>
  <si>
    <t>Maidana Ana Laura</t>
  </si>
  <si>
    <t>LESSIO MARIO</t>
  </si>
  <si>
    <t>+549516760355</t>
  </si>
  <si>
    <t>Gomez Gabriela</t>
  </si>
  <si>
    <t>+549512407224</t>
  </si>
  <si>
    <t>Bibiloni Nicolas</t>
  </si>
  <si>
    <t>+549513712696</t>
  </si>
  <si>
    <t>Di pauli Emiliano</t>
  </si>
  <si>
    <t>+549516760050</t>
  </si>
  <si>
    <t>Lopez Martin</t>
  </si>
  <si>
    <t>+549512014854</t>
  </si>
  <si>
    <t>Bonadeo Hernán</t>
  </si>
  <si>
    <t>+549513983401</t>
  </si>
  <si>
    <t>Della Siega Ruben</t>
  </si>
  <si>
    <t>+549518045274</t>
  </si>
  <si>
    <t xml:space="preserve">Bongiorno  Virginia </t>
  </si>
  <si>
    <t>+549515398344</t>
  </si>
  <si>
    <t>Izquierdo Isabel</t>
  </si>
  <si>
    <t>+549516621433</t>
  </si>
  <si>
    <t>Peñaloza Marta</t>
  </si>
  <si>
    <t>+549513278792</t>
  </si>
  <si>
    <t>Arias Andres</t>
  </si>
  <si>
    <t>+549513507322</t>
  </si>
  <si>
    <t>Guerrini Marcelo</t>
  </si>
  <si>
    <t>+549512126260</t>
  </si>
  <si>
    <t>Malbrán Jorge</t>
  </si>
  <si>
    <t>+549535656072</t>
  </si>
  <si>
    <t>Rojas Marco</t>
  </si>
  <si>
    <t>+549517066754</t>
  </si>
  <si>
    <t>Maurino Julio</t>
  </si>
  <si>
    <t>+549515553532</t>
  </si>
  <si>
    <t xml:space="preserve">Guevara  Mariela </t>
  </si>
  <si>
    <t>+549512080135</t>
  </si>
  <si>
    <t>Pereyra Pablo</t>
  </si>
  <si>
    <t>+549516532594</t>
  </si>
  <si>
    <t>Hadad Diego Ignacio</t>
  </si>
  <si>
    <t>+549512458679</t>
  </si>
  <si>
    <t>Paez Sol</t>
  </si>
  <si>
    <t>+549515945432</t>
  </si>
  <si>
    <t>Diaz María Mauricia</t>
  </si>
  <si>
    <t>+549932467444</t>
  </si>
  <si>
    <t>Mateos Sebastian</t>
  </si>
  <si>
    <t>+549517441185</t>
  </si>
  <si>
    <t xml:space="preserve">Bustos  Raquel elizabeth </t>
  </si>
  <si>
    <t>+549515463038</t>
  </si>
  <si>
    <t>Garcia Graciela del Rosario</t>
  </si>
  <si>
    <t>+549515055014</t>
  </si>
  <si>
    <t>Otero Rodrigo</t>
  </si>
  <si>
    <t>+549513578110</t>
  </si>
  <si>
    <t>Ricci Bautista</t>
  </si>
  <si>
    <t>+549515595669</t>
  </si>
  <si>
    <t>Sampayo Alejandro</t>
  </si>
  <si>
    <t>+549513849359</t>
  </si>
  <si>
    <t>Ferro Estefania Eva</t>
  </si>
  <si>
    <t>+549512085290</t>
  </si>
  <si>
    <t>Moran Nahuel</t>
  </si>
  <si>
    <t>+549517405784</t>
  </si>
  <si>
    <t>Zogbi Santiago Tomas</t>
  </si>
  <si>
    <t>+549513434424</t>
  </si>
  <si>
    <t>Adamo Sofia</t>
  </si>
  <si>
    <t>+549517422014</t>
  </si>
  <si>
    <t>Aragones Marianela</t>
  </si>
  <si>
    <t>+549513251381</t>
  </si>
  <si>
    <t xml:space="preserve">Hechalar Gaston </t>
  </si>
  <si>
    <t>+549515998963</t>
  </si>
  <si>
    <t>Ramallo Amir</t>
  </si>
  <si>
    <t>+549518723367</t>
  </si>
  <si>
    <t>Romero Benjamin</t>
  </si>
  <si>
    <t>+549513164275</t>
  </si>
  <si>
    <t xml:space="preserve">Villullas  Susana </t>
  </si>
  <si>
    <t>+549513703952</t>
  </si>
  <si>
    <t>Rostagno Leandro</t>
  </si>
  <si>
    <t>+549513576395</t>
  </si>
  <si>
    <t>Pianaroli Bruno brandon</t>
  </si>
  <si>
    <t>+549516596518</t>
  </si>
  <si>
    <t>HERRERA ISABELLA</t>
  </si>
  <si>
    <t>+549513276306</t>
  </si>
  <si>
    <t>Corzo Renzo</t>
  </si>
  <si>
    <t>+549515436185</t>
  </si>
  <si>
    <t>Tabares  Andres</t>
  </si>
  <si>
    <t>+549515169410</t>
  </si>
  <si>
    <t xml:space="preserve"> Carballo  Victoria </t>
  </si>
  <si>
    <t>+549516248316</t>
  </si>
  <si>
    <t>Cabrera  Nicolas</t>
  </si>
  <si>
    <t>+549512503307</t>
  </si>
  <si>
    <t xml:space="preserve">Ardini Maximiliano </t>
  </si>
  <si>
    <t>+549513717271</t>
  </si>
  <si>
    <t>Freire Mara</t>
  </si>
  <si>
    <t>+549513711819</t>
  </si>
  <si>
    <t>Soria Celeste</t>
  </si>
  <si>
    <t>+549516175658</t>
  </si>
  <si>
    <t>Nicolas Kwiecinski</t>
  </si>
  <si>
    <t>+549513741771</t>
  </si>
  <si>
    <t>Oliviero Eliana</t>
  </si>
  <si>
    <t>+549515393323</t>
  </si>
  <si>
    <t>Gawuryn Joel</t>
  </si>
  <si>
    <t>+549516110785</t>
  </si>
  <si>
    <t xml:space="preserve">Guido Donatela </t>
  </si>
  <si>
    <t>+549515930298</t>
  </si>
  <si>
    <t>Lutteral Jessica Natalia</t>
  </si>
  <si>
    <t>+549513088065</t>
  </si>
  <si>
    <t>Palacios  Luciano</t>
  </si>
  <si>
    <t>+549516890302</t>
  </si>
  <si>
    <t>Giorgetti  Angelo</t>
  </si>
  <si>
    <t>+549516233090</t>
  </si>
  <si>
    <t>Heredia María Florencia</t>
  </si>
  <si>
    <t>+549517011721</t>
  </si>
  <si>
    <t>Romero Joaquin</t>
  </si>
  <si>
    <t>+549517073124</t>
  </si>
  <si>
    <t>Lopez Amalia</t>
  </si>
  <si>
    <t>+549515377216</t>
  </si>
  <si>
    <t>ILLIA Marcelo</t>
  </si>
  <si>
    <t>+549517585112</t>
  </si>
  <si>
    <t>Sannazzaro Valentina</t>
  </si>
  <si>
    <t>+549512457640</t>
  </si>
  <si>
    <t xml:space="preserve">Parra Guillermo </t>
  </si>
  <si>
    <t>+549517523197</t>
  </si>
  <si>
    <t>berton ivana paola</t>
  </si>
  <si>
    <t>+549513113644</t>
  </si>
  <si>
    <t>PATIÑO Jorge</t>
  </si>
  <si>
    <t>+549513504545</t>
  </si>
  <si>
    <t>Cabrera Carla</t>
  </si>
  <si>
    <t>+549512228750</t>
  </si>
  <si>
    <t>Droguett Gabriel</t>
  </si>
  <si>
    <t>+549516075005</t>
  </si>
  <si>
    <t xml:space="preserve">Angiolini  Antonella </t>
  </si>
  <si>
    <t>+549512657941</t>
  </si>
  <si>
    <t>SERRANO Susana</t>
  </si>
  <si>
    <t>+549516222609</t>
  </si>
  <si>
    <t>Garcia  Javier</t>
  </si>
  <si>
    <t>+549518085123</t>
  </si>
  <si>
    <t>Medina Gonzalo</t>
  </si>
  <si>
    <t>+549512606579</t>
  </si>
  <si>
    <t>Pereyra German</t>
  </si>
  <si>
    <t>+549518003357</t>
  </si>
  <si>
    <t>Guzman Maria Eugenia</t>
  </si>
  <si>
    <t>+549513938754</t>
  </si>
  <si>
    <t xml:space="preserve">Gomez Barbara Antonella </t>
  </si>
  <si>
    <t>+549513713474</t>
  </si>
  <si>
    <t xml:space="preserve">Rentine juncos  Alma azul </t>
  </si>
  <si>
    <t>+549516826077</t>
  </si>
  <si>
    <t xml:space="preserve">Gomez  Gabriel </t>
  </si>
  <si>
    <t>+549543560752</t>
  </si>
  <si>
    <t>Ghione  Santino</t>
  </si>
  <si>
    <t>+549518031224</t>
  </si>
  <si>
    <t>Reyna Fabiana</t>
  </si>
  <si>
    <t>+549512766300</t>
  </si>
  <si>
    <t>Montagna Alejandro</t>
  </si>
  <si>
    <t>+549515425870</t>
  </si>
  <si>
    <t>Ordoñez Santiago</t>
  </si>
  <si>
    <t>Gómez andurno Tomás Agustin</t>
  </si>
  <si>
    <t>+549513284008</t>
  </si>
  <si>
    <t>Diaz Noelia</t>
  </si>
  <si>
    <t>+549517353014</t>
  </si>
  <si>
    <t>Boasi Santiago</t>
  </si>
  <si>
    <t>+549517683800</t>
  </si>
  <si>
    <t>Gallerano Luciano</t>
  </si>
  <si>
    <t>+549513117498</t>
  </si>
  <si>
    <t>Gonzalez Gonzalo</t>
  </si>
  <si>
    <t>+549518151278</t>
  </si>
  <si>
    <t>Guagliano Agustin</t>
  </si>
  <si>
    <t>+549512125255</t>
  </si>
  <si>
    <t>Platia Luciana</t>
  </si>
  <si>
    <t>+549512171646</t>
  </si>
  <si>
    <t>García Abad María Luz</t>
  </si>
  <si>
    <t>+549518150251</t>
  </si>
  <si>
    <t>Peretti Fernando</t>
  </si>
  <si>
    <t>+549515516896</t>
  </si>
  <si>
    <t xml:space="preserve">Nuñez Gladys </t>
  </si>
  <si>
    <t>+549512268711</t>
  </si>
  <si>
    <t xml:space="preserve">Reynoso  Ana </t>
  </si>
  <si>
    <t>+549512667800</t>
  </si>
  <si>
    <t>Patiño  María Fernanda</t>
  </si>
  <si>
    <t>+549516167629</t>
  </si>
  <si>
    <t>Vannucci Carlos</t>
  </si>
  <si>
    <t>+549516641834</t>
  </si>
  <si>
    <t>Claus Sabrina</t>
  </si>
  <si>
    <t>+549517473197</t>
  </si>
  <si>
    <t xml:space="preserve">Oliva  Marcos </t>
  </si>
  <si>
    <t>+549516199707</t>
  </si>
  <si>
    <t>Reynoso Monica</t>
  </si>
  <si>
    <t>+549515281007</t>
  </si>
  <si>
    <t xml:space="preserve">Zárate  Augusto </t>
  </si>
  <si>
    <t>+549517693839</t>
  </si>
  <si>
    <t>Barrionuevo  Angela</t>
  </si>
  <si>
    <t>+549517049179</t>
  </si>
  <si>
    <t>Bomone Manuel</t>
  </si>
  <si>
    <t>+549512447028</t>
  </si>
  <si>
    <t xml:space="preserve">Della Vedoba  Cecilia </t>
  </si>
  <si>
    <t>+549515321272</t>
  </si>
  <si>
    <t>Carranza Adriana</t>
  </si>
  <si>
    <t>+549512464142</t>
  </si>
  <si>
    <t>Vivas Luis</t>
  </si>
  <si>
    <t>+549515192445</t>
  </si>
  <si>
    <t>Cismondi  Emilia</t>
  </si>
  <si>
    <t>+549513416186</t>
  </si>
  <si>
    <t>CASTRO MONICA</t>
  </si>
  <si>
    <t>+549517023527</t>
  </si>
  <si>
    <t>Venezia Agostina</t>
  </si>
  <si>
    <t>+549516456352</t>
  </si>
  <si>
    <t>Rios Valeria Isabel</t>
  </si>
  <si>
    <t>+549543574159</t>
  </si>
  <si>
    <t>Romero Franco</t>
  </si>
  <si>
    <t>+549516203961</t>
  </si>
  <si>
    <t>Contreras Mario</t>
  </si>
  <si>
    <t>+549516060880</t>
  </si>
  <si>
    <t xml:space="preserve">BARDUS CASTELLANOS  Patricia Alejandra </t>
  </si>
  <si>
    <t>+549513248546</t>
  </si>
  <si>
    <t>Canale Alejandro</t>
  </si>
  <si>
    <t>+549517324915</t>
  </si>
  <si>
    <t>Rodriguez Marta</t>
  </si>
  <si>
    <t>+549515064419</t>
  </si>
  <si>
    <t>Fernandez Susana</t>
  </si>
  <si>
    <t>+549513467613</t>
  </si>
  <si>
    <t xml:space="preserve">Longo  Aldo Marcelo </t>
  </si>
  <si>
    <t>+549515998629</t>
  </si>
  <si>
    <t>Vila Gonzalo</t>
  </si>
  <si>
    <t>+549512592059</t>
  </si>
  <si>
    <t>Sagues Alejandro</t>
  </si>
  <si>
    <t>+549515990795</t>
  </si>
  <si>
    <t xml:space="preserve">Rossa Victoria </t>
  </si>
  <si>
    <t>+549517570132</t>
  </si>
  <si>
    <t>Medina Gonzalo damian</t>
  </si>
  <si>
    <t>Bustos  Sergio</t>
  </si>
  <si>
    <t>+549515932389</t>
  </si>
  <si>
    <t>Casella Volosin Guido</t>
  </si>
  <si>
    <t>+549515293085</t>
  </si>
  <si>
    <t>Capponi Ernesto</t>
  </si>
  <si>
    <t>+549512072926</t>
  </si>
  <si>
    <t xml:space="preserve">Parra  Diego </t>
  </si>
  <si>
    <t>+549515600460</t>
  </si>
  <si>
    <t xml:space="preserve">FRANCESCANGELI María Laura </t>
  </si>
  <si>
    <t>+549512319518</t>
  </si>
  <si>
    <t>Rosa Mirta</t>
  </si>
  <si>
    <t>+549514771372</t>
  </si>
  <si>
    <t>Abdala Gerardo</t>
  </si>
  <si>
    <t>+549515113925</t>
  </si>
  <si>
    <t>Pesse Nelson</t>
  </si>
  <si>
    <t>+549454010455</t>
  </si>
  <si>
    <t xml:space="preserve">Cáceres Medina  Aisquiel </t>
  </si>
  <si>
    <t>+549512135972</t>
  </si>
  <si>
    <t>Gonzalez Claudio alejandro</t>
  </si>
  <si>
    <t>+549516338709</t>
  </si>
  <si>
    <t>PALENCIA FABIO</t>
  </si>
  <si>
    <t>+549516606695</t>
  </si>
  <si>
    <t xml:space="preserve">Gianotti Katsuda  Maximiliano </t>
  </si>
  <si>
    <t>+54946796283143515063219</t>
  </si>
  <si>
    <t xml:space="preserve">Kwiecien Adriana Graciela </t>
  </si>
  <si>
    <t>+549512366066</t>
  </si>
  <si>
    <t>Ledesma Sebastián</t>
  </si>
  <si>
    <t>+549516191977</t>
  </si>
  <si>
    <t>Ledesma Sebastian</t>
  </si>
  <si>
    <t>Anain Juan</t>
  </si>
  <si>
    <t>+549516778033</t>
  </si>
  <si>
    <t>Bonifay Ary</t>
  </si>
  <si>
    <t>+549513974867</t>
  </si>
  <si>
    <t>Ortiz Mateo</t>
  </si>
  <si>
    <t>+549515317299</t>
  </si>
  <si>
    <t>Delgado Matias</t>
  </si>
  <si>
    <t>+549645155548</t>
  </si>
  <si>
    <t>Parcher Ileana</t>
  </si>
  <si>
    <t>+549515281211</t>
  </si>
  <si>
    <t>Fernandez Gaston</t>
  </si>
  <si>
    <t>+549515109070</t>
  </si>
  <si>
    <t>Rossi Horacio</t>
  </si>
  <si>
    <t>+549472438312</t>
  </si>
  <si>
    <t>Orso Estela</t>
  </si>
  <si>
    <t>+549517020966</t>
  </si>
  <si>
    <t>Benetti Andres</t>
  </si>
  <si>
    <t>+549516617833</t>
  </si>
  <si>
    <t>GOLDBERG Ivo</t>
  </si>
  <si>
    <t>+549517714341</t>
  </si>
  <si>
    <t>Agudelo Diana carolina</t>
  </si>
  <si>
    <t>+549513638954</t>
  </si>
  <si>
    <t xml:space="preserve">Montañez Sandoz  Agustína </t>
  </si>
  <si>
    <t>+549515177037</t>
  </si>
  <si>
    <t>Baravalle Catalina</t>
  </si>
  <si>
    <t>+549518153199</t>
  </si>
  <si>
    <t>Rundie  Rafael alejandro</t>
  </si>
  <si>
    <t>+549516530441</t>
  </si>
  <si>
    <t>Novillo Cristobal</t>
  </si>
  <si>
    <t>+549512543464</t>
  </si>
  <si>
    <t>Lobaiza Diego</t>
  </si>
  <si>
    <t>+549517676050</t>
  </si>
  <si>
    <t>Morán de la Vega Guillermo</t>
  </si>
  <si>
    <t>+549513304219</t>
  </si>
  <si>
    <t>Pucheta  Uriel</t>
  </si>
  <si>
    <t>+549516620229</t>
  </si>
  <si>
    <t>Ramos Ulises</t>
  </si>
  <si>
    <t>+549512538010</t>
  </si>
  <si>
    <t xml:space="preserve">Pereyra  Enzo Valentín </t>
  </si>
  <si>
    <t>+549512480723</t>
  </si>
  <si>
    <t>BLASCO ALFREDO</t>
  </si>
  <si>
    <t>+549515477382</t>
  </si>
  <si>
    <t>Vassia Karina</t>
  </si>
  <si>
    <t>+549517063267</t>
  </si>
  <si>
    <t>Capretta Gaston</t>
  </si>
  <si>
    <t>+549515638146</t>
  </si>
  <si>
    <t>Biava Mariana</t>
  </si>
  <si>
    <t>+5496544418</t>
  </si>
  <si>
    <t>Baravalle Exequiel</t>
  </si>
  <si>
    <t>+549516830022</t>
  </si>
  <si>
    <t>Rossotto Daniel</t>
  </si>
  <si>
    <t>+549512398477</t>
  </si>
  <si>
    <t>Garlot Nicolas</t>
  </si>
  <si>
    <t>+549513191252</t>
  </si>
  <si>
    <t xml:space="preserve">Almagro  Teresita Beatriz </t>
  </si>
  <si>
    <t>+549513194210</t>
  </si>
  <si>
    <t>Soto Paula</t>
  </si>
  <si>
    <t>+549516378095</t>
  </si>
  <si>
    <t>Antoniaci Rocio</t>
  </si>
  <si>
    <t>+549512118190</t>
  </si>
  <si>
    <t>Marimon Andrea Fabiana</t>
  </si>
  <si>
    <t>+549515197178</t>
  </si>
  <si>
    <t xml:space="preserve">Dahbar Silvina Susana </t>
  </si>
  <si>
    <t>+549515121314</t>
  </si>
  <si>
    <t>Peralta Magdalena A</t>
  </si>
  <si>
    <t>+549516362189</t>
  </si>
  <si>
    <t>Grandi Maria Eugenia</t>
  </si>
  <si>
    <t>+549516144212</t>
  </si>
  <si>
    <t>Ramos Laura</t>
  </si>
  <si>
    <t>+549513019701</t>
  </si>
  <si>
    <t>Novgorodtsev Nikita</t>
  </si>
  <si>
    <t>+549171164849</t>
  </si>
  <si>
    <t>Segovia Guillermo</t>
  </si>
  <si>
    <t>+549516797692</t>
  </si>
  <si>
    <t>Pérez  Maria ines</t>
  </si>
  <si>
    <t>+549512327857</t>
  </si>
  <si>
    <t xml:space="preserve">Perez Maria Inés </t>
  </si>
  <si>
    <t>Maturano Clarisa</t>
  </si>
  <si>
    <t>+549512273529</t>
  </si>
  <si>
    <t xml:space="preserve">Varela  Daniel Alejandro </t>
  </si>
  <si>
    <t>+549516220388</t>
  </si>
  <si>
    <t>Tello Veronica</t>
  </si>
  <si>
    <t>+549515116806</t>
  </si>
  <si>
    <t>Ortiz Lucio</t>
  </si>
  <si>
    <t>+549512007914</t>
  </si>
  <si>
    <t>Malcolm Elsa</t>
  </si>
  <si>
    <t>+549516635350</t>
  </si>
  <si>
    <t>Juan Martín alberto</t>
  </si>
  <si>
    <t>+549517393466</t>
  </si>
  <si>
    <t>EGUILUZ  Alfredo</t>
  </si>
  <si>
    <t>+549515295932</t>
  </si>
  <si>
    <t>Raimondi Letizia Lucila</t>
  </si>
  <si>
    <t>+549512411840</t>
  </si>
  <si>
    <t>Toloza Mario</t>
  </si>
  <si>
    <t>+549513359751</t>
  </si>
  <si>
    <t>Mine Mario</t>
  </si>
  <si>
    <t>+549512608885</t>
  </si>
  <si>
    <t>Viglietti Jorge</t>
  </si>
  <si>
    <t>+549515724754</t>
  </si>
  <si>
    <t xml:space="preserve">Juan Martin </t>
  </si>
  <si>
    <t>Ceballos Mauro</t>
  </si>
  <si>
    <t>+549516208041</t>
  </si>
  <si>
    <t xml:space="preserve">Lucero Bringas  Enrique Rafael </t>
  </si>
  <si>
    <t>+549518164135</t>
  </si>
  <si>
    <t xml:space="preserve">Aguirre  Carlos Javier </t>
  </si>
  <si>
    <t>+549794347758</t>
  </si>
  <si>
    <t>Torta Mirian</t>
  </si>
  <si>
    <t>+549513155903</t>
  </si>
  <si>
    <t>Di Lascio Fabricio</t>
  </si>
  <si>
    <t>+549512307123</t>
  </si>
  <si>
    <t xml:space="preserve">Etchemendy  M. Cristina </t>
  </si>
  <si>
    <t>+549512086028</t>
  </si>
  <si>
    <t>GONZALEZ PATRICIA</t>
  </si>
  <si>
    <t>+549516360085</t>
  </si>
  <si>
    <t xml:space="preserve">Garzón Funes  Tomás Enrique </t>
  </si>
  <si>
    <t>+549517897449</t>
  </si>
  <si>
    <t>Caporaletti  Juan</t>
  </si>
  <si>
    <t>+549517527532</t>
  </si>
  <si>
    <t>Delgado Maximiliano</t>
  </si>
  <si>
    <t>+549645010314</t>
  </si>
  <si>
    <t>Vilchez Pricila</t>
  </si>
  <si>
    <t>+549517526765</t>
  </si>
  <si>
    <t xml:space="preserve">Almada Gustavo </t>
  </si>
  <si>
    <t>+549515157379</t>
  </si>
  <si>
    <t>Mondino Nancy liliana</t>
  </si>
  <si>
    <t>+549512680068</t>
  </si>
  <si>
    <t>Moyano Maximiliano</t>
  </si>
  <si>
    <t>+549518022205</t>
  </si>
  <si>
    <t>Miretti Zulema</t>
  </si>
  <si>
    <t>rivero sabrina fernanda</t>
  </si>
  <si>
    <t>+549413508520</t>
  </si>
  <si>
    <t xml:space="preserve">Castagno Emanuel </t>
  </si>
  <si>
    <t>+549515162829</t>
  </si>
  <si>
    <t xml:space="preserve">Virginio  Sebastián </t>
  </si>
  <si>
    <t>+549516754851</t>
  </si>
  <si>
    <t xml:space="preserve">Cara María Luisa </t>
  </si>
  <si>
    <t>+549516453248</t>
  </si>
  <si>
    <t>Brandi  Hector</t>
  </si>
  <si>
    <t>+549513464188</t>
  </si>
  <si>
    <t>Grecco Daniel</t>
  </si>
  <si>
    <t>+549513999960</t>
  </si>
  <si>
    <t>Moretto Milagros</t>
  </si>
  <si>
    <t>+549515060402</t>
  </si>
  <si>
    <t>Cornejo Maria josefina</t>
  </si>
  <si>
    <t>+549512261824</t>
  </si>
  <si>
    <t>Oviedo Manuel</t>
  </si>
  <si>
    <t>+549512369338</t>
  </si>
  <si>
    <t>Chanampa Marcela</t>
  </si>
  <si>
    <t>+549513189192</t>
  </si>
  <si>
    <t>cornejo maria josefina17</t>
  </si>
  <si>
    <t xml:space="preserve">Morán de la Vega Francisco </t>
  </si>
  <si>
    <t>+549512052250</t>
  </si>
  <si>
    <t>Ocaño Esteban Guillermo</t>
  </si>
  <si>
    <t>+549513122150</t>
  </si>
  <si>
    <t>Salman Ana Maria</t>
  </si>
  <si>
    <t>+549513022014</t>
  </si>
  <si>
    <t>DELLAROCCA CELESTE</t>
  </si>
  <si>
    <t>+549517019390</t>
  </si>
  <si>
    <t xml:space="preserve">Moyano Bustos Matias Joaquin </t>
  </si>
  <si>
    <t>+549515449219</t>
  </si>
  <si>
    <t>Torres Gonzalo</t>
  </si>
  <si>
    <t>+549512069785</t>
  </si>
  <si>
    <t>Chocobar Gonzalo</t>
  </si>
  <si>
    <t>+549513467935</t>
  </si>
  <si>
    <t xml:space="preserve">Sánchez  Alejandro </t>
  </si>
  <si>
    <t>+549513392976</t>
  </si>
  <si>
    <t xml:space="preserve">Velasco  Viviana </t>
  </si>
  <si>
    <t>+549517052627</t>
  </si>
  <si>
    <t>gomez adriana</t>
  </si>
  <si>
    <t>+549513165995</t>
  </si>
  <si>
    <t xml:space="preserve">SOCIAS ALTAMIRANO  Federico </t>
  </si>
  <si>
    <t>+549515182172</t>
  </si>
  <si>
    <t>Oviedo Jose</t>
  </si>
  <si>
    <t>+549517421823</t>
  </si>
  <si>
    <t xml:space="preserve">Rainero  Carlos </t>
  </si>
  <si>
    <t>+549514590389</t>
  </si>
  <si>
    <t xml:space="preserve">Bustos  Julieta </t>
  </si>
  <si>
    <t>+549517541928</t>
  </si>
  <si>
    <t>Micieli Christian Martin</t>
  </si>
  <si>
    <t>+549513578152</t>
  </si>
  <si>
    <t xml:space="preserve">DELCASTILLO  GUSTAVO </t>
  </si>
  <si>
    <t>+549512674033</t>
  </si>
  <si>
    <t>Baez Anibal</t>
  </si>
  <si>
    <t>+549515904563</t>
  </si>
  <si>
    <t>Altamirano  Joana</t>
  </si>
  <si>
    <t>+549518637856</t>
  </si>
  <si>
    <t xml:space="preserve">Ponce Victoria </t>
  </si>
  <si>
    <t>NIETO Claudio</t>
  </si>
  <si>
    <t>Maccio Andres</t>
  </si>
  <si>
    <t>+549516561192</t>
  </si>
  <si>
    <t>Pagola Lila</t>
  </si>
  <si>
    <t>+549516666933</t>
  </si>
  <si>
    <t>Cantos Lautaro</t>
  </si>
  <si>
    <t>+549513421912</t>
  </si>
  <si>
    <t xml:space="preserve">ALBARRACIN ALBERTO </t>
  </si>
  <si>
    <t xml:space="preserve">Zacarias  Claudio Alejandro </t>
  </si>
  <si>
    <t>+549543552547</t>
  </si>
  <si>
    <t>Biolato Romina paola</t>
  </si>
  <si>
    <t>+549512268557</t>
  </si>
  <si>
    <t>Echenique  Patricio</t>
  </si>
  <si>
    <t>+549513185620</t>
  </si>
  <si>
    <t>VENTRE GUSTAVO</t>
  </si>
  <si>
    <t>+549517403686</t>
  </si>
  <si>
    <t>Figueroa Jorge agustin</t>
  </si>
  <si>
    <t>+549517162513</t>
  </si>
  <si>
    <t>Mujica Ramon</t>
  </si>
  <si>
    <t>+549516782890</t>
  </si>
  <si>
    <t xml:space="preserve">Gonzalez Mazzoni  Santiago </t>
  </si>
  <si>
    <t>+549513885676</t>
  </si>
  <si>
    <t>Ramirez  Javier</t>
  </si>
  <si>
    <t>+549515638014</t>
  </si>
  <si>
    <t>Sánchez Salamanca  Laura</t>
  </si>
  <si>
    <t>+549834246569</t>
  </si>
  <si>
    <t>MARTINEZ ANA MARIA</t>
  </si>
  <si>
    <t>+549514598255</t>
  </si>
  <si>
    <t>Cordoba Franco</t>
  </si>
  <si>
    <t>+549513145178</t>
  </si>
  <si>
    <t>Avaca Nicolas</t>
  </si>
  <si>
    <t>+549512054990</t>
  </si>
  <si>
    <t>Abalos Nahuel</t>
  </si>
  <si>
    <t>+549513908643</t>
  </si>
  <si>
    <t xml:space="preserve">Lutteral Christian </t>
  </si>
  <si>
    <t>+549518583214</t>
  </si>
  <si>
    <t xml:space="preserve">Prados  Yolanda </t>
  </si>
  <si>
    <t>+549515597474</t>
  </si>
  <si>
    <t>Montes  Sergio</t>
  </si>
  <si>
    <t>+549512299573</t>
  </si>
  <si>
    <t>cordero veronica</t>
  </si>
  <si>
    <t>+549518046056</t>
  </si>
  <si>
    <t>Bizzera Franco Ariel</t>
  </si>
  <si>
    <t>+549512571777</t>
  </si>
  <si>
    <t xml:space="preserve">STRICKLER  Osvaldo Carlos </t>
  </si>
  <si>
    <t>+549513344901</t>
  </si>
  <si>
    <t>ABAD  Dante</t>
  </si>
  <si>
    <t>+549516504616</t>
  </si>
  <si>
    <t>Ybarra Andrea viviana</t>
  </si>
  <si>
    <t>+549513066792</t>
  </si>
  <si>
    <t>APESTEGUIA Rodrigo</t>
  </si>
  <si>
    <t>+549515942369</t>
  </si>
  <si>
    <t xml:space="preserve">Quinteros Rodrigo Nicolás </t>
  </si>
  <si>
    <t>+549513506283</t>
  </si>
  <si>
    <t>Giaccaglia Sandra</t>
  </si>
  <si>
    <t>+549515149476</t>
  </si>
  <si>
    <t>Granada Roberta</t>
  </si>
  <si>
    <t>+549515476871</t>
  </si>
  <si>
    <t xml:space="preserve">GONZALES Francisco </t>
  </si>
  <si>
    <t>Gonzalez Margarita Irene</t>
  </si>
  <si>
    <t>+549513792843</t>
  </si>
  <si>
    <t>GONZALES Margarita Irene</t>
  </si>
  <si>
    <t>Horovitz  Benjamin</t>
  </si>
  <si>
    <t>+549517594080</t>
  </si>
  <si>
    <t xml:space="preserve">Oliva Ceballos  Giselle Elizabet </t>
  </si>
  <si>
    <t>+549512383506</t>
  </si>
  <si>
    <t>Yorio Carolina</t>
  </si>
  <si>
    <t>+549515932712</t>
  </si>
  <si>
    <t>Coraglio Georgina</t>
  </si>
  <si>
    <t>+549515102330</t>
  </si>
  <si>
    <t>Acosta Marcos</t>
  </si>
  <si>
    <t>+549512194215</t>
  </si>
  <si>
    <t xml:space="preserve">Notararigo  Patricia </t>
  </si>
  <si>
    <t>+549513300817</t>
  </si>
  <si>
    <t xml:space="preserve">Carreño Nicolas </t>
  </si>
  <si>
    <t>+549512155310</t>
  </si>
  <si>
    <t>Viale Agustina</t>
  </si>
  <si>
    <t>+549513853405</t>
  </si>
  <si>
    <t>MUÑOZ EMERY OMAR</t>
  </si>
  <si>
    <t xml:space="preserve">Barrionuevo  Maximiliano </t>
  </si>
  <si>
    <t>+549512895706</t>
  </si>
  <si>
    <t xml:space="preserve">Liotta Oscar Alberto </t>
  </si>
  <si>
    <t>+549515168697</t>
  </si>
  <si>
    <t xml:space="preserve">Castro Tomé  Ramón </t>
  </si>
  <si>
    <t>Panero Marite</t>
  </si>
  <si>
    <t>+549512417002</t>
  </si>
  <si>
    <t>Gallara Daniel G</t>
  </si>
  <si>
    <t>+549512417001</t>
  </si>
  <si>
    <t>Ayerbe Alejandro</t>
  </si>
  <si>
    <t>+549513181590</t>
  </si>
  <si>
    <t xml:space="preserve">YERIO Josefina </t>
  </si>
  <si>
    <t>+549994115646</t>
  </si>
  <si>
    <t>Peralta  Marisel</t>
  </si>
  <si>
    <t>+549517537748</t>
  </si>
  <si>
    <t>SILVA Mary</t>
  </si>
  <si>
    <t>+549518018923</t>
  </si>
  <si>
    <t>Alvarez Osvaldo</t>
  </si>
  <si>
    <t>+549516761063</t>
  </si>
  <si>
    <t>Pereyra Daniel</t>
  </si>
  <si>
    <t>+549516365446</t>
  </si>
  <si>
    <t>Werner Victoria</t>
  </si>
  <si>
    <t>+549518002086</t>
  </si>
  <si>
    <t>Marchisone Lucas</t>
  </si>
  <si>
    <t>+549517734188</t>
  </si>
  <si>
    <t>Martini Valentina</t>
  </si>
  <si>
    <t>+549513107075</t>
  </si>
  <si>
    <t xml:space="preserve">Palacios  Luciano </t>
  </si>
  <si>
    <t xml:space="preserve">Palacios  Vanina </t>
  </si>
  <si>
    <t>+5495167713413515901845</t>
  </si>
  <si>
    <t>Morales Facundo</t>
  </si>
  <si>
    <t>+549516313815</t>
  </si>
  <si>
    <t>Menseguez Juan Cruz</t>
  </si>
  <si>
    <t>+549513346346</t>
  </si>
  <si>
    <t xml:space="preserve">Pont María Angélica </t>
  </si>
  <si>
    <t>+549513746299</t>
  </si>
  <si>
    <t>Scordo Claudia</t>
  </si>
  <si>
    <t>+549515109541</t>
  </si>
  <si>
    <t>Dolard Agustin</t>
  </si>
  <si>
    <t>+549513484526</t>
  </si>
  <si>
    <t>Dorflinger Walter</t>
  </si>
  <si>
    <t>+549516880117</t>
  </si>
  <si>
    <t>Aguirre Messina Paloma</t>
  </si>
  <si>
    <t>+549518026715</t>
  </si>
  <si>
    <t>Ponce Mailen</t>
  </si>
  <si>
    <t>+549512586760</t>
  </si>
  <si>
    <t>Cavallero Figueroa  Alma</t>
  </si>
  <si>
    <t>Ludueña Ignacio</t>
  </si>
  <si>
    <t>+549516988111</t>
  </si>
  <si>
    <t xml:space="preserve">CERASO  Lucas </t>
  </si>
  <si>
    <t>+549412020195</t>
  </si>
  <si>
    <t>Batallan Raul</t>
  </si>
  <si>
    <t>+549515214857</t>
  </si>
  <si>
    <t xml:space="preserve">GIACOMELLI Franco </t>
  </si>
  <si>
    <t>+549513127200</t>
  </si>
  <si>
    <t xml:space="preserve">Acosta Maylen </t>
  </si>
  <si>
    <t>+549513799497</t>
  </si>
  <si>
    <t>Cabanillas Miguel</t>
  </si>
  <si>
    <t>+549512441054</t>
  </si>
  <si>
    <t>Cortez Angelica Nene</t>
  </si>
  <si>
    <t>Paulino Sofia</t>
  </si>
  <si>
    <t>Tobares Regina</t>
  </si>
  <si>
    <t>+549512665822</t>
  </si>
  <si>
    <t xml:space="preserve">Davila  Pablo </t>
  </si>
  <si>
    <t>Moretto  Horacio</t>
  </si>
  <si>
    <t>+549515505817</t>
  </si>
  <si>
    <t>VIBERTI Carlos</t>
  </si>
  <si>
    <t>+549514590212</t>
  </si>
  <si>
    <t>Merdidian Juan Carlos</t>
  </si>
  <si>
    <t>+549513146903</t>
  </si>
  <si>
    <t xml:space="preserve">Barra González  Tomás </t>
  </si>
  <si>
    <t>+549515329797</t>
  </si>
  <si>
    <t xml:space="preserve">Blanco  Luis Manuel </t>
  </si>
  <si>
    <t>+549512008982</t>
  </si>
  <si>
    <t>Bassano Jorge</t>
  </si>
  <si>
    <t>+549516817829</t>
  </si>
  <si>
    <t>Navarro Fabian</t>
  </si>
  <si>
    <t>+549515135709</t>
  </si>
  <si>
    <t>Gonzalez Mazzoni Octavio</t>
  </si>
  <si>
    <t>+549512343290</t>
  </si>
  <si>
    <t>Romero Sergio</t>
  </si>
  <si>
    <t>+549513218392</t>
  </si>
  <si>
    <t>Pedroza Gustavo</t>
  </si>
  <si>
    <t>Gervino Luis</t>
  </si>
  <si>
    <t>+549515605577</t>
  </si>
  <si>
    <t>Fernandez Carlota Mercedes</t>
  </si>
  <si>
    <t>+549516622237</t>
  </si>
  <si>
    <t xml:space="preserve">Cardozo  Augusto David </t>
  </si>
  <si>
    <t>+549515106103</t>
  </si>
  <si>
    <t>Claure Isabel</t>
  </si>
  <si>
    <t>+5491</t>
  </si>
  <si>
    <t>Roulet Elias</t>
  </si>
  <si>
    <t>+549515953371</t>
  </si>
  <si>
    <t>Peltzer  Enrique</t>
  </si>
  <si>
    <t>+549515600500</t>
  </si>
  <si>
    <t>Baldoma Gustavo</t>
  </si>
  <si>
    <t>+549513464446</t>
  </si>
  <si>
    <t xml:space="preserve">Galvez  Federico </t>
  </si>
  <si>
    <t>+549516076331</t>
  </si>
  <si>
    <t>Perez Maria Belen</t>
  </si>
  <si>
    <t>+549513857461</t>
  </si>
  <si>
    <t>Bordino Nora Hilda</t>
  </si>
  <si>
    <t>+549516604695</t>
  </si>
  <si>
    <t>Fontanella Agostina</t>
  </si>
  <si>
    <t>+549534792451</t>
  </si>
  <si>
    <t>GLOWACKI Walter</t>
  </si>
  <si>
    <t>+549515730256</t>
  </si>
  <si>
    <t>Silva Gregorio</t>
  </si>
  <si>
    <t>+549512095193</t>
  </si>
  <si>
    <t xml:space="preserve">Sanchez  Eva </t>
  </si>
  <si>
    <t>+549516379967</t>
  </si>
  <si>
    <t>OLOCCO David</t>
  </si>
  <si>
    <t>+549516648823</t>
  </si>
  <si>
    <t>Costamagna Susana</t>
  </si>
  <si>
    <t>+549513239274</t>
  </si>
  <si>
    <t xml:space="preserve">SEGHEZZO Chiara Belen </t>
  </si>
  <si>
    <t>+549416559313</t>
  </si>
  <si>
    <t>Medina Luis</t>
  </si>
  <si>
    <t>+549514085635</t>
  </si>
  <si>
    <t xml:space="preserve">Salas  Fernando </t>
  </si>
  <si>
    <t>+549516565633</t>
  </si>
  <si>
    <t>Hillar Alejandro</t>
  </si>
  <si>
    <t>+549516427532</t>
  </si>
  <si>
    <t>Quiroga Ignacio</t>
  </si>
  <si>
    <t>+549512472243</t>
  </si>
  <si>
    <t>Macagno Diego</t>
  </si>
  <si>
    <t>+549513932937</t>
  </si>
  <si>
    <t>Gomez barbeito Juan ignacio</t>
  </si>
  <si>
    <t>+549513483032</t>
  </si>
  <si>
    <t>Trad JAiro</t>
  </si>
  <si>
    <t>+549544599933</t>
  </si>
  <si>
    <t>Ceballos Ferri Geronimo</t>
  </si>
  <si>
    <t>Feito José</t>
  </si>
  <si>
    <t>+549159899701</t>
  </si>
  <si>
    <t>Altamirano Lucas</t>
  </si>
  <si>
    <t>+549515587324</t>
  </si>
  <si>
    <t>Ramos Veronica Tamara</t>
  </si>
  <si>
    <t>+549516067822</t>
  </si>
  <si>
    <t>Guevara  Enrique</t>
  </si>
  <si>
    <t>+549516111984</t>
  </si>
  <si>
    <t>Mascarello Eduardo</t>
  </si>
  <si>
    <t>+549517460479</t>
  </si>
  <si>
    <t>MONTOYA ROQUE</t>
  </si>
  <si>
    <t>+549515746964</t>
  </si>
  <si>
    <t>Fernandez Nahuel</t>
  </si>
  <si>
    <t>+549518087765</t>
  </si>
  <si>
    <t>Pinto Ignacio</t>
  </si>
  <si>
    <t>+549513299104</t>
  </si>
  <si>
    <t>bazan Alicia Susana</t>
  </si>
  <si>
    <t>+549513694169</t>
  </si>
  <si>
    <t xml:space="preserve">Urey Lilian gisela </t>
  </si>
  <si>
    <t>+549512234086</t>
  </si>
  <si>
    <t>Quiroga Monnier Gregorio</t>
  </si>
  <si>
    <t>+549517425315</t>
  </si>
  <si>
    <t>Andrada Gonzalo J</t>
  </si>
  <si>
    <t>+549517012926</t>
  </si>
  <si>
    <t xml:space="preserve">Spinosa Ana Estefania </t>
  </si>
  <si>
    <t>+549518561034</t>
  </si>
  <si>
    <t>Belisle Maria Cecilia</t>
  </si>
  <si>
    <t>+549518009252</t>
  </si>
  <si>
    <t>Colautti Adele</t>
  </si>
  <si>
    <t>+549516884519</t>
  </si>
  <si>
    <t>Gangarrossa Franco Albano</t>
  </si>
  <si>
    <t>+549515937242</t>
  </si>
  <si>
    <t>Vittone Silvina</t>
  </si>
  <si>
    <t>+549512360848</t>
  </si>
  <si>
    <t>Strasorier Santiago</t>
  </si>
  <si>
    <t>+549130122089</t>
  </si>
  <si>
    <t>Krivoruk Raul</t>
  </si>
  <si>
    <t>+549512021681</t>
  </si>
  <si>
    <t xml:space="preserve">Martinez Tello Juliana </t>
  </si>
  <si>
    <t>JUAN Alejandro</t>
  </si>
  <si>
    <t>+549516208900</t>
  </si>
  <si>
    <t>Juan Alejandro</t>
  </si>
  <si>
    <t>Guillen Francisco</t>
  </si>
  <si>
    <t>+549518377000</t>
  </si>
  <si>
    <t>Perez Dopazo Martha Viviana</t>
  </si>
  <si>
    <t>+549513193958</t>
  </si>
  <si>
    <t>Buffa Luis</t>
  </si>
  <si>
    <t>+549513718449</t>
  </si>
  <si>
    <t>Pedacchia Agustin</t>
  </si>
  <si>
    <t>+549513899462</t>
  </si>
  <si>
    <t>Ferrari Nora</t>
  </si>
  <si>
    <t>+549513858331</t>
  </si>
  <si>
    <t>Ugolino  Matias</t>
  </si>
  <si>
    <t>+549518614022</t>
  </si>
  <si>
    <t>Alvarez Daniel</t>
  </si>
  <si>
    <t>+549513044767</t>
  </si>
  <si>
    <t>ZAFE Jorge</t>
  </si>
  <si>
    <t>+549512024181</t>
  </si>
  <si>
    <t>Sabor Segundo</t>
  </si>
  <si>
    <t>+549512552702</t>
  </si>
  <si>
    <t xml:space="preserve">Merlo David maximiliano </t>
  </si>
  <si>
    <t>+549516478748</t>
  </si>
  <si>
    <t>Tejeda Mariana Belen</t>
  </si>
  <si>
    <t>+549512189365</t>
  </si>
  <si>
    <t>Riego Gonzalo</t>
  </si>
  <si>
    <t>+549512167989</t>
  </si>
  <si>
    <t>Cruzado Lucas</t>
  </si>
  <si>
    <t>+549515954286</t>
  </si>
  <si>
    <t>Lungaro Maria Elizabeth</t>
  </si>
  <si>
    <t>+549516874000</t>
  </si>
  <si>
    <t>LAUENSTEIN Mariel</t>
  </si>
  <si>
    <t>+549513549222</t>
  </si>
  <si>
    <t xml:space="preserve">Bas Maria paula </t>
  </si>
  <si>
    <t>+549516537121</t>
  </si>
  <si>
    <t xml:space="preserve">TORRES  Facundo </t>
  </si>
  <si>
    <t>+549512075558</t>
  </si>
  <si>
    <t xml:space="preserve">Bruno Gerardo </t>
  </si>
  <si>
    <t>+549517071234</t>
  </si>
  <si>
    <t>Romero Emmanuel</t>
  </si>
  <si>
    <t>+549517561771</t>
  </si>
  <si>
    <t>Marquez Ochoa Maria Paz</t>
  </si>
  <si>
    <t>+549516590333</t>
  </si>
  <si>
    <t>Argañaraz  Benjamin</t>
  </si>
  <si>
    <t>+549513439427</t>
  </si>
  <si>
    <t>Argañaraz Benjamín</t>
  </si>
  <si>
    <t>Tesan Leonardo</t>
  </si>
  <si>
    <t>+549512106456</t>
  </si>
  <si>
    <t xml:space="preserve">Cordoba  Edith Maria </t>
  </si>
  <si>
    <t>+549515379208</t>
  </si>
  <si>
    <t>Ferrari Hector</t>
  </si>
  <si>
    <t>+549515925145</t>
  </si>
  <si>
    <t>Buschiazzo Perez  Luana</t>
  </si>
  <si>
    <t>+549516473050</t>
  </si>
  <si>
    <t>Buschiazzo Perez Luana</t>
  </si>
  <si>
    <t xml:space="preserve">Paula  Balian </t>
  </si>
  <si>
    <t>+549513865653</t>
  </si>
  <si>
    <t>Cordoba Edith Maria Laura</t>
  </si>
  <si>
    <t>Pardo Elias Agustin</t>
  </si>
  <si>
    <t>+549512103737</t>
  </si>
  <si>
    <t xml:space="preserve">Delgado Graciela </t>
  </si>
  <si>
    <t>+549518684692</t>
  </si>
  <si>
    <t>Batalla Rosa Ramona</t>
  </si>
  <si>
    <t>+549517055178</t>
  </si>
  <si>
    <t>Míguez Nora Élida</t>
  </si>
  <si>
    <t>+549517645107</t>
  </si>
  <si>
    <t>Walker Raul</t>
  </si>
  <si>
    <t>+549516809560</t>
  </si>
  <si>
    <t xml:space="preserve">Pelliza  Romina Paola </t>
  </si>
  <si>
    <t>+549518061792</t>
  </si>
  <si>
    <t>LOPEZ Facundo</t>
  </si>
  <si>
    <t>+549543604496</t>
  </si>
  <si>
    <t>Tapia Martin</t>
  </si>
  <si>
    <t>+549512331985</t>
  </si>
  <si>
    <t>Lauricella  Nahuel</t>
  </si>
  <si>
    <t>+549518089176</t>
  </si>
  <si>
    <t>CHEJOSKI Marcos</t>
  </si>
  <si>
    <t>+549512955749</t>
  </si>
  <si>
    <t>Richard Franco</t>
  </si>
  <si>
    <t>+549518072002</t>
  </si>
  <si>
    <t>Pelaez Jose Luis</t>
  </si>
  <si>
    <t>+549515904535</t>
  </si>
  <si>
    <t>Dominguez Rocio</t>
  </si>
  <si>
    <t>+549518043069</t>
  </si>
  <si>
    <t>Sanchez Veronica</t>
  </si>
  <si>
    <t>+549515995995</t>
  </si>
  <si>
    <t>Almada Hugo</t>
  </si>
  <si>
    <t>+549515641264</t>
  </si>
  <si>
    <t>Celi Abril</t>
  </si>
  <si>
    <t>+549516978553</t>
  </si>
  <si>
    <t>Mazzola Agustina</t>
  </si>
  <si>
    <t>+549518014372</t>
  </si>
  <si>
    <t>Ledesma Gladys Viviana</t>
  </si>
  <si>
    <t>+549513020827</t>
  </si>
  <si>
    <t>Cortez Eliana Noelia</t>
  </si>
  <si>
    <t>+549516593570</t>
  </si>
  <si>
    <t>Huespe  Sofia</t>
  </si>
  <si>
    <t>+549512003727</t>
  </si>
  <si>
    <t xml:space="preserve">Arrietto Gabriela </t>
  </si>
  <si>
    <t>+549513621455</t>
  </si>
  <si>
    <t>Casamayor Matias</t>
  </si>
  <si>
    <t>+549512026168</t>
  </si>
  <si>
    <t xml:space="preserve">Iturri Juan Pablo </t>
  </si>
  <si>
    <t>+549517558813</t>
  </si>
  <si>
    <t>Montesco Pablo bruno</t>
  </si>
  <si>
    <t>+549516888999</t>
  </si>
  <si>
    <t>Balbiano Javier</t>
  </si>
  <si>
    <t>+549516884309</t>
  </si>
  <si>
    <t>Diez Pedro</t>
  </si>
  <si>
    <t>+549516433132</t>
  </si>
  <si>
    <t>Huespe Sofía</t>
  </si>
  <si>
    <t>Tissot Gaston</t>
  </si>
  <si>
    <t>+549513461244</t>
  </si>
  <si>
    <t>Perez Nicolas</t>
  </si>
  <si>
    <t>+549512434092</t>
  </si>
  <si>
    <t>TISSOT GASTON</t>
  </si>
  <si>
    <t>Lopez Fernando</t>
  </si>
  <si>
    <t>+549512043501</t>
  </si>
  <si>
    <t>Molina MATIAS</t>
  </si>
  <si>
    <t>+549571561064</t>
  </si>
  <si>
    <t>Moreno Andrea</t>
  </si>
  <si>
    <t>+549543415153</t>
  </si>
  <si>
    <t>Segovia Ceclilia</t>
  </si>
  <si>
    <t>+549513934702</t>
  </si>
  <si>
    <t>FIGLIOLIA Alejandro</t>
  </si>
  <si>
    <t>+549513840039</t>
  </si>
  <si>
    <t>Perea Gabriela</t>
  </si>
  <si>
    <t>+549512400920</t>
  </si>
  <si>
    <t>Barrio Luis Pablo</t>
  </si>
  <si>
    <t>+549516321800</t>
  </si>
  <si>
    <t>Guell Tomas</t>
  </si>
  <si>
    <t>+549517057308</t>
  </si>
  <si>
    <t>Reyes  Juan Jorge</t>
  </si>
  <si>
    <t>+549512521684</t>
  </si>
  <si>
    <t>Lanfranchi Micaela Gisel</t>
  </si>
  <si>
    <t>+549517645188</t>
  </si>
  <si>
    <t xml:space="preserve">Nuccetelli Nieto  Simón </t>
  </si>
  <si>
    <t>Tavella Marina</t>
  </si>
  <si>
    <t>+549515110589</t>
  </si>
  <si>
    <t>Corbella Graciela</t>
  </si>
  <si>
    <t>+549513135683</t>
  </si>
  <si>
    <t>Ruibal Oscar</t>
  </si>
  <si>
    <t>+549515451065</t>
  </si>
  <si>
    <t xml:space="preserve">Pereyra Laura Susana </t>
  </si>
  <si>
    <t>+549512390336</t>
  </si>
  <si>
    <t>Calderon Diana Marcela</t>
  </si>
  <si>
    <t>+549515123931</t>
  </si>
  <si>
    <t>andrada Jonathan david</t>
  </si>
  <si>
    <t>+549517615305</t>
  </si>
  <si>
    <t>NIBEYRO Ariadna</t>
  </si>
  <si>
    <t>+549516275885</t>
  </si>
  <si>
    <t>Ramis Lucas</t>
  </si>
  <si>
    <t>+549517023460</t>
  </si>
  <si>
    <t>Santa Jose Alfredo</t>
  </si>
  <si>
    <t>+549516518474</t>
  </si>
  <si>
    <t>Mamar Agostina</t>
  </si>
  <si>
    <t>+549513485501</t>
  </si>
  <si>
    <t>BALDUCCI  SALVADOR</t>
  </si>
  <si>
    <t>+549515554505</t>
  </si>
  <si>
    <t>Alonso Julieta</t>
  </si>
  <si>
    <t>+549516806868</t>
  </si>
  <si>
    <t>Vega Laura carina</t>
  </si>
  <si>
    <t>+549515528039</t>
  </si>
  <si>
    <t xml:space="preserve">Cordeiro Julieta </t>
  </si>
  <si>
    <t>+549517132653</t>
  </si>
  <si>
    <t>Márquez  Natalia</t>
  </si>
  <si>
    <t>+549516330031</t>
  </si>
  <si>
    <t>Londero  Lucas</t>
  </si>
  <si>
    <t>+549532588660</t>
  </si>
  <si>
    <t xml:space="preserve">Bazán Valentina </t>
  </si>
  <si>
    <t>+549516256793</t>
  </si>
  <si>
    <t>Cecato Lautaro</t>
  </si>
  <si>
    <t>+549512324773</t>
  </si>
  <si>
    <t>Palavecino Santiago</t>
  </si>
  <si>
    <t>+549512418607</t>
  </si>
  <si>
    <t>Palavecino Paula</t>
  </si>
  <si>
    <t>+549515102898</t>
  </si>
  <si>
    <t>Barrionuevo Yamila</t>
  </si>
  <si>
    <t>+549512368541</t>
  </si>
  <si>
    <t>TORRI Ruben Daniel</t>
  </si>
  <si>
    <t>+549517046599</t>
  </si>
  <si>
    <t xml:space="preserve">Martínez  Jessica Gabriela </t>
  </si>
  <si>
    <t>+549512172560</t>
  </si>
  <si>
    <t>DIAZ  ROLANDO</t>
  </si>
  <si>
    <t>+549515080648</t>
  </si>
  <si>
    <t xml:space="preserve">QUEVEDO Nelson Damian </t>
  </si>
  <si>
    <t>+549517360809</t>
  </si>
  <si>
    <t>Arguello Dario</t>
  </si>
  <si>
    <t>+549515418058</t>
  </si>
  <si>
    <t xml:space="preserve">Robles Nicolas </t>
  </si>
  <si>
    <t>+549513997447</t>
  </si>
  <si>
    <t>Irastorza Ricardo</t>
  </si>
  <si>
    <t>+549516184010</t>
  </si>
  <si>
    <t xml:space="preserve">MARTINEZ Jessica </t>
  </si>
  <si>
    <t>Amuchastegui Beatriz Liliana</t>
  </si>
  <si>
    <t>+549513468046</t>
  </si>
  <si>
    <t>Orcetti Federico</t>
  </si>
  <si>
    <t>+549514590300</t>
  </si>
  <si>
    <t>Barbero Edgardo Ruben</t>
  </si>
  <si>
    <t>+549513458582</t>
  </si>
  <si>
    <t>Perez Gonzalo</t>
  </si>
  <si>
    <t>+549513848874</t>
  </si>
  <si>
    <t xml:space="preserve">NIZA Blanca </t>
  </si>
  <si>
    <t>+549512210129</t>
  </si>
  <si>
    <t>Giannoboli Lucas Victorio</t>
  </si>
  <si>
    <t>+549518054744</t>
  </si>
  <si>
    <t>Cooper Pedro</t>
  </si>
  <si>
    <t>+549516230530</t>
  </si>
  <si>
    <t>Correa Volpara Juan</t>
  </si>
  <si>
    <t>+549515900811</t>
  </si>
  <si>
    <t>Herrera Patricia del Valle</t>
  </si>
  <si>
    <t>+549516354614</t>
  </si>
  <si>
    <t>Olivera  Agustin</t>
  </si>
  <si>
    <t>+549513249591</t>
  </si>
  <si>
    <t>Rojas Ricardo</t>
  </si>
  <si>
    <t>+549516791675</t>
  </si>
  <si>
    <t xml:space="preserve">Paya Leonardo </t>
  </si>
  <si>
    <t>+549516362929</t>
  </si>
  <si>
    <t>Barzola Jose</t>
  </si>
  <si>
    <t>+549513954237</t>
  </si>
  <si>
    <t xml:space="preserve">Font  Natalia Soledad </t>
  </si>
  <si>
    <t>+549515646569</t>
  </si>
  <si>
    <t>Martin Nahir</t>
  </si>
  <si>
    <t>+549923433600</t>
  </si>
  <si>
    <t>Casas Matias nahuel</t>
  </si>
  <si>
    <t>+549517651646</t>
  </si>
  <si>
    <t>moreno fassone catalina</t>
  </si>
  <si>
    <t>+549512376802</t>
  </si>
  <si>
    <t>Ramirez Paulina</t>
  </si>
  <si>
    <t>+549515387560</t>
  </si>
  <si>
    <t xml:space="preserve">Valdiviezo  Valentino </t>
  </si>
  <si>
    <t>+549513852736</t>
  </si>
  <si>
    <t>Crozzol Bautista</t>
  </si>
  <si>
    <t>+549515914335</t>
  </si>
  <si>
    <t>Kohon Carlos</t>
  </si>
  <si>
    <t>+549455440734</t>
  </si>
  <si>
    <t>Bustamante  Ana</t>
  </si>
  <si>
    <t>+549515051516</t>
  </si>
  <si>
    <t xml:space="preserve">Vendramini  Mauro </t>
  </si>
  <si>
    <t>+549518727668</t>
  </si>
  <si>
    <t>Rodriguez Pablo</t>
  </si>
  <si>
    <t>+549513560032</t>
  </si>
  <si>
    <t xml:space="preserve">Bagnasco Mercedes </t>
  </si>
  <si>
    <t>+549513119100</t>
  </si>
  <si>
    <t xml:space="preserve">Ibarra Agustín </t>
  </si>
  <si>
    <t>+549512444364</t>
  </si>
  <si>
    <t>Sesma Amelia</t>
  </si>
  <si>
    <t>+549518094444</t>
  </si>
  <si>
    <t xml:space="preserve">de Ipola  Matías </t>
  </si>
  <si>
    <t>+549516328707</t>
  </si>
  <si>
    <t xml:space="preserve">BERETTA  Vanesa </t>
  </si>
  <si>
    <t>+549516139244</t>
  </si>
  <si>
    <t xml:space="preserve">Albarracin  Abril </t>
  </si>
  <si>
    <t>+549512304722</t>
  </si>
  <si>
    <t>pignata franco</t>
  </si>
  <si>
    <t>+549515938082</t>
  </si>
  <si>
    <t>Spaccesi Virginia</t>
  </si>
  <si>
    <t>+54951156152843</t>
  </si>
  <si>
    <t>Volmaro Lucas</t>
  </si>
  <si>
    <t>+549535634687</t>
  </si>
  <si>
    <t xml:space="preserve">Bazan Pablo </t>
  </si>
  <si>
    <t>+549512422189</t>
  </si>
  <si>
    <t xml:space="preserve">Gerasimchuk  Ana Milena </t>
  </si>
  <si>
    <t>+549512174808</t>
  </si>
  <si>
    <t>Lanfranchi  Micaela Gisel</t>
  </si>
  <si>
    <t>Bustamante Santiago</t>
  </si>
  <si>
    <t>+549513569284</t>
  </si>
  <si>
    <t>Arletti Agustin</t>
  </si>
  <si>
    <t>+549966702231</t>
  </si>
  <si>
    <t>Leyes Fabian</t>
  </si>
  <si>
    <t>+549512461707</t>
  </si>
  <si>
    <t>GARBIGLIA Lucas Sebastian</t>
  </si>
  <si>
    <t>+549516279043</t>
  </si>
  <si>
    <t xml:space="preserve">Santamaria Ana Laura </t>
  </si>
  <si>
    <t>+549515314409</t>
  </si>
  <si>
    <t xml:space="preserve">Gomez Gladys </t>
  </si>
  <si>
    <t>+549516825284</t>
  </si>
  <si>
    <t>Matejcic Alejandro</t>
  </si>
  <si>
    <t>+549512030983</t>
  </si>
  <si>
    <t>Mammana Alejandro</t>
  </si>
  <si>
    <t>+549513061167</t>
  </si>
  <si>
    <t>BALEIRON SERGIO RAÚL</t>
  </si>
  <si>
    <t>+549515207437</t>
  </si>
  <si>
    <t>Carpetta Tomas</t>
  </si>
  <si>
    <t>+549513251811</t>
  </si>
  <si>
    <t>Reginatto  Patricia</t>
  </si>
  <si>
    <t>+549513101052</t>
  </si>
  <si>
    <t>Sommo Cristina</t>
  </si>
  <si>
    <t>+549512070993</t>
  </si>
  <si>
    <t>Fraile Lourdes</t>
  </si>
  <si>
    <t>+549513412093</t>
  </si>
  <si>
    <t xml:space="preserve">Reginatto  Patricia Beatriz </t>
  </si>
  <si>
    <t>Ferreyra Mariano</t>
  </si>
  <si>
    <t>+549512250662</t>
  </si>
  <si>
    <t>capretta tomas</t>
  </si>
  <si>
    <t xml:space="preserve">MARIONI Sergio </t>
  </si>
  <si>
    <t>+549516164441</t>
  </si>
  <si>
    <t xml:space="preserve">Guillen Maria de los Angeles </t>
  </si>
  <si>
    <t>+549513831711</t>
  </si>
  <si>
    <t>PORPORATO Raquel</t>
  </si>
  <si>
    <t>+549512082578</t>
  </si>
  <si>
    <t xml:space="preserve">Scalzadona  Julieta </t>
  </si>
  <si>
    <t>+549512348045</t>
  </si>
  <si>
    <t>Soria Amparo</t>
  </si>
  <si>
    <t>+549513434808</t>
  </si>
  <si>
    <t xml:space="preserve">Contreras Valentino </t>
  </si>
  <si>
    <t xml:space="preserve">Lombardi  Diego </t>
  </si>
  <si>
    <t>+549516651241</t>
  </si>
  <si>
    <t>Pahl Ruben</t>
  </si>
  <si>
    <t>+549516517192</t>
  </si>
  <si>
    <t>Mouxaut Iñaki</t>
  </si>
  <si>
    <t>+549512359003</t>
  </si>
  <si>
    <t>Blasco Omar Fernando</t>
  </si>
  <si>
    <t>+549515335683</t>
  </si>
  <si>
    <t xml:space="preserve">Aguade  Cecilia </t>
  </si>
  <si>
    <t>+549516833779</t>
  </si>
  <si>
    <t xml:space="preserve">Ávila  Nicolás </t>
  </si>
  <si>
    <t>+549513053233</t>
  </si>
  <si>
    <t>Campos Hector</t>
  </si>
  <si>
    <t>+549512941027</t>
  </si>
  <si>
    <t xml:space="preserve">REINOSO Luis Angel </t>
  </si>
  <si>
    <t>+549516776797</t>
  </si>
  <si>
    <t>Colomer Javier</t>
  </si>
  <si>
    <t>+549516658263</t>
  </si>
  <si>
    <t>Mercado Lucio</t>
  </si>
  <si>
    <t>+549512278951</t>
  </si>
  <si>
    <t>ARMOA Maria Angeles</t>
  </si>
  <si>
    <t>+549516654676</t>
  </si>
  <si>
    <t>Heredia Emanuel</t>
  </si>
  <si>
    <t>+549512431240</t>
  </si>
  <si>
    <t>Mija Matias</t>
  </si>
  <si>
    <t>+549517341697</t>
  </si>
  <si>
    <t>Garcia Nestor</t>
  </si>
  <si>
    <t>+549516228374</t>
  </si>
  <si>
    <t xml:space="preserve">YACUZZI Florencia </t>
  </si>
  <si>
    <t>+549516161934</t>
  </si>
  <si>
    <t>Argañaraz Pons Luciano Martín</t>
  </si>
  <si>
    <t>+549516501002</t>
  </si>
  <si>
    <t>RUFEIL EMILIANO JOSE</t>
  </si>
  <si>
    <t>+549513286687</t>
  </si>
  <si>
    <t xml:space="preserve">Juarez Cristina Noemi </t>
  </si>
  <si>
    <t>+549516961076</t>
  </si>
  <si>
    <t xml:space="preserve">Moyano  Gonzalo </t>
  </si>
  <si>
    <t>+549517690758</t>
  </si>
  <si>
    <t xml:space="preserve">Diaz  Belén </t>
  </si>
  <si>
    <t>+549513376930</t>
  </si>
  <si>
    <t>PARTEMI Mileva</t>
  </si>
  <si>
    <t>+549513906121</t>
  </si>
  <si>
    <t>Cecconello Franco</t>
  </si>
  <si>
    <t>+549516185307</t>
  </si>
  <si>
    <t>Monteverde Diego</t>
  </si>
  <si>
    <t>+549518097455</t>
  </si>
  <si>
    <t>Sanchez Raul</t>
  </si>
  <si>
    <t>+549516267403</t>
  </si>
  <si>
    <t>Calles Brenda</t>
  </si>
  <si>
    <t>+549516182735</t>
  </si>
  <si>
    <t>Muñoz Lara Valentina</t>
  </si>
  <si>
    <t>+549964542350</t>
  </si>
  <si>
    <t>Damino Verónica</t>
  </si>
  <si>
    <t>+549512329979</t>
  </si>
  <si>
    <t>RASPA  Teresa</t>
  </si>
  <si>
    <t>+549517069576</t>
  </si>
  <si>
    <t>Revol Eugenia</t>
  </si>
  <si>
    <t>+549516323394</t>
  </si>
  <si>
    <t xml:space="preserve">Guevara Boros  Andy Exel </t>
  </si>
  <si>
    <t>+549512339765</t>
  </si>
  <si>
    <t>HERNANDEZ MORA ASUNCION</t>
  </si>
  <si>
    <t>+549516427340</t>
  </si>
  <si>
    <t>Torres Facundo</t>
  </si>
  <si>
    <t>+549512565503</t>
  </si>
  <si>
    <t>Barbero Lucrecia</t>
  </si>
  <si>
    <t>+549534209509</t>
  </si>
  <si>
    <t>FERNANDEZ GERMAN</t>
  </si>
  <si>
    <t>+549513815231</t>
  </si>
  <si>
    <t>Monetto Constanza</t>
  </si>
  <si>
    <t>+549512274687</t>
  </si>
  <si>
    <t>Listoffsky Martina</t>
  </si>
  <si>
    <t>+549512163888</t>
  </si>
  <si>
    <t>Pulitta Griselda ivana</t>
  </si>
  <si>
    <t>+549518639170</t>
  </si>
  <si>
    <t>Frarcedic Octavio</t>
  </si>
  <si>
    <t>+549543575398</t>
  </si>
  <si>
    <t xml:space="preserve">Cravero  Atilio </t>
  </si>
  <si>
    <t>+549512178754</t>
  </si>
  <si>
    <t xml:space="preserve">Blint Igor </t>
  </si>
  <si>
    <t>+549516974759</t>
  </si>
  <si>
    <t xml:space="preserve">delgado Santiago </t>
  </si>
  <si>
    <t>+549518553356</t>
  </si>
  <si>
    <t>Marchetti Gloria</t>
  </si>
  <si>
    <t>+549515645473</t>
  </si>
  <si>
    <t xml:space="preserve">Cabrera  Claudia </t>
  </si>
  <si>
    <t>+549515101501</t>
  </si>
  <si>
    <t>Roberto Mateo</t>
  </si>
  <si>
    <t>+549518087395</t>
  </si>
  <si>
    <t xml:space="preserve">ELENA  Vanina Fabiola Josefina </t>
  </si>
  <si>
    <t>+549513112121</t>
  </si>
  <si>
    <t xml:space="preserve">BECHER   Néstor Fabian </t>
  </si>
  <si>
    <t>+549513112222</t>
  </si>
  <si>
    <t>Medina Luis angel</t>
  </si>
  <si>
    <t xml:space="preserve">Sosa Alexis </t>
  </si>
  <si>
    <t>+549512145675</t>
  </si>
  <si>
    <t>Zampedri Sofia</t>
  </si>
  <si>
    <t>+549512724972</t>
  </si>
  <si>
    <t>Torres Mazzucchi Maria Elena</t>
  </si>
  <si>
    <t>+549516706670</t>
  </si>
  <si>
    <t>Pautasso Juan</t>
  </si>
  <si>
    <t>+549512091899</t>
  </si>
  <si>
    <t>Vazquez Marisel</t>
  </si>
  <si>
    <t>+549515914536</t>
  </si>
  <si>
    <t>Bernabeu Juan</t>
  </si>
  <si>
    <t>+549513281374</t>
  </si>
  <si>
    <t>Diaz Agustin</t>
  </si>
  <si>
    <t>+549512602560</t>
  </si>
  <si>
    <t>Remonda Federico</t>
  </si>
  <si>
    <t>+549512077505</t>
  </si>
  <si>
    <t>Villagra Luis</t>
  </si>
  <si>
    <t>+549512236520</t>
  </si>
  <si>
    <t xml:space="preserve">María Victoria  Argota </t>
  </si>
  <si>
    <t>+549512893334</t>
  </si>
  <si>
    <t>Villarroel Antonio</t>
  </si>
  <si>
    <t>+549516526794</t>
  </si>
  <si>
    <t>Atala Maria Jose</t>
  </si>
  <si>
    <t>+549515462920</t>
  </si>
  <si>
    <t>Freitez Nili</t>
  </si>
  <si>
    <t>+549512303183</t>
  </si>
  <si>
    <t>GUTIERREZ ROCIO AILEN</t>
  </si>
  <si>
    <t>+549513609564</t>
  </si>
  <si>
    <t>Albert  Carlos Martin</t>
  </si>
  <si>
    <t>+549137665104</t>
  </si>
  <si>
    <t>Cambronera Ana Laura</t>
  </si>
  <si>
    <t>+549513091827</t>
  </si>
  <si>
    <t xml:space="preserve">Mantelli Juan Francisco </t>
  </si>
  <si>
    <t>+549537316068</t>
  </si>
  <si>
    <t xml:space="preserve">Coll  Veronica </t>
  </si>
  <si>
    <t>+549513911009</t>
  </si>
  <si>
    <t>Ferreyra Soledad</t>
  </si>
  <si>
    <t>+549515203179</t>
  </si>
  <si>
    <t>Argota Maria Victoria</t>
  </si>
  <si>
    <t>+549512848425</t>
  </si>
  <si>
    <t>Farias Salvador</t>
  </si>
  <si>
    <t>+549513242223</t>
  </si>
  <si>
    <t>PELAEZ VICTOR HORACIO</t>
  </si>
  <si>
    <t>+549515314210</t>
  </si>
  <si>
    <t xml:space="preserve">Vanegas Fabián </t>
  </si>
  <si>
    <t>+549516828401</t>
  </si>
  <si>
    <t xml:space="preserve">Rodriguez  José Hector </t>
  </si>
  <si>
    <t>+549515433121</t>
  </si>
  <si>
    <t>Collomb Agustin</t>
  </si>
  <si>
    <t>+549564602453</t>
  </si>
  <si>
    <t>costamagna susana</t>
  </si>
  <si>
    <t>BORDINO  Alvaro</t>
  </si>
  <si>
    <t>Jmelnitzky  Fabian</t>
  </si>
  <si>
    <t>+549512338939</t>
  </si>
  <si>
    <t xml:space="preserve">Rossetto  Cecilia </t>
  </si>
  <si>
    <t>+549515147020</t>
  </si>
  <si>
    <t>SUAREZ NOEMI</t>
  </si>
  <si>
    <t>+549517887060</t>
  </si>
  <si>
    <t xml:space="preserve">VELEZ Enrique Alberto </t>
  </si>
  <si>
    <t>+549516504916</t>
  </si>
  <si>
    <t xml:space="preserve">CORZO Renzo </t>
  </si>
  <si>
    <t xml:space="preserve">Perez Beatriz </t>
  </si>
  <si>
    <t>+549516506388</t>
  </si>
  <si>
    <t>Ponce Enrique</t>
  </si>
  <si>
    <t>+549515901383</t>
  </si>
  <si>
    <t>Hernandez Facundo</t>
  </si>
  <si>
    <t>+549513539903</t>
  </si>
  <si>
    <t xml:space="preserve">Molina Jenifer </t>
  </si>
  <si>
    <t>+549518107151</t>
  </si>
  <si>
    <t xml:space="preserve">Godoy José María </t>
  </si>
  <si>
    <t>+549513892836</t>
  </si>
  <si>
    <t xml:space="preserve">Fantin Quilaleo  Facundo </t>
  </si>
  <si>
    <t>Gruttadauria  Mariano</t>
  </si>
  <si>
    <t>+549516786167</t>
  </si>
  <si>
    <t>Pereyra Maria Cristina</t>
  </si>
  <si>
    <t>+549515925146</t>
  </si>
  <si>
    <t>Mosca Andrea</t>
  </si>
  <si>
    <t>+549516692219</t>
  </si>
  <si>
    <t xml:space="preserve">Garis Filippo </t>
  </si>
  <si>
    <t>+549516314075</t>
  </si>
  <si>
    <t>Hamsa José</t>
  </si>
  <si>
    <t>+549513923622</t>
  </si>
  <si>
    <t>Monzoni Emilia</t>
  </si>
  <si>
    <t>+549564679665</t>
  </si>
  <si>
    <t xml:space="preserve">Palacios  Valentin </t>
  </si>
  <si>
    <t>+549518556947</t>
  </si>
  <si>
    <t>Calanducci Manuel</t>
  </si>
  <si>
    <t>+549513515126</t>
  </si>
  <si>
    <t>Oliva Cabrera Maria Sol</t>
  </si>
  <si>
    <t>+549512446640</t>
  </si>
  <si>
    <t xml:space="preserve">Lastra Mathias </t>
  </si>
  <si>
    <t>+549513471684</t>
  </si>
  <si>
    <t>Ramirez Juan Pablo</t>
  </si>
  <si>
    <t>+549534196421</t>
  </si>
  <si>
    <t>Merlo Carlos Julio</t>
  </si>
  <si>
    <t>+549515097791</t>
  </si>
  <si>
    <t>Oliva Melina</t>
  </si>
  <si>
    <t>+549513450103</t>
  </si>
  <si>
    <t>Chanquia Beatriz</t>
  </si>
  <si>
    <t>+549512224052</t>
  </si>
  <si>
    <t>Calanducci Rafael</t>
  </si>
  <si>
    <t>+549515518470</t>
  </si>
  <si>
    <t xml:space="preserve">Sam Sam  Cristian </t>
  </si>
  <si>
    <t>+549513947342</t>
  </si>
  <si>
    <t xml:space="preserve">SORIANO  NATALIA LORENA </t>
  </si>
  <si>
    <t>+549516247400</t>
  </si>
  <si>
    <t>Miguel Maria Gabriela</t>
  </si>
  <si>
    <t>+549515189222</t>
  </si>
  <si>
    <t xml:space="preserve">Grassano Nacif  Giuliana </t>
  </si>
  <si>
    <t>+549515518569</t>
  </si>
  <si>
    <t xml:space="preserve">Lesta María Ilda del Valle </t>
  </si>
  <si>
    <t>+549516668355</t>
  </si>
  <si>
    <t>Nobrega Cristina</t>
  </si>
  <si>
    <t>+549513667970</t>
  </si>
  <si>
    <t xml:space="preserve">Noriega  José Ariel </t>
  </si>
  <si>
    <t>+549516370033</t>
  </si>
  <si>
    <t>Zadiz Josefina</t>
  </si>
  <si>
    <t>+549512805035</t>
  </si>
  <si>
    <t>Olmos Brillarelli  Agustina</t>
  </si>
  <si>
    <t>+549515521575</t>
  </si>
  <si>
    <t>AZAR JALIL</t>
  </si>
  <si>
    <t>+549515161612</t>
  </si>
  <si>
    <t>Canalis Santiago Martin</t>
  </si>
  <si>
    <t>+549513107877</t>
  </si>
  <si>
    <t>Hidalgo Teo salvador</t>
  </si>
  <si>
    <t>+549513664238</t>
  </si>
  <si>
    <t>Ordoñez  Yanina</t>
  </si>
  <si>
    <t>+549517583909</t>
  </si>
  <si>
    <t xml:space="preserve">herrera julian </t>
  </si>
  <si>
    <t>+549585133951</t>
  </si>
  <si>
    <t>Ledesma Juan Carlos</t>
  </si>
  <si>
    <t>+549515511293</t>
  </si>
  <si>
    <t>Casella Guido</t>
  </si>
  <si>
    <t>Goria Alejandra Cecilia</t>
  </si>
  <si>
    <t>+549512683884</t>
  </si>
  <si>
    <t>Alonso Nélida</t>
  </si>
  <si>
    <t>+549513650973</t>
  </si>
  <si>
    <t>Picco Gabriel Alejandro</t>
  </si>
  <si>
    <t>+549512456704</t>
  </si>
  <si>
    <t>Vittar Alvis  Samir</t>
  </si>
  <si>
    <t>+549513986828</t>
  </si>
  <si>
    <t>Obieta Marco</t>
  </si>
  <si>
    <t>+549513852743</t>
  </si>
  <si>
    <t xml:space="preserve">Lombardo  Jorge </t>
  </si>
  <si>
    <t>+549515290136</t>
  </si>
  <si>
    <t xml:space="preserve">Escuti Nicolás </t>
  </si>
  <si>
    <t>+549512579303</t>
  </si>
  <si>
    <t>Reyna Juan Manuel</t>
  </si>
  <si>
    <t>+549516111699</t>
  </si>
  <si>
    <t>Sanchez Francisco</t>
  </si>
  <si>
    <t>+549518035147</t>
  </si>
  <si>
    <t>Giannoboli Fausto</t>
  </si>
  <si>
    <t>+549512252164</t>
  </si>
  <si>
    <t>Osella Susana Beatriz</t>
  </si>
  <si>
    <t>+549515516046</t>
  </si>
  <si>
    <t xml:space="preserve">Martinez  Pablo Osvaldo </t>
  </si>
  <si>
    <t>+549525562751</t>
  </si>
  <si>
    <t>barrionuevo evangelina ruth</t>
  </si>
  <si>
    <t>+549513108786</t>
  </si>
  <si>
    <t>Lopez  Gerardo</t>
  </si>
  <si>
    <t>+549512473443</t>
  </si>
  <si>
    <t>Alvarez Natalia</t>
  </si>
  <si>
    <t>+549513258815</t>
  </si>
  <si>
    <t>Buzzetti Regina</t>
  </si>
  <si>
    <t>+549512674286</t>
  </si>
  <si>
    <t>Bertino Alicia</t>
  </si>
  <si>
    <t>+549564691199</t>
  </si>
  <si>
    <t>Castellano Silvina</t>
  </si>
  <si>
    <t>+549516963578</t>
  </si>
  <si>
    <t>Palacios Pablo</t>
  </si>
  <si>
    <t>+549516619221</t>
  </si>
  <si>
    <t>Velardez  Ivana del valle</t>
  </si>
  <si>
    <t>Okelly Raul</t>
  </si>
  <si>
    <t>+549515512914</t>
  </si>
  <si>
    <t>Scalia Lilian</t>
  </si>
  <si>
    <t>+549514088604</t>
  </si>
  <si>
    <t>Llorens  Cristina</t>
  </si>
  <si>
    <t>+549516131270</t>
  </si>
  <si>
    <t>Beretta  Alejandro</t>
  </si>
  <si>
    <t>+549513051899</t>
  </si>
  <si>
    <t>Rezzonico Juan Pablo</t>
  </si>
  <si>
    <t>+549515109442</t>
  </si>
  <si>
    <t>Virgolini Marcelo</t>
  </si>
  <si>
    <t>+549516359611</t>
  </si>
  <si>
    <t>Lenzina Lucia</t>
  </si>
  <si>
    <t>+549512025644</t>
  </si>
  <si>
    <t>Ponce Amalia Beatriz</t>
  </si>
  <si>
    <t>+549516315710</t>
  </si>
  <si>
    <t>Edelstein Josefina</t>
  </si>
  <si>
    <t>+549516313459</t>
  </si>
  <si>
    <t>Tula Pablo Alejandro</t>
  </si>
  <si>
    <t>+549512596818</t>
  </si>
  <si>
    <t>Peralta Carranza Aixa Huilen</t>
  </si>
  <si>
    <t>+549513274171</t>
  </si>
  <si>
    <t>Verdu Susana</t>
  </si>
  <si>
    <t>+549516420132</t>
  </si>
  <si>
    <t>BEPRE  Federico</t>
  </si>
  <si>
    <t>+549512454625</t>
  </si>
  <si>
    <t>BERETTA ALEJANDRO</t>
  </si>
  <si>
    <t xml:space="preserve">QUEVEDO Julieta </t>
  </si>
  <si>
    <t>+549512347011</t>
  </si>
  <si>
    <t>Pardo Agustin</t>
  </si>
  <si>
    <t>+549512474703</t>
  </si>
  <si>
    <t>Irisarri Lautaro</t>
  </si>
  <si>
    <t>+549512140716</t>
  </si>
  <si>
    <t>Soria Mayco</t>
  </si>
  <si>
    <t>+549517507774</t>
  </si>
  <si>
    <t>Francile Sergio</t>
  </si>
  <si>
    <t>+549516014683</t>
  </si>
  <si>
    <t>Bonaldi Fernando</t>
  </si>
  <si>
    <t>+549515941171</t>
  </si>
  <si>
    <t xml:space="preserve">Caudana Valentin </t>
  </si>
  <si>
    <t>+549591986572</t>
  </si>
  <si>
    <t xml:space="preserve">Juárez  Matías </t>
  </si>
  <si>
    <t>+549512108497</t>
  </si>
  <si>
    <t xml:space="preserve">Sánchez  Jacqueline Marisol </t>
  </si>
  <si>
    <t>+549516693994</t>
  </si>
  <si>
    <t>Parmentier  Hector</t>
  </si>
  <si>
    <t>+549513482139</t>
  </si>
  <si>
    <t xml:space="preserve">Grecco Cesar </t>
  </si>
  <si>
    <t>+549513138566</t>
  </si>
  <si>
    <t>Tejo Matias</t>
  </si>
  <si>
    <t>+549515941182</t>
  </si>
  <si>
    <t xml:space="preserve">Toledo Brenda Alexandra </t>
  </si>
  <si>
    <t>+549513064087</t>
  </si>
  <si>
    <t>Demarco Pablo</t>
  </si>
  <si>
    <t>+549515573241</t>
  </si>
  <si>
    <t>Maldonado Luli</t>
  </si>
  <si>
    <t>+549516888396</t>
  </si>
  <si>
    <t xml:space="preserve">LEMA Juan Pedro </t>
  </si>
  <si>
    <t>+549513867695</t>
  </si>
  <si>
    <t xml:space="preserve">Tissera olivera  Maximiliano </t>
  </si>
  <si>
    <t>+549513490859</t>
  </si>
  <si>
    <t>Frangi Sol Maria</t>
  </si>
  <si>
    <t>+549436454950</t>
  </si>
  <si>
    <t>Ferreyra Tomas</t>
  </si>
  <si>
    <t>+549571327775</t>
  </si>
  <si>
    <t>BRIZIO MARCELO</t>
  </si>
  <si>
    <t>+549515919629</t>
  </si>
  <si>
    <t>THEAUX Jonathan</t>
  </si>
  <si>
    <t>+549513845132</t>
  </si>
  <si>
    <t>Maldonado  Mateo</t>
  </si>
  <si>
    <t>+549512623147</t>
  </si>
  <si>
    <t>Calvet Mariel</t>
  </si>
  <si>
    <t>+549516063713</t>
  </si>
  <si>
    <t>Battistelli Pablo</t>
  </si>
  <si>
    <t>+549512503228</t>
  </si>
  <si>
    <t>Pedroni  Juan Pablo</t>
  </si>
  <si>
    <t>+549512170609</t>
  </si>
  <si>
    <t>Luque Pablo</t>
  </si>
  <si>
    <t>+549517180080</t>
  </si>
  <si>
    <t>DANCIGER CARLOS</t>
  </si>
  <si>
    <t>+549513936568</t>
  </si>
  <si>
    <t>BEPRE  AGUSTIN</t>
  </si>
  <si>
    <t>Cassinerio Hugo</t>
  </si>
  <si>
    <t>+549515464496</t>
  </si>
  <si>
    <t>ROMERO Hector Fabian</t>
  </si>
  <si>
    <t>+54956351558</t>
  </si>
  <si>
    <t>Carignano Lara Paz</t>
  </si>
  <si>
    <t>+549517912620</t>
  </si>
  <si>
    <t>Cuffia Hugo</t>
  </si>
  <si>
    <t>+549513033804</t>
  </si>
  <si>
    <t xml:space="preserve">SCARAFIA  JUAN MANUEL </t>
  </si>
  <si>
    <t>+549516848849</t>
  </si>
  <si>
    <t xml:space="preserve">Curtó Berenice </t>
  </si>
  <si>
    <t>+549512138278</t>
  </si>
  <si>
    <t xml:space="preserve">CASTAÑEDA FRANCISCO </t>
  </si>
  <si>
    <t>+549517546042</t>
  </si>
  <si>
    <t>MOLINA Jenifer Estefania</t>
  </si>
  <si>
    <t>+549513627069</t>
  </si>
  <si>
    <t>Bock Ezequiel</t>
  </si>
  <si>
    <t>+549512676241</t>
  </si>
  <si>
    <t xml:space="preserve">Graffi Daniel </t>
  </si>
  <si>
    <t>+549512083686</t>
  </si>
  <si>
    <t>Bravo Santiago</t>
  </si>
  <si>
    <t>+549516222035</t>
  </si>
  <si>
    <t xml:space="preserve">MORENO  JAVIER </t>
  </si>
  <si>
    <t>+549516310817</t>
  </si>
  <si>
    <t>Baudino Maria Cecilia</t>
  </si>
  <si>
    <t>+549516622771</t>
  </si>
  <si>
    <t>Gonzalez Gerardo</t>
  </si>
  <si>
    <t>+549518145527</t>
  </si>
  <si>
    <t>Sliva Betina</t>
  </si>
  <si>
    <t>+549517680726</t>
  </si>
  <si>
    <t>Scherman Daniel</t>
  </si>
  <si>
    <t>+549516702023</t>
  </si>
  <si>
    <t>Huespe Francisco</t>
  </si>
  <si>
    <t>+549517663054</t>
  </si>
  <si>
    <t xml:space="preserve">Arguello  Iván </t>
  </si>
  <si>
    <t>+549512023475</t>
  </si>
  <si>
    <t>Petri Facundo</t>
  </si>
  <si>
    <t>+549515299725</t>
  </si>
  <si>
    <t>Lascano Raquel</t>
  </si>
  <si>
    <t>+549515911903</t>
  </si>
  <si>
    <t xml:space="preserve">STEFANOV MARTA MARÍA </t>
  </si>
  <si>
    <t>+549515133677</t>
  </si>
  <si>
    <t>Armoa jorge omar</t>
  </si>
  <si>
    <t>+549516654677</t>
  </si>
  <si>
    <t>Santa Engracia  Gala Sol</t>
  </si>
  <si>
    <t>+549515519765</t>
  </si>
  <si>
    <t>Zamar Agustín</t>
  </si>
  <si>
    <t>+549516571418</t>
  </si>
  <si>
    <t>Cravero Bautista Ignacio</t>
  </si>
  <si>
    <t>+549518583078</t>
  </si>
  <si>
    <t>Ortega Daniela</t>
  </si>
  <si>
    <t>+549512008851</t>
  </si>
  <si>
    <t>Videla Sofia</t>
  </si>
  <si>
    <t>+549513235567</t>
  </si>
  <si>
    <t>Ciaravino  Maximiliano</t>
  </si>
  <si>
    <t>+549516231959</t>
  </si>
  <si>
    <t>Ladu Hernan Alejandro</t>
  </si>
  <si>
    <t>+549513130333</t>
  </si>
  <si>
    <t xml:space="preserve">Vaschetti  Mariano </t>
  </si>
  <si>
    <t>Linares Gonzalo</t>
  </si>
  <si>
    <t>+549516140969</t>
  </si>
  <si>
    <t>Calderon Adriana</t>
  </si>
  <si>
    <t>+549515299820</t>
  </si>
  <si>
    <t>leiva agostina</t>
  </si>
  <si>
    <t>+549517043411</t>
  </si>
  <si>
    <t xml:space="preserve">Cáceres Angeletti Maria Belen </t>
  </si>
  <si>
    <t>+549512313955</t>
  </si>
  <si>
    <t>Ramos Lautaro</t>
  </si>
  <si>
    <t>+549513432536</t>
  </si>
  <si>
    <t>Bianchi Jose</t>
  </si>
  <si>
    <t>+549515443912</t>
  </si>
  <si>
    <t>Neder julian</t>
  </si>
  <si>
    <t>+549513460114</t>
  </si>
  <si>
    <t>Lima Osvaldo Fabián</t>
  </si>
  <si>
    <t>+549515741814</t>
  </si>
  <si>
    <t xml:space="preserve">Ruiz Diaz  Leonardo Emanuel </t>
  </si>
  <si>
    <t>+549516131460</t>
  </si>
  <si>
    <t>Roganti Laura</t>
  </si>
  <si>
    <t>+549512339912</t>
  </si>
  <si>
    <t xml:space="preserve">Luna Federico </t>
  </si>
  <si>
    <t>+549512039666</t>
  </si>
  <si>
    <t xml:space="preserve">FERRARIS Ainelén </t>
  </si>
  <si>
    <t>+549512377419</t>
  </si>
  <si>
    <t xml:space="preserve">Pucheta Benjamin </t>
  </si>
  <si>
    <t>+549512584587</t>
  </si>
  <si>
    <t>FILI María Florencia</t>
  </si>
  <si>
    <t>+549513141166</t>
  </si>
  <si>
    <t>GIUSTO ANA MARIA</t>
  </si>
  <si>
    <t>+549512839398</t>
  </si>
  <si>
    <t>Nacul Lautaro</t>
  </si>
  <si>
    <t>+549815972112</t>
  </si>
  <si>
    <t xml:space="preserve">Moreno Dora Mercedes </t>
  </si>
  <si>
    <t>+549516171363</t>
  </si>
  <si>
    <t>Tuero María Marcela</t>
  </si>
  <si>
    <t>+549516318160</t>
  </si>
  <si>
    <t>Valentini Conrado</t>
  </si>
  <si>
    <t>+549516437373</t>
  </si>
  <si>
    <t xml:space="preserve">Lescano  Santiago </t>
  </si>
  <si>
    <t>+549515483746</t>
  </si>
  <si>
    <t xml:space="preserve">Cadima  Nicolas Gabriel </t>
  </si>
  <si>
    <t>+549517501568</t>
  </si>
  <si>
    <t xml:space="preserve">Pavese  Noelia Edith </t>
  </si>
  <si>
    <t>+549512364641</t>
  </si>
  <si>
    <t>bonino Raul</t>
  </si>
  <si>
    <t>+549516214577</t>
  </si>
  <si>
    <t xml:space="preserve">Das Biaggio Facundo julian </t>
  </si>
  <si>
    <t>+549517529092</t>
  </si>
  <si>
    <t>Giannoboli Valentina</t>
  </si>
  <si>
    <t>+549516848615</t>
  </si>
  <si>
    <t>Lira Aaron</t>
  </si>
  <si>
    <t>+549518656799</t>
  </si>
  <si>
    <t>Masco Luis</t>
  </si>
  <si>
    <t>+549513028589</t>
  </si>
  <si>
    <t xml:space="preserve">Vera Miryam Dominga </t>
  </si>
  <si>
    <t>Kaskin Benjamon</t>
  </si>
  <si>
    <t>+549515903240</t>
  </si>
  <si>
    <t xml:space="preserve">Zuleta  Diego Sebastián </t>
  </si>
  <si>
    <t>+549518579518</t>
  </si>
  <si>
    <t>Castellano Belen</t>
  </si>
  <si>
    <t>+549516454830</t>
  </si>
  <si>
    <t>Castellaro Italo Gustavo</t>
  </si>
  <si>
    <t>+549517193999</t>
  </si>
  <si>
    <t>Torres Rodrigo</t>
  </si>
  <si>
    <t>+549517078942</t>
  </si>
  <si>
    <t>Ceballos  Milagros</t>
  </si>
  <si>
    <t>+549515516778</t>
  </si>
  <si>
    <t xml:space="preserve">Repetti  Uma </t>
  </si>
  <si>
    <t>+549515185680</t>
  </si>
  <si>
    <t>Campos Martina</t>
  </si>
  <si>
    <t>+549516362556</t>
  </si>
  <si>
    <t>RAMOS LARA LAURA MARGARITA</t>
  </si>
  <si>
    <t xml:space="preserve">Varela Ethel </t>
  </si>
  <si>
    <t>+549513682073</t>
  </si>
  <si>
    <t>Lazo Adriana</t>
  </si>
  <si>
    <t>+549516842615</t>
  </si>
  <si>
    <t>GRAZIANI Matias</t>
  </si>
  <si>
    <t>+549516592467</t>
  </si>
  <si>
    <t>Grenon Uma</t>
  </si>
  <si>
    <t>+549515903053</t>
  </si>
  <si>
    <t xml:space="preserve">San roman  Maria elena </t>
  </si>
  <si>
    <t>+549515400820</t>
  </si>
  <si>
    <t>Delera Agustin</t>
  </si>
  <si>
    <t>+549516886729</t>
  </si>
  <si>
    <t>Ramirez Franco</t>
  </si>
  <si>
    <t>+549521416877</t>
  </si>
  <si>
    <t>Gonzalez Guadalupe</t>
  </si>
  <si>
    <t>+549512036748</t>
  </si>
  <si>
    <t>Carrizo Julio</t>
  </si>
  <si>
    <t>+549513980187</t>
  </si>
  <si>
    <t xml:space="preserve">ramirez franco </t>
  </si>
  <si>
    <t>OVIEDO GUILLERMO</t>
  </si>
  <si>
    <t>+549515730089</t>
  </si>
  <si>
    <t>Ugarte Juan Manuel</t>
  </si>
  <si>
    <t>+549515642894</t>
  </si>
  <si>
    <t>Leyba Paula</t>
  </si>
  <si>
    <t>+549516807354</t>
  </si>
  <si>
    <t>Cortizo Felipe</t>
  </si>
  <si>
    <t>+549512183905</t>
  </si>
  <si>
    <t>Cabrera Martina</t>
  </si>
  <si>
    <t>+549513484249</t>
  </si>
  <si>
    <t>Loyacono Mariano</t>
  </si>
  <si>
    <t>+549517628428</t>
  </si>
  <si>
    <t>Albarracin Diego</t>
  </si>
  <si>
    <t>+549513465689</t>
  </si>
  <si>
    <t>Garella Irma</t>
  </si>
  <si>
    <t>+549516631581</t>
  </si>
  <si>
    <t xml:space="preserve">Damino Flavio Raúl </t>
  </si>
  <si>
    <t>+549512082991</t>
  </si>
  <si>
    <t>Herrera Antonella</t>
  </si>
  <si>
    <t>+549512042844</t>
  </si>
  <si>
    <t>SCOPPA JUAN MANUEL</t>
  </si>
  <si>
    <t>+549517577317</t>
  </si>
  <si>
    <t>ramirez paulina</t>
  </si>
  <si>
    <t>+549513325725</t>
  </si>
  <si>
    <t>Maidana Misael Alejandro</t>
  </si>
  <si>
    <t>+549516188386</t>
  </si>
  <si>
    <t xml:space="preserve">Marchisio  Cristina </t>
  </si>
  <si>
    <t>+549515126599</t>
  </si>
  <si>
    <t>CHAIJ JORGE ADRIAN</t>
  </si>
  <si>
    <t>+549518035483</t>
  </si>
  <si>
    <t>Mottura Valentino</t>
  </si>
  <si>
    <t>+549517404946</t>
  </si>
  <si>
    <t>Oberto Fede</t>
  </si>
  <si>
    <t>+549517643209</t>
  </si>
  <si>
    <t>Diaz Leonel</t>
  </si>
  <si>
    <t>+549549435259</t>
  </si>
  <si>
    <t>Ludueña Contanza</t>
  </si>
  <si>
    <t>+549513115361</t>
  </si>
  <si>
    <t>Roure Cesar</t>
  </si>
  <si>
    <t>+549512695588</t>
  </si>
  <si>
    <t xml:space="preserve">villareal  nicolas </t>
  </si>
  <si>
    <t>+549513066864</t>
  </si>
  <si>
    <t>Amaya Javier</t>
  </si>
  <si>
    <t>+549515162502</t>
  </si>
  <si>
    <t>Jurczyszyn Tomas Agustin</t>
  </si>
  <si>
    <t>+549516882098</t>
  </si>
  <si>
    <t>Sara Mirta Agustina</t>
  </si>
  <si>
    <t>+549516850952</t>
  </si>
  <si>
    <t xml:space="preserve">FIGUEROA  Celina </t>
  </si>
  <si>
    <t>+549515439463</t>
  </si>
  <si>
    <t>Acosta Vanina</t>
  </si>
  <si>
    <t>+549513821363</t>
  </si>
  <si>
    <t xml:space="preserve">MAIDANA  CECILIA INÉS </t>
  </si>
  <si>
    <t>+549517573231</t>
  </si>
  <si>
    <t xml:space="preserve">Bartolini  Daniela Alejandra </t>
  </si>
  <si>
    <t>+549512192023</t>
  </si>
  <si>
    <t xml:space="preserve">Perez  Walter </t>
  </si>
  <si>
    <t>+549516288950</t>
  </si>
  <si>
    <t>Bonayuti Florencia</t>
  </si>
  <si>
    <t>+549512383839</t>
  </si>
  <si>
    <t>Sam Sam Nahuel</t>
  </si>
  <si>
    <t>+549516750888</t>
  </si>
  <si>
    <t>Lopez Matias</t>
  </si>
  <si>
    <t>+549515915468</t>
  </si>
  <si>
    <t>dalpino rocio</t>
  </si>
  <si>
    <t>+549513064473</t>
  </si>
  <si>
    <t>Alcalde Mariana Andrea</t>
  </si>
  <si>
    <t>+549515554897</t>
  </si>
  <si>
    <t xml:space="preserve">Cordova  Manuel Alberto </t>
  </si>
  <si>
    <t>+549516152531</t>
  </si>
  <si>
    <t xml:space="preserve">Rodriguez  Florencia </t>
  </si>
  <si>
    <t>+549513254453</t>
  </si>
  <si>
    <t>Fenoglio  Jesica Muriel</t>
  </si>
  <si>
    <t>+549513793456</t>
  </si>
  <si>
    <t>Schroeder Valeria</t>
  </si>
  <si>
    <t>+549516204567</t>
  </si>
  <si>
    <t>Madoery Federico</t>
  </si>
  <si>
    <t>+549515052553</t>
  </si>
  <si>
    <t>BAZAN Juan Carlos</t>
  </si>
  <si>
    <t>+549513289569</t>
  </si>
  <si>
    <t>Ottaviani Marcela</t>
  </si>
  <si>
    <t>+549515948982</t>
  </si>
  <si>
    <t>Olguin Ricardo</t>
  </si>
  <si>
    <t>+549512216193</t>
  </si>
  <si>
    <t>García Aresca Juliana</t>
  </si>
  <si>
    <t>+549516850005</t>
  </si>
  <si>
    <t>Racca Tomas</t>
  </si>
  <si>
    <t>+549512324740</t>
  </si>
  <si>
    <t xml:space="preserve">Villalba  Aida Hortensia </t>
  </si>
  <si>
    <t>+549516064044</t>
  </si>
  <si>
    <t>Villalba Aida Hortensia</t>
  </si>
  <si>
    <t>Lascano Raul</t>
  </si>
  <si>
    <t>+549515911900</t>
  </si>
  <si>
    <t xml:space="preserve">Palacios  Sandra </t>
  </si>
  <si>
    <t>+549518058246</t>
  </si>
  <si>
    <t xml:space="preserve">Fantini Joaquin </t>
  </si>
  <si>
    <t>+549513250822</t>
  </si>
  <si>
    <t xml:space="preserve">Puricelli  Cesar Ivan </t>
  </si>
  <si>
    <t>+549516864279</t>
  </si>
  <si>
    <t>ALZATE Laura</t>
  </si>
  <si>
    <t>+549171897196</t>
  </si>
  <si>
    <t>DANGELO Peter</t>
  </si>
  <si>
    <t>+549515371560</t>
  </si>
  <si>
    <t>MASINI Osvaldo</t>
  </si>
  <si>
    <t>+549513420761</t>
  </si>
  <si>
    <t>Vives Llompart Mauro</t>
  </si>
  <si>
    <t>+549513073325</t>
  </si>
  <si>
    <t>CURELLICH CRISTIAN IVAN</t>
  </si>
  <si>
    <t>+549515296065</t>
  </si>
  <si>
    <t>PAEZ Blanca Nieve</t>
  </si>
  <si>
    <t>+549516697179</t>
  </si>
  <si>
    <t>Falon Luisa</t>
  </si>
  <si>
    <t>+549515941872</t>
  </si>
  <si>
    <t>Tapia Mauricio</t>
  </si>
  <si>
    <t>+549518679766</t>
  </si>
  <si>
    <t>Arraya Guillermo</t>
  </si>
  <si>
    <t>+549513905826</t>
  </si>
  <si>
    <t>kellerban Victoria</t>
  </si>
  <si>
    <t>+549517629788</t>
  </si>
  <si>
    <t>Nores Guillermo Jose</t>
  </si>
  <si>
    <t>+549515641903</t>
  </si>
  <si>
    <t>Casas Pavon Martin Miguel</t>
  </si>
  <si>
    <t>+549512023299</t>
  </si>
  <si>
    <t>Guzman Regina</t>
  </si>
  <si>
    <t>+549518725353</t>
  </si>
  <si>
    <t>Oliva Lucio</t>
  </si>
  <si>
    <t>+549517531042</t>
  </si>
  <si>
    <t>Pautasso Francesca</t>
  </si>
  <si>
    <t>+549516134808</t>
  </si>
  <si>
    <t>Depaul Francisco Joaquin</t>
  </si>
  <si>
    <t>+549517680759</t>
  </si>
  <si>
    <t>Omalley Mick</t>
  </si>
  <si>
    <t>+5491418622508</t>
  </si>
  <si>
    <t xml:space="preserve">López  Sandra </t>
  </si>
  <si>
    <t>+549515922386</t>
  </si>
  <si>
    <t xml:space="preserve">WERNER  Alejandro </t>
  </si>
  <si>
    <t>+549512375274</t>
  </si>
  <si>
    <t>Frias Jorge</t>
  </si>
  <si>
    <t>+549516985602</t>
  </si>
  <si>
    <t>Soto Octavio</t>
  </si>
  <si>
    <t>+549515087821</t>
  </si>
  <si>
    <t>Flores Perazzone Valeria Alejandra</t>
  </si>
  <si>
    <t>+549512121366</t>
  </si>
  <si>
    <t xml:space="preserve">Moreno Roque </t>
  </si>
  <si>
    <t>+54951106577</t>
  </si>
  <si>
    <t xml:space="preserve">Santucho  Maximiliano </t>
  </si>
  <si>
    <t>+549512169653</t>
  </si>
  <si>
    <t>Frankel Marco Dolv</t>
  </si>
  <si>
    <t>+549512456257</t>
  </si>
  <si>
    <t>Pace Maria florencia</t>
  </si>
  <si>
    <t>+549516596058</t>
  </si>
  <si>
    <t>Vilte Isidora</t>
  </si>
  <si>
    <t>+549513721994</t>
  </si>
  <si>
    <t>Berra gabriel</t>
  </si>
  <si>
    <t>+549513085985</t>
  </si>
  <si>
    <t xml:space="preserve">Piacenza  Gaston </t>
  </si>
  <si>
    <t>+549827400958</t>
  </si>
  <si>
    <t>Ramires Camila</t>
  </si>
  <si>
    <t>+549516814748</t>
  </si>
  <si>
    <t>Torres Marcelo</t>
  </si>
  <si>
    <t>+549543607392</t>
  </si>
  <si>
    <t>Montesco Jose Francisco</t>
  </si>
  <si>
    <t>+549516427743</t>
  </si>
  <si>
    <t xml:space="preserve">Cordoba  María Cristina </t>
  </si>
  <si>
    <t>+549541573138</t>
  </si>
  <si>
    <t>parra mauricio german</t>
  </si>
  <si>
    <t>+549513781992</t>
  </si>
  <si>
    <t>TORRES Marcelo</t>
  </si>
  <si>
    <t>Molina Luciana</t>
  </si>
  <si>
    <t>+549512245384</t>
  </si>
  <si>
    <t>Masini Erica</t>
  </si>
  <si>
    <t>+549516426757</t>
  </si>
  <si>
    <t xml:space="preserve">VEGA, BALAT Leticia </t>
  </si>
  <si>
    <t>+54951299758</t>
  </si>
  <si>
    <t>ROLOTTI TRINIDAD</t>
  </si>
  <si>
    <t>+549512036872</t>
  </si>
  <si>
    <t>Roberts Andrea monica</t>
  </si>
  <si>
    <t>+549515224541</t>
  </si>
  <si>
    <t>Jaime  Fidel Adolfo</t>
  </si>
  <si>
    <t>+549516841508</t>
  </si>
  <si>
    <t xml:space="preserve">PALACIOS Ana Paula </t>
  </si>
  <si>
    <t xml:space="preserve">Carretero Julieta </t>
  </si>
  <si>
    <t>+549512470920</t>
  </si>
  <si>
    <t>Acosta Lucas</t>
  </si>
  <si>
    <t>+549364222018</t>
  </si>
  <si>
    <t>INCOMPLETO</t>
  </si>
  <si>
    <t>submitted_at</t>
  </si>
  <si>
    <t>apellido</t>
  </si>
  <si>
    <t>nombre</t>
  </si>
  <si>
    <t>email</t>
  </si>
  <si>
    <t>fecha_nacimiento</t>
  </si>
  <si>
    <t>dni</t>
  </si>
  <si>
    <t>telefono_e164</t>
  </si>
  <si>
    <t>fuente</t>
  </si>
  <si>
    <t>tipo_atencion</t>
  </si>
  <si>
    <t>obra_social</t>
  </si>
  <si>
    <t>actividad_fisica</t>
  </si>
  <si>
    <t>actividad_detalle</t>
  </si>
  <si>
    <t>frecuencia_semana</t>
  </si>
  <si>
    <t>anio</t>
  </si>
  <si>
    <t>mes</t>
  </si>
  <si>
    <t>GOOGLE</t>
  </si>
  <si>
    <t>BOCA EN BOCA</t>
  </si>
  <si>
    <t>GIMNASIO</t>
  </si>
  <si>
    <t>OBRA SOCIAL</t>
  </si>
  <si>
    <t>META</t>
  </si>
  <si>
    <t>COUNTA de Apellido</t>
  </si>
  <si>
    <t>Total 2022</t>
  </si>
  <si>
    <t>Total 2023</t>
  </si>
  <si>
    <t>Total 2024</t>
  </si>
  <si>
    <t>Total 2025</t>
  </si>
  <si>
    <t>Total 2026</t>
  </si>
  <si>
    <t>Suma total</t>
  </si>
  <si>
    <t>Total BOCA EN BOCA</t>
  </si>
  <si>
    <t>Total GIMNASIO</t>
  </si>
  <si>
    <t>Total GOOGLE</t>
  </si>
  <si>
    <t>Total META</t>
  </si>
  <si>
    <t>Total OBRA SOCIAL</t>
  </si>
  <si>
    <t>cc</t>
  </si>
  <si>
    <t>servicio</t>
  </si>
  <si>
    <t>precio</t>
  </si>
  <si>
    <t>profesional</t>
  </si>
  <si>
    <t>Tipo de pago</t>
  </si>
  <si>
    <t>sucursal</t>
  </si>
  <si>
    <t>$86.500</t>
  </si>
  <si>
    <t>10 sesiones</t>
  </si>
  <si>
    <t>Anto</t>
  </si>
  <si>
    <t>Efectivo</t>
  </si>
  <si>
    <t>RDB</t>
  </si>
  <si>
    <t>$91.200</t>
  </si>
  <si>
    <t>5 sesiones</t>
  </si>
  <si>
    <t>Fabri</t>
  </si>
  <si>
    <t>Mercadopago A</t>
  </si>
  <si>
    <t>Gauss</t>
  </si>
  <si>
    <t>Prevencion</t>
  </si>
  <si>
    <t>$56.700</t>
  </si>
  <si>
    <t>1 sesión</t>
  </si>
  <si>
    <t>Fer</t>
  </si>
  <si>
    <t>Mercadopago F</t>
  </si>
  <si>
    <t>Sancor Salud</t>
  </si>
  <si>
    <t>$62.400</t>
  </si>
  <si>
    <t>Completa pago</t>
  </si>
  <si>
    <t>$57.500</t>
  </si>
  <si>
    <t>$74.800</t>
  </si>
  <si>
    <t>Viki</t>
  </si>
  <si>
    <t>$79.800</t>
  </si>
  <si>
    <t>Boreal Salud</t>
  </si>
  <si>
    <t>$52.000</t>
  </si>
  <si>
    <t>APM (Visitadores Medicos)</t>
  </si>
  <si>
    <t>Aca Salud //AVALIAN</t>
  </si>
  <si>
    <t>Amicos</t>
  </si>
  <si>
    <t>Amur</t>
  </si>
  <si>
    <t>Asoc Emp Mutual bco CBA</t>
  </si>
  <si>
    <t>Boreal Cobertura de Salud</t>
  </si>
  <si>
    <t>Clero (San Pedro)</t>
  </si>
  <si>
    <t>Caja de Abogado</t>
  </si>
  <si>
    <t>Ciencias Economicas (cos144)</t>
  </si>
  <si>
    <t>Cover salud</t>
  </si>
  <si>
    <t>C.E.A.A.E. San Pedro</t>
  </si>
  <si>
    <t>DIBFA / IOSFA</t>
  </si>
  <si>
    <t>EnSalud</t>
  </si>
  <si>
    <t>Grafico</t>
  </si>
  <si>
    <t>La holando Sudamericana ART</t>
  </si>
  <si>
    <t>La segunda ART</t>
  </si>
  <si>
    <t>La segunda seguros personales</t>
  </si>
  <si>
    <t>Liderar ART</t>
  </si>
  <si>
    <t>Luis Pasteur</t>
  </si>
  <si>
    <t>Madereros</t>
  </si>
  <si>
    <t>Medici</t>
  </si>
  <si>
    <t>OSCTC</t>
  </si>
  <si>
    <t>OSPEDYM</t>
  </si>
  <si>
    <t>Osetya Textiles</t>
  </si>
  <si>
    <t>Osfatun</t>
  </si>
  <si>
    <t>Ospes</t>
  </si>
  <si>
    <t>Osmata (Gilsa)</t>
  </si>
  <si>
    <t>Ospedyc</t>
  </si>
  <si>
    <t>Ospil Lechero</t>
  </si>
  <si>
    <t>Opstv (television)</t>
  </si>
  <si>
    <t>Ospecor (solo interiro)</t>
  </si>
  <si>
    <t>Ospatrones</t>
  </si>
  <si>
    <t>OSPF</t>
  </si>
  <si>
    <t>Plenus Seguro Personal</t>
  </si>
  <si>
    <t>Policia Federal</t>
  </si>
  <si>
    <t>Prevencion Art</t>
  </si>
  <si>
    <t>Prevencion Salud</t>
  </si>
  <si>
    <t>Provincia Art</t>
  </si>
  <si>
    <t>RAS</t>
  </si>
  <si>
    <t>Sadaic</t>
  </si>
  <si>
    <t>Sancor Seguros Integros</t>
  </si>
  <si>
    <t>Sanitas Salud</t>
  </si>
  <si>
    <t>Scis</t>
  </si>
  <si>
    <t>Seguros OSSEG</t>
  </si>
  <si>
    <t>Asoc. Arg. Mutual de Motociclista</t>
  </si>
  <si>
    <t>Ampara Salud</t>
  </si>
  <si>
    <t>GRIFF SALUD ( OSSOELSAC / OSPEVIC / OSPJTAP )</t>
  </si>
  <si>
    <t>Premedic (Medicina Privada)</t>
  </si>
  <si>
    <t>Universidad Catolica de Cordoba</t>
  </si>
  <si>
    <t>Fecha</t>
  </si>
  <si>
    <t>Sucursal</t>
  </si>
  <si>
    <t>Profesional</t>
  </si>
  <si>
    <t>Apellido y nombre</t>
  </si>
  <si>
    <t>Sibona, Karina</t>
  </si>
  <si>
    <t>Tipo paciente</t>
  </si>
  <si>
    <t>Obra Social</t>
  </si>
  <si>
    <t>VER COLUMNA DE OBRA SOCIAL</t>
  </si>
  <si>
    <t>SUMAR SUCURSAL</t>
  </si>
  <si>
    <t>AGREGAR PEDIDO</t>
  </si>
  <si>
    <t>Precio convenido</t>
  </si>
  <si>
    <t>Importe abonado</t>
  </si>
  <si>
    <t>Cantidad</t>
  </si>
  <si>
    <t>Precio sugerido</t>
  </si>
  <si>
    <t>Giménez, Fernando</t>
  </si>
  <si>
    <t>FICHA PERSONAL</t>
  </si>
  <si>
    <t>NRO DE ORDEN</t>
  </si>
  <si>
    <t>Apellido y Nombre</t>
  </si>
  <si>
    <t>Mutual</t>
  </si>
  <si>
    <t>ANTECEDENTES DE LESIÓN</t>
  </si>
  <si>
    <t>MOTIVO DE CONSULTA</t>
  </si>
  <si>
    <t>FIRMA DE ASISTENCIA</t>
  </si>
  <si>
    <t>SESIÓN / FECHA</t>
  </si>
  <si>
    <t>FIRMA</t>
  </si>
  <si>
    <t>Entregó pedido</t>
  </si>
  <si>
    <t>APELLIDO Y NOMBRE:</t>
  </si>
  <si>
    <t>DNI:</t>
  </si>
  <si>
    <t>OS/PARTICULAR:</t>
  </si>
  <si>
    <t>CEL:</t>
  </si>
  <si>
    <t>FECHA DE NACIMIENTO: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</si>
</sst>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d/mm/yy"/>
    <numFmt numFmtId="166" formatCode="d/m/yyyy"/>
    <numFmt numFmtId="167" formatCode="[$$]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/>
    <font>
      <color theme="0"/>
      <name val="Arial"/>
      <scheme val="minor"/>
    </font>
    <font>
      <color rgb="FFFFFFFF"/>
      <name val="Arial"/>
    </font>
    <font>
      <color theme="1"/>
      <name val="Arial"/>
    </font>
    <font>
      <sz val="19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21B721"/>
        <bgColor rgb="FF21B721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theme="1"/>
        <bgColor theme="1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medium">
        <color rgb="FFFFFFFF"/>
      </bottom>
    </border>
    <border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quotePrefix="1" borderId="0" fillId="0" fontId="1" numFmtId="0" xfId="0" applyAlignment="1" applyFont="1">
      <alignment horizontal="right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4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5" numFmtId="0" xfId="0" applyFont="1"/>
    <xf borderId="0" fillId="0" fontId="1" numFmtId="166" xfId="0" applyFont="1" applyNumberFormat="1"/>
    <xf borderId="0" fillId="0" fontId="1" numFmtId="10" xfId="0" applyFont="1" applyNumberFormat="1"/>
    <xf borderId="0" fillId="3" fontId="1" numFmtId="0" xfId="0" applyFill="1" applyFont="1"/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0" fillId="0" fontId="1" numFmtId="14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7" xfId="0" applyAlignment="1" applyFont="1" applyNumberFormat="1">
      <alignment horizontal="left"/>
    </xf>
    <xf borderId="0" fillId="0" fontId="1" numFmtId="167" xfId="0" applyAlignment="1" applyFont="1" applyNumberFormat="1">
      <alignment horizontal="left" readingOrder="0"/>
    </xf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4" fontId="1" numFmtId="0" xfId="0" applyAlignment="1" applyFill="1" applyFont="1">
      <alignment readingOrder="0"/>
    </xf>
    <xf borderId="1" fillId="5" fontId="1" numFmtId="0" xfId="0" applyAlignment="1" applyBorder="1" applyFill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0" fontId="1" numFmtId="0" xfId="0" applyAlignment="1" applyFont="1">
      <alignment horizontal="right" shrinkToFit="0" wrapText="0"/>
    </xf>
    <xf borderId="5" fillId="0" fontId="6" numFmtId="0" xfId="0" applyBorder="1" applyFont="1"/>
    <xf borderId="0" fillId="0" fontId="1" numFmtId="14" xfId="0" applyAlignment="1" applyFont="1" applyNumberFormat="1">
      <alignment horizontal="right"/>
    </xf>
    <xf borderId="0" fillId="0" fontId="1" numFmtId="3" xfId="0" applyAlignment="1" applyFont="1" applyNumberFormat="1">
      <alignment horizontal="right"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4" fillId="0" fontId="1" numFmtId="0" xfId="0" applyBorder="1" applyFont="1"/>
    <xf borderId="9" fillId="6" fontId="7" numFmtId="0" xfId="0" applyAlignment="1" applyBorder="1" applyFill="1" applyFont="1">
      <alignment readingOrder="0" vertical="center"/>
    </xf>
    <xf borderId="9" fillId="7" fontId="1" numFmtId="0" xfId="0" applyAlignment="1" applyBorder="1" applyFill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9" fillId="6" fontId="8" numFmtId="0" xfId="0" applyAlignment="1" applyBorder="1" applyFont="1">
      <alignment vertical="center"/>
    </xf>
    <xf borderId="9" fillId="7" fontId="9" numFmtId="0" xfId="0" applyAlignment="1" applyBorder="1" applyFont="1">
      <alignment vertical="center"/>
    </xf>
    <xf borderId="9" fillId="0" fontId="1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9" fillId="0" fontId="1" numFmtId="0" xfId="0" applyAlignment="1" applyBorder="1" applyFont="1">
      <alignment vertical="center"/>
    </xf>
    <xf borderId="9" fillId="8" fontId="7" numFmtId="0" xfId="0" applyAlignment="1" applyBorder="1" applyFill="1" applyFont="1">
      <alignment readingOrder="0" vertical="center"/>
    </xf>
    <xf borderId="9" fillId="4" fontId="1" numFmtId="0" xfId="0" applyAlignment="1" applyBorder="1" applyFont="1">
      <alignment readingOrder="0" vertical="center"/>
    </xf>
    <xf borderId="10" fillId="0" fontId="1" numFmtId="0" xfId="0" applyBorder="1" applyFont="1"/>
    <xf borderId="11" fillId="0" fontId="1" numFmtId="0" xfId="0" applyAlignment="1" applyBorder="1" applyFont="1">
      <alignment horizontal="right"/>
    </xf>
    <xf borderId="12" fillId="0" fontId="6" numFmtId="0" xfId="0" applyBorder="1" applyFont="1"/>
    <xf borderId="13" fillId="0" fontId="1" numFmtId="0" xfId="0" applyAlignment="1" applyBorder="1" applyFont="1">
      <alignment readingOrder="0"/>
    </xf>
    <xf borderId="13" fillId="0" fontId="1" numFmtId="0" xfId="0" applyBorder="1" applyFont="1"/>
    <xf borderId="14" fillId="0" fontId="1" numFmtId="0" xfId="0" applyBorder="1" applyFont="1"/>
    <xf borderId="15" fillId="0" fontId="1" numFmtId="0" xfId="0" applyAlignment="1" applyBorder="1" applyFont="1">
      <alignment horizontal="right"/>
    </xf>
    <xf borderId="15" fillId="0" fontId="1" numFmtId="0" xfId="0" applyBorder="1" applyFont="1"/>
    <xf borderId="10" fillId="0" fontId="1" numFmtId="0" xfId="0" applyAlignment="1" applyBorder="1" applyFont="1">
      <alignment horizontal="right"/>
    </xf>
    <xf borderId="10" fillId="0" fontId="1" numFmtId="14" xfId="0" applyAlignment="1" applyBorder="1" applyFont="1" applyNumberFormat="1">
      <alignment horizontal="left"/>
    </xf>
    <xf borderId="0" fillId="0" fontId="1" numFmtId="0" xfId="0" applyAlignment="1" applyFont="1">
      <alignment horizontal="right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6</xdr:row>
      <xdr:rowOff>9525</xdr:rowOff>
    </xdr:from>
    <xdr:ext cx="1524000" cy="695325"/>
    <xdr:sp>
      <xdr:nvSpPr>
        <xdr:cNvPr id="3" name="Shape 3"/>
        <xdr:cNvSpPr/>
      </xdr:nvSpPr>
      <xdr:spPr>
        <a:xfrm>
          <a:off x="298575" y="0"/>
          <a:ext cx="1503300" cy="6873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GUARDAR</a:t>
          </a:r>
          <a:endParaRPr sz="1400"/>
        </a:p>
      </xdr:txBody>
    </xdr:sp>
    <xdr:clientData fLocksWithSheet="0"/>
  </xdr:oneCellAnchor>
  <xdr:oneCellAnchor>
    <xdr:from>
      <xdr:col>4</xdr:col>
      <xdr:colOff>133350</xdr:colOff>
      <xdr:row>10</xdr:row>
      <xdr:rowOff>76200</xdr:rowOff>
    </xdr:from>
    <xdr:ext cx="1552575" cy="704850"/>
    <xdr:sp>
      <xdr:nvSpPr>
        <xdr:cNvPr id="4" name="Shape 4"/>
        <xdr:cNvSpPr/>
      </xdr:nvSpPr>
      <xdr:spPr>
        <a:xfrm>
          <a:off x="319050" y="0"/>
          <a:ext cx="1533900" cy="6975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LIMPIAR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05550" cy="1438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9525</xdr:rowOff>
    </xdr:from>
    <xdr:ext cx="6305550" cy="81343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.francisco.27hotmail.com" TargetMode="External"/><Relationship Id="rId2" Type="http://schemas.openxmlformats.org/officeDocument/2006/relationships/hyperlink" Target="http://milagros1361qgmail.com" TargetMode="External"/><Relationship Id="rId3" Type="http://schemas.openxmlformats.org/officeDocument/2006/relationships/hyperlink" Target="http://virginiaspaccesihotmail.com/" TargetMode="External"/><Relationship Id="rId4" Type="http://schemas.openxmlformats.org/officeDocument/2006/relationships/hyperlink" Target="http://josefinazadizgmial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p.francisco.27hotmail.com" TargetMode="External"/><Relationship Id="rId2" Type="http://schemas.openxmlformats.org/officeDocument/2006/relationships/hyperlink" Target="http://milagros1361qgmail.com" TargetMode="External"/><Relationship Id="rId3" Type="http://schemas.openxmlformats.org/officeDocument/2006/relationships/hyperlink" Target="http://virginiaspaccesihotmail.com/" TargetMode="External"/><Relationship Id="rId4" Type="http://schemas.openxmlformats.org/officeDocument/2006/relationships/hyperlink" Target="http://josefinazadizgmial.com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8</v>
      </c>
      <c r="O1" s="1" t="s">
        <v>9</v>
      </c>
      <c r="P1" s="1" t="s">
        <v>13</v>
      </c>
      <c r="Q1" s="1" t="s">
        <v>14</v>
      </c>
      <c r="R1" s="3" t="s">
        <v>15</v>
      </c>
      <c r="S1" s="3" t="s">
        <v>16</v>
      </c>
      <c r="T1" s="3" t="s">
        <v>17</v>
      </c>
    </row>
    <row r="2">
      <c r="A2" s="4">
        <v>44865.66299075232</v>
      </c>
      <c r="B2" s="3" t="s">
        <v>18</v>
      </c>
      <c r="C2" s="3" t="s">
        <v>19</v>
      </c>
      <c r="D2" s="3" t="s">
        <v>20</v>
      </c>
      <c r="E2" s="5">
        <v>31427.0</v>
      </c>
      <c r="F2" s="3">
        <v>3.2099118E7</v>
      </c>
      <c r="G2" s="3">
        <v>3.518046736E9</v>
      </c>
      <c r="H2" s="3" t="s">
        <v>21</v>
      </c>
      <c r="I2" s="3" t="s">
        <v>22</v>
      </c>
      <c r="J2" s="3" t="s">
        <v>23</v>
      </c>
      <c r="K2" s="6"/>
      <c r="L2" s="6"/>
      <c r="M2" s="6"/>
      <c r="N2" s="6"/>
      <c r="O2" s="6"/>
      <c r="P2" s="6"/>
      <c r="Q2" s="6"/>
      <c r="R2" s="7" t="str">
        <f>IF(H2="","",VLOOKUP(H2,'Hoja 9'!$A$1:$B$255,2,0))</f>
        <v>GOOGLE</v>
      </c>
      <c r="S2" s="7">
        <f t="shared" ref="S2:S1477" si="1">IF(A2="","",YEAR(A2))</f>
        <v>2022</v>
      </c>
      <c r="T2" s="7">
        <f t="shared" ref="T2:T1477" si="2">IF(A2="","",MONTH(A2))</f>
        <v>10</v>
      </c>
    </row>
    <row r="3">
      <c r="A3" s="4">
        <v>44866.424805682866</v>
      </c>
      <c r="B3" s="3" t="s">
        <v>24</v>
      </c>
      <c r="C3" s="3" t="s">
        <v>25</v>
      </c>
      <c r="D3" s="3" t="s">
        <v>26</v>
      </c>
      <c r="E3" s="5">
        <v>29208.0</v>
      </c>
      <c r="F3" s="3">
        <v>2.7671982E7</v>
      </c>
      <c r="G3" s="3">
        <v>3.513844529E9</v>
      </c>
      <c r="H3" s="3" t="s">
        <v>27</v>
      </c>
      <c r="I3" s="3" t="s">
        <v>28</v>
      </c>
      <c r="R3" s="7" t="str">
        <f>IF(H3="","",VLOOKUP(H3,'Hoja 9'!$A$1:$B$255,2,0))</f>
        <v>BOCA EN BOCA</v>
      </c>
      <c r="S3" s="7">
        <f t="shared" si="1"/>
        <v>2022</v>
      </c>
      <c r="T3" s="7">
        <f t="shared" si="2"/>
        <v>11</v>
      </c>
    </row>
    <row r="4">
      <c r="A4" s="4">
        <v>44872.85900496528</v>
      </c>
      <c r="B4" s="3" t="s">
        <v>29</v>
      </c>
      <c r="C4" s="3" t="s">
        <v>30</v>
      </c>
      <c r="D4" s="3" t="s">
        <v>31</v>
      </c>
      <c r="E4" s="5">
        <v>31894.0</v>
      </c>
      <c r="F4" s="3">
        <v>3.3082576E7</v>
      </c>
      <c r="G4" s="3">
        <v>3.512006711E9</v>
      </c>
      <c r="H4" s="3" t="s">
        <v>27</v>
      </c>
      <c r="I4" s="3" t="s">
        <v>28</v>
      </c>
      <c r="R4" s="7" t="str">
        <f>IF(H4="","",VLOOKUP(H4,'Hoja 9'!$A$1:$B$255,2,0))</f>
        <v>BOCA EN BOCA</v>
      </c>
      <c r="S4" s="7">
        <f t="shared" si="1"/>
        <v>2022</v>
      </c>
      <c r="T4" s="7">
        <f t="shared" si="2"/>
        <v>11</v>
      </c>
    </row>
    <row r="5">
      <c r="A5" s="4">
        <v>44879.65375278935</v>
      </c>
      <c r="B5" s="3" t="s">
        <v>32</v>
      </c>
      <c r="C5" s="3" t="s">
        <v>33</v>
      </c>
      <c r="D5" s="3" t="s">
        <v>34</v>
      </c>
      <c r="E5" s="5">
        <v>31206.0</v>
      </c>
      <c r="F5" s="3">
        <v>3.1647631E7</v>
      </c>
      <c r="G5" s="3">
        <v>3.516299562E9</v>
      </c>
      <c r="H5" s="3" t="s">
        <v>27</v>
      </c>
      <c r="I5" s="3" t="s">
        <v>28</v>
      </c>
      <c r="R5" s="7" t="str">
        <f>IF(H5="","",VLOOKUP(H5,'Hoja 9'!$A$1:$B$255,2,0))</f>
        <v>BOCA EN BOCA</v>
      </c>
      <c r="S5" s="7">
        <f t="shared" si="1"/>
        <v>2022</v>
      </c>
      <c r="T5" s="7">
        <f t="shared" si="2"/>
        <v>11</v>
      </c>
    </row>
    <row r="6">
      <c r="A6" s="4">
        <v>44879.67125421297</v>
      </c>
      <c r="B6" s="3" t="s">
        <v>35</v>
      </c>
      <c r="C6" s="3" t="s">
        <v>36</v>
      </c>
      <c r="D6" s="3" t="s">
        <v>37</v>
      </c>
      <c r="E6" s="5">
        <v>34623.0</v>
      </c>
      <c r="F6" s="3">
        <v>3.850125E7</v>
      </c>
      <c r="G6" s="3">
        <v>3.515186768E9</v>
      </c>
      <c r="H6" s="3" t="s">
        <v>38</v>
      </c>
      <c r="I6" s="3" t="s">
        <v>22</v>
      </c>
      <c r="J6" s="3" t="s">
        <v>23</v>
      </c>
      <c r="K6" s="6"/>
      <c r="L6" s="6"/>
      <c r="M6" s="6"/>
      <c r="N6" s="6"/>
      <c r="O6" s="6"/>
      <c r="P6" s="6"/>
      <c r="Q6" s="6"/>
      <c r="R6" s="7" t="str">
        <f>IF(H6="","",VLOOKUP(H6,'Hoja 9'!$A$1:$B$255,2,0))</f>
        <v>BOCA EN BOCA</v>
      </c>
      <c r="S6" s="7">
        <f t="shared" si="1"/>
        <v>2022</v>
      </c>
      <c r="T6" s="7">
        <f t="shared" si="2"/>
        <v>11</v>
      </c>
    </row>
    <row r="7">
      <c r="A7" s="4">
        <v>44880.470795393514</v>
      </c>
      <c r="B7" s="3" t="s">
        <v>39</v>
      </c>
      <c r="C7" s="3" t="s">
        <v>30</v>
      </c>
      <c r="D7" s="3" t="s">
        <v>40</v>
      </c>
      <c r="E7" s="5">
        <v>31846.0</v>
      </c>
      <c r="F7" s="3">
        <v>3.2787354E7</v>
      </c>
      <c r="G7" s="3">
        <v>3.516219534E9</v>
      </c>
      <c r="H7" s="3" t="s">
        <v>21</v>
      </c>
      <c r="I7" s="3" t="s">
        <v>28</v>
      </c>
      <c r="R7" s="7" t="str">
        <f>IF(H7="","",VLOOKUP(H7,'Hoja 9'!$A$1:$B$255,2,0))</f>
        <v>GOOGLE</v>
      </c>
      <c r="S7" s="7">
        <f t="shared" si="1"/>
        <v>2022</v>
      </c>
      <c r="T7" s="7">
        <f t="shared" si="2"/>
        <v>11</v>
      </c>
    </row>
    <row r="8">
      <c r="A8" s="4">
        <v>44880.50001721065</v>
      </c>
      <c r="B8" s="3" t="s">
        <v>41</v>
      </c>
      <c r="C8" s="3" t="s">
        <v>42</v>
      </c>
      <c r="D8" s="3" t="s">
        <v>43</v>
      </c>
      <c r="E8" s="5">
        <v>34161.0</v>
      </c>
      <c r="F8" s="3">
        <v>3.7733188E7</v>
      </c>
      <c r="G8" s="3">
        <v>3.513374771E9</v>
      </c>
      <c r="H8" s="3" t="s">
        <v>44</v>
      </c>
      <c r="J8" s="3" t="s">
        <v>23</v>
      </c>
      <c r="K8" s="6"/>
      <c r="L8" s="6"/>
      <c r="M8" s="6"/>
      <c r="N8" s="6"/>
      <c r="O8" s="6"/>
      <c r="P8" s="6"/>
      <c r="Q8" s="6"/>
      <c r="R8" s="7" t="str">
        <f>IF(H8="","",VLOOKUP(H8,'Hoja 9'!$A$1:$B$255,2,0))</f>
        <v>GIMNASIO</v>
      </c>
      <c r="S8" s="7">
        <f t="shared" si="1"/>
        <v>2022</v>
      </c>
      <c r="T8" s="7">
        <f t="shared" si="2"/>
        <v>11</v>
      </c>
    </row>
    <row r="9">
      <c r="A9" s="4">
        <v>44881.41323293981</v>
      </c>
      <c r="B9" s="3" t="s">
        <v>45</v>
      </c>
      <c r="C9" s="3" t="s">
        <v>46</v>
      </c>
      <c r="D9" s="3" t="s">
        <v>47</v>
      </c>
      <c r="E9" s="5">
        <v>35171.0</v>
      </c>
      <c r="F9" s="3">
        <v>3.0544064E7</v>
      </c>
      <c r="G9" s="3">
        <v>3.516953672E9</v>
      </c>
      <c r="H9" s="3" t="s">
        <v>27</v>
      </c>
      <c r="I9" s="3" t="s">
        <v>22</v>
      </c>
      <c r="J9" s="3" t="s">
        <v>23</v>
      </c>
      <c r="K9" s="6"/>
      <c r="L9" s="6"/>
      <c r="M9" s="6"/>
      <c r="N9" s="6"/>
      <c r="O9" s="6"/>
      <c r="P9" s="6"/>
      <c r="Q9" s="6"/>
      <c r="R9" s="7" t="str">
        <f>IF(H9="","",VLOOKUP(H9,'Hoja 9'!$A$1:$B$255,2,0))</f>
        <v>BOCA EN BOCA</v>
      </c>
      <c r="S9" s="7">
        <f t="shared" si="1"/>
        <v>2022</v>
      </c>
      <c r="T9" s="7">
        <f t="shared" si="2"/>
        <v>11</v>
      </c>
    </row>
    <row r="10">
      <c r="A10" s="4">
        <v>44881.49076028935</v>
      </c>
      <c r="B10" s="3" t="s">
        <v>48</v>
      </c>
      <c r="C10" s="3" t="s">
        <v>49</v>
      </c>
      <c r="D10" s="3" t="s">
        <v>50</v>
      </c>
      <c r="E10" s="5">
        <v>26996.0</v>
      </c>
      <c r="F10" s="3">
        <v>2.3683982E7</v>
      </c>
      <c r="G10" s="3">
        <v>3.515138062E9</v>
      </c>
      <c r="H10" s="3" t="s">
        <v>27</v>
      </c>
      <c r="I10" s="3" t="s">
        <v>22</v>
      </c>
      <c r="J10" s="3" t="s">
        <v>51</v>
      </c>
      <c r="K10" s="6"/>
      <c r="L10" s="6"/>
      <c r="M10" s="6"/>
      <c r="N10" s="6"/>
      <c r="O10" s="6"/>
      <c r="P10" s="6"/>
      <c r="Q10" s="6"/>
      <c r="R10" s="7" t="str">
        <f>IF(H10="","",VLOOKUP(H10,'Hoja 9'!$A$1:$B$255,2,0))</f>
        <v>BOCA EN BOCA</v>
      </c>
      <c r="S10" s="7">
        <f t="shared" si="1"/>
        <v>2022</v>
      </c>
      <c r="T10" s="7">
        <f t="shared" si="2"/>
        <v>11</v>
      </c>
    </row>
    <row r="11">
      <c r="A11" s="4">
        <v>44881.68835405093</v>
      </c>
      <c r="B11" s="3" t="s">
        <v>52</v>
      </c>
      <c r="C11" s="3" t="s">
        <v>53</v>
      </c>
      <c r="D11" s="3" t="s">
        <v>54</v>
      </c>
      <c r="E11" s="5">
        <v>29629.0</v>
      </c>
      <c r="F11" s="3">
        <v>2.3683982E7</v>
      </c>
      <c r="G11" s="3">
        <v>3.513040216E9</v>
      </c>
      <c r="H11" s="3" t="s">
        <v>21</v>
      </c>
      <c r="I11" s="3" t="s">
        <v>28</v>
      </c>
      <c r="R11" s="7" t="str">
        <f>IF(H11="","",VLOOKUP(H11,'Hoja 9'!$A$1:$B$255,2,0))</f>
        <v>GOOGLE</v>
      </c>
      <c r="S11" s="7">
        <f t="shared" si="1"/>
        <v>2022</v>
      </c>
      <c r="T11" s="7">
        <f t="shared" si="2"/>
        <v>11</v>
      </c>
    </row>
    <row r="12">
      <c r="A12" s="4">
        <v>44882.459621180555</v>
      </c>
      <c r="B12" s="3" t="s">
        <v>55</v>
      </c>
      <c r="C12" s="3" t="s">
        <v>56</v>
      </c>
      <c r="D12" s="3" t="s">
        <v>57</v>
      </c>
      <c r="E12" s="5">
        <v>36108.0</v>
      </c>
      <c r="F12" s="3">
        <v>4.1019335E7</v>
      </c>
      <c r="G12" s="3">
        <v>3.517580512E9</v>
      </c>
      <c r="H12" s="3" t="s">
        <v>44</v>
      </c>
      <c r="I12" s="3" t="s">
        <v>22</v>
      </c>
      <c r="J12" s="3" t="s">
        <v>58</v>
      </c>
      <c r="K12" s="6"/>
      <c r="L12" s="6"/>
      <c r="M12" s="6"/>
      <c r="N12" s="6"/>
      <c r="O12" s="6"/>
      <c r="P12" s="6"/>
      <c r="Q12" s="6"/>
      <c r="R12" s="7" t="str">
        <f>IF(H12="","",VLOOKUP(H12,'Hoja 9'!$A$1:$B$255,2,0))</f>
        <v>GIMNASIO</v>
      </c>
      <c r="S12" s="7">
        <f t="shared" si="1"/>
        <v>2022</v>
      </c>
      <c r="T12" s="7">
        <f t="shared" si="2"/>
        <v>11</v>
      </c>
    </row>
    <row r="13">
      <c r="A13" s="4">
        <v>44888.413600092594</v>
      </c>
      <c r="B13" s="3" t="s">
        <v>59</v>
      </c>
      <c r="C13" s="3" t="s">
        <v>60</v>
      </c>
      <c r="D13" s="3" t="s">
        <v>61</v>
      </c>
      <c r="E13" s="5">
        <v>29137.0</v>
      </c>
      <c r="F13" s="3">
        <v>2.726762E7</v>
      </c>
      <c r="G13" s="3">
        <v>3.515528353E9</v>
      </c>
      <c r="H13" s="3" t="s">
        <v>21</v>
      </c>
      <c r="I13" s="3" t="s">
        <v>22</v>
      </c>
      <c r="J13" s="3" t="s">
        <v>23</v>
      </c>
      <c r="K13" s="6"/>
      <c r="L13" s="6"/>
      <c r="M13" s="6"/>
      <c r="N13" s="6"/>
      <c r="O13" s="6"/>
      <c r="P13" s="6"/>
      <c r="Q13" s="6"/>
      <c r="R13" s="7" t="str">
        <f>IF(H13="","",VLOOKUP(H13,'Hoja 9'!$A$1:$B$255,2,0))</f>
        <v>GOOGLE</v>
      </c>
      <c r="S13" s="7">
        <f t="shared" si="1"/>
        <v>2022</v>
      </c>
      <c r="T13" s="7">
        <f t="shared" si="2"/>
        <v>11</v>
      </c>
    </row>
    <row r="14">
      <c r="A14" s="4">
        <v>44889.821404201386</v>
      </c>
      <c r="B14" s="3" t="s">
        <v>62</v>
      </c>
      <c r="C14" s="3" t="s">
        <v>63</v>
      </c>
      <c r="D14" s="3" t="s">
        <v>61</v>
      </c>
      <c r="E14" s="5">
        <v>34338.0</v>
      </c>
      <c r="F14" s="3">
        <v>3.8001813E7</v>
      </c>
      <c r="G14" s="3">
        <v>3.51609855E9</v>
      </c>
      <c r="H14" s="3" t="s">
        <v>64</v>
      </c>
      <c r="I14" s="3" t="s">
        <v>28</v>
      </c>
      <c r="R14" s="7" t="str">
        <f>IF(H14="","",VLOOKUP(H14,'Hoja 9'!$A$1:$B$255,2,0))</f>
        <v>BOCA EN BOCA</v>
      </c>
      <c r="S14" s="7">
        <f t="shared" si="1"/>
        <v>2022</v>
      </c>
      <c r="T14" s="7">
        <f t="shared" si="2"/>
        <v>11</v>
      </c>
    </row>
    <row r="15">
      <c r="A15" s="4">
        <v>44890.79853166667</v>
      </c>
      <c r="B15" s="3" t="s">
        <v>65</v>
      </c>
      <c r="C15" s="3" t="s">
        <v>66</v>
      </c>
      <c r="D15" s="3" t="s">
        <v>67</v>
      </c>
      <c r="E15" s="5">
        <v>22514.0</v>
      </c>
      <c r="F15" s="3">
        <v>1.474739E7</v>
      </c>
      <c r="G15" s="3">
        <v>3.516536874E9</v>
      </c>
      <c r="H15" s="3" t="s">
        <v>27</v>
      </c>
      <c r="I15" s="3" t="s">
        <v>22</v>
      </c>
      <c r="J15" s="3" t="s">
        <v>68</v>
      </c>
      <c r="L15" s="6"/>
      <c r="M15" s="6"/>
      <c r="N15" s="6"/>
      <c r="O15" s="6"/>
      <c r="P15" s="6"/>
      <c r="Q15" s="6"/>
      <c r="R15" s="7" t="str">
        <f>IF(H15="","",VLOOKUP(H15,'Hoja 9'!$A$1:$B$255,2,0))</f>
        <v>BOCA EN BOCA</v>
      </c>
      <c r="S15" s="7">
        <f t="shared" si="1"/>
        <v>2022</v>
      </c>
      <c r="T15" s="7">
        <f t="shared" si="2"/>
        <v>11</v>
      </c>
    </row>
    <row r="16">
      <c r="A16" s="4">
        <v>44891.47483369213</v>
      </c>
      <c r="B16" s="3" t="s">
        <v>69</v>
      </c>
      <c r="C16" s="3" t="s">
        <v>70</v>
      </c>
      <c r="D16" s="3" t="s">
        <v>71</v>
      </c>
      <c r="E16" s="5">
        <v>37207.0</v>
      </c>
      <c r="F16" s="3">
        <v>4.3693789E7</v>
      </c>
      <c r="G16" s="3">
        <v>3.517014316E9</v>
      </c>
      <c r="H16" s="3" t="s">
        <v>27</v>
      </c>
      <c r="I16" s="3" t="s">
        <v>22</v>
      </c>
      <c r="J16" s="3" t="s">
        <v>72</v>
      </c>
      <c r="K16" s="6"/>
      <c r="L16" s="6"/>
      <c r="M16" s="6"/>
      <c r="N16" s="6"/>
      <c r="O16" s="6"/>
      <c r="P16" s="6"/>
      <c r="Q16" s="6"/>
      <c r="R16" s="7" t="str">
        <f>IF(H16="","",VLOOKUP(H16,'Hoja 9'!$A$1:$B$255,2,0))</f>
        <v>BOCA EN BOCA</v>
      </c>
      <c r="S16" s="7">
        <f t="shared" si="1"/>
        <v>2022</v>
      </c>
      <c r="T16" s="7">
        <f t="shared" si="2"/>
        <v>11</v>
      </c>
    </row>
    <row r="17">
      <c r="A17" s="4">
        <v>44893.4707246412</v>
      </c>
      <c r="B17" s="3" t="s">
        <v>73</v>
      </c>
      <c r="C17" s="3" t="s">
        <v>74</v>
      </c>
      <c r="D17" s="3" t="s">
        <v>75</v>
      </c>
      <c r="E17" s="5">
        <v>28950.0</v>
      </c>
      <c r="F17" s="3">
        <v>2.7303587E7</v>
      </c>
      <c r="G17" s="3">
        <v>3.513493623E9</v>
      </c>
      <c r="H17" s="3" t="s">
        <v>44</v>
      </c>
      <c r="I17" s="3" t="s">
        <v>22</v>
      </c>
      <c r="J17" s="3" t="s">
        <v>76</v>
      </c>
      <c r="K17" s="6"/>
      <c r="L17" s="6"/>
      <c r="M17" s="6"/>
      <c r="N17" s="6"/>
      <c r="O17" s="6"/>
      <c r="P17" s="6"/>
      <c r="Q17" s="6"/>
      <c r="R17" s="7" t="str">
        <f>IF(H17="","",VLOOKUP(H17,'Hoja 9'!$A$1:$B$255,2,0))</f>
        <v>GIMNASIO</v>
      </c>
      <c r="S17" s="7">
        <f t="shared" si="1"/>
        <v>2022</v>
      </c>
      <c r="T17" s="7">
        <f t="shared" si="2"/>
        <v>11</v>
      </c>
    </row>
    <row r="18">
      <c r="A18" s="4">
        <v>44893.50120216435</v>
      </c>
      <c r="B18" s="3" t="s">
        <v>77</v>
      </c>
      <c r="C18" s="3" t="s">
        <v>78</v>
      </c>
      <c r="D18" s="3" t="s">
        <v>79</v>
      </c>
      <c r="E18" s="5">
        <v>42410.0</v>
      </c>
      <c r="F18" s="3">
        <v>5.5011829E7</v>
      </c>
      <c r="G18" s="3">
        <v>3.51628035E9</v>
      </c>
      <c r="H18" s="3" t="s">
        <v>21</v>
      </c>
      <c r="I18" s="3" t="s">
        <v>22</v>
      </c>
      <c r="J18" s="3" t="s">
        <v>23</v>
      </c>
      <c r="K18" s="6"/>
      <c r="L18" s="6"/>
      <c r="M18" s="6"/>
      <c r="N18" s="6"/>
      <c r="O18" s="6"/>
      <c r="P18" s="6"/>
      <c r="Q18" s="6"/>
      <c r="R18" s="7" t="str">
        <f>IF(H18="","",VLOOKUP(H18,'Hoja 9'!$A$1:$B$255,2,0))</f>
        <v>GOOGLE</v>
      </c>
      <c r="S18" s="7">
        <f t="shared" si="1"/>
        <v>2022</v>
      </c>
      <c r="T18" s="7">
        <f t="shared" si="2"/>
        <v>11</v>
      </c>
    </row>
    <row r="19">
      <c r="A19" s="4">
        <v>44895.83768556713</v>
      </c>
      <c r="B19" s="3" t="s">
        <v>80</v>
      </c>
      <c r="C19" s="3" t="s">
        <v>81</v>
      </c>
      <c r="D19" s="3" t="s">
        <v>82</v>
      </c>
      <c r="E19" s="5">
        <v>35936.0</v>
      </c>
      <c r="F19" s="3">
        <v>4081605.0</v>
      </c>
      <c r="G19" s="3">
        <v>3.513861638E9</v>
      </c>
      <c r="H19" s="3" t="s">
        <v>27</v>
      </c>
      <c r="I19" s="3" t="s">
        <v>28</v>
      </c>
      <c r="R19" s="7" t="str">
        <f>IF(H19="","",VLOOKUP(H19,'Hoja 9'!$A$1:$B$255,2,0))</f>
        <v>BOCA EN BOCA</v>
      </c>
      <c r="S19" s="7">
        <f t="shared" si="1"/>
        <v>2022</v>
      </c>
      <c r="T19" s="7">
        <f t="shared" si="2"/>
        <v>11</v>
      </c>
    </row>
    <row r="20">
      <c r="A20" s="4">
        <v>44897.84809546296</v>
      </c>
      <c r="B20" s="3" t="s">
        <v>83</v>
      </c>
      <c r="C20" s="3" t="s">
        <v>84</v>
      </c>
      <c r="D20" s="3" t="s">
        <v>85</v>
      </c>
      <c r="E20" s="5">
        <v>19420.0</v>
      </c>
      <c r="F20" s="3">
        <v>1.0756516E7</v>
      </c>
      <c r="G20" s="3">
        <v>3.513123179E9</v>
      </c>
      <c r="H20" s="3" t="s">
        <v>27</v>
      </c>
      <c r="I20" s="3" t="s">
        <v>22</v>
      </c>
      <c r="J20" s="3" t="s">
        <v>86</v>
      </c>
      <c r="K20" s="6"/>
      <c r="L20" s="6"/>
      <c r="M20" s="6"/>
      <c r="N20" s="6"/>
      <c r="O20" s="6"/>
      <c r="P20" s="6"/>
      <c r="Q20" s="6"/>
      <c r="R20" s="7" t="str">
        <f>IF(H20="","",VLOOKUP(H20,'Hoja 9'!$A$1:$B$255,2,0))</f>
        <v>BOCA EN BOCA</v>
      </c>
      <c r="S20" s="7">
        <f t="shared" si="1"/>
        <v>2022</v>
      </c>
      <c r="T20" s="7">
        <f t="shared" si="2"/>
        <v>12</v>
      </c>
    </row>
    <row r="21">
      <c r="A21" s="4">
        <v>44901.88306773148</v>
      </c>
      <c r="B21" s="3" t="s">
        <v>87</v>
      </c>
      <c r="C21" s="3" t="s">
        <v>88</v>
      </c>
      <c r="D21" s="3" t="s">
        <v>89</v>
      </c>
      <c r="E21" s="5">
        <v>37698.0</v>
      </c>
      <c r="F21" s="3">
        <v>4.4694075E7</v>
      </c>
      <c r="G21" s="3">
        <v>3.515290969E9</v>
      </c>
      <c r="H21" s="3" t="s">
        <v>21</v>
      </c>
      <c r="I21" s="3" t="s">
        <v>22</v>
      </c>
      <c r="J21" s="3" t="s">
        <v>90</v>
      </c>
      <c r="K21" s="6"/>
      <c r="L21" s="6"/>
      <c r="M21" s="6"/>
      <c r="N21" s="6"/>
      <c r="O21" s="6"/>
      <c r="P21" s="6"/>
      <c r="Q21" s="6"/>
      <c r="R21" s="7" t="str">
        <f>IF(H21="","",VLOOKUP(H21,'Hoja 9'!$A$1:$B$255,2,0))</f>
        <v>GOOGLE</v>
      </c>
      <c r="S21" s="7">
        <f t="shared" si="1"/>
        <v>2022</v>
      </c>
      <c r="T21" s="7">
        <f t="shared" si="2"/>
        <v>12</v>
      </c>
    </row>
    <row r="22">
      <c r="A22" s="4">
        <v>44902.416306377316</v>
      </c>
      <c r="B22" s="3" t="s">
        <v>91</v>
      </c>
      <c r="C22" s="3" t="s">
        <v>92</v>
      </c>
      <c r="D22" s="3" t="s">
        <v>93</v>
      </c>
      <c r="E22" s="5">
        <v>34786.0</v>
      </c>
      <c r="F22" s="3">
        <v>3.874917E7</v>
      </c>
      <c r="G22" s="3">
        <v>3.512558234E9</v>
      </c>
      <c r="H22" s="3" t="s">
        <v>27</v>
      </c>
      <c r="I22" s="3" t="s">
        <v>28</v>
      </c>
      <c r="R22" s="7" t="str">
        <f>IF(H22="","",VLOOKUP(H22,'Hoja 9'!$A$1:$B$255,2,0))</f>
        <v>BOCA EN BOCA</v>
      </c>
      <c r="S22" s="7">
        <f t="shared" si="1"/>
        <v>2022</v>
      </c>
      <c r="T22" s="7">
        <f t="shared" si="2"/>
        <v>12</v>
      </c>
    </row>
    <row r="23">
      <c r="A23" s="4">
        <v>44907.700069178245</v>
      </c>
      <c r="B23" s="3" t="s">
        <v>94</v>
      </c>
      <c r="C23" s="3" t="s">
        <v>95</v>
      </c>
      <c r="D23" s="3" t="s">
        <v>96</v>
      </c>
      <c r="E23" s="5">
        <v>16564.0</v>
      </c>
      <c r="F23" s="3">
        <v>4647485.0</v>
      </c>
      <c r="G23" s="3">
        <v>3.513503636E9</v>
      </c>
      <c r="H23" s="3" t="s">
        <v>27</v>
      </c>
      <c r="I23" s="3" t="s">
        <v>22</v>
      </c>
      <c r="J23" s="3" t="s">
        <v>23</v>
      </c>
      <c r="K23" s="6"/>
      <c r="L23" s="6"/>
      <c r="M23" s="6"/>
      <c r="N23" s="6"/>
      <c r="O23" s="6"/>
      <c r="P23" s="6"/>
      <c r="Q23" s="6"/>
      <c r="R23" s="7" t="str">
        <f>IF(H23="","",VLOOKUP(H23,'Hoja 9'!$A$1:$B$255,2,0))</f>
        <v>BOCA EN BOCA</v>
      </c>
      <c r="S23" s="7">
        <f t="shared" si="1"/>
        <v>2022</v>
      </c>
      <c r="T23" s="7">
        <f t="shared" si="2"/>
        <v>12</v>
      </c>
    </row>
    <row r="24">
      <c r="A24" s="4">
        <v>44908.35121424768</v>
      </c>
      <c r="B24" s="3" t="s">
        <v>97</v>
      </c>
      <c r="C24" s="3" t="s">
        <v>98</v>
      </c>
      <c r="D24" s="3" t="s">
        <v>99</v>
      </c>
      <c r="E24" s="5">
        <v>30556.0</v>
      </c>
      <c r="F24" s="3">
        <v>3.0469315E7</v>
      </c>
      <c r="G24" s="3">
        <v>3.513732026E9</v>
      </c>
      <c r="H24" s="3" t="s">
        <v>44</v>
      </c>
      <c r="I24" s="3" t="s">
        <v>28</v>
      </c>
      <c r="R24" s="7" t="str">
        <f>IF(H24="","",VLOOKUP(H24,'Hoja 9'!$A$1:$B$255,2,0))</f>
        <v>GIMNASIO</v>
      </c>
      <c r="S24" s="7">
        <f t="shared" si="1"/>
        <v>2022</v>
      </c>
      <c r="T24" s="7">
        <f t="shared" si="2"/>
        <v>12</v>
      </c>
    </row>
    <row r="25">
      <c r="A25" s="4">
        <v>44908.902037754626</v>
      </c>
      <c r="B25" s="3" t="s">
        <v>100</v>
      </c>
      <c r="C25" s="3" t="s">
        <v>101</v>
      </c>
      <c r="D25" s="3" t="s">
        <v>102</v>
      </c>
      <c r="E25" s="3" t="s">
        <v>103</v>
      </c>
      <c r="F25" s="3">
        <v>2.4356325E7</v>
      </c>
      <c r="G25" s="3">
        <v>3.516535435E9</v>
      </c>
      <c r="H25" s="3" t="s">
        <v>27</v>
      </c>
      <c r="I25" s="3" t="s">
        <v>22</v>
      </c>
      <c r="R25" s="7" t="str">
        <f>IF(H25="","",VLOOKUP(H25,'Hoja 9'!$A$1:$B$255,2,0))</f>
        <v>BOCA EN BOCA</v>
      </c>
      <c r="S25" s="7">
        <f t="shared" si="1"/>
        <v>2022</v>
      </c>
      <c r="T25" s="7">
        <f t="shared" si="2"/>
        <v>12</v>
      </c>
    </row>
    <row r="26">
      <c r="A26" s="4">
        <v>44909.90619232639</v>
      </c>
      <c r="B26" s="3" t="s">
        <v>104</v>
      </c>
      <c r="C26" s="3" t="s">
        <v>105</v>
      </c>
      <c r="D26" s="3" t="s">
        <v>106</v>
      </c>
      <c r="E26" s="5">
        <v>26901.0</v>
      </c>
      <c r="F26" s="3">
        <v>2.344042E7</v>
      </c>
      <c r="G26" s="3">
        <v>3.516419517E9</v>
      </c>
      <c r="H26" s="3" t="s">
        <v>27</v>
      </c>
      <c r="I26" s="3" t="s">
        <v>22</v>
      </c>
      <c r="J26" s="3" t="s">
        <v>23</v>
      </c>
      <c r="K26" s="6"/>
      <c r="L26" s="6"/>
      <c r="M26" s="6"/>
      <c r="N26" s="6"/>
      <c r="O26" s="6"/>
      <c r="P26" s="6"/>
      <c r="Q26" s="6"/>
      <c r="R26" s="7" t="str">
        <f>IF(H26="","",VLOOKUP(H26,'Hoja 9'!$A$1:$B$255,2,0))</f>
        <v>BOCA EN BOCA</v>
      </c>
      <c r="S26" s="7">
        <f t="shared" si="1"/>
        <v>2022</v>
      </c>
      <c r="T26" s="7">
        <f t="shared" si="2"/>
        <v>12</v>
      </c>
    </row>
    <row r="27">
      <c r="A27" s="4">
        <v>44911.64883736111</v>
      </c>
      <c r="B27" s="3" t="s">
        <v>107</v>
      </c>
      <c r="C27" s="3" t="s">
        <v>108</v>
      </c>
      <c r="D27" s="3" t="s">
        <v>109</v>
      </c>
      <c r="E27" s="5">
        <v>34581.0</v>
      </c>
      <c r="F27" s="3">
        <v>3.841207E7</v>
      </c>
      <c r="G27" s="3">
        <v>3.517384848E9</v>
      </c>
      <c r="H27" s="3" t="s">
        <v>27</v>
      </c>
      <c r="I27" s="3" t="s">
        <v>28</v>
      </c>
      <c r="R27" s="7" t="str">
        <f>IF(H27="","",VLOOKUP(H27,'Hoja 9'!$A$1:$B$255,2,0))</f>
        <v>BOCA EN BOCA</v>
      </c>
      <c r="S27" s="7">
        <f t="shared" si="1"/>
        <v>2022</v>
      </c>
      <c r="T27" s="7">
        <f t="shared" si="2"/>
        <v>12</v>
      </c>
    </row>
    <row r="28">
      <c r="A28" s="4">
        <v>44918.476129710645</v>
      </c>
      <c r="B28" s="3" t="s">
        <v>110</v>
      </c>
      <c r="C28" s="3" t="s">
        <v>111</v>
      </c>
      <c r="E28" s="5">
        <v>16642.0</v>
      </c>
      <c r="F28" s="3">
        <v>5210099.0</v>
      </c>
      <c r="G28" s="3">
        <v>3.512757694E9</v>
      </c>
      <c r="H28" s="3" t="s">
        <v>21</v>
      </c>
      <c r="I28" s="3" t="s">
        <v>22</v>
      </c>
      <c r="J28" s="3" t="s">
        <v>23</v>
      </c>
      <c r="K28" s="6"/>
      <c r="L28" s="6"/>
      <c r="M28" s="6"/>
      <c r="N28" s="6"/>
      <c r="O28" s="6"/>
      <c r="P28" s="6"/>
      <c r="Q28" s="6"/>
      <c r="R28" s="7" t="str">
        <f>IF(H28="","",VLOOKUP(H28,'Hoja 9'!$A$1:$B$255,2,0))</f>
        <v>GOOGLE</v>
      </c>
      <c r="S28" s="7">
        <f t="shared" si="1"/>
        <v>2022</v>
      </c>
      <c r="T28" s="7">
        <f t="shared" si="2"/>
        <v>12</v>
      </c>
    </row>
    <row r="29">
      <c r="A29" s="4">
        <v>44920.965454571764</v>
      </c>
      <c r="B29" s="3" t="s">
        <v>112</v>
      </c>
      <c r="C29" s="3" t="s">
        <v>113</v>
      </c>
      <c r="D29" s="3" t="s">
        <v>114</v>
      </c>
      <c r="E29" s="5">
        <v>35767.0</v>
      </c>
      <c r="F29" s="3">
        <v>4.0815684E7</v>
      </c>
      <c r="G29" s="3">
        <v>6.65987371E8</v>
      </c>
      <c r="H29" s="3" t="s">
        <v>27</v>
      </c>
      <c r="I29" s="3" t="s">
        <v>28</v>
      </c>
      <c r="R29" s="7" t="str">
        <f>IF(H29="","",VLOOKUP(H29,'Hoja 9'!$A$1:$B$255,2,0))</f>
        <v>BOCA EN BOCA</v>
      </c>
      <c r="S29" s="7">
        <f t="shared" si="1"/>
        <v>2022</v>
      </c>
      <c r="T29" s="7">
        <f t="shared" si="2"/>
        <v>12</v>
      </c>
    </row>
    <row r="30">
      <c r="A30" s="4">
        <v>44921.72984240741</v>
      </c>
      <c r="B30" s="3" t="s">
        <v>115</v>
      </c>
      <c r="C30" s="3" t="s">
        <v>116</v>
      </c>
      <c r="D30" s="3" t="s">
        <v>117</v>
      </c>
      <c r="E30" s="5">
        <v>16144.0</v>
      </c>
      <c r="F30" s="8">
        <v>4789045.0</v>
      </c>
      <c r="G30" s="3">
        <v>3.515306152E9</v>
      </c>
      <c r="H30" s="3" t="s">
        <v>21</v>
      </c>
      <c r="I30" s="3" t="s">
        <v>22</v>
      </c>
      <c r="J30" s="3" t="s">
        <v>68</v>
      </c>
      <c r="K30" s="6"/>
      <c r="L30" s="6"/>
      <c r="M30" s="6"/>
      <c r="N30" s="6"/>
      <c r="O30" s="6"/>
      <c r="P30" s="6"/>
      <c r="Q30" s="6"/>
      <c r="R30" s="7" t="str">
        <f>IF(H30="","",VLOOKUP(H30,'Hoja 9'!$A$1:$B$255,2,0))</f>
        <v>GOOGLE</v>
      </c>
      <c r="S30" s="7">
        <f t="shared" si="1"/>
        <v>2022</v>
      </c>
      <c r="T30" s="7">
        <f t="shared" si="2"/>
        <v>12</v>
      </c>
    </row>
    <row r="31">
      <c r="A31" s="4">
        <v>44923.41139163195</v>
      </c>
      <c r="B31" s="3" t="s">
        <v>118</v>
      </c>
      <c r="C31" s="3" t="s">
        <v>119</v>
      </c>
      <c r="D31" s="3" t="s">
        <v>120</v>
      </c>
      <c r="E31" s="5">
        <v>26650.0</v>
      </c>
      <c r="F31" s="3">
        <v>2.2795191E7</v>
      </c>
      <c r="G31" s="3">
        <v>3.512588741E9</v>
      </c>
      <c r="H31" s="3" t="s">
        <v>21</v>
      </c>
      <c r="I31" s="3" t="s">
        <v>22</v>
      </c>
      <c r="J31" s="3" t="s">
        <v>68</v>
      </c>
      <c r="K31" s="6"/>
      <c r="L31" s="6"/>
      <c r="M31" s="6"/>
      <c r="N31" s="6"/>
      <c r="O31" s="6"/>
      <c r="P31" s="6"/>
      <c r="Q31" s="6"/>
      <c r="R31" s="7" t="str">
        <f>IF(H31="","",VLOOKUP(H31,'Hoja 9'!$A$1:$B$255,2,0))</f>
        <v>GOOGLE</v>
      </c>
      <c r="S31" s="7">
        <f t="shared" si="1"/>
        <v>2022</v>
      </c>
      <c r="T31" s="7">
        <f t="shared" si="2"/>
        <v>12</v>
      </c>
    </row>
    <row r="32">
      <c r="A32" s="4">
        <v>44923.41247686342</v>
      </c>
      <c r="B32" s="3" t="s">
        <v>121</v>
      </c>
      <c r="C32" s="3" t="s">
        <v>122</v>
      </c>
      <c r="D32" s="3" t="s">
        <v>120</v>
      </c>
      <c r="E32" s="5">
        <v>41264.0</v>
      </c>
      <c r="F32" s="3">
        <v>5.2466966E7</v>
      </c>
      <c r="G32" s="3">
        <v>3.512588741E9</v>
      </c>
      <c r="H32" s="3" t="s">
        <v>21</v>
      </c>
      <c r="I32" s="3" t="s">
        <v>22</v>
      </c>
      <c r="J32" s="3" t="s">
        <v>68</v>
      </c>
      <c r="K32" s="6"/>
      <c r="L32" s="6"/>
      <c r="M32" s="6"/>
      <c r="N32" s="6"/>
      <c r="O32" s="6"/>
      <c r="P32" s="6"/>
      <c r="Q32" s="6"/>
      <c r="R32" s="7" t="str">
        <f>IF(H32="","",VLOOKUP(H32,'Hoja 9'!$A$1:$B$255,2,0))</f>
        <v>GOOGLE</v>
      </c>
      <c r="S32" s="7">
        <f t="shared" si="1"/>
        <v>2022</v>
      </c>
      <c r="T32" s="7">
        <f t="shared" si="2"/>
        <v>12</v>
      </c>
    </row>
    <row r="33">
      <c r="A33" s="4">
        <v>44924.730007997685</v>
      </c>
      <c r="B33" s="3" t="s">
        <v>123</v>
      </c>
      <c r="C33" s="3" t="s">
        <v>124</v>
      </c>
      <c r="D33" s="3" t="s">
        <v>125</v>
      </c>
      <c r="E33" s="5">
        <v>31877.0</v>
      </c>
      <c r="F33" s="3">
        <v>3.3117511E7</v>
      </c>
      <c r="G33" s="3">
        <v>3.512287296E9</v>
      </c>
      <c r="H33" s="3" t="s">
        <v>27</v>
      </c>
      <c r="I33" s="3" t="s">
        <v>28</v>
      </c>
      <c r="R33" s="7" t="str">
        <f>IF(H33="","",VLOOKUP(H33,'Hoja 9'!$A$1:$B$255,2,0))</f>
        <v>BOCA EN BOCA</v>
      </c>
      <c r="S33" s="7">
        <f t="shared" si="1"/>
        <v>2022</v>
      </c>
      <c r="T33" s="7">
        <f t="shared" si="2"/>
        <v>12</v>
      </c>
    </row>
    <row r="34">
      <c r="A34" s="4">
        <v>44924.83819850694</v>
      </c>
      <c r="B34" s="3" t="s">
        <v>126</v>
      </c>
      <c r="C34" s="3" t="s">
        <v>127</v>
      </c>
      <c r="D34" s="3" t="s">
        <v>128</v>
      </c>
      <c r="E34" s="5">
        <v>18600.0</v>
      </c>
      <c r="F34" s="3">
        <v>6259516.0</v>
      </c>
      <c r="G34" s="3">
        <v>3.512484269E9</v>
      </c>
      <c r="H34" s="3" t="s">
        <v>21</v>
      </c>
      <c r="I34" s="3" t="s">
        <v>22</v>
      </c>
      <c r="J34" s="3" t="s">
        <v>23</v>
      </c>
      <c r="K34" s="6"/>
      <c r="L34" s="6"/>
      <c r="M34" s="6"/>
      <c r="N34" s="6"/>
      <c r="O34" s="6"/>
      <c r="P34" s="6"/>
      <c r="Q34" s="6"/>
      <c r="R34" s="7" t="str">
        <f>IF(H34="","",VLOOKUP(H34,'Hoja 9'!$A$1:$B$255,2,0))</f>
        <v>GOOGLE</v>
      </c>
      <c r="S34" s="7">
        <f t="shared" si="1"/>
        <v>2022</v>
      </c>
      <c r="T34" s="7">
        <f t="shared" si="2"/>
        <v>12</v>
      </c>
    </row>
    <row r="35">
      <c r="A35" s="4">
        <v>44926.811601574074</v>
      </c>
      <c r="B35" s="3" t="s">
        <v>129</v>
      </c>
      <c r="C35" s="3" t="s">
        <v>130</v>
      </c>
      <c r="D35" s="3" t="s">
        <v>131</v>
      </c>
      <c r="E35" s="5">
        <v>29279.0</v>
      </c>
      <c r="F35" s="3">
        <v>2.7955896E7</v>
      </c>
      <c r="G35" s="3">
        <v>3.513401354E9</v>
      </c>
      <c r="H35" s="3" t="s">
        <v>27</v>
      </c>
      <c r="I35" s="3" t="s">
        <v>22</v>
      </c>
      <c r="J35" s="3" t="s">
        <v>23</v>
      </c>
      <c r="K35" s="6"/>
      <c r="L35" s="6"/>
      <c r="M35" s="6"/>
      <c r="N35" s="6"/>
      <c r="O35" s="6"/>
      <c r="P35" s="6"/>
      <c r="Q35" s="6"/>
      <c r="R35" s="7" t="str">
        <f>IF(H35="","",VLOOKUP(H35,'Hoja 9'!$A$1:$B$255,2,0))</f>
        <v>BOCA EN BOCA</v>
      </c>
      <c r="S35" s="7">
        <f t="shared" si="1"/>
        <v>2022</v>
      </c>
      <c r="T35" s="7">
        <f t="shared" si="2"/>
        <v>12</v>
      </c>
    </row>
    <row r="36">
      <c r="A36" s="4">
        <v>44928.44846900463</v>
      </c>
      <c r="B36" s="3" t="s">
        <v>132</v>
      </c>
      <c r="C36" s="3" t="s">
        <v>133</v>
      </c>
      <c r="D36" s="3" t="s">
        <v>134</v>
      </c>
      <c r="E36" s="5">
        <v>32451.0</v>
      </c>
      <c r="F36" s="3">
        <v>3.4069704E7</v>
      </c>
      <c r="G36" s="3">
        <v>3.512615886E9</v>
      </c>
      <c r="H36" s="3" t="s">
        <v>21</v>
      </c>
      <c r="I36" s="3" t="s">
        <v>28</v>
      </c>
      <c r="R36" s="7" t="str">
        <f>IF(H36="","",VLOOKUP(H36,'Hoja 9'!$A$1:$B$255,2,0))</f>
        <v>GOOGLE</v>
      </c>
      <c r="S36" s="7">
        <f t="shared" si="1"/>
        <v>2023</v>
      </c>
      <c r="T36" s="7">
        <f t="shared" si="2"/>
        <v>1</v>
      </c>
    </row>
    <row r="37">
      <c r="A37" s="4">
        <v>44928.82616415509</v>
      </c>
      <c r="B37" s="3" t="s">
        <v>135</v>
      </c>
      <c r="C37" s="3" t="s">
        <v>136</v>
      </c>
      <c r="D37" s="3" t="s">
        <v>137</v>
      </c>
      <c r="E37" s="5">
        <v>29722.0</v>
      </c>
      <c r="F37" s="3">
        <v>2.885095E7</v>
      </c>
      <c r="G37" s="3">
        <v>3.513904324E9</v>
      </c>
      <c r="H37" s="3" t="s">
        <v>44</v>
      </c>
      <c r="I37" s="3" t="s">
        <v>28</v>
      </c>
      <c r="R37" s="7" t="str">
        <f>IF(H37="","",VLOOKUP(H37,'Hoja 9'!$A$1:$B$255,2,0))</f>
        <v>GIMNASIO</v>
      </c>
      <c r="S37" s="7">
        <f t="shared" si="1"/>
        <v>2023</v>
      </c>
      <c r="T37" s="7">
        <f t="shared" si="2"/>
        <v>1</v>
      </c>
    </row>
    <row r="38">
      <c r="A38" s="4">
        <v>44930.68617453704</v>
      </c>
      <c r="B38" s="3" t="s">
        <v>138</v>
      </c>
      <c r="C38" s="3" t="s">
        <v>139</v>
      </c>
      <c r="D38" s="3" t="s">
        <v>140</v>
      </c>
      <c r="E38" s="5">
        <v>33208.0</v>
      </c>
      <c r="F38" s="3">
        <v>3.5564552E7</v>
      </c>
      <c r="G38" s="3">
        <v>3.525454941E9</v>
      </c>
      <c r="H38" s="3" t="s">
        <v>27</v>
      </c>
      <c r="I38" s="3" t="s">
        <v>22</v>
      </c>
      <c r="J38" s="3" t="s">
        <v>58</v>
      </c>
      <c r="K38" s="6"/>
      <c r="L38" s="6"/>
      <c r="M38" s="6"/>
      <c r="N38" s="6"/>
      <c r="O38" s="6"/>
      <c r="P38" s="6"/>
      <c r="Q38" s="6"/>
      <c r="R38" s="7" t="str">
        <f>IF(H38="","",VLOOKUP(H38,'Hoja 9'!$A$1:$B$255,2,0))</f>
        <v>BOCA EN BOCA</v>
      </c>
      <c r="S38" s="7">
        <f t="shared" si="1"/>
        <v>2023</v>
      </c>
      <c r="T38" s="7">
        <f t="shared" si="2"/>
        <v>1</v>
      </c>
    </row>
    <row r="39">
      <c r="A39" s="4">
        <v>44930.971014027775</v>
      </c>
      <c r="B39" s="3" t="s">
        <v>141</v>
      </c>
      <c r="C39" s="3" t="s">
        <v>142</v>
      </c>
      <c r="D39" s="3" t="s">
        <v>143</v>
      </c>
      <c r="E39" s="5">
        <v>32449.0</v>
      </c>
      <c r="F39" s="3">
        <v>3.3976093E7</v>
      </c>
      <c r="G39" s="3">
        <v>3.512441614E9</v>
      </c>
      <c r="H39" s="3" t="s">
        <v>44</v>
      </c>
      <c r="I39" s="3" t="s">
        <v>22</v>
      </c>
      <c r="J39" s="3" t="s">
        <v>144</v>
      </c>
      <c r="K39" s="6"/>
      <c r="L39" s="6"/>
      <c r="M39" s="6"/>
      <c r="N39" s="6"/>
      <c r="O39" s="6"/>
      <c r="P39" s="6"/>
      <c r="Q39" s="6"/>
      <c r="R39" s="7" t="str">
        <f>IF(H39="","",VLOOKUP(H39,'Hoja 9'!$A$1:$B$255,2,0))</f>
        <v>GIMNASIO</v>
      </c>
      <c r="S39" s="7">
        <f t="shared" si="1"/>
        <v>2023</v>
      </c>
      <c r="T39" s="7">
        <f t="shared" si="2"/>
        <v>1</v>
      </c>
    </row>
    <row r="40">
      <c r="A40" s="4">
        <v>44932.67118863426</v>
      </c>
      <c r="B40" s="3" t="s">
        <v>145</v>
      </c>
      <c r="C40" s="3" t="s">
        <v>146</v>
      </c>
      <c r="D40" s="3" t="s">
        <v>147</v>
      </c>
      <c r="E40" s="5">
        <v>35720.0</v>
      </c>
      <c r="F40" s="3">
        <v>4.0686489E7</v>
      </c>
      <c r="G40" s="3">
        <v>3.512064245E9</v>
      </c>
      <c r="H40" s="3" t="s">
        <v>148</v>
      </c>
      <c r="I40" s="3" t="s">
        <v>22</v>
      </c>
      <c r="J40" s="3" t="s">
        <v>149</v>
      </c>
      <c r="K40" s="6"/>
      <c r="L40" s="6"/>
      <c r="M40" s="6"/>
      <c r="N40" s="6"/>
      <c r="O40" s="6"/>
      <c r="P40" s="6"/>
      <c r="Q40" s="6"/>
      <c r="R40" s="7" t="str">
        <f>IF(H40="","",VLOOKUP(H40,'Hoja 9'!$A$1:$B$255,2,0))</f>
        <v>OBRA SOCIAL</v>
      </c>
      <c r="S40" s="7">
        <f t="shared" si="1"/>
        <v>2023</v>
      </c>
      <c r="T40" s="7">
        <f t="shared" si="2"/>
        <v>1</v>
      </c>
    </row>
    <row r="41">
      <c r="A41" s="4">
        <v>44935.81091314815</v>
      </c>
      <c r="B41" s="3" t="s">
        <v>150</v>
      </c>
      <c r="C41" s="3" t="s">
        <v>151</v>
      </c>
      <c r="D41" s="3" t="s">
        <v>152</v>
      </c>
      <c r="E41" s="5">
        <v>20145.0</v>
      </c>
      <c r="F41" s="3">
        <v>1.1745268E7</v>
      </c>
      <c r="G41" s="3">
        <v>3.512770181E9</v>
      </c>
      <c r="H41" s="3" t="s">
        <v>27</v>
      </c>
      <c r="I41" s="3" t="s">
        <v>22</v>
      </c>
      <c r="J41" s="3" t="s">
        <v>23</v>
      </c>
      <c r="K41" s="6"/>
      <c r="L41" s="6"/>
      <c r="M41" s="6"/>
      <c r="N41" s="6"/>
      <c r="O41" s="6"/>
      <c r="P41" s="6"/>
      <c r="Q41" s="6"/>
      <c r="R41" s="7" t="str">
        <f>IF(H41="","",VLOOKUP(H41,'Hoja 9'!$A$1:$B$255,2,0))</f>
        <v>BOCA EN BOCA</v>
      </c>
      <c r="S41" s="7">
        <f t="shared" si="1"/>
        <v>2023</v>
      </c>
      <c r="T41" s="7">
        <f t="shared" si="2"/>
        <v>1</v>
      </c>
    </row>
    <row r="42">
      <c r="A42" s="4">
        <v>44937.558101284725</v>
      </c>
      <c r="B42" s="3" t="s">
        <v>153</v>
      </c>
      <c r="C42" s="3" t="s">
        <v>154</v>
      </c>
      <c r="D42" s="3" t="s">
        <v>155</v>
      </c>
      <c r="E42" s="5">
        <v>34033.0</v>
      </c>
      <c r="F42" s="3">
        <v>3.7317203E7</v>
      </c>
      <c r="G42" s="3">
        <v>3.516558107E9</v>
      </c>
      <c r="H42" s="3" t="s">
        <v>27</v>
      </c>
      <c r="I42" s="3" t="s">
        <v>28</v>
      </c>
      <c r="R42" s="7" t="str">
        <f>IF(H42="","",VLOOKUP(H42,'Hoja 9'!$A$1:$B$255,2,0))</f>
        <v>BOCA EN BOCA</v>
      </c>
      <c r="S42" s="7">
        <f t="shared" si="1"/>
        <v>2023</v>
      </c>
      <c r="T42" s="7">
        <f t="shared" si="2"/>
        <v>1</v>
      </c>
    </row>
    <row r="43">
      <c r="A43" s="4">
        <v>44942.86966601852</v>
      </c>
      <c r="B43" s="3" t="s">
        <v>156</v>
      </c>
      <c r="C43" s="3" t="s">
        <v>157</v>
      </c>
      <c r="E43" s="5">
        <v>32574.0</v>
      </c>
      <c r="F43" s="3">
        <v>3.4315567E7</v>
      </c>
      <c r="G43" s="3">
        <v>1.7677271846E10</v>
      </c>
      <c r="H43" s="3" t="s">
        <v>27</v>
      </c>
      <c r="I43" s="3" t="s">
        <v>28</v>
      </c>
      <c r="R43" s="7" t="str">
        <f>IF(H43="","",VLOOKUP(H43,'Hoja 9'!$A$1:$B$255,2,0))</f>
        <v>BOCA EN BOCA</v>
      </c>
      <c r="S43" s="7">
        <f t="shared" si="1"/>
        <v>2023</v>
      </c>
      <c r="T43" s="7">
        <f t="shared" si="2"/>
        <v>1</v>
      </c>
    </row>
    <row r="44">
      <c r="A44" s="4">
        <v>44951.763432499996</v>
      </c>
      <c r="B44" s="3" t="s">
        <v>158</v>
      </c>
      <c r="C44" s="3" t="s">
        <v>159</v>
      </c>
      <c r="D44" s="3" t="s">
        <v>160</v>
      </c>
      <c r="E44" s="5">
        <v>32583.0</v>
      </c>
      <c r="F44" s="3">
        <v>3.4247843E7</v>
      </c>
      <c r="G44" s="3">
        <v>3.515571888E9</v>
      </c>
      <c r="H44" s="3" t="s">
        <v>27</v>
      </c>
      <c r="I44" s="3" t="s">
        <v>28</v>
      </c>
      <c r="R44" s="7" t="str">
        <f>IF(H44="","",VLOOKUP(H44,'Hoja 9'!$A$1:$B$255,2,0))</f>
        <v>BOCA EN BOCA</v>
      </c>
      <c r="S44" s="7">
        <f t="shared" si="1"/>
        <v>2023</v>
      </c>
      <c r="T44" s="7">
        <f t="shared" si="2"/>
        <v>1</v>
      </c>
    </row>
    <row r="45">
      <c r="A45" s="4">
        <v>44953.4892372801</v>
      </c>
      <c r="B45" s="3" t="s">
        <v>161</v>
      </c>
      <c r="C45" s="3" t="s">
        <v>162</v>
      </c>
      <c r="D45" s="3" t="s">
        <v>163</v>
      </c>
      <c r="E45" s="5">
        <v>28046.0</v>
      </c>
      <c r="F45" s="3">
        <v>2.6177948E7</v>
      </c>
      <c r="G45" s="3">
        <v>3.515471689E9</v>
      </c>
      <c r="H45" s="3" t="s">
        <v>21</v>
      </c>
      <c r="I45" s="3" t="s">
        <v>22</v>
      </c>
      <c r="J45" s="3" t="s">
        <v>149</v>
      </c>
      <c r="K45" s="6"/>
      <c r="L45" s="6"/>
      <c r="M45" s="6"/>
      <c r="N45" s="6"/>
      <c r="O45" s="6"/>
      <c r="P45" s="6"/>
      <c r="Q45" s="6"/>
      <c r="R45" s="7" t="str">
        <f>IF(H45="","",VLOOKUP(H45,'Hoja 9'!$A$1:$B$255,2,0))</f>
        <v>GOOGLE</v>
      </c>
      <c r="S45" s="7">
        <f t="shared" si="1"/>
        <v>2023</v>
      </c>
      <c r="T45" s="7">
        <f t="shared" si="2"/>
        <v>1</v>
      </c>
    </row>
    <row r="46">
      <c r="A46" s="4">
        <v>44953.494708240745</v>
      </c>
      <c r="B46" s="3" t="s">
        <v>164</v>
      </c>
      <c r="C46" s="3" t="s">
        <v>165</v>
      </c>
      <c r="D46" s="3" t="s">
        <v>166</v>
      </c>
      <c r="E46" s="5">
        <v>18169.0</v>
      </c>
      <c r="F46" s="3">
        <v>6132407.0</v>
      </c>
      <c r="G46" s="3">
        <v>3.513241502E9</v>
      </c>
      <c r="H46" s="3" t="s">
        <v>27</v>
      </c>
      <c r="I46" s="3" t="s">
        <v>22</v>
      </c>
      <c r="J46" s="3" t="s">
        <v>72</v>
      </c>
      <c r="K46" s="6"/>
      <c r="L46" s="6"/>
      <c r="M46" s="6"/>
      <c r="N46" s="6"/>
      <c r="O46" s="6"/>
      <c r="P46" s="6"/>
      <c r="Q46" s="6"/>
      <c r="R46" s="7" t="str">
        <f>IF(H46="","",VLOOKUP(H46,'Hoja 9'!$A$1:$B$255,2,0))</f>
        <v>BOCA EN BOCA</v>
      </c>
      <c r="S46" s="7">
        <f t="shared" si="1"/>
        <v>2023</v>
      </c>
      <c r="T46" s="7">
        <f t="shared" si="2"/>
        <v>1</v>
      </c>
    </row>
    <row r="47">
      <c r="A47" s="4">
        <v>44953.5015500463</v>
      </c>
      <c r="B47" s="3" t="s">
        <v>167</v>
      </c>
      <c r="C47" s="3" t="s">
        <v>168</v>
      </c>
      <c r="D47" s="3" t="s">
        <v>169</v>
      </c>
      <c r="E47" s="5">
        <v>27251.0</v>
      </c>
      <c r="F47" s="3">
        <v>2.4088161E7</v>
      </c>
      <c r="G47" s="3">
        <v>3.515185921E9</v>
      </c>
      <c r="H47" s="3" t="s">
        <v>27</v>
      </c>
      <c r="I47" s="3" t="s">
        <v>22</v>
      </c>
      <c r="J47" s="3" t="s">
        <v>170</v>
      </c>
      <c r="K47" s="6"/>
      <c r="L47" s="6"/>
      <c r="M47" s="6"/>
      <c r="N47" s="6"/>
      <c r="O47" s="6"/>
      <c r="P47" s="6"/>
      <c r="Q47" s="6"/>
      <c r="R47" s="7" t="str">
        <f>IF(H47="","",VLOOKUP(H47,'Hoja 9'!$A$1:$B$255,2,0))</f>
        <v>BOCA EN BOCA</v>
      </c>
      <c r="S47" s="7">
        <f t="shared" si="1"/>
        <v>2023</v>
      </c>
      <c r="T47" s="7">
        <f t="shared" si="2"/>
        <v>1</v>
      </c>
    </row>
    <row r="48">
      <c r="A48" s="4">
        <v>44953.74153159722</v>
      </c>
      <c r="B48" s="3" t="s">
        <v>171</v>
      </c>
      <c r="C48" s="3" t="s">
        <v>172</v>
      </c>
      <c r="D48" s="3" t="s">
        <v>85</v>
      </c>
      <c r="E48" s="5">
        <v>18352.0</v>
      </c>
      <c r="F48" s="3">
        <v>7868456.0</v>
      </c>
      <c r="G48" s="3">
        <v>3.491464298E9</v>
      </c>
      <c r="H48" s="3" t="s">
        <v>27</v>
      </c>
      <c r="I48" s="3" t="s">
        <v>22</v>
      </c>
      <c r="J48" s="3" t="s">
        <v>173</v>
      </c>
      <c r="K48" s="6"/>
      <c r="L48" s="6"/>
      <c r="M48" s="6"/>
      <c r="N48" s="6"/>
      <c r="O48" s="6"/>
      <c r="P48" s="6"/>
      <c r="Q48" s="6"/>
      <c r="R48" s="7" t="str">
        <f>IF(H48="","",VLOOKUP(H48,'Hoja 9'!$A$1:$B$255,2,0))</f>
        <v>BOCA EN BOCA</v>
      </c>
      <c r="S48" s="7">
        <f t="shared" si="1"/>
        <v>2023</v>
      </c>
      <c r="T48" s="7">
        <f t="shared" si="2"/>
        <v>1</v>
      </c>
    </row>
    <row r="49">
      <c r="A49" s="4">
        <v>44956.41278305555</v>
      </c>
      <c r="B49" s="3" t="s">
        <v>174</v>
      </c>
      <c r="C49" s="3" t="s">
        <v>175</v>
      </c>
      <c r="D49" s="3" t="s">
        <v>176</v>
      </c>
      <c r="E49" s="5">
        <v>28911.0</v>
      </c>
      <c r="F49" s="3">
        <v>2.7172103E7</v>
      </c>
      <c r="G49" s="3">
        <v>3.515583969E9</v>
      </c>
      <c r="H49" s="3" t="s">
        <v>27</v>
      </c>
      <c r="I49" s="3" t="s">
        <v>28</v>
      </c>
      <c r="R49" s="7" t="str">
        <f>IF(H49="","",VLOOKUP(H49,'Hoja 9'!$A$1:$B$255,2,0))</f>
        <v>BOCA EN BOCA</v>
      </c>
      <c r="S49" s="7">
        <f t="shared" si="1"/>
        <v>2023</v>
      </c>
      <c r="T49" s="7">
        <f t="shared" si="2"/>
        <v>1</v>
      </c>
    </row>
    <row r="50">
      <c r="A50" s="4">
        <v>44957.46353460648</v>
      </c>
      <c r="B50" s="3" t="s">
        <v>177</v>
      </c>
      <c r="C50" s="3" t="s">
        <v>178</v>
      </c>
      <c r="E50" s="5">
        <v>44957.0</v>
      </c>
      <c r="F50" s="3">
        <v>3.1523085E7</v>
      </c>
      <c r="G50" s="3">
        <v>3.513798148E9</v>
      </c>
      <c r="H50" s="3" t="s">
        <v>21</v>
      </c>
      <c r="I50" s="3" t="s">
        <v>22</v>
      </c>
      <c r="J50" s="3" t="s">
        <v>23</v>
      </c>
      <c r="K50" s="6"/>
      <c r="L50" s="6"/>
      <c r="M50" s="6"/>
      <c r="N50" s="6"/>
      <c r="O50" s="6"/>
      <c r="P50" s="6"/>
      <c r="Q50" s="6"/>
      <c r="R50" s="7" t="str">
        <f>IF(H50="","",VLOOKUP(H50,'Hoja 9'!$A$1:$B$255,2,0))</f>
        <v>GOOGLE</v>
      </c>
      <c r="S50" s="7">
        <f t="shared" si="1"/>
        <v>2023</v>
      </c>
      <c r="T50" s="7">
        <f t="shared" si="2"/>
        <v>1</v>
      </c>
    </row>
    <row r="51">
      <c r="A51" s="4">
        <v>44957.68236560185</v>
      </c>
      <c r="B51" s="3" t="s">
        <v>179</v>
      </c>
      <c r="C51" s="3" t="s">
        <v>180</v>
      </c>
      <c r="D51" s="3" t="s">
        <v>181</v>
      </c>
      <c r="E51" s="5">
        <v>40598.0</v>
      </c>
      <c r="F51" s="3">
        <v>5.0631375E7</v>
      </c>
      <c r="G51" s="3">
        <v>3.51328771E9</v>
      </c>
      <c r="H51" s="3" t="s">
        <v>21</v>
      </c>
      <c r="I51" s="3" t="s">
        <v>28</v>
      </c>
      <c r="R51" s="7" t="str">
        <f>IF(H51="","",VLOOKUP(H51,'Hoja 9'!$A$1:$B$255,2,0))</f>
        <v>GOOGLE</v>
      </c>
      <c r="S51" s="7">
        <f t="shared" si="1"/>
        <v>2023</v>
      </c>
      <c r="T51" s="7">
        <f t="shared" si="2"/>
        <v>1</v>
      </c>
    </row>
    <row r="52">
      <c r="A52" s="4">
        <v>44957.745726863424</v>
      </c>
      <c r="B52" s="3" t="s">
        <v>182</v>
      </c>
      <c r="C52" s="3" t="s">
        <v>180</v>
      </c>
      <c r="D52" s="3" t="s">
        <v>183</v>
      </c>
      <c r="E52" s="5">
        <v>36599.0</v>
      </c>
      <c r="F52" s="3">
        <v>4.2697056E7</v>
      </c>
      <c r="G52" s="3">
        <v>3.516160854E9</v>
      </c>
      <c r="H52" s="3" t="s">
        <v>21</v>
      </c>
      <c r="I52" s="3" t="s">
        <v>28</v>
      </c>
      <c r="R52" s="7" t="str">
        <f>IF(H52="","",VLOOKUP(H52,'Hoja 9'!$A$1:$B$255,2,0))</f>
        <v>GOOGLE</v>
      </c>
      <c r="S52" s="7">
        <f t="shared" si="1"/>
        <v>2023</v>
      </c>
      <c r="T52" s="7">
        <f t="shared" si="2"/>
        <v>1</v>
      </c>
    </row>
    <row r="53">
      <c r="A53" s="4">
        <v>44959.757838391204</v>
      </c>
      <c r="B53" s="3" t="s">
        <v>184</v>
      </c>
      <c r="C53" s="3" t="s">
        <v>185</v>
      </c>
      <c r="E53" s="5">
        <v>14333.0</v>
      </c>
      <c r="F53" s="3">
        <v>6385089.0</v>
      </c>
      <c r="G53" s="3">
        <v>3.515385789E9</v>
      </c>
      <c r="H53" s="3" t="s">
        <v>27</v>
      </c>
      <c r="I53" s="3" t="s">
        <v>22</v>
      </c>
      <c r="J53" s="3" t="s">
        <v>23</v>
      </c>
      <c r="K53" s="6"/>
      <c r="L53" s="6"/>
      <c r="M53" s="6"/>
      <c r="N53" s="6"/>
      <c r="O53" s="6"/>
      <c r="P53" s="6"/>
      <c r="Q53" s="6"/>
      <c r="R53" s="7" t="str">
        <f>IF(H53="","",VLOOKUP(H53,'Hoja 9'!$A$1:$B$255,2,0))</f>
        <v>BOCA EN BOCA</v>
      </c>
      <c r="S53" s="7">
        <f t="shared" si="1"/>
        <v>2023</v>
      </c>
      <c r="T53" s="7">
        <f t="shared" si="2"/>
        <v>2</v>
      </c>
    </row>
    <row r="54">
      <c r="A54" s="4">
        <v>44959.82011681713</v>
      </c>
      <c r="B54" s="3" t="s">
        <v>186</v>
      </c>
      <c r="C54" s="3" t="s">
        <v>187</v>
      </c>
      <c r="D54" s="3" t="s">
        <v>188</v>
      </c>
      <c r="E54" s="5">
        <v>27145.0</v>
      </c>
      <c r="F54" s="3">
        <v>2.3824551E7</v>
      </c>
      <c r="G54" s="3">
        <v>3.516137697E9</v>
      </c>
      <c r="H54" s="3" t="s">
        <v>189</v>
      </c>
      <c r="I54" s="3" t="s">
        <v>22</v>
      </c>
      <c r="J54" s="3" t="s">
        <v>23</v>
      </c>
      <c r="K54" s="6"/>
      <c r="L54" s="6"/>
      <c r="M54" s="6"/>
      <c r="N54" s="6"/>
      <c r="O54" s="6"/>
      <c r="P54" s="6"/>
      <c r="Q54" s="6"/>
      <c r="R54" s="7" t="str">
        <f>IF(H54="","",VLOOKUP(H54,'Hoja 9'!$A$1:$B$255,2,0))</f>
        <v>BOCA EN BOCA</v>
      </c>
      <c r="S54" s="7">
        <f t="shared" si="1"/>
        <v>2023</v>
      </c>
      <c r="T54" s="7">
        <f t="shared" si="2"/>
        <v>2</v>
      </c>
    </row>
    <row r="55">
      <c r="A55" s="4">
        <v>44959.88307789352</v>
      </c>
      <c r="B55" s="3" t="s">
        <v>190</v>
      </c>
      <c r="C55" s="3" t="s">
        <v>191</v>
      </c>
      <c r="D55" s="3" t="s">
        <v>192</v>
      </c>
      <c r="E55" s="5">
        <v>23655.0</v>
      </c>
      <c r="F55" s="3">
        <v>1.715462E7</v>
      </c>
      <c r="G55" s="3">
        <v>3.513516889E9</v>
      </c>
      <c r="H55" s="3" t="s">
        <v>27</v>
      </c>
      <c r="I55" s="3" t="s">
        <v>28</v>
      </c>
      <c r="R55" s="7" t="str">
        <f>IF(H55="","",VLOOKUP(H55,'Hoja 9'!$A$1:$B$255,2,0))</f>
        <v>BOCA EN BOCA</v>
      </c>
      <c r="S55" s="7">
        <f t="shared" si="1"/>
        <v>2023</v>
      </c>
      <c r="T55" s="7">
        <f t="shared" si="2"/>
        <v>2</v>
      </c>
    </row>
    <row r="56">
      <c r="A56" s="4">
        <v>44960.457987754635</v>
      </c>
      <c r="B56" s="3" t="s">
        <v>193</v>
      </c>
      <c r="C56" s="3" t="s">
        <v>194</v>
      </c>
      <c r="D56" s="3" t="s">
        <v>195</v>
      </c>
      <c r="E56" s="5">
        <v>19122.0</v>
      </c>
      <c r="F56" s="3">
        <v>1.0377891E7</v>
      </c>
      <c r="G56" s="3">
        <v>3.516505375E9</v>
      </c>
      <c r="H56" s="3" t="s">
        <v>44</v>
      </c>
      <c r="I56" s="3" t="s">
        <v>22</v>
      </c>
      <c r="J56" s="3" t="s">
        <v>23</v>
      </c>
      <c r="K56" s="6"/>
      <c r="L56" s="6"/>
      <c r="M56" s="6"/>
      <c r="N56" s="6"/>
      <c r="O56" s="6"/>
      <c r="P56" s="6"/>
      <c r="Q56" s="6"/>
      <c r="R56" s="7" t="str">
        <f>IF(H56="","",VLOOKUP(H56,'Hoja 9'!$A$1:$B$255,2,0))</f>
        <v>GIMNASIO</v>
      </c>
      <c r="S56" s="7">
        <f t="shared" si="1"/>
        <v>2023</v>
      </c>
      <c r="T56" s="7">
        <f t="shared" si="2"/>
        <v>2</v>
      </c>
    </row>
    <row r="57">
      <c r="A57" s="4">
        <v>44960.46383219908</v>
      </c>
      <c r="B57" s="3" t="s">
        <v>196</v>
      </c>
      <c r="C57" s="3" t="s">
        <v>197</v>
      </c>
      <c r="D57" s="3" t="s">
        <v>198</v>
      </c>
      <c r="E57" s="5">
        <v>21135.0</v>
      </c>
      <c r="F57" s="3">
        <v>1.3597824E7</v>
      </c>
      <c r="G57" s="3">
        <v>3.512774033E9</v>
      </c>
      <c r="H57" s="3" t="s">
        <v>27</v>
      </c>
      <c r="I57" s="3" t="s">
        <v>22</v>
      </c>
      <c r="J57" s="3" t="s">
        <v>23</v>
      </c>
      <c r="K57" s="6"/>
      <c r="L57" s="6"/>
      <c r="M57" s="6"/>
      <c r="N57" s="6"/>
      <c r="O57" s="6"/>
      <c r="P57" s="6"/>
      <c r="Q57" s="6"/>
      <c r="R57" s="7" t="str">
        <f>IF(H57="","",VLOOKUP(H57,'Hoja 9'!$A$1:$B$255,2,0))</f>
        <v>BOCA EN BOCA</v>
      </c>
      <c r="S57" s="7">
        <f t="shared" si="1"/>
        <v>2023</v>
      </c>
      <c r="T57" s="7">
        <f t="shared" si="2"/>
        <v>2</v>
      </c>
    </row>
    <row r="58">
      <c r="A58" s="4">
        <v>44964.139727511574</v>
      </c>
      <c r="B58" s="3" t="s">
        <v>199</v>
      </c>
      <c r="C58" s="3" t="s">
        <v>63</v>
      </c>
      <c r="D58" s="3" t="s">
        <v>200</v>
      </c>
      <c r="E58" s="5">
        <v>37330.0</v>
      </c>
      <c r="F58" s="3">
        <v>4.381247E7</v>
      </c>
      <c r="G58" s="3">
        <v>3.51813735E9</v>
      </c>
      <c r="H58" s="3" t="s">
        <v>27</v>
      </c>
      <c r="I58" s="3" t="s">
        <v>28</v>
      </c>
      <c r="R58" s="7" t="str">
        <f>IF(H58="","",VLOOKUP(H58,'Hoja 9'!$A$1:$B$255,2,0))</f>
        <v>BOCA EN BOCA</v>
      </c>
      <c r="S58" s="7">
        <f t="shared" si="1"/>
        <v>2023</v>
      </c>
      <c r="T58" s="7">
        <f t="shared" si="2"/>
        <v>2</v>
      </c>
    </row>
    <row r="59">
      <c r="A59" s="4">
        <v>44964.71296443287</v>
      </c>
      <c r="B59" s="3" t="s">
        <v>201</v>
      </c>
      <c r="C59" s="3" t="s">
        <v>202</v>
      </c>
      <c r="D59" s="3" t="s">
        <v>203</v>
      </c>
      <c r="E59" s="5">
        <v>27999.0</v>
      </c>
      <c r="F59" s="3">
        <v>2.5281585E7</v>
      </c>
      <c r="G59" s="3">
        <v>3.516655602E9</v>
      </c>
      <c r="H59" s="3" t="s">
        <v>21</v>
      </c>
      <c r="I59" s="3" t="s">
        <v>28</v>
      </c>
      <c r="R59" s="7" t="str">
        <f>IF(H59="","",VLOOKUP(H59,'Hoja 9'!$A$1:$B$255,2,0))</f>
        <v>GOOGLE</v>
      </c>
      <c r="S59" s="7">
        <f t="shared" si="1"/>
        <v>2023</v>
      </c>
      <c r="T59" s="7">
        <f t="shared" si="2"/>
        <v>2</v>
      </c>
    </row>
    <row r="60">
      <c r="A60" s="4">
        <v>44964.886004699074</v>
      </c>
      <c r="B60" s="3" t="s">
        <v>204</v>
      </c>
      <c r="C60" s="3" t="s">
        <v>205</v>
      </c>
      <c r="D60" s="3" t="s">
        <v>206</v>
      </c>
      <c r="E60" s="5">
        <v>34699.0</v>
      </c>
      <c r="F60" s="3">
        <v>3.8645431E7</v>
      </c>
      <c r="G60" s="3">
        <v>3.517590683E9</v>
      </c>
      <c r="H60" s="3" t="s">
        <v>27</v>
      </c>
      <c r="I60" s="3" t="s">
        <v>22</v>
      </c>
      <c r="J60" s="3" t="s">
        <v>149</v>
      </c>
      <c r="K60" s="6"/>
      <c r="L60" s="6"/>
      <c r="M60" s="6"/>
      <c r="N60" s="6"/>
      <c r="O60" s="6"/>
      <c r="P60" s="6"/>
      <c r="Q60" s="6"/>
      <c r="R60" s="7" t="str">
        <f>IF(H60="","",VLOOKUP(H60,'Hoja 9'!$A$1:$B$255,2,0))</f>
        <v>BOCA EN BOCA</v>
      </c>
      <c r="S60" s="7">
        <f t="shared" si="1"/>
        <v>2023</v>
      </c>
      <c r="T60" s="7">
        <f t="shared" si="2"/>
        <v>2</v>
      </c>
    </row>
    <row r="61">
      <c r="A61" s="4">
        <v>44967.53268866898</v>
      </c>
      <c r="B61" s="3" t="s">
        <v>207</v>
      </c>
      <c r="C61" s="3" t="s">
        <v>208</v>
      </c>
      <c r="D61" s="3" t="s">
        <v>209</v>
      </c>
      <c r="E61" s="5">
        <v>25111.0</v>
      </c>
      <c r="F61" s="3">
        <v>2.0454528E7</v>
      </c>
      <c r="G61" s="3">
        <v>3.515389887E9</v>
      </c>
      <c r="H61" s="3" t="s">
        <v>210</v>
      </c>
      <c r="I61" s="3" t="s">
        <v>28</v>
      </c>
      <c r="R61" s="7" t="str">
        <f>IF(H61="","",VLOOKUP(H61,'Hoja 9'!$A$1:$B$255,2,0))</f>
        <v>GOOGLE</v>
      </c>
      <c r="S61" s="7">
        <f t="shared" si="1"/>
        <v>2023</v>
      </c>
      <c r="T61" s="7">
        <f t="shared" si="2"/>
        <v>2</v>
      </c>
    </row>
    <row r="62">
      <c r="A62" s="4">
        <v>44970.443104895836</v>
      </c>
      <c r="B62" s="3" t="s">
        <v>211</v>
      </c>
      <c r="C62" s="3" t="s">
        <v>212</v>
      </c>
      <c r="D62" s="3" t="s">
        <v>213</v>
      </c>
      <c r="E62" s="5">
        <v>35040.0</v>
      </c>
      <c r="F62" s="3">
        <v>4.0520046E7</v>
      </c>
      <c r="G62" s="3">
        <v>3.51611379E9</v>
      </c>
      <c r="H62" s="3" t="s">
        <v>44</v>
      </c>
      <c r="I62" s="3" t="s">
        <v>28</v>
      </c>
      <c r="R62" s="7" t="str">
        <f>IF(H62="","",VLOOKUP(H62,'Hoja 9'!$A$1:$B$255,2,0))</f>
        <v>GIMNASIO</v>
      </c>
      <c r="S62" s="7">
        <f t="shared" si="1"/>
        <v>2023</v>
      </c>
      <c r="T62" s="7">
        <f t="shared" si="2"/>
        <v>2</v>
      </c>
    </row>
    <row r="63">
      <c r="A63" s="4">
        <v>44970.64905070602</v>
      </c>
      <c r="B63" s="3" t="s">
        <v>214</v>
      </c>
      <c r="C63" s="3" t="s">
        <v>215</v>
      </c>
      <c r="D63" s="3" t="s">
        <v>216</v>
      </c>
      <c r="E63" s="5">
        <v>35949.0</v>
      </c>
      <c r="F63" s="3">
        <v>4.1279824E7</v>
      </c>
      <c r="G63" s="3">
        <v>3.512893805E9</v>
      </c>
      <c r="H63" s="3" t="s">
        <v>148</v>
      </c>
      <c r="I63" s="3" t="s">
        <v>28</v>
      </c>
      <c r="R63" s="7" t="str">
        <f>IF(H63="","",VLOOKUP(H63,'Hoja 9'!$A$1:$B$255,2,0))</f>
        <v>OBRA SOCIAL</v>
      </c>
      <c r="S63" s="7">
        <f t="shared" si="1"/>
        <v>2023</v>
      </c>
      <c r="T63" s="7">
        <f t="shared" si="2"/>
        <v>2</v>
      </c>
    </row>
    <row r="64">
      <c r="A64" s="4">
        <v>44970.799435416666</v>
      </c>
      <c r="B64" s="3" t="s">
        <v>217</v>
      </c>
      <c r="C64" s="3" t="s">
        <v>218</v>
      </c>
      <c r="D64" s="3" t="s">
        <v>219</v>
      </c>
      <c r="E64" s="5">
        <v>33653.0</v>
      </c>
      <c r="F64" s="3">
        <v>3.614798E7</v>
      </c>
      <c r="G64" s="3">
        <v>3.518142452E9</v>
      </c>
      <c r="H64" s="3" t="s">
        <v>27</v>
      </c>
      <c r="I64" s="3" t="s">
        <v>28</v>
      </c>
      <c r="R64" s="7" t="str">
        <f>IF(H64="","",VLOOKUP(H64,'Hoja 9'!$A$1:$B$255,2,0))</f>
        <v>BOCA EN BOCA</v>
      </c>
      <c r="S64" s="7">
        <f t="shared" si="1"/>
        <v>2023</v>
      </c>
      <c r="T64" s="7">
        <f t="shared" si="2"/>
        <v>2</v>
      </c>
    </row>
    <row r="65">
      <c r="A65" s="4">
        <v>44971.42453559028</v>
      </c>
      <c r="B65" s="3" t="s">
        <v>190</v>
      </c>
      <c r="C65" s="3" t="s">
        <v>220</v>
      </c>
      <c r="E65" s="5">
        <v>19629.0</v>
      </c>
      <c r="F65" s="3">
        <v>1.0903673E7</v>
      </c>
      <c r="G65" s="3">
        <v>3.516566224E9</v>
      </c>
      <c r="H65" s="3" t="s">
        <v>21</v>
      </c>
      <c r="I65" s="3" t="s">
        <v>22</v>
      </c>
      <c r="J65" s="3" t="s">
        <v>23</v>
      </c>
      <c r="K65" s="6"/>
      <c r="L65" s="6"/>
      <c r="M65" s="6"/>
      <c r="N65" s="6"/>
      <c r="O65" s="6"/>
      <c r="P65" s="6"/>
      <c r="Q65" s="6"/>
      <c r="R65" s="7" t="str">
        <f>IF(H65="","",VLOOKUP(H65,'Hoja 9'!$A$1:$B$255,2,0))</f>
        <v>GOOGLE</v>
      </c>
      <c r="S65" s="7">
        <f t="shared" si="1"/>
        <v>2023</v>
      </c>
      <c r="T65" s="7">
        <f t="shared" si="2"/>
        <v>2</v>
      </c>
    </row>
    <row r="66">
      <c r="A66" s="4">
        <v>44971.49563456018</v>
      </c>
      <c r="B66" s="3" t="s">
        <v>221</v>
      </c>
      <c r="C66" s="3" t="s">
        <v>222</v>
      </c>
      <c r="D66" s="3" t="s">
        <v>223</v>
      </c>
      <c r="E66" s="5">
        <v>31725.0</v>
      </c>
      <c r="F66" s="3">
        <v>9.5826217E7</v>
      </c>
      <c r="G66" s="3">
        <v>3.513475295E9</v>
      </c>
      <c r="H66" s="3" t="s">
        <v>21</v>
      </c>
      <c r="I66" s="3" t="s">
        <v>28</v>
      </c>
      <c r="R66" s="7" t="str">
        <f>IF(H66="","",VLOOKUP(H66,'Hoja 9'!$A$1:$B$255,2,0))</f>
        <v>GOOGLE</v>
      </c>
      <c r="S66" s="7">
        <f t="shared" si="1"/>
        <v>2023</v>
      </c>
      <c r="T66" s="7">
        <f t="shared" si="2"/>
        <v>2</v>
      </c>
    </row>
    <row r="67">
      <c r="A67" s="4">
        <v>44971.49867100695</v>
      </c>
      <c r="B67" s="3" t="s">
        <v>126</v>
      </c>
      <c r="C67" s="3" t="s">
        <v>224</v>
      </c>
      <c r="D67" s="3" t="s">
        <v>223</v>
      </c>
      <c r="E67" s="5">
        <v>23350.0</v>
      </c>
      <c r="F67" s="3">
        <v>3.9153938E7</v>
      </c>
      <c r="G67" s="3">
        <v>3.513475295E9</v>
      </c>
      <c r="H67" s="3" t="s">
        <v>21</v>
      </c>
      <c r="I67" s="3" t="s">
        <v>28</v>
      </c>
      <c r="R67" s="7" t="str">
        <f>IF(H67="","",VLOOKUP(H67,'Hoja 9'!$A$1:$B$255,2,0))</f>
        <v>GOOGLE</v>
      </c>
      <c r="S67" s="7">
        <f t="shared" si="1"/>
        <v>2023</v>
      </c>
      <c r="T67" s="7">
        <f t="shared" si="2"/>
        <v>2</v>
      </c>
    </row>
    <row r="68">
      <c r="A68" s="4">
        <v>44972.483579259264</v>
      </c>
      <c r="B68" s="3" t="s">
        <v>225</v>
      </c>
      <c r="C68" s="3" t="s">
        <v>185</v>
      </c>
      <c r="D68" s="3" t="s">
        <v>226</v>
      </c>
      <c r="E68" s="5">
        <v>28696.0</v>
      </c>
      <c r="F68" s="3">
        <v>2.6672639E7</v>
      </c>
      <c r="G68" s="3">
        <v>3.51364221E9</v>
      </c>
      <c r="H68" s="3" t="s">
        <v>21</v>
      </c>
      <c r="I68" s="3" t="s">
        <v>28</v>
      </c>
      <c r="R68" s="7" t="str">
        <f>IF(H68="","",VLOOKUP(H68,'Hoja 9'!$A$1:$B$255,2,0))</f>
        <v>GOOGLE</v>
      </c>
      <c r="S68" s="7">
        <f t="shared" si="1"/>
        <v>2023</v>
      </c>
      <c r="T68" s="7">
        <f t="shared" si="2"/>
        <v>2</v>
      </c>
    </row>
    <row r="69">
      <c r="A69" s="4">
        <v>44972.78220511574</v>
      </c>
      <c r="B69" s="3" t="s">
        <v>227</v>
      </c>
      <c r="C69" s="3" t="s">
        <v>228</v>
      </c>
      <c r="D69" s="3" t="s">
        <v>229</v>
      </c>
      <c r="E69" s="5">
        <v>21530.0</v>
      </c>
      <c r="F69" s="3">
        <v>1.2671913E7</v>
      </c>
      <c r="G69" s="3">
        <v>3.515415895E9</v>
      </c>
      <c r="H69" s="3" t="s">
        <v>44</v>
      </c>
      <c r="I69" s="3" t="s">
        <v>28</v>
      </c>
      <c r="R69" s="7" t="str">
        <f>IF(H69="","",VLOOKUP(H69,'Hoja 9'!$A$1:$B$255,2,0))</f>
        <v>GIMNASIO</v>
      </c>
      <c r="S69" s="7">
        <f t="shared" si="1"/>
        <v>2023</v>
      </c>
      <c r="T69" s="7">
        <f t="shared" si="2"/>
        <v>2</v>
      </c>
    </row>
    <row r="70">
      <c r="A70" s="4">
        <v>44972.796466747684</v>
      </c>
      <c r="B70" s="3" t="s">
        <v>230</v>
      </c>
      <c r="C70" s="3" t="s">
        <v>78</v>
      </c>
      <c r="D70" s="3" t="s">
        <v>231</v>
      </c>
      <c r="E70" s="5">
        <v>31862.0</v>
      </c>
      <c r="F70" s="3">
        <v>3.292517E7</v>
      </c>
      <c r="G70" s="3">
        <v>3.515131485E9</v>
      </c>
      <c r="H70" s="3" t="s">
        <v>27</v>
      </c>
      <c r="I70" s="3" t="s">
        <v>28</v>
      </c>
      <c r="R70" s="7" t="str">
        <f>IF(H70="","",VLOOKUP(H70,'Hoja 9'!$A$1:$B$255,2,0))</f>
        <v>BOCA EN BOCA</v>
      </c>
      <c r="S70" s="7">
        <f t="shared" si="1"/>
        <v>2023</v>
      </c>
      <c r="T70" s="7">
        <f t="shared" si="2"/>
        <v>2</v>
      </c>
    </row>
    <row r="71">
      <c r="A71" s="4">
        <v>44974.513292488424</v>
      </c>
      <c r="B71" s="3" t="s">
        <v>232</v>
      </c>
      <c r="C71" s="3" t="s">
        <v>60</v>
      </c>
      <c r="D71" s="3" t="s">
        <v>233</v>
      </c>
      <c r="E71" s="5">
        <v>30214.0</v>
      </c>
      <c r="F71" s="3">
        <v>2.9706314E7</v>
      </c>
      <c r="G71" s="3">
        <v>3.516870843E9</v>
      </c>
      <c r="H71" s="3" t="s">
        <v>27</v>
      </c>
      <c r="I71" s="3" t="s">
        <v>22</v>
      </c>
      <c r="J71" s="3" t="s">
        <v>234</v>
      </c>
      <c r="K71" s="6"/>
      <c r="L71" s="6"/>
      <c r="M71" s="6"/>
      <c r="N71" s="6"/>
      <c r="O71" s="6"/>
      <c r="P71" s="6"/>
      <c r="Q71" s="6"/>
      <c r="R71" s="7" t="str">
        <f>IF(H71="","",VLOOKUP(H71,'Hoja 9'!$A$1:$B$255,2,0))</f>
        <v>BOCA EN BOCA</v>
      </c>
      <c r="S71" s="7">
        <f t="shared" si="1"/>
        <v>2023</v>
      </c>
      <c r="T71" s="7">
        <f t="shared" si="2"/>
        <v>2</v>
      </c>
    </row>
    <row r="72">
      <c r="A72" s="4">
        <v>44978.72340721065</v>
      </c>
      <c r="B72" s="3" t="s">
        <v>235</v>
      </c>
      <c r="C72" s="3" t="s">
        <v>236</v>
      </c>
      <c r="D72" s="3" t="s">
        <v>237</v>
      </c>
      <c r="E72" s="5">
        <v>32509.0</v>
      </c>
      <c r="F72" s="3">
        <v>3.4130395E7</v>
      </c>
      <c r="G72" s="3">
        <v>3.513887184E9</v>
      </c>
      <c r="H72" s="3" t="s">
        <v>21</v>
      </c>
      <c r="I72" s="3" t="s">
        <v>28</v>
      </c>
      <c r="R72" s="7" t="str">
        <f>IF(H72="","",VLOOKUP(H72,'Hoja 9'!$A$1:$B$255,2,0))</f>
        <v>GOOGLE</v>
      </c>
      <c r="S72" s="7">
        <f t="shared" si="1"/>
        <v>2023</v>
      </c>
      <c r="T72" s="7">
        <f t="shared" si="2"/>
        <v>2</v>
      </c>
    </row>
    <row r="73">
      <c r="A73" s="4">
        <v>44978.8018878125</v>
      </c>
      <c r="B73" s="3" t="s">
        <v>238</v>
      </c>
      <c r="C73" s="3" t="s">
        <v>239</v>
      </c>
      <c r="D73" s="3" t="s">
        <v>240</v>
      </c>
      <c r="E73" s="5">
        <v>35500.0</v>
      </c>
      <c r="F73" s="3">
        <v>4.0248804E7</v>
      </c>
      <c r="G73" s="3">
        <v>3.515331363E9</v>
      </c>
      <c r="H73" s="3" t="s">
        <v>44</v>
      </c>
      <c r="I73" s="3" t="s">
        <v>22</v>
      </c>
      <c r="J73" s="3" t="s">
        <v>72</v>
      </c>
      <c r="K73" s="6"/>
      <c r="L73" s="6"/>
      <c r="M73" s="6"/>
      <c r="N73" s="6"/>
      <c r="O73" s="6"/>
      <c r="P73" s="6"/>
      <c r="Q73" s="6"/>
      <c r="R73" s="7" t="str">
        <f>IF(H73="","",VLOOKUP(H73,'Hoja 9'!$A$1:$B$255,2,0))</f>
        <v>GIMNASIO</v>
      </c>
      <c r="S73" s="7">
        <f t="shared" si="1"/>
        <v>2023</v>
      </c>
      <c r="T73" s="7">
        <f t="shared" si="2"/>
        <v>2</v>
      </c>
    </row>
    <row r="74">
      <c r="A74" s="4">
        <v>44979.69197722222</v>
      </c>
      <c r="B74" s="3" t="s">
        <v>241</v>
      </c>
      <c r="C74" s="3" t="s">
        <v>242</v>
      </c>
      <c r="D74" s="3" t="s">
        <v>243</v>
      </c>
      <c r="E74" s="5">
        <v>34072.0</v>
      </c>
      <c r="F74" s="3">
        <v>3.7476306E7</v>
      </c>
      <c r="G74" s="3">
        <v>3.517060825E9</v>
      </c>
      <c r="H74" s="3" t="s">
        <v>244</v>
      </c>
      <c r="I74" s="3" t="s">
        <v>28</v>
      </c>
      <c r="R74" s="7" t="str">
        <f>IF(H74="","",VLOOKUP(H74,'Hoja 9'!$A$1:$B$255,2,0))</f>
        <v>META</v>
      </c>
      <c r="S74" s="7">
        <f t="shared" si="1"/>
        <v>2023</v>
      </c>
      <c r="T74" s="7">
        <f t="shared" si="2"/>
        <v>2</v>
      </c>
    </row>
    <row r="75">
      <c r="A75" s="4">
        <v>44979.80101303241</v>
      </c>
      <c r="B75" s="3" t="s">
        <v>245</v>
      </c>
      <c r="C75" s="3" t="s">
        <v>246</v>
      </c>
      <c r="D75" s="3" t="s">
        <v>247</v>
      </c>
      <c r="E75" s="5">
        <v>28653.0</v>
      </c>
      <c r="F75" s="3">
        <v>2.6484703E7</v>
      </c>
      <c r="G75" s="3">
        <v>3.516324625E9</v>
      </c>
      <c r="H75" s="3" t="s">
        <v>44</v>
      </c>
      <c r="I75" s="3" t="s">
        <v>22</v>
      </c>
      <c r="J75" s="3" t="s">
        <v>248</v>
      </c>
      <c r="K75" s="6"/>
      <c r="L75" s="6"/>
      <c r="M75" s="6"/>
      <c r="N75" s="6"/>
      <c r="O75" s="6"/>
      <c r="P75" s="6"/>
      <c r="Q75" s="6"/>
      <c r="R75" s="7" t="str">
        <f>IF(H75="","",VLOOKUP(H75,'Hoja 9'!$A$1:$B$255,2,0))</f>
        <v>GIMNASIO</v>
      </c>
      <c r="S75" s="7">
        <f t="shared" si="1"/>
        <v>2023</v>
      </c>
      <c r="T75" s="7">
        <f t="shared" si="2"/>
        <v>2</v>
      </c>
    </row>
    <row r="76">
      <c r="A76" s="4">
        <v>44985.69754150463</v>
      </c>
      <c r="B76" s="3" t="s">
        <v>249</v>
      </c>
      <c r="C76" s="3" t="s">
        <v>250</v>
      </c>
      <c r="D76" s="3" t="s">
        <v>251</v>
      </c>
      <c r="E76" s="5">
        <v>31031.0</v>
      </c>
      <c r="F76" s="3">
        <v>3.1187943E7</v>
      </c>
      <c r="G76" s="3">
        <v>3.51633059E9</v>
      </c>
      <c r="H76" s="3" t="s">
        <v>27</v>
      </c>
      <c r="I76" s="3" t="s">
        <v>28</v>
      </c>
      <c r="R76" s="7" t="str">
        <f>IF(H76="","",VLOOKUP(H76,'Hoja 9'!$A$1:$B$255,2,0))</f>
        <v>BOCA EN BOCA</v>
      </c>
      <c r="S76" s="7">
        <f t="shared" si="1"/>
        <v>2023</v>
      </c>
      <c r="T76" s="7">
        <f t="shared" si="2"/>
        <v>2</v>
      </c>
    </row>
    <row r="77">
      <c r="A77" s="4">
        <v>44986.3589996875</v>
      </c>
      <c r="B77" s="3" t="s">
        <v>80</v>
      </c>
      <c r="C77" s="3" t="s">
        <v>252</v>
      </c>
      <c r="D77" s="3" t="s">
        <v>253</v>
      </c>
      <c r="E77" s="5">
        <v>36796.0</v>
      </c>
      <c r="F77" s="3">
        <v>4.2892997E7</v>
      </c>
      <c r="G77" s="3">
        <v>3.512024838E9</v>
      </c>
      <c r="H77" s="3" t="s">
        <v>27</v>
      </c>
      <c r="I77" s="3" t="s">
        <v>28</v>
      </c>
      <c r="R77" s="7" t="str">
        <f>IF(H77="","",VLOOKUP(H77,'Hoja 9'!$A$1:$B$255,2,0))</f>
        <v>BOCA EN BOCA</v>
      </c>
      <c r="S77" s="7">
        <f t="shared" si="1"/>
        <v>2023</v>
      </c>
      <c r="T77" s="7">
        <f t="shared" si="2"/>
        <v>3</v>
      </c>
    </row>
    <row r="78">
      <c r="A78" s="4">
        <v>44986.4743349537</v>
      </c>
      <c r="B78" s="3" t="s">
        <v>254</v>
      </c>
      <c r="C78" s="3" t="s">
        <v>255</v>
      </c>
      <c r="D78" s="3" t="s">
        <v>256</v>
      </c>
      <c r="E78" s="5">
        <v>26826.0</v>
      </c>
      <c r="F78" s="3">
        <v>2.3198663E7</v>
      </c>
      <c r="G78" s="3">
        <v>3.516520221E9</v>
      </c>
      <c r="H78" s="3" t="s">
        <v>27</v>
      </c>
      <c r="I78" s="3" t="s">
        <v>22</v>
      </c>
      <c r="J78" s="3" t="s">
        <v>72</v>
      </c>
      <c r="K78" s="6"/>
      <c r="L78" s="6"/>
      <c r="M78" s="6"/>
      <c r="N78" s="6"/>
      <c r="O78" s="6"/>
      <c r="P78" s="6"/>
      <c r="Q78" s="6"/>
      <c r="R78" s="7" t="str">
        <f>IF(H78="","",VLOOKUP(H78,'Hoja 9'!$A$1:$B$255,2,0))</f>
        <v>BOCA EN BOCA</v>
      </c>
      <c r="S78" s="7">
        <f t="shared" si="1"/>
        <v>2023</v>
      </c>
      <c r="T78" s="7">
        <f t="shared" si="2"/>
        <v>3</v>
      </c>
    </row>
    <row r="79">
      <c r="A79" s="4">
        <v>44986.644390914356</v>
      </c>
      <c r="B79" s="3" t="s">
        <v>257</v>
      </c>
      <c r="C79" s="3" t="s">
        <v>258</v>
      </c>
      <c r="D79" s="3" t="s">
        <v>259</v>
      </c>
      <c r="E79" s="5">
        <v>21195.0</v>
      </c>
      <c r="F79" s="3">
        <v>1.2270859E7</v>
      </c>
      <c r="G79" s="3">
        <v>3.516608455E9</v>
      </c>
      <c r="H79" s="3" t="s">
        <v>44</v>
      </c>
      <c r="I79" s="3" t="s">
        <v>22</v>
      </c>
      <c r="J79" s="3" t="s">
        <v>260</v>
      </c>
      <c r="K79" s="6"/>
      <c r="L79" s="6"/>
      <c r="M79" s="6"/>
      <c r="N79" s="6"/>
      <c r="O79" s="6"/>
      <c r="P79" s="6"/>
      <c r="Q79" s="6"/>
      <c r="R79" s="7" t="str">
        <f>IF(H79="","",VLOOKUP(H79,'Hoja 9'!$A$1:$B$255,2,0))</f>
        <v>GIMNASIO</v>
      </c>
      <c r="S79" s="7">
        <f t="shared" si="1"/>
        <v>2023</v>
      </c>
      <c r="T79" s="7">
        <f t="shared" si="2"/>
        <v>3</v>
      </c>
    </row>
    <row r="80">
      <c r="A80" s="4">
        <v>44986.80322581019</v>
      </c>
      <c r="B80" s="3" t="s">
        <v>261</v>
      </c>
      <c r="C80" s="3" t="s">
        <v>262</v>
      </c>
      <c r="D80" s="3" t="s">
        <v>263</v>
      </c>
      <c r="E80" s="5">
        <v>31671.0</v>
      </c>
      <c r="F80" s="3">
        <v>3.2518805E7</v>
      </c>
      <c r="G80" s="3">
        <v>3.512466755E9</v>
      </c>
      <c r="H80" s="3" t="s">
        <v>21</v>
      </c>
      <c r="I80" s="3" t="s">
        <v>28</v>
      </c>
      <c r="R80" s="7" t="str">
        <f>IF(H80="","",VLOOKUP(H80,'Hoja 9'!$A$1:$B$255,2,0))</f>
        <v>GOOGLE</v>
      </c>
      <c r="S80" s="7">
        <f t="shared" si="1"/>
        <v>2023</v>
      </c>
      <c r="T80" s="7">
        <f t="shared" si="2"/>
        <v>3</v>
      </c>
    </row>
    <row r="81">
      <c r="A81" s="4">
        <v>44987.38946446759</v>
      </c>
      <c r="B81" s="3" t="s">
        <v>264</v>
      </c>
      <c r="C81" s="3" t="s">
        <v>265</v>
      </c>
      <c r="D81" s="3" t="s">
        <v>266</v>
      </c>
      <c r="E81" s="5">
        <v>34895.0</v>
      </c>
      <c r="F81" s="3">
        <v>3.9072489E7</v>
      </c>
      <c r="G81" s="3">
        <v>3.517502384E9</v>
      </c>
      <c r="H81" s="3" t="s">
        <v>27</v>
      </c>
      <c r="I81" s="3" t="s">
        <v>22</v>
      </c>
      <c r="J81" s="3" t="s">
        <v>23</v>
      </c>
      <c r="K81" s="6"/>
      <c r="L81" s="6"/>
      <c r="M81" s="6"/>
      <c r="N81" s="6"/>
      <c r="O81" s="6"/>
      <c r="P81" s="6"/>
      <c r="Q81" s="6"/>
      <c r="R81" s="7" t="str">
        <f>IF(H81="","",VLOOKUP(H81,'Hoja 9'!$A$1:$B$255,2,0))</f>
        <v>BOCA EN BOCA</v>
      </c>
      <c r="S81" s="7">
        <f t="shared" si="1"/>
        <v>2023</v>
      </c>
      <c r="T81" s="7">
        <f t="shared" si="2"/>
        <v>3</v>
      </c>
    </row>
    <row r="82">
      <c r="A82" s="4">
        <v>44987.457483125</v>
      </c>
      <c r="B82" s="3" t="s">
        <v>267</v>
      </c>
      <c r="C82" s="3" t="s">
        <v>268</v>
      </c>
      <c r="D82" s="3" t="s">
        <v>269</v>
      </c>
      <c r="E82" s="5">
        <v>31593.0</v>
      </c>
      <c r="F82" s="3">
        <v>3.2372182E7</v>
      </c>
      <c r="G82" s="3">
        <v>3.51347122E9</v>
      </c>
      <c r="H82" s="3" t="s">
        <v>21</v>
      </c>
      <c r="I82" s="3" t="s">
        <v>28</v>
      </c>
      <c r="R82" s="7" t="str">
        <f>IF(H82="","",VLOOKUP(H82,'Hoja 9'!$A$1:$B$255,2,0))</f>
        <v>GOOGLE</v>
      </c>
      <c r="S82" s="7">
        <f t="shared" si="1"/>
        <v>2023</v>
      </c>
      <c r="T82" s="7">
        <f t="shared" si="2"/>
        <v>3</v>
      </c>
    </row>
    <row r="83">
      <c r="A83" s="4">
        <v>44988.74688664352</v>
      </c>
      <c r="B83" s="3" t="s">
        <v>270</v>
      </c>
      <c r="C83" s="3" t="s">
        <v>175</v>
      </c>
      <c r="D83" s="3" t="s">
        <v>271</v>
      </c>
      <c r="E83" s="5">
        <v>25928.0</v>
      </c>
      <c r="F83" s="3">
        <v>2.196721E7</v>
      </c>
      <c r="G83" s="3">
        <v>3.512388424E9</v>
      </c>
      <c r="H83" s="3" t="s">
        <v>21</v>
      </c>
      <c r="I83" s="3" t="s">
        <v>28</v>
      </c>
      <c r="R83" s="7" t="str">
        <f>IF(H83="","",VLOOKUP(H83,'Hoja 9'!$A$1:$B$255,2,0))</f>
        <v>GOOGLE</v>
      </c>
      <c r="S83" s="7">
        <f t="shared" si="1"/>
        <v>2023</v>
      </c>
      <c r="T83" s="7">
        <f t="shared" si="2"/>
        <v>3</v>
      </c>
    </row>
    <row r="84">
      <c r="A84" s="4">
        <v>44991.51030392361</v>
      </c>
      <c r="B84" s="3" t="s">
        <v>272</v>
      </c>
      <c r="C84" s="3" t="s">
        <v>273</v>
      </c>
      <c r="D84" s="3" t="s">
        <v>274</v>
      </c>
      <c r="E84" s="5">
        <v>39526.0</v>
      </c>
      <c r="F84" s="3">
        <v>4.8124818E7</v>
      </c>
      <c r="G84" s="3">
        <v>3.513357046E9</v>
      </c>
      <c r="H84" s="3" t="s">
        <v>21</v>
      </c>
      <c r="I84" s="3" t="s">
        <v>28</v>
      </c>
      <c r="R84" s="7" t="str">
        <f>IF(H84="","",VLOOKUP(H84,'Hoja 9'!$A$1:$B$255,2,0))</f>
        <v>GOOGLE</v>
      </c>
      <c r="S84" s="7">
        <f t="shared" si="1"/>
        <v>2023</v>
      </c>
      <c r="T84" s="7">
        <f t="shared" si="2"/>
        <v>3</v>
      </c>
    </row>
    <row r="85">
      <c r="A85" s="4">
        <v>44991.863355416666</v>
      </c>
      <c r="B85" s="3" t="s">
        <v>275</v>
      </c>
      <c r="C85" s="3" t="s">
        <v>276</v>
      </c>
      <c r="D85" s="3" t="s">
        <v>277</v>
      </c>
      <c r="E85" s="5">
        <v>36204.0</v>
      </c>
      <c r="F85" s="3">
        <v>4.0506846E7</v>
      </c>
      <c r="G85" s="3">
        <v>3.542461695E9</v>
      </c>
      <c r="H85" s="3" t="s">
        <v>27</v>
      </c>
      <c r="I85" s="3" t="s">
        <v>22</v>
      </c>
      <c r="J85" s="3" t="s">
        <v>23</v>
      </c>
      <c r="K85" s="6"/>
      <c r="L85" s="6"/>
      <c r="M85" s="6"/>
      <c r="N85" s="6"/>
      <c r="O85" s="6"/>
      <c r="P85" s="6"/>
      <c r="Q85" s="6"/>
      <c r="R85" s="7" t="str">
        <f>IF(H85="","",VLOOKUP(H85,'Hoja 9'!$A$1:$B$255,2,0))</f>
        <v>BOCA EN BOCA</v>
      </c>
      <c r="S85" s="7">
        <f t="shared" si="1"/>
        <v>2023</v>
      </c>
      <c r="T85" s="7">
        <f t="shared" si="2"/>
        <v>3</v>
      </c>
    </row>
    <row r="86">
      <c r="A86" s="4">
        <v>44992.49794803241</v>
      </c>
      <c r="B86" s="3" t="s">
        <v>278</v>
      </c>
      <c r="C86" s="3" t="s">
        <v>279</v>
      </c>
      <c r="D86" s="3" t="s">
        <v>280</v>
      </c>
      <c r="E86" s="5">
        <v>32925.0</v>
      </c>
      <c r="F86" s="3">
        <v>3.5054004E7</v>
      </c>
      <c r="G86" s="3">
        <v>3.513792102E9</v>
      </c>
      <c r="H86" s="3" t="s">
        <v>21</v>
      </c>
      <c r="I86" s="3" t="s">
        <v>22</v>
      </c>
      <c r="J86" s="3" t="s">
        <v>58</v>
      </c>
      <c r="K86" s="6"/>
      <c r="L86" s="6"/>
      <c r="M86" s="6"/>
      <c r="N86" s="6"/>
      <c r="O86" s="6"/>
      <c r="P86" s="6"/>
      <c r="Q86" s="6"/>
      <c r="R86" s="7" t="str">
        <f>IF(H86="","",VLOOKUP(H86,'Hoja 9'!$A$1:$B$255,2,0))</f>
        <v>GOOGLE</v>
      </c>
      <c r="S86" s="7">
        <f t="shared" si="1"/>
        <v>2023</v>
      </c>
      <c r="T86" s="7">
        <f t="shared" si="2"/>
        <v>3</v>
      </c>
    </row>
    <row r="87">
      <c r="A87" s="4">
        <v>44992.868745520835</v>
      </c>
      <c r="B87" s="3" t="s">
        <v>281</v>
      </c>
      <c r="C87" s="3" t="s">
        <v>282</v>
      </c>
      <c r="D87" s="3" t="s">
        <v>283</v>
      </c>
      <c r="E87" s="5">
        <v>34460.0</v>
      </c>
      <c r="F87" s="3">
        <v>3.8183134E7</v>
      </c>
      <c r="G87" s="3">
        <v>3.51533772E9</v>
      </c>
      <c r="H87" s="3" t="s">
        <v>21</v>
      </c>
      <c r="I87" s="3" t="s">
        <v>28</v>
      </c>
      <c r="R87" s="7" t="str">
        <f>IF(H87="","",VLOOKUP(H87,'Hoja 9'!$A$1:$B$255,2,0))</f>
        <v>GOOGLE</v>
      </c>
      <c r="S87" s="7">
        <f t="shared" si="1"/>
        <v>2023</v>
      </c>
      <c r="T87" s="7">
        <f t="shared" si="2"/>
        <v>3</v>
      </c>
    </row>
    <row r="88">
      <c r="A88" s="4">
        <v>44993.77411267361</v>
      </c>
      <c r="B88" s="3" t="s">
        <v>284</v>
      </c>
      <c r="C88" s="3" t="s">
        <v>285</v>
      </c>
      <c r="D88" s="3" t="s">
        <v>286</v>
      </c>
      <c r="E88" s="5">
        <v>21433.0</v>
      </c>
      <c r="F88" s="3">
        <v>1.2613243E7</v>
      </c>
      <c r="G88" s="3">
        <v>3.515435327E9</v>
      </c>
      <c r="H88" s="3" t="s">
        <v>27</v>
      </c>
      <c r="I88" s="3" t="s">
        <v>22</v>
      </c>
      <c r="J88" s="3" t="s">
        <v>287</v>
      </c>
      <c r="K88" s="6"/>
      <c r="L88" s="6"/>
      <c r="M88" s="6"/>
      <c r="N88" s="6"/>
      <c r="O88" s="6"/>
      <c r="P88" s="6"/>
      <c r="Q88" s="6"/>
      <c r="R88" s="7" t="str">
        <f>IF(H88="","",VLOOKUP(H88,'Hoja 9'!$A$1:$B$255,2,0))</f>
        <v>BOCA EN BOCA</v>
      </c>
      <c r="S88" s="7">
        <f t="shared" si="1"/>
        <v>2023</v>
      </c>
      <c r="T88" s="7">
        <f t="shared" si="2"/>
        <v>3</v>
      </c>
    </row>
    <row r="89">
      <c r="A89" s="4">
        <v>44998.42286020833</v>
      </c>
      <c r="B89" s="3" t="s">
        <v>288</v>
      </c>
      <c r="C89" s="3" t="s">
        <v>289</v>
      </c>
      <c r="D89" s="3" t="s">
        <v>290</v>
      </c>
      <c r="E89" s="5">
        <v>35542.0</v>
      </c>
      <c r="F89" s="3">
        <v>4.0203248E7</v>
      </c>
      <c r="G89" s="3">
        <v>3.522400613E9</v>
      </c>
      <c r="H89" s="3" t="s">
        <v>27</v>
      </c>
      <c r="I89" s="3" t="s">
        <v>22</v>
      </c>
      <c r="J89" s="3" t="s">
        <v>291</v>
      </c>
      <c r="K89" s="6"/>
      <c r="L89" s="6"/>
      <c r="M89" s="6"/>
      <c r="N89" s="6"/>
      <c r="O89" s="6"/>
      <c r="P89" s="6"/>
      <c r="Q89" s="6"/>
      <c r="R89" s="7" t="str">
        <f>IF(H89="","",VLOOKUP(H89,'Hoja 9'!$A$1:$B$255,2,0))</f>
        <v>BOCA EN BOCA</v>
      </c>
      <c r="S89" s="7">
        <f t="shared" si="1"/>
        <v>2023</v>
      </c>
      <c r="T89" s="7">
        <f t="shared" si="2"/>
        <v>3</v>
      </c>
    </row>
    <row r="90">
      <c r="A90" s="4">
        <v>44999.481721979166</v>
      </c>
      <c r="B90" s="3" t="s">
        <v>292</v>
      </c>
      <c r="C90" s="3" t="s">
        <v>293</v>
      </c>
      <c r="D90" s="3" t="s">
        <v>294</v>
      </c>
      <c r="E90" s="5">
        <v>26823.0</v>
      </c>
      <c r="F90" s="3">
        <v>2.3458302E7</v>
      </c>
      <c r="G90" s="3">
        <v>3.513537495E9</v>
      </c>
      <c r="H90" s="3" t="s">
        <v>21</v>
      </c>
      <c r="I90" s="3" t="s">
        <v>28</v>
      </c>
      <c r="R90" s="7" t="str">
        <f>IF(H90="","",VLOOKUP(H90,'Hoja 9'!$A$1:$B$255,2,0))</f>
        <v>GOOGLE</v>
      </c>
      <c r="S90" s="7">
        <f t="shared" si="1"/>
        <v>2023</v>
      </c>
      <c r="T90" s="7">
        <f t="shared" si="2"/>
        <v>3</v>
      </c>
    </row>
    <row r="91">
      <c r="A91" s="4">
        <v>45005.43750789352</v>
      </c>
      <c r="B91" s="3" t="s">
        <v>295</v>
      </c>
      <c r="C91" s="3" t="s">
        <v>296</v>
      </c>
      <c r="D91" s="3" t="s">
        <v>297</v>
      </c>
      <c r="E91" s="5">
        <v>31219.0</v>
      </c>
      <c r="F91" s="3">
        <v>3.1669854E7</v>
      </c>
      <c r="G91" s="3">
        <v>3.51374666E9</v>
      </c>
      <c r="H91" s="3" t="s">
        <v>44</v>
      </c>
      <c r="I91" s="3" t="s">
        <v>22</v>
      </c>
      <c r="J91" s="3" t="s">
        <v>149</v>
      </c>
      <c r="K91" s="6"/>
      <c r="L91" s="6"/>
      <c r="M91" s="6"/>
      <c r="N91" s="6"/>
      <c r="O91" s="6"/>
      <c r="P91" s="6"/>
      <c r="Q91" s="6"/>
      <c r="R91" s="7" t="str">
        <f>IF(H91="","",VLOOKUP(H91,'Hoja 9'!$A$1:$B$255,2,0))</f>
        <v>GIMNASIO</v>
      </c>
      <c r="S91" s="7">
        <f t="shared" si="1"/>
        <v>2023</v>
      </c>
      <c r="T91" s="7">
        <f t="shared" si="2"/>
        <v>3</v>
      </c>
    </row>
    <row r="92">
      <c r="A92" s="4">
        <v>45005.454570208334</v>
      </c>
      <c r="B92" s="3" t="s">
        <v>298</v>
      </c>
      <c r="C92" s="3" t="s">
        <v>299</v>
      </c>
      <c r="D92" s="3" t="s">
        <v>300</v>
      </c>
      <c r="E92" s="5">
        <v>36598.0</v>
      </c>
      <c r="F92" s="3">
        <v>4.2383051E7</v>
      </c>
      <c r="G92" s="3">
        <v>3.517680758E9</v>
      </c>
      <c r="H92" s="3" t="s">
        <v>148</v>
      </c>
      <c r="I92" s="3" t="s">
        <v>22</v>
      </c>
      <c r="J92" s="3" t="s">
        <v>149</v>
      </c>
      <c r="K92" s="6"/>
      <c r="L92" s="6"/>
      <c r="M92" s="6"/>
      <c r="N92" s="6"/>
      <c r="O92" s="6"/>
      <c r="P92" s="6"/>
      <c r="Q92" s="6"/>
      <c r="R92" s="7" t="str">
        <f>IF(H92="","",VLOOKUP(H92,'Hoja 9'!$A$1:$B$255,2,0))</f>
        <v>OBRA SOCIAL</v>
      </c>
      <c r="S92" s="7">
        <f t="shared" si="1"/>
        <v>2023</v>
      </c>
      <c r="T92" s="7">
        <f t="shared" si="2"/>
        <v>3</v>
      </c>
    </row>
    <row r="93">
      <c r="A93" s="4">
        <v>45005.548009328704</v>
      </c>
      <c r="B93" s="3" t="s">
        <v>301</v>
      </c>
      <c r="C93" s="3" t="s">
        <v>302</v>
      </c>
      <c r="D93" s="3" t="s">
        <v>303</v>
      </c>
      <c r="E93" s="5">
        <v>24935.0</v>
      </c>
      <c r="F93" s="3">
        <v>2.0346063E7</v>
      </c>
      <c r="G93" s="3">
        <v>3.513854962E9</v>
      </c>
      <c r="H93" s="3" t="s">
        <v>27</v>
      </c>
      <c r="I93" s="3" t="s">
        <v>28</v>
      </c>
      <c r="R93" s="7" t="str">
        <f>IF(H93="","",VLOOKUP(H93,'Hoja 9'!$A$1:$B$255,2,0))</f>
        <v>BOCA EN BOCA</v>
      </c>
      <c r="S93" s="7">
        <f t="shared" si="1"/>
        <v>2023</v>
      </c>
      <c r="T93" s="7">
        <f t="shared" si="2"/>
        <v>3</v>
      </c>
    </row>
    <row r="94">
      <c r="A94" s="4">
        <v>45005.79444863426</v>
      </c>
      <c r="B94" s="3" t="s">
        <v>304</v>
      </c>
      <c r="C94" s="3" t="s">
        <v>305</v>
      </c>
      <c r="D94" s="3" t="s">
        <v>306</v>
      </c>
      <c r="E94" s="5">
        <v>39119.0</v>
      </c>
      <c r="F94" s="3">
        <v>4.766264E7</v>
      </c>
      <c r="G94" s="3">
        <v>3.518069982E9</v>
      </c>
      <c r="H94" s="3" t="s">
        <v>21</v>
      </c>
      <c r="I94" s="3" t="s">
        <v>28</v>
      </c>
      <c r="R94" s="7" t="str">
        <f>IF(H94="","",VLOOKUP(H94,'Hoja 9'!$A$1:$B$255,2,0))</f>
        <v>GOOGLE</v>
      </c>
      <c r="S94" s="7">
        <f t="shared" si="1"/>
        <v>2023</v>
      </c>
      <c r="T94" s="7">
        <f t="shared" si="2"/>
        <v>3</v>
      </c>
    </row>
    <row r="95">
      <c r="A95" s="4">
        <v>45006.65512877315</v>
      </c>
      <c r="B95" s="3" t="s">
        <v>307</v>
      </c>
      <c r="C95" s="3" t="s">
        <v>308</v>
      </c>
      <c r="D95" s="3" t="s">
        <v>309</v>
      </c>
      <c r="E95" s="5">
        <v>25511.0</v>
      </c>
      <c r="F95" s="3">
        <v>2.1013856E7</v>
      </c>
      <c r="G95" s="3">
        <v>3.513242191E9</v>
      </c>
      <c r="H95" s="3" t="s">
        <v>244</v>
      </c>
      <c r="I95" s="3" t="s">
        <v>22</v>
      </c>
      <c r="J95" s="3" t="s">
        <v>310</v>
      </c>
      <c r="K95" s="6"/>
      <c r="L95" s="6"/>
      <c r="M95" s="6"/>
      <c r="N95" s="6"/>
      <c r="O95" s="6"/>
      <c r="P95" s="6"/>
      <c r="Q95" s="6"/>
      <c r="R95" s="7" t="str">
        <f>IF(H95="","",VLOOKUP(H95,'Hoja 9'!$A$1:$B$255,2,0))</f>
        <v>META</v>
      </c>
      <c r="S95" s="7">
        <f t="shared" si="1"/>
        <v>2023</v>
      </c>
      <c r="T95" s="7">
        <f t="shared" si="2"/>
        <v>3</v>
      </c>
    </row>
    <row r="96">
      <c r="A96" s="4">
        <v>45007.51839546296</v>
      </c>
      <c r="B96" s="3" t="s">
        <v>311</v>
      </c>
      <c r="C96" s="3" t="s">
        <v>312</v>
      </c>
      <c r="D96" s="3" t="s">
        <v>313</v>
      </c>
      <c r="E96" s="5">
        <v>38540.0</v>
      </c>
      <c r="F96" s="3">
        <v>4.6283518E7</v>
      </c>
      <c r="G96" s="3">
        <v>3.512486914E9</v>
      </c>
      <c r="H96" s="3" t="s">
        <v>244</v>
      </c>
      <c r="I96" s="3" t="s">
        <v>22</v>
      </c>
      <c r="J96" s="3" t="s">
        <v>314</v>
      </c>
      <c r="K96" s="6"/>
      <c r="L96" s="6"/>
      <c r="M96" s="6"/>
      <c r="N96" s="6"/>
      <c r="O96" s="6"/>
      <c r="P96" s="6"/>
      <c r="Q96" s="6"/>
      <c r="R96" s="7" t="str">
        <f>IF(H96="","",VLOOKUP(H96,'Hoja 9'!$A$1:$B$255,2,0))</f>
        <v>META</v>
      </c>
      <c r="S96" s="7">
        <f t="shared" si="1"/>
        <v>2023</v>
      </c>
      <c r="T96" s="7">
        <f t="shared" si="2"/>
        <v>3</v>
      </c>
    </row>
    <row r="97">
      <c r="A97" s="4">
        <v>45012.67114975695</v>
      </c>
      <c r="B97" s="3" t="s">
        <v>315</v>
      </c>
      <c r="C97" s="3" t="s">
        <v>299</v>
      </c>
      <c r="D97" s="3" t="s">
        <v>316</v>
      </c>
      <c r="E97" s="5">
        <v>38599.0</v>
      </c>
      <c r="F97" s="3">
        <v>4.6505684E7</v>
      </c>
      <c r="G97" s="3">
        <v>3.516166272E9</v>
      </c>
      <c r="H97" s="3" t="s">
        <v>44</v>
      </c>
      <c r="I97" s="3" t="s">
        <v>28</v>
      </c>
      <c r="R97" s="7" t="str">
        <f>IF(H97="","",VLOOKUP(H97,'Hoja 9'!$A$1:$B$255,2,0))</f>
        <v>GIMNASIO</v>
      </c>
      <c r="S97" s="7">
        <f t="shared" si="1"/>
        <v>2023</v>
      </c>
      <c r="T97" s="7">
        <f t="shared" si="2"/>
        <v>3</v>
      </c>
    </row>
    <row r="98">
      <c r="A98" s="4">
        <v>45012.6758797338</v>
      </c>
      <c r="B98" s="3" t="s">
        <v>317</v>
      </c>
      <c r="C98" s="3" t="s">
        <v>318</v>
      </c>
      <c r="D98" s="3" t="s">
        <v>319</v>
      </c>
      <c r="E98" s="5">
        <v>36516.0</v>
      </c>
      <c r="F98" s="3">
        <v>4.2208997E7</v>
      </c>
      <c r="G98" s="3">
        <v>2.23541444E9</v>
      </c>
      <c r="H98" s="3" t="s">
        <v>27</v>
      </c>
      <c r="I98" s="3" t="s">
        <v>28</v>
      </c>
      <c r="R98" s="7" t="str">
        <f>IF(H98="","",VLOOKUP(H98,'Hoja 9'!$A$1:$B$255,2,0))</f>
        <v>BOCA EN BOCA</v>
      </c>
      <c r="S98" s="7">
        <f t="shared" si="1"/>
        <v>2023</v>
      </c>
      <c r="T98" s="7">
        <f t="shared" si="2"/>
        <v>3</v>
      </c>
    </row>
    <row r="99">
      <c r="A99" s="4">
        <v>45012.80351534722</v>
      </c>
      <c r="B99" s="3" t="s">
        <v>320</v>
      </c>
      <c r="C99" s="3" t="s">
        <v>321</v>
      </c>
      <c r="D99" s="3" t="s">
        <v>322</v>
      </c>
      <c r="E99" s="5">
        <v>37294.0</v>
      </c>
      <c r="F99" s="3">
        <v>4.3879802E7</v>
      </c>
      <c r="G99" s="3">
        <v>3.515485039E9</v>
      </c>
      <c r="H99" s="3" t="s">
        <v>44</v>
      </c>
      <c r="I99" s="3" t="s">
        <v>28</v>
      </c>
      <c r="R99" s="7" t="str">
        <f>IF(H99="","",VLOOKUP(H99,'Hoja 9'!$A$1:$B$255,2,0))</f>
        <v>GIMNASIO</v>
      </c>
      <c r="S99" s="7">
        <f t="shared" si="1"/>
        <v>2023</v>
      </c>
      <c r="T99" s="7">
        <f t="shared" si="2"/>
        <v>3</v>
      </c>
    </row>
    <row r="100">
      <c r="A100" s="4">
        <v>45013.836459143524</v>
      </c>
      <c r="B100" s="3" t="s">
        <v>323</v>
      </c>
      <c r="C100" s="3" t="s">
        <v>324</v>
      </c>
      <c r="D100" s="3" t="s">
        <v>325</v>
      </c>
      <c r="E100" s="5">
        <v>29889.0</v>
      </c>
      <c r="F100" s="3">
        <v>2.9136743E7</v>
      </c>
      <c r="G100" s="3">
        <v>3.517582118E9</v>
      </c>
      <c r="H100" s="3" t="s">
        <v>44</v>
      </c>
      <c r="I100" s="3" t="s">
        <v>22</v>
      </c>
      <c r="J100" s="3" t="s">
        <v>326</v>
      </c>
      <c r="K100" s="6"/>
      <c r="L100" s="6"/>
      <c r="M100" s="6"/>
      <c r="N100" s="6"/>
      <c r="O100" s="6"/>
      <c r="P100" s="6"/>
      <c r="Q100" s="6"/>
      <c r="R100" s="7" t="str">
        <f>IF(H100="","",VLOOKUP(H100,'Hoja 9'!$A$1:$B$255,2,0))</f>
        <v>GIMNASIO</v>
      </c>
      <c r="S100" s="7">
        <f t="shared" si="1"/>
        <v>2023</v>
      </c>
      <c r="T100" s="7">
        <f t="shared" si="2"/>
        <v>3</v>
      </c>
    </row>
    <row r="101">
      <c r="A101" s="4">
        <v>45013.846242824075</v>
      </c>
      <c r="B101" s="3" t="s">
        <v>327</v>
      </c>
      <c r="C101" s="3" t="s">
        <v>328</v>
      </c>
      <c r="D101" s="3" t="s">
        <v>329</v>
      </c>
      <c r="E101" s="5">
        <v>33267.0</v>
      </c>
      <c r="F101" s="3">
        <v>3.5575473E7</v>
      </c>
      <c r="G101" s="3">
        <v>3.543310724E9</v>
      </c>
      <c r="H101" s="3" t="s">
        <v>27</v>
      </c>
      <c r="I101" s="3" t="s">
        <v>28</v>
      </c>
      <c r="R101" s="7" t="str">
        <f>IF(H101="","",VLOOKUP(H101,'Hoja 9'!$A$1:$B$255,2,0))</f>
        <v>BOCA EN BOCA</v>
      </c>
      <c r="S101" s="7">
        <f t="shared" si="1"/>
        <v>2023</v>
      </c>
      <c r="T101" s="7">
        <f t="shared" si="2"/>
        <v>3</v>
      </c>
    </row>
    <row r="102">
      <c r="A102" s="4">
        <v>45014.65210908565</v>
      </c>
      <c r="B102" s="3" t="s">
        <v>330</v>
      </c>
      <c r="C102" s="3" t="s">
        <v>331</v>
      </c>
      <c r="D102" s="3" t="s">
        <v>332</v>
      </c>
      <c r="E102" s="5">
        <v>18833.0</v>
      </c>
      <c r="F102" s="3">
        <v>6683127.0</v>
      </c>
      <c r="G102" s="3">
        <v>3.572528274E9</v>
      </c>
      <c r="H102" s="3" t="s">
        <v>27</v>
      </c>
      <c r="I102" s="3" t="s">
        <v>22</v>
      </c>
      <c r="J102" s="3" t="s">
        <v>68</v>
      </c>
      <c r="K102" s="6"/>
      <c r="L102" s="6"/>
      <c r="M102" s="6"/>
      <c r="N102" s="6"/>
      <c r="O102" s="6"/>
      <c r="P102" s="6"/>
      <c r="Q102" s="6"/>
      <c r="R102" s="7" t="str">
        <f>IF(H102="","",VLOOKUP(H102,'Hoja 9'!$A$1:$B$255,2,0))</f>
        <v>BOCA EN BOCA</v>
      </c>
      <c r="S102" s="7">
        <f t="shared" si="1"/>
        <v>2023</v>
      </c>
      <c r="T102" s="7">
        <f t="shared" si="2"/>
        <v>3</v>
      </c>
    </row>
    <row r="103">
      <c r="A103" s="4">
        <v>45014.83136165509</v>
      </c>
      <c r="B103" s="3" t="s">
        <v>333</v>
      </c>
      <c r="C103" s="3" t="s">
        <v>334</v>
      </c>
      <c r="D103" s="3" t="s">
        <v>335</v>
      </c>
      <c r="E103" s="5">
        <v>28415.0</v>
      </c>
      <c r="F103" s="3">
        <v>2.6178254E7</v>
      </c>
      <c r="G103" s="3">
        <v>3.515916832E9</v>
      </c>
      <c r="H103" s="3" t="s">
        <v>21</v>
      </c>
      <c r="I103" s="3" t="s">
        <v>22</v>
      </c>
      <c r="J103" s="3" t="s">
        <v>287</v>
      </c>
      <c r="K103" s="6"/>
      <c r="L103" s="6"/>
      <c r="M103" s="6"/>
      <c r="N103" s="6"/>
      <c r="O103" s="6"/>
      <c r="P103" s="6"/>
      <c r="Q103" s="6"/>
      <c r="R103" s="7" t="str">
        <f>IF(H103="","",VLOOKUP(H103,'Hoja 9'!$A$1:$B$255,2,0))</f>
        <v>GOOGLE</v>
      </c>
      <c r="S103" s="7">
        <f t="shared" si="1"/>
        <v>2023</v>
      </c>
      <c r="T103" s="7">
        <f t="shared" si="2"/>
        <v>3</v>
      </c>
    </row>
    <row r="104">
      <c r="A104" s="4">
        <v>45015.688734641204</v>
      </c>
      <c r="B104" s="3" t="s">
        <v>336</v>
      </c>
      <c r="C104" s="3" t="s">
        <v>337</v>
      </c>
      <c r="D104" s="3" t="s">
        <v>338</v>
      </c>
      <c r="E104" s="5">
        <v>33718.0</v>
      </c>
      <c r="F104" s="3">
        <v>3.6234317E7</v>
      </c>
      <c r="G104" s="3">
        <v>3.512194317E9</v>
      </c>
      <c r="H104" s="3" t="s">
        <v>339</v>
      </c>
      <c r="I104" s="3" t="s">
        <v>28</v>
      </c>
      <c r="R104" s="7" t="str">
        <f>IF(H104="","",VLOOKUP(H104,'Hoja 9'!$A$1:$B$255,2,0))</f>
        <v>META</v>
      </c>
      <c r="S104" s="7">
        <f t="shared" si="1"/>
        <v>2023</v>
      </c>
      <c r="T104" s="7">
        <f t="shared" si="2"/>
        <v>3</v>
      </c>
    </row>
    <row r="105">
      <c r="A105" s="4">
        <v>45017.49172958333</v>
      </c>
      <c r="B105" s="3" t="s">
        <v>340</v>
      </c>
      <c r="C105" s="3" t="s">
        <v>341</v>
      </c>
      <c r="D105" s="3" t="s">
        <v>342</v>
      </c>
      <c r="E105" s="5">
        <v>16036.0</v>
      </c>
      <c r="F105" s="3">
        <v>6393584.0</v>
      </c>
      <c r="G105" s="3">
        <v>3.514765141E9</v>
      </c>
      <c r="H105" s="3" t="s">
        <v>21</v>
      </c>
      <c r="I105" s="3" t="s">
        <v>28</v>
      </c>
      <c r="R105" s="7" t="str">
        <f>IF(H105="","",VLOOKUP(H105,'Hoja 9'!$A$1:$B$255,2,0))</f>
        <v>GOOGLE</v>
      </c>
      <c r="S105" s="7">
        <f t="shared" si="1"/>
        <v>2023</v>
      </c>
      <c r="T105" s="7">
        <f t="shared" si="2"/>
        <v>4</v>
      </c>
    </row>
    <row r="106">
      <c r="A106" s="4">
        <v>45019.51244925926</v>
      </c>
      <c r="B106" s="3" t="s">
        <v>343</v>
      </c>
      <c r="C106" s="3" t="s">
        <v>344</v>
      </c>
      <c r="D106" s="3" t="s">
        <v>345</v>
      </c>
      <c r="E106" s="5">
        <v>31404.0</v>
      </c>
      <c r="F106" s="3">
        <v>3.209941E7</v>
      </c>
      <c r="G106" s="3">
        <v>3.517451367E9</v>
      </c>
      <c r="H106" s="3" t="s">
        <v>27</v>
      </c>
      <c r="I106" s="3" t="s">
        <v>22</v>
      </c>
      <c r="J106" s="3" t="s">
        <v>346</v>
      </c>
      <c r="K106" s="6"/>
      <c r="L106" s="6"/>
      <c r="M106" s="6"/>
      <c r="N106" s="6"/>
      <c r="O106" s="6"/>
      <c r="P106" s="6"/>
      <c r="Q106" s="6"/>
      <c r="R106" s="7" t="str">
        <f>IF(H106="","",VLOOKUP(H106,'Hoja 9'!$A$1:$B$255,2,0))</f>
        <v>BOCA EN BOCA</v>
      </c>
      <c r="S106" s="7">
        <f t="shared" si="1"/>
        <v>2023</v>
      </c>
      <c r="T106" s="7">
        <f t="shared" si="2"/>
        <v>4</v>
      </c>
    </row>
    <row r="107">
      <c r="A107" s="4">
        <v>45019.5541484375</v>
      </c>
      <c r="B107" s="3" t="s">
        <v>347</v>
      </c>
      <c r="C107" s="3" t="s">
        <v>348</v>
      </c>
      <c r="D107" s="3" t="s">
        <v>349</v>
      </c>
      <c r="E107" s="5">
        <v>36152.0</v>
      </c>
      <c r="F107" s="3">
        <v>4.2691545E7</v>
      </c>
      <c r="G107" s="3">
        <v>3.515170701E9</v>
      </c>
      <c r="H107" s="3" t="s">
        <v>27</v>
      </c>
      <c r="I107" s="3" t="s">
        <v>28</v>
      </c>
      <c r="R107" s="7" t="str">
        <f>IF(H107="","",VLOOKUP(H107,'Hoja 9'!$A$1:$B$255,2,0))</f>
        <v>BOCA EN BOCA</v>
      </c>
      <c r="S107" s="7">
        <f t="shared" si="1"/>
        <v>2023</v>
      </c>
      <c r="T107" s="7">
        <f t="shared" si="2"/>
        <v>4</v>
      </c>
    </row>
    <row r="108">
      <c r="A108" s="4">
        <v>45019.57328881945</v>
      </c>
      <c r="B108" s="3" t="s">
        <v>350</v>
      </c>
      <c r="C108" s="3" t="s">
        <v>351</v>
      </c>
      <c r="D108" s="3" t="s">
        <v>352</v>
      </c>
      <c r="E108" s="5">
        <v>37171.0</v>
      </c>
      <c r="F108" s="3">
        <v>4.3560849E7</v>
      </c>
      <c r="G108" s="3">
        <v>3.513959141E9</v>
      </c>
      <c r="H108" s="3" t="s">
        <v>21</v>
      </c>
      <c r="I108" s="3" t="s">
        <v>28</v>
      </c>
      <c r="R108" s="7" t="str">
        <f>IF(H108="","",VLOOKUP(H108,'Hoja 9'!$A$1:$B$255,2,0))</f>
        <v>GOOGLE</v>
      </c>
      <c r="S108" s="7">
        <f t="shared" si="1"/>
        <v>2023</v>
      </c>
      <c r="T108" s="7">
        <f t="shared" si="2"/>
        <v>4</v>
      </c>
    </row>
    <row r="109">
      <c r="A109" s="4">
        <v>45019.63999538195</v>
      </c>
      <c r="B109" s="3" t="s">
        <v>353</v>
      </c>
      <c r="C109" s="3" t="s">
        <v>354</v>
      </c>
      <c r="D109" s="3" t="s">
        <v>355</v>
      </c>
      <c r="E109" s="5">
        <v>45019.0</v>
      </c>
      <c r="F109" s="3">
        <v>2.707724E7</v>
      </c>
      <c r="G109" s="3">
        <v>3.515165404E9</v>
      </c>
      <c r="H109" s="3" t="s">
        <v>27</v>
      </c>
      <c r="I109" s="3" t="s">
        <v>28</v>
      </c>
      <c r="R109" s="7" t="str">
        <f>IF(H109="","",VLOOKUP(H109,'Hoja 9'!$A$1:$B$255,2,0))</f>
        <v>BOCA EN BOCA</v>
      </c>
      <c r="S109" s="7">
        <f t="shared" si="1"/>
        <v>2023</v>
      </c>
      <c r="T109" s="7">
        <f t="shared" si="2"/>
        <v>4</v>
      </c>
    </row>
    <row r="110">
      <c r="A110" s="4">
        <v>45019.66563600695</v>
      </c>
      <c r="B110" s="3" t="s">
        <v>356</v>
      </c>
      <c r="C110" s="3" t="s">
        <v>357</v>
      </c>
      <c r="D110" s="3" t="s">
        <v>358</v>
      </c>
      <c r="E110" s="5">
        <v>38395.0</v>
      </c>
      <c r="F110" s="3">
        <v>4.6309945E7</v>
      </c>
      <c r="G110" s="3">
        <v>3.516524747E9</v>
      </c>
      <c r="H110" s="3" t="s">
        <v>27</v>
      </c>
      <c r="I110" s="3" t="s">
        <v>22</v>
      </c>
      <c r="J110" s="3" t="s">
        <v>359</v>
      </c>
      <c r="K110" s="6"/>
      <c r="L110" s="6"/>
      <c r="M110" s="6"/>
      <c r="N110" s="6"/>
      <c r="O110" s="6"/>
      <c r="P110" s="6"/>
      <c r="Q110" s="6"/>
      <c r="R110" s="7" t="str">
        <f>IF(H110="","",VLOOKUP(H110,'Hoja 9'!$A$1:$B$255,2,0))</f>
        <v>BOCA EN BOCA</v>
      </c>
      <c r="S110" s="7">
        <f t="shared" si="1"/>
        <v>2023</v>
      </c>
      <c r="T110" s="7">
        <f t="shared" si="2"/>
        <v>4</v>
      </c>
    </row>
    <row r="111">
      <c r="A111" s="4">
        <v>45019.79656123843</v>
      </c>
      <c r="B111" s="3" t="s">
        <v>360</v>
      </c>
      <c r="C111" s="3" t="s">
        <v>361</v>
      </c>
      <c r="D111" s="3" t="s">
        <v>362</v>
      </c>
      <c r="E111" s="5">
        <v>26253.0</v>
      </c>
      <c r="F111" s="3">
        <v>2.2361234E7</v>
      </c>
      <c r="G111" s="3">
        <v>3.518196953E9</v>
      </c>
      <c r="H111" s="3" t="s">
        <v>21</v>
      </c>
      <c r="I111" s="3" t="s">
        <v>28</v>
      </c>
      <c r="R111" s="7" t="str">
        <f>IF(H111="","",VLOOKUP(H111,'Hoja 9'!$A$1:$B$255,2,0))</f>
        <v>GOOGLE</v>
      </c>
      <c r="S111" s="7">
        <f t="shared" si="1"/>
        <v>2023</v>
      </c>
      <c r="T111" s="7">
        <f t="shared" si="2"/>
        <v>4</v>
      </c>
    </row>
    <row r="112">
      <c r="A112" s="4">
        <v>45019.91267430555</v>
      </c>
      <c r="B112" s="3" t="s">
        <v>363</v>
      </c>
      <c r="C112" s="3" t="s">
        <v>364</v>
      </c>
      <c r="D112" s="3" t="s">
        <v>365</v>
      </c>
      <c r="E112" s="5">
        <v>36262.0</v>
      </c>
      <c r="F112" s="3">
        <v>4.1697667E7</v>
      </c>
      <c r="G112" s="3">
        <v>3.522650239E9</v>
      </c>
      <c r="H112" s="3" t="s">
        <v>27</v>
      </c>
      <c r="I112" s="3" t="s">
        <v>22</v>
      </c>
      <c r="J112" s="3" t="s">
        <v>23</v>
      </c>
      <c r="K112" s="6"/>
      <c r="L112" s="6"/>
      <c r="M112" s="6"/>
      <c r="N112" s="6"/>
      <c r="O112" s="6"/>
      <c r="P112" s="6"/>
      <c r="Q112" s="6"/>
      <c r="R112" s="7" t="str">
        <f>IF(H112="","",VLOOKUP(H112,'Hoja 9'!$A$1:$B$255,2,0))</f>
        <v>BOCA EN BOCA</v>
      </c>
      <c r="S112" s="7">
        <f t="shared" si="1"/>
        <v>2023</v>
      </c>
      <c r="T112" s="7">
        <f t="shared" si="2"/>
        <v>4</v>
      </c>
    </row>
    <row r="113">
      <c r="A113" s="4">
        <v>45020.59384480324</v>
      </c>
      <c r="B113" s="3" t="s">
        <v>340</v>
      </c>
      <c r="C113" s="3" t="s">
        <v>366</v>
      </c>
      <c r="D113" s="3" t="s">
        <v>367</v>
      </c>
      <c r="E113" s="5">
        <v>36084.0</v>
      </c>
      <c r="F113" s="3">
        <v>4.160042E7</v>
      </c>
      <c r="G113" s="3">
        <v>3.541644433E9</v>
      </c>
      <c r="H113" s="3" t="s">
        <v>21</v>
      </c>
      <c r="I113" s="3" t="s">
        <v>28</v>
      </c>
      <c r="R113" s="7" t="str">
        <f>IF(H113="","",VLOOKUP(H113,'Hoja 9'!$A$1:$B$255,2,0))</f>
        <v>GOOGLE</v>
      </c>
      <c r="S113" s="7">
        <f t="shared" si="1"/>
        <v>2023</v>
      </c>
      <c r="T113" s="7">
        <f t="shared" si="2"/>
        <v>4</v>
      </c>
    </row>
    <row r="114">
      <c r="A114" s="4">
        <v>45021.72223018519</v>
      </c>
      <c r="B114" s="3" t="s">
        <v>368</v>
      </c>
      <c r="C114" s="3" t="s">
        <v>46</v>
      </c>
      <c r="D114" s="3" t="s">
        <v>369</v>
      </c>
      <c r="E114" s="5">
        <v>21846.0</v>
      </c>
      <c r="F114" s="3">
        <v>1.3682442E7</v>
      </c>
      <c r="G114" s="3">
        <v>3.513878291E9</v>
      </c>
      <c r="H114" s="3" t="s">
        <v>44</v>
      </c>
      <c r="I114" s="3" t="s">
        <v>28</v>
      </c>
      <c r="R114" s="7" t="str">
        <f>IF(H114="","",VLOOKUP(H114,'Hoja 9'!$A$1:$B$255,2,0))</f>
        <v>GIMNASIO</v>
      </c>
      <c r="S114" s="7">
        <f t="shared" si="1"/>
        <v>2023</v>
      </c>
      <c r="T114" s="7">
        <f t="shared" si="2"/>
        <v>4</v>
      </c>
    </row>
    <row r="115">
      <c r="A115" s="4">
        <v>45021.81251253472</v>
      </c>
      <c r="B115" s="3" t="s">
        <v>370</v>
      </c>
      <c r="C115" s="3" t="s">
        <v>371</v>
      </c>
      <c r="D115" s="3" t="s">
        <v>372</v>
      </c>
      <c r="E115" s="5">
        <v>28411.0</v>
      </c>
      <c r="F115" s="3">
        <v>2.6178025E7</v>
      </c>
      <c r="G115" s="3">
        <v>3.512261804E9</v>
      </c>
      <c r="H115" s="3" t="s">
        <v>44</v>
      </c>
      <c r="I115" s="3" t="s">
        <v>22</v>
      </c>
      <c r="J115" s="3" t="s">
        <v>287</v>
      </c>
      <c r="K115" s="6"/>
      <c r="L115" s="6"/>
      <c r="M115" s="6"/>
      <c r="N115" s="6"/>
      <c r="O115" s="6"/>
      <c r="P115" s="6"/>
      <c r="Q115" s="6"/>
      <c r="R115" s="7" t="str">
        <f>IF(H115="","",VLOOKUP(H115,'Hoja 9'!$A$1:$B$255,2,0))</f>
        <v>GIMNASIO</v>
      </c>
      <c r="S115" s="7">
        <f t="shared" si="1"/>
        <v>2023</v>
      </c>
      <c r="T115" s="7">
        <f t="shared" si="2"/>
        <v>4</v>
      </c>
    </row>
    <row r="116">
      <c r="A116" s="4">
        <v>45026.4407315162</v>
      </c>
      <c r="B116" s="3" t="s">
        <v>373</v>
      </c>
      <c r="C116" s="3" t="s">
        <v>78</v>
      </c>
      <c r="D116" s="3" t="s">
        <v>374</v>
      </c>
      <c r="E116" s="5">
        <v>45026.0</v>
      </c>
      <c r="F116" s="3">
        <v>3.4850736E7</v>
      </c>
      <c r="G116" s="3">
        <v>3.512350238E9</v>
      </c>
      <c r="H116" s="3" t="s">
        <v>21</v>
      </c>
      <c r="I116" s="3" t="s">
        <v>22</v>
      </c>
      <c r="J116" s="3" t="s">
        <v>375</v>
      </c>
      <c r="K116" s="6"/>
      <c r="L116" s="6"/>
      <c r="M116" s="6"/>
      <c r="N116" s="6"/>
      <c r="O116" s="6"/>
      <c r="P116" s="6"/>
      <c r="Q116" s="6"/>
      <c r="R116" s="7" t="str">
        <f>IF(H116="","",VLOOKUP(H116,'Hoja 9'!$A$1:$B$255,2,0))</f>
        <v>GOOGLE</v>
      </c>
      <c r="S116" s="7">
        <f t="shared" si="1"/>
        <v>2023</v>
      </c>
      <c r="T116" s="7">
        <f t="shared" si="2"/>
        <v>4</v>
      </c>
    </row>
    <row r="117">
      <c r="A117" s="4">
        <v>45026.61465018518</v>
      </c>
      <c r="B117" s="3" t="s">
        <v>376</v>
      </c>
      <c r="C117" s="3" t="s">
        <v>377</v>
      </c>
      <c r="D117" s="3" t="s">
        <v>378</v>
      </c>
      <c r="E117" s="5">
        <v>37433.0</v>
      </c>
      <c r="F117" s="3">
        <v>4.4193031E7</v>
      </c>
      <c r="G117" s="3">
        <v>3.517184341E9</v>
      </c>
      <c r="H117" s="3" t="s">
        <v>27</v>
      </c>
      <c r="I117" s="3" t="s">
        <v>28</v>
      </c>
      <c r="R117" s="7" t="str">
        <f>IF(H117="","",VLOOKUP(H117,'Hoja 9'!$A$1:$B$255,2,0))</f>
        <v>BOCA EN BOCA</v>
      </c>
      <c r="S117" s="7">
        <f t="shared" si="1"/>
        <v>2023</v>
      </c>
      <c r="T117" s="7">
        <f t="shared" si="2"/>
        <v>4</v>
      </c>
    </row>
    <row r="118">
      <c r="A118" s="4">
        <v>45027.44063747685</v>
      </c>
      <c r="B118" s="3" t="s">
        <v>379</v>
      </c>
      <c r="C118" s="3" t="s">
        <v>380</v>
      </c>
      <c r="D118" s="3" t="s">
        <v>381</v>
      </c>
      <c r="E118" s="5">
        <v>34465.0</v>
      </c>
      <c r="F118" s="3">
        <v>3.8411002E7</v>
      </c>
      <c r="G118" s="3">
        <v>3.647613949E9</v>
      </c>
      <c r="H118" s="3" t="s">
        <v>21</v>
      </c>
      <c r="I118" s="3" t="s">
        <v>28</v>
      </c>
      <c r="R118" s="7" t="str">
        <f>IF(H118="","",VLOOKUP(H118,'Hoja 9'!$A$1:$B$255,2,0))</f>
        <v>GOOGLE</v>
      </c>
      <c r="S118" s="7">
        <f t="shared" si="1"/>
        <v>2023</v>
      </c>
      <c r="T118" s="7">
        <f t="shared" si="2"/>
        <v>4</v>
      </c>
    </row>
    <row r="119">
      <c r="A119" s="4">
        <v>45028.66003791666</v>
      </c>
      <c r="B119" s="3" t="s">
        <v>382</v>
      </c>
      <c r="C119" s="3" t="s">
        <v>383</v>
      </c>
      <c r="D119" s="3" t="s">
        <v>384</v>
      </c>
      <c r="E119" s="5">
        <v>31438.0</v>
      </c>
      <c r="F119" s="3">
        <v>3.2099584E7</v>
      </c>
      <c r="G119" s="3">
        <v>3.513967686E9</v>
      </c>
      <c r="H119" s="3" t="s">
        <v>27</v>
      </c>
      <c r="I119" s="3" t="s">
        <v>22</v>
      </c>
      <c r="J119" s="3" t="s">
        <v>58</v>
      </c>
      <c r="K119" s="6"/>
      <c r="L119" s="6"/>
      <c r="M119" s="6"/>
      <c r="N119" s="6"/>
      <c r="O119" s="6"/>
      <c r="P119" s="6"/>
      <c r="Q119" s="6"/>
      <c r="R119" s="7" t="str">
        <f>IF(H119="","",VLOOKUP(H119,'Hoja 9'!$A$1:$B$255,2,0))</f>
        <v>BOCA EN BOCA</v>
      </c>
      <c r="S119" s="7">
        <f t="shared" si="1"/>
        <v>2023</v>
      </c>
      <c r="T119" s="7">
        <f t="shared" si="2"/>
        <v>4</v>
      </c>
    </row>
    <row r="120">
      <c r="A120" s="4">
        <v>45028.73433228009</v>
      </c>
      <c r="B120" s="3" t="s">
        <v>190</v>
      </c>
      <c r="C120" s="3" t="s">
        <v>385</v>
      </c>
      <c r="D120" s="3" t="s">
        <v>386</v>
      </c>
      <c r="E120" s="5">
        <v>35701.0</v>
      </c>
      <c r="F120" s="3">
        <v>4.0683198E7</v>
      </c>
      <c r="G120" s="3">
        <v>3.512280898E9</v>
      </c>
      <c r="H120" s="3" t="s">
        <v>44</v>
      </c>
      <c r="I120" s="3" t="s">
        <v>22</v>
      </c>
      <c r="J120" s="3" t="s">
        <v>72</v>
      </c>
      <c r="K120" s="6"/>
      <c r="L120" s="6"/>
      <c r="M120" s="6"/>
      <c r="N120" s="6"/>
      <c r="O120" s="6"/>
      <c r="P120" s="6"/>
      <c r="Q120" s="6"/>
      <c r="R120" s="7" t="str">
        <f>IF(H120="","",VLOOKUP(H120,'Hoja 9'!$A$1:$B$255,2,0))</f>
        <v>GIMNASIO</v>
      </c>
      <c r="S120" s="7">
        <f t="shared" si="1"/>
        <v>2023</v>
      </c>
      <c r="T120" s="7">
        <f t="shared" si="2"/>
        <v>4</v>
      </c>
    </row>
    <row r="121">
      <c r="A121" s="4">
        <v>45028.827226099536</v>
      </c>
      <c r="B121" s="3" t="s">
        <v>387</v>
      </c>
      <c r="C121" s="3" t="s">
        <v>388</v>
      </c>
      <c r="D121" s="3" t="s">
        <v>389</v>
      </c>
      <c r="E121" s="5">
        <v>18645.0</v>
      </c>
      <c r="F121" s="3">
        <v>8531201.0</v>
      </c>
      <c r="G121" s="3">
        <v>3.518070833E9</v>
      </c>
      <c r="H121" s="3" t="s">
        <v>27</v>
      </c>
      <c r="I121" s="3" t="s">
        <v>28</v>
      </c>
      <c r="R121" s="7" t="str">
        <f>IF(H121="","",VLOOKUP(H121,'Hoja 9'!$A$1:$B$255,2,0))</f>
        <v>BOCA EN BOCA</v>
      </c>
      <c r="S121" s="7">
        <f t="shared" si="1"/>
        <v>2023</v>
      </c>
      <c r="T121" s="7">
        <f t="shared" si="2"/>
        <v>4</v>
      </c>
    </row>
    <row r="122">
      <c r="A122" s="4">
        <v>45030.45700185186</v>
      </c>
      <c r="B122" s="3" t="s">
        <v>390</v>
      </c>
      <c r="C122" s="3" t="s">
        <v>391</v>
      </c>
      <c r="D122" s="3" t="s">
        <v>392</v>
      </c>
      <c r="E122" s="5">
        <v>33214.0</v>
      </c>
      <c r="F122" s="3">
        <v>3.5572961E7</v>
      </c>
      <c r="G122" s="3">
        <v>3.516427771E9</v>
      </c>
      <c r="H122" s="3" t="s">
        <v>393</v>
      </c>
      <c r="I122" s="3" t="s">
        <v>22</v>
      </c>
      <c r="J122" s="3" t="s">
        <v>23</v>
      </c>
      <c r="K122" s="6"/>
      <c r="L122" s="6"/>
      <c r="M122" s="6"/>
      <c r="N122" s="6"/>
      <c r="O122" s="6"/>
      <c r="P122" s="6"/>
      <c r="Q122" s="6"/>
      <c r="R122" s="7" t="str">
        <f>IF(H122="","",VLOOKUP(H122,'Hoja 9'!$A$1:$B$255,2,0))</f>
        <v>BOCA EN BOCA</v>
      </c>
      <c r="S122" s="7">
        <f t="shared" si="1"/>
        <v>2023</v>
      </c>
      <c r="T122" s="7">
        <f t="shared" si="2"/>
        <v>4</v>
      </c>
    </row>
    <row r="123">
      <c r="A123" s="4">
        <v>45033.7191434375</v>
      </c>
      <c r="B123" s="3" t="s">
        <v>394</v>
      </c>
      <c r="C123" s="3" t="s">
        <v>236</v>
      </c>
      <c r="D123" s="3" t="s">
        <v>395</v>
      </c>
      <c r="E123" s="5">
        <v>34729.0</v>
      </c>
      <c r="F123" s="3">
        <v>3.8647401E7</v>
      </c>
      <c r="G123" s="3">
        <v>3.512012248E9</v>
      </c>
      <c r="H123" s="3" t="s">
        <v>27</v>
      </c>
      <c r="I123" s="3" t="s">
        <v>28</v>
      </c>
      <c r="R123" s="7" t="str">
        <f>IF(H123="","",VLOOKUP(H123,'Hoja 9'!$A$1:$B$255,2,0))</f>
        <v>BOCA EN BOCA</v>
      </c>
      <c r="S123" s="7">
        <f t="shared" si="1"/>
        <v>2023</v>
      </c>
      <c r="T123" s="7">
        <f t="shared" si="2"/>
        <v>4</v>
      </c>
    </row>
    <row r="124">
      <c r="A124" s="4">
        <v>45033.79088586806</v>
      </c>
      <c r="B124" s="3" t="s">
        <v>396</v>
      </c>
      <c r="C124" s="3" t="s">
        <v>321</v>
      </c>
      <c r="D124" s="3" t="s">
        <v>397</v>
      </c>
      <c r="E124" s="5">
        <v>34228.0</v>
      </c>
      <c r="F124" s="3">
        <v>3.7618465E7</v>
      </c>
      <c r="G124" s="3">
        <v>3.513082496E9</v>
      </c>
      <c r="H124" s="3" t="s">
        <v>27</v>
      </c>
      <c r="I124" s="3" t="s">
        <v>22</v>
      </c>
      <c r="J124" s="3" t="s">
        <v>68</v>
      </c>
      <c r="K124" s="6"/>
      <c r="L124" s="6"/>
      <c r="M124" s="6"/>
      <c r="N124" s="6"/>
      <c r="O124" s="6"/>
      <c r="P124" s="6"/>
      <c r="Q124" s="6"/>
      <c r="R124" s="7" t="str">
        <f>IF(H124="","",VLOOKUP(H124,'Hoja 9'!$A$1:$B$255,2,0))</f>
        <v>BOCA EN BOCA</v>
      </c>
      <c r="S124" s="7">
        <f t="shared" si="1"/>
        <v>2023</v>
      </c>
      <c r="T124" s="7">
        <f t="shared" si="2"/>
        <v>4</v>
      </c>
    </row>
    <row r="125">
      <c r="A125" s="4">
        <v>45035.46702273148</v>
      </c>
      <c r="B125" s="3" t="s">
        <v>398</v>
      </c>
      <c r="C125" s="3" t="s">
        <v>111</v>
      </c>
      <c r="E125" s="5">
        <v>16642.0</v>
      </c>
      <c r="F125" s="3">
        <v>5210099.0</v>
      </c>
      <c r="G125" s="3">
        <v>3.512757694E9</v>
      </c>
      <c r="H125" s="3" t="s">
        <v>21</v>
      </c>
      <c r="I125" s="3" t="s">
        <v>22</v>
      </c>
      <c r="J125" s="3" t="s">
        <v>23</v>
      </c>
      <c r="K125" s="6"/>
      <c r="L125" s="6"/>
      <c r="M125" s="6"/>
      <c r="N125" s="6"/>
      <c r="O125" s="6"/>
      <c r="P125" s="6"/>
      <c r="Q125" s="6"/>
      <c r="R125" s="7" t="str">
        <f>IF(H125="","",VLOOKUP(H125,'Hoja 9'!$A$1:$B$255,2,0))</f>
        <v>GOOGLE</v>
      </c>
      <c r="S125" s="7">
        <f t="shared" si="1"/>
        <v>2023</v>
      </c>
      <c r="T125" s="7">
        <f t="shared" si="2"/>
        <v>4</v>
      </c>
    </row>
    <row r="126">
      <c r="A126" s="4">
        <v>45035.8334890625</v>
      </c>
      <c r="B126" s="3" t="s">
        <v>399</v>
      </c>
      <c r="C126" s="3" t="s">
        <v>400</v>
      </c>
      <c r="D126" s="3" t="s">
        <v>401</v>
      </c>
      <c r="E126" s="5">
        <v>24608.0</v>
      </c>
      <c r="F126" s="3">
        <v>1.8568759E7</v>
      </c>
      <c r="G126" s="3">
        <v>3.516208417E9</v>
      </c>
      <c r="H126" s="3" t="s">
        <v>44</v>
      </c>
      <c r="I126" s="3" t="s">
        <v>22</v>
      </c>
      <c r="J126" s="3" t="s">
        <v>23</v>
      </c>
      <c r="K126" s="6"/>
      <c r="L126" s="6"/>
      <c r="M126" s="6"/>
      <c r="N126" s="6"/>
      <c r="O126" s="6"/>
      <c r="P126" s="6"/>
      <c r="Q126" s="6"/>
      <c r="R126" s="7" t="str">
        <f>IF(H126="","",VLOOKUP(H126,'Hoja 9'!$A$1:$B$255,2,0))</f>
        <v>GIMNASIO</v>
      </c>
      <c r="S126" s="7">
        <f t="shared" si="1"/>
        <v>2023</v>
      </c>
      <c r="T126" s="7">
        <f t="shared" si="2"/>
        <v>4</v>
      </c>
    </row>
    <row r="127">
      <c r="A127" s="4">
        <v>45036.72470896991</v>
      </c>
      <c r="B127" s="3" t="s">
        <v>402</v>
      </c>
      <c r="C127" s="3" t="s">
        <v>403</v>
      </c>
      <c r="D127" s="3" t="s">
        <v>404</v>
      </c>
      <c r="E127" s="5">
        <v>39972.0</v>
      </c>
      <c r="F127" s="3">
        <v>4.9555747E7</v>
      </c>
      <c r="G127" s="3">
        <v>3.513565463E9</v>
      </c>
      <c r="H127" s="3" t="s">
        <v>44</v>
      </c>
      <c r="I127" s="3" t="s">
        <v>22</v>
      </c>
      <c r="J127" s="3" t="s">
        <v>23</v>
      </c>
      <c r="K127" s="6"/>
      <c r="L127" s="6"/>
      <c r="M127" s="6"/>
      <c r="N127" s="6"/>
      <c r="O127" s="6"/>
      <c r="P127" s="6"/>
      <c r="Q127" s="6"/>
      <c r="R127" s="7" t="str">
        <f>IF(H127="","",VLOOKUP(H127,'Hoja 9'!$A$1:$B$255,2,0))</f>
        <v>GIMNASIO</v>
      </c>
      <c r="S127" s="7">
        <f t="shared" si="1"/>
        <v>2023</v>
      </c>
      <c r="T127" s="7">
        <f t="shared" si="2"/>
        <v>4</v>
      </c>
    </row>
    <row r="128">
      <c r="A128" s="4">
        <v>45037.46774129629</v>
      </c>
      <c r="B128" s="3" t="s">
        <v>405</v>
      </c>
      <c r="C128" s="3" t="s">
        <v>406</v>
      </c>
      <c r="D128" s="3" t="s">
        <v>407</v>
      </c>
      <c r="E128" s="5">
        <v>35043.0</v>
      </c>
      <c r="F128" s="3">
        <v>3.9421166E7</v>
      </c>
      <c r="G128" s="3">
        <v>3.518061862E9</v>
      </c>
      <c r="H128" s="3" t="s">
        <v>27</v>
      </c>
      <c r="I128" s="3" t="s">
        <v>22</v>
      </c>
      <c r="J128" s="3" t="s">
        <v>408</v>
      </c>
      <c r="K128" s="6"/>
      <c r="L128" s="6"/>
      <c r="M128" s="6"/>
      <c r="N128" s="6"/>
      <c r="O128" s="6"/>
      <c r="P128" s="6"/>
      <c r="Q128" s="6"/>
      <c r="R128" s="7" t="str">
        <f>IF(H128="","",VLOOKUP(H128,'Hoja 9'!$A$1:$B$255,2,0))</f>
        <v>BOCA EN BOCA</v>
      </c>
      <c r="S128" s="7">
        <f t="shared" si="1"/>
        <v>2023</v>
      </c>
      <c r="T128" s="7">
        <f t="shared" si="2"/>
        <v>4</v>
      </c>
    </row>
    <row r="129">
      <c r="A129" s="4">
        <v>45040.46408252315</v>
      </c>
      <c r="B129" s="3" t="s">
        <v>409</v>
      </c>
      <c r="C129" s="3" t="s">
        <v>410</v>
      </c>
      <c r="D129" s="3" t="s">
        <v>411</v>
      </c>
      <c r="E129" s="5">
        <v>38549.0</v>
      </c>
      <c r="F129" s="3">
        <v>4.9863919E7</v>
      </c>
      <c r="G129" s="3">
        <v>3.517691077E9</v>
      </c>
      <c r="H129" s="3" t="s">
        <v>44</v>
      </c>
      <c r="I129" s="3" t="s">
        <v>28</v>
      </c>
      <c r="R129" s="7" t="str">
        <f>IF(H129="","",VLOOKUP(H129,'Hoja 9'!$A$1:$B$255,2,0))</f>
        <v>GIMNASIO</v>
      </c>
      <c r="S129" s="7">
        <f t="shared" si="1"/>
        <v>2023</v>
      </c>
      <c r="T129" s="7">
        <f t="shared" si="2"/>
        <v>4</v>
      </c>
    </row>
    <row r="130">
      <c r="A130" s="4">
        <v>45040.668784988426</v>
      </c>
      <c r="B130" s="3" t="s">
        <v>412</v>
      </c>
      <c r="C130" s="3" t="s">
        <v>413</v>
      </c>
      <c r="D130" s="3" t="s">
        <v>414</v>
      </c>
      <c r="E130" s="5">
        <v>28488.0</v>
      </c>
      <c r="F130" s="3">
        <v>2.6313432E7</v>
      </c>
      <c r="G130" s="3">
        <v>3.516789198E9</v>
      </c>
      <c r="H130" s="3" t="s">
        <v>415</v>
      </c>
      <c r="I130" s="3" t="s">
        <v>28</v>
      </c>
      <c r="R130" s="7" t="str">
        <f>IF(H130="","",VLOOKUP(H130,'Hoja 9'!$A$1:$B$255,2,0))</f>
        <v>GOOGLE</v>
      </c>
      <c r="S130" s="7">
        <f t="shared" si="1"/>
        <v>2023</v>
      </c>
      <c r="T130" s="7">
        <f t="shared" si="2"/>
        <v>4</v>
      </c>
    </row>
    <row r="131">
      <c r="A131" s="4">
        <v>45040.67917108796</v>
      </c>
      <c r="B131" s="3" t="s">
        <v>416</v>
      </c>
      <c r="C131" s="3" t="s">
        <v>417</v>
      </c>
      <c r="D131" s="3" t="s">
        <v>418</v>
      </c>
      <c r="E131" s="5">
        <v>35977.0</v>
      </c>
      <c r="F131" s="3">
        <v>4.1502844E7</v>
      </c>
      <c r="G131" s="3">
        <v>3.765221448E9</v>
      </c>
      <c r="H131" s="3" t="s">
        <v>44</v>
      </c>
      <c r="I131" s="3" t="s">
        <v>28</v>
      </c>
      <c r="R131" s="7" t="str">
        <f>IF(H131="","",VLOOKUP(H131,'Hoja 9'!$A$1:$B$255,2,0))</f>
        <v>GIMNASIO</v>
      </c>
      <c r="S131" s="7">
        <f t="shared" si="1"/>
        <v>2023</v>
      </c>
      <c r="T131" s="7">
        <f t="shared" si="2"/>
        <v>4</v>
      </c>
    </row>
    <row r="132">
      <c r="A132" s="4">
        <v>45041.35484112268</v>
      </c>
      <c r="B132" s="3" t="s">
        <v>419</v>
      </c>
      <c r="C132" s="3" t="s">
        <v>420</v>
      </c>
      <c r="D132" s="3" t="s">
        <v>421</v>
      </c>
      <c r="E132" s="5">
        <v>28464.0</v>
      </c>
      <c r="F132" s="3">
        <v>2.6181107E7</v>
      </c>
      <c r="G132" s="3">
        <v>3.515094262E9</v>
      </c>
      <c r="H132" s="3" t="s">
        <v>339</v>
      </c>
      <c r="I132" s="3" t="s">
        <v>22</v>
      </c>
      <c r="J132" s="3" t="s">
        <v>422</v>
      </c>
      <c r="K132" s="6"/>
      <c r="L132" s="6"/>
      <c r="M132" s="6"/>
      <c r="N132" s="6"/>
      <c r="O132" s="6"/>
      <c r="P132" s="6"/>
      <c r="Q132" s="6"/>
      <c r="R132" s="7" t="str">
        <f>IF(H132="","",VLOOKUP(H132,'Hoja 9'!$A$1:$B$255,2,0))</f>
        <v>META</v>
      </c>
      <c r="S132" s="7">
        <f t="shared" si="1"/>
        <v>2023</v>
      </c>
      <c r="T132" s="7">
        <f t="shared" si="2"/>
        <v>4</v>
      </c>
    </row>
    <row r="133">
      <c r="A133" s="4">
        <v>45041.92086254629</v>
      </c>
      <c r="B133" s="3" t="s">
        <v>190</v>
      </c>
      <c r="C133" s="3" t="s">
        <v>406</v>
      </c>
      <c r="D133" s="3" t="s">
        <v>423</v>
      </c>
      <c r="E133" s="5">
        <v>35598.0</v>
      </c>
      <c r="F133" s="3">
        <v>4.0401993E7</v>
      </c>
      <c r="G133" s="3">
        <v>3.513890655E9</v>
      </c>
      <c r="H133" s="3" t="s">
        <v>27</v>
      </c>
      <c r="I133" s="3" t="s">
        <v>22</v>
      </c>
      <c r="J133" s="3" t="s">
        <v>149</v>
      </c>
      <c r="K133" s="6"/>
      <c r="L133" s="6"/>
      <c r="M133" s="6"/>
      <c r="N133" s="6"/>
      <c r="O133" s="6"/>
      <c r="P133" s="6"/>
      <c r="Q133" s="6"/>
      <c r="R133" s="7" t="str">
        <f>IF(H133="","",VLOOKUP(H133,'Hoja 9'!$A$1:$B$255,2,0))</f>
        <v>BOCA EN BOCA</v>
      </c>
      <c r="S133" s="7">
        <f t="shared" si="1"/>
        <v>2023</v>
      </c>
      <c r="T133" s="7">
        <f t="shared" si="2"/>
        <v>4</v>
      </c>
    </row>
    <row r="134">
      <c r="A134" s="4">
        <v>45042.75548361111</v>
      </c>
      <c r="B134" s="3" t="s">
        <v>424</v>
      </c>
      <c r="C134" s="3" t="s">
        <v>197</v>
      </c>
      <c r="E134" s="5">
        <v>23601.0</v>
      </c>
      <c r="F134" s="3">
        <v>1.6731338E7</v>
      </c>
      <c r="G134" s="3">
        <v>2.964454765E9</v>
      </c>
      <c r="H134" s="3" t="s">
        <v>425</v>
      </c>
      <c r="I134" s="3" t="s">
        <v>28</v>
      </c>
      <c r="R134" s="7" t="str">
        <f>IF(H134="","",VLOOKUP(H134,'Hoja 9'!$A$1:$B$255,2,0))</f>
        <v>BOCA EN BOCA</v>
      </c>
      <c r="S134" s="7">
        <f t="shared" si="1"/>
        <v>2023</v>
      </c>
      <c r="T134" s="7">
        <f t="shared" si="2"/>
        <v>4</v>
      </c>
    </row>
    <row r="135">
      <c r="A135" s="4">
        <v>45043.77888517361</v>
      </c>
      <c r="B135" s="3" t="s">
        <v>94</v>
      </c>
      <c r="C135" s="3" t="s">
        <v>426</v>
      </c>
      <c r="E135" s="5">
        <v>12837.0</v>
      </c>
      <c r="F135" s="3">
        <v>1398602.0</v>
      </c>
      <c r="G135" s="3">
        <v>3.584838207E9</v>
      </c>
      <c r="H135" s="3" t="s">
        <v>27</v>
      </c>
      <c r="I135" s="3" t="s">
        <v>22</v>
      </c>
      <c r="J135" s="3" t="s">
        <v>23</v>
      </c>
      <c r="K135" s="6"/>
      <c r="L135" s="6"/>
      <c r="M135" s="6"/>
      <c r="N135" s="6"/>
      <c r="O135" s="6"/>
      <c r="P135" s="6"/>
      <c r="Q135" s="6"/>
      <c r="R135" s="7" t="str">
        <f>IF(H135="","",VLOOKUP(H135,'Hoja 9'!$A$1:$B$255,2,0))</f>
        <v>BOCA EN BOCA</v>
      </c>
      <c r="S135" s="7">
        <f t="shared" si="1"/>
        <v>2023</v>
      </c>
      <c r="T135" s="7">
        <f t="shared" si="2"/>
        <v>4</v>
      </c>
    </row>
    <row r="136">
      <c r="A136" s="4">
        <v>45043.822263888884</v>
      </c>
      <c r="B136" s="3" t="s">
        <v>427</v>
      </c>
      <c r="C136" s="3" t="s">
        <v>428</v>
      </c>
      <c r="D136" s="3" t="s">
        <v>429</v>
      </c>
      <c r="E136" s="5">
        <v>45037.0</v>
      </c>
      <c r="F136" s="3">
        <v>2.7585767E7</v>
      </c>
      <c r="G136" s="3">
        <v>3.515217761E9</v>
      </c>
      <c r="H136" s="3" t="s">
        <v>27</v>
      </c>
      <c r="I136" s="3" t="s">
        <v>22</v>
      </c>
      <c r="J136" s="3" t="s">
        <v>72</v>
      </c>
      <c r="K136" s="6"/>
      <c r="L136" s="6"/>
      <c r="M136" s="6"/>
      <c r="N136" s="6"/>
      <c r="O136" s="6"/>
      <c r="P136" s="6"/>
      <c r="Q136" s="6"/>
      <c r="R136" s="7" t="str">
        <f>IF(H136="","",VLOOKUP(H136,'Hoja 9'!$A$1:$B$255,2,0))</f>
        <v>BOCA EN BOCA</v>
      </c>
      <c r="S136" s="7">
        <f t="shared" si="1"/>
        <v>2023</v>
      </c>
      <c r="T136" s="7">
        <f t="shared" si="2"/>
        <v>4</v>
      </c>
    </row>
    <row r="137">
      <c r="A137" s="4">
        <v>45044.47807842593</v>
      </c>
      <c r="B137" s="3" t="s">
        <v>430</v>
      </c>
      <c r="C137" s="3" t="s">
        <v>431</v>
      </c>
      <c r="D137" s="3" t="s">
        <v>421</v>
      </c>
      <c r="E137" s="5">
        <v>19873.0</v>
      </c>
      <c r="F137" s="3">
        <v>1.1054167E7</v>
      </c>
      <c r="G137" s="3">
        <v>3.513026863E9</v>
      </c>
      <c r="H137" s="3" t="s">
        <v>27</v>
      </c>
      <c r="I137" s="3" t="s">
        <v>28</v>
      </c>
      <c r="R137" s="7" t="str">
        <f>IF(H137="","",VLOOKUP(H137,'Hoja 9'!$A$1:$B$255,2,0))</f>
        <v>BOCA EN BOCA</v>
      </c>
      <c r="S137" s="7">
        <f t="shared" si="1"/>
        <v>2023</v>
      </c>
      <c r="T137" s="7">
        <f t="shared" si="2"/>
        <v>4</v>
      </c>
    </row>
    <row r="138">
      <c r="A138" s="4">
        <v>45044.77124778935</v>
      </c>
      <c r="B138" s="3" t="s">
        <v>432</v>
      </c>
      <c r="C138" s="3" t="s">
        <v>433</v>
      </c>
      <c r="D138" s="3" t="s">
        <v>434</v>
      </c>
      <c r="E138" s="5">
        <v>28732.0</v>
      </c>
      <c r="F138" s="3">
        <v>2.6815242E7</v>
      </c>
      <c r="G138" s="3">
        <v>3.513918579E9</v>
      </c>
      <c r="H138" s="3" t="s">
        <v>27</v>
      </c>
      <c r="I138" s="3" t="s">
        <v>22</v>
      </c>
      <c r="J138" s="3" t="s">
        <v>287</v>
      </c>
      <c r="K138" s="6"/>
      <c r="L138" s="6"/>
      <c r="M138" s="6"/>
      <c r="N138" s="6"/>
      <c r="O138" s="6"/>
      <c r="P138" s="6"/>
      <c r="Q138" s="6"/>
      <c r="R138" s="7" t="str">
        <f>IF(H138="","",VLOOKUP(H138,'Hoja 9'!$A$1:$B$255,2,0))</f>
        <v>BOCA EN BOCA</v>
      </c>
      <c r="S138" s="7">
        <f t="shared" si="1"/>
        <v>2023</v>
      </c>
      <c r="T138" s="7">
        <f t="shared" si="2"/>
        <v>4</v>
      </c>
    </row>
    <row r="139">
      <c r="A139" s="4">
        <v>45044.80883699074</v>
      </c>
      <c r="B139" s="3" t="s">
        <v>435</v>
      </c>
      <c r="C139" s="3" t="s">
        <v>436</v>
      </c>
      <c r="E139" s="5">
        <v>18748.0</v>
      </c>
      <c r="F139" s="3">
        <v>8625059.0</v>
      </c>
      <c r="G139" s="3">
        <v>3.515462813E9</v>
      </c>
      <c r="H139" s="3" t="s">
        <v>21</v>
      </c>
      <c r="I139" s="3" t="s">
        <v>28</v>
      </c>
      <c r="R139" s="7" t="str">
        <f>IF(H139="","",VLOOKUP(H139,'Hoja 9'!$A$1:$B$255,2,0))</f>
        <v>GOOGLE</v>
      </c>
      <c r="S139" s="7">
        <f t="shared" si="1"/>
        <v>2023</v>
      </c>
      <c r="T139" s="7">
        <f t="shared" si="2"/>
        <v>4</v>
      </c>
    </row>
    <row r="140">
      <c r="A140" s="4">
        <v>45048.63293386574</v>
      </c>
      <c r="B140" s="3" t="s">
        <v>437</v>
      </c>
      <c r="C140" s="3" t="s">
        <v>162</v>
      </c>
      <c r="D140" s="3" t="s">
        <v>438</v>
      </c>
      <c r="E140" s="5">
        <v>25105.0</v>
      </c>
      <c r="F140" s="3">
        <v>2.0531002E7</v>
      </c>
      <c r="G140" s="3">
        <v>3.512860038E9</v>
      </c>
      <c r="H140" s="3" t="s">
        <v>21</v>
      </c>
      <c r="I140" s="3" t="s">
        <v>22</v>
      </c>
      <c r="J140" s="3" t="s">
        <v>439</v>
      </c>
      <c r="K140" s="6"/>
      <c r="L140" s="6"/>
      <c r="M140" s="6"/>
      <c r="N140" s="6"/>
      <c r="O140" s="6"/>
      <c r="P140" s="6"/>
      <c r="Q140" s="6"/>
      <c r="R140" s="7" t="str">
        <f>IF(H140="","",VLOOKUP(H140,'Hoja 9'!$A$1:$B$255,2,0))</f>
        <v>GOOGLE</v>
      </c>
      <c r="S140" s="7">
        <f t="shared" si="1"/>
        <v>2023</v>
      </c>
      <c r="T140" s="7">
        <f t="shared" si="2"/>
        <v>5</v>
      </c>
    </row>
    <row r="141">
      <c r="A141" s="4">
        <v>45048.768085104166</v>
      </c>
      <c r="B141" s="3" t="s">
        <v>440</v>
      </c>
      <c r="C141" s="3" t="s">
        <v>441</v>
      </c>
      <c r="D141" s="3" t="s">
        <v>442</v>
      </c>
      <c r="E141" s="5">
        <v>30580.0</v>
      </c>
      <c r="F141" s="3">
        <v>3.0472452E7</v>
      </c>
      <c r="G141" s="3">
        <v>3.513994011E9</v>
      </c>
      <c r="H141" s="3" t="s">
        <v>244</v>
      </c>
      <c r="I141" s="3" t="s">
        <v>28</v>
      </c>
      <c r="R141" s="7" t="str">
        <f>IF(H141="","",VLOOKUP(H141,'Hoja 9'!$A$1:$B$255,2,0))</f>
        <v>META</v>
      </c>
      <c r="S141" s="7">
        <f t="shared" si="1"/>
        <v>2023</v>
      </c>
      <c r="T141" s="7">
        <f t="shared" si="2"/>
        <v>5</v>
      </c>
    </row>
    <row r="142">
      <c r="A142" s="4">
        <v>45048.81634452546</v>
      </c>
      <c r="B142" s="3" t="s">
        <v>443</v>
      </c>
      <c r="C142" s="3" t="s">
        <v>420</v>
      </c>
      <c r="D142" s="3" t="s">
        <v>444</v>
      </c>
      <c r="E142" s="5">
        <v>28154.0</v>
      </c>
      <c r="F142" s="3">
        <v>2.5247505E7</v>
      </c>
      <c r="G142" s="3">
        <v>3.516515677E9</v>
      </c>
      <c r="H142" s="3" t="s">
        <v>44</v>
      </c>
      <c r="I142" s="3" t="s">
        <v>22</v>
      </c>
      <c r="J142" s="3" t="s">
        <v>72</v>
      </c>
      <c r="K142" s="6"/>
      <c r="L142" s="6"/>
      <c r="M142" s="6"/>
      <c r="N142" s="6"/>
      <c r="O142" s="6"/>
      <c r="P142" s="6"/>
      <c r="Q142" s="6"/>
      <c r="R142" s="7" t="str">
        <f>IF(H142="","",VLOOKUP(H142,'Hoja 9'!$A$1:$B$255,2,0))</f>
        <v>GIMNASIO</v>
      </c>
      <c r="S142" s="7">
        <f t="shared" si="1"/>
        <v>2023</v>
      </c>
      <c r="T142" s="7">
        <f t="shared" si="2"/>
        <v>5</v>
      </c>
    </row>
    <row r="143">
      <c r="A143" s="4">
        <v>45048.87084246528</v>
      </c>
      <c r="B143" s="3" t="s">
        <v>445</v>
      </c>
      <c r="C143" s="3" t="s">
        <v>446</v>
      </c>
      <c r="D143" s="3" t="s">
        <v>447</v>
      </c>
      <c r="E143" s="5">
        <v>45103.0</v>
      </c>
      <c r="F143" s="3">
        <v>1.3680768E7</v>
      </c>
      <c r="G143" s="3">
        <v>3.51617456E9</v>
      </c>
      <c r="H143" s="3" t="s">
        <v>148</v>
      </c>
      <c r="I143" s="3" t="s">
        <v>22</v>
      </c>
      <c r="J143" s="3" t="s">
        <v>58</v>
      </c>
      <c r="K143" s="6"/>
      <c r="L143" s="6"/>
      <c r="M143" s="6"/>
      <c r="N143" s="6"/>
      <c r="O143" s="6"/>
      <c r="P143" s="6"/>
      <c r="Q143" s="6"/>
      <c r="R143" s="7" t="str">
        <f>IF(H143="","",VLOOKUP(H143,'Hoja 9'!$A$1:$B$255,2,0))</f>
        <v>OBRA SOCIAL</v>
      </c>
      <c r="S143" s="7">
        <f t="shared" si="1"/>
        <v>2023</v>
      </c>
      <c r="T143" s="7">
        <f t="shared" si="2"/>
        <v>5</v>
      </c>
    </row>
    <row r="144">
      <c r="A144" s="4">
        <v>45049.69734721065</v>
      </c>
      <c r="B144" s="3" t="s">
        <v>448</v>
      </c>
      <c r="C144" s="3" t="s">
        <v>449</v>
      </c>
      <c r="D144" s="3" t="s">
        <v>450</v>
      </c>
      <c r="E144" s="5">
        <v>34401.0</v>
      </c>
      <c r="F144" s="3">
        <v>3.8136223E7</v>
      </c>
      <c r="G144" s="3">
        <v>3.512127858E9</v>
      </c>
      <c r="H144" s="3" t="s">
        <v>44</v>
      </c>
      <c r="I144" s="3" t="s">
        <v>28</v>
      </c>
      <c r="R144" s="7" t="str">
        <f>IF(H144="","",VLOOKUP(H144,'Hoja 9'!$A$1:$B$255,2,0))</f>
        <v>GIMNASIO</v>
      </c>
      <c r="S144" s="7">
        <f t="shared" si="1"/>
        <v>2023</v>
      </c>
      <c r="T144" s="7">
        <f t="shared" si="2"/>
        <v>5</v>
      </c>
    </row>
    <row r="145">
      <c r="A145" s="4">
        <v>45049.70806740741</v>
      </c>
      <c r="B145" s="3" t="s">
        <v>451</v>
      </c>
      <c r="C145" s="3" t="s">
        <v>452</v>
      </c>
      <c r="D145" s="3" t="s">
        <v>453</v>
      </c>
      <c r="E145" s="5">
        <v>22887.0</v>
      </c>
      <c r="F145" s="3">
        <v>1.6157552E7</v>
      </c>
      <c r="G145" s="3">
        <v>3.515644065E9</v>
      </c>
      <c r="H145" s="3" t="s">
        <v>27</v>
      </c>
      <c r="I145" s="3" t="s">
        <v>22</v>
      </c>
      <c r="J145" s="3" t="s">
        <v>23</v>
      </c>
      <c r="K145" s="6"/>
      <c r="L145" s="6"/>
      <c r="M145" s="6"/>
      <c r="N145" s="6"/>
      <c r="O145" s="6"/>
      <c r="P145" s="6"/>
      <c r="Q145" s="6"/>
      <c r="R145" s="7" t="str">
        <f>IF(H145="","",VLOOKUP(H145,'Hoja 9'!$A$1:$B$255,2,0))</f>
        <v>BOCA EN BOCA</v>
      </c>
      <c r="S145" s="7">
        <f t="shared" si="1"/>
        <v>2023</v>
      </c>
      <c r="T145" s="7">
        <f t="shared" si="2"/>
        <v>5</v>
      </c>
    </row>
    <row r="146">
      <c r="A146" s="4">
        <v>45050.56772409722</v>
      </c>
      <c r="B146" s="3" t="s">
        <v>454</v>
      </c>
      <c r="C146" s="3" t="s">
        <v>92</v>
      </c>
      <c r="D146" s="3" t="s">
        <v>455</v>
      </c>
      <c r="E146" s="5">
        <v>34144.0</v>
      </c>
      <c r="F146" s="3">
        <v>3.7359279E7</v>
      </c>
      <c r="G146" s="3">
        <v>3.517527822E9</v>
      </c>
      <c r="H146" s="3" t="s">
        <v>21</v>
      </c>
      <c r="I146" s="3" t="s">
        <v>22</v>
      </c>
      <c r="J146" s="3" t="s">
        <v>456</v>
      </c>
      <c r="K146" s="6"/>
      <c r="L146" s="6"/>
      <c r="M146" s="6"/>
      <c r="N146" s="6"/>
      <c r="O146" s="6"/>
      <c r="P146" s="6"/>
      <c r="Q146" s="6"/>
      <c r="R146" s="7" t="str">
        <f>IF(H146="","",VLOOKUP(H146,'Hoja 9'!$A$1:$B$255,2,0))</f>
        <v>GOOGLE</v>
      </c>
      <c r="S146" s="7">
        <f t="shared" si="1"/>
        <v>2023</v>
      </c>
      <c r="T146" s="7">
        <f t="shared" si="2"/>
        <v>5</v>
      </c>
    </row>
    <row r="147">
      <c r="A147" s="4">
        <v>45056.666540555554</v>
      </c>
      <c r="B147" s="3" t="s">
        <v>457</v>
      </c>
      <c r="C147" s="3" t="s">
        <v>458</v>
      </c>
      <c r="D147" s="3" t="s">
        <v>459</v>
      </c>
      <c r="E147" s="5">
        <v>23687.0</v>
      </c>
      <c r="F147" s="3">
        <v>1.709954E7</v>
      </c>
      <c r="G147" s="3">
        <v>3.515915922E9</v>
      </c>
      <c r="H147" s="3" t="s">
        <v>21</v>
      </c>
      <c r="I147" s="3" t="s">
        <v>22</v>
      </c>
      <c r="J147" s="3" t="s">
        <v>460</v>
      </c>
      <c r="K147" s="6"/>
      <c r="L147" s="6"/>
      <c r="M147" s="6"/>
      <c r="N147" s="6"/>
      <c r="O147" s="6"/>
      <c r="P147" s="6"/>
      <c r="Q147" s="6"/>
      <c r="R147" s="7" t="str">
        <f>IF(H147="","",VLOOKUP(H147,'Hoja 9'!$A$1:$B$255,2,0))</f>
        <v>GOOGLE</v>
      </c>
      <c r="S147" s="7">
        <f t="shared" si="1"/>
        <v>2023</v>
      </c>
      <c r="T147" s="7">
        <f t="shared" si="2"/>
        <v>5</v>
      </c>
    </row>
    <row r="148">
      <c r="A148" s="4">
        <v>45057.45225765047</v>
      </c>
      <c r="B148" s="3" t="s">
        <v>461</v>
      </c>
      <c r="C148" s="3" t="s">
        <v>60</v>
      </c>
      <c r="D148" s="3" t="s">
        <v>462</v>
      </c>
      <c r="E148" s="5">
        <v>16472.0</v>
      </c>
      <c r="F148" s="3">
        <v>7981772.0</v>
      </c>
      <c r="G148" s="3">
        <v>3.514597882E9</v>
      </c>
      <c r="H148" s="3" t="s">
        <v>463</v>
      </c>
      <c r="I148" s="3" t="s">
        <v>22</v>
      </c>
      <c r="J148" s="3" t="s">
        <v>464</v>
      </c>
      <c r="K148" s="6"/>
      <c r="L148" s="6"/>
      <c r="M148" s="6"/>
      <c r="N148" s="6"/>
      <c r="O148" s="6"/>
      <c r="P148" s="6"/>
      <c r="Q148" s="6"/>
      <c r="R148" s="7" t="str">
        <f>IF(H148="","",VLOOKUP(H148,'Hoja 9'!$A$1:$B$255,2,0))</f>
        <v>BOCA EN BOCA</v>
      </c>
      <c r="S148" s="7">
        <f t="shared" si="1"/>
        <v>2023</v>
      </c>
      <c r="T148" s="7">
        <f t="shared" si="2"/>
        <v>5</v>
      </c>
    </row>
    <row r="149">
      <c r="A149" s="4">
        <v>45057.86763003472</v>
      </c>
      <c r="B149" s="3" t="s">
        <v>465</v>
      </c>
      <c r="C149" s="3" t="s">
        <v>466</v>
      </c>
      <c r="E149" s="5">
        <v>27643.0</v>
      </c>
      <c r="F149" s="3">
        <v>2.4884061E7</v>
      </c>
      <c r="G149" s="3">
        <v>3.515177527E9</v>
      </c>
      <c r="H149" s="3" t="s">
        <v>27</v>
      </c>
      <c r="I149" s="3" t="s">
        <v>22</v>
      </c>
      <c r="J149" s="3" t="s">
        <v>467</v>
      </c>
      <c r="K149" s="6"/>
      <c r="L149" s="6"/>
      <c r="M149" s="6"/>
      <c r="N149" s="6"/>
      <c r="O149" s="6"/>
      <c r="P149" s="6"/>
      <c r="Q149" s="6"/>
      <c r="R149" s="7" t="str">
        <f>IF(H149="","",VLOOKUP(H149,'Hoja 9'!$A$1:$B$255,2,0))</f>
        <v>BOCA EN BOCA</v>
      </c>
      <c r="S149" s="7">
        <f t="shared" si="1"/>
        <v>2023</v>
      </c>
      <c r="T149" s="7">
        <f t="shared" si="2"/>
        <v>5</v>
      </c>
    </row>
    <row r="150">
      <c r="A150" s="4">
        <v>45058.52992828704</v>
      </c>
      <c r="B150" s="3" t="s">
        <v>468</v>
      </c>
      <c r="C150" s="3" t="s">
        <v>469</v>
      </c>
      <c r="D150" s="3" t="s">
        <v>470</v>
      </c>
      <c r="E150" s="5">
        <v>25397.0</v>
      </c>
      <c r="F150" s="3">
        <v>2.0785005E7</v>
      </c>
      <c r="G150" s="3">
        <v>3.515902432E9</v>
      </c>
      <c r="H150" s="3" t="s">
        <v>471</v>
      </c>
      <c r="I150" s="3" t="s">
        <v>22</v>
      </c>
      <c r="J150" s="3" t="s">
        <v>23</v>
      </c>
      <c r="K150" s="6"/>
      <c r="L150" s="6"/>
      <c r="M150" s="6"/>
      <c r="N150" s="6"/>
      <c r="O150" s="6"/>
      <c r="P150" s="6"/>
      <c r="Q150" s="6"/>
      <c r="R150" s="7" t="str">
        <f>IF(H150="","",VLOOKUP(H150,'Hoja 9'!$A$1:$B$255,2,0))</f>
        <v>BOCA EN BOCA</v>
      </c>
      <c r="S150" s="7">
        <f t="shared" si="1"/>
        <v>2023</v>
      </c>
      <c r="T150" s="7">
        <f t="shared" si="2"/>
        <v>5</v>
      </c>
    </row>
    <row r="151">
      <c r="A151" s="4">
        <v>45061.45098267361</v>
      </c>
      <c r="B151" s="3" t="s">
        <v>472</v>
      </c>
      <c r="C151" s="3" t="s">
        <v>473</v>
      </c>
      <c r="D151" s="3" t="s">
        <v>474</v>
      </c>
      <c r="E151" s="5">
        <v>21656.0</v>
      </c>
      <c r="F151" s="3">
        <v>9.2419231E7</v>
      </c>
      <c r="G151" s="3">
        <v>3.51303133E9</v>
      </c>
      <c r="H151" s="3" t="s">
        <v>27</v>
      </c>
      <c r="I151" s="3" t="s">
        <v>22</v>
      </c>
      <c r="J151" s="3" t="s">
        <v>23</v>
      </c>
      <c r="K151" s="6"/>
      <c r="L151" s="6"/>
      <c r="M151" s="6"/>
      <c r="N151" s="6"/>
      <c r="O151" s="6"/>
      <c r="P151" s="6"/>
      <c r="Q151" s="6"/>
      <c r="R151" s="7" t="str">
        <f>IF(H151="","",VLOOKUP(H151,'Hoja 9'!$A$1:$B$255,2,0))</f>
        <v>BOCA EN BOCA</v>
      </c>
      <c r="S151" s="7">
        <f t="shared" si="1"/>
        <v>2023</v>
      </c>
      <c r="T151" s="7">
        <f t="shared" si="2"/>
        <v>5</v>
      </c>
    </row>
    <row r="152">
      <c r="A152" s="4">
        <v>45062.53033746528</v>
      </c>
      <c r="B152" s="3" t="s">
        <v>475</v>
      </c>
      <c r="C152" s="3" t="s">
        <v>476</v>
      </c>
      <c r="D152" s="3" t="s">
        <v>477</v>
      </c>
      <c r="E152" s="5">
        <v>29090.0</v>
      </c>
      <c r="F152" s="3">
        <v>2.7357952E7</v>
      </c>
      <c r="G152" s="3">
        <v>3.513843569E9</v>
      </c>
      <c r="H152" s="3" t="s">
        <v>21</v>
      </c>
      <c r="I152" s="3" t="s">
        <v>22</v>
      </c>
      <c r="J152" s="3" t="s">
        <v>23</v>
      </c>
      <c r="K152" s="6"/>
      <c r="L152" s="6"/>
      <c r="M152" s="6"/>
      <c r="N152" s="6"/>
      <c r="O152" s="6"/>
      <c r="P152" s="6"/>
      <c r="Q152" s="6"/>
      <c r="R152" s="7" t="str">
        <f>IF(H152="","",VLOOKUP(H152,'Hoja 9'!$A$1:$B$255,2,0))</f>
        <v>GOOGLE</v>
      </c>
      <c r="S152" s="7">
        <f t="shared" si="1"/>
        <v>2023</v>
      </c>
      <c r="T152" s="7">
        <f t="shared" si="2"/>
        <v>5</v>
      </c>
    </row>
    <row r="153">
      <c r="A153" s="4">
        <v>45064.69337765046</v>
      </c>
      <c r="B153" s="3" t="s">
        <v>478</v>
      </c>
      <c r="C153" s="3" t="s">
        <v>265</v>
      </c>
      <c r="D153" s="3" t="s">
        <v>479</v>
      </c>
      <c r="E153" s="5">
        <v>32000.0</v>
      </c>
      <c r="F153" s="3">
        <v>3.3162363E7</v>
      </c>
      <c r="G153" s="3">
        <v>3.516241259E9</v>
      </c>
      <c r="H153" s="3" t="s">
        <v>21</v>
      </c>
      <c r="I153" s="3" t="s">
        <v>22</v>
      </c>
      <c r="J153" s="3" t="s">
        <v>23</v>
      </c>
      <c r="K153" s="6"/>
      <c r="L153" s="6"/>
      <c r="M153" s="6"/>
      <c r="N153" s="6"/>
      <c r="O153" s="6"/>
      <c r="P153" s="6"/>
      <c r="Q153" s="6"/>
      <c r="R153" s="7" t="str">
        <f>IF(H153="","",VLOOKUP(H153,'Hoja 9'!$A$1:$B$255,2,0))</f>
        <v>GOOGLE</v>
      </c>
      <c r="S153" s="7">
        <f t="shared" si="1"/>
        <v>2023</v>
      </c>
      <c r="T153" s="7">
        <f t="shared" si="2"/>
        <v>5</v>
      </c>
    </row>
    <row r="154">
      <c r="A154" s="4">
        <v>45065.8120453125</v>
      </c>
      <c r="B154" s="3" t="s">
        <v>480</v>
      </c>
      <c r="C154" s="3" t="s">
        <v>481</v>
      </c>
      <c r="D154" s="3" t="s">
        <v>482</v>
      </c>
      <c r="E154" s="5">
        <v>45048.0</v>
      </c>
      <c r="F154" s="3">
        <v>2.0871395E7</v>
      </c>
      <c r="G154" s="3">
        <v>3.517639805E9</v>
      </c>
      <c r="H154" s="3" t="s">
        <v>27</v>
      </c>
      <c r="I154" s="3" t="s">
        <v>28</v>
      </c>
      <c r="R154" s="7" t="str">
        <f>IF(H154="","",VLOOKUP(H154,'Hoja 9'!$A$1:$B$255,2,0))</f>
        <v>BOCA EN BOCA</v>
      </c>
      <c r="S154" s="7">
        <f t="shared" si="1"/>
        <v>2023</v>
      </c>
      <c r="T154" s="7">
        <f t="shared" si="2"/>
        <v>5</v>
      </c>
    </row>
    <row r="155">
      <c r="A155" s="4">
        <v>45068.80764827546</v>
      </c>
      <c r="B155" s="3" t="s">
        <v>483</v>
      </c>
      <c r="C155" s="3" t="s">
        <v>484</v>
      </c>
      <c r="D155" s="3" t="s">
        <v>485</v>
      </c>
      <c r="E155" s="5">
        <v>23031.0</v>
      </c>
      <c r="F155" s="3">
        <v>1.6507379E7</v>
      </c>
      <c r="G155" s="3">
        <v>3.512634458E9</v>
      </c>
      <c r="H155" s="3" t="s">
        <v>27</v>
      </c>
      <c r="I155" s="3" t="s">
        <v>22</v>
      </c>
      <c r="J155" s="3" t="s">
        <v>23</v>
      </c>
      <c r="K155" s="6"/>
      <c r="L155" s="6"/>
      <c r="M155" s="6"/>
      <c r="N155" s="6"/>
      <c r="O155" s="6"/>
      <c r="P155" s="6"/>
      <c r="Q155" s="6"/>
      <c r="R155" s="7" t="str">
        <f>IF(H155="","",VLOOKUP(H155,'Hoja 9'!$A$1:$B$255,2,0))</f>
        <v>BOCA EN BOCA</v>
      </c>
      <c r="S155" s="7">
        <f t="shared" si="1"/>
        <v>2023</v>
      </c>
      <c r="T155" s="7">
        <f t="shared" si="2"/>
        <v>5</v>
      </c>
    </row>
    <row r="156">
      <c r="A156" s="4">
        <v>45069.46701393518</v>
      </c>
      <c r="B156" s="3" t="s">
        <v>486</v>
      </c>
      <c r="C156" s="3" t="s">
        <v>487</v>
      </c>
      <c r="E156" s="5">
        <v>20826.0</v>
      </c>
      <c r="F156" s="3">
        <v>1.2763616E7</v>
      </c>
      <c r="G156" s="3">
        <v>3.512606736E9</v>
      </c>
      <c r="H156" s="3" t="s">
        <v>21</v>
      </c>
      <c r="I156" s="3" t="s">
        <v>28</v>
      </c>
      <c r="R156" s="7" t="str">
        <f>IF(H156="","",VLOOKUP(H156,'Hoja 9'!$A$1:$B$255,2,0))</f>
        <v>GOOGLE</v>
      </c>
      <c r="S156" s="7">
        <f t="shared" si="1"/>
        <v>2023</v>
      </c>
      <c r="T156" s="7">
        <f t="shared" si="2"/>
        <v>5</v>
      </c>
    </row>
    <row r="157">
      <c r="A157" s="4">
        <v>45069.47080513889</v>
      </c>
      <c r="B157" s="3" t="s">
        <v>488</v>
      </c>
      <c r="C157" s="3" t="s">
        <v>489</v>
      </c>
      <c r="D157" s="3" t="s">
        <v>490</v>
      </c>
      <c r="E157" s="5">
        <v>20619.0</v>
      </c>
      <c r="F157" s="3">
        <v>1.2995415E7</v>
      </c>
      <c r="G157" s="3">
        <v>3.511528811E9</v>
      </c>
      <c r="H157" s="3" t="s">
        <v>27</v>
      </c>
      <c r="I157" s="3" t="s">
        <v>28</v>
      </c>
      <c r="R157" s="7" t="str">
        <f>IF(H157="","",VLOOKUP(H157,'Hoja 9'!$A$1:$B$255,2,0))</f>
        <v>BOCA EN BOCA</v>
      </c>
      <c r="S157" s="7">
        <f t="shared" si="1"/>
        <v>2023</v>
      </c>
      <c r="T157" s="7">
        <f t="shared" si="2"/>
        <v>5</v>
      </c>
    </row>
    <row r="158">
      <c r="A158" s="4">
        <v>45069.660359664354</v>
      </c>
      <c r="B158" s="3" t="s">
        <v>491</v>
      </c>
      <c r="C158" s="3" t="s">
        <v>492</v>
      </c>
      <c r="D158" s="3" t="s">
        <v>493</v>
      </c>
      <c r="E158" s="5">
        <v>33792.0</v>
      </c>
      <c r="F158" s="3">
        <v>3.6357904E7</v>
      </c>
      <c r="G158" s="3">
        <v>3.517632469E9</v>
      </c>
      <c r="H158" s="3" t="s">
        <v>21</v>
      </c>
      <c r="I158" s="3" t="s">
        <v>22</v>
      </c>
      <c r="J158" s="3" t="s">
        <v>72</v>
      </c>
      <c r="K158" s="6"/>
      <c r="L158" s="6"/>
      <c r="M158" s="6"/>
      <c r="N158" s="6"/>
      <c r="O158" s="6"/>
      <c r="P158" s="6"/>
      <c r="Q158" s="6"/>
      <c r="R158" s="7" t="str">
        <f>IF(H158="","",VLOOKUP(H158,'Hoja 9'!$A$1:$B$255,2,0))</f>
        <v>GOOGLE</v>
      </c>
      <c r="S158" s="7">
        <f t="shared" si="1"/>
        <v>2023</v>
      </c>
      <c r="T158" s="7">
        <f t="shared" si="2"/>
        <v>5</v>
      </c>
    </row>
    <row r="159">
      <c r="A159" s="4">
        <v>45069.75105946759</v>
      </c>
      <c r="B159" s="3" t="s">
        <v>494</v>
      </c>
      <c r="C159" s="3" t="s">
        <v>495</v>
      </c>
      <c r="D159" s="3" t="s">
        <v>421</v>
      </c>
      <c r="E159" s="5">
        <v>17139.0</v>
      </c>
      <c r="F159" s="3">
        <v>5489581.0</v>
      </c>
      <c r="G159" s="3">
        <v>3.512116536E9</v>
      </c>
      <c r="H159" s="3" t="s">
        <v>21</v>
      </c>
      <c r="I159" s="3" t="s">
        <v>22</v>
      </c>
      <c r="J159" s="3" t="s">
        <v>23</v>
      </c>
      <c r="K159" s="6"/>
      <c r="L159" s="6"/>
      <c r="M159" s="6"/>
      <c r="N159" s="6"/>
      <c r="O159" s="6"/>
      <c r="P159" s="6"/>
      <c r="Q159" s="6"/>
      <c r="R159" s="7" t="str">
        <f>IF(H159="","",VLOOKUP(H159,'Hoja 9'!$A$1:$B$255,2,0))</f>
        <v>GOOGLE</v>
      </c>
      <c r="S159" s="7">
        <f t="shared" si="1"/>
        <v>2023</v>
      </c>
      <c r="T159" s="7">
        <f t="shared" si="2"/>
        <v>5</v>
      </c>
    </row>
    <row r="160">
      <c r="A160" s="4">
        <v>45069.80449634259</v>
      </c>
      <c r="B160" s="3" t="s">
        <v>496</v>
      </c>
      <c r="C160" s="3" t="s">
        <v>497</v>
      </c>
      <c r="D160" s="3" t="s">
        <v>498</v>
      </c>
      <c r="E160" s="5">
        <v>28133.0</v>
      </c>
      <c r="F160" s="3">
        <v>2.5570768E7</v>
      </c>
      <c r="G160" s="3">
        <v>3.515125167E9</v>
      </c>
      <c r="H160" s="3" t="s">
        <v>148</v>
      </c>
      <c r="I160" s="3" t="s">
        <v>22</v>
      </c>
      <c r="J160" s="3" t="s">
        <v>149</v>
      </c>
      <c r="K160" s="6"/>
      <c r="L160" s="6"/>
      <c r="M160" s="6"/>
      <c r="N160" s="6"/>
      <c r="O160" s="6"/>
      <c r="P160" s="6"/>
      <c r="Q160" s="6"/>
      <c r="R160" s="7" t="str">
        <f>IF(H160="","",VLOOKUP(H160,'Hoja 9'!$A$1:$B$255,2,0))</f>
        <v>OBRA SOCIAL</v>
      </c>
      <c r="S160" s="7">
        <f t="shared" si="1"/>
        <v>2023</v>
      </c>
      <c r="T160" s="7">
        <f t="shared" si="2"/>
        <v>5</v>
      </c>
    </row>
    <row r="161">
      <c r="A161" s="4">
        <v>45071.79775211806</v>
      </c>
      <c r="B161" s="3" t="s">
        <v>499</v>
      </c>
      <c r="C161" s="3" t="s">
        <v>500</v>
      </c>
      <c r="D161" s="3" t="s">
        <v>501</v>
      </c>
      <c r="E161" s="5">
        <v>37904.0</v>
      </c>
      <c r="F161" s="3">
        <v>4.5234593E7</v>
      </c>
      <c r="G161" s="3">
        <v>3.512396381E9</v>
      </c>
      <c r="H161" s="3" t="s">
        <v>27</v>
      </c>
      <c r="I161" s="3" t="s">
        <v>28</v>
      </c>
      <c r="R161" s="7" t="str">
        <f>IF(H161="","",VLOOKUP(H161,'Hoja 9'!$A$1:$B$255,2,0))</f>
        <v>BOCA EN BOCA</v>
      </c>
      <c r="S161" s="7">
        <f t="shared" si="1"/>
        <v>2023</v>
      </c>
      <c r="T161" s="7">
        <f t="shared" si="2"/>
        <v>5</v>
      </c>
    </row>
    <row r="162">
      <c r="A162" s="4">
        <v>45075.75125645833</v>
      </c>
      <c r="B162" s="3" t="s">
        <v>502</v>
      </c>
      <c r="C162" s="3" t="s">
        <v>503</v>
      </c>
      <c r="D162" s="3" t="s">
        <v>504</v>
      </c>
      <c r="E162" s="5">
        <v>35500.0</v>
      </c>
      <c r="F162" s="3">
        <v>4.0248074E7</v>
      </c>
      <c r="G162" s="3">
        <v>3.512534884E9</v>
      </c>
      <c r="H162" s="3" t="s">
        <v>27</v>
      </c>
      <c r="I162" s="3" t="s">
        <v>22</v>
      </c>
      <c r="J162" s="3" t="s">
        <v>23</v>
      </c>
      <c r="K162" s="6"/>
      <c r="L162" s="6"/>
      <c r="M162" s="6"/>
      <c r="N162" s="6"/>
      <c r="O162" s="6"/>
      <c r="P162" s="6"/>
      <c r="Q162" s="6"/>
      <c r="R162" s="7" t="str">
        <f>IF(H162="","",VLOOKUP(H162,'Hoja 9'!$A$1:$B$255,2,0))</f>
        <v>BOCA EN BOCA</v>
      </c>
      <c r="S162" s="7">
        <f t="shared" si="1"/>
        <v>2023</v>
      </c>
      <c r="T162" s="7">
        <f t="shared" si="2"/>
        <v>5</v>
      </c>
    </row>
    <row r="163">
      <c r="A163" s="4">
        <v>45076.69244210648</v>
      </c>
      <c r="B163" s="3" t="s">
        <v>409</v>
      </c>
      <c r="C163" s="3" t="s">
        <v>505</v>
      </c>
      <c r="D163" s="3" t="s">
        <v>506</v>
      </c>
      <c r="E163" s="5">
        <v>16853.0</v>
      </c>
      <c r="F163" s="3">
        <v>5148843.0</v>
      </c>
      <c r="G163" s="3">
        <v>3.512022176E9</v>
      </c>
      <c r="H163" s="3" t="s">
        <v>21</v>
      </c>
      <c r="I163" s="3" t="s">
        <v>28</v>
      </c>
      <c r="R163" s="7" t="str">
        <f>IF(H163="","",VLOOKUP(H163,'Hoja 9'!$A$1:$B$255,2,0))</f>
        <v>GOOGLE</v>
      </c>
      <c r="S163" s="7">
        <f t="shared" si="1"/>
        <v>2023</v>
      </c>
      <c r="T163" s="7">
        <f t="shared" si="2"/>
        <v>5</v>
      </c>
    </row>
    <row r="164">
      <c r="A164" s="4">
        <v>45076.79967965277</v>
      </c>
      <c r="B164" s="3" t="s">
        <v>507</v>
      </c>
      <c r="C164" s="3" t="s">
        <v>508</v>
      </c>
      <c r="D164" s="3" t="s">
        <v>509</v>
      </c>
      <c r="E164" s="5">
        <v>35075.0</v>
      </c>
      <c r="F164" s="3">
        <v>3.9445328E7</v>
      </c>
      <c r="G164" s="3">
        <v>3.516143218E9</v>
      </c>
      <c r="H164" s="3" t="s">
        <v>44</v>
      </c>
      <c r="I164" s="3" t="s">
        <v>28</v>
      </c>
      <c r="R164" s="7" t="str">
        <f>IF(H164="","",VLOOKUP(H164,'Hoja 9'!$A$1:$B$255,2,0))</f>
        <v>GIMNASIO</v>
      </c>
      <c r="S164" s="7">
        <f t="shared" si="1"/>
        <v>2023</v>
      </c>
      <c r="T164" s="7">
        <f t="shared" si="2"/>
        <v>5</v>
      </c>
    </row>
    <row r="165">
      <c r="A165" s="4">
        <v>45077.389439375</v>
      </c>
      <c r="B165" s="3" t="s">
        <v>510</v>
      </c>
      <c r="C165" s="3" t="s">
        <v>180</v>
      </c>
      <c r="D165" s="3" t="s">
        <v>511</v>
      </c>
      <c r="E165" s="5">
        <v>31185.0</v>
      </c>
      <c r="F165" s="3">
        <v>3.1646048E7</v>
      </c>
      <c r="G165" s="3">
        <v>3.516090602E9</v>
      </c>
      <c r="H165" s="3" t="s">
        <v>21</v>
      </c>
      <c r="I165" s="3" t="s">
        <v>22</v>
      </c>
      <c r="J165" s="3" t="s">
        <v>72</v>
      </c>
      <c r="K165" s="6"/>
      <c r="L165" s="6"/>
      <c r="M165" s="6"/>
      <c r="N165" s="6"/>
      <c r="O165" s="6"/>
      <c r="P165" s="6"/>
      <c r="Q165" s="6"/>
      <c r="R165" s="7" t="str">
        <f>IF(H165="","",VLOOKUP(H165,'Hoja 9'!$A$1:$B$255,2,0))</f>
        <v>GOOGLE</v>
      </c>
      <c r="S165" s="7">
        <f t="shared" si="1"/>
        <v>2023</v>
      </c>
      <c r="T165" s="7">
        <f t="shared" si="2"/>
        <v>5</v>
      </c>
    </row>
    <row r="166">
      <c r="A166" s="4">
        <v>45077.6862115625</v>
      </c>
      <c r="B166" s="3" t="s">
        <v>512</v>
      </c>
      <c r="C166" s="3" t="s">
        <v>513</v>
      </c>
      <c r="D166" s="3" t="s">
        <v>514</v>
      </c>
      <c r="E166" s="5">
        <v>36594.0</v>
      </c>
      <c r="F166" s="3">
        <v>4.2384668E7</v>
      </c>
      <c r="G166" s="3">
        <v>3.513510356E9</v>
      </c>
      <c r="H166" s="3" t="s">
        <v>27</v>
      </c>
      <c r="I166" s="3" t="s">
        <v>28</v>
      </c>
      <c r="R166" s="7" t="str">
        <f>IF(H166="","",VLOOKUP(H166,'Hoja 9'!$A$1:$B$255,2,0))</f>
        <v>BOCA EN BOCA</v>
      </c>
      <c r="S166" s="7">
        <f t="shared" si="1"/>
        <v>2023</v>
      </c>
      <c r="T166" s="7">
        <f t="shared" si="2"/>
        <v>5</v>
      </c>
    </row>
    <row r="167">
      <c r="A167" s="4">
        <v>45077.83588510417</v>
      </c>
      <c r="B167" s="3" t="s">
        <v>515</v>
      </c>
      <c r="C167" s="3" t="s">
        <v>101</v>
      </c>
      <c r="D167" s="3" t="s">
        <v>516</v>
      </c>
      <c r="E167" s="5">
        <v>28993.0</v>
      </c>
      <c r="F167" s="3">
        <v>2.7248386E7</v>
      </c>
      <c r="G167" s="3">
        <v>3.516831832E9</v>
      </c>
      <c r="H167" s="3" t="s">
        <v>21</v>
      </c>
      <c r="I167" s="3" t="s">
        <v>22</v>
      </c>
      <c r="J167" s="3" t="s">
        <v>58</v>
      </c>
      <c r="K167" s="6"/>
      <c r="L167" s="6"/>
      <c r="M167" s="6"/>
      <c r="N167" s="6"/>
      <c r="O167" s="6"/>
      <c r="P167" s="6"/>
      <c r="Q167" s="6"/>
      <c r="R167" s="7" t="str">
        <f>IF(H167="","",VLOOKUP(H167,'Hoja 9'!$A$1:$B$255,2,0))</f>
        <v>GOOGLE</v>
      </c>
      <c r="S167" s="7">
        <f t="shared" si="1"/>
        <v>2023</v>
      </c>
      <c r="T167" s="7">
        <f t="shared" si="2"/>
        <v>5</v>
      </c>
    </row>
    <row r="168">
      <c r="A168" s="4">
        <v>45078.51433210648</v>
      </c>
      <c r="B168" s="3" t="s">
        <v>517</v>
      </c>
      <c r="C168" s="3" t="s">
        <v>518</v>
      </c>
      <c r="D168" s="3" t="s">
        <v>519</v>
      </c>
      <c r="E168" s="5">
        <v>16566.0</v>
      </c>
      <c r="F168" s="3">
        <v>7984098.0</v>
      </c>
      <c r="G168" s="3">
        <v>3.515105133E9</v>
      </c>
      <c r="H168" s="3" t="s">
        <v>148</v>
      </c>
      <c r="I168" s="3" t="s">
        <v>22</v>
      </c>
      <c r="J168" s="3" t="s">
        <v>23</v>
      </c>
      <c r="K168" s="6"/>
      <c r="L168" s="6"/>
      <c r="M168" s="6"/>
      <c r="N168" s="6"/>
      <c r="O168" s="6"/>
      <c r="P168" s="6"/>
      <c r="Q168" s="6"/>
      <c r="R168" s="7" t="str">
        <f>IF(H168="","",VLOOKUP(H168,'Hoja 9'!$A$1:$B$255,2,0))</f>
        <v>OBRA SOCIAL</v>
      </c>
      <c r="S168" s="7">
        <f t="shared" si="1"/>
        <v>2023</v>
      </c>
      <c r="T168" s="7">
        <f t="shared" si="2"/>
        <v>6</v>
      </c>
    </row>
    <row r="169">
      <c r="A169" s="4">
        <v>45078.57196922453</v>
      </c>
      <c r="B169" s="3" t="s">
        <v>520</v>
      </c>
      <c r="C169" s="3" t="s">
        <v>521</v>
      </c>
      <c r="D169" s="3" t="s">
        <v>522</v>
      </c>
      <c r="E169" s="5">
        <v>30677.0</v>
      </c>
      <c r="F169" s="3">
        <v>3.0657915E7</v>
      </c>
      <c r="G169" s="3">
        <v>3.51390294E9</v>
      </c>
      <c r="H169" s="3" t="s">
        <v>21</v>
      </c>
      <c r="I169" s="3" t="s">
        <v>22</v>
      </c>
      <c r="J169" s="3" t="s">
        <v>149</v>
      </c>
      <c r="K169" s="6"/>
      <c r="L169" s="6"/>
      <c r="M169" s="6"/>
      <c r="N169" s="6"/>
      <c r="O169" s="6"/>
      <c r="P169" s="6"/>
      <c r="Q169" s="6"/>
      <c r="R169" s="7" t="str">
        <f>IF(H169="","",VLOOKUP(H169,'Hoja 9'!$A$1:$B$255,2,0))</f>
        <v>GOOGLE</v>
      </c>
      <c r="S169" s="7">
        <f t="shared" si="1"/>
        <v>2023</v>
      </c>
      <c r="T169" s="7">
        <f t="shared" si="2"/>
        <v>6</v>
      </c>
    </row>
    <row r="170">
      <c r="A170" s="4">
        <v>45079.45362917824</v>
      </c>
      <c r="B170" s="3" t="s">
        <v>523</v>
      </c>
      <c r="C170" s="3" t="s">
        <v>524</v>
      </c>
      <c r="D170" s="3" t="s">
        <v>525</v>
      </c>
      <c r="E170" s="5">
        <v>35910.0</v>
      </c>
      <c r="F170" s="3">
        <v>4.1115237E7</v>
      </c>
      <c r="G170" s="3">
        <v>3.51662728E9</v>
      </c>
      <c r="H170" s="3" t="s">
        <v>27</v>
      </c>
      <c r="I170" s="3" t="s">
        <v>28</v>
      </c>
      <c r="R170" s="7" t="str">
        <f>IF(H170="","",VLOOKUP(H170,'Hoja 9'!$A$1:$B$255,2,0))</f>
        <v>BOCA EN BOCA</v>
      </c>
      <c r="S170" s="7">
        <f t="shared" si="1"/>
        <v>2023</v>
      </c>
      <c r="T170" s="7">
        <f t="shared" si="2"/>
        <v>6</v>
      </c>
    </row>
    <row r="171">
      <c r="A171" s="4">
        <v>45079.54665134259</v>
      </c>
      <c r="B171" s="3" t="s">
        <v>526</v>
      </c>
      <c r="C171" s="3" t="s">
        <v>265</v>
      </c>
      <c r="D171" s="3" t="s">
        <v>527</v>
      </c>
      <c r="E171" s="5">
        <v>33831.0</v>
      </c>
      <c r="F171" s="3">
        <v>3.6429292E7</v>
      </c>
      <c r="G171" s="3">
        <v>3.516826366E9</v>
      </c>
      <c r="H171" s="3" t="s">
        <v>27</v>
      </c>
      <c r="I171" s="3" t="s">
        <v>22</v>
      </c>
      <c r="J171" s="3" t="s">
        <v>149</v>
      </c>
      <c r="K171" s="6"/>
      <c r="L171" s="6"/>
      <c r="M171" s="6"/>
      <c r="N171" s="6"/>
      <c r="O171" s="6"/>
      <c r="P171" s="6"/>
      <c r="Q171" s="6"/>
      <c r="R171" s="7" t="str">
        <f>IF(H171="","",VLOOKUP(H171,'Hoja 9'!$A$1:$B$255,2,0))</f>
        <v>BOCA EN BOCA</v>
      </c>
      <c r="S171" s="7">
        <f t="shared" si="1"/>
        <v>2023</v>
      </c>
      <c r="T171" s="7">
        <f t="shared" si="2"/>
        <v>6</v>
      </c>
    </row>
    <row r="172">
      <c r="A172" s="4">
        <v>45079.7899554051</v>
      </c>
      <c r="B172" s="3" t="s">
        <v>528</v>
      </c>
      <c r="C172" s="3" t="s">
        <v>529</v>
      </c>
      <c r="D172" s="3" t="s">
        <v>530</v>
      </c>
      <c r="E172" s="5">
        <v>29674.0</v>
      </c>
      <c r="F172" s="3">
        <v>2.8654734E7</v>
      </c>
      <c r="G172" s="3">
        <v>3.512050186E9</v>
      </c>
      <c r="H172" s="3" t="s">
        <v>44</v>
      </c>
      <c r="I172" s="3" t="s">
        <v>28</v>
      </c>
      <c r="R172" s="7" t="str">
        <f>IF(H172="","",VLOOKUP(H172,'Hoja 9'!$A$1:$B$255,2,0))</f>
        <v>GIMNASIO</v>
      </c>
      <c r="S172" s="7">
        <f t="shared" si="1"/>
        <v>2023</v>
      </c>
      <c r="T172" s="7">
        <f t="shared" si="2"/>
        <v>6</v>
      </c>
    </row>
    <row r="173">
      <c r="A173" s="4">
        <v>45079.8005516088</v>
      </c>
      <c r="B173" s="3" t="s">
        <v>531</v>
      </c>
      <c r="C173" s="3" t="s">
        <v>366</v>
      </c>
      <c r="D173" s="3" t="s">
        <v>532</v>
      </c>
      <c r="E173" s="5">
        <v>45079.0</v>
      </c>
      <c r="F173" s="3">
        <v>4.1827735E7</v>
      </c>
      <c r="G173" s="3">
        <v>3.517028458E9</v>
      </c>
      <c r="H173" s="3" t="s">
        <v>27</v>
      </c>
      <c r="I173" s="3" t="s">
        <v>28</v>
      </c>
      <c r="R173" s="7" t="str">
        <f>IF(H173="","",VLOOKUP(H173,'Hoja 9'!$A$1:$B$255,2,0))</f>
        <v>BOCA EN BOCA</v>
      </c>
      <c r="S173" s="7">
        <f t="shared" si="1"/>
        <v>2023</v>
      </c>
      <c r="T173" s="7">
        <f t="shared" si="2"/>
        <v>6</v>
      </c>
    </row>
    <row r="174">
      <c r="A174" s="4">
        <v>45082.49003226851</v>
      </c>
      <c r="B174" s="3" t="s">
        <v>533</v>
      </c>
      <c r="C174" s="3" t="s">
        <v>534</v>
      </c>
      <c r="D174" s="3" t="s">
        <v>535</v>
      </c>
      <c r="E174" s="5">
        <v>35675.0</v>
      </c>
      <c r="F174" s="3">
        <v>4.0661818E7</v>
      </c>
      <c r="G174" s="3">
        <v>3.515159997E9</v>
      </c>
      <c r="H174" s="3" t="s">
        <v>27</v>
      </c>
      <c r="I174" s="3" t="s">
        <v>22</v>
      </c>
      <c r="J174" s="3" t="s">
        <v>536</v>
      </c>
      <c r="K174" s="6"/>
      <c r="L174" s="6"/>
      <c r="M174" s="6"/>
      <c r="N174" s="6"/>
      <c r="O174" s="6"/>
      <c r="P174" s="6"/>
      <c r="Q174" s="6"/>
      <c r="R174" s="7" t="str">
        <f>IF(H174="","",VLOOKUP(H174,'Hoja 9'!$A$1:$B$255,2,0))</f>
        <v>BOCA EN BOCA</v>
      </c>
      <c r="S174" s="7">
        <f t="shared" si="1"/>
        <v>2023</v>
      </c>
      <c r="T174" s="7">
        <f t="shared" si="2"/>
        <v>6</v>
      </c>
    </row>
    <row r="175">
      <c r="A175" s="4">
        <v>45082.663089837966</v>
      </c>
      <c r="B175" s="3" t="s">
        <v>537</v>
      </c>
      <c r="C175" s="3" t="s">
        <v>413</v>
      </c>
      <c r="D175" s="3" t="s">
        <v>538</v>
      </c>
      <c r="E175" s="5">
        <v>38974.0</v>
      </c>
      <c r="F175" s="3">
        <v>4.6656787E7</v>
      </c>
      <c r="G175" s="3">
        <v>3.512328741E9</v>
      </c>
      <c r="H175" s="3" t="s">
        <v>21</v>
      </c>
      <c r="I175" s="3" t="s">
        <v>28</v>
      </c>
      <c r="R175" s="7" t="str">
        <f>IF(H175="","",VLOOKUP(H175,'Hoja 9'!$A$1:$B$255,2,0))</f>
        <v>GOOGLE</v>
      </c>
      <c r="S175" s="7">
        <f t="shared" si="1"/>
        <v>2023</v>
      </c>
      <c r="T175" s="7">
        <f t="shared" si="2"/>
        <v>6</v>
      </c>
    </row>
    <row r="176">
      <c r="A176" s="4">
        <v>45082.76692516204</v>
      </c>
      <c r="B176" s="3" t="s">
        <v>539</v>
      </c>
      <c r="C176" s="3" t="s">
        <v>540</v>
      </c>
      <c r="D176" s="3" t="s">
        <v>541</v>
      </c>
      <c r="E176" s="5">
        <v>33193.0</v>
      </c>
      <c r="F176" s="3">
        <v>3.557479E7</v>
      </c>
      <c r="G176" s="3">
        <v>3.5128947E9</v>
      </c>
      <c r="H176" s="3" t="s">
        <v>44</v>
      </c>
      <c r="I176" s="3" t="s">
        <v>22</v>
      </c>
      <c r="J176" s="3" t="s">
        <v>542</v>
      </c>
      <c r="K176" s="6"/>
      <c r="L176" s="6"/>
      <c r="M176" s="6"/>
      <c r="N176" s="6"/>
      <c r="O176" s="6"/>
      <c r="P176" s="6"/>
      <c r="Q176" s="6"/>
      <c r="R176" s="7" t="str">
        <f>IF(H176="","",VLOOKUP(H176,'Hoja 9'!$A$1:$B$255,2,0))</f>
        <v>GIMNASIO</v>
      </c>
      <c r="S176" s="7">
        <f t="shared" si="1"/>
        <v>2023</v>
      </c>
      <c r="T176" s="7">
        <f t="shared" si="2"/>
        <v>6</v>
      </c>
    </row>
    <row r="177">
      <c r="A177" s="4">
        <v>45082.78397267361</v>
      </c>
      <c r="B177" s="3" t="s">
        <v>543</v>
      </c>
      <c r="C177" s="3" t="s">
        <v>544</v>
      </c>
      <c r="D177" s="3" t="s">
        <v>545</v>
      </c>
      <c r="E177" s="5">
        <v>40549.0</v>
      </c>
      <c r="F177" s="3">
        <v>5.0628769E7</v>
      </c>
      <c r="G177" s="3">
        <v>3.516960587E9</v>
      </c>
      <c r="H177" s="3" t="s">
        <v>21</v>
      </c>
      <c r="I177" s="3" t="s">
        <v>28</v>
      </c>
      <c r="R177" s="7" t="str">
        <f>IF(H177="","",VLOOKUP(H177,'Hoja 9'!$A$1:$B$255,2,0))</f>
        <v>GOOGLE</v>
      </c>
      <c r="S177" s="7">
        <f t="shared" si="1"/>
        <v>2023</v>
      </c>
      <c r="T177" s="7">
        <f t="shared" si="2"/>
        <v>6</v>
      </c>
    </row>
    <row r="178">
      <c r="A178" s="4">
        <v>45083.62755160879</v>
      </c>
      <c r="B178" s="3" t="s">
        <v>546</v>
      </c>
      <c r="C178" s="3" t="s">
        <v>547</v>
      </c>
      <c r="D178" s="3" t="s">
        <v>548</v>
      </c>
      <c r="E178" s="5">
        <v>36179.0</v>
      </c>
      <c r="F178" s="3">
        <v>9.4668323E7</v>
      </c>
      <c r="G178" s="3">
        <v>3.512785708E9</v>
      </c>
      <c r="H178" s="3" t="s">
        <v>21</v>
      </c>
      <c r="I178" s="3" t="s">
        <v>28</v>
      </c>
      <c r="R178" s="7" t="str">
        <f>IF(H178="","",VLOOKUP(H178,'Hoja 9'!$A$1:$B$255,2,0))</f>
        <v>GOOGLE</v>
      </c>
      <c r="S178" s="7">
        <f t="shared" si="1"/>
        <v>2023</v>
      </c>
      <c r="T178" s="7">
        <f t="shared" si="2"/>
        <v>6</v>
      </c>
    </row>
    <row r="179">
      <c r="A179" s="4">
        <v>45083.83730337963</v>
      </c>
      <c r="B179" s="3" t="s">
        <v>549</v>
      </c>
      <c r="C179" s="3" t="s">
        <v>550</v>
      </c>
      <c r="D179" s="3" t="s">
        <v>551</v>
      </c>
      <c r="E179" s="5">
        <v>30933.0</v>
      </c>
      <c r="F179" s="3">
        <v>3.113259E7</v>
      </c>
      <c r="G179" s="3">
        <v>3.516123681E9</v>
      </c>
      <c r="H179" s="3" t="s">
        <v>21</v>
      </c>
      <c r="I179" s="3" t="s">
        <v>22</v>
      </c>
      <c r="J179" s="3" t="s">
        <v>149</v>
      </c>
      <c r="K179" s="6"/>
      <c r="L179" s="6"/>
      <c r="M179" s="6"/>
      <c r="N179" s="6"/>
      <c r="O179" s="6"/>
      <c r="P179" s="6"/>
      <c r="Q179" s="6"/>
      <c r="R179" s="7" t="str">
        <f>IF(H179="","",VLOOKUP(H179,'Hoja 9'!$A$1:$B$255,2,0))</f>
        <v>GOOGLE</v>
      </c>
      <c r="S179" s="7">
        <f t="shared" si="1"/>
        <v>2023</v>
      </c>
      <c r="T179" s="7">
        <f t="shared" si="2"/>
        <v>6</v>
      </c>
    </row>
    <row r="180">
      <c r="A180" s="4">
        <v>45084.79481583333</v>
      </c>
      <c r="B180" s="3" t="s">
        <v>552</v>
      </c>
      <c r="C180" s="3" t="s">
        <v>553</v>
      </c>
      <c r="D180" s="3" t="s">
        <v>554</v>
      </c>
      <c r="E180" s="5">
        <v>31675.0</v>
      </c>
      <c r="F180" s="3">
        <v>3.2492462E7</v>
      </c>
      <c r="G180" s="3">
        <v>3.51637247E9</v>
      </c>
      <c r="H180" s="3" t="s">
        <v>44</v>
      </c>
      <c r="I180" s="3" t="s">
        <v>28</v>
      </c>
      <c r="R180" s="7" t="str">
        <f>IF(H180="","",VLOOKUP(H180,'Hoja 9'!$A$1:$B$255,2,0))</f>
        <v>GIMNASIO</v>
      </c>
      <c r="S180" s="7">
        <f t="shared" si="1"/>
        <v>2023</v>
      </c>
      <c r="T180" s="7">
        <f t="shared" si="2"/>
        <v>6</v>
      </c>
    </row>
    <row r="181">
      <c r="A181" s="4">
        <v>45084.86501084491</v>
      </c>
      <c r="B181" s="3" t="s">
        <v>555</v>
      </c>
      <c r="C181" s="3" t="s">
        <v>556</v>
      </c>
      <c r="D181" s="3" t="s">
        <v>557</v>
      </c>
      <c r="E181" s="5">
        <v>36615.0</v>
      </c>
      <c r="F181" s="3">
        <v>4.2439034E7</v>
      </c>
      <c r="G181" s="3">
        <v>3.516725368E9</v>
      </c>
      <c r="H181" s="3" t="s">
        <v>27</v>
      </c>
      <c r="I181" s="3" t="s">
        <v>28</v>
      </c>
      <c r="R181" s="7" t="str">
        <f>IF(H181="","",VLOOKUP(H181,'Hoja 9'!$A$1:$B$255,2,0))</f>
        <v>BOCA EN BOCA</v>
      </c>
      <c r="S181" s="7">
        <f t="shared" si="1"/>
        <v>2023</v>
      </c>
      <c r="T181" s="7">
        <f t="shared" si="2"/>
        <v>6</v>
      </c>
    </row>
    <row r="182">
      <c r="A182" s="4">
        <v>45085.80769797454</v>
      </c>
      <c r="B182" s="3" t="s">
        <v>558</v>
      </c>
      <c r="C182" s="3" t="s">
        <v>212</v>
      </c>
      <c r="D182" s="3" t="s">
        <v>559</v>
      </c>
      <c r="E182" s="5">
        <v>38930.0</v>
      </c>
      <c r="F182" s="3">
        <v>4.7350605E7</v>
      </c>
      <c r="G182" s="3">
        <v>3.517307004E9</v>
      </c>
      <c r="H182" s="3" t="s">
        <v>27</v>
      </c>
      <c r="I182" s="3" t="s">
        <v>22</v>
      </c>
      <c r="J182" s="3" t="s">
        <v>23</v>
      </c>
      <c r="K182" s="6"/>
      <c r="L182" s="6"/>
      <c r="M182" s="6"/>
      <c r="N182" s="6"/>
      <c r="O182" s="6"/>
      <c r="P182" s="6"/>
      <c r="Q182" s="6"/>
      <c r="R182" s="7" t="str">
        <f>IF(H182="","",VLOOKUP(H182,'Hoja 9'!$A$1:$B$255,2,0))</f>
        <v>BOCA EN BOCA</v>
      </c>
      <c r="S182" s="7">
        <f t="shared" si="1"/>
        <v>2023</v>
      </c>
      <c r="T182" s="7">
        <f t="shared" si="2"/>
        <v>6</v>
      </c>
    </row>
    <row r="183">
      <c r="A183" s="4">
        <v>45085.85142706019</v>
      </c>
      <c r="B183" s="3" t="s">
        <v>560</v>
      </c>
      <c r="C183" s="3" t="s">
        <v>561</v>
      </c>
      <c r="D183" s="3" t="s">
        <v>562</v>
      </c>
      <c r="E183" s="5">
        <v>41169.0</v>
      </c>
      <c r="F183" s="3">
        <v>5.2233982E7</v>
      </c>
      <c r="G183" s="3">
        <v>3.512187399E9</v>
      </c>
      <c r="H183" s="3" t="s">
        <v>27</v>
      </c>
      <c r="I183" s="3" t="s">
        <v>28</v>
      </c>
      <c r="R183" s="7" t="str">
        <f>IF(H183="","",VLOOKUP(H183,'Hoja 9'!$A$1:$B$255,2,0))</f>
        <v>BOCA EN BOCA</v>
      </c>
      <c r="S183" s="7">
        <f t="shared" si="1"/>
        <v>2023</v>
      </c>
      <c r="T183" s="7">
        <f t="shared" si="2"/>
        <v>6</v>
      </c>
    </row>
    <row r="184">
      <c r="A184" s="4">
        <v>45086.451726921296</v>
      </c>
      <c r="B184" s="3" t="s">
        <v>563</v>
      </c>
      <c r="C184" s="3" t="s">
        <v>564</v>
      </c>
      <c r="D184" s="3" t="s">
        <v>565</v>
      </c>
      <c r="E184" s="5">
        <v>28249.0</v>
      </c>
      <c r="F184" s="3">
        <v>2.5917273E7</v>
      </c>
      <c r="G184" s="3">
        <v>3.515138175E9</v>
      </c>
      <c r="H184" s="3" t="s">
        <v>27</v>
      </c>
      <c r="I184" s="3" t="s">
        <v>22</v>
      </c>
      <c r="J184" s="3" t="s">
        <v>76</v>
      </c>
      <c r="K184" s="6"/>
      <c r="L184" s="6"/>
      <c r="M184" s="6"/>
      <c r="N184" s="6"/>
      <c r="O184" s="6"/>
      <c r="P184" s="6"/>
      <c r="Q184" s="6"/>
      <c r="R184" s="7" t="str">
        <f>IF(H184="","",VLOOKUP(H184,'Hoja 9'!$A$1:$B$255,2,0))</f>
        <v>BOCA EN BOCA</v>
      </c>
      <c r="S184" s="7">
        <f t="shared" si="1"/>
        <v>2023</v>
      </c>
      <c r="T184" s="7">
        <f t="shared" si="2"/>
        <v>6</v>
      </c>
    </row>
    <row r="185">
      <c r="A185" s="4">
        <v>45086.82634329861</v>
      </c>
      <c r="B185" s="3" t="s">
        <v>566</v>
      </c>
      <c r="C185" s="3" t="s">
        <v>567</v>
      </c>
      <c r="D185" s="3" t="s">
        <v>568</v>
      </c>
      <c r="E185" s="5">
        <v>26319.0</v>
      </c>
      <c r="F185" s="3">
        <v>2.256362E7</v>
      </c>
      <c r="G185" s="3">
        <v>3.512050168E9</v>
      </c>
      <c r="H185" s="3" t="s">
        <v>27</v>
      </c>
      <c r="I185" s="3" t="s">
        <v>28</v>
      </c>
      <c r="R185" s="7" t="str">
        <f>IF(H185="","",VLOOKUP(H185,'Hoja 9'!$A$1:$B$255,2,0))</f>
        <v>BOCA EN BOCA</v>
      </c>
      <c r="S185" s="7">
        <f t="shared" si="1"/>
        <v>2023</v>
      </c>
      <c r="T185" s="7">
        <f t="shared" si="2"/>
        <v>6</v>
      </c>
    </row>
    <row r="186">
      <c r="A186" s="4">
        <v>45089.63113069444</v>
      </c>
      <c r="B186" s="3" t="s">
        <v>405</v>
      </c>
      <c r="C186" s="3" t="s">
        <v>569</v>
      </c>
      <c r="D186" s="3" t="s">
        <v>570</v>
      </c>
      <c r="E186" s="5">
        <v>23013.0</v>
      </c>
      <c r="F186" s="3">
        <v>1.6123236E7</v>
      </c>
      <c r="G186" s="3">
        <v>3.515631119E9</v>
      </c>
      <c r="H186" s="3" t="s">
        <v>27</v>
      </c>
      <c r="I186" s="3" t="s">
        <v>28</v>
      </c>
      <c r="R186" s="7" t="str">
        <f>IF(H186="","",VLOOKUP(H186,'Hoja 9'!$A$1:$B$255,2,0))</f>
        <v>BOCA EN BOCA</v>
      </c>
      <c r="S186" s="7">
        <f t="shared" si="1"/>
        <v>2023</v>
      </c>
      <c r="T186" s="7">
        <f t="shared" si="2"/>
        <v>6</v>
      </c>
    </row>
    <row r="187">
      <c r="A187" s="4">
        <v>45089.7304990625</v>
      </c>
      <c r="B187" s="3" t="s">
        <v>571</v>
      </c>
      <c r="C187" s="3" t="s">
        <v>572</v>
      </c>
      <c r="D187" s="3" t="s">
        <v>573</v>
      </c>
      <c r="E187" s="5">
        <v>27578.0</v>
      </c>
      <c r="F187" s="8">
        <v>2.4726469E7</v>
      </c>
      <c r="G187" s="3">
        <v>3.516575554E9</v>
      </c>
      <c r="H187" s="3" t="s">
        <v>148</v>
      </c>
      <c r="I187" s="3" t="s">
        <v>22</v>
      </c>
      <c r="J187" s="3" t="s">
        <v>149</v>
      </c>
      <c r="K187" s="6"/>
      <c r="L187" s="6"/>
      <c r="M187" s="6"/>
      <c r="N187" s="6"/>
      <c r="O187" s="6"/>
      <c r="P187" s="6"/>
      <c r="Q187" s="6"/>
      <c r="R187" s="7" t="str">
        <f>IF(H187="","",VLOOKUP(H187,'Hoja 9'!$A$1:$B$255,2,0))</f>
        <v>OBRA SOCIAL</v>
      </c>
      <c r="S187" s="7">
        <f t="shared" si="1"/>
        <v>2023</v>
      </c>
      <c r="T187" s="7">
        <f t="shared" si="2"/>
        <v>6</v>
      </c>
    </row>
    <row r="188">
      <c r="A188" s="4">
        <v>45090.72352435185</v>
      </c>
      <c r="B188" s="3" t="s">
        <v>574</v>
      </c>
      <c r="C188" s="3" t="s">
        <v>575</v>
      </c>
      <c r="D188" s="3" t="s">
        <v>576</v>
      </c>
      <c r="E188" s="5">
        <v>27482.0</v>
      </c>
      <c r="F188" s="3">
        <v>2.4504732E7</v>
      </c>
      <c r="G188" s="3">
        <v>3.512191091E9</v>
      </c>
      <c r="H188" s="3" t="s">
        <v>27</v>
      </c>
      <c r="I188" s="3" t="s">
        <v>28</v>
      </c>
      <c r="R188" s="7" t="str">
        <f>IF(H188="","",VLOOKUP(H188,'Hoja 9'!$A$1:$B$255,2,0))</f>
        <v>BOCA EN BOCA</v>
      </c>
      <c r="S188" s="7">
        <f t="shared" si="1"/>
        <v>2023</v>
      </c>
      <c r="T188" s="7">
        <f t="shared" si="2"/>
        <v>6</v>
      </c>
    </row>
    <row r="189">
      <c r="A189" s="4">
        <v>45090.73405766203</v>
      </c>
      <c r="B189" s="3" t="s">
        <v>577</v>
      </c>
      <c r="C189" s="3" t="s">
        <v>578</v>
      </c>
      <c r="D189" s="3" t="s">
        <v>579</v>
      </c>
      <c r="E189" s="5">
        <v>37677.0</v>
      </c>
      <c r="F189" s="3">
        <v>4.4672704E7</v>
      </c>
      <c r="G189" s="3">
        <v>3.5137396E9</v>
      </c>
      <c r="H189" s="3" t="s">
        <v>27</v>
      </c>
      <c r="I189" s="3" t="s">
        <v>22</v>
      </c>
      <c r="J189" s="3" t="s">
        <v>287</v>
      </c>
      <c r="K189" s="6"/>
      <c r="L189" s="6"/>
      <c r="M189" s="6"/>
      <c r="N189" s="6"/>
      <c r="O189" s="6"/>
      <c r="P189" s="6"/>
      <c r="Q189" s="6"/>
      <c r="R189" s="7" t="str">
        <f>IF(H189="","",VLOOKUP(H189,'Hoja 9'!$A$1:$B$255,2,0))</f>
        <v>BOCA EN BOCA</v>
      </c>
      <c r="S189" s="7">
        <f t="shared" si="1"/>
        <v>2023</v>
      </c>
      <c r="T189" s="7">
        <f t="shared" si="2"/>
        <v>6</v>
      </c>
    </row>
    <row r="190">
      <c r="A190" s="4">
        <v>45090.83396101852</v>
      </c>
      <c r="B190" s="3" t="s">
        <v>580</v>
      </c>
      <c r="C190" s="3" t="s">
        <v>581</v>
      </c>
      <c r="D190" s="3" t="s">
        <v>582</v>
      </c>
      <c r="E190" s="5">
        <v>29738.0</v>
      </c>
      <c r="F190" s="3">
        <v>2.885093E7</v>
      </c>
      <c r="G190" s="3">
        <v>3.513235241E9</v>
      </c>
      <c r="H190" s="3" t="s">
        <v>27</v>
      </c>
      <c r="I190" s="3" t="s">
        <v>22</v>
      </c>
      <c r="J190" s="3" t="s">
        <v>72</v>
      </c>
      <c r="K190" s="6"/>
      <c r="L190" s="6"/>
      <c r="M190" s="6"/>
      <c r="N190" s="6"/>
      <c r="O190" s="6"/>
      <c r="P190" s="6"/>
      <c r="Q190" s="6"/>
      <c r="R190" s="7" t="str">
        <f>IF(H190="","",VLOOKUP(H190,'Hoja 9'!$A$1:$B$255,2,0))</f>
        <v>BOCA EN BOCA</v>
      </c>
      <c r="S190" s="7">
        <f t="shared" si="1"/>
        <v>2023</v>
      </c>
      <c r="T190" s="7">
        <f t="shared" si="2"/>
        <v>6</v>
      </c>
    </row>
    <row r="191">
      <c r="A191" s="4">
        <v>45091.511530856485</v>
      </c>
      <c r="B191" s="3" t="s">
        <v>583</v>
      </c>
      <c r="C191" s="3" t="s">
        <v>584</v>
      </c>
      <c r="D191" s="3" t="s">
        <v>585</v>
      </c>
      <c r="E191" s="5">
        <v>37806.0</v>
      </c>
      <c r="F191" s="3">
        <v>4.4872734E7</v>
      </c>
      <c r="G191" s="3">
        <v>3.512254247E9</v>
      </c>
      <c r="H191" s="3" t="s">
        <v>44</v>
      </c>
      <c r="I191" s="3" t="s">
        <v>22</v>
      </c>
      <c r="J191" s="3" t="s">
        <v>586</v>
      </c>
      <c r="K191" s="6"/>
      <c r="L191" s="6"/>
      <c r="M191" s="6"/>
      <c r="N191" s="6"/>
      <c r="O191" s="6"/>
      <c r="P191" s="6"/>
      <c r="Q191" s="6"/>
      <c r="R191" s="7" t="str">
        <f>IF(H191="","",VLOOKUP(H191,'Hoja 9'!$A$1:$B$255,2,0))</f>
        <v>GIMNASIO</v>
      </c>
      <c r="S191" s="7">
        <f t="shared" si="1"/>
        <v>2023</v>
      </c>
      <c r="T191" s="7">
        <f t="shared" si="2"/>
        <v>6</v>
      </c>
    </row>
    <row r="192">
      <c r="A192" s="4">
        <v>45098.633617060186</v>
      </c>
      <c r="B192" s="3" t="s">
        <v>587</v>
      </c>
      <c r="C192" s="3" t="s">
        <v>78</v>
      </c>
      <c r="D192" s="3" t="s">
        <v>588</v>
      </c>
      <c r="E192" s="5">
        <v>22094.0</v>
      </c>
      <c r="F192" s="3">
        <v>1.3269689E7</v>
      </c>
      <c r="G192" s="3">
        <v>3.5136098E9</v>
      </c>
      <c r="H192" s="3" t="s">
        <v>27</v>
      </c>
      <c r="I192" s="3" t="s">
        <v>22</v>
      </c>
      <c r="J192" s="3" t="s">
        <v>68</v>
      </c>
      <c r="K192" s="6"/>
      <c r="L192" s="6"/>
      <c r="M192" s="6"/>
      <c r="N192" s="6"/>
      <c r="O192" s="6"/>
      <c r="P192" s="6"/>
      <c r="Q192" s="6"/>
      <c r="R192" s="7" t="str">
        <f>IF(H192="","",VLOOKUP(H192,'Hoja 9'!$A$1:$B$255,2,0))</f>
        <v>BOCA EN BOCA</v>
      </c>
      <c r="S192" s="7">
        <f t="shared" si="1"/>
        <v>2023</v>
      </c>
      <c r="T192" s="7">
        <f t="shared" si="2"/>
        <v>6</v>
      </c>
    </row>
    <row r="193">
      <c r="A193" s="4">
        <v>45098.86861443287</v>
      </c>
      <c r="B193" s="3" t="s">
        <v>589</v>
      </c>
      <c r="C193" s="3" t="s">
        <v>590</v>
      </c>
      <c r="D193" s="3" t="s">
        <v>591</v>
      </c>
      <c r="E193" s="5">
        <v>35140.0</v>
      </c>
      <c r="F193" s="3">
        <v>3.9605038E7</v>
      </c>
      <c r="G193" s="3">
        <v>3.516456821E9</v>
      </c>
      <c r="H193" s="3" t="s">
        <v>27</v>
      </c>
      <c r="I193" s="3" t="s">
        <v>22</v>
      </c>
      <c r="J193" s="3" t="s">
        <v>592</v>
      </c>
      <c r="K193" s="6"/>
      <c r="L193" s="6"/>
      <c r="M193" s="6"/>
      <c r="N193" s="6"/>
      <c r="O193" s="6"/>
      <c r="P193" s="6"/>
      <c r="Q193" s="6"/>
      <c r="R193" s="7" t="str">
        <f>IF(H193="","",VLOOKUP(H193,'Hoja 9'!$A$1:$B$255,2,0))</f>
        <v>BOCA EN BOCA</v>
      </c>
      <c r="S193" s="7">
        <f t="shared" si="1"/>
        <v>2023</v>
      </c>
      <c r="T193" s="7">
        <f t="shared" si="2"/>
        <v>6</v>
      </c>
    </row>
    <row r="194">
      <c r="A194" s="4">
        <v>45099.79159581018</v>
      </c>
      <c r="B194" s="3" t="s">
        <v>593</v>
      </c>
      <c r="C194" s="3" t="s">
        <v>594</v>
      </c>
      <c r="D194" s="3" t="s">
        <v>595</v>
      </c>
      <c r="E194" s="5">
        <v>37261.0</v>
      </c>
      <c r="F194" s="3">
        <v>4.3812698E7</v>
      </c>
      <c r="G194" s="3">
        <v>3.512834841E9</v>
      </c>
      <c r="H194" s="3" t="s">
        <v>27</v>
      </c>
      <c r="I194" s="3" t="s">
        <v>22</v>
      </c>
      <c r="J194" s="3" t="s">
        <v>23</v>
      </c>
      <c r="K194" s="6"/>
      <c r="L194" s="6"/>
      <c r="M194" s="6"/>
      <c r="N194" s="6"/>
      <c r="O194" s="6"/>
      <c r="P194" s="6"/>
      <c r="Q194" s="6"/>
      <c r="R194" s="7" t="str">
        <f>IF(H194="","",VLOOKUP(H194,'Hoja 9'!$A$1:$B$255,2,0))</f>
        <v>BOCA EN BOCA</v>
      </c>
      <c r="S194" s="7">
        <f t="shared" si="1"/>
        <v>2023</v>
      </c>
      <c r="T194" s="7">
        <f t="shared" si="2"/>
        <v>6</v>
      </c>
    </row>
    <row r="195">
      <c r="A195" s="4">
        <v>45099.832243275465</v>
      </c>
      <c r="B195" s="3" t="s">
        <v>596</v>
      </c>
      <c r="C195" s="3" t="s">
        <v>597</v>
      </c>
      <c r="D195" s="3" t="s">
        <v>598</v>
      </c>
      <c r="E195" s="5">
        <v>31941.0</v>
      </c>
      <c r="F195" s="3">
        <v>3.3101207E7</v>
      </c>
      <c r="G195" s="3">
        <v>3.513165406E9</v>
      </c>
      <c r="H195" s="3" t="s">
        <v>27</v>
      </c>
      <c r="I195" s="3" t="s">
        <v>28</v>
      </c>
      <c r="R195" s="7" t="str">
        <f>IF(H195="","",VLOOKUP(H195,'Hoja 9'!$A$1:$B$255,2,0))</f>
        <v>BOCA EN BOCA</v>
      </c>
      <c r="S195" s="7">
        <f t="shared" si="1"/>
        <v>2023</v>
      </c>
      <c r="T195" s="7">
        <f t="shared" si="2"/>
        <v>6</v>
      </c>
    </row>
    <row r="196">
      <c r="A196" s="4">
        <v>45100.63430614583</v>
      </c>
      <c r="B196" s="3" t="s">
        <v>599</v>
      </c>
      <c r="C196" s="3" t="s">
        <v>600</v>
      </c>
      <c r="D196" s="3" t="s">
        <v>601</v>
      </c>
      <c r="E196" s="5">
        <v>33540.0</v>
      </c>
      <c r="F196" s="3">
        <v>3.6141845E7</v>
      </c>
      <c r="G196" s="3">
        <v>3.516367337E9</v>
      </c>
      <c r="H196" s="3" t="s">
        <v>27</v>
      </c>
      <c r="I196" s="3" t="s">
        <v>28</v>
      </c>
      <c r="R196" s="7" t="str">
        <f>IF(H196="","",VLOOKUP(H196,'Hoja 9'!$A$1:$B$255,2,0))</f>
        <v>BOCA EN BOCA</v>
      </c>
      <c r="S196" s="7">
        <f t="shared" si="1"/>
        <v>2023</v>
      </c>
      <c r="T196" s="7">
        <f t="shared" si="2"/>
        <v>6</v>
      </c>
    </row>
    <row r="197">
      <c r="A197" s="4">
        <v>45103.70873989583</v>
      </c>
      <c r="B197" s="3" t="s">
        <v>602</v>
      </c>
      <c r="C197" s="3" t="s">
        <v>258</v>
      </c>
      <c r="D197" s="3" t="s">
        <v>603</v>
      </c>
      <c r="E197" s="5">
        <v>22168.0</v>
      </c>
      <c r="F197" s="3">
        <v>1.4292414E7</v>
      </c>
      <c r="G197" s="3">
        <v>3.517606768E9</v>
      </c>
      <c r="H197" s="3" t="s">
        <v>27</v>
      </c>
      <c r="I197" s="3" t="s">
        <v>22</v>
      </c>
      <c r="J197" s="3" t="s">
        <v>68</v>
      </c>
      <c r="K197" s="6"/>
      <c r="L197" s="6"/>
      <c r="M197" s="6"/>
      <c r="N197" s="6"/>
      <c r="O197" s="6"/>
      <c r="P197" s="6"/>
      <c r="Q197" s="6"/>
      <c r="R197" s="7" t="str">
        <f>IF(H197="","",VLOOKUP(H197,'Hoja 9'!$A$1:$B$255,2,0))</f>
        <v>BOCA EN BOCA</v>
      </c>
      <c r="S197" s="7">
        <f t="shared" si="1"/>
        <v>2023</v>
      </c>
      <c r="T197" s="7">
        <f t="shared" si="2"/>
        <v>6</v>
      </c>
    </row>
    <row r="198">
      <c r="A198" s="4">
        <v>45103.84089894676</v>
      </c>
      <c r="B198" s="3" t="s">
        <v>604</v>
      </c>
      <c r="C198" s="3" t="s">
        <v>252</v>
      </c>
      <c r="D198" s="3" t="s">
        <v>605</v>
      </c>
      <c r="E198" s="5">
        <v>36460.0</v>
      </c>
      <c r="F198" s="3">
        <v>4.2160571E7</v>
      </c>
      <c r="G198" s="3">
        <v>3.513492216E9</v>
      </c>
      <c r="H198" s="3" t="s">
        <v>27</v>
      </c>
      <c r="I198" s="3" t="s">
        <v>22</v>
      </c>
      <c r="J198" s="3" t="s">
        <v>58</v>
      </c>
      <c r="K198" s="6"/>
      <c r="L198" s="6"/>
      <c r="M198" s="6"/>
      <c r="N198" s="6"/>
      <c r="O198" s="6"/>
      <c r="P198" s="6"/>
      <c r="Q198" s="6"/>
      <c r="R198" s="7" t="str">
        <f>IF(H198="","",VLOOKUP(H198,'Hoja 9'!$A$1:$B$255,2,0))</f>
        <v>BOCA EN BOCA</v>
      </c>
      <c r="S198" s="7">
        <f t="shared" si="1"/>
        <v>2023</v>
      </c>
      <c r="T198" s="7">
        <f t="shared" si="2"/>
        <v>6</v>
      </c>
    </row>
    <row r="199">
      <c r="A199" s="4">
        <v>45104.86476898148</v>
      </c>
      <c r="B199" s="3" t="s">
        <v>606</v>
      </c>
      <c r="C199" s="3" t="s">
        <v>607</v>
      </c>
      <c r="D199" s="3" t="s">
        <v>608</v>
      </c>
      <c r="E199" s="5">
        <v>39045.0</v>
      </c>
      <c r="F199" s="3">
        <v>4.7351636E7</v>
      </c>
      <c r="G199" s="3">
        <v>3.515306105E9</v>
      </c>
      <c r="H199" s="3" t="s">
        <v>27</v>
      </c>
      <c r="I199" s="3" t="s">
        <v>22</v>
      </c>
      <c r="J199" s="3" t="s">
        <v>23</v>
      </c>
      <c r="K199" s="6"/>
      <c r="L199" s="6"/>
      <c r="M199" s="6"/>
      <c r="N199" s="6"/>
      <c r="O199" s="6"/>
      <c r="P199" s="6"/>
      <c r="Q199" s="6"/>
      <c r="R199" s="7" t="str">
        <f>IF(H199="","",VLOOKUP(H199,'Hoja 9'!$A$1:$B$255,2,0))</f>
        <v>BOCA EN BOCA</v>
      </c>
      <c r="S199" s="7">
        <f t="shared" si="1"/>
        <v>2023</v>
      </c>
      <c r="T199" s="7">
        <f t="shared" si="2"/>
        <v>6</v>
      </c>
    </row>
    <row r="200">
      <c r="A200" s="4">
        <v>45105.66254804398</v>
      </c>
      <c r="B200" s="3" t="s">
        <v>609</v>
      </c>
      <c r="C200" s="3" t="s">
        <v>508</v>
      </c>
      <c r="D200" s="3" t="s">
        <v>610</v>
      </c>
      <c r="E200" s="5">
        <v>37264.0</v>
      </c>
      <c r="F200" s="3">
        <v>4.3880406E7</v>
      </c>
      <c r="G200" s="3">
        <v>3.513302736E9</v>
      </c>
      <c r="H200" s="3" t="s">
        <v>27</v>
      </c>
      <c r="I200" s="3" t="s">
        <v>28</v>
      </c>
      <c r="R200" s="7" t="str">
        <f>IF(H200="","",VLOOKUP(H200,'Hoja 9'!$A$1:$B$255,2,0))</f>
        <v>BOCA EN BOCA</v>
      </c>
      <c r="S200" s="7">
        <f t="shared" si="1"/>
        <v>2023</v>
      </c>
      <c r="T200" s="7">
        <f t="shared" si="2"/>
        <v>6</v>
      </c>
    </row>
    <row r="201">
      <c r="A201" s="4">
        <v>45105.81765871528</v>
      </c>
      <c r="B201" s="3" t="s">
        <v>611</v>
      </c>
      <c r="C201" s="3" t="s">
        <v>612</v>
      </c>
      <c r="D201" s="3" t="s">
        <v>613</v>
      </c>
      <c r="E201" s="5">
        <v>35508.0</v>
      </c>
      <c r="F201" s="3">
        <v>4.0108393E7</v>
      </c>
      <c r="G201" s="3">
        <v>3.515488755E9</v>
      </c>
      <c r="H201" s="3" t="s">
        <v>27</v>
      </c>
      <c r="I201" s="3" t="s">
        <v>22</v>
      </c>
      <c r="J201" s="3" t="s">
        <v>58</v>
      </c>
      <c r="K201" s="6"/>
      <c r="L201" s="6"/>
      <c r="M201" s="6"/>
      <c r="N201" s="6"/>
      <c r="O201" s="6"/>
      <c r="P201" s="6"/>
      <c r="Q201" s="6"/>
      <c r="R201" s="7" t="str">
        <f>IF(H201="","",VLOOKUP(H201,'Hoja 9'!$A$1:$B$255,2,0))</f>
        <v>BOCA EN BOCA</v>
      </c>
      <c r="S201" s="7">
        <f t="shared" si="1"/>
        <v>2023</v>
      </c>
      <c r="T201" s="7">
        <f t="shared" si="2"/>
        <v>6</v>
      </c>
    </row>
    <row r="202">
      <c r="A202" s="4">
        <v>45106.79437310185</v>
      </c>
      <c r="B202" s="3" t="s">
        <v>486</v>
      </c>
      <c r="C202" s="3" t="s">
        <v>614</v>
      </c>
      <c r="D202" s="3" t="s">
        <v>615</v>
      </c>
      <c r="E202" s="5">
        <v>25443.0</v>
      </c>
      <c r="F202" s="3">
        <v>2.0785446E7</v>
      </c>
      <c r="G202" s="3">
        <v>3.513755004E9</v>
      </c>
      <c r="H202" s="3" t="s">
        <v>44</v>
      </c>
      <c r="I202" s="3" t="s">
        <v>22</v>
      </c>
      <c r="J202" s="3" t="s">
        <v>23</v>
      </c>
      <c r="K202" s="6"/>
      <c r="L202" s="6"/>
      <c r="M202" s="6"/>
      <c r="N202" s="6"/>
      <c r="O202" s="6"/>
      <c r="P202" s="6"/>
      <c r="Q202" s="6"/>
      <c r="R202" s="7" t="str">
        <f>IF(H202="","",VLOOKUP(H202,'Hoja 9'!$A$1:$B$255,2,0))</f>
        <v>GIMNASIO</v>
      </c>
      <c r="S202" s="7">
        <f t="shared" si="1"/>
        <v>2023</v>
      </c>
      <c r="T202" s="7">
        <f t="shared" si="2"/>
        <v>6</v>
      </c>
    </row>
    <row r="203">
      <c r="A203" s="4">
        <v>45106.80147255787</v>
      </c>
      <c r="B203" s="3" t="s">
        <v>616</v>
      </c>
      <c r="C203" s="3" t="s">
        <v>296</v>
      </c>
      <c r="D203" s="3" t="s">
        <v>617</v>
      </c>
      <c r="E203" s="5">
        <v>32258.0</v>
      </c>
      <c r="F203" s="3">
        <v>3.3701488E7</v>
      </c>
      <c r="G203" s="3">
        <v>3.515720444E9</v>
      </c>
      <c r="H203" s="3" t="s">
        <v>27</v>
      </c>
      <c r="I203" s="3" t="s">
        <v>28</v>
      </c>
      <c r="R203" s="7" t="str">
        <f>IF(H203="","",VLOOKUP(H203,'Hoja 9'!$A$1:$B$255,2,0))</f>
        <v>BOCA EN BOCA</v>
      </c>
      <c r="S203" s="7">
        <f t="shared" si="1"/>
        <v>2023</v>
      </c>
      <c r="T203" s="7">
        <f t="shared" si="2"/>
        <v>6</v>
      </c>
    </row>
    <row r="204">
      <c r="A204" s="4">
        <v>45107.773273136576</v>
      </c>
      <c r="B204" s="3" t="s">
        <v>618</v>
      </c>
      <c r="C204" s="3" t="s">
        <v>619</v>
      </c>
      <c r="D204" s="3" t="s">
        <v>620</v>
      </c>
      <c r="E204" s="5">
        <v>45107.0</v>
      </c>
      <c r="F204" s="3">
        <v>3749490.0</v>
      </c>
      <c r="G204" s="3">
        <v>3.512357242E9</v>
      </c>
      <c r="H204" s="3" t="s">
        <v>21</v>
      </c>
      <c r="I204" s="3" t="s">
        <v>28</v>
      </c>
      <c r="R204" s="7" t="str">
        <f>IF(H204="","",VLOOKUP(H204,'Hoja 9'!$A$1:$B$255,2,0))</f>
        <v>GOOGLE</v>
      </c>
      <c r="S204" s="7">
        <f t="shared" si="1"/>
        <v>2023</v>
      </c>
      <c r="T204" s="7">
        <f t="shared" si="2"/>
        <v>6</v>
      </c>
    </row>
    <row r="205">
      <c r="A205" s="4">
        <v>45110.395088668985</v>
      </c>
      <c r="B205" s="3" t="s">
        <v>621</v>
      </c>
      <c r="C205" s="3" t="s">
        <v>622</v>
      </c>
      <c r="D205" s="3" t="s">
        <v>623</v>
      </c>
      <c r="E205" s="5">
        <v>30315.0</v>
      </c>
      <c r="F205" s="3">
        <v>2.9858145E7</v>
      </c>
      <c r="G205" s="3">
        <v>3.513272243E9</v>
      </c>
      <c r="H205" s="3" t="s">
        <v>21</v>
      </c>
      <c r="I205" s="3" t="s">
        <v>22</v>
      </c>
      <c r="J205" s="3" t="s">
        <v>72</v>
      </c>
      <c r="K205" s="6"/>
      <c r="L205" s="6"/>
      <c r="M205" s="6"/>
      <c r="N205" s="6"/>
      <c r="O205" s="6"/>
      <c r="P205" s="6"/>
      <c r="Q205" s="6"/>
      <c r="R205" s="7" t="str">
        <f>IF(H205="","",VLOOKUP(H205,'Hoja 9'!$A$1:$B$255,2,0))</f>
        <v>GOOGLE</v>
      </c>
      <c r="S205" s="7">
        <f t="shared" si="1"/>
        <v>2023</v>
      </c>
      <c r="T205" s="7">
        <f t="shared" si="2"/>
        <v>7</v>
      </c>
    </row>
    <row r="206">
      <c r="A206" s="4">
        <v>45110.62329737269</v>
      </c>
      <c r="B206" s="3" t="s">
        <v>624</v>
      </c>
      <c r="C206" s="3" t="s">
        <v>597</v>
      </c>
      <c r="E206" s="5">
        <v>19428.0</v>
      </c>
      <c r="F206" s="3">
        <v>1.0420633E7</v>
      </c>
      <c r="G206" s="3">
        <v>3.517664617E9</v>
      </c>
      <c r="H206" s="3" t="s">
        <v>44</v>
      </c>
      <c r="I206" s="3" t="s">
        <v>22</v>
      </c>
      <c r="J206" s="3" t="s">
        <v>625</v>
      </c>
      <c r="K206" s="6"/>
      <c r="L206" s="6"/>
      <c r="M206" s="6"/>
      <c r="N206" s="6"/>
      <c r="O206" s="6"/>
      <c r="P206" s="6"/>
      <c r="Q206" s="6"/>
      <c r="R206" s="7" t="str">
        <f>IF(H206="","",VLOOKUP(H206,'Hoja 9'!$A$1:$B$255,2,0))</f>
        <v>GIMNASIO</v>
      </c>
      <c r="S206" s="7">
        <f t="shared" si="1"/>
        <v>2023</v>
      </c>
      <c r="T206" s="7">
        <f t="shared" si="2"/>
        <v>7</v>
      </c>
    </row>
    <row r="207">
      <c r="A207" s="4">
        <v>45110.745138715276</v>
      </c>
      <c r="B207" s="3" t="s">
        <v>626</v>
      </c>
      <c r="C207" s="3" t="s">
        <v>627</v>
      </c>
      <c r="D207" s="3" t="s">
        <v>628</v>
      </c>
      <c r="E207" s="5">
        <v>22912.0</v>
      </c>
      <c r="F207" s="3">
        <v>1.6322891E7</v>
      </c>
      <c r="G207" s="3">
        <v>2.944663487E9</v>
      </c>
      <c r="H207" s="3" t="s">
        <v>27</v>
      </c>
      <c r="I207" s="3" t="s">
        <v>22</v>
      </c>
      <c r="J207" s="3" t="s">
        <v>23</v>
      </c>
      <c r="K207" s="6"/>
      <c r="L207" s="6"/>
      <c r="M207" s="6"/>
      <c r="N207" s="6"/>
      <c r="O207" s="6"/>
      <c r="P207" s="6"/>
      <c r="Q207" s="6"/>
      <c r="R207" s="7" t="str">
        <f>IF(H207="","",VLOOKUP(H207,'Hoja 9'!$A$1:$B$255,2,0))</f>
        <v>BOCA EN BOCA</v>
      </c>
      <c r="S207" s="7">
        <f t="shared" si="1"/>
        <v>2023</v>
      </c>
      <c r="T207" s="7">
        <f t="shared" si="2"/>
        <v>7</v>
      </c>
    </row>
    <row r="208">
      <c r="A208" s="4">
        <v>45110.8484321875</v>
      </c>
      <c r="B208" s="3" t="s">
        <v>629</v>
      </c>
      <c r="C208" s="3" t="s">
        <v>630</v>
      </c>
      <c r="D208" s="3" t="s">
        <v>631</v>
      </c>
      <c r="E208" s="5">
        <v>25003.0</v>
      </c>
      <c r="F208" s="3">
        <v>2.0314883E7</v>
      </c>
      <c r="G208" s="3">
        <v>3.512804614E9</v>
      </c>
      <c r="H208" s="3" t="s">
        <v>21</v>
      </c>
      <c r="I208" s="3" t="s">
        <v>22</v>
      </c>
      <c r="J208" s="3" t="s">
        <v>23</v>
      </c>
      <c r="K208" s="6"/>
      <c r="L208" s="6"/>
      <c r="M208" s="6"/>
      <c r="N208" s="6"/>
      <c r="O208" s="6"/>
      <c r="P208" s="6"/>
      <c r="Q208" s="6"/>
      <c r="R208" s="7" t="str">
        <f>IF(H208="","",VLOOKUP(H208,'Hoja 9'!$A$1:$B$255,2,0))</f>
        <v>GOOGLE</v>
      </c>
      <c r="S208" s="7">
        <f t="shared" si="1"/>
        <v>2023</v>
      </c>
      <c r="T208" s="7">
        <f t="shared" si="2"/>
        <v>7</v>
      </c>
    </row>
    <row r="209">
      <c r="A209" s="4">
        <v>45110.862711064816</v>
      </c>
      <c r="B209" s="3" t="s">
        <v>632</v>
      </c>
      <c r="C209" s="3" t="s">
        <v>633</v>
      </c>
      <c r="D209" s="3" t="s">
        <v>634</v>
      </c>
      <c r="E209" s="5">
        <v>32509.0</v>
      </c>
      <c r="F209" s="3">
        <v>3.4359932E7</v>
      </c>
      <c r="G209" s="3">
        <v>3.496547548E9</v>
      </c>
      <c r="H209" s="3" t="s">
        <v>635</v>
      </c>
      <c r="I209" s="3" t="s">
        <v>28</v>
      </c>
      <c r="R209" s="7" t="str">
        <f>IF(H209="","",VLOOKUP(H209,'Hoja 9'!$A$1:$B$255,2,0))</f>
        <v>GOOGLE</v>
      </c>
      <c r="S209" s="7">
        <f t="shared" si="1"/>
        <v>2023</v>
      </c>
      <c r="T209" s="7">
        <f t="shared" si="2"/>
        <v>7</v>
      </c>
    </row>
    <row r="210">
      <c r="A210" s="4">
        <v>45111.862171053246</v>
      </c>
      <c r="B210" s="3" t="s">
        <v>636</v>
      </c>
      <c r="C210" s="3" t="s">
        <v>133</v>
      </c>
      <c r="D210" s="3" t="s">
        <v>637</v>
      </c>
      <c r="E210" s="5">
        <v>31591.0</v>
      </c>
      <c r="F210" s="3">
        <v>3.2346839E7</v>
      </c>
      <c r="G210" s="3">
        <v>3.51248292E9</v>
      </c>
      <c r="H210" s="3" t="s">
        <v>44</v>
      </c>
      <c r="I210" s="3" t="s">
        <v>22</v>
      </c>
      <c r="J210" s="3" t="s">
        <v>638</v>
      </c>
      <c r="K210" s="6"/>
      <c r="L210" s="6"/>
      <c r="M210" s="6"/>
      <c r="N210" s="6"/>
      <c r="O210" s="6"/>
      <c r="P210" s="6"/>
      <c r="Q210" s="6"/>
      <c r="R210" s="7" t="str">
        <f>IF(H210="","",VLOOKUP(H210,'Hoja 9'!$A$1:$B$255,2,0))</f>
        <v>GIMNASIO</v>
      </c>
      <c r="S210" s="7">
        <f t="shared" si="1"/>
        <v>2023</v>
      </c>
      <c r="T210" s="7">
        <f t="shared" si="2"/>
        <v>7</v>
      </c>
    </row>
    <row r="211">
      <c r="A211" s="4">
        <v>45112.41862252315</v>
      </c>
      <c r="B211" s="3" t="s">
        <v>639</v>
      </c>
      <c r="C211" s="3" t="s">
        <v>640</v>
      </c>
      <c r="D211" s="3" t="s">
        <v>641</v>
      </c>
      <c r="E211" s="5">
        <v>36227.0</v>
      </c>
      <c r="F211" s="3">
        <v>4.1711554E7</v>
      </c>
      <c r="G211" s="3">
        <v>3.518082314E9</v>
      </c>
      <c r="H211" s="3" t="s">
        <v>21</v>
      </c>
      <c r="I211" s="3" t="s">
        <v>28</v>
      </c>
      <c r="R211" s="7" t="str">
        <f>IF(H211="","",VLOOKUP(H211,'Hoja 9'!$A$1:$B$255,2,0))</f>
        <v>GOOGLE</v>
      </c>
      <c r="S211" s="7">
        <f t="shared" si="1"/>
        <v>2023</v>
      </c>
      <c r="T211" s="7">
        <f t="shared" si="2"/>
        <v>7</v>
      </c>
    </row>
    <row r="212">
      <c r="A212" s="4">
        <v>45112.79439216435</v>
      </c>
      <c r="B212" s="3" t="s">
        <v>642</v>
      </c>
      <c r="C212" s="3" t="s">
        <v>643</v>
      </c>
      <c r="E212" s="5">
        <v>17510.0</v>
      </c>
      <c r="F212" s="3">
        <v>5720058.0</v>
      </c>
      <c r="G212" s="3">
        <v>3.514084599E9</v>
      </c>
      <c r="H212" s="3" t="s">
        <v>27</v>
      </c>
      <c r="I212" s="3" t="s">
        <v>28</v>
      </c>
      <c r="R212" s="7" t="str">
        <f>IF(H212="","",VLOOKUP(H212,'Hoja 9'!$A$1:$B$255,2,0))</f>
        <v>BOCA EN BOCA</v>
      </c>
      <c r="S212" s="7">
        <f t="shared" si="1"/>
        <v>2023</v>
      </c>
      <c r="T212" s="7">
        <f t="shared" si="2"/>
        <v>7</v>
      </c>
    </row>
    <row r="213">
      <c r="A213" s="4">
        <v>45113.77730648148</v>
      </c>
      <c r="B213" s="3" t="s">
        <v>644</v>
      </c>
      <c r="C213" s="3" t="s">
        <v>645</v>
      </c>
      <c r="D213" s="3" t="s">
        <v>646</v>
      </c>
      <c r="E213" s="5">
        <v>32273.0</v>
      </c>
      <c r="F213" s="3">
        <v>3.3750088E7</v>
      </c>
      <c r="G213" s="3">
        <v>3.516638041E9</v>
      </c>
      <c r="H213" s="3" t="s">
        <v>21</v>
      </c>
      <c r="I213" s="3" t="s">
        <v>28</v>
      </c>
      <c r="R213" s="7" t="str">
        <f>IF(H213="","",VLOOKUP(H213,'Hoja 9'!$A$1:$B$255,2,0))</f>
        <v>GOOGLE</v>
      </c>
      <c r="S213" s="7">
        <f t="shared" si="1"/>
        <v>2023</v>
      </c>
      <c r="T213" s="7">
        <f t="shared" si="2"/>
        <v>7</v>
      </c>
    </row>
    <row r="214">
      <c r="A214" s="4">
        <v>45113.835546331014</v>
      </c>
      <c r="B214" s="3" t="s">
        <v>647</v>
      </c>
      <c r="C214" s="3" t="s">
        <v>648</v>
      </c>
      <c r="D214" s="3" t="s">
        <v>649</v>
      </c>
      <c r="E214" s="5">
        <v>21061.0</v>
      </c>
      <c r="F214" s="3">
        <v>1.3015797E7</v>
      </c>
      <c r="G214" s="3">
        <v>3.512411843E9</v>
      </c>
      <c r="H214" s="3" t="s">
        <v>650</v>
      </c>
      <c r="I214" s="3" t="s">
        <v>22</v>
      </c>
      <c r="J214" s="3" t="s">
        <v>23</v>
      </c>
      <c r="K214" s="6"/>
      <c r="L214" s="6"/>
      <c r="M214" s="6"/>
      <c r="N214" s="6"/>
      <c r="O214" s="6"/>
      <c r="P214" s="6"/>
      <c r="Q214" s="6"/>
      <c r="R214" s="7" t="str">
        <f>IF(H214="","",VLOOKUP(H214,'Hoja 9'!$A$1:$B$255,2,0))</f>
        <v>BOCA EN BOCA</v>
      </c>
      <c r="S214" s="7">
        <f t="shared" si="1"/>
        <v>2023</v>
      </c>
      <c r="T214" s="7">
        <f t="shared" si="2"/>
        <v>7</v>
      </c>
    </row>
    <row r="215">
      <c r="A215" s="4">
        <v>45114.85701133102</v>
      </c>
      <c r="B215" s="3" t="s">
        <v>651</v>
      </c>
      <c r="C215" s="3" t="s">
        <v>652</v>
      </c>
      <c r="D215" s="3" t="s">
        <v>653</v>
      </c>
      <c r="E215" s="5">
        <v>27060.0</v>
      </c>
      <c r="F215" s="3">
        <v>2.3855018E7</v>
      </c>
      <c r="G215" s="3">
        <v>3.516635355E9</v>
      </c>
      <c r="H215" s="3" t="s">
        <v>27</v>
      </c>
      <c r="I215" s="3" t="s">
        <v>28</v>
      </c>
      <c r="R215" s="7" t="str">
        <f>IF(H215="","",VLOOKUP(H215,'Hoja 9'!$A$1:$B$255,2,0))</f>
        <v>BOCA EN BOCA</v>
      </c>
      <c r="S215" s="7">
        <f t="shared" si="1"/>
        <v>2023</v>
      </c>
      <c r="T215" s="7">
        <f t="shared" si="2"/>
        <v>7</v>
      </c>
    </row>
    <row r="216">
      <c r="A216" s="4">
        <v>45117.50743975694</v>
      </c>
      <c r="B216" s="3" t="s">
        <v>654</v>
      </c>
      <c r="C216" s="3" t="s">
        <v>655</v>
      </c>
      <c r="D216" s="3" t="s">
        <v>656</v>
      </c>
      <c r="E216" s="5" t="s">
        <v>657</v>
      </c>
      <c r="F216" s="3">
        <v>2.1408913E7</v>
      </c>
      <c r="G216" s="3">
        <v>3.516777328E9</v>
      </c>
      <c r="H216" s="3" t="s">
        <v>21</v>
      </c>
      <c r="I216" s="3" t="s">
        <v>22</v>
      </c>
      <c r="J216" s="3" t="s">
        <v>23</v>
      </c>
      <c r="K216" s="6"/>
      <c r="L216" s="6"/>
      <c r="M216" s="6"/>
      <c r="N216" s="6"/>
      <c r="O216" s="6"/>
      <c r="P216" s="6"/>
      <c r="Q216" s="6"/>
      <c r="R216" s="7" t="str">
        <f>IF(H216="","",VLOOKUP(H216,'Hoja 9'!$A$1:$B$255,2,0))</f>
        <v>GOOGLE</v>
      </c>
      <c r="S216" s="7">
        <f t="shared" si="1"/>
        <v>2023</v>
      </c>
      <c r="T216" s="7">
        <f t="shared" si="2"/>
        <v>7</v>
      </c>
    </row>
    <row r="217">
      <c r="A217" s="4">
        <v>45117.74695178241</v>
      </c>
      <c r="B217" s="3" t="s">
        <v>409</v>
      </c>
      <c r="C217" s="3" t="s">
        <v>658</v>
      </c>
      <c r="D217" s="3" t="s">
        <v>659</v>
      </c>
      <c r="E217" s="5">
        <v>14901.0</v>
      </c>
      <c r="F217" s="3">
        <v>3969031.0</v>
      </c>
      <c r="G217" s="3">
        <v>9.3855093215E10</v>
      </c>
      <c r="H217" s="3" t="s">
        <v>27</v>
      </c>
      <c r="I217" s="3" t="s">
        <v>22</v>
      </c>
      <c r="J217" s="3" t="s">
        <v>23</v>
      </c>
      <c r="K217" s="6"/>
      <c r="L217" s="6"/>
      <c r="M217" s="6"/>
      <c r="N217" s="6"/>
      <c r="O217" s="6"/>
      <c r="P217" s="6"/>
      <c r="Q217" s="6"/>
      <c r="R217" s="7" t="str">
        <f>IF(H217="","",VLOOKUP(H217,'Hoja 9'!$A$1:$B$255,2,0))</f>
        <v>BOCA EN BOCA</v>
      </c>
      <c r="S217" s="7">
        <f t="shared" si="1"/>
        <v>2023</v>
      </c>
      <c r="T217" s="7">
        <f t="shared" si="2"/>
        <v>7</v>
      </c>
    </row>
    <row r="218">
      <c r="A218" s="4">
        <v>45117.77362984954</v>
      </c>
      <c r="B218" s="3" t="s">
        <v>660</v>
      </c>
      <c r="C218" s="3" t="s">
        <v>661</v>
      </c>
      <c r="D218" s="3" t="s">
        <v>662</v>
      </c>
      <c r="E218" s="5">
        <v>39167.0</v>
      </c>
      <c r="F218" s="3">
        <v>4.7662389E7</v>
      </c>
      <c r="G218" s="3">
        <v>3.513097972E9</v>
      </c>
      <c r="H218" s="3" t="s">
        <v>27</v>
      </c>
      <c r="I218" s="3" t="s">
        <v>22</v>
      </c>
      <c r="J218" s="3" t="s">
        <v>72</v>
      </c>
      <c r="K218" s="6"/>
      <c r="L218" s="6"/>
      <c r="M218" s="6"/>
      <c r="N218" s="6"/>
      <c r="O218" s="6"/>
      <c r="P218" s="6"/>
      <c r="Q218" s="6"/>
      <c r="R218" s="7" t="str">
        <f>IF(H218="","",VLOOKUP(H218,'Hoja 9'!$A$1:$B$255,2,0))</f>
        <v>BOCA EN BOCA</v>
      </c>
      <c r="S218" s="7">
        <f t="shared" si="1"/>
        <v>2023</v>
      </c>
      <c r="T218" s="7">
        <f t="shared" si="2"/>
        <v>7</v>
      </c>
    </row>
    <row r="219">
      <c r="A219" s="4">
        <v>45117.77401148148</v>
      </c>
      <c r="B219" s="3" t="s">
        <v>663</v>
      </c>
      <c r="C219" s="3" t="s">
        <v>296</v>
      </c>
      <c r="D219" s="3" t="s">
        <v>664</v>
      </c>
      <c r="E219" s="5">
        <v>38054.0</v>
      </c>
      <c r="F219" s="3">
        <v>4.5347418E7</v>
      </c>
      <c r="G219" s="3">
        <v>3.512641035E10</v>
      </c>
      <c r="H219" s="3" t="s">
        <v>27</v>
      </c>
      <c r="I219" s="3" t="s">
        <v>22</v>
      </c>
      <c r="J219" s="3" t="s">
        <v>665</v>
      </c>
      <c r="K219" s="6"/>
      <c r="L219" s="6"/>
      <c r="M219" s="6"/>
      <c r="N219" s="6"/>
      <c r="O219" s="6"/>
      <c r="P219" s="6"/>
      <c r="Q219" s="6"/>
      <c r="R219" s="7" t="str">
        <f>IF(H219="","",VLOOKUP(H219,'Hoja 9'!$A$1:$B$255,2,0))</f>
        <v>BOCA EN BOCA</v>
      </c>
      <c r="S219" s="7">
        <f t="shared" si="1"/>
        <v>2023</v>
      </c>
      <c r="T219" s="7">
        <f t="shared" si="2"/>
        <v>7</v>
      </c>
    </row>
    <row r="220">
      <c r="A220" s="4">
        <v>45117.784022974534</v>
      </c>
      <c r="B220" s="3" t="s">
        <v>227</v>
      </c>
      <c r="C220" s="3" t="s">
        <v>521</v>
      </c>
      <c r="D220" s="3" t="s">
        <v>666</v>
      </c>
      <c r="E220" s="5">
        <v>31355.0</v>
      </c>
      <c r="F220" s="3">
        <v>3.1947019E7</v>
      </c>
      <c r="G220" s="3">
        <v>3.515494355E9</v>
      </c>
      <c r="H220" s="3" t="s">
        <v>44</v>
      </c>
      <c r="I220" s="3" t="s">
        <v>22</v>
      </c>
      <c r="J220" s="3" t="s">
        <v>667</v>
      </c>
      <c r="K220" s="6"/>
      <c r="L220" s="6"/>
      <c r="M220" s="6"/>
      <c r="N220" s="6"/>
      <c r="O220" s="6"/>
      <c r="P220" s="6"/>
      <c r="Q220" s="6"/>
      <c r="R220" s="7" t="str">
        <f>IF(H220="","",VLOOKUP(H220,'Hoja 9'!$A$1:$B$255,2,0))</f>
        <v>GIMNASIO</v>
      </c>
      <c r="S220" s="7">
        <f t="shared" si="1"/>
        <v>2023</v>
      </c>
      <c r="T220" s="7">
        <f t="shared" si="2"/>
        <v>7</v>
      </c>
    </row>
    <row r="221">
      <c r="A221" s="4">
        <v>45118.46983311343</v>
      </c>
      <c r="B221" s="3" t="s">
        <v>668</v>
      </c>
      <c r="C221" s="3" t="s">
        <v>669</v>
      </c>
      <c r="D221" s="3" t="s">
        <v>670</v>
      </c>
      <c r="E221" s="5">
        <v>25060.0</v>
      </c>
      <c r="F221" s="3">
        <v>2.0299407E7</v>
      </c>
      <c r="G221" s="3">
        <v>3.515053549E9</v>
      </c>
      <c r="H221" s="3" t="s">
        <v>27</v>
      </c>
      <c r="I221" s="3" t="s">
        <v>28</v>
      </c>
      <c r="R221" s="7" t="str">
        <f>IF(H221="","",VLOOKUP(H221,'Hoja 9'!$A$1:$B$255,2,0))</f>
        <v>BOCA EN BOCA</v>
      </c>
      <c r="S221" s="7">
        <f t="shared" si="1"/>
        <v>2023</v>
      </c>
      <c r="T221" s="7">
        <f t="shared" si="2"/>
        <v>7</v>
      </c>
    </row>
    <row r="222">
      <c r="A222" s="4">
        <v>45118.77661962963</v>
      </c>
      <c r="B222" s="3" t="s">
        <v>671</v>
      </c>
      <c r="C222" s="3" t="s">
        <v>218</v>
      </c>
      <c r="D222" s="3" t="s">
        <v>672</v>
      </c>
      <c r="E222" s="5">
        <v>31097.0</v>
      </c>
      <c r="F222" s="3">
        <v>3.1357652E7</v>
      </c>
      <c r="G222" s="3">
        <v>3.512374665E9</v>
      </c>
      <c r="H222" s="3" t="s">
        <v>44</v>
      </c>
      <c r="I222" s="3" t="s">
        <v>22</v>
      </c>
      <c r="J222" s="3" t="s">
        <v>673</v>
      </c>
      <c r="K222" s="6"/>
      <c r="L222" s="6"/>
      <c r="M222" s="6"/>
      <c r="N222" s="6"/>
      <c r="O222" s="6"/>
      <c r="P222" s="6"/>
      <c r="Q222" s="6"/>
      <c r="R222" s="7" t="str">
        <f>IF(H222="","",VLOOKUP(H222,'Hoja 9'!$A$1:$B$255,2,0))</f>
        <v>GIMNASIO</v>
      </c>
      <c r="S222" s="7">
        <f t="shared" si="1"/>
        <v>2023</v>
      </c>
      <c r="T222" s="7">
        <f t="shared" si="2"/>
        <v>7</v>
      </c>
    </row>
    <row r="223">
      <c r="A223" s="4">
        <v>45120.35700215278</v>
      </c>
      <c r="B223" s="3" t="s">
        <v>674</v>
      </c>
      <c r="C223" s="3" t="s">
        <v>675</v>
      </c>
      <c r="D223" s="3" t="s">
        <v>676</v>
      </c>
      <c r="E223" s="5">
        <v>33565.0</v>
      </c>
      <c r="F223" s="3">
        <v>3.6143553E7</v>
      </c>
      <c r="G223" s="3">
        <v>3.513915833E9</v>
      </c>
      <c r="H223" s="3" t="s">
        <v>21</v>
      </c>
      <c r="I223" s="3" t="s">
        <v>28</v>
      </c>
      <c r="R223" s="7" t="str">
        <f>IF(H223="","",VLOOKUP(H223,'Hoja 9'!$A$1:$B$255,2,0))</f>
        <v>GOOGLE</v>
      </c>
      <c r="S223" s="7">
        <f t="shared" si="1"/>
        <v>2023</v>
      </c>
      <c r="T223" s="7">
        <f t="shared" si="2"/>
        <v>7</v>
      </c>
    </row>
    <row r="224">
      <c r="A224" s="4">
        <v>45120.52665453704</v>
      </c>
      <c r="B224" s="3" t="s">
        <v>677</v>
      </c>
      <c r="C224" s="3" t="s">
        <v>678</v>
      </c>
      <c r="D224" s="3" t="s">
        <v>679</v>
      </c>
      <c r="E224" s="5">
        <v>28768.0</v>
      </c>
      <c r="F224" s="3">
        <v>2.6903597E7</v>
      </c>
      <c r="G224" s="3">
        <v>3.51657707E9</v>
      </c>
      <c r="H224" s="3" t="s">
        <v>21</v>
      </c>
      <c r="I224" s="3" t="s">
        <v>22</v>
      </c>
      <c r="J224" s="3" t="s">
        <v>287</v>
      </c>
      <c r="K224" s="6"/>
      <c r="L224" s="6"/>
      <c r="M224" s="6"/>
      <c r="N224" s="6"/>
      <c r="O224" s="6"/>
      <c r="P224" s="6"/>
      <c r="Q224" s="6"/>
      <c r="R224" s="7" t="str">
        <f>IF(H224="","",VLOOKUP(H224,'Hoja 9'!$A$1:$B$255,2,0))</f>
        <v>GOOGLE</v>
      </c>
      <c r="S224" s="7">
        <f t="shared" si="1"/>
        <v>2023</v>
      </c>
      <c r="T224" s="7">
        <f t="shared" si="2"/>
        <v>7</v>
      </c>
    </row>
    <row r="225">
      <c r="A225" s="4">
        <v>45120.54212162037</v>
      </c>
      <c r="B225" s="3" t="s">
        <v>680</v>
      </c>
      <c r="C225" s="3" t="s">
        <v>681</v>
      </c>
      <c r="D225" s="3" t="s">
        <v>682</v>
      </c>
      <c r="E225" s="5">
        <v>32921.0</v>
      </c>
      <c r="F225" s="3">
        <v>3.3371363E7</v>
      </c>
      <c r="G225" s="3">
        <f>17208306798</f>
        <v>17208306798</v>
      </c>
      <c r="H225" s="3" t="s">
        <v>27</v>
      </c>
      <c r="I225" s="3" t="s">
        <v>28</v>
      </c>
      <c r="R225" s="7" t="str">
        <f>IF(H225="","",VLOOKUP(H225,'Hoja 9'!$A$1:$B$255,2,0))</f>
        <v>BOCA EN BOCA</v>
      </c>
      <c r="S225" s="7">
        <f t="shared" si="1"/>
        <v>2023</v>
      </c>
      <c r="T225" s="7">
        <f t="shared" si="2"/>
        <v>7</v>
      </c>
    </row>
    <row r="226">
      <c r="A226" s="4">
        <v>45120.75399734954</v>
      </c>
      <c r="B226" s="3" t="s">
        <v>683</v>
      </c>
      <c r="C226" s="3" t="s">
        <v>684</v>
      </c>
      <c r="D226" s="3" t="s">
        <v>685</v>
      </c>
      <c r="E226" s="5">
        <v>28489.0</v>
      </c>
      <c r="F226" s="3">
        <v>2.6232772E7</v>
      </c>
      <c r="G226" s="3">
        <v>3.518568359E9</v>
      </c>
      <c r="H226" s="3" t="s">
        <v>21</v>
      </c>
      <c r="I226" s="3" t="s">
        <v>22</v>
      </c>
      <c r="J226" s="3" t="s">
        <v>23</v>
      </c>
      <c r="K226" s="6"/>
      <c r="L226" s="6"/>
      <c r="M226" s="6"/>
      <c r="N226" s="6"/>
      <c r="O226" s="6"/>
      <c r="P226" s="6"/>
      <c r="Q226" s="6"/>
      <c r="R226" s="7" t="str">
        <f>IF(H226="","",VLOOKUP(H226,'Hoja 9'!$A$1:$B$255,2,0))</f>
        <v>GOOGLE</v>
      </c>
      <c r="S226" s="7">
        <f t="shared" si="1"/>
        <v>2023</v>
      </c>
      <c r="T226" s="7">
        <f t="shared" si="2"/>
        <v>7</v>
      </c>
    </row>
    <row r="227">
      <c r="A227" s="4">
        <v>45121.39468813657</v>
      </c>
      <c r="B227" s="3" t="s">
        <v>686</v>
      </c>
      <c r="C227" s="3" t="s">
        <v>406</v>
      </c>
      <c r="D227" s="3" t="s">
        <v>687</v>
      </c>
      <c r="E227" s="5">
        <v>35646.0</v>
      </c>
      <c r="F227" s="3">
        <v>4.05182E7</v>
      </c>
      <c r="G227" s="3">
        <v>3.516430984E9</v>
      </c>
      <c r="H227" s="3" t="s">
        <v>21</v>
      </c>
      <c r="I227" s="3" t="s">
        <v>22</v>
      </c>
      <c r="J227" s="3" t="s">
        <v>72</v>
      </c>
      <c r="K227" s="6"/>
      <c r="L227" s="6"/>
      <c r="M227" s="6"/>
      <c r="N227" s="6"/>
      <c r="O227" s="6"/>
      <c r="P227" s="6"/>
      <c r="Q227" s="6"/>
      <c r="R227" s="7" t="str">
        <f>IF(H227="","",VLOOKUP(H227,'Hoja 9'!$A$1:$B$255,2,0))</f>
        <v>GOOGLE</v>
      </c>
      <c r="S227" s="7">
        <f t="shared" si="1"/>
        <v>2023</v>
      </c>
      <c r="T227" s="7">
        <f t="shared" si="2"/>
        <v>7</v>
      </c>
    </row>
    <row r="228">
      <c r="A228" s="4">
        <v>45124.47265056713</v>
      </c>
      <c r="B228" s="3" t="s">
        <v>688</v>
      </c>
      <c r="C228" s="3" t="s">
        <v>689</v>
      </c>
      <c r="D228" s="3" t="s">
        <v>690</v>
      </c>
      <c r="E228" s="5">
        <v>22961.0</v>
      </c>
      <c r="F228" s="3">
        <v>1.6083541E7</v>
      </c>
      <c r="G228" s="3">
        <v>3.516590226E9</v>
      </c>
      <c r="H228" s="3" t="s">
        <v>27</v>
      </c>
      <c r="I228" s="3" t="s">
        <v>22</v>
      </c>
      <c r="J228" s="3" t="s">
        <v>58</v>
      </c>
      <c r="K228" s="6"/>
      <c r="L228" s="6"/>
      <c r="M228" s="6"/>
      <c r="N228" s="6"/>
      <c r="O228" s="6"/>
      <c r="P228" s="6"/>
      <c r="Q228" s="6"/>
      <c r="R228" s="7" t="str">
        <f>IF(H228="","",VLOOKUP(H228,'Hoja 9'!$A$1:$B$255,2,0))</f>
        <v>BOCA EN BOCA</v>
      </c>
      <c r="S228" s="7">
        <f t="shared" si="1"/>
        <v>2023</v>
      </c>
      <c r="T228" s="7">
        <f t="shared" si="2"/>
        <v>7</v>
      </c>
    </row>
    <row r="229">
      <c r="A229" s="4">
        <v>45124.474394537036</v>
      </c>
      <c r="B229" s="3" t="s">
        <v>691</v>
      </c>
      <c r="C229" s="3" t="s">
        <v>692</v>
      </c>
      <c r="D229" s="3" t="s">
        <v>693</v>
      </c>
      <c r="E229" s="5">
        <v>29116.0</v>
      </c>
      <c r="F229" s="3">
        <v>2.7403236E7</v>
      </c>
      <c r="G229" s="3">
        <v>3.517055921E9</v>
      </c>
      <c r="H229" s="3" t="s">
        <v>44</v>
      </c>
      <c r="I229" s="3" t="s">
        <v>22</v>
      </c>
      <c r="J229" s="3" t="s">
        <v>149</v>
      </c>
      <c r="K229" s="6"/>
      <c r="L229" s="6"/>
      <c r="M229" s="6"/>
      <c r="N229" s="6"/>
      <c r="O229" s="6"/>
      <c r="P229" s="6"/>
      <c r="Q229" s="6"/>
      <c r="R229" s="7" t="str">
        <f>IF(H229="","",VLOOKUP(H229,'Hoja 9'!$A$1:$B$255,2,0))</f>
        <v>GIMNASIO</v>
      </c>
      <c r="S229" s="7">
        <f t="shared" si="1"/>
        <v>2023</v>
      </c>
      <c r="T229" s="7">
        <f t="shared" si="2"/>
        <v>7</v>
      </c>
    </row>
    <row r="230">
      <c r="A230" s="4">
        <v>45125.49363116898</v>
      </c>
      <c r="B230" s="3" t="s">
        <v>694</v>
      </c>
      <c r="C230" s="3" t="s">
        <v>366</v>
      </c>
      <c r="D230" s="3" t="s">
        <v>695</v>
      </c>
      <c r="E230" s="5">
        <v>34801.0</v>
      </c>
      <c r="F230" s="3">
        <v>3.7641474E7</v>
      </c>
      <c r="G230" s="3">
        <v>3.549503496E9</v>
      </c>
      <c r="H230" s="3" t="s">
        <v>21</v>
      </c>
      <c r="I230" s="3" t="s">
        <v>22</v>
      </c>
      <c r="J230" s="3" t="s">
        <v>58</v>
      </c>
      <c r="K230" s="6"/>
      <c r="L230" s="6"/>
      <c r="M230" s="6"/>
      <c r="N230" s="6"/>
      <c r="O230" s="6"/>
      <c r="P230" s="6"/>
      <c r="Q230" s="6"/>
      <c r="R230" s="7" t="str">
        <f>IF(H230="","",VLOOKUP(H230,'Hoja 9'!$A$1:$B$255,2,0))</f>
        <v>GOOGLE</v>
      </c>
      <c r="S230" s="7">
        <f t="shared" si="1"/>
        <v>2023</v>
      </c>
      <c r="T230" s="7">
        <f t="shared" si="2"/>
        <v>7</v>
      </c>
    </row>
    <row r="231">
      <c r="A231" s="4">
        <v>45125.70452234954</v>
      </c>
      <c r="B231" s="3" t="s">
        <v>696</v>
      </c>
      <c r="C231" s="3" t="s">
        <v>697</v>
      </c>
      <c r="D231" s="3" t="s">
        <v>698</v>
      </c>
      <c r="E231" s="5">
        <v>30112.0</v>
      </c>
      <c r="F231" s="3">
        <v>2.9606327E7</v>
      </c>
      <c r="G231" s="3">
        <v>3.513476226E9</v>
      </c>
      <c r="H231" s="3" t="s">
        <v>21</v>
      </c>
      <c r="I231" s="3" t="s">
        <v>22</v>
      </c>
      <c r="J231" s="3" t="s">
        <v>72</v>
      </c>
      <c r="K231" s="6"/>
      <c r="L231" s="6"/>
      <c r="M231" s="6"/>
      <c r="N231" s="6"/>
      <c r="O231" s="6"/>
      <c r="P231" s="6"/>
      <c r="Q231" s="6"/>
      <c r="R231" s="7" t="str">
        <f>IF(H231="","",VLOOKUP(H231,'Hoja 9'!$A$1:$B$255,2,0))</f>
        <v>GOOGLE</v>
      </c>
      <c r="S231" s="7">
        <f t="shared" si="1"/>
        <v>2023</v>
      </c>
      <c r="T231" s="7">
        <f t="shared" si="2"/>
        <v>7</v>
      </c>
    </row>
    <row r="232">
      <c r="A232" s="4">
        <v>45125.75884350695</v>
      </c>
      <c r="B232" s="3" t="s">
        <v>699</v>
      </c>
      <c r="C232" s="3" t="s">
        <v>700</v>
      </c>
      <c r="D232" s="3" t="s">
        <v>421</v>
      </c>
      <c r="E232" s="5">
        <v>23761.0</v>
      </c>
      <c r="F232" s="3">
        <v>1.7099916E7</v>
      </c>
      <c r="G232" s="3">
        <v>3.515914285E9</v>
      </c>
      <c r="H232" s="3" t="s">
        <v>27</v>
      </c>
      <c r="I232" s="3" t="s">
        <v>22</v>
      </c>
      <c r="J232" s="3" t="s">
        <v>701</v>
      </c>
      <c r="K232" s="6"/>
      <c r="L232" s="6"/>
      <c r="M232" s="6"/>
      <c r="N232" s="6"/>
      <c r="O232" s="6"/>
      <c r="P232" s="6"/>
      <c r="Q232" s="6"/>
      <c r="R232" s="7" t="str">
        <f>IF(H232="","",VLOOKUP(H232,'Hoja 9'!$A$1:$B$255,2,0))</f>
        <v>BOCA EN BOCA</v>
      </c>
      <c r="S232" s="7">
        <f t="shared" si="1"/>
        <v>2023</v>
      </c>
      <c r="T232" s="7">
        <f t="shared" si="2"/>
        <v>7</v>
      </c>
    </row>
    <row r="233">
      <c r="A233" s="4">
        <v>45125.83097708333</v>
      </c>
      <c r="B233" s="3" t="s">
        <v>702</v>
      </c>
      <c r="C233" s="3" t="s">
        <v>703</v>
      </c>
      <c r="D233" s="3" t="s">
        <v>704</v>
      </c>
      <c r="E233" s="5">
        <v>34764.0</v>
      </c>
      <c r="F233" s="3">
        <v>3.8647973E7</v>
      </c>
      <c r="G233" s="3">
        <v>3.517562048E9</v>
      </c>
      <c r="H233" s="3" t="s">
        <v>244</v>
      </c>
      <c r="I233" s="3" t="s">
        <v>28</v>
      </c>
      <c r="R233" s="7" t="str">
        <f>IF(H233="","",VLOOKUP(H233,'Hoja 9'!$A$1:$B$255,2,0))</f>
        <v>META</v>
      </c>
      <c r="S233" s="7">
        <f t="shared" si="1"/>
        <v>2023</v>
      </c>
      <c r="T233" s="7">
        <f t="shared" si="2"/>
        <v>7</v>
      </c>
    </row>
    <row r="234">
      <c r="A234" s="4">
        <v>45126.46277662037</v>
      </c>
      <c r="B234" s="3" t="s">
        <v>171</v>
      </c>
      <c r="C234" s="3" t="s">
        <v>705</v>
      </c>
      <c r="E234" s="5" t="s">
        <v>706</v>
      </c>
      <c r="F234" s="3">
        <v>3.0901177E7</v>
      </c>
      <c r="G234" s="3">
        <v>3.518107029E9</v>
      </c>
      <c r="H234" s="3" t="s">
        <v>339</v>
      </c>
      <c r="I234" s="3" t="s">
        <v>28</v>
      </c>
      <c r="R234" s="7" t="str">
        <f>IF(H234="","",VLOOKUP(H234,'Hoja 9'!$A$1:$B$255,2,0))</f>
        <v>META</v>
      </c>
      <c r="S234" s="7">
        <f t="shared" si="1"/>
        <v>2023</v>
      </c>
      <c r="T234" s="7">
        <f t="shared" si="2"/>
        <v>7</v>
      </c>
    </row>
    <row r="235">
      <c r="A235" s="4">
        <v>45126.800943587965</v>
      </c>
      <c r="B235" s="3" t="s">
        <v>707</v>
      </c>
      <c r="C235" s="3" t="s">
        <v>119</v>
      </c>
      <c r="D235" s="3" t="s">
        <v>708</v>
      </c>
      <c r="E235" s="5">
        <v>32566.0</v>
      </c>
      <c r="F235" s="3">
        <v>3.4247959E7</v>
      </c>
      <c r="G235" s="3">
        <v>3.515136079E9</v>
      </c>
      <c r="H235" s="3" t="s">
        <v>44</v>
      </c>
      <c r="I235" s="3" t="s">
        <v>28</v>
      </c>
      <c r="R235" s="7" t="str">
        <f>IF(H235="","",VLOOKUP(H235,'Hoja 9'!$A$1:$B$255,2,0))</f>
        <v>GIMNASIO</v>
      </c>
      <c r="S235" s="7">
        <f t="shared" si="1"/>
        <v>2023</v>
      </c>
      <c r="T235" s="7">
        <f t="shared" si="2"/>
        <v>7</v>
      </c>
    </row>
    <row r="236">
      <c r="A236" s="4">
        <v>45127.40788119213</v>
      </c>
      <c r="B236" s="3" t="s">
        <v>709</v>
      </c>
      <c r="C236" s="3" t="s">
        <v>710</v>
      </c>
      <c r="D236" s="3" t="s">
        <v>711</v>
      </c>
      <c r="E236" s="5">
        <v>29712.0</v>
      </c>
      <c r="F236" s="3">
        <v>2.8657714E7</v>
      </c>
      <c r="G236" s="3">
        <v>9.3516747915E10</v>
      </c>
      <c r="H236" s="3" t="s">
        <v>27</v>
      </c>
      <c r="I236" s="3" t="s">
        <v>28</v>
      </c>
      <c r="R236" s="7" t="str">
        <f>IF(H236="","",VLOOKUP(H236,'Hoja 9'!$A$1:$B$255,2,0))</f>
        <v>BOCA EN BOCA</v>
      </c>
      <c r="S236" s="7">
        <f t="shared" si="1"/>
        <v>2023</v>
      </c>
      <c r="T236" s="7">
        <f t="shared" si="2"/>
        <v>7</v>
      </c>
    </row>
    <row r="237">
      <c r="A237" s="4">
        <v>45127.70541920139</v>
      </c>
      <c r="B237" s="3" t="s">
        <v>712</v>
      </c>
      <c r="C237" s="3" t="s">
        <v>550</v>
      </c>
      <c r="D237" s="3" t="s">
        <v>713</v>
      </c>
      <c r="E237" s="5">
        <v>26220.0</v>
      </c>
      <c r="F237" s="3">
        <v>2.2373757E7</v>
      </c>
      <c r="G237" s="3">
        <v>3.5129561E9</v>
      </c>
      <c r="H237" s="3" t="s">
        <v>27</v>
      </c>
      <c r="I237" s="3" t="s">
        <v>28</v>
      </c>
      <c r="R237" s="7" t="str">
        <f>IF(H237="","",VLOOKUP(H237,'Hoja 9'!$A$1:$B$255,2,0))</f>
        <v>BOCA EN BOCA</v>
      </c>
      <c r="S237" s="7">
        <f t="shared" si="1"/>
        <v>2023</v>
      </c>
      <c r="T237" s="7">
        <f t="shared" si="2"/>
        <v>7</v>
      </c>
    </row>
    <row r="238">
      <c r="A238" s="4">
        <v>45128.48400949074</v>
      </c>
      <c r="B238" s="3" t="s">
        <v>714</v>
      </c>
      <c r="C238" s="3" t="s">
        <v>715</v>
      </c>
      <c r="D238" s="3" t="s">
        <v>716</v>
      </c>
      <c r="E238" s="5">
        <v>20275.0</v>
      </c>
      <c r="F238" s="3">
        <v>1.1515792E7</v>
      </c>
      <c r="G238" s="3">
        <v>3.512355487E9</v>
      </c>
      <c r="H238" s="3" t="s">
        <v>717</v>
      </c>
      <c r="I238" s="3" t="s">
        <v>22</v>
      </c>
      <c r="J238" s="3" t="s">
        <v>23</v>
      </c>
      <c r="K238" s="6"/>
      <c r="L238" s="6"/>
      <c r="M238" s="6"/>
      <c r="N238" s="6"/>
      <c r="O238" s="6"/>
      <c r="P238" s="6"/>
      <c r="Q238" s="6"/>
      <c r="R238" s="7" t="str">
        <f>IF(H238="","",VLOOKUP(H238,'Hoja 9'!$A$1:$B$255,2,0))</f>
        <v>BOCA EN BOCA</v>
      </c>
      <c r="S238" s="7">
        <f t="shared" si="1"/>
        <v>2023</v>
      </c>
      <c r="T238" s="7">
        <f t="shared" si="2"/>
        <v>7</v>
      </c>
    </row>
    <row r="239">
      <c r="A239" s="4">
        <v>45131.4432345949</v>
      </c>
      <c r="B239" s="3" t="s">
        <v>718</v>
      </c>
      <c r="C239" s="3" t="s">
        <v>719</v>
      </c>
      <c r="D239" s="3" t="s">
        <v>720</v>
      </c>
      <c r="E239" s="5">
        <v>39895.0</v>
      </c>
      <c r="F239" s="3">
        <v>4.9404056E7</v>
      </c>
      <c r="G239" s="3">
        <v>3.512372941E9</v>
      </c>
      <c r="H239" s="3" t="s">
        <v>21</v>
      </c>
      <c r="I239" s="3" t="s">
        <v>22</v>
      </c>
      <c r="J239" s="3" t="s">
        <v>68</v>
      </c>
      <c r="K239" s="6"/>
      <c r="L239" s="6"/>
      <c r="M239" s="6"/>
      <c r="N239" s="6"/>
      <c r="O239" s="6"/>
      <c r="P239" s="6"/>
      <c r="Q239" s="6"/>
      <c r="R239" s="7" t="str">
        <f>IF(H239="","",VLOOKUP(H239,'Hoja 9'!$A$1:$B$255,2,0))</f>
        <v>GOOGLE</v>
      </c>
      <c r="S239" s="7">
        <f t="shared" si="1"/>
        <v>2023</v>
      </c>
      <c r="T239" s="7">
        <f t="shared" si="2"/>
        <v>7</v>
      </c>
    </row>
    <row r="240">
      <c r="A240" s="4">
        <v>45131.50257758102</v>
      </c>
      <c r="B240" s="3" t="s">
        <v>409</v>
      </c>
      <c r="C240" s="3" t="s">
        <v>721</v>
      </c>
      <c r="D240" s="3" t="s">
        <v>722</v>
      </c>
      <c r="E240" s="5">
        <v>15395.0</v>
      </c>
      <c r="F240" s="3">
        <v>4129035.0</v>
      </c>
      <c r="G240" s="3">
        <v>3.513565063E9</v>
      </c>
      <c r="H240" s="3" t="s">
        <v>21</v>
      </c>
      <c r="I240" s="3" t="s">
        <v>28</v>
      </c>
      <c r="R240" s="7" t="str">
        <f>IF(H240="","",VLOOKUP(H240,'Hoja 9'!$A$1:$B$255,2,0))</f>
        <v>GOOGLE</v>
      </c>
      <c r="S240" s="7">
        <f t="shared" si="1"/>
        <v>2023</v>
      </c>
      <c r="T240" s="7">
        <f t="shared" si="2"/>
        <v>7</v>
      </c>
    </row>
    <row r="241">
      <c r="A241" s="4">
        <v>45131.794793622685</v>
      </c>
      <c r="B241" s="3" t="s">
        <v>723</v>
      </c>
      <c r="C241" s="3" t="s">
        <v>724</v>
      </c>
      <c r="D241" s="3" t="s">
        <v>725</v>
      </c>
      <c r="E241" s="5">
        <v>27580.0</v>
      </c>
      <c r="F241" s="3">
        <v>2.4687262E7</v>
      </c>
      <c r="G241" s="3">
        <v>3.51302288E9</v>
      </c>
      <c r="H241" s="3" t="s">
        <v>44</v>
      </c>
      <c r="I241" s="3" t="s">
        <v>28</v>
      </c>
      <c r="R241" s="7" t="str">
        <f>IF(H241="","",VLOOKUP(H241,'Hoja 9'!$A$1:$B$255,2,0))</f>
        <v>GIMNASIO</v>
      </c>
      <c r="S241" s="7">
        <f t="shared" si="1"/>
        <v>2023</v>
      </c>
      <c r="T241" s="7">
        <f t="shared" si="2"/>
        <v>7</v>
      </c>
    </row>
    <row r="242">
      <c r="A242" s="4">
        <v>45132.06266971065</v>
      </c>
      <c r="B242" s="3" t="s">
        <v>726</v>
      </c>
      <c r="C242" s="3" t="s">
        <v>727</v>
      </c>
      <c r="D242" s="3" t="s">
        <v>728</v>
      </c>
      <c r="E242" s="5">
        <v>31256.0</v>
      </c>
      <c r="F242" s="3">
        <v>3.1742298E7</v>
      </c>
      <c r="G242" s="3">
        <v>3.516514821E9</v>
      </c>
      <c r="H242" s="3" t="s">
        <v>44</v>
      </c>
      <c r="I242" s="3" t="s">
        <v>28</v>
      </c>
      <c r="R242" s="7" t="str">
        <f>IF(H242="","",VLOOKUP(H242,'Hoja 9'!$A$1:$B$255,2,0))</f>
        <v>GIMNASIO</v>
      </c>
      <c r="S242" s="7">
        <f t="shared" si="1"/>
        <v>2023</v>
      </c>
      <c r="T242" s="7">
        <f t="shared" si="2"/>
        <v>7</v>
      </c>
    </row>
    <row r="243">
      <c r="A243" s="4">
        <v>45132.39860688658</v>
      </c>
      <c r="B243" s="3" t="s">
        <v>729</v>
      </c>
      <c r="C243" s="3" t="s">
        <v>180</v>
      </c>
      <c r="D243" s="3" t="s">
        <v>730</v>
      </c>
      <c r="E243" s="5">
        <v>35184.0</v>
      </c>
      <c r="F243" s="3">
        <v>3.9445006E7</v>
      </c>
      <c r="G243" s="3">
        <v>3.51307162E9</v>
      </c>
      <c r="H243" s="3" t="s">
        <v>27</v>
      </c>
      <c r="I243" s="3" t="s">
        <v>22</v>
      </c>
      <c r="J243" s="3" t="s">
        <v>58</v>
      </c>
      <c r="K243" s="6"/>
      <c r="L243" s="6"/>
      <c r="M243" s="6"/>
      <c r="N243" s="6"/>
      <c r="O243" s="6"/>
      <c r="P243" s="6"/>
      <c r="Q243" s="6"/>
      <c r="R243" s="7" t="str">
        <f>IF(H243="","",VLOOKUP(H243,'Hoja 9'!$A$1:$B$255,2,0))</f>
        <v>BOCA EN BOCA</v>
      </c>
      <c r="S243" s="7">
        <f t="shared" si="1"/>
        <v>2023</v>
      </c>
      <c r="T243" s="7">
        <f t="shared" si="2"/>
        <v>7</v>
      </c>
    </row>
    <row r="244">
      <c r="A244" s="4">
        <v>45132.8152121875</v>
      </c>
      <c r="B244" s="3" t="s">
        <v>731</v>
      </c>
      <c r="C244" s="3" t="s">
        <v>250</v>
      </c>
      <c r="D244" s="3" t="s">
        <v>732</v>
      </c>
      <c r="E244" s="5">
        <v>32480.0</v>
      </c>
      <c r="F244" s="3">
        <v>3.3884547E7</v>
      </c>
      <c r="G244" s="3">
        <v>3.516357888E9</v>
      </c>
      <c r="H244" s="3" t="s">
        <v>148</v>
      </c>
      <c r="I244" s="3" t="s">
        <v>22</v>
      </c>
      <c r="J244" s="3" t="s">
        <v>149</v>
      </c>
      <c r="K244" s="6"/>
      <c r="L244" s="6"/>
      <c r="M244" s="6"/>
      <c r="N244" s="6"/>
      <c r="O244" s="6"/>
      <c r="P244" s="6"/>
      <c r="Q244" s="6"/>
      <c r="R244" s="7" t="str">
        <f>IF(H244="","",VLOOKUP(H244,'Hoja 9'!$A$1:$B$255,2,0))</f>
        <v>OBRA SOCIAL</v>
      </c>
      <c r="S244" s="7">
        <f t="shared" si="1"/>
        <v>2023</v>
      </c>
      <c r="T244" s="7">
        <f t="shared" si="2"/>
        <v>7</v>
      </c>
    </row>
    <row r="245">
      <c r="A245" s="4">
        <v>45133.66968128472</v>
      </c>
      <c r="B245" s="3" t="s">
        <v>733</v>
      </c>
      <c r="C245" s="3" t="s">
        <v>420</v>
      </c>
      <c r="D245" s="3" t="s">
        <v>734</v>
      </c>
      <c r="E245" s="5">
        <v>32072.0</v>
      </c>
      <c r="F245" s="3">
        <v>3.338131E7</v>
      </c>
      <c r="G245" s="3">
        <v>3.516157379E9</v>
      </c>
      <c r="H245" s="3" t="s">
        <v>27</v>
      </c>
      <c r="I245" s="3" t="s">
        <v>22</v>
      </c>
      <c r="J245" s="3" t="s">
        <v>149</v>
      </c>
      <c r="K245" s="6"/>
      <c r="L245" s="6"/>
      <c r="M245" s="6"/>
      <c r="N245" s="6"/>
      <c r="O245" s="6"/>
      <c r="P245" s="6"/>
      <c r="Q245" s="6"/>
      <c r="R245" s="7" t="str">
        <f>IF(H245="","",VLOOKUP(H245,'Hoja 9'!$A$1:$B$255,2,0))</f>
        <v>BOCA EN BOCA</v>
      </c>
      <c r="S245" s="7">
        <f t="shared" si="1"/>
        <v>2023</v>
      </c>
      <c r="T245" s="7">
        <f t="shared" si="2"/>
        <v>7</v>
      </c>
    </row>
    <row r="246">
      <c r="A246" s="4">
        <v>45134.64874047454</v>
      </c>
      <c r="B246" s="3" t="s">
        <v>735</v>
      </c>
      <c r="C246" s="3" t="s">
        <v>736</v>
      </c>
      <c r="D246" s="3" t="s">
        <v>737</v>
      </c>
      <c r="E246" s="5">
        <v>38269.0</v>
      </c>
      <c r="F246" s="3">
        <v>4.5835079E7</v>
      </c>
      <c r="G246" s="3">
        <v>3.517143835E9</v>
      </c>
      <c r="H246" s="3" t="s">
        <v>244</v>
      </c>
      <c r="I246" s="3" t="s">
        <v>22</v>
      </c>
      <c r="J246" s="3" t="s">
        <v>149</v>
      </c>
      <c r="K246" s="6"/>
      <c r="L246" s="6"/>
      <c r="M246" s="6"/>
      <c r="N246" s="6"/>
      <c r="O246" s="6"/>
      <c r="P246" s="6"/>
      <c r="Q246" s="6"/>
      <c r="R246" s="7" t="str">
        <f>IF(H246="","",VLOOKUP(H246,'Hoja 9'!$A$1:$B$255,2,0))</f>
        <v>META</v>
      </c>
      <c r="S246" s="7">
        <f t="shared" si="1"/>
        <v>2023</v>
      </c>
      <c r="T246" s="7">
        <f t="shared" si="2"/>
        <v>7</v>
      </c>
    </row>
    <row r="247">
      <c r="A247" s="4">
        <v>45134.684501805554</v>
      </c>
      <c r="B247" s="3" t="s">
        <v>87</v>
      </c>
      <c r="C247" s="3" t="s">
        <v>738</v>
      </c>
      <c r="D247" s="3" t="s">
        <v>739</v>
      </c>
      <c r="E247" s="5">
        <v>37125.0</v>
      </c>
      <c r="F247" s="3">
        <v>4.3559617E7</v>
      </c>
      <c r="G247" s="3">
        <v>3.515604413E9</v>
      </c>
      <c r="H247" s="3" t="s">
        <v>27</v>
      </c>
      <c r="I247" s="3" t="s">
        <v>22</v>
      </c>
      <c r="J247" s="3" t="s">
        <v>90</v>
      </c>
      <c r="K247" s="6"/>
      <c r="L247" s="6"/>
      <c r="M247" s="6"/>
      <c r="N247" s="6"/>
      <c r="O247" s="6"/>
      <c r="P247" s="6"/>
      <c r="Q247" s="6"/>
      <c r="R247" s="7" t="str">
        <f>IF(H247="","",VLOOKUP(H247,'Hoja 9'!$A$1:$B$255,2,0))</f>
        <v>BOCA EN BOCA</v>
      </c>
      <c r="S247" s="7">
        <f t="shared" si="1"/>
        <v>2023</v>
      </c>
      <c r="T247" s="7">
        <f t="shared" si="2"/>
        <v>7</v>
      </c>
    </row>
    <row r="248">
      <c r="A248" s="4">
        <v>45134.797993506945</v>
      </c>
      <c r="B248" s="3" t="s">
        <v>35</v>
      </c>
      <c r="C248" s="3" t="s">
        <v>567</v>
      </c>
      <c r="D248" s="3" t="s">
        <v>740</v>
      </c>
      <c r="E248" s="5">
        <v>26945.0</v>
      </c>
      <c r="F248" s="3">
        <v>2.3684498E7</v>
      </c>
      <c r="G248" s="3">
        <v>3.517501884E9</v>
      </c>
      <c r="H248" s="3" t="s">
        <v>27</v>
      </c>
      <c r="I248" s="3" t="s">
        <v>28</v>
      </c>
      <c r="R248" s="7" t="str">
        <f>IF(H248="","",VLOOKUP(H248,'Hoja 9'!$A$1:$B$255,2,0))</f>
        <v>BOCA EN BOCA</v>
      </c>
      <c r="S248" s="7">
        <f t="shared" si="1"/>
        <v>2023</v>
      </c>
      <c r="T248" s="7">
        <f t="shared" si="2"/>
        <v>7</v>
      </c>
    </row>
    <row r="249">
      <c r="A249" s="4">
        <v>45134.88313072917</v>
      </c>
      <c r="B249" s="3" t="s">
        <v>741</v>
      </c>
      <c r="C249" s="3" t="s">
        <v>742</v>
      </c>
      <c r="D249" s="3" t="s">
        <v>743</v>
      </c>
      <c r="E249" s="5">
        <v>25492.0</v>
      </c>
      <c r="F249" s="3">
        <v>2.0874735E7</v>
      </c>
      <c r="G249" s="3">
        <v>1.53789403E8</v>
      </c>
      <c r="H249" s="3" t="s">
        <v>27</v>
      </c>
      <c r="I249" s="3" t="s">
        <v>28</v>
      </c>
      <c r="R249" s="7" t="str">
        <f>IF(H249="","",VLOOKUP(H249,'Hoja 9'!$A$1:$B$255,2,0))</f>
        <v>BOCA EN BOCA</v>
      </c>
      <c r="S249" s="7">
        <f t="shared" si="1"/>
        <v>2023</v>
      </c>
      <c r="T249" s="7">
        <f t="shared" si="2"/>
        <v>7</v>
      </c>
    </row>
    <row r="250">
      <c r="A250" s="4">
        <v>45135.45420447917</v>
      </c>
      <c r="B250" s="3" t="s">
        <v>744</v>
      </c>
      <c r="C250" s="3" t="s">
        <v>745</v>
      </c>
      <c r="D250" s="3" t="s">
        <v>746</v>
      </c>
      <c r="E250" s="5">
        <v>22783.0</v>
      </c>
      <c r="F250" s="3">
        <v>1.6083072E7</v>
      </c>
      <c r="G250" s="3">
        <v>3.515576028E9</v>
      </c>
      <c r="H250" s="3" t="s">
        <v>27</v>
      </c>
      <c r="I250" s="3" t="s">
        <v>22</v>
      </c>
      <c r="J250" s="3" t="s">
        <v>23</v>
      </c>
      <c r="K250" s="6"/>
      <c r="L250" s="6"/>
      <c r="M250" s="6"/>
      <c r="N250" s="6"/>
      <c r="O250" s="6"/>
      <c r="P250" s="6"/>
      <c r="Q250" s="6"/>
      <c r="R250" s="7" t="str">
        <f>IF(H250="","",VLOOKUP(H250,'Hoja 9'!$A$1:$B$255,2,0))</f>
        <v>BOCA EN BOCA</v>
      </c>
      <c r="S250" s="7">
        <f t="shared" si="1"/>
        <v>2023</v>
      </c>
      <c r="T250" s="7">
        <f t="shared" si="2"/>
        <v>7</v>
      </c>
    </row>
    <row r="251">
      <c r="A251" s="4">
        <v>45135.8283533912</v>
      </c>
      <c r="B251" s="3" t="s">
        <v>747</v>
      </c>
      <c r="C251" s="3" t="s">
        <v>113</v>
      </c>
      <c r="D251" s="3" t="s">
        <v>748</v>
      </c>
      <c r="E251" s="5">
        <v>33009.0</v>
      </c>
      <c r="F251" s="3">
        <v>3.5108061E7</v>
      </c>
      <c r="G251" s="3">
        <v>3.517452777E9</v>
      </c>
      <c r="H251" s="3" t="s">
        <v>27</v>
      </c>
      <c r="I251" s="3" t="s">
        <v>28</v>
      </c>
      <c r="R251" s="7" t="str">
        <f>IF(H251="","",VLOOKUP(H251,'Hoja 9'!$A$1:$B$255,2,0))</f>
        <v>BOCA EN BOCA</v>
      </c>
      <c r="S251" s="7">
        <f t="shared" si="1"/>
        <v>2023</v>
      </c>
      <c r="T251" s="7">
        <f t="shared" si="2"/>
        <v>7</v>
      </c>
    </row>
    <row r="252">
      <c r="A252" s="4">
        <v>45138.53527414352</v>
      </c>
      <c r="B252" s="3" t="s">
        <v>749</v>
      </c>
      <c r="C252" s="3" t="s">
        <v>750</v>
      </c>
      <c r="D252" s="3" t="s">
        <v>751</v>
      </c>
      <c r="E252" s="5">
        <v>35607.0</v>
      </c>
      <c r="F252" s="3">
        <v>4.0405055E7</v>
      </c>
      <c r="G252" s="3">
        <v>3.515503211E9</v>
      </c>
      <c r="H252" s="3" t="s">
        <v>27</v>
      </c>
      <c r="I252" s="3" t="s">
        <v>28</v>
      </c>
      <c r="R252" s="7" t="str">
        <f>IF(H252="","",VLOOKUP(H252,'Hoja 9'!$A$1:$B$255,2,0))</f>
        <v>BOCA EN BOCA</v>
      </c>
      <c r="S252" s="7">
        <f t="shared" si="1"/>
        <v>2023</v>
      </c>
      <c r="T252" s="7">
        <f t="shared" si="2"/>
        <v>7</v>
      </c>
    </row>
    <row r="253">
      <c r="A253" s="4">
        <v>45139.81199931713</v>
      </c>
      <c r="B253" s="3" t="s">
        <v>752</v>
      </c>
      <c r="C253" s="3" t="s">
        <v>753</v>
      </c>
      <c r="D253" s="3" t="s">
        <v>754</v>
      </c>
      <c r="E253" s="5">
        <v>44738.0</v>
      </c>
      <c r="F253" s="3">
        <v>2.3376331E7</v>
      </c>
      <c r="G253" s="3">
        <v>3.517694767E9</v>
      </c>
      <c r="H253" s="3" t="s">
        <v>148</v>
      </c>
      <c r="I253" s="3" t="s">
        <v>22</v>
      </c>
      <c r="J253" s="3" t="s">
        <v>149</v>
      </c>
      <c r="K253" s="6"/>
      <c r="L253" s="6"/>
      <c r="M253" s="6"/>
      <c r="N253" s="6"/>
      <c r="O253" s="6"/>
      <c r="P253" s="6"/>
      <c r="Q253" s="6"/>
      <c r="R253" s="7" t="str">
        <f>IF(H253="","",VLOOKUP(H253,'Hoja 9'!$A$1:$B$255,2,0))</f>
        <v>OBRA SOCIAL</v>
      </c>
      <c r="S253" s="7">
        <f t="shared" si="1"/>
        <v>2023</v>
      </c>
      <c r="T253" s="7">
        <f t="shared" si="2"/>
        <v>8</v>
      </c>
    </row>
    <row r="254">
      <c r="A254" s="4">
        <v>45140.51270482639</v>
      </c>
      <c r="B254" s="3" t="s">
        <v>755</v>
      </c>
      <c r="C254" s="3" t="s">
        <v>756</v>
      </c>
      <c r="D254" s="3" t="s">
        <v>757</v>
      </c>
      <c r="E254" s="5">
        <v>32463.0</v>
      </c>
      <c r="F254" s="3">
        <v>3.4689011E7</v>
      </c>
      <c r="G254" s="3">
        <v>3.513477569E9</v>
      </c>
      <c r="H254" s="3" t="s">
        <v>21</v>
      </c>
      <c r="I254" s="3" t="s">
        <v>28</v>
      </c>
      <c r="R254" s="7" t="str">
        <f>IF(H254="","",VLOOKUP(H254,'Hoja 9'!$A$1:$B$255,2,0))</f>
        <v>GOOGLE</v>
      </c>
      <c r="S254" s="7">
        <f t="shared" si="1"/>
        <v>2023</v>
      </c>
      <c r="T254" s="7">
        <f t="shared" si="2"/>
        <v>8</v>
      </c>
    </row>
    <row r="255">
      <c r="A255" s="4">
        <v>45140.79359547453</v>
      </c>
      <c r="B255" s="3" t="s">
        <v>758</v>
      </c>
      <c r="C255" s="3" t="s">
        <v>759</v>
      </c>
      <c r="D255" s="3" t="s">
        <v>760</v>
      </c>
      <c r="E255" s="5">
        <v>39832.0</v>
      </c>
      <c r="F255" s="3">
        <v>4.8720793E7</v>
      </c>
      <c r="G255" s="3">
        <v>3.515167007E9</v>
      </c>
      <c r="H255" s="3" t="s">
        <v>27</v>
      </c>
      <c r="I255" s="3" t="s">
        <v>22</v>
      </c>
      <c r="J255" s="3" t="s">
        <v>761</v>
      </c>
      <c r="K255" s="6"/>
      <c r="L255" s="6"/>
      <c r="M255" s="6"/>
      <c r="N255" s="6"/>
      <c r="O255" s="6"/>
      <c r="P255" s="6"/>
      <c r="Q255" s="6"/>
      <c r="R255" s="7" t="str">
        <f>IF(H255="","",VLOOKUP(H255,'Hoja 9'!$A$1:$B$255,2,0))</f>
        <v>BOCA EN BOCA</v>
      </c>
      <c r="S255" s="7">
        <f t="shared" si="1"/>
        <v>2023</v>
      </c>
      <c r="T255" s="7">
        <f t="shared" si="2"/>
        <v>8</v>
      </c>
    </row>
    <row r="256">
      <c r="A256" s="4">
        <v>45141.81639224537</v>
      </c>
      <c r="B256" s="3" t="s">
        <v>762</v>
      </c>
      <c r="C256" s="3" t="s">
        <v>763</v>
      </c>
      <c r="E256" s="5">
        <v>19874.0</v>
      </c>
      <c r="F256" s="3">
        <v>5.59627517E8</v>
      </c>
      <c r="G256" s="3">
        <v>1.3216242487E10</v>
      </c>
      <c r="H256" s="3" t="s">
        <v>27</v>
      </c>
      <c r="I256" s="3" t="s">
        <v>28</v>
      </c>
      <c r="R256" s="7" t="str">
        <f>IF(H256="","",VLOOKUP(H256,'Hoja 9'!$A$1:$B$255,2,0))</f>
        <v>BOCA EN BOCA</v>
      </c>
      <c r="S256" s="7">
        <f t="shared" si="1"/>
        <v>2023</v>
      </c>
      <c r="T256" s="7">
        <f t="shared" si="2"/>
        <v>8</v>
      </c>
    </row>
    <row r="257">
      <c r="A257" s="4">
        <v>45142.415579849534</v>
      </c>
      <c r="B257" s="3" t="s">
        <v>764</v>
      </c>
      <c r="C257" s="3" t="s">
        <v>296</v>
      </c>
      <c r="D257" s="3" t="s">
        <v>765</v>
      </c>
      <c r="E257" s="5">
        <v>32853.0</v>
      </c>
      <c r="F257" s="3">
        <v>3.4982591E7</v>
      </c>
      <c r="G257" s="3">
        <v>3.516174676E9</v>
      </c>
      <c r="H257" s="3" t="s">
        <v>27</v>
      </c>
      <c r="I257" s="3" t="s">
        <v>22</v>
      </c>
      <c r="J257" s="3" t="s">
        <v>766</v>
      </c>
      <c r="K257" s="6"/>
      <c r="L257" s="6"/>
      <c r="M257" s="6"/>
      <c r="N257" s="6"/>
      <c r="O257" s="6"/>
      <c r="P257" s="6"/>
      <c r="Q257" s="6"/>
      <c r="R257" s="7" t="str">
        <f>IF(H257="","",VLOOKUP(H257,'Hoja 9'!$A$1:$B$255,2,0))</f>
        <v>BOCA EN BOCA</v>
      </c>
      <c r="S257" s="7">
        <f t="shared" si="1"/>
        <v>2023</v>
      </c>
      <c r="T257" s="7">
        <f t="shared" si="2"/>
        <v>8</v>
      </c>
    </row>
    <row r="258">
      <c r="A258" s="4">
        <v>45142.78360539352</v>
      </c>
      <c r="B258" s="3" t="s">
        <v>767</v>
      </c>
      <c r="C258" s="3" t="s">
        <v>505</v>
      </c>
      <c r="D258" s="3" t="s">
        <v>768</v>
      </c>
      <c r="E258" s="5">
        <v>16374.0</v>
      </c>
      <c r="F258" s="3">
        <v>5097009.0</v>
      </c>
      <c r="G258" s="3">
        <v>3.516099547E9</v>
      </c>
      <c r="H258" s="3" t="s">
        <v>21</v>
      </c>
      <c r="I258" s="3" t="s">
        <v>22</v>
      </c>
      <c r="J258" s="3" t="s">
        <v>23</v>
      </c>
      <c r="K258" s="6"/>
      <c r="L258" s="6"/>
      <c r="M258" s="6"/>
      <c r="N258" s="6"/>
      <c r="O258" s="6"/>
      <c r="P258" s="6"/>
      <c r="Q258" s="6"/>
      <c r="R258" s="7" t="str">
        <f>IF(H258="","",VLOOKUP(H258,'Hoja 9'!$A$1:$B$255,2,0))</f>
        <v>GOOGLE</v>
      </c>
      <c r="S258" s="7">
        <f t="shared" si="1"/>
        <v>2023</v>
      </c>
      <c r="T258" s="7">
        <f t="shared" si="2"/>
        <v>8</v>
      </c>
    </row>
    <row r="259">
      <c r="A259" s="4">
        <v>45142.81382891204</v>
      </c>
      <c r="B259" s="3" t="s">
        <v>769</v>
      </c>
      <c r="C259" s="3" t="s">
        <v>770</v>
      </c>
      <c r="D259" s="3" t="s">
        <v>771</v>
      </c>
      <c r="E259" s="5">
        <v>35331.0</v>
      </c>
      <c r="F259" s="3">
        <v>3.962336E7</v>
      </c>
      <c r="G259" s="3">
        <v>3.513130073E9</v>
      </c>
      <c r="H259" s="3" t="s">
        <v>44</v>
      </c>
      <c r="I259" s="3" t="s">
        <v>22</v>
      </c>
      <c r="J259" s="3" t="s">
        <v>287</v>
      </c>
      <c r="K259" s="6"/>
      <c r="L259" s="6"/>
      <c r="M259" s="6"/>
      <c r="N259" s="6"/>
      <c r="O259" s="6"/>
      <c r="P259" s="6"/>
      <c r="Q259" s="6"/>
      <c r="R259" s="7" t="str">
        <f>IF(H259="","",VLOOKUP(H259,'Hoja 9'!$A$1:$B$255,2,0))</f>
        <v>GIMNASIO</v>
      </c>
      <c r="S259" s="7">
        <f t="shared" si="1"/>
        <v>2023</v>
      </c>
      <c r="T259" s="7">
        <f t="shared" si="2"/>
        <v>8</v>
      </c>
    </row>
    <row r="260">
      <c r="A260" s="4">
        <v>45145.649669375</v>
      </c>
      <c r="B260" s="3" t="s">
        <v>772</v>
      </c>
      <c r="C260" s="3" t="s">
        <v>265</v>
      </c>
      <c r="D260" s="3" t="s">
        <v>773</v>
      </c>
      <c r="E260" s="5">
        <v>25670.0</v>
      </c>
      <c r="F260" s="3">
        <v>2.1399697E7</v>
      </c>
      <c r="G260" s="3">
        <v>3.525475393E9</v>
      </c>
      <c r="H260" s="3" t="s">
        <v>27</v>
      </c>
      <c r="I260" s="3" t="s">
        <v>28</v>
      </c>
      <c r="R260" s="7" t="str">
        <f>IF(H260="","",VLOOKUP(H260,'Hoja 9'!$A$1:$B$255,2,0))</f>
        <v>BOCA EN BOCA</v>
      </c>
      <c r="S260" s="7">
        <f t="shared" si="1"/>
        <v>2023</v>
      </c>
      <c r="T260" s="7">
        <f t="shared" si="2"/>
        <v>8</v>
      </c>
    </row>
    <row r="261">
      <c r="A261" s="4">
        <v>45145.67616625</v>
      </c>
      <c r="B261" s="3" t="s">
        <v>774</v>
      </c>
      <c r="C261" s="3" t="s">
        <v>775</v>
      </c>
      <c r="D261" s="3" t="s">
        <v>776</v>
      </c>
      <c r="E261" s="5">
        <v>36059.0</v>
      </c>
      <c r="F261" s="3">
        <v>4.1522043E7</v>
      </c>
      <c r="G261" s="3">
        <v>3.51255018E9</v>
      </c>
      <c r="H261" s="3" t="s">
        <v>27</v>
      </c>
      <c r="I261" s="3" t="s">
        <v>22</v>
      </c>
      <c r="J261" s="3" t="s">
        <v>72</v>
      </c>
      <c r="K261" s="6"/>
      <c r="L261" s="6"/>
      <c r="M261" s="6"/>
      <c r="N261" s="6"/>
      <c r="O261" s="6"/>
      <c r="P261" s="6"/>
      <c r="Q261" s="6"/>
      <c r="R261" s="7" t="str">
        <f>IF(H261="","",VLOOKUP(H261,'Hoja 9'!$A$1:$B$255,2,0))</f>
        <v>BOCA EN BOCA</v>
      </c>
      <c r="S261" s="7">
        <f t="shared" si="1"/>
        <v>2023</v>
      </c>
      <c r="T261" s="7">
        <f t="shared" si="2"/>
        <v>8</v>
      </c>
    </row>
    <row r="262">
      <c r="A262" s="4">
        <v>45145.721156458334</v>
      </c>
      <c r="B262" s="3" t="s">
        <v>777</v>
      </c>
      <c r="C262" s="3" t="s">
        <v>778</v>
      </c>
      <c r="D262" s="3" t="s">
        <v>779</v>
      </c>
      <c r="E262" s="5">
        <v>37098.0</v>
      </c>
      <c r="F262" s="3">
        <v>4.3523929E7</v>
      </c>
      <c r="G262" s="3">
        <v>3.513232626E9</v>
      </c>
      <c r="H262" s="3" t="s">
        <v>27</v>
      </c>
      <c r="I262" s="3" t="s">
        <v>28</v>
      </c>
      <c r="R262" s="7" t="str">
        <f>IF(H262="","",VLOOKUP(H262,'Hoja 9'!$A$1:$B$255,2,0))</f>
        <v>BOCA EN BOCA</v>
      </c>
      <c r="S262" s="7">
        <f t="shared" si="1"/>
        <v>2023</v>
      </c>
      <c r="T262" s="7">
        <f t="shared" si="2"/>
        <v>8</v>
      </c>
    </row>
    <row r="263">
      <c r="A263" s="4">
        <v>45146.47016387731</v>
      </c>
      <c r="B263" s="3" t="s">
        <v>780</v>
      </c>
      <c r="C263" s="3" t="s">
        <v>781</v>
      </c>
      <c r="D263" s="3" t="s">
        <v>782</v>
      </c>
      <c r="E263" s="5">
        <v>25184.0</v>
      </c>
      <c r="F263" s="3">
        <v>2.0621344E7</v>
      </c>
      <c r="G263" s="3">
        <v>3.515311574E9</v>
      </c>
      <c r="H263" s="3" t="s">
        <v>21</v>
      </c>
      <c r="I263" s="3" t="s">
        <v>22</v>
      </c>
      <c r="J263" s="3" t="s">
        <v>23</v>
      </c>
      <c r="K263" s="6"/>
      <c r="L263" s="6"/>
      <c r="M263" s="6"/>
      <c r="N263" s="6"/>
      <c r="O263" s="6"/>
      <c r="P263" s="6"/>
      <c r="Q263" s="6"/>
      <c r="R263" s="7" t="str">
        <f>IF(H263="","",VLOOKUP(H263,'Hoja 9'!$A$1:$B$255,2,0))</f>
        <v>GOOGLE</v>
      </c>
      <c r="S263" s="7">
        <f t="shared" si="1"/>
        <v>2023</v>
      </c>
      <c r="T263" s="7">
        <f t="shared" si="2"/>
        <v>8</v>
      </c>
    </row>
    <row r="264">
      <c r="A264" s="4">
        <v>45146.4991674537</v>
      </c>
      <c r="B264" s="3" t="s">
        <v>783</v>
      </c>
      <c r="C264" s="3" t="s">
        <v>236</v>
      </c>
      <c r="D264" s="3" t="s">
        <v>784</v>
      </c>
      <c r="E264" s="5">
        <v>26186.0</v>
      </c>
      <c r="F264" s="3">
        <v>2.2371408E7</v>
      </c>
      <c r="G264" s="3">
        <v>3.515165553E9</v>
      </c>
      <c r="H264" s="3" t="s">
        <v>44</v>
      </c>
      <c r="I264" s="3" t="s">
        <v>28</v>
      </c>
      <c r="R264" s="7" t="str">
        <f>IF(H264="","",VLOOKUP(H264,'Hoja 9'!$A$1:$B$255,2,0))</f>
        <v>GIMNASIO</v>
      </c>
      <c r="S264" s="7">
        <f t="shared" si="1"/>
        <v>2023</v>
      </c>
      <c r="T264" s="7">
        <f t="shared" si="2"/>
        <v>8</v>
      </c>
    </row>
    <row r="265">
      <c r="A265" s="4">
        <v>45146.822405451385</v>
      </c>
      <c r="B265" s="3" t="s">
        <v>785</v>
      </c>
      <c r="C265" s="3" t="s">
        <v>518</v>
      </c>
      <c r="D265" s="3" t="s">
        <v>786</v>
      </c>
      <c r="E265" s="5">
        <v>35156.0</v>
      </c>
      <c r="F265" s="3">
        <v>3.9259066E7</v>
      </c>
      <c r="G265" s="3">
        <v>3.517059127E9</v>
      </c>
      <c r="H265" s="3" t="s">
        <v>44</v>
      </c>
      <c r="I265" s="3" t="s">
        <v>28</v>
      </c>
      <c r="R265" s="7" t="str">
        <f>IF(H265="","",VLOOKUP(H265,'Hoja 9'!$A$1:$B$255,2,0))</f>
        <v>GIMNASIO</v>
      </c>
      <c r="S265" s="7">
        <f t="shared" si="1"/>
        <v>2023</v>
      </c>
      <c r="T265" s="7">
        <f t="shared" si="2"/>
        <v>8</v>
      </c>
    </row>
    <row r="266">
      <c r="A266" s="4">
        <v>45147.46819550926</v>
      </c>
      <c r="B266" s="3" t="s">
        <v>787</v>
      </c>
      <c r="C266" s="3" t="s">
        <v>788</v>
      </c>
      <c r="D266" s="3" t="s">
        <v>789</v>
      </c>
      <c r="E266" s="5">
        <v>22379.0</v>
      </c>
      <c r="F266" s="3">
        <v>4476465.0</v>
      </c>
      <c r="G266" s="3">
        <v>3.516869222E9</v>
      </c>
      <c r="H266" s="3" t="s">
        <v>21</v>
      </c>
      <c r="I266" s="3" t="s">
        <v>22</v>
      </c>
      <c r="J266" s="3" t="s">
        <v>23</v>
      </c>
      <c r="K266" s="6"/>
      <c r="L266" s="6"/>
      <c r="M266" s="6"/>
      <c r="N266" s="6"/>
      <c r="O266" s="6"/>
      <c r="P266" s="6"/>
      <c r="Q266" s="6"/>
      <c r="R266" s="7" t="str">
        <f>IF(H266="","",VLOOKUP(H266,'Hoja 9'!$A$1:$B$255,2,0))</f>
        <v>GOOGLE</v>
      </c>
      <c r="S266" s="7">
        <f t="shared" si="1"/>
        <v>2023</v>
      </c>
      <c r="T266" s="7">
        <f t="shared" si="2"/>
        <v>8</v>
      </c>
    </row>
    <row r="267">
      <c r="A267" s="4">
        <v>45147.54667069444</v>
      </c>
      <c r="B267" s="3" t="s">
        <v>790</v>
      </c>
      <c r="C267" s="3" t="s">
        <v>791</v>
      </c>
      <c r="E267" s="5">
        <v>16274.0</v>
      </c>
      <c r="F267" s="3">
        <v>4832540.0</v>
      </c>
      <c r="G267" s="3">
        <v>3.516468636E9</v>
      </c>
      <c r="H267" s="3" t="s">
        <v>27</v>
      </c>
      <c r="I267" s="3" t="s">
        <v>22</v>
      </c>
      <c r="J267" s="3" t="s">
        <v>72</v>
      </c>
      <c r="K267" s="6"/>
      <c r="L267" s="6"/>
      <c r="M267" s="6"/>
      <c r="N267" s="6"/>
      <c r="O267" s="6"/>
      <c r="P267" s="6"/>
      <c r="Q267" s="6"/>
      <c r="R267" s="7" t="str">
        <f>IF(H267="","",VLOOKUP(H267,'Hoja 9'!$A$1:$B$255,2,0))</f>
        <v>BOCA EN BOCA</v>
      </c>
      <c r="S267" s="7">
        <f t="shared" si="1"/>
        <v>2023</v>
      </c>
      <c r="T267" s="7">
        <f t="shared" si="2"/>
        <v>8</v>
      </c>
    </row>
    <row r="268">
      <c r="A268" s="4">
        <v>45147.55611533565</v>
      </c>
      <c r="B268" s="3" t="s">
        <v>526</v>
      </c>
      <c r="C268" s="3" t="s">
        <v>792</v>
      </c>
      <c r="D268" s="3" t="s">
        <v>793</v>
      </c>
      <c r="E268" s="5">
        <v>27585.0</v>
      </c>
      <c r="F268" s="3">
        <v>2.4648416E7</v>
      </c>
      <c r="G268" s="3">
        <v>3.513090464E9</v>
      </c>
      <c r="H268" s="3" t="s">
        <v>21</v>
      </c>
      <c r="I268" s="3" t="s">
        <v>22</v>
      </c>
      <c r="J268" s="3" t="s">
        <v>58</v>
      </c>
      <c r="K268" s="6"/>
      <c r="L268" s="6"/>
      <c r="M268" s="6"/>
      <c r="N268" s="6"/>
      <c r="O268" s="6"/>
      <c r="P268" s="6"/>
      <c r="Q268" s="6"/>
      <c r="R268" s="7" t="str">
        <f>IF(H268="","",VLOOKUP(H268,'Hoja 9'!$A$1:$B$255,2,0))</f>
        <v>GOOGLE</v>
      </c>
      <c r="S268" s="7">
        <f t="shared" si="1"/>
        <v>2023</v>
      </c>
      <c r="T268" s="7">
        <f t="shared" si="2"/>
        <v>8</v>
      </c>
    </row>
    <row r="269">
      <c r="A269" s="4">
        <v>45147.79687476852</v>
      </c>
      <c r="B269" s="3" t="s">
        <v>794</v>
      </c>
      <c r="C269" s="3" t="s">
        <v>710</v>
      </c>
      <c r="D269" s="3" t="s">
        <v>795</v>
      </c>
      <c r="E269" s="5">
        <v>36880.0</v>
      </c>
      <c r="F269" s="3">
        <v>4.3143963E7</v>
      </c>
      <c r="G269" s="3">
        <v>3.512526328E9</v>
      </c>
      <c r="H269" s="3" t="s">
        <v>27</v>
      </c>
      <c r="I269" s="3" t="s">
        <v>22</v>
      </c>
      <c r="J269" s="3" t="s">
        <v>149</v>
      </c>
      <c r="K269" s="6"/>
      <c r="L269" s="6"/>
      <c r="M269" s="6"/>
      <c r="N269" s="6"/>
      <c r="O269" s="6"/>
      <c r="P269" s="6"/>
      <c r="Q269" s="6"/>
      <c r="R269" s="7" t="str">
        <f>IF(H269="","",VLOOKUP(H269,'Hoja 9'!$A$1:$B$255,2,0))</f>
        <v>BOCA EN BOCA</v>
      </c>
      <c r="S269" s="7">
        <f t="shared" si="1"/>
        <v>2023</v>
      </c>
      <c r="T269" s="7">
        <f t="shared" si="2"/>
        <v>8</v>
      </c>
    </row>
    <row r="270">
      <c r="A270" s="4">
        <v>45148.5581130787</v>
      </c>
      <c r="B270" s="3" t="s">
        <v>796</v>
      </c>
      <c r="C270" s="3" t="s">
        <v>797</v>
      </c>
      <c r="D270" s="3" t="s">
        <v>798</v>
      </c>
      <c r="E270" s="5">
        <v>34928.0</v>
      </c>
      <c r="F270" s="3">
        <v>3.9058047E7</v>
      </c>
      <c r="G270" s="3">
        <v>3.512179377E9</v>
      </c>
      <c r="H270" s="3" t="s">
        <v>339</v>
      </c>
      <c r="I270" s="3" t="s">
        <v>28</v>
      </c>
      <c r="R270" s="7" t="str">
        <f>IF(H270="","",VLOOKUP(H270,'Hoja 9'!$A$1:$B$255,2,0))</f>
        <v>META</v>
      </c>
      <c r="S270" s="7">
        <f t="shared" si="1"/>
        <v>2023</v>
      </c>
      <c r="T270" s="7">
        <f t="shared" si="2"/>
        <v>8</v>
      </c>
    </row>
    <row r="271">
      <c r="A271" s="4">
        <v>45148.745743252315</v>
      </c>
      <c r="B271" s="3" t="s">
        <v>799</v>
      </c>
      <c r="C271" s="3" t="s">
        <v>800</v>
      </c>
      <c r="D271" s="3" t="s">
        <v>801</v>
      </c>
      <c r="E271" s="5">
        <v>23392.0</v>
      </c>
      <c r="F271" s="3">
        <v>1.6903983E7</v>
      </c>
      <c r="G271" s="3">
        <v>3.518171709E9</v>
      </c>
      <c r="H271" s="3" t="s">
        <v>148</v>
      </c>
      <c r="I271" s="3" t="s">
        <v>22</v>
      </c>
      <c r="J271" s="3" t="s">
        <v>23</v>
      </c>
      <c r="K271" s="6"/>
      <c r="L271" s="6"/>
      <c r="M271" s="6"/>
      <c r="N271" s="6"/>
      <c r="O271" s="6"/>
      <c r="P271" s="6"/>
      <c r="Q271" s="6"/>
      <c r="R271" s="7" t="str">
        <f>IF(H271="","",VLOOKUP(H271,'Hoja 9'!$A$1:$B$255,2,0))</f>
        <v>OBRA SOCIAL</v>
      </c>
      <c r="S271" s="7">
        <f t="shared" si="1"/>
        <v>2023</v>
      </c>
      <c r="T271" s="7">
        <f t="shared" si="2"/>
        <v>8</v>
      </c>
    </row>
    <row r="272">
      <c r="A272" s="4">
        <v>45152.469723738424</v>
      </c>
      <c r="B272" s="3" t="s">
        <v>802</v>
      </c>
      <c r="C272" s="3" t="s">
        <v>803</v>
      </c>
      <c r="D272" s="3" t="s">
        <v>804</v>
      </c>
      <c r="E272" s="5">
        <v>35838.0</v>
      </c>
      <c r="F272" s="3">
        <v>4.1002848E7</v>
      </c>
      <c r="G272" s="3">
        <v>3.517668014E9</v>
      </c>
      <c r="H272" s="3" t="s">
        <v>27</v>
      </c>
      <c r="I272" s="3" t="s">
        <v>28</v>
      </c>
      <c r="R272" s="7" t="str">
        <f>IF(H272="","",VLOOKUP(H272,'Hoja 9'!$A$1:$B$255,2,0))</f>
        <v>BOCA EN BOCA</v>
      </c>
      <c r="S272" s="7">
        <f t="shared" si="1"/>
        <v>2023</v>
      </c>
      <c r="T272" s="7">
        <f t="shared" si="2"/>
        <v>8</v>
      </c>
    </row>
    <row r="273">
      <c r="A273" s="4">
        <v>45153.78457292824</v>
      </c>
      <c r="B273" s="3" t="s">
        <v>805</v>
      </c>
      <c r="C273" s="3" t="s">
        <v>778</v>
      </c>
      <c r="D273" s="3" t="s">
        <v>806</v>
      </c>
      <c r="E273" s="5">
        <v>34487.0</v>
      </c>
      <c r="F273" s="3">
        <v>1.017219885E9</v>
      </c>
      <c r="G273" s="3">
        <v>3.51864309E9</v>
      </c>
      <c r="H273" s="3" t="s">
        <v>21</v>
      </c>
      <c r="I273" s="3" t="s">
        <v>28</v>
      </c>
      <c r="R273" s="7" t="str">
        <f>IF(H273="","",VLOOKUP(H273,'Hoja 9'!$A$1:$B$255,2,0))</f>
        <v>GOOGLE</v>
      </c>
      <c r="S273" s="7">
        <f t="shared" si="1"/>
        <v>2023</v>
      </c>
      <c r="T273" s="7">
        <f t="shared" si="2"/>
        <v>8</v>
      </c>
    </row>
    <row r="274">
      <c r="A274" s="4">
        <v>45154.5092943287</v>
      </c>
      <c r="B274" s="3" t="s">
        <v>807</v>
      </c>
      <c r="C274" s="3" t="s">
        <v>808</v>
      </c>
      <c r="D274" s="3" t="s">
        <v>809</v>
      </c>
      <c r="E274" s="5">
        <v>20643.0</v>
      </c>
      <c r="F274" s="3">
        <v>1.2365443E7</v>
      </c>
      <c r="G274" s="3">
        <v>3.515523954E9</v>
      </c>
      <c r="H274" s="3" t="s">
        <v>44</v>
      </c>
      <c r="I274" s="3" t="s">
        <v>28</v>
      </c>
      <c r="R274" s="7" t="str">
        <f>IF(H274="","",VLOOKUP(H274,'Hoja 9'!$A$1:$B$255,2,0))</f>
        <v>GIMNASIO</v>
      </c>
      <c r="S274" s="7">
        <f t="shared" si="1"/>
        <v>2023</v>
      </c>
      <c r="T274" s="7">
        <f t="shared" si="2"/>
        <v>8</v>
      </c>
    </row>
    <row r="275">
      <c r="A275" s="4">
        <v>45160.790116874996</v>
      </c>
      <c r="B275" s="3" t="s">
        <v>810</v>
      </c>
      <c r="C275" s="3" t="s">
        <v>811</v>
      </c>
      <c r="D275" s="3" t="s">
        <v>812</v>
      </c>
      <c r="E275" s="5">
        <v>34552.0</v>
      </c>
      <c r="F275" s="3">
        <v>3.8332969E7</v>
      </c>
      <c r="G275" s="3">
        <v>3.517564453E9</v>
      </c>
      <c r="H275" s="3" t="s">
        <v>44</v>
      </c>
      <c r="I275" s="3" t="s">
        <v>28</v>
      </c>
      <c r="R275" s="7" t="str">
        <f>IF(H275="","",VLOOKUP(H275,'Hoja 9'!$A$1:$B$255,2,0))</f>
        <v>GIMNASIO</v>
      </c>
      <c r="S275" s="7">
        <f t="shared" si="1"/>
        <v>2023</v>
      </c>
      <c r="T275" s="7">
        <f t="shared" si="2"/>
        <v>8</v>
      </c>
    </row>
    <row r="276">
      <c r="A276" s="4">
        <v>45161.56115709491</v>
      </c>
      <c r="B276" s="3" t="s">
        <v>813</v>
      </c>
      <c r="C276" s="3" t="s">
        <v>180</v>
      </c>
      <c r="D276" s="3" t="s">
        <v>814</v>
      </c>
      <c r="E276" s="5">
        <v>36231.0</v>
      </c>
      <c r="F276" s="3">
        <v>4.1827913E7</v>
      </c>
      <c r="G276" s="3">
        <v>3.518017718E9</v>
      </c>
      <c r="H276" s="3" t="s">
        <v>244</v>
      </c>
      <c r="I276" s="3" t="s">
        <v>28</v>
      </c>
      <c r="R276" s="7" t="str">
        <f>IF(H276="","",VLOOKUP(H276,'Hoja 9'!$A$1:$B$255,2,0))</f>
        <v>META</v>
      </c>
      <c r="S276" s="7">
        <f t="shared" si="1"/>
        <v>2023</v>
      </c>
      <c r="T276" s="7">
        <f t="shared" si="2"/>
        <v>8</v>
      </c>
    </row>
    <row r="277">
      <c r="A277" s="4">
        <v>45161.825741712964</v>
      </c>
      <c r="B277" s="3" t="s">
        <v>815</v>
      </c>
      <c r="C277" s="3" t="s">
        <v>544</v>
      </c>
      <c r="D277" s="3" t="s">
        <v>816</v>
      </c>
      <c r="E277" s="5">
        <v>39401.0</v>
      </c>
      <c r="F277" s="3">
        <v>4.7578131E7</v>
      </c>
      <c r="G277" s="3">
        <v>3.516143065E9</v>
      </c>
      <c r="H277" s="3" t="s">
        <v>27</v>
      </c>
      <c r="I277" s="3" t="s">
        <v>28</v>
      </c>
      <c r="R277" s="7" t="str">
        <f>IF(H277="","",VLOOKUP(H277,'Hoja 9'!$A$1:$B$255,2,0))</f>
        <v>BOCA EN BOCA</v>
      </c>
      <c r="S277" s="7">
        <f t="shared" si="1"/>
        <v>2023</v>
      </c>
      <c r="T277" s="7">
        <f t="shared" si="2"/>
        <v>8</v>
      </c>
    </row>
    <row r="278">
      <c r="A278" s="4">
        <v>45162.42802049768</v>
      </c>
      <c r="B278" s="3" t="s">
        <v>817</v>
      </c>
      <c r="C278" s="3" t="s">
        <v>449</v>
      </c>
      <c r="D278" s="3" t="s">
        <v>818</v>
      </c>
      <c r="E278" s="5">
        <v>33718.0</v>
      </c>
      <c r="F278" s="3">
        <v>3.620187E7</v>
      </c>
      <c r="G278" s="3">
        <v>3.512537189E9</v>
      </c>
      <c r="H278" s="3" t="s">
        <v>27</v>
      </c>
      <c r="I278" s="3" t="s">
        <v>22</v>
      </c>
      <c r="J278" s="3" t="s">
        <v>234</v>
      </c>
      <c r="K278" s="6"/>
      <c r="L278" s="6"/>
      <c r="M278" s="6"/>
      <c r="N278" s="6"/>
      <c r="O278" s="6"/>
      <c r="P278" s="6"/>
      <c r="Q278" s="6"/>
      <c r="R278" s="7" t="str">
        <f>IF(H278="","",VLOOKUP(H278,'Hoja 9'!$A$1:$B$255,2,0))</f>
        <v>BOCA EN BOCA</v>
      </c>
      <c r="S278" s="7">
        <f t="shared" si="1"/>
        <v>2023</v>
      </c>
      <c r="T278" s="7">
        <f t="shared" si="2"/>
        <v>8</v>
      </c>
    </row>
    <row r="279">
      <c r="A279" s="4">
        <v>45162.466602754634</v>
      </c>
      <c r="B279" s="3" t="s">
        <v>819</v>
      </c>
      <c r="C279" s="3" t="s">
        <v>820</v>
      </c>
      <c r="D279" s="3" t="s">
        <v>821</v>
      </c>
      <c r="E279" s="5">
        <v>34834.0</v>
      </c>
      <c r="F279" s="3">
        <v>3.8988858E7</v>
      </c>
      <c r="G279" s="3">
        <v>3.517555421E9</v>
      </c>
      <c r="H279" s="3" t="s">
        <v>27</v>
      </c>
      <c r="I279" s="3" t="s">
        <v>28</v>
      </c>
      <c r="R279" s="7" t="str">
        <f>IF(H279="","",VLOOKUP(H279,'Hoja 9'!$A$1:$B$255,2,0))</f>
        <v>BOCA EN BOCA</v>
      </c>
      <c r="S279" s="7">
        <f t="shared" si="1"/>
        <v>2023</v>
      </c>
      <c r="T279" s="7">
        <f t="shared" si="2"/>
        <v>8</v>
      </c>
    </row>
    <row r="280">
      <c r="A280" s="4">
        <v>45166.5703415162</v>
      </c>
      <c r="B280" s="3" t="s">
        <v>822</v>
      </c>
      <c r="C280" s="3" t="s">
        <v>823</v>
      </c>
      <c r="D280" s="3" t="s">
        <v>824</v>
      </c>
      <c r="E280" s="5" t="s">
        <v>825</v>
      </c>
      <c r="F280" s="3">
        <v>1.6903534E7</v>
      </c>
      <c r="G280" s="3">
        <v>3.515900607E9</v>
      </c>
      <c r="H280" s="3" t="s">
        <v>27</v>
      </c>
      <c r="I280" s="3" t="s">
        <v>28</v>
      </c>
      <c r="R280" s="7" t="str">
        <f>IF(H280="","",VLOOKUP(H280,'Hoja 9'!$A$1:$B$255,2,0))</f>
        <v>BOCA EN BOCA</v>
      </c>
      <c r="S280" s="7">
        <f t="shared" si="1"/>
        <v>2023</v>
      </c>
      <c r="T280" s="7">
        <f t="shared" si="2"/>
        <v>8</v>
      </c>
    </row>
    <row r="281">
      <c r="A281" s="4">
        <v>45168.76945010417</v>
      </c>
      <c r="B281" s="3" t="s">
        <v>826</v>
      </c>
      <c r="C281" s="3" t="s">
        <v>827</v>
      </c>
      <c r="D281" s="3" t="s">
        <v>828</v>
      </c>
      <c r="E281" s="5">
        <v>35782.0</v>
      </c>
      <c r="F281" s="3">
        <v>4.0815042E7</v>
      </c>
      <c r="G281" s="3">
        <v>3.517350066E9</v>
      </c>
      <c r="H281" s="3" t="s">
        <v>244</v>
      </c>
      <c r="I281" s="3" t="s">
        <v>28</v>
      </c>
      <c r="R281" s="7" t="str">
        <f>IF(H281="","",VLOOKUP(H281,'Hoja 9'!$A$1:$B$255,2,0))</f>
        <v>META</v>
      </c>
      <c r="S281" s="7">
        <f t="shared" si="1"/>
        <v>2023</v>
      </c>
      <c r="T281" s="7">
        <f t="shared" si="2"/>
        <v>8</v>
      </c>
    </row>
    <row r="282">
      <c r="A282" s="4">
        <v>45168.786436168986</v>
      </c>
      <c r="B282" s="3" t="s">
        <v>829</v>
      </c>
      <c r="C282" s="3" t="s">
        <v>710</v>
      </c>
      <c r="D282" s="3" t="s">
        <v>830</v>
      </c>
      <c r="E282" s="5">
        <v>35308.0</v>
      </c>
      <c r="F282" s="3">
        <v>3.9691764E7</v>
      </c>
      <c r="G282" s="3">
        <v>3.517674121E9</v>
      </c>
      <c r="H282" s="3" t="s">
        <v>27</v>
      </c>
      <c r="I282" s="3" t="s">
        <v>22</v>
      </c>
      <c r="J282" s="3" t="s">
        <v>831</v>
      </c>
      <c r="K282" s="6"/>
      <c r="L282" s="6"/>
      <c r="M282" s="6"/>
      <c r="N282" s="6"/>
      <c r="O282" s="6"/>
      <c r="P282" s="6"/>
      <c r="Q282" s="6"/>
      <c r="R282" s="7" t="str">
        <f>IF(H282="","",VLOOKUP(H282,'Hoja 9'!$A$1:$B$255,2,0))</f>
        <v>BOCA EN BOCA</v>
      </c>
      <c r="S282" s="7">
        <f t="shared" si="1"/>
        <v>2023</v>
      </c>
      <c r="T282" s="7">
        <f t="shared" si="2"/>
        <v>8</v>
      </c>
    </row>
    <row r="283">
      <c r="A283" s="4">
        <v>45169.663256493055</v>
      </c>
      <c r="B283" s="3" t="s">
        <v>832</v>
      </c>
      <c r="C283" s="3" t="s">
        <v>833</v>
      </c>
      <c r="D283" s="3" t="s">
        <v>834</v>
      </c>
      <c r="E283" s="5">
        <v>45154.0</v>
      </c>
      <c r="F283" s="3">
        <v>2.3764296E7</v>
      </c>
      <c r="G283" s="3">
        <v>3.512185759E9</v>
      </c>
      <c r="H283" s="3" t="s">
        <v>27</v>
      </c>
      <c r="I283" s="3" t="s">
        <v>28</v>
      </c>
      <c r="R283" s="7" t="str">
        <f>IF(H283="","",VLOOKUP(H283,'Hoja 9'!$A$1:$B$255,2,0))</f>
        <v>BOCA EN BOCA</v>
      </c>
      <c r="S283" s="7">
        <f t="shared" si="1"/>
        <v>2023</v>
      </c>
      <c r="T283" s="7">
        <f t="shared" si="2"/>
        <v>8</v>
      </c>
    </row>
    <row r="284">
      <c r="A284" s="4">
        <v>45170.49165207176</v>
      </c>
      <c r="B284" s="3" t="s">
        <v>835</v>
      </c>
      <c r="C284" s="3" t="s">
        <v>836</v>
      </c>
      <c r="D284" s="3" t="s">
        <v>837</v>
      </c>
      <c r="E284" s="5">
        <v>32265.0</v>
      </c>
      <c r="F284" s="3">
        <v>3.3701919E7</v>
      </c>
      <c r="G284" s="3">
        <v>3.513029274E9</v>
      </c>
      <c r="H284" s="3" t="s">
        <v>27</v>
      </c>
      <c r="I284" s="3" t="s">
        <v>28</v>
      </c>
      <c r="R284" s="7" t="str">
        <f>IF(H284="","",VLOOKUP(H284,'Hoja 9'!$A$1:$B$255,2,0))</f>
        <v>BOCA EN BOCA</v>
      </c>
      <c r="S284" s="7">
        <f t="shared" si="1"/>
        <v>2023</v>
      </c>
      <c r="T284" s="7">
        <f t="shared" si="2"/>
        <v>9</v>
      </c>
    </row>
    <row r="285">
      <c r="A285" s="4">
        <v>45173.53485064815</v>
      </c>
      <c r="B285" s="3" t="s">
        <v>838</v>
      </c>
      <c r="C285" s="3" t="s">
        <v>839</v>
      </c>
      <c r="D285" s="3" t="s">
        <v>840</v>
      </c>
      <c r="E285" s="5">
        <v>40014.0</v>
      </c>
      <c r="F285" s="8">
        <v>4.9556914E7</v>
      </c>
      <c r="G285" s="3">
        <v>3.513865777E9</v>
      </c>
      <c r="H285" s="3" t="s">
        <v>27</v>
      </c>
      <c r="I285" s="3" t="s">
        <v>28</v>
      </c>
      <c r="R285" s="7" t="str">
        <f>IF(H285="","",VLOOKUP(H285,'Hoja 9'!$A$1:$B$255,2,0))</f>
        <v>BOCA EN BOCA</v>
      </c>
      <c r="S285" s="7">
        <f t="shared" si="1"/>
        <v>2023</v>
      </c>
      <c r="T285" s="7">
        <f t="shared" si="2"/>
        <v>9</v>
      </c>
    </row>
    <row r="286">
      <c r="A286" s="4">
        <v>45173.82478709491</v>
      </c>
      <c r="B286" s="3" t="s">
        <v>841</v>
      </c>
      <c r="C286" s="3" t="s">
        <v>842</v>
      </c>
      <c r="E286" s="5">
        <v>21050.0</v>
      </c>
      <c r="F286" s="3">
        <v>1.3128404E7</v>
      </c>
      <c r="G286" s="3">
        <v>3.512380824E9</v>
      </c>
      <c r="H286" s="3" t="s">
        <v>27</v>
      </c>
      <c r="I286" s="3" t="s">
        <v>22</v>
      </c>
      <c r="J286" s="3" t="s">
        <v>23</v>
      </c>
      <c r="K286" s="6"/>
      <c r="L286" s="6"/>
      <c r="M286" s="6"/>
      <c r="N286" s="6"/>
      <c r="O286" s="6"/>
      <c r="P286" s="6"/>
      <c r="Q286" s="6"/>
      <c r="R286" s="7" t="str">
        <f>IF(H286="","",VLOOKUP(H286,'Hoja 9'!$A$1:$B$255,2,0))</f>
        <v>BOCA EN BOCA</v>
      </c>
      <c r="S286" s="7">
        <f t="shared" si="1"/>
        <v>2023</v>
      </c>
      <c r="T286" s="7">
        <f t="shared" si="2"/>
        <v>9</v>
      </c>
    </row>
    <row r="287">
      <c r="A287" s="4">
        <v>45174.38357667824</v>
      </c>
      <c r="B287" s="3" t="s">
        <v>843</v>
      </c>
      <c r="C287" s="3" t="s">
        <v>844</v>
      </c>
      <c r="D287" s="3" t="s">
        <v>845</v>
      </c>
      <c r="E287" s="5">
        <v>36609.0</v>
      </c>
      <c r="F287" s="3">
        <v>4.2428152E7</v>
      </c>
      <c r="G287" s="3">
        <v>3.518050928E9</v>
      </c>
      <c r="H287" s="3" t="s">
        <v>846</v>
      </c>
      <c r="I287" s="3" t="s">
        <v>28</v>
      </c>
      <c r="R287" s="7" t="str">
        <f>IF(H287="","",VLOOKUP(H287,'Hoja 9'!$A$1:$B$255,2,0))</f>
        <v>BOCA EN BOCA</v>
      </c>
      <c r="S287" s="7">
        <f t="shared" si="1"/>
        <v>2023</v>
      </c>
      <c r="T287" s="7">
        <f t="shared" si="2"/>
        <v>9</v>
      </c>
    </row>
    <row r="288">
      <c r="A288" s="4">
        <v>45174.699217256944</v>
      </c>
      <c r="B288" s="3" t="s">
        <v>847</v>
      </c>
      <c r="C288" s="3" t="s">
        <v>848</v>
      </c>
      <c r="D288" s="3" t="s">
        <v>849</v>
      </c>
      <c r="E288" s="5">
        <v>22426.0</v>
      </c>
      <c r="F288" s="3">
        <v>1.4476405E7</v>
      </c>
      <c r="G288" s="3">
        <v>3.516777703E9</v>
      </c>
      <c r="H288" s="3" t="s">
        <v>27</v>
      </c>
      <c r="I288" s="3" t="s">
        <v>22</v>
      </c>
      <c r="J288" s="3" t="s">
        <v>68</v>
      </c>
      <c r="K288" s="6"/>
      <c r="L288" s="6"/>
      <c r="M288" s="6"/>
      <c r="N288" s="6"/>
      <c r="O288" s="6"/>
      <c r="P288" s="6"/>
      <c r="Q288" s="6"/>
      <c r="R288" s="7" t="str">
        <f>IF(H288="","",VLOOKUP(H288,'Hoja 9'!$A$1:$B$255,2,0))</f>
        <v>BOCA EN BOCA</v>
      </c>
      <c r="S288" s="7">
        <f t="shared" si="1"/>
        <v>2023</v>
      </c>
      <c r="T288" s="7">
        <f t="shared" si="2"/>
        <v>9</v>
      </c>
    </row>
    <row r="289">
      <c r="A289" s="4">
        <v>45174.80858334491</v>
      </c>
      <c r="B289" s="3" t="s">
        <v>850</v>
      </c>
      <c r="C289" s="3" t="s">
        <v>710</v>
      </c>
      <c r="D289" s="3" t="s">
        <v>851</v>
      </c>
      <c r="E289" s="5">
        <v>30693.0</v>
      </c>
      <c r="F289" s="3">
        <v>3.0660785E7</v>
      </c>
      <c r="G289" s="3">
        <v>3.93485174886E11</v>
      </c>
      <c r="H289" s="3" t="s">
        <v>44</v>
      </c>
      <c r="I289" s="3" t="s">
        <v>22</v>
      </c>
      <c r="J289" s="3" t="s">
        <v>287</v>
      </c>
      <c r="K289" s="6"/>
      <c r="L289" s="6"/>
      <c r="M289" s="6"/>
      <c r="N289" s="6"/>
      <c r="O289" s="6"/>
      <c r="P289" s="6"/>
      <c r="Q289" s="6"/>
      <c r="R289" s="7" t="str">
        <f>IF(H289="","",VLOOKUP(H289,'Hoja 9'!$A$1:$B$255,2,0))</f>
        <v>GIMNASIO</v>
      </c>
      <c r="S289" s="7">
        <f t="shared" si="1"/>
        <v>2023</v>
      </c>
      <c r="T289" s="7">
        <f t="shared" si="2"/>
        <v>9</v>
      </c>
    </row>
    <row r="290">
      <c r="A290" s="4">
        <v>45176.688642442125</v>
      </c>
      <c r="B290" s="3" t="s">
        <v>852</v>
      </c>
      <c r="C290" s="3" t="s">
        <v>853</v>
      </c>
      <c r="D290" s="3" t="s">
        <v>854</v>
      </c>
      <c r="E290" s="5" t="s">
        <v>855</v>
      </c>
      <c r="F290" s="3">
        <v>1.6054382E7</v>
      </c>
      <c r="G290" s="3">
        <v>3.517358844E9</v>
      </c>
      <c r="H290" s="3" t="s">
        <v>339</v>
      </c>
      <c r="I290" s="3" t="s">
        <v>22</v>
      </c>
      <c r="J290" s="3" t="s">
        <v>23</v>
      </c>
      <c r="K290" s="6"/>
      <c r="L290" s="6"/>
      <c r="M290" s="6"/>
      <c r="N290" s="6"/>
      <c r="O290" s="6"/>
      <c r="P290" s="6"/>
      <c r="Q290" s="6"/>
      <c r="R290" s="7" t="str">
        <f>IF(H290="","",VLOOKUP(H290,'Hoja 9'!$A$1:$B$255,2,0))</f>
        <v>META</v>
      </c>
      <c r="S290" s="7">
        <f t="shared" si="1"/>
        <v>2023</v>
      </c>
      <c r="T290" s="7">
        <f t="shared" si="2"/>
        <v>9</v>
      </c>
    </row>
    <row r="291">
      <c r="A291" s="4">
        <v>45177.77964232639</v>
      </c>
      <c r="B291" s="3" t="s">
        <v>815</v>
      </c>
      <c r="C291" s="3" t="s">
        <v>856</v>
      </c>
      <c r="D291" s="3" t="s">
        <v>816</v>
      </c>
      <c r="E291" s="5">
        <v>26392.0</v>
      </c>
      <c r="F291" s="3">
        <v>2.2714106E7</v>
      </c>
      <c r="G291" s="3">
        <v>3.51634066E9</v>
      </c>
      <c r="H291" s="3" t="s">
        <v>27</v>
      </c>
      <c r="I291" s="3" t="s">
        <v>28</v>
      </c>
      <c r="R291" s="7" t="str">
        <f>IF(H291="","",VLOOKUP(H291,'Hoja 9'!$A$1:$B$255,2,0))</f>
        <v>BOCA EN BOCA</v>
      </c>
      <c r="S291" s="7">
        <f t="shared" si="1"/>
        <v>2023</v>
      </c>
      <c r="T291" s="7">
        <f t="shared" si="2"/>
        <v>9</v>
      </c>
    </row>
    <row r="292">
      <c r="A292" s="4">
        <v>45180.71825924769</v>
      </c>
      <c r="B292" s="3" t="s">
        <v>857</v>
      </c>
      <c r="C292" s="3" t="s">
        <v>858</v>
      </c>
      <c r="D292" s="3" t="s">
        <v>859</v>
      </c>
      <c r="E292" s="5">
        <v>28029.0</v>
      </c>
      <c r="F292" s="3">
        <v>2.5246809E7</v>
      </c>
      <c r="G292" s="3">
        <v>3.513301429E9</v>
      </c>
      <c r="H292" s="3" t="s">
        <v>21</v>
      </c>
      <c r="I292" s="3" t="s">
        <v>28</v>
      </c>
      <c r="R292" s="7" t="str">
        <f>IF(H292="","",VLOOKUP(H292,'Hoja 9'!$A$1:$B$255,2,0))</f>
        <v>GOOGLE</v>
      </c>
      <c r="S292" s="7">
        <f t="shared" si="1"/>
        <v>2023</v>
      </c>
      <c r="T292" s="7">
        <f t="shared" si="2"/>
        <v>9</v>
      </c>
    </row>
    <row r="293">
      <c r="A293" s="4">
        <v>45180.776613078706</v>
      </c>
      <c r="B293" s="3" t="s">
        <v>860</v>
      </c>
      <c r="C293" s="3" t="s">
        <v>861</v>
      </c>
      <c r="D293" s="3" t="s">
        <v>862</v>
      </c>
      <c r="E293" s="5">
        <v>39732.0</v>
      </c>
      <c r="F293" s="3">
        <v>4.8455911E7</v>
      </c>
      <c r="G293" s="3">
        <v>3.515929933E9</v>
      </c>
      <c r="H293" s="3" t="s">
        <v>27</v>
      </c>
      <c r="I293" s="3" t="s">
        <v>22</v>
      </c>
      <c r="J293" s="3" t="s">
        <v>23</v>
      </c>
      <c r="K293" s="6"/>
      <c r="L293" s="6"/>
      <c r="M293" s="6"/>
      <c r="N293" s="6"/>
      <c r="O293" s="6"/>
      <c r="P293" s="6"/>
      <c r="Q293" s="6"/>
      <c r="R293" s="7" t="str">
        <f>IF(H293="","",VLOOKUP(H293,'Hoja 9'!$A$1:$B$255,2,0))</f>
        <v>BOCA EN BOCA</v>
      </c>
      <c r="S293" s="7">
        <f t="shared" si="1"/>
        <v>2023</v>
      </c>
      <c r="T293" s="7">
        <f t="shared" si="2"/>
        <v>9</v>
      </c>
    </row>
    <row r="294">
      <c r="A294" s="4">
        <v>45181.4619780787</v>
      </c>
      <c r="B294" s="3" t="s">
        <v>863</v>
      </c>
      <c r="C294" s="3" t="s">
        <v>864</v>
      </c>
      <c r="D294" s="3" t="s">
        <v>865</v>
      </c>
      <c r="E294" s="5">
        <v>34226.0</v>
      </c>
      <c r="F294" s="3">
        <v>3.7522355E7</v>
      </c>
      <c r="G294" s="3">
        <v>3.576522726E9</v>
      </c>
      <c r="H294" s="3" t="s">
        <v>44</v>
      </c>
      <c r="I294" s="3" t="s">
        <v>28</v>
      </c>
      <c r="R294" s="7" t="str">
        <f>IF(H294="","",VLOOKUP(H294,'Hoja 9'!$A$1:$B$255,2,0))</f>
        <v>GIMNASIO</v>
      </c>
      <c r="S294" s="7">
        <f t="shared" si="1"/>
        <v>2023</v>
      </c>
      <c r="T294" s="7">
        <f t="shared" si="2"/>
        <v>9</v>
      </c>
    </row>
    <row r="295">
      <c r="A295" s="4">
        <v>45181.78110086806</v>
      </c>
      <c r="B295" s="3" t="s">
        <v>866</v>
      </c>
      <c r="C295" s="3" t="s">
        <v>867</v>
      </c>
      <c r="D295" s="3" t="s">
        <v>868</v>
      </c>
      <c r="E295" s="5">
        <v>37196.0</v>
      </c>
      <c r="F295" s="3">
        <v>4.3525589E7</v>
      </c>
      <c r="G295" s="3">
        <v>3.517642959E9</v>
      </c>
      <c r="H295" s="3" t="s">
        <v>27</v>
      </c>
      <c r="I295" s="3" t="s">
        <v>22</v>
      </c>
      <c r="J295" s="3" t="s">
        <v>68</v>
      </c>
      <c r="K295" s="6"/>
      <c r="L295" s="6"/>
      <c r="M295" s="6"/>
      <c r="N295" s="6"/>
      <c r="O295" s="6"/>
      <c r="P295" s="6"/>
      <c r="Q295" s="6"/>
      <c r="R295" s="7" t="str">
        <f>IF(H295="","",VLOOKUP(H295,'Hoja 9'!$A$1:$B$255,2,0))</f>
        <v>BOCA EN BOCA</v>
      </c>
      <c r="S295" s="7">
        <f t="shared" si="1"/>
        <v>2023</v>
      </c>
      <c r="T295" s="7">
        <f t="shared" si="2"/>
        <v>9</v>
      </c>
    </row>
    <row r="296">
      <c r="A296" s="4">
        <v>45182.419648668976</v>
      </c>
      <c r="B296" s="3" t="s">
        <v>869</v>
      </c>
      <c r="C296" s="3" t="s">
        <v>870</v>
      </c>
      <c r="D296" s="3" t="s">
        <v>871</v>
      </c>
      <c r="E296" s="5">
        <v>25069.0</v>
      </c>
      <c r="F296" s="3">
        <v>2.0453094E7</v>
      </c>
      <c r="G296" s="3">
        <v>3.515504001E9</v>
      </c>
      <c r="H296" s="3" t="s">
        <v>339</v>
      </c>
      <c r="I296" s="3" t="s">
        <v>28</v>
      </c>
      <c r="R296" s="7" t="str">
        <f>IF(H296="","",VLOOKUP(H296,'Hoja 9'!$A$1:$B$255,2,0))</f>
        <v>META</v>
      </c>
      <c r="S296" s="7">
        <f t="shared" si="1"/>
        <v>2023</v>
      </c>
      <c r="T296" s="7">
        <f t="shared" si="2"/>
        <v>9</v>
      </c>
    </row>
    <row r="297">
      <c r="A297" s="4">
        <v>45182.80186381945</v>
      </c>
      <c r="B297" s="3" t="s">
        <v>863</v>
      </c>
      <c r="C297" s="3" t="s">
        <v>872</v>
      </c>
      <c r="E297" s="5">
        <v>34226.0</v>
      </c>
      <c r="F297" s="3">
        <v>3.7522355E7</v>
      </c>
      <c r="G297" s="3">
        <v>3.576522726E9</v>
      </c>
      <c r="H297" s="3" t="s">
        <v>44</v>
      </c>
      <c r="I297" s="3" t="s">
        <v>22</v>
      </c>
      <c r="J297" s="3" t="s">
        <v>72</v>
      </c>
      <c r="K297" s="6"/>
      <c r="L297" s="6"/>
      <c r="M297" s="6"/>
      <c r="N297" s="6"/>
      <c r="O297" s="6"/>
      <c r="P297" s="6"/>
      <c r="Q297" s="6"/>
      <c r="R297" s="7" t="str">
        <f>IF(H297="","",VLOOKUP(H297,'Hoja 9'!$A$1:$B$255,2,0))</f>
        <v>GIMNASIO</v>
      </c>
      <c r="S297" s="7">
        <f t="shared" si="1"/>
        <v>2023</v>
      </c>
      <c r="T297" s="7">
        <f t="shared" si="2"/>
        <v>9</v>
      </c>
    </row>
    <row r="298">
      <c r="A298" s="4">
        <v>45182.80320873843</v>
      </c>
      <c r="B298" s="3" t="s">
        <v>873</v>
      </c>
      <c r="C298" s="3" t="s">
        <v>357</v>
      </c>
      <c r="D298" s="3" t="s">
        <v>874</v>
      </c>
      <c r="E298" s="5">
        <v>36902.0</v>
      </c>
      <c r="F298" s="3">
        <v>4.3231147E7</v>
      </c>
      <c r="G298" s="3">
        <v>3.51383508E9</v>
      </c>
      <c r="H298" s="3" t="s">
        <v>44</v>
      </c>
      <c r="I298" s="3" t="s">
        <v>28</v>
      </c>
      <c r="R298" s="7" t="str">
        <f>IF(H298="","",VLOOKUP(H298,'Hoja 9'!$A$1:$B$255,2,0))</f>
        <v>GIMNASIO</v>
      </c>
      <c r="S298" s="7">
        <f t="shared" si="1"/>
        <v>2023</v>
      </c>
      <c r="T298" s="7">
        <f t="shared" si="2"/>
        <v>9</v>
      </c>
    </row>
    <row r="299">
      <c r="A299" s="4">
        <v>45182.81748712963</v>
      </c>
      <c r="B299" s="3" t="s">
        <v>875</v>
      </c>
      <c r="C299" s="3" t="s">
        <v>848</v>
      </c>
      <c r="D299" s="3" t="s">
        <v>876</v>
      </c>
      <c r="E299" s="5">
        <v>34270.0</v>
      </c>
      <c r="F299" s="3">
        <v>3.7853784E7</v>
      </c>
      <c r="G299" s="3">
        <v>3.516175792E9</v>
      </c>
      <c r="H299" s="3" t="s">
        <v>44</v>
      </c>
      <c r="I299" s="3" t="s">
        <v>28</v>
      </c>
      <c r="R299" s="7" t="str">
        <f>IF(H299="","",VLOOKUP(H299,'Hoja 9'!$A$1:$B$255,2,0))</f>
        <v>GIMNASIO</v>
      </c>
      <c r="S299" s="7">
        <f t="shared" si="1"/>
        <v>2023</v>
      </c>
      <c r="T299" s="7">
        <f t="shared" si="2"/>
        <v>9</v>
      </c>
    </row>
    <row r="300">
      <c r="A300" s="4">
        <v>45183.80362341435</v>
      </c>
      <c r="B300" s="3" t="s">
        <v>877</v>
      </c>
      <c r="C300" s="3" t="s">
        <v>710</v>
      </c>
      <c r="D300" s="3" t="s">
        <v>878</v>
      </c>
      <c r="E300" s="5">
        <v>30901.0</v>
      </c>
      <c r="F300" s="3">
        <v>3.1057714E7</v>
      </c>
      <c r="G300" s="3">
        <v>3.515933992E9</v>
      </c>
      <c r="H300" s="3" t="s">
        <v>44</v>
      </c>
      <c r="I300" s="3" t="s">
        <v>22</v>
      </c>
      <c r="J300" s="3" t="s">
        <v>879</v>
      </c>
      <c r="K300" s="6"/>
      <c r="L300" s="6"/>
      <c r="M300" s="6"/>
      <c r="N300" s="6"/>
      <c r="O300" s="6"/>
      <c r="P300" s="6"/>
      <c r="Q300" s="6"/>
      <c r="R300" s="7" t="str">
        <f>IF(H300="","",VLOOKUP(H300,'Hoja 9'!$A$1:$B$255,2,0))</f>
        <v>GIMNASIO</v>
      </c>
      <c r="S300" s="7">
        <f t="shared" si="1"/>
        <v>2023</v>
      </c>
      <c r="T300" s="7">
        <f t="shared" si="2"/>
        <v>9</v>
      </c>
    </row>
    <row r="301">
      <c r="A301" s="4">
        <v>45187.35619351851</v>
      </c>
      <c r="B301" s="3" t="s">
        <v>880</v>
      </c>
      <c r="C301" s="3" t="s">
        <v>881</v>
      </c>
      <c r="D301" s="3" t="s">
        <v>882</v>
      </c>
      <c r="E301" s="5">
        <v>23783.0</v>
      </c>
      <c r="F301" s="3">
        <v>1.7004684E7</v>
      </c>
      <c r="G301" s="3">
        <v>3.513529639E9</v>
      </c>
      <c r="H301" s="3" t="s">
        <v>27</v>
      </c>
      <c r="I301" s="3" t="s">
        <v>28</v>
      </c>
      <c r="R301" s="7" t="str">
        <f>IF(H301="","",VLOOKUP(H301,'Hoja 9'!$A$1:$B$255,2,0))</f>
        <v>BOCA EN BOCA</v>
      </c>
      <c r="S301" s="7">
        <f t="shared" si="1"/>
        <v>2023</v>
      </c>
      <c r="T301" s="7">
        <f t="shared" si="2"/>
        <v>9</v>
      </c>
    </row>
    <row r="302">
      <c r="A302" s="4">
        <v>45187.88842383102</v>
      </c>
      <c r="B302" s="3" t="s">
        <v>883</v>
      </c>
      <c r="C302" s="3" t="s">
        <v>770</v>
      </c>
      <c r="D302" s="3" t="s">
        <v>884</v>
      </c>
      <c r="E302" s="5">
        <v>33599.0</v>
      </c>
      <c r="F302" s="3">
        <v>3.6138771E7</v>
      </c>
      <c r="G302" s="3">
        <v>3.51220562E9</v>
      </c>
      <c r="H302" s="3" t="s">
        <v>885</v>
      </c>
      <c r="I302" s="3" t="s">
        <v>28</v>
      </c>
      <c r="R302" s="7" t="str">
        <f>IF(H302="","",VLOOKUP(H302,'Hoja 9'!$A$1:$B$255,2,0))</f>
        <v>GOOGLE</v>
      </c>
      <c r="S302" s="7">
        <f t="shared" si="1"/>
        <v>2023</v>
      </c>
      <c r="T302" s="7">
        <f t="shared" si="2"/>
        <v>9</v>
      </c>
    </row>
    <row r="303">
      <c r="A303" s="4">
        <v>45188.527226562495</v>
      </c>
      <c r="B303" s="3" t="s">
        <v>886</v>
      </c>
      <c r="C303" s="3" t="s">
        <v>887</v>
      </c>
      <c r="D303" s="3" t="s">
        <v>888</v>
      </c>
      <c r="E303" s="5">
        <v>28704.0</v>
      </c>
      <c r="F303" s="3">
        <v>2.6412889E7</v>
      </c>
      <c r="G303" s="3">
        <v>3.516597726E9</v>
      </c>
      <c r="H303" s="3" t="s">
        <v>27</v>
      </c>
      <c r="I303" s="3" t="s">
        <v>22</v>
      </c>
      <c r="J303" s="3" t="s">
        <v>68</v>
      </c>
      <c r="K303" s="6"/>
      <c r="L303" s="6"/>
      <c r="M303" s="6"/>
      <c r="N303" s="6"/>
      <c r="O303" s="6"/>
      <c r="P303" s="6"/>
      <c r="Q303" s="6"/>
      <c r="R303" s="7" t="str">
        <f>IF(H303="","",VLOOKUP(H303,'Hoja 9'!$A$1:$B$255,2,0))</f>
        <v>BOCA EN BOCA</v>
      </c>
      <c r="S303" s="7">
        <f t="shared" si="1"/>
        <v>2023</v>
      </c>
      <c r="T303" s="7">
        <f t="shared" si="2"/>
        <v>9</v>
      </c>
    </row>
    <row r="304">
      <c r="A304" s="4">
        <v>45188.7080625</v>
      </c>
      <c r="B304" s="3" t="s">
        <v>510</v>
      </c>
      <c r="C304" s="3" t="s">
        <v>236</v>
      </c>
      <c r="D304" s="3" t="s">
        <v>889</v>
      </c>
      <c r="E304" s="5">
        <v>33002.0</v>
      </c>
      <c r="F304" s="3">
        <v>3.5108502E7</v>
      </c>
      <c r="G304" s="3">
        <v>3.51372677E9</v>
      </c>
      <c r="H304" s="3" t="s">
        <v>27</v>
      </c>
      <c r="I304" s="3" t="s">
        <v>22</v>
      </c>
      <c r="J304" s="3" t="s">
        <v>23</v>
      </c>
      <c r="K304" s="6"/>
      <c r="L304" s="6"/>
      <c r="M304" s="6"/>
      <c r="N304" s="6"/>
      <c r="O304" s="6"/>
      <c r="P304" s="6"/>
      <c r="Q304" s="6"/>
      <c r="R304" s="7" t="str">
        <f>IF(H304="","",VLOOKUP(H304,'Hoja 9'!$A$1:$B$255,2,0))</f>
        <v>BOCA EN BOCA</v>
      </c>
      <c r="S304" s="7">
        <f t="shared" si="1"/>
        <v>2023</v>
      </c>
      <c r="T304" s="7">
        <f t="shared" si="2"/>
        <v>9</v>
      </c>
    </row>
    <row r="305">
      <c r="A305" s="4">
        <v>45188.797179444446</v>
      </c>
      <c r="B305" s="3" t="s">
        <v>890</v>
      </c>
      <c r="C305" s="3" t="s">
        <v>891</v>
      </c>
      <c r="D305" s="3" t="s">
        <v>892</v>
      </c>
      <c r="E305" s="5">
        <v>22334.0</v>
      </c>
      <c r="F305" s="3">
        <v>1.4409831E7</v>
      </c>
      <c r="G305" s="3">
        <v>3.516876546E9</v>
      </c>
      <c r="H305" s="3" t="s">
        <v>44</v>
      </c>
      <c r="I305" s="3" t="s">
        <v>28</v>
      </c>
      <c r="R305" s="7" t="str">
        <f>IF(H305="","",VLOOKUP(H305,'Hoja 9'!$A$1:$B$255,2,0))</f>
        <v>GIMNASIO</v>
      </c>
      <c r="S305" s="7">
        <f t="shared" si="1"/>
        <v>2023</v>
      </c>
      <c r="T305" s="7">
        <f t="shared" si="2"/>
        <v>9</v>
      </c>
    </row>
    <row r="306">
      <c r="A306" s="4">
        <v>45188.83159296296</v>
      </c>
      <c r="B306" s="3" t="s">
        <v>288</v>
      </c>
      <c r="C306" s="3" t="s">
        <v>893</v>
      </c>
      <c r="D306" s="3" t="s">
        <v>894</v>
      </c>
      <c r="E306" s="5">
        <v>36948.0</v>
      </c>
      <c r="F306" s="3">
        <v>4.3134171E7</v>
      </c>
      <c r="G306" s="3">
        <v>3.516815531E9</v>
      </c>
      <c r="H306" s="3" t="s">
        <v>27</v>
      </c>
      <c r="I306" s="3" t="s">
        <v>28</v>
      </c>
      <c r="R306" s="7" t="str">
        <f>IF(H306="","",VLOOKUP(H306,'Hoja 9'!$A$1:$B$255,2,0))</f>
        <v>BOCA EN BOCA</v>
      </c>
      <c r="S306" s="7">
        <f t="shared" si="1"/>
        <v>2023</v>
      </c>
      <c r="T306" s="7">
        <f t="shared" si="2"/>
        <v>9</v>
      </c>
    </row>
    <row r="307">
      <c r="A307" s="4">
        <v>45189.44700637732</v>
      </c>
      <c r="B307" s="3" t="s">
        <v>895</v>
      </c>
      <c r="C307" s="3" t="s">
        <v>896</v>
      </c>
      <c r="D307" s="3" t="s">
        <v>897</v>
      </c>
      <c r="E307" s="5">
        <v>30623.0</v>
      </c>
      <c r="F307" s="3">
        <v>3.090138E7</v>
      </c>
      <c r="G307" s="3">
        <v>3.516535691E9</v>
      </c>
      <c r="H307" s="3" t="s">
        <v>21</v>
      </c>
      <c r="I307" s="3" t="s">
        <v>22</v>
      </c>
      <c r="J307" s="3" t="s">
        <v>23</v>
      </c>
      <c r="K307" s="6"/>
      <c r="L307" s="6"/>
      <c r="M307" s="6"/>
      <c r="N307" s="6"/>
      <c r="O307" s="6"/>
      <c r="P307" s="6"/>
      <c r="Q307" s="6"/>
      <c r="R307" s="7" t="str">
        <f>IF(H307="","",VLOOKUP(H307,'Hoja 9'!$A$1:$B$255,2,0))</f>
        <v>GOOGLE</v>
      </c>
      <c r="S307" s="7">
        <f t="shared" si="1"/>
        <v>2023</v>
      </c>
      <c r="T307" s="7">
        <f t="shared" si="2"/>
        <v>9</v>
      </c>
    </row>
    <row r="308">
      <c r="A308" s="4">
        <v>45189.57795247685</v>
      </c>
      <c r="B308" s="3" t="s">
        <v>898</v>
      </c>
      <c r="C308" s="3" t="s">
        <v>899</v>
      </c>
      <c r="D308" s="3" t="s">
        <v>900</v>
      </c>
      <c r="E308" s="5">
        <v>29267.0</v>
      </c>
      <c r="F308" s="3">
        <v>2.7955583E7</v>
      </c>
      <c r="G308" s="3">
        <v>3.513021922E9</v>
      </c>
      <c r="H308" s="3" t="s">
        <v>27</v>
      </c>
      <c r="I308" s="3" t="s">
        <v>22</v>
      </c>
      <c r="J308" s="3" t="s">
        <v>831</v>
      </c>
      <c r="K308" s="6"/>
      <c r="L308" s="6"/>
      <c r="M308" s="6"/>
      <c r="N308" s="6"/>
      <c r="O308" s="6"/>
      <c r="P308" s="6"/>
      <c r="Q308" s="6"/>
      <c r="R308" s="7" t="str">
        <f>IF(H308="","",VLOOKUP(H308,'Hoja 9'!$A$1:$B$255,2,0))</f>
        <v>BOCA EN BOCA</v>
      </c>
      <c r="S308" s="7">
        <f t="shared" si="1"/>
        <v>2023</v>
      </c>
      <c r="T308" s="7">
        <f t="shared" si="2"/>
        <v>9</v>
      </c>
    </row>
    <row r="309">
      <c r="A309" s="4">
        <v>45189.63893332176</v>
      </c>
      <c r="B309" s="3" t="s">
        <v>901</v>
      </c>
      <c r="C309" s="3" t="s">
        <v>893</v>
      </c>
      <c r="D309" s="3" t="s">
        <v>902</v>
      </c>
      <c r="E309" s="5">
        <v>18564.0</v>
      </c>
      <c r="F309" s="3">
        <v>8290400.0</v>
      </c>
      <c r="G309" s="3">
        <v>3.512512427E9</v>
      </c>
      <c r="H309" s="3" t="s">
        <v>21</v>
      </c>
      <c r="I309" s="3" t="s">
        <v>28</v>
      </c>
      <c r="R309" s="7" t="str">
        <f>IF(H309="","",VLOOKUP(H309,'Hoja 9'!$A$1:$B$255,2,0))</f>
        <v>GOOGLE</v>
      </c>
      <c r="S309" s="7">
        <f t="shared" si="1"/>
        <v>2023</v>
      </c>
      <c r="T309" s="7">
        <f t="shared" si="2"/>
        <v>9</v>
      </c>
    </row>
    <row r="310">
      <c r="A310" s="4">
        <v>45189.640593749995</v>
      </c>
      <c r="B310" s="3" t="s">
        <v>288</v>
      </c>
      <c r="C310" s="3" t="s">
        <v>893</v>
      </c>
      <c r="D310" s="3" t="s">
        <v>894</v>
      </c>
      <c r="E310" s="5">
        <v>36948.0</v>
      </c>
      <c r="F310" s="3">
        <v>4.3134171E7</v>
      </c>
      <c r="G310" s="3">
        <v>3.516815531E9</v>
      </c>
      <c r="H310" s="3" t="s">
        <v>27</v>
      </c>
      <c r="I310" s="3" t="s">
        <v>28</v>
      </c>
      <c r="R310" s="7" t="str">
        <f>IF(H310="","",VLOOKUP(H310,'Hoja 9'!$A$1:$B$255,2,0))</f>
        <v>BOCA EN BOCA</v>
      </c>
      <c r="S310" s="7">
        <f t="shared" si="1"/>
        <v>2023</v>
      </c>
      <c r="T310" s="7">
        <f t="shared" si="2"/>
        <v>9</v>
      </c>
    </row>
    <row r="311">
      <c r="A311" s="4">
        <v>45189.827355104164</v>
      </c>
      <c r="B311" s="3" t="s">
        <v>903</v>
      </c>
      <c r="C311" s="3" t="s">
        <v>175</v>
      </c>
      <c r="D311" s="3" t="s">
        <v>904</v>
      </c>
      <c r="E311" s="5">
        <v>30299.0</v>
      </c>
      <c r="F311" s="3">
        <v>2.9966448E7</v>
      </c>
      <c r="G311" s="3">
        <v>3.51542903E9</v>
      </c>
      <c r="H311" s="3" t="s">
        <v>44</v>
      </c>
      <c r="I311" s="3" t="s">
        <v>22</v>
      </c>
      <c r="J311" s="3" t="s">
        <v>149</v>
      </c>
      <c r="K311" s="6"/>
      <c r="L311" s="6"/>
      <c r="M311" s="6"/>
      <c r="N311" s="6"/>
      <c r="O311" s="6"/>
      <c r="P311" s="6"/>
      <c r="Q311" s="6"/>
      <c r="R311" s="7" t="str">
        <f>IF(H311="","",VLOOKUP(H311,'Hoja 9'!$A$1:$B$255,2,0))</f>
        <v>GIMNASIO</v>
      </c>
      <c r="S311" s="7">
        <f t="shared" si="1"/>
        <v>2023</v>
      </c>
      <c r="T311" s="7">
        <f t="shared" si="2"/>
        <v>9</v>
      </c>
    </row>
    <row r="312">
      <c r="A312" s="4">
        <v>45189.8308199537</v>
      </c>
      <c r="B312" s="3" t="s">
        <v>905</v>
      </c>
      <c r="C312" s="3" t="s">
        <v>759</v>
      </c>
      <c r="D312" s="3" t="s">
        <v>421</v>
      </c>
      <c r="E312" s="5">
        <v>38957.0</v>
      </c>
      <c r="F312" s="3">
        <v>4.670299989E9</v>
      </c>
      <c r="G312" s="3">
        <v>3.516439701E9</v>
      </c>
      <c r="H312" s="3" t="s">
        <v>44</v>
      </c>
      <c r="I312" s="3" t="s">
        <v>22</v>
      </c>
      <c r="J312" s="3" t="s">
        <v>906</v>
      </c>
      <c r="K312" s="6"/>
      <c r="L312" s="6"/>
      <c r="M312" s="6"/>
      <c r="N312" s="6"/>
      <c r="O312" s="6"/>
      <c r="P312" s="6"/>
      <c r="Q312" s="6"/>
      <c r="R312" s="7" t="str">
        <f>IF(H312="","",VLOOKUP(H312,'Hoja 9'!$A$1:$B$255,2,0))</f>
        <v>GIMNASIO</v>
      </c>
      <c r="S312" s="7">
        <f t="shared" si="1"/>
        <v>2023</v>
      </c>
      <c r="T312" s="7">
        <f t="shared" si="2"/>
        <v>9</v>
      </c>
    </row>
    <row r="313">
      <c r="A313" s="4">
        <v>45190.80123244213</v>
      </c>
      <c r="B313" s="3" t="s">
        <v>907</v>
      </c>
      <c r="C313" s="3" t="s">
        <v>908</v>
      </c>
      <c r="D313" s="3" t="s">
        <v>909</v>
      </c>
      <c r="E313" s="5">
        <v>22711.0</v>
      </c>
      <c r="F313" s="3">
        <v>1.4839795E7</v>
      </c>
      <c r="G313" s="3">
        <v>3.517051244E9</v>
      </c>
      <c r="H313" s="3" t="s">
        <v>27</v>
      </c>
      <c r="I313" s="3" t="s">
        <v>28</v>
      </c>
      <c r="R313" s="7" t="str">
        <f>IF(H313="","",VLOOKUP(H313,'Hoja 9'!$A$1:$B$255,2,0))</f>
        <v>BOCA EN BOCA</v>
      </c>
      <c r="S313" s="7">
        <f t="shared" si="1"/>
        <v>2023</v>
      </c>
      <c r="T313" s="7">
        <f t="shared" si="2"/>
        <v>9</v>
      </c>
    </row>
    <row r="314">
      <c r="A314" s="4">
        <v>45190.80681376158</v>
      </c>
      <c r="B314" s="3" t="s">
        <v>910</v>
      </c>
      <c r="C314" s="3" t="s">
        <v>848</v>
      </c>
      <c r="D314" s="3" t="s">
        <v>911</v>
      </c>
      <c r="E314" s="5">
        <v>25304.0</v>
      </c>
      <c r="F314" s="3">
        <v>2.0706561E7</v>
      </c>
      <c r="G314" s="3">
        <v>3.513435345E9</v>
      </c>
      <c r="H314" s="3" t="s">
        <v>44</v>
      </c>
      <c r="I314" s="3" t="s">
        <v>28</v>
      </c>
      <c r="R314" s="7" t="str">
        <f>IF(H314="","",VLOOKUP(H314,'Hoja 9'!$A$1:$B$255,2,0))</f>
        <v>GIMNASIO</v>
      </c>
      <c r="S314" s="7">
        <f t="shared" si="1"/>
        <v>2023</v>
      </c>
      <c r="T314" s="7">
        <f t="shared" si="2"/>
        <v>9</v>
      </c>
    </row>
    <row r="315">
      <c r="A315" s="4">
        <v>45191.42189408565</v>
      </c>
      <c r="B315" s="3" t="s">
        <v>890</v>
      </c>
      <c r="C315" s="3" t="s">
        <v>891</v>
      </c>
      <c r="D315" s="3" t="s">
        <v>892</v>
      </c>
      <c r="E315" s="5">
        <v>22334.0</v>
      </c>
      <c r="F315" s="3">
        <v>1.4409831E7</v>
      </c>
      <c r="G315" s="3">
        <v>3.516876546E9</v>
      </c>
      <c r="H315" s="3" t="s">
        <v>44</v>
      </c>
      <c r="I315" s="3" t="s">
        <v>28</v>
      </c>
      <c r="R315" s="7" t="str">
        <f>IF(H315="","",VLOOKUP(H315,'Hoja 9'!$A$1:$B$255,2,0))</f>
        <v>GIMNASIO</v>
      </c>
      <c r="S315" s="7">
        <f t="shared" si="1"/>
        <v>2023</v>
      </c>
      <c r="T315" s="7">
        <f t="shared" si="2"/>
        <v>9</v>
      </c>
    </row>
    <row r="316">
      <c r="A316" s="4">
        <v>45191.44570834491</v>
      </c>
      <c r="B316" s="3" t="s">
        <v>912</v>
      </c>
      <c r="C316" s="3" t="s">
        <v>913</v>
      </c>
      <c r="D316" s="3" t="s">
        <v>914</v>
      </c>
      <c r="E316" s="5">
        <v>20929.0</v>
      </c>
      <c r="F316" s="3">
        <v>1.3154357E7</v>
      </c>
      <c r="G316" s="3">
        <v>3.512439697E9</v>
      </c>
      <c r="H316" s="3" t="s">
        <v>21</v>
      </c>
      <c r="I316" s="3" t="s">
        <v>22</v>
      </c>
      <c r="J316" s="3" t="s">
        <v>23</v>
      </c>
      <c r="K316" s="6"/>
      <c r="L316" s="6"/>
      <c r="M316" s="6"/>
      <c r="N316" s="6"/>
      <c r="O316" s="6"/>
      <c r="P316" s="6"/>
      <c r="Q316" s="6"/>
      <c r="R316" s="7" t="str">
        <f>IF(H316="","",VLOOKUP(H316,'Hoja 9'!$A$1:$B$255,2,0))</f>
        <v>GOOGLE</v>
      </c>
      <c r="S316" s="7">
        <f t="shared" si="1"/>
        <v>2023</v>
      </c>
      <c r="T316" s="7">
        <f t="shared" si="2"/>
        <v>9</v>
      </c>
    </row>
    <row r="317">
      <c r="A317" s="4">
        <v>45191.70121049769</v>
      </c>
      <c r="B317" s="3" t="s">
        <v>91</v>
      </c>
      <c r="C317" s="3" t="s">
        <v>915</v>
      </c>
      <c r="D317" s="3" t="s">
        <v>916</v>
      </c>
      <c r="E317" s="5">
        <v>19575.0</v>
      </c>
      <c r="F317" s="3">
        <v>1.0800461E7</v>
      </c>
      <c r="G317" s="3">
        <v>3.516856322E9</v>
      </c>
      <c r="H317" s="3" t="s">
        <v>27</v>
      </c>
      <c r="I317" s="3" t="s">
        <v>22</v>
      </c>
      <c r="J317" s="3" t="s">
        <v>625</v>
      </c>
      <c r="K317" s="6"/>
      <c r="L317" s="6"/>
      <c r="M317" s="6"/>
      <c r="N317" s="6"/>
      <c r="O317" s="6"/>
      <c r="P317" s="6"/>
      <c r="Q317" s="6"/>
      <c r="R317" s="7" t="str">
        <f>IF(H317="","",VLOOKUP(H317,'Hoja 9'!$A$1:$B$255,2,0))</f>
        <v>BOCA EN BOCA</v>
      </c>
      <c r="S317" s="7">
        <f t="shared" si="1"/>
        <v>2023</v>
      </c>
      <c r="T317" s="7">
        <f t="shared" si="2"/>
        <v>9</v>
      </c>
    </row>
    <row r="318">
      <c r="A318" s="4">
        <v>45191.7133859375</v>
      </c>
      <c r="B318" s="3" t="s">
        <v>917</v>
      </c>
      <c r="C318" s="3" t="s">
        <v>727</v>
      </c>
      <c r="D318" s="3" t="s">
        <v>918</v>
      </c>
      <c r="E318" s="5">
        <v>35104.0</v>
      </c>
      <c r="F318" s="3">
        <v>3.9422592E7</v>
      </c>
      <c r="G318" s="3">
        <v>3.585147531E9</v>
      </c>
      <c r="H318" s="3" t="s">
        <v>21</v>
      </c>
      <c r="I318" s="3" t="s">
        <v>22</v>
      </c>
      <c r="J318" s="3" t="s">
        <v>234</v>
      </c>
      <c r="K318" s="6"/>
      <c r="L318" s="6"/>
      <c r="M318" s="6"/>
      <c r="N318" s="6"/>
      <c r="O318" s="6"/>
      <c r="P318" s="6"/>
      <c r="Q318" s="6"/>
      <c r="R318" s="7" t="str">
        <f>IF(H318="","",VLOOKUP(H318,'Hoja 9'!$A$1:$B$255,2,0))</f>
        <v>GOOGLE</v>
      </c>
      <c r="S318" s="7">
        <f t="shared" si="1"/>
        <v>2023</v>
      </c>
      <c r="T318" s="7">
        <f t="shared" si="2"/>
        <v>9</v>
      </c>
    </row>
    <row r="319">
      <c r="A319" s="4">
        <v>45194.76030359954</v>
      </c>
      <c r="B319" s="3" t="s">
        <v>919</v>
      </c>
      <c r="C319" s="3" t="s">
        <v>920</v>
      </c>
      <c r="D319" s="3" t="s">
        <v>921</v>
      </c>
      <c r="E319" s="5">
        <v>31988.0</v>
      </c>
      <c r="F319" s="3">
        <v>3.3200608E7</v>
      </c>
      <c r="G319" s="3">
        <v>3.5132265E9</v>
      </c>
      <c r="H319" s="3" t="s">
        <v>27</v>
      </c>
      <c r="I319" s="3" t="s">
        <v>28</v>
      </c>
      <c r="R319" s="7" t="str">
        <f>IF(H319="","",VLOOKUP(H319,'Hoja 9'!$A$1:$B$255,2,0))</f>
        <v>BOCA EN BOCA</v>
      </c>
      <c r="S319" s="7">
        <f t="shared" si="1"/>
        <v>2023</v>
      </c>
      <c r="T319" s="7">
        <f t="shared" si="2"/>
        <v>9</v>
      </c>
    </row>
    <row r="320">
      <c r="A320" s="4">
        <v>45196.72270975694</v>
      </c>
      <c r="B320" s="3" t="s">
        <v>922</v>
      </c>
      <c r="C320" s="3" t="s">
        <v>923</v>
      </c>
      <c r="D320" s="3" t="s">
        <v>924</v>
      </c>
      <c r="E320" s="5">
        <v>36589.0</v>
      </c>
      <c r="F320" s="3">
        <v>4.2385953E7</v>
      </c>
      <c r="G320" s="3">
        <v>3.517567169E9</v>
      </c>
      <c r="H320" s="3" t="s">
        <v>27</v>
      </c>
      <c r="I320" s="3" t="s">
        <v>28</v>
      </c>
      <c r="R320" s="7" t="str">
        <f>IF(H320="","",VLOOKUP(H320,'Hoja 9'!$A$1:$B$255,2,0))</f>
        <v>BOCA EN BOCA</v>
      </c>
      <c r="S320" s="7">
        <f t="shared" si="1"/>
        <v>2023</v>
      </c>
      <c r="T320" s="7">
        <f t="shared" si="2"/>
        <v>9</v>
      </c>
    </row>
    <row r="321">
      <c r="A321" s="4">
        <v>45196.80985377315</v>
      </c>
      <c r="B321" s="3" t="s">
        <v>925</v>
      </c>
      <c r="C321" s="3" t="s">
        <v>926</v>
      </c>
      <c r="D321" s="3" t="s">
        <v>927</v>
      </c>
      <c r="E321" s="5">
        <v>36822.0</v>
      </c>
      <c r="F321" s="3">
        <v>4.2593995E7</v>
      </c>
      <c r="G321" s="3">
        <v>3.549454078E9</v>
      </c>
      <c r="H321" s="3" t="s">
        <v>21</v>
      </c>
      <c r="I321" s="3" t="s">
        <v>22</v>
      </c>
      <c r="J321" s="3" t="s">
        <v>928</v>
      </c>
      <c r="K321" s="6"/>
      <c r="L321" s="6"/>
      <c r="M321" s="6"/>
      <c r="N321" s="6"/>
      <c r="O321" s="6"/>
      <c r="P321" s="6"/>
      <c r="Q321" s="6"/>
      <c r="R321" s="7" t="str">
        <f>IF(H321="","",VLOOKUP(H321,'Hoja 9'!$A$1:$B$255,2,0))</f>
        <v>GOOGLE</v>
      </c>
      <c r="S321" s="7">
        <f t="shared" si="1"/>
        <v>2023</v>
      </c>
      <c r="T321" s="7">
        <f t="shared" si="2"/>
        <v>9</v>
      </c>
    </row>
    <row r="322">
      <c r="A322" s="4">
        <v>45197.63288824074</v>
      </c>
      <c r="B322" s="3" t="s">
        <v>929</v>
      </c>
      <c r="C322" s="3" t="s">
        <v>930</v>
      </c>
      <c r="D322" s="3" t="s">
        <v>931</v>
      </c>
      <c r="E322" s="5">
        <v>34429.0</v>
      </c>
      <c r="F322" s="3">
        <v>3.8179109E7</v>
      </c>
      <c r="G322" s="3">
        <v>3.51746482E9</v>
      </c>
      <c r="H322" s="3" t="s">
        <v>44</v>
      </c>
      <c r="I322" s="3" t="s">
        <v>28</v>
      </c>
      <c r="R322" s="7" t="str">
        <f>IF(H322="","",VLOOKUP(H322,'Hoja 9'!$A$1:$B$255,2,0))</f>
        <v>GIMNASIO</v>
      </c>
      <c r="S322" s="7">
        <f t="shared" si="1"/>
        <v>2023</v>
      </c>
      <c r="T322" s="7">
        <f t="shared" si="2"/>
        <v>9</v>
      </c>
    </row>
    <row r="323">
      <c r="A323" s="4">
        <v>45197.71526216435</v>
      </c>
      <c r="B323" s="3" t="s">
        <v>932</v>
      </c>
      <c r="C323" s="3" t="s">
        <v>933</v>
      </c>
      <c r="D323" s="3" t="s">
        <v>934</v>
      </c>
      <c r="E323" s="5">
        <v>28296.0</v>
      </c>
      <c r="F323" s="3">
        <v>2.5353881E7</v>
      </c>
      <c r="G323" s="3">
        <v>3.516001979E9</v>
      </c>
      <c r="H323" s="3" t="s">
        <v>21</v>
      </c>
      <c r="I323" s="3" t="s">
        <v>22</v>
      </c>
      <c r="J323" s="3" t="s">
        <v>464</v>
      </c>
      <c r="K323" s="6"/>
      <c r="L323" s="6"/>
      <c r="M323" s="6"/>
      <c r="N323" s="6"/>
      <c r="O323" s="6"/>
      <c r="P323" s="6"/>
      <c r="Q323" s="6"/>
      <c r="R323" s="7" t="str">
        <f>IF(H323="","",VLOOKUP(H323,'Hoja 9'!$A$1:$B$255,2,0))</f>
        <v>GOOGLE</v>
      </c>
      <c r="S323" s="7">
        <f t="shared" si="1"/>
        <v>2023</v>
      </c>
      <c r="T323" s="7">
        <f t="shared" si="2"/>
        <v>9</v>
      </c>
    </row>
    <row r="324">
      <c r="A324" s="4">
        <v>45197.8854059375</v>
      </c>
      <c r="B324" s="3" t="s">
        <v>935</v>
      </c>
      <c r="C324" s="3" t="s">
        <v>321</v>
      </c>
      <c r="D324" s="3" t="s">
        <v>936</v>
      </c>
      <c r="E324" s="5">
        <v>29266.0</v>
      </c>
      <c r="F324" s="3">
        <v>2.7956844E7</v>
      </c>
      <c r="G324" s="3">
        <v>3.516957798E9</v>
      </c>
      <c r="H324" s="3" t="s">
        <v>27</v>
      </c>
      <c r="I324" s="3" t="s">
        <v>22</v>
      </c>
      <c r="J324" s="3" t="s">
        <v>456</v>
      </c>
      <c r="K324" s="6"/>
      <c r="L324" s="6"/>
      <c r="M324" s="6"/>
      <c r="N324" s="6"/>
      <c r="O324" s="6"/>
      <c r="P324" s="6"/>
      <c r="Q324" s="6"/>
      <c r="R324" s="7" t="str">
        <f>IF(H324="","",VLOOKUP(H324,'Hoja 9'!$A$1:$B$255,2,0))</f>
        <v>BOCA EN BOCA</v>
      </c>
      <c r="S324" s="7">
        <f t="shared" si="1"/>
        <v>2023</v>
      </c>
      <c r="T324" s="7">
        <f t="shared" si="2"/>
        <v>9</v>
      </c>
    </row>
    <row r="325">
      <c r="A325" s="4">
        <v>45198.5017418287</v>
      </c>
      <c r="B325" s="3" t="s">
        <v>937</v>
      </c>
      <c r="C325" s="3" t="s">
        <v>689</v>
      </c>
      <c r="D325" s="3" t="s">
        <v>938</v>
      </c>
      <c r="E325" s="5">
        <v>22866.0</v>
      </c>
      <c r="F325" s="3">
        <v>1.6159328E7</v>
      </c>
      <c r="G325" s="3">
        <v>3.515914849E9</v>
      </c>
      <c r="H325" s="3" t="s">
        <v>939</v>
      </c>
      <c r="I325" s="3" t="s">
        <v>22</v>
      </c>
      <c r="J325" s="3" t="s">
        <v>940</v>
      </c>
      <c r="K325" s="6"/>
      <c r="L325" s="6"/>
      <c r="M325" s="6"/>
      <c r="N325" s="6"/>
      <c r="O325" s="6"/>
      <c r="P325" s="6"/>
      <c r="Q325" s="6"/>
      <c r="R325" s="7" t="str">
        <f>IF(H325="","",VLOOKUP(H325,'Hoja 9'!$A$1:$B$255,2,0))</f>
        <v>BOCA EN BOCA</v>
      </c>
      <c r="S325" s="7">
        <f t="shared" si="1"/>
        <v>2023</v>
      </c>
      <c r="T325" s="7">
        <f t="shared" si="2"/>
        <v>9</v>
      </c>
    </row>
    <row r="326">
      <c r="A326" s="4">
        <v>45203.56250785879</v>
      </c>
      <c r="B326" s="3" t="s">
        <v>709</v>
      </c>
      <c r="C326" s="3" t="s">
        <v>941</v>
      </c>
      <c r="D326" s="3" t="s">
        <v>942</v>
      </c>
      <c r="E326" s="5">
        <v>30160.0</v>
      </c>
      <c r="F326" s="3">
        <v>2.9609058E7</v>
      </c>
      <c r="G326" s="3">
        <v>3.516784956E9</v>
      </c>
      <c r="H326" s="3" t="s">
        <v>27</v>
      </c>
      <c r="I326" s="3" t="s">
        <v>28</v>
      </c>
      <c r="R326" s="7" t="str">
        <f>IF(H326="","",VLOOKUP(H326,'Hoja 9'!$A$1:$B$255,2,0))</f>
        <v>BOCA EN BOCA</v>
      </c>
      <c r="S326" s="7">
        <f t="shared" si="1"/>
        <v>2023</v>
      </c>
      <c r="T326" s="7">
        <f t="shared" si="2"/>
        <v>10</v>
      </c>
    </row>
    <row r="327">
      <c r="A327" s="4">
        <v>45206.90851032407</v>
      </c>
      <c r="B327" s="3" t="s">
        <v>943</v>
      </c>
      <c r="C327" s="3" t="s">
        <v>944</v>
      </c>
      <c r="D327" s="3" t="s">
        <v>945</v>
      </c>
      <c r="E327" s="5">
        <v>38611.0</v>
      </c>
      <c r="F327" s="3">
        <v>4.6374284E7</v>
      </c>
      <c r="G327" s="3">
        <v>3.513529301E9</v>
      </c>
      <c r="H327" s="3" t="s">
        <v>27</v>
      </c>
      <c r="I327" s="3" t="s">
        <v>22</v>
      </c>
      <c r="J327" s="3" t="s">
        <v>149</v>
      </c>
      <c r="K327" s="6"/>
      <c r="L327" s="6"/>
      <c r="M327" s="6"/>
      <c r="N327" s="6"/>
      <c r="O327" s="6"/>
      <c r="P327" s="6"/>
      <c r="Q327" s="6"/>
      <c r="R327" s="7" t="str">
        <f>IF(H327="","",VLOOKUP(H327,'Hoja 9'!$A$1:$B$255,2,0))</f>
        <v>BOCA EN BOCA</v>
      </c>
      <c r="S327" s="7">
        <f t="shared" si="1"/>
        <v>2023</v>
      </c>
      <c r="T327" s="7">
        <f t="shared" si="2"/>
        <v>10</v>
      </c>
    </row>
    <row r="328">
      <c r="A328" s="4">
        <v>45208.45582873843</v>
      </c>
      <c r="B328" s="3" t="s">
        <v>946</v>
      </c>
      <c r="C328" s="3" t="s">
        <v>947</v>
      </c>
      <c r="D328" s="3" t="s">
        <v>948</v>
      </c>
      <c r="E328" s="5">
        <v>31628.0</v>
      </c>
      <c r="F328" s="3">
        <v>3.2406471E7</v>
      </c>
      <c r="G328" s="3">
        <v>3.515102216E9</v>
      </c>
      <c r="H328" s="3" t="s">
        <v>21</v>
      </c>
      <c r="I328" s="3" t="s">
        <v>28</v>
      </c>
      <c r="R328" s="7" t="str">
        <f>IF(H328="","",VLOOKUP(H328,'Hoja 9'!$A$1:$B$255,2,0))</f>
        <v>GOOGLE</v>
      </c>
      <c r="S328" s="7">
        <f t="shared" si="1"/>
        <v>2023</v>
      </c>
      <c r="T328" s="7">
        <f t="shared" si="2"/>
        <v>10</v>
      </c>
    </row>
    <row r="329">
      <c r="A329" s="4">
        <v>45208.489762627316</v>
      </c>
      <c r="B329" s="3" t="s">
        <v>949</v>
      </c>
      <c r="C329" s="3" t="s">
        <v>420</v>
      </c>
      <c r="E329" s="5">
        <v>32937.0</v>
      </c>
      <c r="F329" s="3">
        <v>3.5055926E7</v>
      </c>
      <c r="G329" s="3">
        <v>3.518792958E9</v>
      </c>
      <c r="H329" s="3" t="s">
        <v>27</v>
      </c>
      <c r="I329" s="3" t="s">
        <v>22</v>
      </c>
      <c r="J329" s="3" t="s">
        <v>58</v>
      </c>
      <c r="K329" s="6"/>
      <c r="L329" s="6"/>
      <c r="M329" s="6"/>
      <c r="N329" s="6"/>
      <c r="O329" s="6"/>
      <c r="P329" s="6"/>
      <c r="Q329" s="6"/>
      <c r="R329" s="7" t="str">
        <f>IF(H329="","",VLOOKUP(H329,'Hoja 9'!$A$1:$B$255,2,0))</f>
        <v>BOCA EN BOCA</v>
      </c>
      <c r="S329" s="7">
        <f t="shared" si="1"/>
        <v>2023</v>
      </c>
      <c r="T329" s="7">
        <f t="shared" si="2"/>
        <v>10</v>
      </c>
    </row>
    <row r="330">
      <c r="A330" s="4">
        <v>45208.45582873843</v>
      </c>
      <c r="B330" s="3" t="s">
        <v>950</v>
      </c>
      <c r="C330" s="3" t="s">
        <v>951</v>
      </c>
      <c r="D330" s="9" t="s">
        <v>952</v>
      </c>
      <c r="E330" s="10">
        <v>22802.0</v>
      </c>
      <c r="F330" s="3">
        <v>1.6015575E7</v>
      </c>
      <c r="G330" s="3">
        <v>3.5131769E9</v>
      </c>
      <c r="H330" s="3" t="s">
        <v>953</v>
      </c>
      <c r="I330" s="3" t="s">
        <v>22</v>
      </c>
      <c r="J330" s="3" t="s">
        <v>954</v>
      </c>
      <c r="K330" s="6"/>
      <c r="L330" s="6"/>
      <c r="M330" s="6"/>
      <c r="N330" s="6"/>
      <c r="O330" s="6"/>
      <c r="P330" s="6"/>
      <c r="Q330" s="6"/>
      <c r="R330" s="7" t="str">
        <f>IF(H330="","",VLOOKUP(H330,'Hoja 9'!$A$1:$B$255,2,0))</f>
        <v>BOCA EN BOCA</v>
      </c>
      <c r="S330" s="7">
        <f t="shared" si="1"/>
        <v>2023</v>
      </c>
      <c r="T330" s="7">
        <f t="shared" si="2"/>
        <v>10</v>
      </c>
    </row>
    <row r="331">
      <c r="A331" s="4">
        <v>45209.469308125</v>
      </c>
      <c r="B331" s="3" t="s">
        <v>955</v>
      </c>
      <c r="C331" s="3" t="s">
        <v>194</v>
      </c>
      <c r="D331" s="3" t="s">
        <v>956</v>
      </c>
      <c r="E331" s="5">
        <v>19916.0</v>
      </c>
      <c r="F331" s="3">
        <v>1.1296622E7</v>
      </c>
      <c r="G331" s="3">
        <v>3.515995584E9</v>
      </c>
      <c r="H331" s="3" t="s">
        <v>27</v>
      </c>
      <c r="I331" s="3" t="s">
        <v>22</v>
      </c>
      <c r="J331" s="3" t="s">
        <v>957</v>
      </c>
      <c r="K331" s="6"/>
      <c r="L331" s="6"/>
      <c r="M331" s="6"/>
      <c r="N331" s="6"/>
      <c r="O331" s="6"/>
      <c r="P331" s="6"/>
      <c r="Q331" s="6"/>
      <c r="R331" s="7" t="str">
        <f>IF(H331="","",VLOOKUP(H331,'Hoja 9'!$A$1:$B$255,2,0))</f>
        <v>BOCA EN BOCA</v>
      </c>
      <c r="S331" s="7">
        <f t="shared" si="1"/>
        <v>2023</v>
      </c>
      <c r="T331" s="7">
        <f t="shared" si="2"/>
        <v>10</v>
      </c>
    </row>
    <row r="332">
      <c r="A332" s="4">
        <v>45210.36282784722</v>
      </c>
      <c r="B332" s="3" t="s">
        <v>958</v>
      </c>
      <c r="C332" s="3" t="s">
        <v>175</v>
      </c>
      <c r="D332" s="3" t="s">
        <v>959</v>
      </c>
      <c r="E332" s="5">
        <v>31353.0</v>
      </c>
      <c r="F332" s="3">
        <v>9.5042906E7</v>
      </c>
      <c r="G332" s="3">
        <v>3.51743505E9</v>
      </c>
      <c r="H332" s="3" t="s">
        <v>21</v>
      </c>
      <c r="I332" s="3" t="s">
        <v>28</v>
      </c>
      <c r="R332" s="7" t="str">
        <f>IF(H332="","",VLOOKUP(H332,'Hoja 9'!$A$1:$B$255,2,0))</f>
        <v>GOOGLE</v>
      </c>
      <c r="S332" s="7">
        <f t="shared" si="1"/>
        <v>2023</v>
      </c>
      <c r="T332" s="7">
        <f t="shared" si="2"/>
        <v>10</v>
      </c>
    </row>
    <row r="333">
      <c r="A333" s="4">
        <v>45210.375875763886</v>
      </c>
      <c r="B333" s="3" t="s">
        <v>960</v>
      </c>
      <c r="C333" s="3" t="s">
        <v>357</v>
      </c>
      <c r="D333" s="3" t="s">
        <v>961</v>
      </c>
      <c r="E333" s="5">
        <v>40619.0</v>
      </c>
      <c r="F333" s="3">
        <v>5.085448E7</v>
      </c>
      <c r="G333" s="3">
        <v>3.512357187E9</v>
      </c>
      <c r="H333" s="3" t="s">
        <v>27</v>
      </c>
      <c r="I333" s="3" t="s">
        <v>22</v>
      </c>
      <c r="J333" s="3" t="s">
        <v>287</v>
      </c>
      <c r="K333" s="6"/>
      <c r="L333" s="6"/>
      <c r="M333" s="6"/>
      <c r="N333" s="6"/>
      <c r="O333" s="6"/>
      <c r="P333" s="6"/>
      <c r="Q333" s="6"/>
      <c r="R333" s="7" t="str">
        <f>IF(H333="","",VLOOKUP(H333,'Hoja 9'!$A$1:$B$255,2,0))</f>
        <v>BOCA EN BOCA</v>
      </c>
      <c r="S333" s="7">
        <f t="shared" si="1"/>
        <v>2023</v>
      </c>
      <c r="T333" s="7">
        <f t="shared" si="2"/>
        <v>10</v>
      </c>
    </row>
    <row r="334">
      <c r="A334" s="4">
        <v>45210.4594379051</v>
      </c>
      <c r="B334" s="3" t="s">
        <v>962</v>
      </c>
      <c r="C334" s="3" t="s">
        <v>896</v>
      </c>
      <c r="D334" s="3" t="s">
        <v>963</v>
      </c>
      <c r="E334" s="5">
        <v>38191.0</v>
      </c>
      <c r="F334" s="3">
        <v>4.569255E7</v>
      </c>
      <c r="G334" s="3">
        <v>3.516371178E9</v>
      </c>
      <c r="H334" s="3" t="s">
        <v>44</v>
      </c>
      <c r="I334" s="3" t="s">
        <v>22</v>
      </c>
      <c r="J334" s="3" t="s">
        <v>58</v>
      </c>
      <c r="K334" s="6"/>
      <c r="L334" s="6"/>
      <c r="M334" s="6"/>
      <c r="N334" s="6"/>
      <c r="O334" s="6"/>
      <c r="P334" s="6"/>
      <c r="Q334" s="6"/>
      <c r="R334" s="7" t="str">
        <f>IF(H334="","",VLOOKUP(H334,'Hoja 9'!$A$1:$B$255,2,0))</f>
        <v>GIMNASIO</v>
      </c>
      <c r="S334" s="7">
        <f t="shared" si="1"/>
        <v>2023</v>
      </c>
      <c r="T334" s="7">
        <f t="shared" si="2"/>
        <v>10</v>
      </c>
    </row>
    <row r="335">
      <c r="A335" s="4">
        <v>45210.49264726852</v>
      </c>
      <c r="B335" s="3" t="s">
        <v>964</v>
      </c>
      <c r="C335" s="3" t="s">
        <v>965</v>
      </c>
      <c r="D335" s="3" t="s">
        <v>966</v>
      </c>
      <c r="E335" s="5">
        <v>21560.0</v>
      </c>
      <c r="F335" s="3">
        <v>1.2810692E7</v>
      </c>
      <c r="G335" s="3">
        <v>3.516520703E9</v>
      </c>
      <c r="H335" s="3" t="s">
        <v>27</v>
      </c>
      <c r="I335" s="3" t="s">
        <v>28</v>
      </c>
      <c r="R335" s="7" t="str">
        <f>IF(H335="","",VLOOKUP(H335,'Hoja 9'!$A$1:$B$255,2,0))</f>
        <v>BOCA EN BOCA</v>
      </c>
      <c r="S335" s="7">
        <f t="shared" si="1"/>
        <v>2023</v>
      </c>
      <c r="T335" s="7">
        <f t="shared" si="2"/>
        <v>10</v>
      </c>
    </row>
    <row r="336">
      <c r="A336" s="4">
        <v>45216.73338590278</v>
      </c>
      <c r="B336" s="3" t="s">
        <v>91</v>
      </c>
      <c r="C336" s="3" t="s">
        <v>967</v>
      </c>
      <c r="D336" s="3" t="s">
        <v>968</v>
      </c>
      <c r="E336" s="5">
        <v>35529.0</v>
      </c>
      <c r="F336" s="3">
        <v>4.0400317E7</v>
      </c>
      <c r="G336" s="3">
        <v>3.512683711E9</v>
      </c>
      <c r="H336" s="3" t="s">
        <v>27</v>
      </c>
      <c r="I336" s="3" t="s">
        <v>28</v>
      </c>
      <c r="R336" s="7" t="str">
        <f>IF(H336="","",VLOOKUP(H336,'Hoja 9'!$A$1:$B$255,2,0))</f>
        <v>BOCA EN BOCA</v>
      </c>
      <c r="S336" s="7">
        <f t="shared" si="1"/>
        <v>2023</v>
      </c>
      <c r="T336" s="7">
        <f t="shared" si="2"/>
        <v>10</v>
      </c>
    </row>
    <row r="337">
      <c r="A337" s="4">
        <v>45217.32701521991</v>
      </c>
      <c r="B337" s="3" t="s">
        <v>969</v>
      </c>
      <c r="C337" s="3" t="s">
        <v>970</v>
      </c>
      <c r="D337" s="3" t="s">
        <v>971</v>
      </c>
      <c r="E337" s="5">
        <v>36280.0</v>
      </c>
      <c r="F337" s="3">
        <v>4.1847449E7</v>
      </c>
      <c r="G337" s="3">
        <v>3.517696439E9</v>
      </c>
      <c r="H337" s="3" t="s">
        <v>27</v>
      </c>
      <c r="I337" s="3" t="s">
        <v>22</v>
      </c>
      <c r="J337" s="3" t="s">
        <v>149</v>
      </c>
      <c r="K337" s="6"/>
      <c r="L337" s="6"/>
      <c r="M337" s="6"/>
      <c r="N337" s="6"/>
      <c r="O337" s="6"/>
      <c r="P337" s="6"/>
      <c r="Q337" s="6"/>
      <c r="R337" s="7" t="str">
        <f>IF(H337="","",VLOOKUP(H337,'Hoja 9'!$A$1:$B$255,2,0))</f>
        <v>BOCA EN BOCA</v>
      </c>
      <c r="S337" s="7">
        <f t="shared" si="1"/>
        <v>2023</v>
      </c>
      <c r="T337" s="7">
        <f t="shared" si="2"/>
        <v>10</v>
      </c>
    </row>
    <row r="338">
      <c r="A338" s="4">
        <v>45217.629196435184</v>
      </c>
      <c r="B338" s="3" t="s">
        <v>972</v>
      </c>
      <c r="C338" s="3" t="s">
        <v>973</v>
      </c>
      <c r="D338" s="3" t="s">
        <v>974</v>
      </c>
      <c r="E338" s="5">
        <v>39860.0</v>
      </c>
      <c r="F338" s="3">
        <v>4.7907906E7</v>
      </c>
      <c r="G338" s="3">
        <v>3.5166192E9</v>
      </c>
      <c r="H338" s="3" t="s">
        <v>21</v>
      </c>
      <c r="I338" s="3" t="s">
        <v>22</v>
      </c>
      <c r="J338" s="3" t="s">
        <v>23</v>
      </c>
      <c r="K338" s="6"/>
      <c r="L338" s="6"/>
      <c r="M338" s="6"/>
      <c r="N338" s="6"/>
      <c r="O338" s="6"/>
      <c r="P338" s="6"/>
      <c r="Q338" s="6"/>
      <c r="R338" s="7" t="str">
        <f>IF(H338="","",VLOOKUP(H338,'Hoja 9'!$A$1:$B$255,2,0))</f>
        <v>GOOGLE</v>
      </c>
      <c r="S338" s="7">
        <f t="shared" si="1"/>
        <v>2023</v>
      </c>
      <c r="T338" s="7">
        <f t="shared" si="2"/>
        <v>10</v>
      </c>
    </row>
    <row r="339">
      <c r="A339" s="4">
        <v>45217.703305243056</v>
      </c>
      <c r="B339" s="3" t="s">
        <v>975</v>
      </c>
      <c r="C339" s="3" t="s">
        <v>976</v>
      </c>
      <c r="D339" s="3" t="s">
        <v>977</v>
      </c>
      <c r="E339" s="5">
        <v>21795.0</v>
      </c>
      <c r="F339" s="3">
        <v>1.3538782E7</v>
      </c>
      <c r="G339" s="3">
        <v>3.51533913E9</v>
      </c>
      <c r="H339" s="3" t="s">
        <v>27</v>
      </c>
      <c r="I339" s="3" t="s">
        <v>28</v>
      </c>
      <c r="R339" s="7" t="str">
        <f>IF(H339="","",VLOOKUP(H339,'Hoja 9'!$A$1:$B$255,2,0))</f>
        <v>BOCA EN BOCA</v>
      </c>
      <c r="S339" s="7">
        <f t="shared" si="1"/>
        <v>2023</v>
      </c>
      <c r="T339" s="7">
        <f t="shared" si="2"/>
        <v>10</v>
      </c>
    </row>
    <row r="340">
      <c r="A340" s="4">
        <v>45217.78222059028</v>
      </c>
      <c r="B340" s="3" t="s">
        <v>24</v>
      </c>
      <c r="C340" s="3" t="s">
        <v>700</v>
      </c>
      <c r="D340" s="3" t="s">
        <v>978</v>
      </c>
      <c r="E340" s="5">
        <v>27475.0</v>
      </c>
      <c r="F340" s="3">
        <v>2.4385262E7</v>
      </c>
      <c r="G340" s="3">
        <v>3.515155206E9</v>
      </c>
      <c r="H340" s="3" t="s">
        <v>27</v>
      </c>
      <c r="I340" s="3" t="s">
        <v>22</v>
      </c>
      <c r="J340" s="3" t="s">
        <v>23</v>
      </c>
      <c r="K340" s="6"/>
      <c r="L340" s="6"/>
      <c r="M340" s="6"/>
      <c r="N340" s="6"/>
      <c r="O340" s="6"/>
      <c r="P340" s="6"/>
      <c r="Q340" s="6"/>
      <c r="R340" s="7" t="str">
        <f>IF(H340="","",VLOOKUP(H340,'Hoja 9'!$A$1:$B$255,2,0))</f>
        <v>BOCA EN BOCA</v>
      </c>
      <c r="S340" s="7">
        <f t="shared" si="1"/>
        <v>2023</v>
      </c>
      <c r="T340" s="7">
        <f t="shared" si="2"/>
        <v>10</v>
      </c>
    </row>
    <row r="341">
      <c r="A341" s="4">
        <v>45218.50253300926</v>
      </c>
      <c r="B341" s="3" t="s">
        <v>979</v>
      </c>
      <c r="C341" s="3" t="s">
        <v>980</v>
      </c>
      <c r="D341" s="3" t="s">
        <v>981</v>
      </c>
      <c r="E341" s="5">
        <v>31149.0</v>
      </c>
      <c r="F341" s="3">
        <v>3.1652601E7</v>
      </c>
      <c r="G341" s="3">
        <v>3.516724499E9</v>
      </c>
      <c r="H341" s="3" t="s">
        <v>21</v>
      </c>
      <c r="I341" s="3" t="s">
        <v>28</v>
      </c>
      <c r="R341" s="7" t="str">
        <f>IF(H341="","",VLOOKUP(H341,'Hoja 9'!$A$1:$B$255,2,0))</f>
        <v>GOOGLE</v>
      </c>
      <c r="S341" s="7">
        <f t="shared" si="1"/>
        <v>2023</v>
      </c>
      <c r="T341" s="7">
        <f t="shared" si="2"/>
        <v>10</v>
      </c>
    </row>
    <row r="342">
      <c r="A342" s="4">
        <v>45218.70044888889</v>
      </c>
      <c r="B342" s="3" t="s">
        <v>982</v>
      </c>
      <c r="C342" s="3" t="s">
        <v>983</v>
      </c>
      <c r="D342" s="3" t="s">
        <v>984</v>
      </c>
      <c r="E342" s="5">
        <v>21171.0</v>
      </c>
      <c r="F342" s="3">
        <v>1.3820898E7</v>
      </c>
      <c r="G342" s="3">
        <v>3.517013688E9</v>
      </c>
      <c r="H342" s="3" t="s">
        <v>21</v>
      </c>
      <c r="I342" s="3" t="s">
        <v>22</v>
      </c>
      <c r="J342" s="3" t="s">
        <v>72</v>
      </c>
      <c r="K342" s="6"/>
      <c r="L342" s="6"/>
      <c r="M342" s="6"/>
      <c r="N342" s="6"/>
      <c r="O342" s="6"/>
      <c r="P342" s="6"/>
      <c r="Q342" s="6"/>
      <c r="R342" s="7" t="str">
        <f>IF(H342="","",VLOOKUP(H342,'Hoja 9'!$A$1:$B$255,2,0))</f>
        <v>GOOGLE</v>
      </c>
      <c r="S342" s="7">
        <f t="shared" si="1"/>
        <v>2023</v>
      </c>
      <c r="T342" s="7">
        <f t="shared" si="2"/>
        <v>10</v>
      </c>
    </row>
    <row r="343">
      <c r="A343" s="4">
        <v>45218.83104767361</v>
      </c>
      <c r="B343" s="3" t="s">
        <v>985</v>
      </c>
      <c r="C343" s="3" t="s">
        <v>986</v>
      </c>
      <c r="D343" s="3" t="s">
        <v>987</v>
      </c>
      <c r="E343" s="5">
        <v>35149.0</v>
      </c>
      <c r="F343" s="3">
        <v>3.9496246E7</v>
      </c>
      <c r="G343" s="3">
        <v>3.516014408E9</v>
      </c>
      <c r="H343" s="3" t="s">
        <v>27</v>
      </c>
      <c r="I343" s="3" t="s">
        <v>22</v>
      </c>
      <c r="J343" s="3" t="s">
        <v>149</v>
      </c>
      <c r="K343" s="6"/>
      <c r="L343" s="6"/>
      <c r="M343" s="6"/>
      <c r="N343" s="6"/>
      <c r="O343" s="6"/>
      <c r="P343" s="6"/>
      <c r="Q343" s="6"/>
      <c r="R343" s="7" t="str">
        <f>IF(H343="","",VLOOKUP(H343,'Hoja 9'!$A$1:$B$255,2,0))</f>
        <v>BOCA EN BOCA</v>
      </c>
      <c r="S343" s="7">
        <f t="shared" si="1"/>
        <v>2023</v>
      </c>
      <c r="T343" s="7">
        <f t="shared" si="2"/>
        <v>10</v>
      </c>
    </row>
    <row r="344">
      <c r="A344" s="4">
        <v>45219.637787824075</v>
      </c>
      <c r="B344" s="3" t="s">
        <v>988</v>
      </c>
      <c r="C344" s="3" t="s">
        <v>989</v>
      </c>
      <c r="D344" s="3" t="s">
        <v>990</v>
      </c>
      <c r="E344" s="5">
        <v>33760.0</v>
      </c>
      <c r="F344" s="3">
        <v>3.6431262E7</v>
      </c>
      <c r="G344" s="3">
        <v>3.513515911E9</v>
      </c>
      <c r="H344" s="3" t="s">
        <v>44</v>
      </c>
      <c r="I344" s="3" t="s">
        <v>28</v>
      </c>
      <c r="R344" s="7" t="str">
        <f>IF(H344="","",VLOOKUP(H344,'Hoja 9'!$A$1:$B$255,2,0))</f>
        <v>GIMNASIO</v>
      </c>
      <c r="S344" s="7">
        <f t="shared" si="1"/>
        <v>2023</v>
      </c>
      <c r="T344" s="7">
        <f t="shared" si="2"/>
        <v>10</v>
      </c>
    </row>
    <row r="345">
      <c r="A345" s="4">
        <v>45219.77980517361</v>
      </c>
      <c r="B345" s="3" t="s">
        <v>281</v>
      </c>
      <c r="C345" s="3" t="s">
        <v>991</v>
      </c>
      <c r="D345" s="3" t="s">
        <v>283</v>
      </c>
      <c r="E345" s="5">
        <v>34460.0</v>
      </c>
      <c r="F345" s="3">
        <v>3.8183134E7</v>
      </c>
      <c r="G345" s="3">
        <v>3.51533772E9</v>
      </c>
      <c r="H345" s="3" t="s">
        <v>244</v>
      </c>
      <c r="I345" s="3" t="s">
        <v>28</v>
      </c>
      <c r="R345" s="7" t="str">
        <f>IF(H345="","",VLOOKUP(H345,'Hoja 9'!$A$1:$B$255,2,0))</f>
        <v>META</v>
      </c>
      <c r="S345" s="7">
        <f t="shared" si="1"/>
        <v>2023</v>
      </c>
      <c r="T345" s="7">
        <f t="shared" si="2"/>
        <v>10</v>
      </c>
    </row>
    <row r="346">
      <c r="A346" s="4">
        <v>45223.68435145833</v>
      </c>
      <c r="B346" s="3" t="s">
        <v>992</v>
      </c>
      <c r="C346" s="3" t="s">
        <v>993</v>
      </c>
      <c r="D346" s="3" t="s">
        <v>994</v>
      </c>
      <c r="E346" s="5">
        <v>40419.0</v>
      </c>
      <c r="F346" s="3">
        <v>5.0421075E7</v>
      </c>
      <c r="G346" s="3">
        <v>3.515914755E9</v>
      </c>
      <c r="H346" s="3" t="s">
        <v>27</v>
      </c>
      <c r="I346" s="3" t="s">
        <v>22</v>
      </c>
      <c r="J346" s="3" t="s">
        <v>149</v>
      </c>
      <c r="K346" s="6"/>
      <c r="L346" s="6"/>
      <c r="M346" s="6"/>
      <c r="N346" s="6"/>
      <c r="O346" s="6"/>
      <c r="P346" s="6"/>
      <c r="Q346" s="6"/>
      <c r="R346" s="7" t="str">
        <f>IF(H346="","",VLOOKUP(H346,'Hoja 9'!$A$1:$B$255,2,0))</f>
        <v>BOCA EN BOCA</v>
      </c>
      <c r="S346" s="7">
        <f t="shared" si="1"/>
        <v>2023</v>
      </c>
      <c r="T346" s="7">
        <f t="shared" si="2"/>
        <v>10</v>
      </c>
    </row>
    <row r="347">
      <c r="A347" s="4">
        <v>45225.726758564815</v>
      </c>
      <c r="B347" s="3" t="s">
        <v>995</v>
      </c>
      <c r="C347" s="3" t="s">
        <v>996</v>
      </c>
      <c r="D347" s="3" t="s">
        <v>997</v>
      </c>
      <c r="E347" s="5">
        <v>34452.0</v>
      </c>
      <c r="F347" s="3">
        <v>3.8180399E7</v>
      </c>
      <c r="G347" s="3">
        <v>3.516811228E9</v>
      </c>
      <c r="H347" s="3" t="s">
        <v>27</v>
      </c>
      <c r="I347" s="3" t="s">
        <v>28</v>
      </c>
      <c r="R347" s="7" t="str">
        <f>IF(H347="","",VLOOKUP(H347,'Hoja 9'!$A$1:$B$255,2,0))</f>
        <v>BOCA EN BOCA</v>
      </c>
      <c r="S347" s="7">
        <f t="shared" si="1"/>
        <v>2023</v>
      </c>
      <c r="T347" s="7">
        <f t="shared" si="2"/>
        <v>10</v>
      </c>
    </row>
    <row r="348">
      <c r="A348" s="4">
        <v>45226.42895699074</v>
      </c>
      <c r="B348" s="3" t="s">
        <v>230</v>
      </c>
      <c r="C348" s="3" t="s">
        <v>998</v>
      </c>
      <c r="D348" s="3" t="s">
        <v>999</v>
      </c>
      <c r="E348" s="5">
        <v>27171.0</v>
      </c>
      <c r="F348" s="3">
        <v>2.3763777E7</v>
      </c>
      <c r="G348" s="3">
        <v>3.516629076E9</v>
      </c>
      <c r="H348" s="3" t="s">
        <v>27</v>
      </c>
      <c r="I348" s="3" t="s">
        <v>22</v>
      </c>
      <c r="J348" s="3" t="s">
        <v>23</v>
      </c>
      <c r="K348" s="6"/>
      <c r="L348" s="6"/>
      <c r="M348" s="6"/>
      <c r="N348" s="6"/>
      <c r="O348" s="6"/>
      <c r="P348" s="6"/>
      <c r="Q348" s="6"/>
      <c r="R348" s="7" t="str">
        <f>IF(H348="","",VLOOKUP(H348,'Hoja 9'!$A$1:$B$255,2,0))</f>
        <v>BOCA EN BOCA</v>
      </c>
      <c r="S348" s="7">
        <f t="shared" si="1"/>
        <v>2023</v>
      </c>
      <c r="T348" s="7">
        <f t="shared" si="2"/>
        <v>10</v>
      </c>
    </row>
    <row r="349">
      <c r="A349" s="4">
        <v>45226.80347101852</v>
      </c>
      <c r="B349" s="3" t="s">
        <v>1000</v>
      </c>
      <c r="C349" s="3" t="s">
        <v>1001</v>
      </c>
      <c r="D349" s="3" t="s">
        <v>1002</v>
      </c>
      <c r="E349" s="5">
        <v>28871.0</v>
      </c>
      <c r="F349" s="3">
        <v>2.7077968E7</v>
      </c>
      <c r="G349" s="3">
        <v>3.51384274E9</v>
      </c>
      <c r="H349" s="3" t="s">
        <v>27</v>
      </c>
      <c r="I349" s="3" t="s">
        <v>22</v>
      </c>
      <c r="J349" s="3" t="s">
        <v>23</v>
      </c>
      <c r="K349" s="6"/>
      <c r="L349" s="6"/>
      <c r="M349" s="6"/>
      <c r="N349" s="6"/>
      <c r="O349" s="6"/>
      <c r="P349" s="6"/>
      <c r="Q349" s="6"/>
      <c r="R349" s="7" t="str">
        <f>IF(H349="","",VLOOKUP(H349,'Hoja 9'!$A$1:$B$255,2,0))</f>
        <v>BOCA EN BOCA</v>
      </c>
      <c r="S349" s="7">
        <f t="shared" si="1"/>
        <v>2023</v>
      </c>
      <c r="T349" s="7">
        <f t="shared" si="2"/>
        <v>10</v>
      </c>
    </row>
    <row r="350">
      <c r="A350" s="4">
        <v>45229.41486579861</v>
      </c>
      <c r="B350" s="3" t="s">
        <v>1003</v>
      </c>
      <c r="C350" s="3" t="s">
        <v>1004</v>
      </c>
      <c r="D350" s="3" t="s">
        <v>1005</v>
      </c>
      <c r="E350" s="5">
        <v>45178.0</v>
      </c>
      <c r="F350" s="3">
        <v>1.7842334E7</v>
      </c>
      <c r="G350" s="3">
        <v>3.515946901E9</v>
      </c>
      <c r="H350" s="3" t="s">
        <v>27</v>
      </c>
      <c r="I350" s="3" t="s">
        <v>22</v>
      </c>
      <c r="J350" s="3" t="s">
        <v>23</v>
      </c>
      <c r="K350" s="6"/>
      <c r="L350" s="6"/>
      <c r="M350" s="6"/>
      <c r="N350" s="6"/>
      <c r="O350" s="6"/>
      <c r="P350" s="6"/>
      <c r="Q350" s="6"/>
      <c r="R350" s="7" t="str">
        <f>IF(H350="","",VLOOKUP(H350,'Hoja 9'!$A$1:$B$255,2,0))</f>
        <v>BOCA EN BOCA</v>
      </c>
      <c r="S350" s="7">
        <f t="shared" si="1"/>
        <v>2023</v>
      </c>
      <c r="T350" s="7">
        <f t="shared" si="2"/>
        <v>10</v>
      </c>
    </row>
    <row r="351">
      <c r="A351" s="4">
        <v>45229.42261836806</v>
      </c>
      <c r="B351" s="3" t="s">
        <v>1006</v>
      </c>
      <c r="C351" s="3" t="s">
        <v>1007</v>
      </c>
      <c r="D351" s="3" t="s">
        <v>1008</v>
      </c>
      <c r="E351" s="5">
        <v>30487.0</v>
      </c>
      <c r="F351" s="3">
        <v>3.0234133E7</v>
      </c>
      <c r="G351" s="3">
        <v>3.518100318E9</v>
      </c>
      <c r="H351" s="3" t="s">
        <v>27</v>
      </c>
      <c r="I351" s="3" t="s">
        <v>28</v>
      </c>
      <c r="R351" s="7" t="str">
        <f>IF(H351="","",VLOOKUP(H351,'Hoja 9'!$A$1:$B$255,2,0))</f>
        <v>BOCA EN BOCA</v>
      </c>
      <c r="S351" s="7">
        <f t="shared" si="1"/>
        <v>2023</v>
      </c>
      <c r="T351" s="7">
        <f t="shared" si="2"/>
        <v>10</v>
      </c>
    </row>
    <row r="352">
      <c r="A352" s="4">
        <v>45229.58670703704</v>
      </c>
      <c r="B352" s="3" t="s">
        <v>1009</v>
      </c>
      <c r="C352" s="3" t="s">
        <v>119</v>
      </c>
      <c r="E352" s="5">
        <v>31824.0</v>
      </c>
      <c r="F352" s="3">
        <v>3.2786876E7</v>
      </c>
      <c r="G352" s="3">
        <v>3.512037904E9</v>
      </c>
      <c r="H352" s="3" t="s">
        <v>148</v>
      </c>
      <c r="I352" s="3" t="s">
        <v>22</v>
      </c>
      <c r="J352" s="3" t="s">
        <v>72</v>
      </c>
      <c r="K352" s="6"/>
      <c r="L352" s="6"/>
      <c r="M352" s="6"/>
      <c r="N352" s="6"/>
      <c r="O352" s="6"/>
      <c r="P352" s="6"/>
      <c r="Q352" s="6"/>
      <c r="R352" s="7" t="str">
        <f>IF(H352="","",VLOOKUP(H352,'Hoja 9'!$A$1:$B$255,2,0))</f>
        <v>OBRA SOCIAL</v>
      </c>
      <c r="S352" s="7">
        <f t="shared" si="1"/>
        <v>2023</v>
      </c>
      <c r="T352" s="7">
        <f t="shared" si="2"/>
        <v>10</v>
      </c>
    </row>
    <row r="353">
      <c r="A353" s="4">
        <v>45229.79177858796</v>
      </c>
      <c r="B353" s="3" t="s">
        <v>1010</v>
      </c>
      <c r="C353" s="3" t="s">
        <v>1011</v>
      </c>
      <c r="D353" s="3" t="s">
        <v>1012</v>
      </c>
      <c r="E353" s="5">
        <v>20011.0</v>
      </c>
      <c r="F353" s="3">
        <v>1.119077E7</v>
      </c>
      <c r="G353" s="3">
        <v>3.516187661E9</v>
      </c>
      <c r="H353" s="3" t="s">
        <v>27</v>
      </c>
      <c r="I353" s="3" t="s">
        <v>22</v>
      </c>
      <c r="J353" s="3" t="s">
        <v>23</v>
      </c>
      <c r="K353" s="6"/>
      <c r="L353" s="6"/>
      <c r="M353" s="6"/>
      <c r="N353" s="6"/>
      <c r="O353" s="6"/>
      <c r="P353" s="6"/>
      <c r="Q353" s="6"/>
      <c r="R353" s="7" t="str">
        <f>IF(H353="","",VLOOKUP(H353,'Hoja 9'!$A$1:$B$255,2,0))</f>
        <v>BOCA EN BOCA</v>
      </c>
      <c r="S353" s="7">
        <f t="shared" si="1"/>
        <v>2023</v>
      </c>
      <c r="T353" s="7">
        <f t="shared" si="2"/>
        <v>10</v>
      </c>
    </row>
    <row r="354">
      <c r="A354" s="4">
        <v>45230.52123333333</v>
      </c>
      <c r="B354" s="3" t="s">
        <v>1013</v>
      </c>
      <c r="C354" s="3" t="s">
        <v>1014</v>
      </c>
      <c r="D354" s="3" t="s">
        <v>1015</v>
      </c>
      <c r="E354" s="5" t="s">
        <v>1016</v>
      </c>
      <c r="F354" s="3">
        <v>6155643.0</v>
      </c>
      <c r="G354" s="3">
        <v>3.513220214E9</v>
      </c>
      <c r="H354" s="3" t="s">
        <v>27</v>
      </c>
      <c r="I354" s="3" t="s">
        <v>22</v>
      </c>
      <c r="J354" s="3" t="s">
        <v>23</v>
      </c>
      <c r="K354" s="6"/>
      <c r="L354" s="6"/>
      <c r="M354" s="6"/>
      <c r="N354" s="6"/>
      <c r="O354" s="6"/>
      <c r="P354" s="6"/>
      <c r="Q354" s="6"/>
      <c r="R354" s="7" t="str">
        <f>IF(H354="","",VLOOKUP(H354,'Hoja 9'!$A$1:$B$255,2,0))</f>
        <v>BOCA EN BOCA</v>
      </c>
      <c r="S354" s="7">
        <f t="shared" si="1"/>
        <v>2023</v>
      </c>
      <c r="T354" s="7">
        <f t="shared" si="2"/>
        <v>10</v>
      </c>
    </row>
    <row r="355">
      <c r="A355" s="4">
        <v>45230.71312082176</v>
      </c>
      <c r="B355" s="3" t="s">
        <v>1017</v>
      </c>
      <c r="C355" s="3" t="s">
        <v>1018</v>
      </c>
      <c r="E355" s="5">
        <v>30197.0</v>
      </c>
      <c r="F355" s="3">
        <v>2.9609724E7</v>
      </c>
      <c r="G355" s="3">
        <v>3.512728398E9</v>
      </c>
      <c r="H355" s="3" t="s">
        <v>27</v>
      </c>
      <c r="I355" s="3" t="s">
        <v>22</v>
      </c>
      <c r="J355" s="3" t="s">
        <v>149</v>
      </c>
      <c r="K355" s="6"/>
      <c r="L355" s="6"/>
      <c r="M355" s="6"/>
      <c r="N355" s="6"/>
      <c r="O355" s="6"/>
      <c r="P355" s="6"/>
      <c r="Q355" s="6"/>
      <c r="R355" s="7" t="str">
        <f>IF(H355="","",VLOOKUP(H355,'Hoja 9'!$A$1:$B$255,2,0))</f>
        <v>BOCA EN BOCA</v>
      </c>
      <c r="S355" s="7">
        <f t="shared" si="1"/>
        <v>2023</v>
      </c>
      <c r="T355" s="7">
        <f t="shared" si="2"/>
        <v>10</v>
      </c>
    </row>
    <row r="356">
      <c r="A356" s="4">
        <v>45230.853805</v>
      </c>
      <c r="B356" s="3" t="s">
        <v>1019</v>
      </c>
      <c r="C356" s="3" t="s">
        <v>544</v>
      </c>
      <c r="D356" s="3" t="s">
        <v>1020</v>
      </c>
      <c r="E356" s="5">
        <v>33203.0</v>
      </c>
      <c r="F356" s="3">
        <v>3.5367949E7</v>
      </c>
      <c r="G356" s="3">
        <v>3.513856349E9</v>
      </c>
      <c r="H356" s="3" t="s">
        <v>21</v>
      </c>
      <c r="I356" s="3" t="s">
        <v>22</v>
      </c>
      <c r="J356" s="3" t="s">
        <v>149</v>
      </c>
      <c r="K356" s="6"/>
      <c r="L356" s="6"/>
      <c r="M356" s="6"/>
      <c r="N356" s="6"/>
      <c r="O356" s="6"/>
      <c r="P356" s="6"/>
      <c r="Q356" s="6"/>
      <c r="R356" s="7" t="str">
        <f>IF(H356="","",VLOOKUP(H356,'Hoja 9'!$A$1:$B$255,2,0))</f>
        <v>GOOGLE</v>
      </c>
      <c r="S356" s="7">
        <f t="shared" si="1"/>
        <v>2023</v>
      </c>
      <c r="T356" s="7">
        <f t="shared" si="2"/>
        <v>10</v>
      </c>
    </row>
    <row r="357">
      <c r="A357" s="4">
        <v>45231.06196939815</v>
      </c>
      <c r="B357" s="3" t="s">
        <v>1021</v>
      </c>
      <c r="C357" s="3" t="s">
        <v>1022</v>
      </c>
      <c r="D357" s="3" t="s">
        <v>1023</v>
      </c>
      <c r="E357" s="5">
        <v>32173.0</v>
      </c>
      <c r="F357" s="3">
        <v>3.3414572E7</v>
      </c>
      <c r="G357" s="3">
        <v>3.515587733E9</v>
      </c>
      <c r="H357" s="3" t="s">
        <v>27</v>
      </c>
      <c r="I357" s="3" t="s">
        <v>22</v>
      </c>
      <c r="J357" s="3" t="s">
        <v>23</v>
      </c>
      <c r="K357" s="6"/>
      <c r="L357" s="6"/>
      <c r="M357" s="6"/>
      <c r="N357" s="6"/>
      <c r="O357" s="6"/>
      <c r="P357" s="6"/>
      <c r="Q357" s="6"/>
      <c r="R357" s="7" t="str">
        <f>IF(H357="","",VLOOKUP(H357,'Hoja 9'!$A$1:$B$255,2,0))</f>
        <v>BOCA EN BOCA</v>
      </c>
      <c r="S357" s="7">
        <f t="shared" si="1"/>
        <v>2023</v>
      </c>
      <c r="T357" s="7">
        <f t="shared" si="2"/>
        <v>11</v>
      </c>
    </row>
    <row r="358">
      <c r="A358" s="4">
        <v>45231.78023712963</v>
      </c>
      <c r="B358" s="3" t="s">
        <v>995</v>
      </c>
      <c r="C358" s="3" t="s">
        <v>553</v>
      </c>
      <c r="D358" s="3" t="s">
        <v>1024</v>
      </c>
      <c r="E358" s="5">
        <v>35702.0</v>
      </c>
      <c r="F358" s="3">
        <v>4.0683085E7</v>
      </c>
      <c r="G358" s="3">
        <v>3.51705691E9</v>
      </c>
      <c r="H358" s="3" t="s">
        <v>27</v>
      </c>
      <c r="I358" s="3" t="s">
        <v>28</v>
      </c>
      <c r="R358" s="7" t="str">
        <f>IF(H358="","",VLOOKUP(H358,'Hoja 9'!$A$1:$B$255,2,0))</f>
        <v>BOCA EN BOCA</v>
      </c>
      <c r="S358" s="7">
        <f t="shared" si="1"/>
        <v>2023</v>
      </c>
      <c r="T358" s="7">
        <f t="shared" si="2"/>
        <v>11</v>
      </c>
    </row>
    <row r="359">
      <c r="A359" s="4">
        <v>45232.71825439815</v>
      </c>
      <c r="B359" s="3" t="s">
        <v>1025</v>
      </c>
      <c r="C359" s="3" t="s">
        <v>920</v>
      </c>
      <c r="D359" s="3" t="s">
        <v>1026</v>
      </c>
      <c r="E359" s="5">
        <v>33240.0</v>
      </c>
      <c r="F359" s="3">
        <v>3.5673701E7</v>
      </c>
      <c r="G359" s="3">
        <v>3.513957444E9</v>
      </c>
      <c r="H359" s="3" t="s">
        <v>44</v>
      </c>
      <c r="I359" s="3" t="s">
        <v>22</v>
      </c>
      <c r="J359" s="3" t="s">
        <v>23</v>
      </c>
      <c r="K359" s="6"/>
      <c r="L359" s="6"/>
      <c r="M359" s="6"/>
      <c r="N359" s="6"/>
      <c r="O359" s="6"/>
      <c r="P359" s="6"/>
      <c r="Q359" s="6"/>
      <c r="R359" s="7" t="str">
        <f>IF(H359="","",VLOOKUP(H359,'Hoja 9'!$A$1:$B$255,2,0))</f>
        <v>GIMNASIO</v>
      </c>
      <c r="S359" s="7">
        <f t="shared" si="1"/>
        <v>2023</v>
      </c>
      <c r="T359" s="7">
        <f t="shared" si="2"/>
        <v>11</v>
      </c>
    </row>
    <row r="360">
      <c r="A360" s="4">
        <v>45236.633113171294</v>
      </c>
      <c r="B360" s="3" t="s">
        <v>1027</v>
      </c>
      <c r="C360" s="3" t="s">
        <v>1028</v>
      </c>
      <c r="D360" s="3" t="s">
        <v>1029</v>
      </c>
      <c r="E360" s="5">
        <v>30909.0</v>
      </c>
      <c r="F360" s="3">
        <v>3.1055489E7</v>
      </c>
      <c r="G360" s="3">
        <v>3.517068363E9</v>
      </c>
      <c r="H360" s="3" t="s">
        <v>21</v>
      </c>
      <c r="I360" s="3" t="s">
        <v>22</v>
      </c>
      <c r="J360" s="3" t="s">
        <v>1030</v>
      </c>
      <c r="K360" s="6"/>
      <c r="L360" s="6"/>
      <c r="M360" s="6"/>
      <c r="N360" s="6"/>
      <c r="O360" s="6"/>
      <c r="P360" s="6"/>
      <c r="Q360" s="6"/>
      <c r="R360" s="7" t="str">
        <f>IF(H360="","",VLOOKUP(H360,'Hoja 9'!$A$1:$B$255,2,0))</f>
        <v>GOOGLE</v>
      </c>
      <c r="S360" s="7">
        <f t="shared" si="1"/>
        <v>2023</v>
      </c>
      <c r="T360" s="7">
        <f t="shared" si="2"/>
        <v>11</v>
      </c>
    </row>
    <row r="361">
      <c r="A361" s="4">
        <v>45236.804033356486</v>
      </c>
      <c r="B361" s="3" t="s">
        <v>1031</v>
      </c>
      <c r="C361" s="3" t="s">
        <v>1032</v>
      </c>
      <c r="D361" s="3" t="s">
        <v>1033</v>
      </c>
      <c r="E361" s="5">
        <v>24595.0</v>
      </c>
      <c r="F361" s="3">
        <v>1.8174382E7</v>
      </c>
      <c r="G361" s="3">
        <v>3.512068678E9</v>
      </c>
      <c r="H361" s="3" t="s">
        <v>44</v>
      </c>
      <c r="I361" s="3" t="s">
        <v>22</v>
      </c>
      <c r="J361" s="3" t="s">
        <v>58</v>
      </c>
      <c r="K361" s="6"/>
      <c r="L361" s="6"/>
      <c r="M361" s="6"/>
      <c r="N361" s="6"/>
      <c r="O361" s="6"/>
      <c r="P361" s="6"/>
      <c r="Q361" s="6"/>
      <c r="R361" s="7" t="str">
        <f>IF(H361="","",VLOOKUP(H361,'Hoja 9'!$A$1:$B$255,2,0))</f>
        <v>GIMNASIO</v>
      </c>
      <c r="S361" s="7">
        <f t="shared" si="1"/>
        <v>2023</v>
      </c>
      <c r="T361" s="7">
        <f t="shared" si="2"/>
        <v>11</v>
      </c>
    </row>
    <row r="362">
      <c r="A362" s="4">
        <v>45236.81253145833</v>
      </c>
      <c r="B362" s="3" t="s">
        <v>1034</v>
      </c>
      <c r="C362" s="3" t="s">
        <v>856</v>
      </c>
      <c r="D362" s="3" t="s">
        <v>1035</v>
      </c>
      <c r="E362" s="5">
        <v>27974.0</v>
      </c>
      <c r="F362" s="3">
        <v>2.5342817E7</v>
      </c>
      <c r="G362" s="3">
        <v>3.51750633E9</v>
      </c>
      <c r="H362" s="3" t="s">
        <v>27</v>
      </c>
      <c r="I362" s="3" t="s">
        <v>28</v>
      </c>
      <c r="R362" s="7" t="str">
        <f>IF(H362="","",VLOOKUP(H362,'Hoja 9'!$A$1:$B$255,2,0))</f>
        <v>BOCA EN BOCA</v>
      </c>
      <c r="S362" s="7">
        <f t="shared" si="1"/>
        <v>2023</v>
      </c>
      <c r="T362" s="7">
        <f t="shared" si="2"/>
        <v>11</v>
      </c>
    </row>
    <row r="363">
      <c r="A363" s="4">
        <v>45237.39070038195</v>
      </c>
      <c r="B363" s="3" t="s">
        <v>1036</v>
      </c>
      <c r="C363" s="3" t="s">
        <v>1037</v>
      </c>
      <c r="D363" s="3" t="s">
        <v>1038</v>
      </c>
      <c r="E363" s="5">
        <v>33817.0</v>
      </c>
      <c r="F363" s="3">
        <v>3.6358202E7</v>
      </c>
      <c r="G363" s="3">
        <v>3.51381813E9</v>
      </c>
      <c r="H363" s="3" t="s">
        <v>21</v>
      </c>
      <c r="I363" s="3" t="s">
        <v>28</v>
      </c>
      <c r="R363" s="7" t="str">
        <f>IF(H363="","",VLOOKUP(H363,'Hoja 9'!$A$1:$B$255,2,0))</f>
        <v>GOOGLE</v>
      </c>
      <c r="S363" s="7">
        <f t="shared" si="1"/>
        <v>2023</v>
      </c>
      <c r="T363" s="7">
        <f t="shared" si="2"/>
        <v>11</v>
      </c>
    </row>
    <row r="364">
      <c r="A364" s="4">
        <v>45237.736583819446</v>
      </c>
      <c r="B364" s="3" t="s">
        <v>443</v>
      </c>
      <c r="C364" s="3" t="s">
        <v>1039</v>
      </c>
      <c r="D364" s="3" t="s">
        <v>444</v>
      </c>
      <c r="E364" s="5">
        <v>28154.0</v>
      </c>
      <c r="F364" s="3">
        <v>2.5247505E7</v>
      </c>
      <c r="G364" s="3">
        <v>3.516515677E9</v>
      </c>
      <c r="H364" s="3" t="s">
        <v>44</v>
      </c>
      <c r="I364" s="3" t="s">
        <v>22</v>
      </c>
      <c r="J364" s="3" t="s">
        <v>72</v>
      </c>
      <c r="K364" s="6"/>
      <c r="L364" s="6"/>
      <c r="M364" s="6"/>
      <c r="N364" s="6"/>
      <c r="O364" s="6"/>
      <c r="P364" s="6"/>
      <c r="Q364" s="6"/>
      <c r="R364" s="7" t="str">
        <f>IF(H364="","",VLOOKUP(H364,'Hoja 9'!$A$1:$B$255,2,0))</f>
        <v>GIMNASIO</v>
      </c>
      <c r="S364" s="7">
        <f t="shared" si="1"/>
        <v>2023</v>
      </c>
      <c r="T364" s="7">
        <f t="shared" si="2"/>
        <v>11</v>
      </c>
    </row>
    <row r="365">
      <c r="A365" s="4">
        <v>45238.37977863426</v>
      </c>
      <c r="B365" s="3" t="s">
        <v>1040</v>
      </c>
      <c r="C365" s="3" t="s">
        <v>1041</v>
      </c>
      <c r="D365" s="3" t="s">
        <v>1042</v>
      </c>
      <c r="E365" s="5">
        <v>28097.0</v>
      </c>
      <c r="F365" s="3">
        <v>2.560978E7</v>
      </c>
      <c r="G365" s="3">
        <v>3.512211627E9</v>
      </c>
      <c r="H365" s="3" t="s">
        <v>44</v>
      </c>
      <c r="I365" s="3" t="s">
        <v>28</v>
      </c>
      <c r="R365" s="7" t="str">
        <f>IF(H365="","",VLOOKUP(H365,'Hoja 9'!$A$1:$B$255,2,0))</f>
        <v>GIMNASIO</v>
      </c>
      <c r="S365" s="7">
        <f t="shared" si="1"/>
        <v>2023</v>
      </c>
      <c r="T365" s="7">
        <f t="shared" si="2"/>
        <v>11</v>
      </c>
    </row>
    <row r="366">
      <c r="A366" s="4">
        <v>45238.522353333334</v>
      </c>
      <c r="B366" s="3" t="s">
        <v>1043</v>
      </c>
      <c r="C366" s="3" t="s">
        <v>710</v>
      </c>
      <c r="D366" s="3" t="s">
        <v>1044</v>
      </c>
      <c r="E366" s="5">
        <v>35955.0</v>
      </c>
      <c r="F366" s="3">
        <v>4.1033825E7</v>
      </c>
      <c r="G366" s="3">
        <v>3.53482068E9</v>
      </c>
      <c r="H366" s="3" t="s">
        <v>1045</v>
      </c>
      <c r="I366" s="3" t="s">
        <v>28</v>
      </c>
      <c r="R366" s="7" t="str">
        <f>IF(H366="","",VLOOKUP(H366,'Hoja 9'!$A$1:$B$255,2,0))</f>
        <v>BOCA EN BOCA</v>
      </c>
      <c r="S366" s="7">
        <f t="shared" si="1"/>
        <v>2023</v>
      </c>
      <c r="T366" s="7">
        <f t="shared" si="2"/>
        <v>11</v>
      </c>
    </row>
    <row r="367">
      <c r="A367" s="4">
        <v>45238.819799074074</v>
      </c>
      <c r="B367" s="3" t="s">
        <v>1046</v>
      </c>
      <c r="C367" s="3" t="s">
        <v>357</v>
      </c>
      <c r="D367" s="3" t="s">
        <v>1047</v>
      </c>
      <c r="E367" s="5">
        <v>38725.0</v>
      </c>
      <c r="F367" s="3">
        <v>4.6507751E7</v>
      </c>
      <c r="G367" s="3">
        <v>3.515088712E9</v>
      </c>
      <c r="H367" s="3" t="s">
        <v>244</v>
      </c>
      <c r="I367" s="3" t="s">
        <v>28</v>
      </c>
      <c r="R367" s="7" t="str">
        <f>IF(H367="","",VLOOKUP(H367,'Hoja 9'!$A$1:$B$255,2,0))</f>
        <v>META</v>
      </c>
      <c r="S367" s="7">
        <f t="shared" si="1"/>
        <v>2023</v>
      </c>
      <c r="T367" s="7">
        <f t="shared" si="2"/>
        <v>11</v>
      </c>
    </row>
    <row r="368">
      <c r="A368" s="4">
        <v>45239.6546280787</v>
      </c>
      <c r="B368" s="3" t="s">
        <v>1048</v>
      </c>
      <c r="C368" s="3" t="s">
        <v>60</v>
      </c>
      <c r="D368" s="3" t="s">
        <v>1049</v>
      </c>
      <c r="E368" s="5">
        <v>29558.0</v>
      </c>
      <c r="F368" s="3">
        <v>2.8429391E7</v>
      </c>
      <c r="G368" s="3">
        <v>3.517446263E9</v>
      </c>
      <c r="H368" s="3" t="s">
        <v>44</v>
      </c>
      <c r="I368" s="3" t="s">
        <v>28</v>
      </c>
      <c r="R368" s="7" t="str">
        <f>IF(H368="","",VLOOKUP(H368,'Hoja 9'!$A$1:$B$255,2,0))</f>
        <v>GIMNASIO</v>
      </c>
      <c r="S368" s="7">
        <f t="shared" si="1"/>
        <v>2023</v>
      </c>
      <c r="T368" s="7">
        <f t="shared" si="2"/>
        <v>11</v>
      </c>
    </row>
    <row r="369">
      <c r="A369" s="4">
        <v>45243.50769914352</v>
      </c>
      <c r="B369" s="3" t="s">
        <v>1050</v>
      </c>
      <c r="C369" s="3" t="s">
        <v>1051</v>
      </c>
      <c r="D369" s="3" t="s">
        <v>1052</v>
      </c>
      <c r="E369" s="5">
        <v>36602.0</v>
      </c>
      <c r="F369" s="3">
        <v>4.2475628E7</v>
      </c>
      <c r="G369" s="3">
        <v>3.517366155E9</v>
      </c>
      <c r="H369" s="3" t="s">
        <v>244</v>
      </c>
      <c r="I369" s="3" t="s">
        <v>22</v>
      </c>
      <c r="J369" s="3" t="s">
        <v>23</v>
      </c>
      <c r="K369" s="6"/>
      <c r="L369" s="6"/>
      <c r="M369" s="6"/>
      <c r="N369" s="6"/>
      <c r="O369" s="6"/>
      <c r="P369" s="6"/>
      <c r="Q369" s="6"/>
      <c r="R369" s="7" t="str">
        <f>IF(H369="","",VLOOKUP(H369,'Hoja 9'!$A$1:$B$255,2,0))</f>
        <v>META</v>
      </c>
      <c r="S369" s="7">
        <f t="shared" si="1"/>
        <v>2023</v>
      </c>
      <c r="T369" s="7">
        <f t="shared" si="2"/>
        <v>11</v>
      </c>
    </row>
    <row r="370">
      <c r="A370" s="4">
        <v>45243.52572168982</v>
      </c>
      <c r="B370" s="3" t="s">
        <v>1053</v>
      </c>
      <c r="C370" s="3" t="s">
        <v>1054</v>
      </c>
      <c r="D370" s="3" t="s">
        <v>1055</v>
      </c>
      <c r="E370" s="5">
        <v>29813.0</v>
      </c>
      <c r="F370" s="3">
        <v>2.8948611E7</v>
      </c>
      <c r="G370" s="3">
        <v>3.513412384E9</v>
      </c>
      <c r="H370" s="3" t="s">
        <v>244</v>
      </c>
      <c r="I370" s="3" t="s">
        <v>28</v>
      </c>
      <c r="R370" s="7" t="str">
        <f>IF(H370="","",VLOOKUP(H370,'Hoja 9'!$A$1:$B$255,2,0))</f>
        <v>META</v>
      </c>
      <c r="S370" s="7">
        <f t="shared" si="1"/>
        <v>2023</v>
      </c>
      <c r="T370" s="7">
        <f t="shared" si="2"/>
        <v>11</v>
      </c>
    </row>
    <row r="371">
      <c r="A371" s="4">
        <v>45243.70891306713</v>
      </c>
      <c r="B371" s="3" t="s">
        <v>1056</v>
      </c>
      <c r="C371" s="3" t="s">
        <v>1057</v>
      </c>
      <c r="D371" s="3" t="s">
        <v>1058</v>
      </c>
      <c r="E371" s="5">
        <v>31405.0</v>
      </c>
      <c r="F371" s="3">
        <v>3.2099388E7</v>
      </c>
      <c r="G371" s="3">
        <v>3.513852512E9</v>
      </c>
      <c r="H371" s="3" t="s">
        <v>148</v>
      </c>
      <c r="I371" s="3" t="s">
        <v>22</v>
      </c>
      <c r="J371" s="3" t="s">
        <v>149</v>
      </c>
      <c r="K371" s="6"/>
      <c r="L371" s="6"/>
      <c r="M371" s="6"/>
      <c r="N371" s="6"/>
      <c r="O371" s="6"/>
      <c r="P371" s="6"/>
      <c r="Q371" s="6"/>
      <c r="R371" s="7" t="str">
        <f>IF(H371="","",VLOOKUP(H371,'Hoja 9'!$A$1:$B$255,2,0))</f>
        <v>OBRA SOCIAL</v>
      </c>
      <c r="S371" s="7">
        <f t="shared" si="1"/>
        <v>2023</v>
      </c>
      <c r="T371" s="7">
        <f t="shared" si="2"/>
        <v>11</v>
      </c>
    </row>
    <row r="372">
      <c r="A372" s="4">
        <v>45244.82321261574</v>
      </c>
      <c r="B372" s="3" t="s">
        <v>1059</v>
      </c>
      <c r="C372" s="3" t="s">
        <v>1060</v>
      </c>
      <c r="D372" s="3" t="s">
        <v>421</v>
      </c>
      <c r="E372" s="5">
        <v>28951.0</v>
      </c>
      <c r="F372" s="11" t="s">
        <v>1061</v>
      </c>
      <c r="G372" s="3">
        <v>3.512581809E9</v>
      </c>
      <c r="H372" s="3" t="s">
        <v>21</v>
      </c>
      <c r="I372" s="3" t="s">
        <v>28</v>
      </c>
      <c r="R372" s="7" t="str">
        <f>IF(H372="","",VLOOKUP(H372,'Hoja 9'!$A$1:$B$255,2,0))</f>
        <v>GOOGLE</v>
      </c>
      <c r="S372" s="7">
        <f t="shared" si="1"/>
        <v>2023</v>
      </c>
      <c r="T372" s="7">
        <f t="shared" si="2"/>
        <v>11</v>
      </c>
    </row>
    <row r="373">
      <c r="A373" s="4">
        <v>45245.49349497685</v>
      </c>
      <c r="B373" s="3" t="s">
        <v>1062</v>
      </c>
      <c r="C373" s="3" t="s">
        <v>1063</v>
      </c>
      <c r="D373" s="3" t="s">
        <v>1064</v>
      </c>
      <c r="E373" s="5">
        <v>34070.0</v>
      </c>
      <c r="F373" s="3">
        <v>3.7476133E7</v>
      </c>
      <c r="G373" s="3">
        <v>3.517673918E9</v>
      </c>
      <c r="H373" s="3" t="s">
        <v>44</v>
      </c>
      <c r="I373" s="3" t="s">
        <v>28</v>
      </c>
      <c r="R373" s="7" t="str">
        <f>IF(H373="","",VLOOKUP(H373,'Hoja 9'!$A$1:$B$255,2,0))</f>
        <v>GIMNASIO</v>
      </c>
      <c r="S373" s="7">
        <f t="shared" si="1"/>
        <v>2023</v>
      </c>
      <c r="T373" s="7">
        <f t="shared" si="2"/>
        <v>11</v>
      </c>
    </row>
    <row r="374">
      <c r="A374" s="4">
        <v>45245.76631074074</v>
      </c>
      <c r="B374" s="3" t="s">
        <v>1065</v>
      </c>
      <c r="C374" s="3" t="s">
        <v>1066</v>
      </c>
      <c r="D374" s="3" t="s">
        <v>1067</v>
      </c>
      <c r="E374" s="5">
        <v>23142.0</v>
      </c>
      <c r="F374" s="3">
        <v>1.6292561E7</v>
      </c>
      <c r="G374" s="3">
        <v>3.517872352E9</v>
      </c>
      <c r="H374" s="3" t="s">
        <v>27</v>
      </c>
      <c r="I374" s="3" t="s">
        <v>28</v>
      </c>
      <c r="R374" s="7" t="str">
        <f>IF(H374="","",VLOOKUP(H374,'Hoja 9'!$A$1:$B$255,2,0))</f>
        <v>BOCA EN BOCA</v>
      </c>
      <c r="S374" s="7">
        <f t="shared" si="1"/>
        <v>2023</v>
      </c>
      <c r="T374" s="7">
        <f t="shared" si="2"/>
        <v>11</v>
      </c>
    </row>
    <row r="375">
      <c r="A375" s="4">
        <v>45246.50159006944</v>
      </c>
      <c r="B375" s="3" t="s">
        <v>1068</v>
      </c>
      <c r="C375" s="3" t="s">
        <v>1069</v>
      </c>
      <c r="D375" s="3" t="s">
        <v>1070</v>
      </c>
      <c r="E375" s="5">
        <v>22879.0</v>
      </c>
      <c r="F375" s="3">
        <v>1.6159674E7</v>
      </c>
      <c r="G375" s="3">
        <v>3.518128884E9</v>
      </c>
      <c r="H375" s="3" t="s">
        <v>27</v>
      </c>
      <c r="I375" s="3" t="s">
        <v>28</v>
      </c>
      <c r="R375" s="7" t="str">
        <f>IF(H375="","",VLOOKUP(H375,'Hoja 9'!$A$1:$B$255,2,0))</f>
        <v>BOCA EN BOCA</v>
      </c>
      <c r="S375" s="7">
        <f t="shared" si="1"/>
        <v>2023</v>
      </c>
      <c r="T375" s="7">
        <f t="shared" si="2"/>
        <v>11</v>
      </c>
    </row>
    <row r="376">
      <c r="A376" s="4">
        <v>45247.76929296296</v>
      </c>
      <c r="B376" s="3" t="s">
        <v>1071</v>
      </c>
      <c r="C376" s="3" t="s">
        <v>550</v>
      </c>
      <c r="D376" s="3" t="s">
        <v>1072</v>
      </c>
      <c r="E376" s="5">
        <v>30947.0</v>
      </c>
      <c r="F376" s="3">
        <v>3.1216103E7</v>
      </c>
      <c r="G376" s="3">
        <v>3.513037791E9</v>
      </c>
      <c r="H376" s="3" t="s">
        <v>27</v>
      </c>
      <c r="I376" s="3" t="s">
        <v>28</v>
      </c>
      <c r="R376" s="7" t="str">
        <f>IF(H376="","",VLOOKUP(H376,'Hoja 9'!$A$1:$B$255,2,0))</f>
        <v>BOCA EN BOCA</v>
      </c>
      <c r="S376" s="7">
        <f t="shared" si="1"/>
        <v>2023</v>
      </c>
      <c r="T376" s="7">
        <f t="shared" si="2"/>
        <v>11</v>
      </c>
    </row>
    <row r="377">
      <c r="A377" s="4">
        <v>45247.76929296296</v>
      </c>
      <c r="B377" s="3" t="s">
        <v>1073</v>
      </c>
      <c r="C377" s="3" t="s">
        <v>1074</v>
      </c>
      <c r="D377" s="3" t="s">
        <v>1075</v>
      </c>
      <c r="E377" s="5">
        <v>36019.0</v>
      </c>
      <c r="F377" s="3">
        <v>4.1439627E7</v>
      </c>
      <c r="G377" s="3">
        <v>3.512339426E9</v>
      </c>
      <c r="H377" s="3" t="s">
        <v>27</v>
      </c>
      <c r="I377" s="3" t="s">
        <v>22</v>
      </c>
      <c r="J377" s="3" t="s">
        <v>149</v>
      </c>
      <c r="K377" s="6"/>
      <c r="L377" s="6"/>
      <c r="M377" s="6"/>
      <c r="N377" s="6"/>
      <c r="O377" s="6"/>
      <c r="P377" s="6"/>
      <c r="Q377" s="6"/>
      <c r="R377" s="7" t="str">
        <f>IF(H377="","",VLOOKUP(H377,'Hoja 9'!$A$1:$B$255,2,0))</f>
        <v>BOCA EN BOCA</v>
      </c>
      <c r="S377" s="7">
        <f t="shared" si="1"/>
        <v>2023</v>
      </c>
      <c r="T377" s="7">
        <f t="shared" si="2"/>
        <v>11</v>
      </c>
    </row>
    <row r="378">
      <c r="A378" s="4">
        <v>45254.62617159722</v>
      </c>
      <c r="B378" s="3" t="s">
        <v>1076</v>
      </c>
      <c r="C378" s="3" t="s">
        <v>1077</v>
      </c>
      <c r="D378" s="3" t="s">
        <v>1078</v>
      </c>
      <c r="E378" s="5">
        <v>38547.0</v>
      </c>
      <c r="F378" s="3">
        <v>4.6126745E7</v>
      </c>
      <c r="G378" s="3">
        <v>3.513246122E9</v>
      </c>
      <c r="H378" s="3" t="s">
        <v>27</v>
      </c>
      <c r="I378" s="3" t="s">
        <v>22</v>
      </c>
      <c r="J378" s="3" t="s">
        <v>149</v>
      </c>
      <c r="K378" s="6"/>
      <c r="L378" s="6"/>
      <c r="M378" s="6"/>
      <c r="N378" s="6"/>
      <c r="O378" s="6"/>
      <c r="P378" s="6"/>
      <c r="Q378" s="6"/>
      <c r="R378" s="7" t="str">
        <f>IF(H378="","",VLOOKUP(H378,'Hoja 9'!$A$1:$B$255,2,0))</f>
        <v>BOCA EN BOCA</v>
      </c>
      <c r="S378" s="7">
        <f t="shared" si="1"/>
        <v>2023</v>
      </c>
      <c r="T378" s="7">
        <f t="shared" si="2"/>
        <v>11</v>
      </c>
    </row>
    <row r="379">
      <c r="A379" s="4">
        <v>45255.51109385416</v>
      </c>
      <c r="B379" s="3" t="s">
        <v>1079</v>
      </c>
      <c r="C379" s="3" t="s">
        <v>1080</v>
      </c>
      <c r="D379" s="3" t="s">
        <v>1081</v>
      </c>
      <c r="E379" s="5">
        <v>23031.0</v>
      </c>
      <c r="F379" s="3">
        <v>1.6293073E7</v>
      </c>
      <c r="G379" s="3">
        <v>3.515404114E9</v>
      </c>
      <c r="H379" s="3" t="s">
        <v>27</v>
      </c>
      <c r="I379" s="3" t="s">
        <v>22</v>
      </c>
      <c r="J379" s="3" t="s">
        <v>23</v>
      </c>
      <c r="K379" s="6"/>
      <c r="L379" s="6"/>
      <c r="M379" s="6"/>
      <c r="N379" s="6"/>
      <c r="O379" s="6"/>
      <c r="P379" s="6"/>
      <c r="Q379" s="6"/>
      <c r="R379" s="7" t="str">
        <f>IF(H379="","",VLOOKUP(H379,'Hoja 9'!$A$1:$B$255,2,0))</f>
        <v>BOCA EN BOCA</v>
      </c>
      <c r="S379" s="7">
        <f t="shared" si="1"/>
        <v>2023</v>
      </c>
      <c r="T379" s="7">
        <f t="shared" si="2"/>
        <v>11</v>
      </c>
    </row>
    <row r="380">
      <c r="A380" s="4">
        <v>45257.45160800926</v>
      </c>
      <c r="B380" s="3" t="s">
        <v>1082</v>
      </c>
      <c r="C380" s="3" t="s">
        <v>1083</v>
      </c>
      <c r="D380" s="3" t="s">
        <v>1084</v>
      </c>
      <c r="E380" s="5">
        <v>38698.0</v>
      </c>
      <c r="F380" s="3">
        <v>4.6311746E7</v>
      </c>
      <c r="G380" s="3">
        <v>3.513945282E9</v>
      </c>
      <c r="H380" s="3" t="s">
        <v>21</v>
      </c>
      <c r="I380" s="3" t="s">
        <v>22</v>
      </c>
      <c r="J380" s="3" t="s">
        <v>1085</v>
      </c>
      <c r="K380" s="6"/>
      <c r="L380" s="6"/>
      <c r="M380" s="6"/>
      <c r="N380" s="6"/>
      <c r="O380" s="6"/>
      <c r="P380" s="6"/>
      <c r="Q380" s="6"/>
      <c r="R380" s="7" t="str">
        <f>IF(H380="","",VLOOKUP(H380,'Hoja 9'!$A$1:$B$255,2,0))</f>
        <v>GOOGLE</v>
      </c>
      <c r="S380" s="7">
        <f t="shared" si="1"/>
        <v>2023</v>
      </c>
      <c r="T380" s="7">
        <f t="shared" si="2"/>
        <v>11</v>
      </c>
    </row>
    <row r="381">
      <c r="A381" s="4">
        <v>45257.78392041667</v>
      </c>
      <c r="B381" s="3" t="s">
        <v>1086</v>
      </c>
      <c r="C381" s="3" t="s">
        <v>1087</v>
      </c>
      <c r="D381" s="3" t="s">
        <v>1088</v>
      </c>
      <c r="E381" s="5">
        <v>32207.0</v>
      </c>
      <c r="F381" s="3">
        <v>3.3599033E7</v>
      </c>
      <c r="G381" s="3">
        <v>3.512205936E9</v>
      </c>
      <c r="H381" s="3" t="s">
        <v>44</v>
      </c>
      <c r="I381" s="3" t="s">
        <v>22</v>
      </c>
      <c r="J381" s="3" t="s">
        <v>23</v>
      </c>
      <c r="K381" s="6"/>
      <c r="L381" s="6"/>
      <c r="M381" s="6"/>
      <c r="N381" s="6"/>
      <c r="O381" s="6"/>
      <c r="P381" s="6"/>
      <c r="Q381" s="6"/>
      <c r="R381" s="7" t="str">
        <f>IF(H381="","",VLOOKUP(H381,'Hoja 9'!$A$1:$B$255,2,0))</f>
        <v>GIMNASIO</v>
      </c>
      <c r="S381" s="7">
        <f t="shared" si="1"/>
        <v>2023</v>
      </c>
      <c r="T381" s="7">
        <f t="shared" si="2"/>
        <v>11</v>
      </c>
    </row>
    <row r="382">
      <c r="A382" s="4">
        <v>45258.35361868056</v>
      </c>
      <c r="B382" s="3" t="s">
        <v>1089</v>
      </c>
      <c r="C382" s="3" t="s">
        <v>1090</v>
      </c>
      <c r="D382" s="3" t="s">
        <v>1091</v>
      </c>
      <c r="E382" s="5">
        <v>28334.0</v>
      </c>
      <c r="F382" s="3">
        <v>2.5132741E7</v>
      </c>
      <c r="G382" s="3">
        <v>3.512018717E9</v>
      </c>
      <c r="H382" s="3" t="s">
        <v>44</v>
      </c>
      <c r="I382" s="3" t="s">
        <v>28</v>
      </c>
      <c r="R382" s="7" t="str">
        <f>IF(H382="","",VLOOKUP(H382,'Hoja 9'!$A$1:$B$255,2,0))</f>
        <v>GIMNASIO</v>
      </c>
      <c r="S382" s="7">
        <f t="shared" si="1"/>
        <v>2023</v>
      </c>
      <c r="T382" s="7">
        <f t="shared" si="2"/>
        <v>11</v>
      </c>
    </row>
    <row r="383">
      <c r="A383" s="4">
        <v>45259.679018842595</v>
      </c>
      <c r="B383" s="3" t="s">
        <v>1092</v>
      </c>
      <c r="C383" s="3" t="s">
        <v>1093</v>
      </c>
      <c r="D383" s="3" t="s">
        <v>1094</v>
      </c>
      <c r="E383" s="5">
        <v>26353.0</v>
      </c>
      <c r="F383" s="3">
        <v>2.2539894E7</v>
      </c>
      <c r="G383" s="3">
        <v>3.512337731E9</v>
      </c>
      <c r="H383" s="3" t="s">
        <v>27</v>
      </c>
      <c r="I383" s="3" t="s">
        <v>22</v>
      </c>
      <c r="J383" s="3" t="s">
        <v>149</v>
      </c>
      <c r="K383" s="6"/>
      <c r="L383" s="6"/>
      <c r="M383" s="6"/>
      <c r="N383" s="6"/>
      <c r="O383" s="6"/>
      <c r="P383" s="6"/>
      <c r="Q383" s="6"/>
      <c r="R383" s="7" t="str">
        <f>IF(H383="","",VLOOKUP(H383,'Hoja 9'!$A$1:$B$255,2,0))</f>
        <v>BOCA EN BOCA</v>
      </c>
      <c r="S383" s="7">
        <f t="shared" si="1"/>
        <v>2023</v>
      </c>
      <c r="T383" s="7">
        <f t="shared" si="2"/>
        <v>11</v>
      </c>
    </row>
    <row r="384">
      <c r="A384" s="4">
        <v>45259.85163936343</v>
      </c>
      <c r="B384" s="3" t="s">
        <v>1095</v>
      </c>
      <c r="C384" s="3" t="s">
        <v>1096</v>
      </c>
      <c r="E384" s="5">
        <v>45247.0</v>
      </c>
      <c r="F384" s="3">
        <v>3.9690449E7</v>
      </c>
      <c r="G384" s="3">
        <v>3.513820345E9</v>
      </c>
      <c r="H384" s="3" t="s">
        <v>21</v>
      </c>
      <c r="I384" s="3" t="s">
        <v>22</v>
      </c>
      <c r="J384" s="3" t="s">
        <v>23</v>
      </c>
      <c r="K384" s="6"/>
      <c r="L384" s="6"/>
      <c r="M384" s="6"/>
      <c r="N384" s="6"/>
      <c r="O384" s="6"/>
      <c r="P384" s="6"/>
      <c r="Q384" s="6"/>
      <c r="R384" s="7" t="str">
        <f>IF(H384="","",VLOOKUP(H384,'Hoja 9'!$A$1:$B$255,2,0))</f>
        <v>GOOGLE</v>
      </c>
      <c r="S384" s="7">
        <f t="shared" si="1"/>
        <v>2023</v>
      </c>
      <c r="T384" s="7">
        <f t="shared" si="2"/>
        <v>11</v>
      </c>
    </row>
    <row r="385">
      <c r="A385" s="4">
        <v>45261.70784425926</v>
      </c>
      <c r="B385" s="3" t="s">
        <v>1097</v>
      </c>
      <c r="C385" s="3" t="s">
        <v>1098</v>
      </c>
      <c r="D385" s="3" t="s">
        <v>1099</v>
      </c>
      <c r="E385" s="5">
        <v>32143.0</v>
      </c>
      <c r="F385" s="8">
        <v>3.3482735E7</v>
      </c>
      <c r="G385" s="3">
        <v>3.512125057E9</v>
      </c>
      <c r="H385" s="3" t="s">
        <v>21</v>
      </c>
      <c r="I385" s="3" t="s">
        <v>22</v>
      </c>
      <c r="J385" s="3" t="s">
        <v>1100</v>
      </c>
      <c r="K385" s="6"/>
      <c r="L385" s="6"/>
      <c r="M385" s="6"/>
      <c r="N385" s="6"/>
      <c r="O385" s="6"/>
      <c r="P385" s="6"/>
      <c r="Q385" s="6"/>
      <c r="R385" s="7" t="str">
        <f>IF(H385="","",VLOOKUP(H385,'Hoja 9'!$A$1:$B$255,2,0))</f>
        <v>GOOGLE</v>
      </c>
      <c r="S385" s="7">
        <f t="shared" si="1"/>
        <v>2023</v>
      </c>
      <c r="T385" s="7">
        <f t="shared" si="2"/>
        <v>12</v>
      </c>
    </row>
    <row r="386">
      <c r="A386" s="4">
        <v>45261.93811256945</v>
      </c>
      <c r="B386" s="3" t="s">
        <v>1101</v>
      </c>
      <c r="C386" s="3" t="s">
        <v>1102</v>
      </c>
      <c r="D386" s="3" t="s">
        <v>1103</v>
      </c>
      <c r="E386" s="5">
        <v>17875.0</v>
      </c>
      <c r="F386" s="3">
        <v>5528842.0</v>
      </c>
      <c r="G386" s="3">
        <v>3.516724587E9</v>
      </c>
      <c r="H386" s="3" t="s">
        <v>148</v>
      </c>
      <c r="I386" s="3" t="s">
        <v>22</v>
      </c>
      <c r="J386" s="3" t="s">
        <v>23</v>
      </c>
      <c r="K386" s="6"/>
      <c r="L386" s="6"/>
      <c r="M386" s="6"/>
      <c r="N386" s="6"/>
      <c r="O386" s="6"/>
      <c r="P386" s="6"/>
      <c r="Q386" s="6"/>
      <c r="R386" s="7" t="str">
        <f>IF(H386="","",VLOOKUP(H386,'Hoja 9'!$A$1:$B$255,2,0))</f>
        <v>OBRA SOCIAL</v>
      </c>
      <c r="S386" s="7">
        <f t="shared" si="1"/>
        <v>2023</v>
      </c>
      <c r="T386" s="7">
        <f t="shared" si="2"/>
        <v>12</v>
      </c>
    </row>
    <row r="387">
      <c r="A387" s="4">
        <v>45264.44909578704</v>
      </c>
      <c r="B387" s="3" t="s">
        <v>1104</v>
      </c>
      <c r="C387" s="3" t="s">
        <v>1105</v>
      </c>
      <c r="D387" s="3" t="s">
        <v>1106</v>
      </c>
      <c r="E387" s="5">
        <v>39201.0</v>
      </c>
      <c r="F387" s="3">
        <v>4.7174231E7</v>
      </c>
      <c r="G387" s="3">
        <v>3.515329739E9</v>
      </c>
      <c r="H387" s="3" t="s">
        <v>27</v>
      </c>
      <c r="I387" s="3" t="s">
        <v>28</v>
      </c>
      <c r="R387" s="7" t="str">
        <f>IF(H387="","",VLOOKUP(H387,'Hoja 9'!$A$1:$B$255,2,0))</f>
        <v>BOCA EN BOCA</v>
      </c>
      <c r="S387" s="7">
        <f t="shared" si="1"/>
        <v>2023</v>
      </c>
      <c r="T387" s="7">
        <f t="shared" si="2"/>
        <v>12</v>
      </c>
    </row>
    <row r="388">
      <c r="A388" s="4">
        <v>45264.68232957176</v>
      </c>
      <c r="B388" s="3" t="s">
        <v>1107</v>
      </c>
      <c r="C388" s="3" t="s">
        <v>1108</v>
      </c>
      <c r="D388" s="3" t="s">
        <v>1109</v>
      </c>
      <c r="E388" s="5">
        <v>45130.0</v>
      </c>
      <c r="F388" s="3">
        <v>2.2685013E7</v>
      </c>
      <c r="G388" s="3">
        <v>3.512421378E9</v>
      </c>
      <c r="H388" s="3" t="s">
        <v>21</v>
      </c>
      <c r="I388" s="3" t="s">
        <v>22</v>
      </c>
      <c r="J388" s="3" t="s">
        <v>314</v>
      </c>
      <c r="K388" s="6"/>
      <c r="L388" s="6"/>
      <c r="M388" s="6"/>
      <c r="N388" s="6"/>
      <c r="O388" s="6"/>
      <c r="P388" s="6"/>
      <c r="Q388" s="6"/>
      <c r="R388" s="7" t="str">
        <f>IF(H388="","",VLOOKUP(H388,'Hoja 9'!$A$1:$B$255,2,0))</f>
        <v>GOOGLE</v>
      </c>
      <c r="S388" s="7">
        <f t="shared" si="1"/>
        <v>2023</v>
      </c>
      <c r="T388" s="7">
        <f t="shared" si="2"/>
        <v>12</v>
      </c>
    </row>
    <row r="389">
      <c r="A389" s="4">
        <v>45259.85163936343</v>
      </c>
      <c r="B389" s="3" t="s">
        <v>1110</v>
      </c>
      <c r="C389" s="3" t="s">
        <v>678</v>
      </c>
      <c r="D389" s="3" t="s">
        <v>1111</v>
      </c>
      <c r="F389" s="3">
        <v>2.2567586E7</v>
      </c>
      <c r="G389" s="3">
        <v>3.513037002E9</v>
      </c>
      <c r="H389" s="3" t="s">
        <v>1112</v>
      </c>
      <c r="I389" s="3" t="s">
        <v>1113</v>
      </c>
      <c r="R389" s="7" t="str">
        <f>IF(H389="","",VLOOKUP(H389,'Hoja 9'!$A$1:$B$255,2,0))</f>
        <v>GIMNASIO</v>
      </c>
      <c r="S389" s="7">
        <f t="shared" si="1"/>
        <v>2023</v>
      </c>
      <c r="T389" s="7">
        <f t="shared" si="2"/>
        <v>11</v>
      </c>
    </row>
    <row r="390">
      <c r="A390" s="4">
        <v>45264.82871537037</v>
      </c>
      <c r="B390" s="3" t="s">
        <v>1114</v>
      </c>
      <c r="C390" s="3" t="s">
        <v>1115</v>
      </c>
      <c r="D390" s="3" t="s">
        <v>1116</v>
      </c>
      <c r="E390" s="5">
        <v>29352.0</v>
      </c>
      <c r="F390" s="3">
        <v>9.2683031E7</v>
      </c>
      <c r="G390" s="3">
        <v>3.516159236E9</v>
      </c>
      <c r="H390" s="3" t="s">
        <v>44</v>
      </c>
      <c r="I390" s="3" t="s">
        <v>28</v>
      </c>
      <c r="R390" s="7" t="str">
        <f>IF(H390="","",VLOOKUP(H390,'Hoja 9'!$A$1:$B$255,2,0))</f>
        <v>GIMNASIO</v>
      </c>
      <c r="S390" s="7">
        <f t="shared" si="1"/>
        <v>2023</v>
      </c>
      <c r="T390" s="7">
        <f t="shared" si="2"/>
        <v>12</v>
      </c>
    </row>
    <row r="391">
      <c r="A391" s="4">
        <v>45264.91215446759</v>
      </c>
      <c r="B391" s="3" t="s">
        <v>1117</v>
      </c>
      <c r="C391" s="3" t="s">
        <v>175</v>
      </c>
      <c r="D391" s="3" t="s">
        <v>1118</v>
      </c>
      <c r="E391" s="5">
        <v>30071.0</v>
      </c>
      <c r="F391" s="3">
        <v>2.9605018E7</v>
      </c>
      <c r="G391" s="3">
        <v>3.512314596E9</v>
      </c>
      <c r="H391" s="3" t="s">
        <v>1119</v>
      </c>
      <c r="I391" s="3" t="s">
        <v>22</v>
      </c>
      <c r="J391" s="3" t="s">
        <v>149</v>
      </c>
      <c r="K391" s="6"/>
      <c r="L391" s="6"/>
      <c r="M391" s="6"/>
      <c r="N391" s="6"/>
      <c r="O391" s="6"/>
      <c r="P391" s="6"/>
      <c r="Q391" s="6"/>
      <c r="R391" s="7" t="str">
        <f>IF(H391="","",VLOOKUP(H391,'Hoja 9'!$A$1:$B$255,2,0))</f>
        <v>GOOGLE</v>
      </c>
      <c r="S391" s="7">
        <f t="shared" si="1"/>
        <v>2023</v>
      </c>
      <c r="T391" s="7">
        <f t="shared" si="2"/>
        <v>12</v>
      </c>
    </row>
    <row r="392">
      <c r="A392" s="4">
        <v>45266.35541846065</v>
      </c>
      <c r="B392" s="3" t="s">
        <v>1120</v>
      </c>
      <c r="C392" s="3" t="s">
        <v>1121</v>
      </c>
      <c r="D392" s="3" t="s">
        <v>1122</v>
      </c>
      <c r="E392" s="5">
        <v>29015.0</v>
      </c>
      <c r="F392" s="3">
        <v>2.7367461E7</v>
      </c>
      <c r="G392" s="3">
        <v>3.515471795E9</v>
      </c>
      <c r="H392" s="3" t="s">
        <v>27</v>
      </c>
      <c r="I392" s="3" t="s">
        <v>22</v>
      </c>
      <c r="J392" s="3" t="s">
        <v>149</v>
      </c>
      <c r="K392" s="6"/>
      <c r="L392" s="6"/>
      <c r="M392" s="6"/>
      <c r="N392" s="6"/>
      <c r="O392" s="6"/>
      <c r="P392" s="6"/>
      <c r="Q392" s="6"/>
      <c r="R392" s="7" t="str">
        <f>IF(H392="","",VLOOKUP(H392,'Hoja 9'!$A$1:$B$255,2,0))</f>
        <v>BOCA EN BOCA</v>
      </c>
      <c r="S392" s="7">
        <f t="shared" si="1"/>
        <v>2023</v>
      </c>
      <c r="T392" s="7">
        <f t="shared" si="2"/>
        <v>12</v>
      </c>
    </row>
    <row r="393">
      <c r="A393" s="4">
        <v>45266.82009034722</v>
      </c>
      <c r="B393" s="3" t="s">
        <v>1123</v>
      </c>
      <c r="C393" s="3" t="s">
        <v>1124</v>
      </c>
      <c r="D393" s="3" t="s">
        <v>1125</v>
      </c>
      <c r="E393" s="5">
        <v>38358.0</v>
      </c>
      <c r="F393" s="3">
        <v>4.6292118E7</v>
      </c>
      <c r="G393" s="3">
        <v>1.123886159E9</v>
      </c>
      <c r="H393" s="3" t="s">
        <v>27</v>
      </c>
      <c r="I393" s="3" t="s">
        <v>22</v>
      </c>
      <c r="J393" s="3" t="s">
        <v>1126</v>
      </c>
      <c r="K393" s="6"/>
      <c r="L393" s="6"/>
      <c r="M393" s="6"/>
      <c r="N393" s="6"/>
      <c r="O393" s="6"/>
      <c r="P393" s="6"/>
      <c r="Q393" s="6"/>
      <c r="R393" s="7" t="str">
        <f>IF(H393="","",VLOOKUP(H393,'Hoja 9'!$A$1:$B$255,2,0))</f>
        <v>BOCA EN BOCA</v>
      </c>
      <c r="S393" s="7">
        <f t="shared" si="1"/>
        <v>2023</v>
      </c>
      <c r="T393" s="7">
        <f t="shared" si="2"/>
        <v>12</v>
      </c>
    </row>
    <row r="394">
      <c r="A394" s="4">
        <v>45267.72247008102</v>
      </c>
      <c r="B394" s="3" t="s">
        <v>1127</v>
      </c>
      <c r="C394" s="3" t="s">
        <v>1128</v>
      </c>
      <c r="D394" s="3" t="s">
        <v>1129</v>
      </c>
      <c r="E394" s="5">
        <v>29031.0</v>
      </c>
      <c r="F394" s="3">
        <v>2.736867E7</v>
      </c>
      <c r="G394" s="3">
        <v>3.51558574E9</v>
      </c>
      <c r="H394" s="3" t="s">
        <v>21</v>
      </c>
      <c r="I394" s="3" t="s">
        <v>28</v>
      </c>
      <c r="R394" s="7" t="str">
        <f>IF(H394="","",VLOOKUP(H394,'Hoja 9'!$A$1:$B$255,2,0))</f>
        <v>GOOGLE</v>
      </c>
      <c r="S394" s="7">
        <f t="shared" si="1"/>
        <v>2023</v>
      </c>
      <c r="T394" s="7">
        <f t="shared" si="2"/>
        <v>12</v>
      </c>
    </row>
    <row r="395">
      <c r="A395" s="4">
        <v>45271.658213981485</v>
      </c>
      <c r="B395" s="3" t="s">
        <v>1130</v>
      </c>
      <c r="C395" s="3" t="s">
        <v>1131</v>
      </c>
      <c r="E395" s="5">
        <v>36244.0</v>
      </c>
      <c r="F395" s="3">
        <v>4.1847304E7</v>
      </c>
      <c r="G395" s="3">
        <v>3.512272206E9</v>
      </c>
      <c r="H395" s="3" t="s">
        <v>44</v>
      </c>
      <c r="I395" s="3" t="s">
        <v>28</v>
      </c>
      <c r="K395" s="3" t="s">
        <v>1132</v>
      </c>
      <c r="L395" s="3" t="s">
        <v>1133</v>
      </c>
      <c r="M395" s="3" t="s">
        <v>1134</v>
      </c>
      <c r="R395" s="7" t="str">
        <f>IF(H395="","",VLOOKUP(H395,'Hoja 9'!$A$1:$B$255,2,0))</f>
        <v>GIMNASIO</v>
      </c>
      <c r="S395" s="7">
        <f t="shared" si="1"/>
        <v>2023</v>
      </c>
      <c r="T395" s="7">
        <f t="shared" si="2"/>
        <v>12</v>
      </c>
    </row>
    <row r="396">
      <c r="A396" s="4">
        <v>45271.7840497338</v>
      </c>
      <c r="B396" s="3" t="s">
        <v>1034</v>
      </c>
      <c r="C396" s="3" t="s">
        <v>162</v>
      </c>
      <c r="D396" s="3" t="s">
        <v>1135</v>
      </c>
      <c r="E396" s="5">
        <v>29315.0</v>
      </c>
      <c r="F396" s="3">
        <v>2.795886E7</v>
      </c>
      <c r="G396" s="3">
        <v>3.516564532E9</v>
      </c>
      <c r="H396" s="3" t="s">
        <v>44</v>
      </c>
      <c r="I396" s="3" t="s">
        <v>28</v>
      </c>
      <c r="K396" s="3" t="s">
        <v>1132</v>
      </c>
      <c r="L396" s="3" t="s">
        <v>1136</v>
      </c>
      <c r="M396" s="3" t="s">
        <v>1137</v>
      </c>
      <c r="R396" s="7" t="str">
        <f>IF(H396="","",VLOOKUP(H396,'Hoja 9'!$A$1:$B$255,2,0))</f>
        <v>GIMNASIO</v>
      </c>
      <c r="S396" s="7">
        <f t="shared" si="1"/>
        <v>2023</v>
      </c>
      <c r="T396" s="7">
        <f t="shared" si="2"/>
        <v>12</v>
      </c>
    </row>
    <row r="397">
      <c r="A397" s="4">
        <v>45272.51682576389</v>
      </c>
      <c r="B397" s="3" t="s">
        <v>712</v>
      </c>
      <c r="C397" s="3" t="s">
        <v>1138</v>
      </c>
      <c r="D397" s="3" t="s">
        <v>1139</v>
      </c>
      <c r="E397" s="5">
        <v>36532.0</v>
      </c>
      <c r="F397" s="8">
        <v>4.2304179E7</v>
      </c>
      <c r="G397" s="3">
        <v>3.515081835E9</v>
      </c>
      <c r="H397" s="3" t="s">
        <v>27</v>
      </c>
      <c r="I397" s="3" t="s">
        <v>22</v>
      </c>
      <c r="K397" s="3" t="s">
        <v>1132</v>
      </c>
      <c r="L397" s="3" t="s">
        <v>1140</v>
      </c>
      <c r="M397" s="3" t="s">
        <v>1134</v>
      </c>
      <c r="O397" s="3" t="s">
        <v>23</v>
      </c>
      <c r="R397" s="7" t="str">
        <f>IF(H397="","",VLOOKUP(H397,'Hoja 9'!$A$1:$B$255,2,0))</f>
        <v>BOCA EN BOCA</v>
      </c>
      <c r="S397" s="7">
        <f t="shared" si="1"/>
        <v>2023</v>
      </c>
      <c r="T397" s="7">
        <f t="shared" si="2"/>
        <v>12</v>
      </c>
    </row>
    <row r="398">
      <c r="A398" s="4">
        <v>45272.55463197917</v>
      </c>
      <c r="B398" s="3" t="s">
        <v>204</v>
      </c>
      <c r="C398" s="3" t="s">
        <v>1141</v>
      </c>
      <c r="D398" s="3" t="s">
        <v>1142</v>
      </c>
      <c r="E398" s="5">
        <v>35486.0</v>
      </c>
      <c r="F398" s="3">
        <v>4.0247231E7</v>
      </c>
      <c r="G398" s="3">
        <v>3.517552344E9</v>
      </c>
      <c r="H398" s="3" t="s">
        <v>27</v>
      </c>
      <c r="I398" s="3" t="s">
        <v>28</v>
      </c>
      <c r="K398" s="3" t="s">
        <v>1132</v>
      </c>
      <c r="L398" s="3" t="s">
        <v>1133</v>
      </c>
      <c r="M398" s="3" t="s">
        <v>1134</v>
      </c>
      <c r="R398" s="7" t="str">
        <f>IF(H398="","",VLOOKUP(H398,'Hoja 9'!$A$1:$B$255,2,0))</f>
        <v>BOCA EN BOCA</v>
      </c>
      <c r="S398" s="7">
        <f t="shared" si="1"/>
        <v>2023</v>
      </c>
      <c r="T398" s="7">
        <f t="shared" si="2"/>
        <v>12</v>
      </c>
    </row>
    <row r="399">
      <c r="A399" s="4">
        <v>45273.80239321759</v>
      </c>
      <c r="B399" s="3" t="s">
        <v>860</v>
      </c>
      <c r="C399" s="3" t="s">
        <v>1143</v>
      </c>
      <c r="D399" s="3" t="s">
        <v>1144</v>
      </c>
      <c r="E399" s="5">
        <v>33918.0</v>
      </c>
      <c r="F399" s="3">
        <v>3.7134028E7</v>
      </c>
      <c r="G399" s="3">
        <v>3.516468723E9</v>
      </c>
      <c r="H399" s="3" t="s">
        <v>244</v>
      </c>
      <c r="I399" s="3" t="s">
        <v>28</v>
      </c>
      <c r="K399" s="3" t="s">
        <v>1145</v>
      </c>
      <c r="R399" s="7" t="str">
        <f>IF(H399="","",VLOOKUP(H399,'Hoja 9'!$A$1:$B$255,2,0))</f>
        <v>META</v>
      </c>
      <c r="S399" s="7">
        <f t="shared" si="1"/>
        <v>2023</v>
      </c>
      <c r="T399" s="7">
        <f t="shared" si="2"/>
        <v>12</v>
      </c>
    </row>
    <row r="400">
      <c r="A400" s="4">
        <v>45274.32902092593</v>
      </c>
      <c r="B400" s="3" t="s">
        <v>1146</v>
      </c>
      <c r="C400" s="3" t="s">
        <v>1147</v>
      </c>
      <c r="D400" s="3" t="s">
        <v>1148</v>
      </c>
      <c r="E400" s="5">
        <v>35953.0</v>
      </c>
      <c r="F400" s="3">
        <v>4.1279827E7</v>
      </c>
      <c r="G400" s="3">
        <v>3.516165805E9</v>
      </c>
      <c r="H400" s="3" t="s">
        <v>21</v>
      </c>
      <c r="I400" s="3" t="s">
        <v>22</v>
      </c>
      <c r="K400" s="3" t="s">
        <v>1145</v>
      </c>
      <c r="O400" s="3" t="s">
        <v>58</v>
      </c>
      <c r="R400" s="7" t="str">
        <f>IF(H400="","",VLOOKUP(H400,'Hoja 9'!$A$1:$B$255,2,0))</f>
        <v>GOOGLE</v>
      </c>
      <c r="S400" s="7">
        <f t="shared" si="1"/>
        <v>2023</v>
      </c>
      <c r="T400" s="7">
        <f t="shared" si="2"/>
        <v>12</v>
      </c>
    </row>
    <row r="401">
      <c r="A401" s="4">
        <v>45274.65629387731</v>
      </c>
      <c r="B401" s="3" t="s">
        <v>1149</v>
      </c>
      <c r="C401" s="3" t="s">
        <v>1150</v>
      </c>
      <c r="E401" s="5">
        <v>18449.0</v>
      </c>
      <c r="F401" s="3">
        <v>6380545.0</v>
      </c>
      <c r="G401" s="3">
        <v>3.513974629E9</v>
      </c>
      <c r="H401" s="3" t="s">
        <v>27</v>
      </c>
      <c r="I401" s="3" t="s">
        <v>22</v>
      </c>
      <c r="K401" s="3" t="s">
        <v>1145</v>
      </c>
      <c r="O401" s="3" t="s">
        <v>72</v>
      </c>
      <c r="R401" s="7" t="str">
        <f>IF(H401="","",VLOOKUP(H401,'Hoja 9'!$A$1:$B$255,2,0))</f>
        <v>BOCA EN BOCA</v>
      </c>
      <c r="S401" s="7">
        <f t="shared" si="1"/>
        <v>2023</v>
      </c>
      <c r="T401" s="7">
        <f t="shared" si="2"/>
        <v>12</v>
      </c>
    </row>
    <row r="402">
      <c r="A402" s="4">
        <v>45275.47670053241</v>
      </c>
      <c r="B402" s="3" t="s">
        <v>1151</v>
      </c>
      <c r="C402" s="3" t="s">
        <v>1152</v>
      </c>
      <c r="D402" s="3" t="s">
        <v>1153</v>
      </c>
      <c r="E402" s="5">
        <v>37519.0</v>
      </c>
      <c r="F402" s="3">
        <v>4.4296744E7</v>
      </c>
      <c r="G402" s="3">
        <v>3.516260284E9</v>
      </c>
      <c r="H402" s="3" t="s">
        <v>21</v>
      </c>
      <c r="I402" s="3" t="s">
        <v>22</v>
      </c>
      <c r="K402" s="3" t="s">
        <v>1132</v>
      </c>
      <c r="L402" s="3" t="s">
        <v>1133</v>
      </c>
      <c r="M402" s="3" t="s">
        <v>1134</v>
      </c>
      <c r="O402" s="3" t="s">
        <v>149</v>
      </c>
      <c r="R402" s="7" t="str">
        <f>IF(H402="","",VLOOKUP(H402,'Hoja 9'!$A$1:$B$255,2,0))</f>
        <v>GOOGLE</v>
      </c>
      <c r="S402" s="7">
        <f t="shared" si="1"/>
        <v>2023</v>
      </c>
      <c r="T402" s="7">
        <f t="shared" si="2"/>
        <v>12</v>
      </c>
    </row>
    <row r="403">
      <c r="A403" s="4">
        <v>45278.793827002315</v>
      </c>
      <c r="B403" s="3" t="s">
        <v>1154</v>
      </c>
      <c r="C403" s="3" t="s">
        <v>1155</v>
      </c>
      <c r="D403" s="3" t="s">
        <v>1156</v>
      </c>
      <c r="E403" s="5">
        <v>18152.0</v>
      </c>
      <c r="F403" s="3">
        <v>6257041.0</v>
      </c>
      <c r="G403" s="3">
        <v>3.518119918E9</v>
      </c>
      <c r="H403" s="3" t="s">
        <v>21</v>
      </c>
      <c r="I403" s="3" t="s">
        <v>28</v>
      </c>
      <c r="K403" s="3" t="s">
        <v>1145</v>
      </c>
      <c r="R403" s="7" t="str">
        <f>IF(H403="","",VLOOKUP(H403,'Hoja 9'!$A$1:$B$255,2,0))</f>
        <v>GOOGLE</v>
      </c>
      <c r="S403" s="7">
        <f t="shared" si="1"/>
        <v>2023</v>
      </c>
      <c r="T403" s="7">
        <f t="shared" si="2"/>
        <v>12</v>
      </c>
    </row>
    <row r="404">
      <c r="A404" s="4">
        <v>45281.65697189815</v>
      </c>
      <c r="B404" s="3" t="s">
        <v>1157</v>
      </c>
      <c r="C404" s="3" t="s">
        <v>1158</v>
      </c>
      <c r="D404" s="3" t="s">
        <v>1159</v>
      </c>
      <c r="E404" s="5">
        <v>34458.0</v>
      </c>
      <c r="F404" s="3">
        <v>3.8181293E7</v>
      </c>
      <c r="G404" s="3">
        <v>3.51633942E9</v>
      </c>
      <c r="H404" s="3" t="s">
        <v>21</v>
      </c>
      <c r="I404" s="3" t="s">
        <v>22</v>
      </c>
      <c r="K404" s="3" t="s">
        <v>1132</v>
      </c>
      <c r="L404" s="3" t="s">
        <v>1136</v>
      </c>
      <c r="M404" s="3" t="s">
        <v>1137</v>
      </c>
      <c r="O404" s="3" t="s">
        <v>23</v>
      </c>
      <c r="R404" s="7" t="str">
        <f>IF(H404="","",VLOOKUP(H404,'Hoja 9'!$A$1:$B$255,2,0))</f>
        <v>GOOGLE</v>
      </c>
      <c r="S404" s="7">
        <f t="shared" si="1"/>
        <v>2023</v>
      </c>
      <c r="T404" s="7">
        <f t="shared" si="2"/>
        <v>12</v>
      </c>
    </row>
    <row r="405">
      <c r="A405" s="4">
        <v>45281.70799008102</v>
      </c>
      <c r="B405" s="3" t="s">
        <v>1160</v>
      </c>
      <c r="C405" s="3" t="s">
        <v>1161</v>
      </c>
      <c r="D405" s="3" t="s">
        <v>1162</v>
      </c>
      <c r="E405" s="5">
        <v>33000.0</v>
      </c>
      <c r="F405" s="3">
        <v>3.5527485E7</v>
      </c>
      <c r="G405" s="3">
        <v>3.516430542E9</v>
      </c>
      <c r="H405" s="3" t="s">
        <v>44</v>
      </c>
      <c r="I405" s="3" t="s">
        <v>28</v>
      </c>
      <c r="K405" s="3" t="s">
        <v>1132</v>
      </c>
      <c r="L405" s="3" t="s">
        <v>1136</v>
      </c>
      <c r="M405" s="3" t="s">
        <v>1134</v>
      </c>
      <c r="R405" s="7" t="str">
        <f>IF(H405="","",VLOOKUP(H405,'Hoja 9'!$A$1:$B$255,2,0))</f>
        <v>GIMNASIO</v>
      </c>
      <c r="S405" s="7">
        <f t="shared" si="1"/>
        <v>2023</v>
      </c>
      <c r="T405" s="7">
        <f t="shared" si="2"/>
        <v>12</v>
      </c>
    </row>
    <row r="406">
      <c r="A406" s="4">
        <v>45282.65570668981</v>
      </c>
      <c r="B406" s="3" t="s">
        <v>1034</v>
      </c>
      <c r="C406" s="3" t="s">
        <v>197</v>
      </c>
      <c r="D406" s="3" t="s">
        <v>1163</v>
      </c>
      <c r="E406" s="5">
        <v>24370.0</v>
      </c>
      <c r="F406" s="3">
        <v>1.8014611E7</v>
      </c>
      <c r="G406" s="3">
        <v>3.515477733E9</v>
      </c>
      <c r="H406" s="3" t="s">
        <v>21</v>
      </c>
      <c r="I406" s="3" t="s">
        <v>22</v>
      </c>
      <c r="K406" s="3" t="s">
        <v>1145</v>
      </c>
      <c r="O406" s="3" t="s">
        <v>58</v>
      </c>
      <c r="R406" s="7" t="str">
        <f>IF(H406="","",VLOOKUP(H406,'Hoja 9'!$A$1:$B$255,2,0))</f>
        <v>GOOGLE</v>
      </c>
      <c r="S406" s="7">
        <f t="shared" si="1"/>
        <v>2023</v>
      </c>
      <c r="T406" s="7">
        <f t="shared" si="2"/>
        <v>12</v>
      </c>
    </row>
    <row r="407">
      <c r="A407" s="4">
        <v>45286.73406859954</v>
      </c>
      <c r="B407" s="3" t="s">
        <v>1164</v>
      </c>
      <c r="C407" s="3" t="s">
        <v>1165</v>
      </c>
      <c r="D407" s="3" t="s">
        <v>1166</v>
      </c>
      <c r="E407" s="5">
        <v>28568.0</v>
      </c>
      <c r="F407" s="3">
        <v>2.6563502E7</v>
      </c>
      <c r="G407" s="3">
        <v>2.964410225E9</v>
      </c>
      <c r="H407" s="3" t="s">
        <v>244</v>
      </c>
      <c r="I407" s="3" t="s">
        <v>28</v>
      </c>
      <c r="K407" s="3" t="s">
        <v>1132</v>
      </c>
      <c r="L407" s="3" t="s">
        <v>1133</v>
      </c>
      <c r="M407" s="3" t="s">
        <v>1134</v>
      </c>
      <c r="R407" s="7" t="str">
        <f>IF(H407="","",VLOOKUP(H407,'Hoja 9'!$A$1:$B$255,2,0))</f>
        <v>META</v>
      </c>
      <c r="S407" s="7">
        <f t="shared" si="1"/>
        <v>2023</v>
      </c>
      <c r="T407" s="7">
        <f t="shared" si="2"/>
        <v>12</v>
      </c>
    </row>
    <row r="408">
      <c r="A408" s="4">
        <v>45286.845951400464</v>
      </c>
      <c r="B408" s="3" t="s">
        <v>1167</v>
      </c>
      <c r="C408" s="3" t="s">
        <v>738</v>
      </c>
      <c r="D408" s="3" t="s">
        <v>1168</v>
      </c>
      <c r="E408" s="5">
        <v>28511.0</v>
      </c>
      <c r="F408" s="3">
        <v>2.6413524E7</v>
      </c>
      <c r="G408" s="3">
        <v>3.515737919E9</v>
      </c>
      <c r="H408" s="3" t="s">
        <v>27</v>
      </c>
      <c r="I408" s="3" t="s">
        <v>28</v>
      </c>
      <c r="K408" s="3" t="s">
        <v>1132</v>
      </c>
      <c r="L408" s="3" t="s">
        <v>1169</v>
      </c>
      <c r="M408" s="3" t="s">
        <v>1134</v>
      </c>
      <c r="R408" s="7" t="str">
        <f>IF(H408="","",VLOOKUP(H408,'Hoja 9'!$A$1:$B$255,2,0))</f>
        <v>BOCA EN BOCA</v>
      </c>
      <c r="S408" s="7">
        <f t="shared" si="1"/>
        <v>2023</v>
      </c>
      <c r="T408" s="7">
        <f t="shared" si="2"/>
        <v>12</v>
      </c>
    </row>
    <row r="409">
      <c r="A409" s="4">
        <v>45287.80583668982</v>
      </c>
      <c r="B409" s="3" t="s">
        <v>1170</v>
      </c>
      <c r="C409" s="3" t="s">
        <v>1028</v>
      </c>
      <c r="D409" s="3" t="s">
        <v>1171</v>
      </c>
      <c r="E409" s="5">
        <v>27414.0</v>
      </c>
      <c r="F409" s="3">
        <v>2.436765E7</v>
      </c>
      <c r="G409" s="3">
        <v>3.512230904E9</v>
      </c>
      <c r="H409" s="3" t="s">
        <v>27</v>
      </c>
      <c r="I409" s="3" t="s">
        <v>22</v>
      </c>
      <c r="K409" s="3" t="s">
        <v>1132</v>
      </c>
      <c r="L409" s="3" t="s">
        <v>1172</v>
      </c>
      <c r="M409" s="3" t="s">
        <v>1134</v>
      </c>
      <c r="O409" s="3" t="s">
        <v>1173</v>
      </c>
      <c r="R409" s="7" t="str">
        <f>IF(H409="","",VLOOKUP(H409,'Hoja 9'!$A$1:$B$255,2,0))</f>
        <v>BOCA EN BOCA</v>
      </c>
      <c r="S409" s="7">
        <f t="shared" si="1"/>
        <v>2023</v>
      </c>
      <c r="T409" s="7">
        <f t="shared" si="2"/>
        <v>12</v>
      </c>
    </row>
    <row r="410">
      <c r="A410" s="4">
        <v>45287.814458946756</v>
      </c>
      <c r="B410" s="3" t="s">
        <v>1174</v>
      </c>
      <c r="C410" s="3" t="s">
        <v>1175</v>
      </c>
      <c r="E410" s="5">
        <v>37664.0</v>
      </c>
      <c r="F410" s="3">
        <v>4.4693986E7</v>
      </c>
      <c r="G410" s="3">
        <v>3.517963302E9</v>
      </c>
      <c r="H410" s="3" t="s">
        <v>27</v>
      </c>
      <c r="I410" s="3" t="s">
        <v>28</v>
      </c>
      <c r="K410" s="3" t="s">
        <v>1145</v>
      </c>
      <c r="R410" s="7" t="str">
        <f>IF(H410="","",VLOOKUP(H410,'Hoja 9'!$A$1:$B$255,2,0))</f>
        <v>BOCA EN BOCA</v>
      </c>
      <c r="S410" s="7">
        <f t="shared" si="1"/>
        <v>2023</v>
      </c>
      <c r="T410" s="7">
        <f t="shared" si="2"/>
        <v>12</v>
      </c>
    </row>
    <row r="411">
      <c r="A411" s="4">
        <v>45288.80051909722</v>
      </c>
      <c r="B411" s="3" t="s">
        <v>1176</v>
      </c>
      <c r="C411" s="3" t="s">
        <v>1177</v>
      </c>
      <c r="D411" s="3" t="s">
        <v>1178</v>
      </c>
      <c r="E411" s="5">
        <v>34998.0</v>
      </c>
      <c r="F411" s="3">
        <v>3.9303967E7</v>
      </c>
      <c r="G411" s="3">
        <v>3.512280313E9</v>
      </c>
      <c r="H411" s="3" t="s">
        <v>27</v>
      </c>
      <c r="I411" s="3" t="s">
        <v>22</v>
      </c>
      <c r="K411" s="3" t="s">
        <v>1132</v>
      </c>
      <c r="L411" s="3" t="s">
        <v>1179</v>
      </c>
      <c r="M411" s="3" t="s">
        <v>1137</v>
      </c>
      <c r="O411" s="3" t="s">
        <v>149</v>
      </c>
      <c r="R411" s="7" t="str">
        <f>IF(H411="","",VLOOKUP(H411,'Hoja 9'!$A$1:$B$255,2,0))</f>
        <v>BOCA EN BOCA</v>
      </c>
      <c r="S411" s="7">
        <f t="shared" si="1"/>
        <v>2023</v>
      </c>
      <c r="T411" s="7">
        <f t="shared" si="2"/>
        <v>12</v>
      </c>
    </row>
    <row r="412">
      <c r="A412" s="4">
        <v>45289.42234237268</v>
      </c>
      <c r="B412" s="3" t="s">
        <v>1180</v>
      </c>
      <c r="C412" s="3" t="s">
        <v>1181</v>
      </c>
      <c r="D412" s="3" t="s">
        <v>1182</v>
      </c>
      <c r="E412" s="5">
        <v>35220.0</v>
      </c>
      <c r="F412" s="3">
        <v>3.9621033E7</v>
      </c>
      <c r="G412" s="3">
        <v>3.513251452E9</v>
      </c>
      <c r="H412" s="3" t="s">
        <v>21</v>
      </c>
      <c r="I412" s="3" t="s">
        <v>22</v>
      </c>
      <c r="K412" s="3" t="s">
        <v>1132</v>
      </c>
      <c r="L412" s="3" t="s">
        <v>1133</v>
      </c>
      <c r="M412" s="3" t="s">
        <v>1134</v>
      </c>
      <c r="O412" s="3" t="s">
        <v>1183</v>
      </c>
      <c r="R412" s="7" t="str">
        <f>IF(H412="","",VLOOKUP(H412,'Hoja 9'!$A$1:$B$255,2,0))</f>
        <v>GOOGLE</v>
      </c>
      <c r="S412" s="7">
        <f t="shared" si="1"/>
        <v>2023</v>
      </c>
      <c r="T412" s="7">
        <f t="shared" si="2"/>
        <v>12</v>
      </c>
    </row>
    <row r="413">
      <c r="A413" s="4">
        <v>45293.53855298611</v>
      </c>
      <c r="B413" s="3" t="s">
        <v>1184</v>
      </c>
      <c r="C413" s="3" t="s">
        <v>738</v>
      </c>
      <c r="D413" s="3" t="s">
        <v>1185</v>
      </c>
      <c r="E413" s="5">
        <v>45284.0</v>
      </c>
      <c r="F413" s="3">
        <v>3.7327201E7</v>
      </c>
      <c r="G413" s="3">
        <v>3.7947007E9</v>
      </c>
      <c r="H413" s="3" t="s">
        <v>21</v>
      </c>
      <c r="I413" s="3" t="s">
        <v>22</v>
      </c>
      <c r="K413" s="3" t="s">
        <v>1132</v>
      </c>
      <c r="L413" s="3" t="s">
        <v>1133</v>
      </c>
      <c r="M413" s="3" t="s">
        <v>1134</v>
      </c>
      <c r="O413" s="3" t="s">
        <v>1186</v>
      </c>
      <c r="R413" s="7" t="str">
        <f>IF(H413="","",VLOOKUP(H413,'Hoja 9'!$A$1:$B$255,2,0))</f>
        <v>GOOGLE</v>
      </c>
      <c r="S413" s="7">
        <f t="shared" si="1"/>
        <v>2024</v>
      </c>
      <c r="T413" s="7">
        <f t="shared" si="2"/>
        <v>1</v>
      </c>
    </row>
    <row r="414">
      <c r="A414" s="4">
        <v>45293.72781002315</v>
      </c>
      <c r="B414" s="3" t="s">
        <v>1187</v>
      </c>
      <c r="C414" s="3" t="s">
        <v>1188</v>
      </c>
      <c r="D414" s="3" t="s">
        <v>1189</v>
      </c>
      <c r="E414" s="5">
        <v>26416.0</v>
      </c>
      <c r="F414" s="3">
        <v>2.2735149E7</v>
      </c>
      <c r="G414" s="3">
        <v>3.515076894E9</v>
      </c>
      <c r="H414" s="3" t="s">
        <v>27</v>
      </c>
      <c r="I414" s="3" t="s">
        <v>28</v>
      </c>
      <c r="K414" s="3" t="s">
        <v>1132</v>
      </c>
      <c r="L414" s="3" t="s">
        <v>1133</v>
      </c>
      <c r="M414" s="3" t="s">
        <v>1134</v>
      </c>
      <c r="R414" s="7" t="str">
        <f>IF(H414="","",VLOOKUP(H414,'Hoja 9'!$A$1:$B$255,2,0))</f>
        <v>BOCA EN BOCA</v>
      </c>
      <c r="S414" s="7">
        <f t="shared" si="1"/>
        <v>2024</v>
      </c>
      <c r="T414" s="7">
        <f t="shared" si="2"/>
        <v>1</v>
      </c>
    </row>
    <row r="415">
      <c r="A415" s="4">
        <v>45294.824859872686</v>
      </c>
      <c r="B415" s="3" t="s">
        <v>91</v>
      </c>
      <c r="C415" s="3" t="s">
        <v>1190</v>
      </c>
      <c r="D415" s="3" t="s">
        <v>1191</v>
      </c>
      <c r="E415" s="5">
        <v>24121.0</v>
      </c>
      <c r="F415" s="3">
        <v>1.7630051E7</v>
      </c>
      <c r="G415" s="3">
        <v>3.51227295E9</v>
      </c>
      <c r="H415" s="3" t="s">
        <v>27</v>
      </c>
      <c r="I415" s="3" t="s">
        <v>28</v>
      </c>
      <c r="K415" s="3" t="s">
        <v>1145</v>
      </c>
      <c r="R415" s="7" t="str">
        <f>IF(H415="","",VLOOKUP(H415,'Hoja 9'!$A$1:$B$255,2,0))</f>
        <v>BOCA EN BOCA</v>
      </c>
      <c r="S415" s="7">
        <f t="shared" si="1"/>
        <v>2024</v>
      </c>
      <c r="T415" s="7">
        <f t="shared" si="2"/>
        <v>1</v>
      </c>
    </row>
    <row r="416">
      <c r="A416" s="4">
        <v>45294.83741861111</v>
      </c>
      <c r="B416" s="3" t="s">
        <v>1192</v>
      </c>
      <c r="C416" s="3" t="s">
        <v>1193</v>
      </c>
      <c r="D416" s="3" t="s">
        <v>936</v>
      </c>
      <c r="E416" s="5">
        <v>40168.0</v>
      </c>
      <c r="F416" s="3">
        <v>4.995285E7</v>
      </c>
      <c r="G416" s="3">
        <v>3.516957798E9</v>
      </c>
      <c r="H416" s="3" t="s">
        <v>27</v>
      </c>
      <c r="I416" s="3" t="s">
        <v>22</v>
      </c>
      <c r="K416" s="3" t="s">
        <v>1132</v>
      </c>
      <c r="L416" s="3" t="s">
        <v>1194</v>
      </c>
      <c r="M416" s="3" t="s">
        <v>1134</v>
      </c>
      <c r="O416" s="3" t="s">
        <v>234</v>
      </c>
      <c r="R416" s="7" t="str">
        <f>IF(H416="","",VLOOKUP(H416,'Hoja 9'!$A$1:$B$255,2,0))</f>
        <v>BOCA EN BOCA</v>
      </c>
      <c r="S416" s="7">
        <f t="shared" si="1"/>
        <v>2024</v>
      </c>
      <c r="T416" s="7">
        <f t="shared" si="2"/>
        <v>1</v>
      </c>
    </row>
    <row r="417">
      <c r="A417" s="4">
        <v>45295.619352106485</v>
      </c>
      <c r="B417" s="3" t="s">
        <v>1195</v>
      </c>
      <c r="C417" s="3" t="s">
        <v>681</v>
      </c>
      <c r="D417" s="3" t="s">
        <v>1196</v>
      </c>
      <c r="E417" s="5">
        <v>37780.0</v>
      </c>
      <c r="F417" s="3">
        <v>4.4805287E7</v>
      </c>
      <c r="G417" s="3">
        <v>3.512286465E9</v>
      </c>
      <c r="H417" s="3" t="s">
        <v>27</v>
      </c>
      <c r="I417" s="3" t="s">
        <v>22</v>
      </c>
      <c r="K417" s="3" t="s">
        <v>1145</v>
      </c>
      <c r="O417" s="3" t="s">
        <v>72</v>
      </c>
      <c r="R417" s="7" t="str">
        <f>IF(H417="","",VLOOKUP(H417,'Hoja 9'!$A$1:$B$255,2,0))</f>
        <v>BOCA EN BOCA</v>
      </c>
      <c r="S417" s="7">
        <f t="shared" si="1"/>
        <v>2024</v>
      </c>
      <c r="T417" s="7">
        <f t="shared" si="2"/>
        <v>1</v>
      </c>
    </row>
    <row r="418">
      <c r="A418" s="4">
        <v>45296.548787569445</v>
      </c>
      <c r="B418" s="3" t="s">
        <v>1197</v>
      </c>
      <c r="C418" s="3" t="s">
        <v>1198</v>
      </c>
      <c r="D418" s="3" t="s">
        <v>1199</v>
      </c>
      <c r="E418" s="5">
        <v>34872.0</v>
      </c>
      <c r="F418" s="3">
        <v>3.9073185E7</v>
      </c>
      <c r="G418" s="3">
        <v>3.512033019E9</v>
      </c>
      <c r="H418" s="3" t="s">
        <v>21</v>
      </c>
      <c r="I418" s="3" t="s">
        <v>22</v>
      </c>
      <c r="K418" s="3" t="s">
        <v>1145</v>
      </c>
      <c r="O418" s="3" t="s">
        <v>149</v>
      </c>
      <c r="R418" s="7" t="str">
        <f>IF(H418="","",VLOOKUP(H418,'Hoja 9'!$A$1:$B$255,2,0))</f>
        <v>GOOGLE</v>
      </c>
      <c r="S418" s="7">
        <f t="shared" si="1"/>
        <v>2024</v>
      </c>
      <c r="T418" s="7">
        <f t="shared" si="2"/>
        <v>1</v>
      </c>
    </row>
    <row r="419">
      <c r="A419" s="4">
        <v>45299.40177258102</v>
      </c>
      <c r="B419" s="3" t="s">
        <v>1200</v>
      </c>
      <c r="C419" s="3" t="s">
        <v>833</v>
      </c>
      <c r="D419" s="3" t="s">
        <v>1201</v>
      </c>
      <c r="E419" s="5">
        <v>25157.0</v>
      </c>
      <c r="F419" s="3">
        <v>1.0</v>
      </c>
      <c r="G419" s="3">
        <v>3.516802585E9</v>
      </c>
      <c r="H419" s="3" t="s">
        <v>27</v>
      </c>
      <c r="I419" s="3" t="s">
        <v>28</v>
      </c>
      <c r="K419" s="3" t="s">
        <v>1145</v>
      </c>
      <c r="R419" s="7" t="str">
        <f>IF(H419="","",VLOOKUP(H419,'Hoja 9'!$A$1:$B$255,2,0))</f>
        <v>BOCA EN BOCA</v>
      </c>
      <c r="S419" s="7">
        <f t="shared" si="1"/>
        <v>2024</v>
      </c>
      <c r="T419" s="7">
        <f t="shared" si="2"/>
        <v>1</v>
      </c>
    </row>
    <row r="420">
      <c r="A420" s="4">
        <v>45299.73791914352</v>
      </c>
      <c r="B420" s="3" t="s">
        <v>1202</v>
      </c>
      <c r="C420" s="3" t="s">
        <v>521</v>
      </c>
      <c r="D420" s="3" t="s">
        <v>1203</v>
      </c>
      <c r="E420" s="5">
        <v>26065.0</v>
      </c>
      <c r="F420" s="3">
        <v>2.2220814E7</v>
      </c>
      <c r="G420" s="3">
        <v>3.513049933E9</v>
      </c>
      <c r="H420" s="3" t="s">
        <v>21</v>
      </c>
      <c r="I420" s="3" t="s">
        <v>22</v>
      </c>
      <c r="K420" s="3" t="s">
        <v>1132</v>
      </c>
      <c r="L420" s="3" t="s">
        <v>1136</v>
      </c>
      <c r="M420" s="3" t="s">
        <v>1134</v>
      </c>
      <c r="O420" s="3" t="s">
        <v>58</v>
      </c>
      <c r="R420" s="7" t="str">
        <f>IF(H420="","",VLOOKUP(H420,'Hoja 9'!$A$1:$B$255,2,0))</f>
        <v>GOOGLE</v>
      </c>
      <c r="S420" s="7">
        <f t="shared" si="1"/>
        <v>2024</v>
      </c>
      <c r="T420" s="7">
        <f t="shared" si="2"/>
        <v>1</v>
      </c>
    </row>
    <row r="421">
      <c r="A421" s="4">
        <v>45300.76130304398</v>
      </c>
      <c r="B421" s="3" t="s">
        <v>1204</v>
      </c>
      <c r="C421" s="3" t="s">
        <v>1205</v>
      </c>
      <c r="D421" s="3" t="s">
        <v>1206</v>
      </c>
      <c r="E421" s="5">
        <v>30239.0</v>
      </c>
      <c r="F421" s="3">
        <v>2.9713228E7</v>
      </c>
      <c r="G421" s="3">
        <v>3.513189627E9</v>
      </c>
      <c r="H421" s="3" t="s">
        <v>21</v>
      </c>
      <c r="I421" s="3" t="s">
        <v>22</v>
      </c>
      <c r="K421" s="3" t="s">
        <v>1132</v>
      </c>
      <c r="L421" s="3" t="s">
        <v>1133</v>
      </c>
      <c r="M421" s="3" t="s">
        <v>1137</v>
      </c>
      <c r="O421" s="3" t="s">
        <v>149</v>
      </c>
      <c r="R421" s="7" t="str">
        <f>IF(H421="","",VLOOKUP(H421,'Hoja 9'!$A$1:$B$255,2,0))</f>
        <v>GOOGLE</v>
      </c>
      <c r="S421" s="7">
        <f t="shared" si="1"/>
        <v>2024</v>
      </c>
      <c r="T421" s="7">
        <f t="shared" si="2"/>
        <v>1</v>
      </c>
    </row>
    <row r="422">
      <c r="A422" s="4">
        <v>45301.00795575231</v>
      </c>
      <c r="B422" s="3" t="s">
        <v>1207</v>
      </c>
      <c r="C422" s="3" t="s">
        <v>1208</v>
      </c>
      <c r="D422" s="3" t="s">
        <v>1209</v>
      </c>
      <c r="E422" s="5">
        <v>28856.0</v>
      </c>
      <c r="F422" s="3">
        <v>2.6244899E7</v>
      </c>
      <c r="G422" s="3">
        <v>3.516233665E9</v>
      </c>
      <c r="H422" s="3" t="s">
        <v>148</v>
      </c>
      <c r="I422" s="3" t="s">
        <v>22</v>
      </c>
      <c r="K422" s="3" t="s">
        <v>1145</v>
      </c>
      <c r="O422" s="3" t="s">
        <v>149</v>
      </c>
      <c r="R422" s="7" t="str">
        <f>IF(H422="","",VLOOKUP(H422,'Hoja 9'!$A$1:$B$255,2,0))</f>
        <v>OBRA SOCIAL</v>
      </c>
      <c r="S422" s="7">
        <f t="shared" si="1"/>
        <v>2024</v>
      </c>
      <c r="T422" s="7">
        <f t="shared" si="2"/>
        <v>1</v>
      </c>
    </row>
    <row r="423">
      <c r="A423" s="4">
        <v>45301.73787783565</v>
      </c>
      <c r="B423" s="3" t="s">
        <v>1210</v>
      </c>
      <c r="C423" s="3" t="s">
        <v>1211</v>
      </c>
      <c r="D423" s="3" t="s">
        <v>1212</v>
      </c>
      <c r="E423" s="5">
        <v>36980.0</v>
      </c>
      <c r="F423" s="3">
        <v>4.3134929E7</v>
      </c>
      <c r="G423" s="3">
        <v>3.51606885E9</v>
      </c>
      <c r="H423" s="3" t="s">
        <v>27</v>
      </c>
      <c r="I423" s="3" t="s">
        <v>28</v>
      </c>
      <c r="K423" s="3" t="s">
        <v>1132</v>
      </c>
      <c r="L423" s="3" t="s">
        <v>1136</v>
      </c>
      <c r="M423" s="3" t="s">
        <v>1213</v>
      </c>
      <c r="R423" s="7" t="str">
        <f>IF(H423="","",VLOOKUP(H423,'Hoja 9'!$A$1:$B$255,2,0))</f>
        <v>BOCA EN BOCA</v>
      </c>
      <c r="S423" s="7">
        <f t="shared" si="1"/>
        <v>2024</v>
      </c>
      <c r="T423" s="7">
        <f t="shared" si="2"/>
        <v>1</v>
      </c>
    </row>
    <row r="424">
      <c r="A424" s="4">
        <v>45301.78484310185</v>
      </c>
      <c r="B424" s="3" t="s">
        <v>1214</v>
      </c>
      <c r="C424" s="3" t="s">
        <v>46</v>
      </c>
      <c r="D424" s="3" t="s">
        <v>1215</v>
      </c>
      <c r="E424" s="5">
        <v>24859.0</v>
      </c>
      <c r="F424" s="3">
        <v>2.0073725E7</v>
      </c>
      <c r="G424" s="3">
        <v>3.515550823E9</v>
      </c>
      <c r="H424" s="3" t="s">
        <v>44</v>
      </c>
      <c r="I424" s="3" t="s">
        <v>22</v>
      </c>
      <c r="K424" s="3" t="s">
        <v>1132</v>
      </c>
      <c r="L424" s="3" t="s">
        <v>1133</v>
      </c>
      <c r="M424" s="3" t="s">
        <v>1134</v>
      </c>
      <c r="O424" s="3" t="s">
        <v>72</v>
      </c>
      <c r="R424" s="7" t="str">
        <f>IF(H424="","",VLOOKUP(H424,'Hoja 9'!$A$1:$B$255,2,0))</f>
        <v>GIMNASIO</v>
      </c>
      <c r="S424" s="7">
        <f t="shared" si="1"/>
        <v>2024</v>
      </c>
      <c r="T424" s="7">
        <f t="shared" si="2"/>
        <v>1</v>
      </c>
    </row>
    <row r="425">
      <c r="A425" s="4">
        <v>45302.71627256944</v>
      </c>
      <c r="B425" s="3" t="s">
        <v>360</v>
      </c>
      <c r="C425" s="3" t="s">
        <v>1216</v>
      </c>
      <c r="E425" s="5">
        <v>21588.0</v>
      </c>
      <c r="F425" s="3">
        <v>1.3107048E7</v>
      </c>
      <c r="G425" s="3">
        <v>3.515187279E9</v>
      </c>
      <c r="H425" s="3" t="s">
        <v>21</v>
      </c>
      <c r="I425" s="3" t="s">
        <v>28</v>
      </c>
      <c r="K425" s="3" t="s">
        <v>1145</v>
      </c>
      <c r="R425" s="7" t="str">
        <f>IF(H425="","",VLOOKUP(H425,'Hoja 9'!$A$1:$B$255,2,0))</f>
        <v>GOOGLE</v>
      </c>
      <c r="S425" s="7">
        <f t="shared" si="1"/>
        <v>2024</v>
      </c>
      <c r="T425" s="7">
        <f t="shared" si="2"/>
        <v>1</v>
      </c>
    </row>
    <row r="426">
      <c r="A426" s="4">
        <v>45305.65979409722</v>
      </c>
      <c r="B426" s="3" t="s">
        <v>1217</v>
      </c>
      <c r="C426" s="3" t="s">
        <v>1218</v>
      </c>
      <c r="D426" s="3" t="s">
        <v>1219</v>
      </c>
      <c r="E426" s="5">
        <v>26787.0</v>
      </c>
      <c r="F426" s="3">
        <v>2.3198306E7</v>
      </c>
      <c r="G426" s="3">
        <v>3.516263835E9</v>
      </c>
      <c r="H426" s="3" t="s">
        <v>148</v>
      </c>
      <c r="I426" s="3" t="s">
        <v>22</v>
      </c>
      <c r="K426" s="3" t="s">
        <v>1132</v>
      </c>
      <c r="L426" s="3" t="s">
        <v>1133</v>
      </c>
      <c r="M426" s="3" t="s">
        <v>1134</v>
      </c>
      <c r="O426" s="3" t="s">
        <v>1220</v>
      </c>
      <c r="R426" s="7" t="str">
        <f>IF(H426="","",VLOOKUP(H426,'Hoja 9'!$A$1:$B$255,2,0))</f>
        <v>OBRA SOCIAL</v>
      </c>
      <c r="S426" s="7">
        <f t="shared" si="1"/>
        <v>2024</v>
      </c>
      <c r="T426" s="7">
        <f t="shared" si="2"/>
        <v>1</v>
      </c>
    </row>
    <row r="427">
      <c r="A427" s="4">
        <v>45306.44546021991</v>
      </c>
      <c r="B427" s="3" t="s">
        <v>1221</v>
      </c>
      <c r="C427" s="3" t="s">
        <v>197</v>
      </c>
      <c r="D427" s="3" t="s">
        <v>1222</v>
      </c>
      <c r="E427" s="5">
        <v>21337.0</v>
      </c>
      <c r="F427" s="3">
        <v>1.2334673E7</v>
      </c>
      <c r="G427" s="3">
        <v>3.51539392E9</v>
      </c>
      <c r="H427" s="3" t="s">
        <v>27</v>
      </c>
      <c r="I427" s="3" t="s">
        <v>22</v>
      </c>
      <c r="K427" s="3" t="s">
        <v>1132</v>
      </c>
      <c r="L427" s="3" t="s">
        <v>1223</v>
      </c>
      <c r="M427" s="3" t="s">
        <v>1137</v>
      </c>
      <c r="O427" s="3" t="s">
        <v>23</v>
      </c>
      <c r="R427" s="7" t="str">
        <f>IF(H427="","",VLOOKUP(H427,'Hoja 9'!$A$1:$B$255,2,0))</f>
        <v>BOCA EN BOCA</v>
      </c>
      <c r="S427" s="7">
        <f t="shared" si="1"/>
        <v>2024</v>
      </c>
      <c r="T427" s="7">
        <f t="shared" si="2"/>
        <v>1</v>
      </c>
    </row>
    <row r="428">
      <c r="A428" s="4">
        <v>45306.834680740736</v>
      </c>
      <c r="B428" s="3" t="s">
        <v>1224</v>
      </c>
      <c r="C428" s="3" t="s">
        <v>1225</v>
      </c>
      <c r="D428" s="3" t="s">
        <v>1226</v>
      </c>
      <c r="E428" s="5">
        <v>23512.0</v>
      </c>
      <c r="F428" s="3">
        <v>6396741.0</v>
      </c>
      <c r="G428" s="3">
        <v>3.513587E9</v>
      </c>
      <c r="H428" s="3" t="s">
        <v>21</v>
      </c>
      <c r="I428" s="3" t="s">
        <v>22</v>
      </c>
      <c r="K428" s="3" t="s">
        <v>1145</v>
      </c>
      <c r="O428" s="3" t="s">
        <v>23</v>
      </c>
      <c r="R428" s="7" t="str">
        <f>IF(H428="","",VLOOKUP(H428,'Hoja 9'!$A$1:$B$255,2,0))</f>
        <v>GOOGLE</v>
      </c>
      <c r="S428" s="7">
        <f t="shared" si="1"/>
        <v>2024</v>
      </c>
      <c r="T428" s="7">
        <f t="shared" si="2"/>
        <v>1</v>
      </c>
    </row>
    <row r="429">
      <c r="A429" s="4">
        <v>45307.469567719905</v>
      </c>
      <c r="B429" s="3" t="s">
        <v>1227</v>
      </c>
      <c r="C429" s="3" t="s">
        <v>1228</v>
      </c>
      <c r="D429" s="3" t="s">
        <v>1229</v>
      </c>
      <c r="E429" s="5">
        <v>39638.0</v>
      </c>
      <c r="F429" s="3">
        <v>4.8069282E7</v>
      </c>
      <c r="G429" s="3">
        <v>3.512346796E9</v>
      </c>
      <c r="H429" s="3" t="s">
        <v>27</v>
      </c>
      <c r="I429" s="3" t="s">
        <v>22</v>
      </c>
      <c r="K429" s="3" t="s">
        <v>1145</v>
      </c>
      <c r="O429" s="3" t="s">
        <v>23</v>
      </c>
      <c r="R429" s="7" t="str">
        <f>IF(H429="","",VLOOKUP(H429,'Hoja 9'!$A$1:$B$255,2,0))</f>
        <v>BOCA EN BOCA</v>
      </c>
      <c r="S429" s="7">
        <f t="shared" si="1"/>
        <v>2024</v>
      </c>
      <c r="T429" s="7">
        <f t="shared" si="2"/>
        <v>1</v>
      </c>
    </row>
    <row r="430">
      <c r="A430" s="4">
        <v>45307.85797173611</v>
      </c>
      <c r="B430" s="3" t="s">
        <v>1230</v>
      </c>
      <c r="C430" s="3" t="s">
        <v>1231</v>
      </c>
      <c r="D430" s="3" t="s">
        <v>1232</v>
      </c>
      <c r="E430" s="5">
        <v>37749.0</v>
      </c>
      <c r="F430" s="3">
        <v>4.4762747E7</v>
      </c>
      <c r="G430" s="3">
        <v>3.513862586E9</v>
      </c>
      <c r="H430" s="3" t="s">
        <v>21</v>
      </c>
      <c r="I430" s="3" t="s">
        <v>28</v>
      </c>
      <c r="K430" s="3" t="s">
        <v>1132</v>
      </c>
      <c r="L430" s="3" t="s">
        <v>1133</v>
      </c>
      <c r="M430" s="3" t="s">
        <v>1134</v>
      </c>
      <c r="R430" s="7" t="str">
        <f>IF(H430="","",VLOOKUP(H430,'Hoja 9'!$A$1:$B$255,2,0))</f>
        <v>GOOGLE</v>
      </c>
      <c r="S430" s="7">
        <f t="shared" si="1"/>
        <v>2024</v>
      </c>
      <c r="T430" s="7">
        <f t="shared" si="2"/>
        <v>1</v>
      </c>
    </row>
    <row r="431">
      <c r="A431" s="4">
        <v>45309.47495736111</v>
      </c>
      <c r="B431" s="3" t="s">
        <v>1233</v>
      </c>
      <c r="C431" s="3" t="s">
        <v>500</v>
      </c>
      <c r="D431" s="3" t="s">
        <v>1234</v>
      </c>
      <c r="E431" s="5">
        <v>31192.0</v>
      </c>
      <c r="F431" s="3">
        <v>3.1646865E7</v>
      </c>
      <c r="G431" s="3">
        <v>3.515177638E9</v>
      </c>
      <c r="H431" s="3" t="s">
        <v>21</v>
      </c>
      <c r="I431" s="3" t="s">
        <v>28</v>
      </c>
      <c r="K431" s="3" t="s">
        <v>1145</v>
      </c>
      <c r="R431" s="7" t="str">
        <f>IF(H431="","",VLOOKUP(H431,'Hoja 9'!$A$1:$B$255,2,0))</f>
        <v>GOOGLE</v>
      </c>
      <c r="S431" s="7">
        <f t="shared" si="1"/>
        <v>2024</v>
      </c>
      <c r="T431" s="7">
        <f t="shared" si="2"/>
        <v>1</v>
      </c>
    </row>
    <row r="432">
      <c r="A432" s="4">
        <v>45309.50944620371</v>
      </c>
      <c r="B432" s="3" t="s">
        <v>468</v>
      </c>
      <c r="C432" s="3" t="s">
        <v>1235</v>
      </c>
      <c r="D432" s="3" t="s">
        <v>1236</v>
      </c>
      <c r="E432" s="5">
        <v>25397.0</v>
      </c>
      <c r="F432" s="3">
        <v>2.0785005E7</v>
      </c>
      <c r="G432" s="3">
        <v>3.518635433E9</v>
      </c>
      <c r="H432" s="3" t="s">
        <v>27</v>
      </c>
      <c r="I432" s="3" t="s">
        <v>22</v>
      </c>
      <c r="K432" s="3" t="s">
        <v>1145</v>
      </c>
      <c r="O432" s="3" t="s">
        <v>23</v>
      </c>
      <c r="R432" s="7" t="str">
        <f>IF(H432="","",VLOOKUP(H432,'Hoja 9'!$A$1:$B$255,2,0))</f>
        <v>BOCA EN BOCA</v>
      </c>
      <c r="S432" s="7">
        <f t="shared" si="1"/>
        <v>2024</v>
      </c>
      <c r="T432" s="7">
        <f t="shared" si="2"/>
        <v>1</v>
      </c>
    </row>
    <row r="433">
      <c r="A433" s="4">
        <v>45309.679371562495</v>
      </c>
      <c r="B433" s="3" t="s">
        <v>1237</v>
      </c>
      <c r="C433" s="3" t="s">
        <v>1238</v>
      </c>
      <c r="D433" s="3" t="s">
        <v>1239</v>
      </c>
      <c r="E433" s="5">
        <v>26446.0</v>
      </c>
      <c r="F433" s="3">
        <v>2.277361E7</v>
      </c>
      <c r="G433" s="3">
        <v>3.512590916E9</v>
      </c>
      <c r="H433" s="3" t="s">
        <v>44</v>
      </c>
      <c r="I433" s="3" t="s">
        <v>28</v>
      </c>
      <c r="K433" s="3" t="s">
        <v>1132</v>
      </c>
      <c r="L433" s="3" t="s">
        <v>1133</v>
      </c>
      <c r="M433" s="3" t="s">
        <v>1134</v>
      </c>
      <c r="R433" s="7" t="str">
        <f>IF(H433="","",VLOOKUP(H433,'Hoja 9'!$A$1:$B$255,2,0))</f>
        <v>GIMNASIO</v>
      </c>
      <c r="S433" s="7">
        <f t="shared" si="1"/>
        <v>2024</v>
      </c>
      <c r="T433" s="7">
        <f t="shared" si="2"/>
        <v>1</v>
      </c>
    </row>
    <row r="434">
      <c r="A434" s="4">
        <v>45309.690803969905</v>
      </c>
      <c r="B434" s="3" t="s">
        <v>1240</v>
      </c>
      <c r="C434" s="3" t="s">
        <v>1241</v>
      </c>
      <c r="D434" s="3" t="s">
        <v>1242</v>
      </c>
      <c r="E434" s="5">
        <v>34320.0</v>
      </c>
      <c r="F434" s="3">
        <v>3.8001676E7</v>
      </c>
      <c r="G434" s="3">
        <v>3.517691147E9</v>
      </c>
      <c r="H434" s="3" t="s">
        <v>27</v>
      </c>
      <c r="I434" s="3" t="s">
        <v>22</v>
      </c>
      <c r="K434" s="3" t="s">
        <v>1132</v>
      </c>
      <c r="L434" s="3" t="s">
        <v>1243</v>
      </c>
      <c r="M434" s="3" t="s">
        <v>1134</v>
      </c>
      <c r="O434" s="3" t="s">
        <v>58</v>
      </c>
      <c r="R434" s="7" t="str">
        <f>IF(H434="","",VLOOKUP(H434,'Hoja 9'!$A$1:$B$255,2,0))</f>
        <v>BOCA EN BOCA</v>
      </c>
      <c r="S434" s="7">
        <f t="shared" si="1"/>
        <v>2024</v>
      </c>
      <c r="T434" s="7">
        <f t="shared" si="2"/>
        <v>1</v>
      </c>
    </row>
    <row r="435">
      <c r="A435" s="4">
        <v>45310.44606854167</v>
      </c>
      <c r="B435" s="3" t="s">
        <v>1146</v>
      </c>
      <c r="C435" s="3" t="s">
        <v>1244</v>
      </c>
      <c r="D435" s="3" t="s">
        <v>1245</v>
      </c>
      <c r="E435" s="5">
        <v>22224.0</v>
      </c>
      <c r="F435" s="3">
        <v>1.429153E7</v>
      </c>
      <c r="G435" s="3">
        <v>3.517544794E9</v>
      </c>
      <c r="H435" s="3" t="s">
        <v>27</v>
      </c>
      <c r="I435" s="3" t="s">
        <v>22</v>
      </c>
      <c r="K435" s="3" t="s">
        <v>1145</v>
      </c>
      <c r="O435" s="3" t="s">
        <v>23</v>
      </c>
      <c r="R435" s="7" t="str">
        <f>IF(H435="","",VLOOKUP(H435,'Hoja 9'!$A$1:$B$255,2,0))</f>
        <v>BOCA EN BOCA</v>
      </c>
      <c r="S435" s="7">
        <f t="shared" si="1"/>
        <v>2024</v>
      </c>
      <c r="T435" s="7">
        <f t="shared" si="2"/>
        <v>1</v>
      </c>
    </row>
    <row r="436">
      <c r="A436" s="4">
        <v>45313.37989668982</v>
      </c>
      <c r="B436" s="3" t="s">
        <v>1246</v>
      </c>
      <c r="C436" s="3" t="s">
        <v>1247</v>
      </c>
      <c r="D436" s="3" t="s">
        <v>1248</v>
      </c>
      <c r="E436" s="5">
        <v>31659.0</v>
      </c>
      <c r="F436" s="3">
        <v>3.2492685E7</v>
      </c>
      <c r="G436" s="3">
        <v>3.515953559E9</v>
      </c>
      <c r="H436" s="3" t="s">
        <v>21</v>
      </c>
      <c r="I436" s="3" t="s">
        <v>22</v>
      </c>
      <c r="K436" s="3" t="s">
        <v>1132</v>
      </c>
      <c r="L436" s="3" t="s">
        <v>1133</v>
      </c>
      <c r="M436" s="3" t="s">
        <v>1134</v>
      </c>
      <c r="O436" s="3" t="s">
        <v>149</v>
      </c>
      <c r="R436" s="7" t="str">
        <f>IF(H436="","",VLOOKUP(H436,'Hoja 9'!$A$1:$B$255,2,0))</f>
        <v>GOOGLE</v>
      </c>
      <c r="S436" s="7">
        <f t="shared" si="1"/>
        <v>2024</v>
      </c>
      <c r="T436" s="7">
        <f t="shared" si="2"/>
        <v>1</v>
      </c>
    </row>
    <row r="437">
      <c r="A437" s="4">
        <v>45313.61768840278</v>
      </c>
      <c r="B437" s="3" t="s">
        <v>1249</v>
      </c>
      <c r="C437" s="3" t="s">
        <v>1250</v>
      </c>
      <c r="D437" s="3" t="s">
        <v>806</v>
      </c>
      <c r="E437" s="5">
        <v>34487.0</v>
      </c>
      <c r="F437" s="3">
        <v>9.6342866E7</v>
      </c>
      <c r="G437" s="3">
        <v>3.51864309E9</v>
      </c>
      <c r="H437" s="3" t="s">
        <v>1251</v>
      </c>
      <c r="I437" s="3" t="s">
        <v>28</v>
      </c>
      <c r="K437" s="3" t="s">
        <v>1145</v>
      </c>
      <c r="R437" s="7" t="str">
        <f>IF(H437="","",VLOOKUP(H437,'Hoja 9'!$A$1:$B$255,2,0))</f>
        <v>GIMNASIO</v>
      </c>
      <c r="S437" s="7">
        <f t="shared" si="1"/>
        <v>2024</v>
      </c>
      <c r="T437" s="7">
        <f t="shared" si="2"/>
        <v>1</v>
      </c>
    </row>
    <row r="438">
      <c r="A438" s="4">
        <v>45313.65241005787</v>
      </c>
      <c r="B438" s="3" t="s">
        <v>1252</v>
      </c>
      <c r="C438" s="3" t="s">
        <v>1253</v>
      </c>
      <c r="D438" s="3" t="s">
        <v>1254</v>
      </c>
      <c r="E438" s="5">
        <v>31063.0</v>
      </c>
      <c r="F438" s="3">
        <v>3.1355336E7</v>
      </c>
      <c r="G438" s="3">
        <v>3.512338865E9</v>
      </c>
      <c r="H438" s="3" t="s">
        <v>27</v>
      </c>
      <c r="I438" s="3" t="s">
        <v>22</v>
      </c>
      <c r="K438" s="3" t="s">
        <v>1132</v>
      </c>
      <c r="L438" s="3" t="s">
        <v>1133</v>
      </c>
      <c r="M438" s="3" t="s">
        <v>1134</v>
      </c>
      <c r="O438" s="3" t="s">
        <v>149</v>
      </c>
      <c r="R438" s="7" t="str">
        <f>IF(H438="","",VLOOKUP(H438,'Hoja 9'!$A$1:$B$255,2,0))</f>
        <v>BOCA EN BOCA</v>
      </c>
      <c r="S438" s="7">
        <f t="shared" si="1"/>
        <v>2024</v>
      </c>
      <c r="T438" s="7">
        <f t="shared" si="2"/>
        <v>1</v>
      </c>
    </row>
    <row r="439">
      <c r="A439" s="4">
        <v>45313.65465848379</v>
      </c>
      <c r="B439" s="3" t="s">
        <v>1255</v>
      </c>
      <c r="C439" s="3" t="s">
        <v>1256</v>
      </c>
      <c r="D439" s="3" t="s">
        <v>1257</v>
      </c>
      <c r="E439" s="5">
        <v>31177.0</v>
      </c>
      <c r="F439" s="3">
        <v>3.1277996E7</v>
      </c>
      <c r="G439" s="3">
        <v>3.517633277E9</v>
      </c>
      <c r="H439" s="3" t="s">
        <v>27</v>
      </c>
      <c r="I439" s="3" t="s">
        <v>22</v>
      </c>
      <c r="K439" s="3" t="s">
        <v>1145</v>
      </c>
      <c r="O439" s="3" t="s">
        <v>375</v>
      </c>
      <c r="R439" s="7" t="str">
        <f>IF(H439="","",VLOOKUP(H439,'Hoja 9'!$A$1:$B$255,2,0))</f>
        <v>BOCA EN BOCA</v>
      </c>
      <c r="S439" s="7">
        <f t="shared" si="1"/>
        <v>2024</v>
      </c>
      <c r="T439" s="7">
        <f t="shared" si="2"/>
        <v>1</v>
      </c>
    </row>
    <row r="440">
      <c r="A440" s="4">
        <v>45313.76663789352</v>
      </c>
      <c r="B440" s="3" t="s">
        <v>1258</v>
      </c>
      <c r="C440" s="3" t="s">
        <v>1259</v>
      </c>
      <c r="D440" s="3" t="s">
        <v>1260</v>
      </c>
      <c r="E440" s="5">
        <v>30826.0</v>
      </c>
      <c r="F440" s="3">
        <v>3.0969271E7</v>
      </c>
      <c r="G440" s="3">
        <v>3.455202012E9</v>
      </c>
      <c r="H440" s="3" t="s">
        <v>21</v>
      </c>
      <c r="I440" s="3" t="s">
        <v>28</v>
      </c>
      <c r="K440" s="3" t="s">
        <v>1145</v>
      </c>
      <c r="R440" s="7" t="str">
        <f>IF(H440="","",VLOOKUP(H440,'Hoja 9'!$A$1:$B$255,2,0))</f>
        <v>GOOGLE</v>
      </c>
      <c r="S440" s="7">
        <f t="shared" si="1"/>
        <v>2024</v>
      </c>
      <c r="T440" s="7">
        <f t="shared" si="2"/>
        <v>1</v>
      </c>
    </row>
    <row r="441">
      <c r="A441" s="4">
        <v>45314.73409060185</v>
      </c>
      <c r="B441" s="3" t="s">
        <v>1261</v>
      </c>
      <c r="C441" s="3" t="s">
        <v>710</v>
      </c>
      <c r="D441" s="3" t="s">
        <v>1262</v>
      </c>
      <c r="E441" s="5">
        <v>32772.0</v>
      </c>
      <c r="F441" s="3">
        <v>3.4838242E7</v>
      </c>
      <c r="G441" s="3">
        <v>3.512317248E9</v>
      </c>
      <c r="H441" s="3" t="s">
        <v>27</v>
      </c>
      <c r="I441" s="3" t="s">
        <v>28</v>
      </c>
      <c r="K441" s="3" t="s">
        <v>1145</v>
      </c>
      <c r="R441" s="7" t="str">
        <f>IF(H441="","",VLOOKUP(H441,'Hoja 9'!$A$1:$B$255,2,0))</f>
        <v>BOCA EN BOCA</v>
      </c>
      <c r="S441" s="7">
        <f t="shared" si="1"/>
        <v>2024</v>
      </c>
      <c r="T441" s="7">
        <f t="shared" si="2"/>
        <v>1</v>
      </c>
    </row>
    <row r="442">
      <c r="A442" s="4">
        <v>45316.51653923611</v>
      </c>
      <c r="B442" s="3" t="s">
        <v>1263</v>
      </c>
      <c r="C442" s="3" t="s">
        <v>1264</v>
      </c>
      <c r="D442" s="3" t="s">
        <v>1265</v>
      </c>
      <c r="E442" s="5">
        <v>32394.0</v>
      </c>
      <c r="F442" s="3">
        <v>3.3894618E7</v>
      </c>
      <c r="G442" s="3">
        <v>3.518029865E9</v>
      </c>
      <c r="H442" s="3" t="s">
        <v>44</v>
      </c>
      <c r="I442" s="3" t="s">
        <v>22</v>
      </c>
      <c r="K442" s="3" t="s">
        <v>1132</v>
      </c>
      <c r="L442" s="3" t="s">
        <v>1133</v>
      </c>
      <c r="M442" s="3" t="s">
        <v>1134</v>
      </c>
      <c r="O442" s="3" t="s">
        <v>23</v>
      </c>
      <c r="R442" s="7" t="str">
        <f>IF(H442="","",VLOOKUP(H442,'Hoja 9'!$A$1:$B$255,2,0))</f>
        <v>GIMNASIO</v>
      </c>
      <c r="S442" s="7">
        <f t="shared" si="1"/>
        <v>2024</v>
      </c>
      <c r="T442" s="7">
        <f t="shared" si="2"/>
        <v>1</v>
      </c>
    </row>
    <row r="443">
      <c r="A443" s="4">
        <v>45317.78057982639</v>
      </c>
      <c r="B443" s="3" t="s">
        <v>1266</v>
      </c>
      <c r="C443" s="3" t="s">
        <v>1190</v>
      </c>
      <c r="D443" s="3" t="s">
        <v>1267</v>
      </c>
      <c r="E443" s="5" t="s">
        <v>1268</v>
      </c>
      <c r="F443" s="3">
        <v>2.1627462E7</v>
      </c>
      <c r="G443" s="3">
        <v>3.513079243E9</v>
      </c>
      <c r="H443" s="3" t="s">
        <v>21</v>
      </c>
      <c r="I443" s="3" t="s">
        <v>22</v>
      </c>
      <c r="K443" s="3" t="s">
        <v>1145</v>
      </c>
      <c r="O443" s="3" t="s">
        <v>23</v>
      </c>
      <c r="R443" s="7" t="str">
        <f>IF(H443="","",VLOOKUP(H443,'Hoja 9'!$A$1:$B$255,2,0))</f>
        <v>GOOGLE</v>
      </c>
      <c r="S443" s="7">
        <f t="shared" si="1"/>
        <v>2024</v>
      </c>
      <c r="T443" s="7">
        <f t="shared" si="2"/>
        <v>1</v>
      </c>
    </row>
    <row r="444">
      <c r="A444" s="4">
        <v>45320.512618125</v>
      </c>
      <c r="B444" s="3" t="s">
        <v>1269</v>
      </c>
      <c r="C444" s="3" t="s">
        <v>1270</v>
      </c>
      <c r="D444" s="3" t="s">
        <v>1271</v>
      </c>
      <c r="E444" s="5">
        <v>21739.0</v>
      </c>
      <c r="F444" s="3">
        <v>1.3537849E7</v>
      </c>
      <c r="G444" s="3">
        <v>3.512949624E9</v>
      </c>
      <c r="H444" s="3" t="s">
        <v>244</v>
      </c>
      <c r="I444" s="3" t="s">
        <v>22</v>
      </c>
      <c r="K444" s="3" t="s">
        <v>1145</v>
      </c>
      <c r="O444" s="3" t="s">
        <v>23</v>
      </c>
      <c r="R444" s="7" t="str">
        <f>IF(H444="","",VLOOKUP(H444,'Hoja 9'!$A$1:$B$255,2,0))</f>
        <v>META</v>
      </c>
      <c r="S444" s="7">
        <f t="shared" si="1"/>
        <v>2024</v>
      </c>
      <c r="T444" s="7">
        <f t="shared" si="2"/>
        <v>1</v>
      </c>
    </row>
    <row r="445">
      <c r="A445" s="4">
        <v>45323.47071148148</v>
      </c>
      <c r="B445" s="3" t="s">
        <v>1272</v>
      </c>
      <c r="C445" s="3" t="s">
        <v>1273</v>
      </c>
      <c r="D445" s="3" t="s">
        <v>1274</v>
      </c>
      <c r="E445" s="5">
        <v>31331.0</v>
      </c>
      <c r="F445" s="3">
        <v>3.1868822E7</v>
      </c>
      <c r="G445" s="3">
        <v>3.512013979E9</v>
      </c>
      <c r="H445" s="3" t="s">
        <v>1275</v>
      </c>
      <c r="I445" s="3" t="s">
        <v>28</v>
      </c>
      <c r="K445" s="3" t="s">
        <v>1132</v>
      </c>
      <c r="L445" s="3" t="s">
        <v>1276</v>
      </c>
      <c r="M445" s="3" t="s">
        <v>1137</v>
      </c>
      <c r="R445" s="7" t="str">
        <f>IF(H445="","",VLOOKUP(H445,'Hoja 9'!$A$1:$B$255,2,0))</f>
        <v>BOCA EN BOCA</v>
      </c>
      <c r="S445" s="7">
        <f t="shared" si="1"/>
        <v>2024</v>
      </c>
      <c r="T445" s="7">
        <f t="shared" si="2"/>
        <v>2</v>
      </c>
    </row>
    <row r="446">
      <c r="A446" s="4">
        <v>45327.47261672454</v>
      </c>
      <c r="B446" s="3" t="s">
        <v>1277</v>
      </c>
      <c r="C446" s="3" t="s">
        <v>1278</v>
      </c>
      <c r="D446" s="3" t="s">
        <v>1279</v>
      </c>
      <c r="E446" s="5">
        <v>42094.0</v>
      </c>
      <c r="F446" s="3">
        <v>5.4578749E7</v>
      </c>
      <c r="G446" s="3">
        <v>3.541623935E9</v>
      </c>
      <c r="H446" s="3" t="s">
        <v>21</v>
      </c>
      <c r="I446" s="3" t="s">
        <v>22</v>
      </c>
      <c r="K446" s="3" t="s">
        <v>1132</v>
      </c>
      <c r="L446" s="3" t="s">
        <v>1136</v>
      </c>
      <c r="M446" s="3" t="s">
        <v>1134</v>
      </c>
      <c r="O446" s="3" t="s">
        <v>149</v>
      </c>
      <c r="R446" s="7" t="str">
        <f>IF(H446="","",VLOOKUP(H446,'Hoja 9'!$A$1:$B$255,2,0))</f>
        <v>GOOGLE</v>
      </c>
      <c r="S446" s="7">
        <f t="shared" si="1"/>
        <v>2024</v>
      </c>
      <c r="T446" s="7">
        <f t="shared" si="2"/>
        <v>2</v>
      </c>
    </row>
    <row r="447">
      <c r="A447" s="4">
        <v>45327.56292689814</v>
      </c>
      <c r="B447" s="3" t="s">
        <v>1280</v>
      </c>
      <c r="C447" s="3" t="s">
        <v>252</v>
      </c>
      <c r="D447" s="3" t="s">
        <v>1281</v>
      </c>
      <c r="E447" s="5">
        <v>37067.0</v>
      </c>
      <c r="F447" s="3">
        <v>4.3450276E7</v>
      </c>
      <c r="G447" s="3">
        <v>3.513935846E9</v>
      </c>
      <c r="H447" s="3" t="s">
        <v>148</v>
      </c>
      <c r="I447" s="3" t="s">
        <v>22</v>
      </c>
      <c r="K447" s="3" t="s">
        <v>1132</v>
      </c>
      <c r="L447" s="3" t="s">
        <v>1282</v>
      </c>
      <c r="M447" s="3" t="s">
        <v>1134</v>
      </c>
      <c r="O447" s="3" t="s">
        <v>1283</v>
      </c>
      <c r="R447" s="7" t="str">
        <f>IF(H447="","",VLOOKUP(H447,'Hoja 9'!$A$1:$B$255,2,0))</f>
        <v>OBRA SOCIAL</v>
      </c>
      <c r="S447" s="7">
        <f t="shared" si="1"/>
        <v>2024</v>
      </c>
      <c r="T447" s="7">
        <f t="shared" si="2"/>
        <v>2</v>
      </c>
    </row>
    <row r="448">
      <c r="A448" s="4">
        <v>45329.79928453703</v>
      </c>
      <c r="B448" s="3" t="s">
        <v>1284</v>
      </c>
      <c r="C448" s="3" t="s">
        <v>1285</v>
      </c>
      <c r="D448" s="3" t="s">
        <v>1286</v>
      </c>
      <c r="E448" s="5">
        <v>45571.0</v>
      </c>
      <c r="F448" s="3">
        <v>1.0682259E7</v>
      </c>
      <c r="G448" s="3">
        <v>3.516454969E9</v>
      </c>
      <c r="H448" s="3" t="s">
        <v>27</v>
      </c>
      <c r="I448" s="3" t="s">
        <v>28</v>
      </c>
      <c r="K448" s="3" t="s">
        <v>1132</v>
      </c>
      <c r="R448" s="7" t="str">
        <f>IF(H448="","",VLOOKUP(H448,'Hoja 9'!$A$1:$B$255,2,0))</f>
        <v>BOCA EN BOCA</v>
      </c>
      <c r="S448" s="7">
        <f t="shared" si="1"/>
        <v>2024</v>
      </c>
      <c r="T448" s="7">
        <f t="shared" si="2"/>
        <v>2</v>
      </c>
    </row>
    <row r="449">
      <c r="A449" s="4">
        <v>45330.827739375</v>
      </c>
      <c r="B449" s="3" t="s">
        <v>1287</v>
      </c>
      <c r="C449" s="3" t="s">
        <v>1288</v>
      </c>
      <c r="D449" s="3" t="s">
        <v>1289</v>
      </c>
      <c r="E449" s="5">
        <v>21285.0</v>
      </c>
      <c r="F449" s="3">
        <v>1.2365679E7</v>
      </c>
      <c r="G449" s="3">
        <v>3.516300421E9</v>
      </c>
      <c r="H449" s="3" t="s">
        <v>27</v>
      </c>
      <c r="I449" s="3" t="s">
        <v>22</v>
      </c>
      <c r="K449" s="3" t="s">
        <v>1132</v>
      </c>
      <c r="L449" s="3" t="s">
        <v>1290</v>
      </c>
      <c r="M449" s="3" t="s">
        <v>1213</v>
      </c>
      <c r="O449" s="3" t="s">
        <v>23</v>
      </c>
      <c r="R449" s="7" t="str">
        <f>IF(H449="","",VLOOKUP(H449,'Hoja 9'!$A$1:$B$255,2,0))</f>
        <v>BOCA EN BOCA</v>
      </c>
      <c r="S449" s="7">
        <f t="shared" si="1"/>
        <v>2024</v>
      </c>
      <c r="T449" s="7">
        <f t="shared" si="2"/>
        <v>2</v>
      </c>
    </row>
    <row r="450">
      <c r="A450" s="4">
        <v>45331.798146076384</v>
      </c>
      <c r="B450" s="3" t="s">
        <v>1291</v>
      </c>
      <c r="C450" s="3" t="s">
        <v>1292</v>
      </c>
      <c r="D450" s="3" t="s">
        <v>1293</v>
      </c>
      <c r="E450" s="5">
        <v>20420.0</v>
      </c>
      <c r="F450" s="3">
        <v>9.2503418E7</v>
      </c>
      <c r="G450" s="3">
        <v>3.515208163E9</v>
      </c>
      <c r="H450" s="3" t="s">
        <v>21</v>
      </c>
      <c r="I450" s="3" t="s">
        <v>28</v>
      </c>
      <c r="K450" s="3" t="s">
        <v>1132</v>
      </c>
      <c r="L450" s="3" t="s">
        <v>1294</v>
      </c>
      <c r="M450" s="3" t="s">
        <v>1134</v>
      </c>
      <c r="R450" s="7" t="str">
        <f>IF(H450="","",VLOOKUP(H450,'Hoja 9'!$A$1:$B$255,2,0))</f>
        <v>GOOGLE</v>
      </c>
      <c r="S450" s="7">
        <f t="shared" si="1"/>
        <v>2024</v>
      </c>
      <c r="T450" s="7">
        <f t="shared" si="2"/>
        <v>2</v>
      </c>
    </row>
    <row r="451">
      <c r="A451" s="4">
        <v>45336.45662745371</v>
      </c>
      <c r="B451" s="3" t="s">
        <v>1295</v>
      </c>
      <c r="C451" s="3" t="s">
        <v>1296</v>
      </c>
      <c r="D451" s="3" t="s">
        <v>1297</v>
      </c>
      <c r="E451" s="5">
        <v>36209.0</v>
      </c>
      <c r="F451" s="3">
        <v>9.6262307E7</v>
      </c>
      <c r="G451" s="3">
        <v>3.513100273E9</v>
      </c>
      <c r="H451" s="3" t="s">
        <v>148</v>
      </c>
      <c r="I451" s="3" t="s">
        <v>22</v>
      </c>
      <c r="K451" s="3" t="s">
        <v>1132</v>
      </c>
      <c r="L451" s="3" t="s">
        <v>1133</v>
      </c>
      <c r="M451" s="3" t="s">
        <v>1134</v>
      </c>
      <c r="O451" s="3" t="s">
        <v>149</v>
      </c>
      <c r="R451" s="7" t="str">
        <f>IF(H451="","",VLOOKUP(H451,'Hoja 9'!$A$1:$B$255,2,0))</f>
        <v>OBRA SOCIAL</v>
      </c>
      <c r="S451" s="7">
        <f t="shared" si="1"/>
        <v>2024</v>
      </c>
      <c r="T451" s="7">
        <f t="shared" si="2"/>
        <v>2</v>
      </c>
    </row>
    <row r="452">
      <c r="A452" s="4">
        <v>45336.4759221412</v>
      </c>
      <c r="B452" s="3" t="s">
        <v>1298</v>
      </c>
      <c r="C452" s="3" t="s">
        <v>449</v>
      </c>
      <c r="D452" s="3" t="s">
        <v>1299</v>
      </c>
      <c r="E452" s="5">
        <v>34355.0</v>
      </c>
      <c r="F452" s="3">
        <v>3.8002667E7</v>
      </c>
      <c r="G452" s="3">
        <v>3.517728306E9</v>
      </c>
      <c r="H452" s="3" t="s">
        <v>44</v>
      </c>
      <c r="I452" s="3" t="s">
        <v>22</v>
      </c>
      <c r="K452" s="3" t="s">
        <v>1132</v>
      </c>
      <c r="L452" s="3" t="s">
        <v>1300</v>
      </c>
      <c r="M452" s="3" t="s">
        <v>1134</v>
      </c>
      <c r="O452" s="3" t="s">
        <v>58</v>
      </c>
      <c r="R452" s="7" t="str">
        <f>IF(H452="","",VLOOKUP(H452,'Hoja 9'!$A$1:$B$255,2,0))</f>
        <v>GIMNASIO</v>
      </c>
      <c r="S452" s="7">
        <f t="shared" si="1"/>
        <v>2024</v>
      </c>
      <c r="T452" s="7">
        <f t="shared" si="2"/>
        <v>2</v>
      </c>
    </row>
    <row r="453">
      <c r="A453" s="4">
        <v>45341.41999699074</v>
      </c>
      <c r="B453" s="3" t="s">
        <v>1301</v>
      </c>
      <c r="C453" s="3" t="s">
        <v>1302</v>
      </c>
      <c r="D453" s="3" t="s">
        <v>1303</v>
      </c>
      <c r="E453" s="5">
        <v>35764.0</v>
      </c>
      <c r="F453" s="3">
        <v>4.0835987E7</v>
      </c>
      <c r="G453" s="3">
        <v>3.513525964E9</v>
      </c>
      <c r="H453" s="3" t="s">
        <v>244</v>
      </c>
      <c r="I453" s="3" t="s">
        <v>28</v>
      </c>
      <c r="K453" s="3" t="s">
        <v>1132</v>
      </c>
      <c r="L453" s="3" t="s">
        <v>1304</v>
      </c>
      <c r="M453" s="3" t="s">
        <v>1213</v>
      </c>
      <c r="R453" s="7" t="str">
        <f>IF(H453="","",VLOOKUP(H453,'Hoja 9'!$A$1:$B$255,2,0))</f>
        <v>META</v>
      </c>
      <c r="S453" s="7">
        <f t="shared" si="1"/>
        <v>2024</v>
      </c>
      <c r="T453" s="7">
        <f t="shared" si="2"/>
        <v>2</v>
      </c>
    </row>
    <row r="454">
      <c r="A454" s="4">
        <v>45341.747570625</v>
      </c>
      <c r="B454" s="3" t="s">
        <v>1305</v>
      </c>
      <c r="C454" s="3" t="s">
        <v>1306</v>
      </c>
      <c r="D454" s="3" t="s">
        <v>1307</v>
      </c>
      <c r="E454" s="5">
        <v>29293.0</v>
      </c>
      <c r="F454" s="3">
        <v>2.7957454E7</v>
      </c>
      <c r="G454" s="3">
        <v>3.516839702E9</v>
      </c>
      <c r="H454" s="3" t="s">
        <v>44</v>
      </c>
      <c r="I454" s="3" t="s">
        <v>28</v>
      </c>
      <c r="K454" s="3" t="s">
        <v>1132</v>
      </c>
      <c r="L454" s="3" t="s">
        <v>1133</v>
      </c>
      <c r="M454" s="3" t="s">
        <v>1134</v>
      </c>
      <c r="R454" s="7" t="str">
        <f>IF(H454="","",VLOOKUP(H454,'Hoja 9'!$A$1:$B$255,2,0))</f>
        <v>GIMNASIO</v>
      </c>
      <c r="S454" s="7">
        <f t="shared" si="1"/>
        <v>2024</v>
      </c>
      <c r="T454" s="7">
        <f t="shared" si="2"/>
        <v>2</v>
      </c>
    </row>
    <row r="455">
      <c r="A455" s="4">
        <v>45341.752969988425</v>
      </c>
      <c r="B455" s="3" t="s">
        <v>1308</v>
      </c>
      <c r="C455" s="3" t="s">
        <v>1309</v>
      </c>
      <c r="D455" s="3" t="s">
        <v>1310</v>
      </c>
      <c r="E455" s="5">
        <v>30340.0</v>
      </c>
      <c r="F455" s="3">
        <v>2.9659133E7</v>
      </c>
      <c r="G455" s="3">
        <v>3.516146528E9</v>
      </c>
      <c r="H455" s="3" t="s">
        <v>44</v>
      </c>
      <c r="I455" s="3" t="s">
        <v>22</v>
      </c>
      <c r="K455" s="3" t="s">
        <v>1132</v>
      </c>
      <c r="L455" s="3" t="s">
        <v>1133</v>
      </c>
      <c r="M455" s="3" t="s">
        <v>1134</v>
      </c>
      <c r="O455" s="3" t="s">
        <v>23</v>
      </c>
      <c r="R455" s="7" t="str">
        <f>IF(H455="","",VLOOKUP(H455,'Hoja 9'!$A$1:$B$255,2,0))</f>
        <v>GIMNASIO</v>
      </c>
      <c r="S455" s="7">
        <f t="shared" si="1"/>
        <v>2024</v>
      </c>
      <c r="T455" s="7">
        <f t="shared" si="2"/>
        <v>2</v>
      </c>
    </row>
    <row r="456">
      <c r="A456" s="4">
        <v>45341.79076251158</v>
      </c>
      <c r="B456" s="3" t="s">
        <v>1311</v>
      </c>
      <c r="C456" s="3" t="s">
        <v>1312</v>
      </c>
      <c r="D456" s="3" t="s">
        <v>1313</v>
      </c>
      <c r="E456" s="5">
        <v>35318.0</v>
      </c>
      <c r="F456" s="3">
        <v>3.9934307E7</v>
      </c>
      <c r="G456" s="3">
        <v>3.512090869E9</v>
      </c>
      <c r="H456" s="3" t="s">
        <v>21</v>
      </c>
      <c r="I456" s="3" t="s">
        <v>22</v>
      </c>
      <c r="K456" s="3" t="s">
        <v>1132</v>
      </c>
      <c r="L456" s="3" t="s">
        <v>1314</v>
      </c>
      <c r="M456" s="3" t="s">
        <v>1213</v>
      </c>
      <c r="O456" s="3" t="s">
        <v>359</v>
      </c>
      <c r="R456" s="7" t="str">
        <f>IF(H456="","",VLOOKUP(H456,'Hoja 9'!$A$1:$B$255,2,0))</f>
        <v>GOOGLE</v>
      </c>
      <c r="S456" s="7">
        <f t="shared" si="1"/>
        <v>2024</v>
      </c>
      <c r="T456" s="7">
        <f t="shared" si="2"/>
        <v>2</v>
      </c>
    </row>
    <row r="457">
      <c r="A457" s="4">
        <v>45343.81908935185</v>
      </c>
      <c r="B457" s="3" t="s">
        <v>1315</v>
      </c>
      <c r="C457" s="3" t="s">
        <v>1316</v>
      </c>
      <c r="D457" s="3" t="s">
        <v>1317</v>
      </c>
      <c r="E457" s="5">
        <v>24853.0</v>
      </c>
      <c r="F457" s="3">
        <v>2.0958988E7</v>
      </c>
      <c r="G457" s="3">
        <v>3.516688686E9</v>
      </c>
      <c r="H457" s="3" t="s">
        <v>44</v>
      </c>
      <c r="I457" s="3" t="s">
        <v>28</v>
      </c>
      <c r="L457" s="3" t="s">
        <v>1133</v>
      </c>
      <c r="M457" s="3" t="s">
        <v>1134</v>
      </c>
      <c r="R457" s="7" t="str">
        <f>IF(H457="","",VLOOKUP(H457,'Hoja 9'!$A$1:$B$255,2,0))</f>
        <v>GIMNASIO</v>
      </c>
      <c r="S457" s="7">
        <f t="shared" si="1"/>
        <v>2024</v>
      </c>
      <c r="T457" s="7">
        <f t="shared" si="2"/>
        <v>2</v>
      </c>
    </row>
    <row r="458">
      <c r="A458" s="4">
        <v>45344.83911202547</v>
      </c>
      <c r="B458" s="3" t="s">
        <v>1318</v>
      </c>
      <c r="C458" s="3" t="s">
        <v>1319</v>
      </c>
      <c r="D458" s="3" t="s">
        <v>1226</v>
      </c>
      <c r="E458" s="5">
        <v>45427.0</v>
      </c>
      <c r="F458" s="3">
        <v>6396741.0</v>
      </c>
      <c r="G458" s="3">
        <v>3.513587E9</v>
      </c>
      <c r="H458" s="3" t="s">
        <v>21</v>
      </c>
      <c r="I458" s="3" t="s">
        <v>22</v>
      </c>
      <c r="K458" s="3" t="s">
        <v>1145</v>
      </c>
      <c r="O458" s="3" t="s">
        <v>23</v>
      </c>
      <c r="R458" s="7" t="str">
        <f>IF(H458="","",VLOOKUP(H458,'Hoja 9'!$A$1:$B$255,2,0))</f>
        <v>GOOGLE</v>
      </c>
      <c r="S458" s="7">
        <f t="shared" si="1"/>
        <v>2024</v>
      </c>
      <c r="T458" s="7">
        <f t="shared" si="2"/>
        <v>2</v>
      </c>
    </row>
    <row r="459">
      <c r="A459" s="4">
        <v>45348.67382917824</v>
      </c>
      <c r="B459" s="3" t="s">
        <v>1320</v>
      </c>
      <c r="C459" s="3" t="s">
        <v>1321</v>
      </c>
      <c r="D459" s="3" t="s">
        <v>1322</v>
      </c>
      <c r="E459" s="5">
        <v>36614.0</v>
      </c>
      <c r="F459" s="3">
        <v>4.2474808E7</v>
      </c>
      <c r="G459" s="3">
        <v>3.515193313E9</v>
      </c>
      <c r="H459" s="3" t="s">
        <v>148</v>
      </c>
      <c r="I459" s="3" t="s">
        <v>22</v>
      </c>
      <c r="K459" s="3" t="s">
        <v>1145</v>
      </c>
      <c r="O459" s="3" t="s">
        <v>149</v>
      </c>
      <c r="R459" s="7" t="str">
        <f>IF(H459="","",VLOOKUP(H459,'Hoja 9'!$A$1:$B$255,2,0))</f>
        <v>OBRA SOCIAL</v>
      </c>
      <c r="S459" s="7">
        <f t="shared" si="1"/>
        <v>2024</v>
      </c>
      <c r="T459" s="7">
        <f t="shared" si="2"/>
        <v>2</v>
      </c>
    </row>
    <row r="460">
      <c r="A460" s="4">
        <v>45349.746880810184</v>
      </c>
      <c r="B460" s="3" t="s">
        <v>1323</v>
      </c>
      <c r="C460" s="3" t="s">
        <v>550</v>
      </c>
      <c r="D460" s="3" t="s">
        <v>1324</v>
      </c>
      <c r="E460" s="5">
        <v>24703.0</v>
      </c>
      <c r="F460" s="3">
        <v>1.8350328E7</v>
      </c>
      <c r="G460" s="3">
        <v>3.515607661E9</v>
      </c>
      <c r="H460" s="3" t="s">
        <v>27</v>
      </c>
      <c r="I460" s="3" t="s">
        <v>22</v>
      </c>
      <c r="K460" s="3" t="s">
        <v>1145</v>
      </c>
      <c r="O460" s="3" t="s">
        <v>287</v>
      </c>
      <c r="R460" s="7" t="str">
        <f>IF(H460="","",VLOOKUP(H460,'Hoja 9'!$A$1:$B$255,2,0))</f>
        <v>BOCA EN BOCA</v>
      </c>
      <c r="S460" s="7">
        <f t="shared" si="1"/>
        <v>2024</v>
      </c>
      <c r="T460" s="7">
        <f t="shared" si="2"/>
        <v>2</v>
      </c>
    </row>
    <row r="461">
      <c r="A461" s="4">
        <v>45349.787231168986</v>
      </c>
      <c r="B461" s="3" t="s">
        <v>424</v>
      </c>
      <c r="C461" s="3" t="s">
        <v>1325</v>
      </c>
      <c r="D461" s="3" t="s">
        <v>1326</v>
      </c>
      <c r="E461" s="5">
        <v>25491.0</v>
      </c>
      <c r="F461" s="3">
        <v>2.0997079E7</v>
      </c>
      <c r="G461" s="3">
        <v>3.513979501E9</v>
      </c>
      <c r="H461" s="3" t="s">
        <v>27</v>
      </c>
      <c r="I461" s="3" t="s">
        <v>22</v>
      </c>
      <c r="K461" s="3" t="s">
        <v>1132</v>
      </c>
      <c r="L461" s="3" t="s">
        <v>1136</v>
      </c>
      <c r="M461" s="3" t="s">
        <v>1137</v>
      </c>
      <c r="O461" s="3" t="s">
        <v>58</v>
      </c>
      <c r="R461" s="7" t="str">
        <f>IF(H461="","",VLOOKUP(H461,'Hoja 9'!$A$1:$B$255,2,0))</f>
        <v>BOCA EN BOCA</v>
      </c>
      <c r="S461" s="7">
        <f t="shared" si="1"/>
        <v>2024</v>
      </c>
      <c r="T461" s="7">
        <f t="shared" si="2"/>
        <v>2</v>
      </c>
    </row>
    <row r="462">
      <c r="A462" s="4">
        <v>45349.78786185185</v>
      </c>
      <c r="B462" s="3" t="s">
        <v>1327</v>
      </c>
      <c r="C462" s="3" t="s">
        <v>1074</v>
      </c>
      <c r="D462" s="3" t="s">
        <v>1328</v>
      </c>
      <c r="E462" s="5">
        <v>31528.0</v>
      </c>
      <c r="F462" s="3">
        <v>3.2240312E7</v>
      </c>
      <c r="G462" s="3">
        <v>3.512082142E9</v>
      </c>
      <c r="H462" s="3" t="s">
        <v>21</v>
      </c>
      <c r="I462" s="3" t="s">
        <v>22</v>
      </c>
      <c r="K462" s="3" t="s">
        <v>1132</v>
      </c>
      <c r="L462" s="3" t="s">
        <v>1329</v>
      </c>
      <c r="M462" s="3" t="s">
        <v>1134</v>
      </c>
      <c r="O462" s="3" t="s">
        <v>23</v>
      </c>
      <c r="R462" s="7" t="str">
        <f>IF(H462="","",VLOOKUP(H462,'Hoja 9'!$A$1:$B$255,2,0))</f>
        <v>GOOGLE</v>
      </c>
      <c r="S462" s="7">
        <f t="shared" si="1"/>
        <v>2024</v>
      </c>
      <c r="T462" s="7">
        <f t="shared" si="2"/>
        <v>2</v>
      </c>
    </row>
    <row r="463">
      <c r="A463" s="4">
        <v>45349.85532952547</v>
      </c>
      <c r="B463" s="3" t="s">
        <v>1330</v>
      </c>
      <c r="C463" s="3" t="s">
        <v>1054</v>
      </c>
      <c r="D463" s="3" t="s">
        <v>1331</v>
      </c>
      <c r="E463" s="5">
        <v>34903.0</v>
      </c>
      <c r="F463" s="3">
        <v>3.8882842E7</v>
      </c>
      <c r="G463" s="3">
        <v>3.512107843E9</v>
      </c>
      <c r="H463" s="3" t="s">
        <v>21</v>
      </c>
      <c r="I463" s="3" t="s">
        <v>28</v>
      </c>
      <c r="K463" s="3" t="s">
        <v>1132</v>
      </c>
      <c r="L463" s="3" t="s">
        <v>1332</v>
      </c>
      <c r="M463" s="3" t="s">
        <v>1137</v>
      </c>
      <c r="R463" s="7" t="str">
        <f>IF(H463="","",VLOOKUP(H463,'Hoja 9'!$A$1:$B$255,2,0))</f>
        <v>GOOGLE</v>
      </c>
      <c r="S463" s="7">
        <f t="shared" si="1"/>
        <v>2024</v>
      </c>
      <c r="T463" s="7">
        <f t="shared" si="2"/>
        <v>2</v>
      </c>
    </row>
    <row r="464">
      <c r="A464" s="4">
        <v>45352.770018877316</v>
      </c>
      <c r="B464" s="3" t="s">
        <v>1333</v>
      </c>
      <c r="C464" s="3" t="s">
        <v>1334</v>
      </c>
      <c r="D464" s="3" t="s">
        <v>1335</v>
      </c>
      <c r="E464" s="5">
        <v>32705.0</v>
      </c>
      <c r="F464" s="3">
        <v>3.4601816E7</v>
      </c>
      <c r="G464" s="3">
        <v>3.517049267E9</v>
      </c>
      <c r="H464" s="3" t="s">
        <v>148</v>
      </c>
      <c r="I464" s="3" t="s">
        <v>22</v>
      </c>
      <c r="K464" s="3" t="s">
        <v>1132</v>
      </c>
      <c r="L464" s="3" t="s">
        <v>1133</v>
      </c>
      <c r="M464" s="3" t="s">
        <v>1137</v>
      </c>
      <c r="O464" s="3" t="s">
        <v>149</v>
      </c>
      <c r="R464" s="7" t="str">
        <f>IF(H464="","",VLOOKUP(H464,'Hoja 9'!$A$1:$B$255,2,0))</f>
        <v>OBRA SOCIAL</v>
      </c>
      <c r="S464" s="7">
        <f t="shared" si="1"/>
        <v>2024</v>
      </c>
      <c r="T464" s="7">
        <f t="shared" si="2"/>
        <v>3</v>
      </c>
    </row>
    <row r="465">
      <c r="A465" s="4">
        <v>45353.61550743056</v>
      </c>
      <c r="B465" s="3" t="s">
        <v>1336</v>
      </c>
      <c r="C465" s="3" t="s">
        <v>1337</v>
      </c>
      <c r="D465" s="3" t="s">
        <v>1338</v>
      </c>
      <c r="E465" s="5">
        <v>34799.0</v>
      </c>
      <c r="F465" s="8">
        <v>3.8986452E7</v>
      </c>
      <c r="G465" s="3">
        <v>3.512051211E9</v>
      </c>
      <c r="H465" s="3" t="s">
        <v>27</v>
      </c>
      <c r="I465" s="3" t="s">
        <v>28</v>
      </c>
      <c r="K465" s="3" t="s">
        <v>1145</v>
      </c>
      <c r="R465" s="7" t="str">
        <f>IF(H465="","",VLOOKUP(H465,'Hoja 9'!$A$1:$B$255,2,0))</f>
        <v>BOCA EN BOCA</v>
      </c>
      <c r="S465" s="7">
        <f t="shared" si="1"/>
        <v>2024</v>
      </c>
      <c r="T465" s="7">
        <f t="shared" si="2"/>
        <v>3</v>
      </c>
    </row>
    <row r="466">
      <c r="A466" s="4">
        <v>45355.64735627315</v>
      </c>
      <c r="B466" s="3" t="s">
        <v>1339</v>
      </c>
      <c r="C466" s="3" t="s">
        <v>1340</v>
      </c>
      <c r="D466" s="3" t="s">
        <v>1341</v>
      </c>
      <c r="E466" s="5">
        <v>30022.0</v>
      </c>
      <c r="F466" s="3">
        <v>2.9474256E7</v>
      </c>
      <c r="G466" s="3">
        <v>3.512630652E9</v>
      </c>
      <c r="H466" s="3" t="s">
        <v>27</v>
      </c>
      <c r="I466" s="3" t="s">
        <v>22</v>
      </c>
      <c r="K466" s="3" t="s">
        <v>1132</v>
      </c>
      <c r="L466" s="3" t="s">
        <v>1133</v>
      </c>
      <c r="M466" s="3" t="s">
        <v>1134</v>
      </c>
      <c r="O466" s="3" t="s">
        <v>23</v>
      </c>
      <c r="R466" s="7" t="str">
        <f>IF(H466="","",VLOOKUP(H466,'Hoja 9'!$A$1:$B$255,2,0))</f>
        <v>BOCA EN BOCA</v>
      </c>
      <c r="S466" s="7">
        <f t="shared" si="1"/>
        <v>2024</v>
      </c>
      <c r="T466" s="7">
        <f t="shared" si="2"/>
        <v>3</v>
      </c>
    </row>
    <row r="467">
      <c r="A467" s="4">
        <v>45355.83773934028</v>
      </c>
      <c r="B467" s="3" t="s">
        <v>1342</v>
      </c>
      <c r="C467" s="3" t="s">
        <v>1343</v>
      </c>
      <c r="D467" s="3" t="s">
        <v>1344</v>
      </c>
      <c r="E467" s="5">
        <v>36801.0</v>
      </c>
      <c r="F467" s="3">
        <v>4.2856112E7</v>
      </c>
      <c r="G467" s="3">
        <v>3.512397685E9</v>
      </c>
      <c r="H467" s="3" t="s">
        <v>21</v>
      </c>
      <c r="I467" s="3" t="s">
        <v>28</v>
      </c>
      <c r="K467" s="3" t="s">
        <v>1132</v>
      </c>
      <c r="L467" s="3" t="s">
        <v>1345</v>
      </c>
      <c r="M467" s="3" t="s">
        <v>1134</v>
      </c>
      <c r="R467" s="7" t="str">
        <f>IF(H467="","",VLOOKUP(H467,'Hoja 9'!$A$1:$B$255,2,0))</f>
        <v>GOOGLE</v>
      </c>
      <c r="S467" s="7">
        <f t="shared" si="1"/>
        <v>2024</v>
      </c>
      <c r="T467" s="7">
        <f t="shared" si="2"/>
        <v>3</v>
      </c>
    </row>
    <row r="468">
      <c r="A468" s="4">
        <v>45356.73032891203</v>
      </c>
      <c r="B468" s="3" t="s">
        <v>1346</v>
      </c>
      <c r="C468" s="3" t="s">
        <v>469</v>
      </c>
      <c r="D468" s="3" t="s">
        <v>1347</v>
      </c>
      <c r="E468" s="5">
        <v>31027.0</v>
      </c>
      <c r="F468" s="3">
        <v>3.1219974E7</v>
      </c>
      <c r="G468" s="3">
        <v>3.512343275E9</v>
      </c>
      <c r="H468" s="3" t="s">
        <v>44</v>
      </c>
      <c r="I468" s="3" t="s">
        <v>22</v>
      </c>
      <c r="K468" s="3" t="s">
        <v>1145</v>
      </c>
      <c r="O468" s="3" t="s">
        <v>149</v>
      </c>
      <c r="R468" s="7" t="str">
        <f>IF(H468="","",VLOOKUP(H468,'Hoja 9'!$A$1:$B$255,2,0))</f>
        <v>GIMNASIO</v>
      </c>
      <c r="S468" s="7">
        <f t="shared" si="1"/>
        <v>2024</v>
      </c>
      <c r="T468" s="7">
        <f t="shared" si="2"/>
        <v>3</v>
      </c>
    </row>
    <row r="469">
      <c r="A469" s="4">
        <v>45356.73251288194</v>
      </c>
      <c r="B469" s="3" t="s">
        <v>1348</v>
      </c>
      <c r="C469" s="3" t="s">
        <v>185</v>
      </c>
      <c r="D469" s="3" t="s">
        <v>1349</v>
      </c>
      <c r="E469" s="5">
        <v>24942.0</v>
      </c>
      <c r="F469" s="3">
        <v>2.0345615E7</v>
      </c>
      <c r="G469" s="3">
        <v>3.513571392E9</v>
      </c>
      <c r="H469" s="3" t="s">
        <v>148</v>
      </c>
      <c r="I469" s="3" t="s">
        <v>22</v>
      </c>
      <c r="K469" s="3" t="s">
        <v>1132</v>
      </c>
      <c r="L469" s="3" t="s">
        <v>1136</v>
      </c>
      <c r="M469" s="3" t="s">
        <v>1137</v>
      </c>
      <c r="O469" s="3" t="s">
        <v>58</v>
      </c>
      <c r="R469" s="7" t="str">
        <f>IF(H469="","",VLOOKUP(H469,'Hoja 9'!$A$1:$B$255,2,0))</f>
        <v>OBRA SOCIAL</v>
      </c>
      <c r="S469" s="7">
        <f t="shared" si="1"/>
        <v>2024</v>
      </c>
      <c r="T469" s="7">
        <f t="shared" si="2"/>
        <v>3</v>
      </c>
    </row>
    <row r="470">
      <c r="A470" s="4">
        <v>45356.774114375</v>
      </c>
      <c r="B470" s="3" t="s">
        <v>1350</v>
      </c>
      <c r="C470" s="3" t="s">
        <v>1351</v>
      </c>
      <c r="D470" s="3" t="s">
        <v>1352</v>
      </c>
      <c r="E470" s="5">
        <v>30088.0</v>
      </c>
      <c r="F470" s="3">
        <v>2.947553E7</v>
      </c>
      <c r="G470" s="3">
        <v>3.512451017E9</v>
      </c>
      <c r="H470" s="3" t="s">
        <v>21</v>
      </c>
      <c r="I470" s="3" t="s">
        <v>22</v>
      </c>
      <c r="K470" s="3" t="s">
        <v>1132</v>
      </c>
      <c r="L470" s="3" t="s">
        <v>1353</v>
      </c>
      <c r="M470" s="3" t="s">
        <v>1134</v>
      </c>
      <c r="O470" s="3" t="s">
        <v>72</v>
      </c>
      <c r="R470" s="7" t="str">
        <f>IF(H470="","",VLOOKUP(H470,'Hoja 9'!$A$1:$B$255,2,0))</f>
        <v>GOOGLE</v>
      </c>
      <c r="S470" s="7">
        <f t="shared" si="1"/>
        <v>2024</v>
      </c>
      <c r="T470" s="7">
        <f t="shared" si="2"/>
        <v>3</v>
      </c>
    </row>
    <row r="471">
      <c r="A471" s="4">
        <v>45356.818228344906</v>
      </c>
      <c r="B471" s="3" t="s">
        <v>1354</v>
      </c>
      <c r="C471" s="3" t="s">
        <v>212</v>
      </c>
      <c r="D471" s="3" t="s">
        <v>1355</v>
      </c>
      <c r="E471" s="5">
        <v>36690.0</v>
      </c>
      <c r="F471" s="3">
        <v>4.2476418E7</v>
      </c>
      <c r="G471" s="3">
        <v>3.51262034E9</v>
      </c>
      <c r="H471" s="3" t="s">
        <v>27</v>
      </c>
      <c r="I471" s="3" t="s">
        <v>22</v>
      </c>
      <c r="K471" s="3" t="s">
        <v>1132</v>
      </c>
      <c r="L471" s="3" t="s">
        <v>1136</v>
      </c>
      <c r="M471" s="3" t="s">
        <v>1134</v>
      </c>
      <c r="O471" s="3" t="s">
        <v>58</v>
      </c>
      <c r="R471" s="7" t="str">
        <f>IF(H471="","",VLOOKUP(H471,'Hoja 9'!$A$1:$B$255,2,0))</f>
        <v>BOCA EN BOCA</v>
      </c>
      <c r="S471" s="7">
        <f t="shared" si="1"/>
        <v>2024</v>
      </c>
      <c r="T471" s="7">
        <f t="shared" si="2"/>
        <v>3</v>
      </c>
    </row>
    <row r="472">
      <c r="A472" s="4">
        <v>45356.85863295139</v>
      </c>
      <c r="B472" s="3" t="s">
        <v>1356</v>
      </c>
      <c r="C472" s="3" t="s">
        <v>1357</v>
      </c>
      <c r="D472" s="3" t="s">
        <v>1358</v>
      </c>
      <c r="E472" s="5">
        <v>30315.0</v>
      </c>
      <c r="F472" s="3">
        <v>2.9965517E7</v>
      </c>
      <c r="G472" s="3">
        <v>3.516991024E9</v>
      </c>
      <c r="H472" s="3" t="s">
        <v>27</v>
      </c>
      <c r="I472" s="3" t="s">
        <v>22</v>
      </c>
      <c r="K472" s="3" t="s">
        <v>1132</v>
      </c>
      <c r="L472" s="3" t="s">
        <v>1345</v>
      </c>
      <c r="M472" s="3" t="s">
        <v>1137</v>
      </c>
      <c r="O472" s="3" t="s">
        <v>58</v>
      </c>
      <c r="R472" s="7" t="str">
        <f>IF(H472="","",VLOOKUP(H472,'Hoja 9'!$A$1:$B$255,2,0))</f>
        <v>BOCA EN BOCA</v>
      </c>
      <c r="S472" s="7">
        <f t="shared" si="1"/>
        <v>2024</v>
      </c>
      <c r="T472" s="7">
        <f t="shared" si="2"/>
        <v>3</v>
      </c>
    </row>
    <row r="473">
      <c r="A473" s="4">
        <v>45357.44107314815</v>
      </c>
      <c r="B473" s="3" t="s">
        <v>1359</v>
      </c>
      <c r="C473" s="3" t="s">
        <v>133</v>
      </c>
      <c r="D473" s="3" t="s">
        <v>1360</v>
      </c>
      <c r="E473" s="5">
        <v>31870.0</v>
      </c>
      <c r="F473" s="3">
        <v>3.2926225E7</v>
      </c>
      <c r="G473" s="3">
        <v>3.513416296E9</v>
      </c>
      <c r="H473" s="3" t="s">
        <v>27</v>
      </c>
      <c r="I473" s="3" t="s">
        <v>28</v>
      </c>
      <c r="K473" s="3" t="s">
        <v>1132</v>
      </c>
      <c r="L473" s="3" t="s">
        <v>1361</v>
      </c>
      <c r="M473" s="3" t="s">
        <v>1134</v>
      </c>
      <c r="R473" s="7" t="str">
        <f>IF(H473="","",VLOOKUP(H473,'Hoja 9'!$A$1:$B$255,2,0))</f>
        <v>BOCA EN BOCA</v>
      </c>
      <c r="S473" s="7">
        <f t="shared" si="1"/>
        <v>2024</v>
      </c>
      <c r="T473" s="7">
        <f t="shared" si="2"/>
        <v>3</v>
      </c>
    </row>
    <row r="474">
      <c r="A474" s="4">
        <v>45357.80281675926</v>
      </c>
      <c r="B474" s="3" t="s">
        <v>1362</v>
      </c>
      <c r="C474" s="3" t="s">
        <v>844</v>
      </c>
      <c r="D474" s="3" t="s">
        <v>1363</v>
      </c>
      <c r="E474" s="5">
        <v>41500.0</v>
      </c>
      <c r="F474" s="3">
        <v>5.3098102E7</v>
      </c>
      <c r="G474" s="3">
        <v>3.512001589E9</v>
      </c>
      <c r="H474" s="3" t="s">
        <v>27</v>
      </c>
      <c r="I474" s="3" t="s">
        <v>28</v>
      </c>
      <c r="K474" s="3" t="s">
        <v>1132</v>
      </c>
      <c r="L474" s="3" t="s">
        <v>1136</v>
      </c>
      <c r="M474" s="3" t="s">
        <v>1134</v>
      </c>
      <c r="R474" s="7" t="str">
        <f>IF(H474="","",VLOOKUP(H474,'Hoja 9'!$A$1:$B$255,2,0))</f>
        <v>BOCA EN BOCA</v>
      </c>
      <c r="S474" s="7">
        <f t="shared" si="1"/>
        <v>2024</v>
      </c>
      <c r="T474" s="7">
        <f t="shared" si="2"/>
        <v>3</v>
      </c>
    </row>
    <row r="475">
      <c r="A475" s="4">
        <v>45357.80286606481</v>
      </c>
      <c r="B475" s="3" t="s">
        <v>1364</v>
      </c>
      <c r="C475" s="3" t="s">
        <v>1365</v>
      </c>
      <c r="D475" s="3" t="s">
        <v>1366</v>
      </c>
      <c r="E475" s="5">
        <v>29186.0</v>
      </c>
      <c r="F475" s="3">
        <v>2.7657503E7</v>
      </c>
      <c r="G475" s="3">
        <v>3.515304633E9</v>
      </c>
      <c r="H475" s="3" t="s">
        <v>21</v>
      </c>
      <c r="I475" s="3" t="s">
        <v>22</v>
      </c>
      <c r="K475" s="3" t="s">
        <v>1132</v>
      </c>
      <c r="L475" s="3" t="s">
        <v>1300</v>
      </c>
      <c r="M475" s="3" t="s">
        <v>1137</v>
      </c>
      <c r="O475" s="3" t="s">
        <v>58</v>
      </c>
      <c r="R475" s="7" t="str">
        <f>IF(H475="","",VLOOKUP(H475,'Hoja 9'!$A$1:$B$255,2,0))</f>
        <v>GOOGLE</v>
      </c>
      <c r="S475" s="7">
        <f t="shared" si="1"/>
        <v>2024</v>
      </c>
      <c r="T475" s="7">
        <f t="shared" si="2"/>
        <v>3</v>
      </c>
    </row>
    <row r="476">
      <c r="A476" s="4">
        <v>45362.799487592594</v>
      </c>
      <c r="B476" s="3" t="s">
        <v>988</v>
      </c>
      <c r="C476" s="3" t="s">
        <v>1069</v>
      </c>
      <c r="D476" s="3" t="s">
        <v>1367</v>
      </c>
      <c r="E476" s="5">
        <v>30929.0</v>
      </c>
      <c r="F476" s="3">
        <v>3.105639E7</v>
      </c>
      <c r="G476" s="3">
        <v>3.51595467E9</v>
      </c>
      <c r="H476" s="3" t="s">
        <v>44</v>
      </c>
      <c r="I476" s="3" t="s">
        <v>22</v>
      </c>
      <c r="K476" s="3" t="s">
        <v>1132</v>
      </c>
      <c r="L476" s="3" t="s">
        <v>1133</v>
      </c>
      <c r="M476" s="3" t="s">
        <v>1134</v>
      </c>
      <c r="O476" s="3" t="s">
        <v>287</v>
      </c>
      <c r="R476" s="7" t="str">
        <f>IF(H476="","",VLOOKUP(H476,'Hoja 9'!$A$1:$B$255,2,0))</f>
        <v>GIMNASIO</v>
      </c>
      <c r="S476" s="7">
        <f t="shared" si="1"/>
        <v>2024</v>
      </c>
      <c r="T476" s="7">
        <f t="shared" si="2"/>
        <v>3</v>
      </c>
    </row>
    <row r="477">
      <c r="A477" s="4">
        <v>45363.88733521991</v>
      </c>
      <c r="B477" s="3" t="s">
        <v>1368</v>
      </c>
      <c r="C477" s="3" t="s">
        <v>1369</v>
      </c>
      <c r="D477" s="3" t="s">
        <v>1370</v>
      </c>
      <c r="E477" s="5">
        <v>45389.0</v>
      </c>
      <c r="F477" s="3">
        <v>2.1358373E7</v>
      </c>
      <c r="G477" s="3">
        <v>3.512336451E9</v>
      </c>
      <c r="H477" s="3" t="s">
        <v>244</v>
      </c>
      <c r="I477" s="3" t="s">
        <v>22</v>
      </c>
      <c r="K477" s="3" t="s">
        <v>1132</v>
      </c>
      <c r="M477" s="3" t="s">
        <v>1137</v>
      </c>
      <c r="R477" s="7" t="str">
        <f>IF(H477="","",VLOOKUP(H477,'Hoja 9'!$A$1:$B$255,2,0))</f>
        <v>META</v>
      </c>
      <c r="S477" s="7">
        <f t="shared" si="1"/>
        <v>2024</v>
      </c>
      <c r="T477" s="7">
        <f t="shared" si="2"/>
        <v>3</v>
      </c>
    </row>
    <row r="478">
      <c r="A478" s="4">
        <v>45364.72559449074</v>
      </c>
      <c r="B478" s="3" t="s">
        <v>1371</v>
      </c>
      <c r="C478" s="3" t="s">
        <v>844</v>
      </c>
      <c r="D478" s="3" t="s">
        <v>1372</v>
      </c>
      <c r="E478" s="5">
        <v>39001.0</v>
      </c>
      <c r="F478" s="3">
        <v>4.7662391E7</v>
      </c>
      <c r="G478" s="3">
        <v>3.513053037E9</v>
      </c>
      <c r="H478" s="3" t="s">
        <v>44</v>
      </c>
      <c r="I478" s="3" t="s">
        <v>22</v>
      </c>
      <c r="K478" s="3" t="s">
        <v>1132</v>
      </c>
      <c r="L478" s="3" t="s">
        <v>1133</v>
      </c>
      <c r="M478" s="3" t="s">
        <v>1134</v>
      </c>
      <c r="O478" s="3" t="s">
        <v>957</v>
      </c>
      <c r="R478" s="7" t="str">
        <f>IF(H478="","",VLOOKUP(H478,'Hoja 9'!$A$1:$B$255,2,0))</f>
        <v>GIMNASIO</v>
      </c>
      <c r="S478" s="7">
        <f t="shared" si="1"/>
        <v>2024</v>
      </c>
      <c r="T478" s="7">
        <f t="shared" si="2"/>
        <v>3</v>
      </c>
    </row>
    <row r="479">
      <c r="A479" s="4">
        <v>45365.725842175925</v>
      </c>
      <c r="B479" s="3" t="s">
        <v>1373</v>
      </c>
      <c r="C479" s="3" t="s">
        <v>78</v>
      </c>
      <c r="D479" s="3" t="s">
        <v>1374</v>
      </c>
      <c r="E479" s="5">
        <v>32059.0</v>
      </c>
      <c r="F479" s="3">
        <v>3.6373419E7</v>
      </c>
      <c r="G479" s="3">
        <v>3.51625802E9</v>
      </c>
      <c r="H479" s="3" t="s">
        <v>244</v>
      </c>
      <c r="I479" s="3" t="s">
        <v>22</v>
      </c>
      <c r="K479" s="3" t="s">
        <v>1132</v>
      </c>
      <c r="L479" s="3" t="s">
        <v>1375</v>
      </c>
      <c r="M479" s="3" t="s">
        <v>1134</v>
      </c>
      <c r="O479" s="3" t="s">
        <v>1376</v>
      </c>
      <c r="R479" s="7" t="str">
        <f>IF(H479="","",VLOOKUP(H479,'Hoja 9'!$A$1:$B$255,2,0))</f>
        <v>META</v>
      </c>
      <c r="S479" s="7">
        <f t="shared" si="1"/>
        <v>2024</v>
      </c>
      <c r="T479" s="7">
        <f t="shared" si="2"/>
        <v>3</v>
      </c>
    </row>
    <row r="480">
      <c r="A480" s="4">
        <v>45365.887768506946</v>
      </c>
      <c r="B480" s="3" t="s">
        <v>1377</v>
      </c>
      <c r="C480" s="3" t="s">
        <v>1378</v>
      </c>
      <c r="D480" s="3" t="s">
        <v>1379</v>
      </c>
      <c r="E480" s="5">
        <v>33626.0</v>
      </c>
      <c r="F480" s="3">
        <v>3.6147091E7</v>
      </c>
      <c r="G480" s="3">
        <v>3.518588248E9</v>
      </c>
      <c r="H480" s="3" t="s">
        <v>27</v>
      </c>
      <c r="I480" s="3" t="s">
        <v>28</v>
      </c>
      <c r="K480" s="3" t="s">
        <v>1145</v>
      </c>
      <c r="R480" s="7" t="str">
        <f>IF(H480="","",VLOOKUP(H480,'Hoja 9'!$A$1:$B$255,2,0))</f>
        <v>BOCA EN BOCA</v>
      </c>
      <c r="S480" s="7">
        <f t="shared" si="1"/>
        <v>2024</v>
      </c>
      <c r="T480" s="7">
        <f t="shared" si="2"/>
        <v>3</v>
      </c>
    </row>
    <row r="481">
      <c r="A481" s="4">
        <v>45366.390075347226</v>
      </c>
      <c r="B481" s="3" t="s">
        <v>107</v>
      </c>
      <c r="C481" s="3" t="s">
        <v>1380</v>
      </c>
      <c r="D481" s="3" t="s">
        <v>1381</v>
      </c>
      <c r="E481" s="5">
        <v>36690.0</v>
      </c>
      <c r="F481" s="3">
        <v>4.2693311E7</v>
      </c>
      <c r="G481" s="3">
        <v>3.512091753E9</v>
      </c>
      <c r="H481" s="3" t="s">
        <v>244</v>
      </c>
      <c r="I481" s="3" t="s">
        <v>22</v>
      </c>
      <c r="K481" s="3" t="s">
        <v>1132</v>
      </c>
      <c r="L481" s="3" t="s">
        <v>1382</v>
      </c>
      <c r="M481" s="3" t="s">
        <v>1134</v>
      </c>
      <c r="O481" s="3" t="s">
        <v>291</v>
      </c>
      <c r="R481" s="7" t="str">
        <f>IF(H481="","",VLOOKUP(H481,'Hoja 9'!$A$1:$B$255,2,0))</f>
        <v>META</v>
      </c>
      <c r="S481" s="7">
        <f t="shared" si="1"/>
        <v>2024</v>
      </c>
      <c r="T481" s="7">
        <f t="shared" si="2"/>
        <v>3</v>
      </c>
    </row>
    <row r="482">
      <c r="A482" s="4">
        <v>45369.27559395833</v>
      </c>
      <c r="B482" s="3" t="s">
        <v>1383</v>
      </c>
      <c r="C482" s="3" t="s">
        <v>436</v>
      </c>
      <c r="D482" s="3" t="s">
        <v>1384</v>
      </c>
      <c r="E482" s="5">
        <v>19900.0</v>
      </c>
      <c r="F482" s="3">
        <v>1.10556E7</v>
      </c>
      <c r="G482" s="3">
        <v>3.516569411E9</v>
      </c>
      <c r="H482" s="3" t="s">
        <v>27</v>
      </c>
      <c r="I482" s="3" t="s">
        <v>28</v>
      </c>
      <c r="K482" s="3" t="s">
        <v>1145</v>
      </c>
      <c r="R482" s="7" t="str">
        <f>IF(H482="","",VLOOKUP(H482,'Hoja 9'!$A$1:$B$255,2,0))</f>
        <v>BOCA EN BOCA</v>
      </c>
      <c r="S482" s="7">
        <f t="shared" si="1"/>
        <v>2024</v>
      </c>
      <c r="T482" s="7">
        <f t="shared" si="2"/>
        <v>3</v>
      </c>
    </row>
    <row r="483">
      <c r="A483" s="4">
        <v>45369.427487685185</v>
      </c>
      <c r="B483" s="3" t="s">
        <v>1385</v>
      </c>
      <c r="C483" s="3" t="s">
        <v>1386</v>
      </c>
      <c r="D483" s="3" t="s">
        <v>1387</v>
      </c>
      <c r="E483" s="5">
        <v>17482.0</v>
      </c>
      <c r="F483" s="3">
        <v>7959048.0</v>
      </c>
      <c r="G483" s="3">
        <v>1.152483323E9</v>
      </c>
      <c r="H483" s="3" t="s">
        <v>27</v>
      </c>
      <c r="I483" s="3" t="s">
        <v>28</v>
      </c>
      <c r="K483" s="3" t="s">
        <v>1145</v>
      </c>
      <c r="R483" s="7" t="str">
        <f>IF(H483="","",VLOOKUP(H483,'Hoja 9'!$A$1:$B$255,2,0))</f>
        <v>BOCA EN BOCA</v>
      </c>
      <c r="S483" s="7">
        <f t="shared" si="1"/>
        <v>2024</v>
      </c>
      <c r="T483" s="7">
        <f t="shared" si="2"/>
        <v>3</v>
      </c>
    </row>
    <row r="484">
      <c r="A484" s="4">
        <v>45369.730268263884</v>
      </c>
      <c r="B484" s="3" t="s">
        <v>340</v>
      </c>
      <c r="C484" s="3" t="s">
        <v>1388</v>
      </c>
      <c r="D484" s="3" t="s">
        <v>1389</v>
      </c>
      <c r="E484" s="5">
        <v>29645.0</v>
      </c>
      <c r="F484" s="3">
        <v>2.865265E7</v>
      </c>
      <c r="G484" s="3">
        <v>3.517607935E9</v>
      </c>
      <c r="H484" s="3" t="s">
        <v>148</v>
      </c>
      <c r="I484" s="3" t="s">
        <v>22</v>
      </c>
      <c r="K484" s="3" t="s">
        <v>1145</v>
      </c>
      <c r="O484" s="3" t="s">
        <v>149</v>
      </c>
      <c r="R484" s="7" t="str">
        <f>IF(H484="","",VLOOKUP(H484,'Hoja 9'!$A$1:$B$255,2,0))</f>
        <v>OBRA SOCIAL</v>
      </c>
      <c r="S484" s="7">
        <f t="shared" si="1"/>
        <v>2024</v>
      </c>
      <c r="T484" s="7">
        <f t="shared" si="2"/>
        <v>3</v>
      </c>
    </row>
    <row r="485">
      <c r="A485" s="4">
        <v>45369.789111562495</v>
      </c>
      <c r="B485" s="3" t="s">
        <v>1390</v>
      </c>
      <c r="C485" s="3" t="s">
        <v>1391</v>
      </c>
      <c r="D485" s="3" t="s">
        <v>1392</v>
      </c>
      <c r="E485" s="5">
        <v>45369.0</v>
      </c>
      <c r="F485" s="3">
        <v>2.4246949E7</v>
      </c>
      <c r="G485" s="3">
        <v>3.514033772E9</v>
      </c>
      <c r="H485" s="3" t="s">
        <v>44</v>
      </c>
      <c r="I485" s="3" t="s">
        <v>22</v>
      </c>
      <c r="K485" s="3" t="s">
        <v>1132</v>
      </c>
      <c r="L485" s="3" t="s">
        <v>1393</v>
      </c>
      <c r="M485" s="3" t="s">
        <v>1213</v>
      </c>
      <c r="O485" s="3" t="s">
        <v>149</v>
      </c>
      <c r="R485" s="7" t="str">
        <f>IF(H485="","",VLOOKUP(H485,'Hoja 9'!$A$1:$B$255,2,0))</f>
        <v>GIMNASIO</v>
      </c>
      <c r="S485" s="7">
        <f t="shared" si="1"/>
        <v>2024</v>
      </c>
      <c r="T485" s="7">
        <f t="shared" si="2"/>
        <v>3</v>
      </c>
    </row>
    <row r="486">
      <c r="A486" s="4">
        <v>45370.448256944444</v>
      </c>
      <c r="B486" s="3" t="s">
        <v>1394</v>
      </c>
      <c r="C486" s="3" t="s">
        <v>1395</v>
      </c>
      <c r="D486" s="3" t="s">
        <v>1396</v>
      </c>
      <c r="E486" s="5">
        <v>32363.0</v>
      </c>
      <c r="F486" s="3">
        <v>3.3831512E7</v>
      </c>
      <c r="G486" s="3">
        <v>3.516187533E9</v>
      </c>
      <c r="H486" s="3" t="s">
        <v>21</v>
      </c>
      <c r="I486" s="3" t="s">
        <v>28</v>
      </c>
      <c r="K486" s="3" t="s">
        <v>1145</v>
      </c>
      <c r="R486" s="7" t="str">
        <f>IF(H486="","",VLOOKUP(H486,'Hoja 9'!$A$1:$B$255,2,0))</f>
        <v>GOOGLE</v>
      </c>
      <c r="S486" s="7">
        <f t="shared" si="1"/>
        <v>2024</v>
      </c>
      <c r="T486" s="7">
        <f t="shared" si="2"/>
        <v>3</v>
      </c>
    </row>
    <row r="487">
      <c r="A487" s="4">
        <v>45370.803699537035</v>
      </c>
      <c r="B487" s="3" t="s">
        <v>1397</v>
      </c>
      <c r="C487" s="3" t="s">
        <v>521</v>
      </c>
      <c r="D487" s="3" t="s">
        <v>1398</v>
      </c>
      <c r="E487" s="5">
        <v>27239.0</v>
      </c>
      <c r="F487" s="3">
        <v>2.4016593E7</v>
      </c>
      <c r="G487" s="3">
        <v>3.513326266E9</v>
      </c>
      <c r="H487" s="3" t="s">
        <v>44</v>
      </c>
      <c r="I487" s="3" t="s">
        <v>22</v>
      </c>
      <c r="K487" s="3" t="s">
        <v>1132</v>
      </c>
      <c r="L487" s="3" t="s">
        <v>1133</v>
      </c>
      <c r="M487" s="3" t="s">
        <v>1134</v>
      </c>
      <c r="O487" s="3" t="s">
        <v>23</v>
      </c>
      <c r="R487" s="7" t="str">
        <f>IF(H487="","",VLOOKUP(H487,'Hoja 9'!$A$1:$B$255,2,0))</f>
        <v>GIMNASIO</v>
      </c>
      <c r="S487" s="7">
        <f t="shared" si="1"/>
        <v>2024</v>
      </c>
      <c r="T487" s="7">
        <f t="shared" si="2"/>
        <v>3</v>
      </c>
    </row>
    <row r="488">
      <c r="A488" s="4">
        <v>45370.81938248842</v>
      </c>
      <c r="B488" s="3" t="s">
        <v>1399</v>
      </c>
      <c r="C488" s="3" t="s">
        <v>778</v>
      </c>
      <c r="D488" s="3" t="s">
        <v>1400</v>
      </c>
      <c r="E488" s="5">
        <v>38799.0</v>
      </c>
      <c r="F488" s="3">
        <v>4.6588782E7</v>
      </c>
      <c r="G488" s="3">
        <v>3.512035054E9</v>
      </c>
      <c r="H488" s="3" t="s">
        <v>44</v>
      </c>
      <c r="I488" s="3" t="s">
        <v>22</v>
      </c>
      <c r="K488" s="3" t="s">
        <v>1132</v>
      </c>
      <c r="L488" s="3" t="s">
        <v>1401</v>
      </c>
      <c r="M488" s="3" t="s">
        <v>1134</v>
      </c>
      <c r="O488" s="3" t="s">
        <v>957</v>
      </c>
      <c r="R488" s="7" t="str">
        <f>IF(H488="","",VLOOKUP(H488,'Hoja 9'!$A$1:$B$255,2,0))</f>
        <v>GIMNASIO</v>
      </c>
      <c r="S488" s="7">
        <f t="shared" si="1"/>
        <v>2024</v>
      </c>
      <c r="T488" s="7">
        <f t="shared" si="2"/>
        <v>3</v>
      </c>
    </row>
    <row r="489">
      <c r="A489" s="4">
        <v>45371.817037581015</v>
      </c>
      <c r="B489" s="3" t="s">
        <v>523</v>
      </c>
      <c r="C489" s="3" t="s">
        <v>1402</v>
      </c>
      <c r="D489" s="3" t="s">
        <v>1403</v>
      </c>
      <c r="E489" s="5">
        <v>36975.0</v>
      </c>
      <c r="F489" s="3">
        <v>4.3271796E7</v>
      </c>
      <c r="G489" s="3">
        <v>3.518650307E9</v>
      </c>
      <c r="H489" s="3" t="s">
        <v>244</v>
      </c>
      <c r="I489" s="3" t="s">
        <v>28</v>
      </c>
      <c r="K489" s="3" t="s">
        <v>1132</v>
      </c>
      <c r="L489" s="3" t="s">
        <v>1404</v>
      </c>
      <c r="M489" s="3" t="s">
        <v>1134</v>
      </c>
      <c r="R489" s="7" t="str">
        <f>IF(H489="","",VLOOKUP(H489,'Hoja 9'!$A$1:$B$255,2,0))</f>
        <v>META</v>
      </c>
      <c r="S489" s="7">
        <f t="shared" si="1"/>
        <v>2024</v>
      </c>
      <c r="T489" s="7">
        <f t="shared" si="2"/>
        <v>3</v>
      </c>
    </row>
    <row r="490">
      <c r="A490" s="4">
        <v>45373.77978960648</v>
      </c>
      <c r="B490" s="3" t="s">
        <v>1405</v>
      </c>
      <c r="C490" s="3" t="s">
        <v>607</v>
      </c>
      <c r="D490" s="3" t="s">
        <v>1406</v>
      </c>
      <c r="E490" s="5">
        <v>39724.0</v>
      </c>
      <c r="F490" s="3">
        <v>4.7475673E7</v>
      </c>
      <c r="G490" s="3">
        <v>3.516830023E9</v>
      </c>
      <c r="H490" s="3" t="s">
        <v>27</v>
      </c>
      <c r="I490" s="3" t="s">
        <v>22</v>
      </c>
      <c r="K490" s="3" t="s">
        <v>1132</v>
      </c>
      <c r="L490" s="3" t="s">
        <v>1133</v>
      </c>
      <c r="M490" s="3" t="s">
        <v>1137</v>
      </c>
      <c r="O490" s="3" t="s">
        <v>72</v>
      </c>
      <c r="R490" s="7" t="str">
        <f>IF(H490="","",VLOOKUP(H490,'Hoja 9'!$A$1:$B$255,2,0))</f>
        <v>BOCA EN BOCA</v>
      </c>
      <c r="S490" s="7">
        <f t="shared" si="1"/>
        <v>2024</v>
      </c>
      <c r="T490" s="7">
        <f t="shared" si="2"/>
        <v>3</v>
      </c>
    </row>
    <row r="491">
      <c r="A491" s="4">
        <v>45373.78162230324</v>
      </c>
      <c r="B491" s="3" t="s">
        <v>1405</v>
      </c>
      <c r="C491" s="3" t="s">
        <v>1407</v>
      </c>
      <c r="D491" s="3" t="s">
        <v>1408</v>
      </c>
      <c r="E491" s="5">
        <v>40443.0</v>
      </c>
      <c r="F491" s="3">
        <v>5.0420146E7</v>
      </c>
      <c r="G491" s="3">
        <v>3.516830023E9</v>
      </c>
      <c r="H491" s="3" t="s">
        <v>27</v>
      </c>
      <c r="I491" s="3" t="s">
        <v>22</v>
      </c>
      <c r="K491" s="3" t="s">
        <v>1132</v>
      </c>
      <c r="L491" s="3" t="s">
        <v>1136</v>
      </c>
      <c r="M491" s="3" t="s">
        <v>1137</v>
      </c>
      <c r="O491" s="3" t="s">
        <v>72</v>
      </c>
      <c r="R491" s="7" t="str">
        <f>IF(H491="","",VLOOKUP(H491,'Hoja 9'!$A$1:$B$255,2,0))</f>
        <v>BOCA EN BOCA</v>
      </c>
      <c r="S491" s="7">
        <f t="shared" si="1"/>
        <v>2024</v>
      </c>
      <c r="T491" s="7">
        <f t="shared" si="2"/>
        <v>3</v>
      </c>
    </row>
    <row r="492">
      <c r="A492" s="4">
        <v>45376.55130021991</v>
      </c>
      <c r="B492" s="3" t="s">
        <v>1409</v>
      </c>
      <c r="C492" s="3" t="s">
        <v>1410</v>
      </c>
      <c r="D492" s="3" t="s">
        <v>1411</v>
      </c>
      <c r="E492" s="5">
        <v>33431.0</v>
      </c>
      <c r="F492" s="3">
        <v>3.6239039E7</v>
      </c>
      <c r="G492" s="3">
        <v>3.516262969E9</v>
      </c>
      <c r="H492" s="3" t="s">
        <v>21</v>
      </c>
      <c r="I492" s="3" t="s">
        <v>22</v>
      </c>
      <c r="K492" s="3" t="s">
        <v>1132</v>
      </c>
      <c r="L492" s="3" t="s">
        <v>1136</v>
      </c>
      <c r="M492" s="3" t="s">
        <v>1134</v>
      </c>
      <c r="O492" s="3" t="s">
        <v>149</v>
      </c>
      <c r="R492" s="7" t="str">
        <f>IF(H492="","",VLOOKUP(H492,'Hoja 9'!$A$1:$B$255,2,0))</f>
        <v>GOOGLE</v>
      </c>
      <c r="S492" s="7">
        <f t="shared" si="1"/>
        <v>2024</v>
      </c>
      <c r="T492" s="7">
        <f t="shared" si="2"/>
        <v>3</v>
      </c>
    </row>
    <row r="493">
      <c r="A493" s="4">
        <v>45376.70325637731</v>
      </c>
      <c r="B493" s="3" t="s">
        <v>1412</v>
      </c>
      <c r="C493" s="3" t="s">
        <v>1413</v>
      </c>
      <c r="D493" s="3" t="s">
        <v>1414</v>
      </c>
      <c r="E493" s="5">
        <v>33393.0</v>
      </c>
      <c r="F493" s="3">
        <v>3.6169675E7</v>
      </c>
      <c r="G493" s="3">
        <v>9.3516300005E10</v>
      </c>
      <c r="H493" s="3" t="s">
        <v>27</v>
      </c>
      <c r="I493" s="3" t="s">
        <v>22</v>
      </c>
      <c r="K493" s="3" t="s">
        <v>1132</v>
      </c>
      <c r="L493" s="3" t="s">
        <v>1415</v>
      </c>
      <c r="M493" s="3" t="s">
        <v>1137</v>
      </c>
      <c r="O493" s="3" t="s">
        <v>1416</v>
      </c>
      <c r="R493" s="7" t="str">
        <f>IF(H493="","",VLOOKUP(H493,'Hoja 9'!$A$1:$B$255,2,0))</f>
        <v>BOCA EN BOCA</v>
      </c>
      <c r="S493" s="7">
        <f t="shared" si="1"/>
        <v>2024</v>
      </c>
      <c r="T493" s="7">
        <f t="shared" si="2"/>
        <v>3</v>
      </c>
    </row>
    <row r="494">
      <c r="A494" s="4">
        <v>45376.79920060185</v>
      </c>
      <c r="B494" s="3" t="s">
        <v>1417</v>
      </c>
      <c r="C494" s="3" t="s">
        <v>1418</v>
      </c>
      <c r="E494" s="5">
        <v>16768.0</v>
      </c>
      <c r="F494" s="3">
        <v>5294954.0</v>
      </c>
      <c r="G494" s="3">
        <v>3.513282084E9</v>
      </c>
      <c r="H494" s="3" t="s">
        <v>21</v>
      </c>
      <c r="I494" s="3" t="s">
        <v>22</v>
      </c>
      <c r="K494" s="3" t="s">
        <v>1145</v>
      </c>
      <c r="O494" s="3" t="s">
        <v>23</v>
      </c>
      <c r="R494" s="7" t="str">
        <f>IF(H494="","",VLOOKUP(H494,'Hoja 9'!$A$1:$B$255,2,0))</f>
        <v>GOOGLE</v>
      </c>
      <c r="S494" s="7">
        <f t="shared" si="1"/>
        <v>2024</v>
      </c>
      <c r="T494" s="7">
        <f t="shared" si="2"/>
        <v>3</v>
      </c>
    </row>
    <row r="495">
      <c r="A495" s="4">
        <v>45376.826103217594</v>
      </c>
      <c r="B495" s="3" t="s">
        <v>1419</v>
      </c>
      <c r="C495" s="3" t="s">
        <v>1420</v>
      </c>
      <c r="D495" s="3" t="s">
        <v>1421</v>
      </c>
      <c r="E495" s="5">
        <v>37778.0</v>
      </c>
      <c r="F495" s="3">
        <v>4.4828607E7</v>
      </c>
      <c r="G495" s="3">
        <v>3.517325355E9</v>
      </c>
      <c r="H495" s="3" t="s">
        <v>27</v>
      </c>
      <c r="I495" s="3" t="s">
        <v>22</v>
      </c>
      <c r="K495" s="3" t="s">
        <v>1132</v>
      </c>
      <c r="L495" s="3" t="s">
        <v>1422</v>
      </c>
      <c r="M495" s="3" t="s">
        <v>1134</v>
      </c>
      <c r="O495" s="3" t="s">
        <v>23</v>
      </c>
      <c r="R495" s="7" t="str">
        <f>IF(H495="","",VLOOKUP(H495,'Hoja 9'!$A$1:$B$255,2,0))</f>
        <v>BOCA EN BOCA</v>
      </c>
      <c r="S495" s="7">
        <f t="shared" si="1"/>
        <v>2024</v>
      </c>
      <c r="T495" s="7">
        <f t="shared" si="2"/>
        <v>3</v>
      </c>
    </row>
    <row r="496">
      <c r="A496" s="4">
        <v>45377.74403202547</v>
      </c>
      <c r="B496" s="3" t="s">
        <v>1423</v>
      </c>
      <c r="C496" s="3" t="s">
        <v>1424</v>
      </c>
      <c r="D496" s="3" t="s">
        <v>1425</v>
      </c>
      <c r="E496" s="5">
        <v>26269.0</v>
      </c>
      <c r="F496" s="3">
        <v>2.2136984E7</v>
      </c>
      <c r="G496" s="3">
        <v>3.512373722E9</v>
      </c>
      <c r="H496" s="3" t="s">
        <v>44</v>
      </c>
      <c r="I496" s="3" t="s">
        <v>22</v>
      </c>
      <c r="K496" s="3" t="s">
        <v>1132</v>
      </c>
      <c r="L496" s="3" t="s">
        <v>1133</v>
      </c>
      <c r="M496" s="3" t="s">
        <v>1134</v>
      </c>
      <c r="O496" s="3" t="s">
        <v>58</v>
      </c>
      <c r="R496" s="7" t="str">
        <f>IF(H496="","",VLOOKUP(H496,'Hoja 9'!$A$1:$B$255,2,0))</f>
        <v>GIMNASIO</v>
      </c>
      <c r="S496" s="7">
        <f t="shared" si="1"/>
        <v>2024</v>
      </c>
      <c r="T496" s="7">
        <f t="shared" si="2"/>
        <v>3</v>
      </c>
    </row>
    <row r="497">
      <c r="A497" s="4">
        <v>45382.79083347222</v>
      </c>
      <c r="B497" s="3" t="s">
        <v>1426</v>
      </c>
      <c r="C497" s="3" t="s">
        <v>1427</v>
      </c>
      <c r="D497" s="3" t="s">
        <v>1428</v>
      </c>
      <c r="E497" s="5">
        <v>30621.0</v>
      </c>
      <c r="F497" s="3">
        <v>3.0311255E7</v>
      </c>
      <c r="G497" s="3">
        <v>3.513432313E9</v>
      </c>
      <c r="H497" s="3" t="s">
        <v>27</v>
      </c>
      <c r="I497" s="3" t="s">
        <v>28</v>
      </c>
      <c r="K497" s="3" t="s">
        <v>1132</v>
      </c>
      <c r="L497" s="3" t="s">
        <v>1429</v>
      </c>
      <c r="M497" s="3" t="s">
        <v>1134</v>
      </c>
      <c r="R497" s="7" t="str">
        <f>IF(H497="","",VLOOKUP(H497,'Hoja 9'!$A$1:$B$255,2,0))</f>
        <v>BOCA EN BOCA</v>
      </c>
      <c r="S497" s="7">
        <f t="shared" si="1"/>
        <v>2024</v>
      </c>
      <c r="T497" s="7">
        <f t="shared" si="2"/>
        <v>3</v>
      </c>
    </row>
    <row r="498">
      <c r="A498" s="4">
        <v>45385.62828957176</v>
      </c>
      <c r="B498" s="3" t="s">
        <v>230</v>
      </c>
      <c r="C498" s="3" t="s">
        <v>1430</v>
      </c>
      <c r="D498" s="3" t="s">
        <v>1431</v>
      </c>
      <c r="E498" s="5">
        <v>37449.0</v>
      </c>
      <c r="F498" s="3">
        <v>4.3998065E7</v>
      </c>
      <c r="G498" s="3">
        <v>3.518127039E9</v>
      </c>
      <c r="H498" s="3" t="s">
        <v>21</v>
      </c>
      <c r="I498" s="3" t="s">
        <v>22</v>
      </c>
      <c r="K498" s="3" t="s">
        <v>1132</v>
      </c>
      <c r="L498" s="3" t="s">
        <v>1404</v>
      </c>
      <c r="M498" s="3" t="s">
        <v>1134</v>
      </c>
      <c r="O498" s="3" t="s">
        <v>23</v>
      </c>
      <c r="R498" s="7" t="str">
        <f>IF(H498="","",VLOOKUP(H498,'Hoja 9'!$A$1:$B$255,2,0))</f>
        <v>GOOGLE</v>
      </c>
      <c r="S498" s="7">
        <f t="shared" si="1"/>
        <v>2024</v>
      </c>
      <c r="T498" s="7">
        <f t="shared" si="2"/>
        <v>4</v>
      </c>
    </row>
    <row r="499">
      <c r="A499" s="4">
        <v>45385.68741875</v>
      </c>
      <c r="B499" s="3" t="s">
        <v>1432</v>
      </c>
      <c r="C499" s="3" t="s">
        <v>1433</v>
      </c>
      <c r="D499" s="3" t="s">
        <v>1434</v>
      </c>
      <c r="E499" s="5">
        <v>40245.0</v>
      </c>
      <c r="F499" s="3">
        <v>5.0188849E7</v>
      </c>
      <c r="G499" s="3">
        <v>3.517659763E9</v>
      </c>
      <c r="H499" s="3" t="s">
        <v>27</v>
      </c>
      <c r="I499" s="3" t="s">
        <v>22</v>
      </c>
      <c r="K499" s="3" t="s">
        <v>1132</v>
      </c>
      <c r="L499" s="3" t="s">
        <v>1435</v>
      </c>
      <c r="M499" s="3" t="s">
        <v>1134</v>
      </c>
      <c r="O499" s="3" t="s">
        <v>72</v>
      </c>
      <c r="R499" s="7" t="str">
        <f>IF(H499="","",VLOOKUP(H499,'Hoja 9'!$A$1:$B$255,2,0))</f>
        <v>BOCA EN BOCA</v>
      </c>
      <c r="S499" s="7">
        <f t="shared" si="1"/>
        <v>2024</v>
      </c>
      <c r="T499" s="7">
        <f t="shared" si="2"/>
        <v>4</v>
      </c>
    </row>
    <row r="500">
      <c r="A500" s="4">
        <v>45385.819402430556</v>
      </c>
      <c r="B500" s="3" t="s">
        <v>755</v>
      </c>
      <c r="C500" s="3" t="s">
        <v>756</v>
      </c>
      <c r="D500" s="3" t="s">
        <v>757</v>
      </c>
      <c r="E500" s="5">
        <v>32463.0</v>
      </c>
      <c r="F500" s="3">
        <v>3.4689011E7</v>
      </c>
      <c r="G500" s="3">
        <v>3.513477569E9</v>
      </c>
      <c r="H500" s="3" t="s">
        <v>21</v>
      </c>
      <c r="I500" s="3" t="s">
        <v>28</v>
      </c>
      <c r="K500" s="3" t="s">
        <v>1145</v>
      </c>
      <c r="R500" s="7" t="str">
        <f>IF(H500="","",VLOOKUP(H500,'Hoja 9'!$A$1:$B$255,2,0))</f>
        <v>GOOGLE</v>
      </c>
      <c r="S500" s="7">
        <f t="shared" si="1"/>
        <v>2024</v>
      </c>
      <c r="T500" s="7">
        <f t="shared" si="2"/>
        <v>4</v>
      </c>
    </row>
    <row r="501">
      <c r="A501" s="4">
        <v>45386.49690215278</v>
      </c>
      <c r="B501" s="3" t="s">
        <v>1436</v>
      </c>
      <c r="C501" s="3" t="s">
        <v>1437</v>
      </c>
      <c r="D501" s="3" t="s">
        <v>1438</v>
      </c>
      <c r="E501" s="5">
        <v>37482.0</v>
      </c>
      <c r="F501" s="3">
        <v>4.3954889E7</v>
      </c>
      <c r="G501" s="3">
        <v>3.51334922E9</v>
      </c>
      <c r="H501" s="3" t="s">
        <v>21</v>
      </c>
      <c r="I501" s="3" t="s">
        <v>28</v>
      </c>
      <c r="K501" s="3" t="s">
        <v>1145</v>
      </c>
      <c r="R501" s="7" t="str">
        <f>IF(H501="","",VLOOKUP(H501,'Hoja 9'!$A$1:$B$255,2,0))</f>
        <v>GOOGLE</v>
      </c>
      <c r="S501" s="7">
        <f t="shared" si="1"/>
        <v>2024</v>
      </c>
      <c r="T501" s="7">
        <f t="shared" si="2"/>
        <v>4</v>
      </c>
    </row>
    <row r="502">
      <c r="A502" s="4">
        <v>45386.527640162036</v>
      </c>
      <c r="B502" s="3" t="s">
        <v>1439</v>
      </c>
      <c r="C502" s="3" t="s">
        <v>1440</v>
      </c>
      <c r="D502" s="3" t="s">
        <v>1441</v>
      </c>
      <c r="E502" s="5">
        <v>31685.0</v>
      </c>
      <c r="F502" s="3">
        <v>3.2471761E7</v>
      </c>
      <c r="G502" s="3">
        <v>1.150959593E9</v>
      </c>
      <c r="H502" s="3" t="s">
        <v>27</v>
      </c>
      <c r="I502" s="3" t="s">
        <v>22</v>
      </c>
      <c r="K502" s="3" t="s">
        <v>1145</v>
      </c>
      <c r="O502" s="3" t="s">
        <v>1442</v>
      </c>
      <c r="R502" s="7" t="str">
        <f>IF(H502="","",VLOOKUP(H502,'Hoja 9'!$A$1:$B$255,2,0))</f>
        <v>BOCA EN BOCA</v>
      </c>
      <c r="S502" s="7">
        <f t="shared" si="1"/>
        <v>2024</v>
      </c>
      <c r="T502" s="7">
        <f t="shared" si="2"/>
        <v>4</v>
      </c>
    </row>
    <row r="503">
      <c r="A503" s="4">
        <v>45387.82637730324</v>
      </c>
      <c r="B503" s="3" t="s">
        <v>1443</v>
      </c>
      <c r="C503" s="3" t="s">
        <v>1444</v>
      </c>
      <c r="D503" s="3" t="s">
        <v>1445</v>
      </c>
      <c r="E503" s="5">
        <v>40289.0</v>
      </c>
      <c r="F503" s="3">
        <v>5.0222434E7</v>
      </c>
      <c r="G503" s="3">
        <v>3.513592526E9</v>
      </c>
      <c r="H503" s="3" t="s">
        <v>44</v>
      </c>
      <c r="I503" s="3" t="s">
        <v>22</v>
      </c>
      <c r="K503" s="3" t="s">
        <v>1132</v>
      </c>
      <c r="L503" s="3" t="s">
        <v>1133</v>
      </c>
      <c r="M503" s="3" t="s">
        <v>1137</v>
      </c>
      <c r="O503" s="3" t="s">
        <v>23</v>
      </c>
      <c r="R503" s="7" t="str">
        <f>IF(H503="","",VLOOKUP(H503,'Hoja 9'!$A$1:$B$255,2,0))</f>
        <v>GIMNASIO</v>
      </c>
      <c r="S503" s="7">
        <f t="shared" si="1"/>
        <v>2024</v>
      </c>
      <c r="T503" s="7">
        <f t="shared" si="2"/>
        <v>4</v>
      </c>
    </row>
    <row r="504">
      <c r="A504" s="4">
        <v>45390.47271008102</v>
      </c>
      <c r="B504" s="3" t="s">
        <v>1446</v>
      </c>
      <c r="C504" s="3" t="s">
        <v>162</v>
      </c>
      <c r="D504" s="3" t="s">
        <v>1447</v>
      </c>
      <c r="E504" s="5">
        <v>29207.0</v>
      </c>
      <c r="F504" s="3">
        <v>2.7671274E7</v>
      </c>
      <c r="G504" s="3">
        <v>3.515114143E9</v>
      </c>
      <c r="H504" s="3" t="s">
        <v>27</v>
      </c>
      <c r="I504" s="3" t="s">
        <v>28</v>
      </c>
      <c r="K504" s="3" t="s">
        <v>1132</v>
      </c>
      <c r="L504" s="3" t="s">
        <v>1332</v>
      </c>
      <c r="M504" s="3" t="s">
        <v>1134</v>
      </c>
      <c r="R504" s="7" t="str">
        <f>IF(H504="","",VLOOKUP(H504,'Hoja 9'!$A$1:$B$255,2,0))</f>
        <v>BOCA EN BOCA</v>
      </c>
      <c r="S504" s="7">
        <f t="shared" si="1"/>
        <v>2024</v>
      </c>
      <c r="T504" s="7">
        <f t="shared" si="2"/>
        <v>4</v>
      </c>
    </row>
    <row r="505">
      <c r="A505" s="4">
        <v>45390.67824137732</v>
      </c>
      <c r="B505" s="3" t="s">
        <v>1448</v>
      </c>
      <c r="C505" s="3" t="s">
        <v>406</v>
      </c>
      <c r="D505" s="3" t="s">
        <v>365</v>
      </c>
      <c r="E505" s="5">
        <v>36262.0</v>
      </c>
      <c r="F505" s="3">
        <v>4.1697667E7</v>
      </c>
      <c r="G505" s="3">
        <v>3.522650239E9</v>
      </c>
      <c r="H505" s="3" t="s">
        <v>27</v>
      </c>
      <c r="I505" s="3" t="s">
        <v>22</v>
      </c>
      <c r="K505" s="3" t="s">
        <v>1132</v>
      </c>
      <c r="L505" s="3" t="s">
        <v>1136</v>
      </c>
      <c r="M505" s="3" t="s">
        <v>1134</v>
      </c>
      <c r="O505" s="3" t="s">
        <v>23</v>
      </c>
      <c r="R505" s="7" t="str">
        <f>IF(H505="","",VLOOKUP(H505,'Hoja 9'!$A$1:$B$255,2,0))</f>
        <v>BOCA EN BOCA</v>
      </c>
      <c r="S505" s="7">
        <f t="shared" si="1"/>
        <v>2024</v>
      </c>
      <c r="T505" s="7">
        <f t="shared" si="2"/>
        <v>4</v>
      </c>
    </row>
    <row r="506">
      <c r="A506" s="4">
        <v>45390.818348182875</v>
      </c>
      <c r="B506" s="3" t="s">
        <v>1449</v>
      </c>
      <c r="C506" s="3" t="s">
        <v>1450</v>
      </c>
      <c r="D506" s="3" t="s">
        <v>1451</v>
      </c>
      <c r="E506" s="5">
        <v>23583.0</v>
      </c>
      <c r="F506" s="3">
        <v>1.6904443E7</v>
      </c>
      <c r="G506" s="3">
        <v>3.516086487E9</v>
      </c>
      <c r="H506" s="3" t="s">
        <v>27</v>
      </c>
      <c r="I506" s="3" t="s">
        <v>22</v>
      </c>
      <c r="K506" s="3" t="s">
        <v>1132</v>
      </c>
      <c r="L506" s="3" t="s">
        <v>1422</v>
      </c>
      <c r="M506" s="3" t="s">
        <v>1134</v>
      </c>
      <c r="O506" s="3" t="s">
        <v>287</v>
      </c>
      <c r="R506" s="7" t="str">
        <f>IF(H506="","",VLOOKUP(H506,'Hoja 9'!$A$1:$B$255,2,0))</f>
        <v>BOCA EN BOCA</v>
      </c>
      <c r="S506" s="7">
        <f t="shared" si="1"/>
        <v>2024</v>
      </c>
      <c r="T506" s="7">
        <f t="shared" si="2"/>
        <v>4</v>
      </c>
    </row>
    <row r="507">
      <c r="A507" s="4">
        <v>45391.658031203704</v>
      </c>
      <c r="B507" s="3" t="s">
        <v>1452</v>
      </c>
      <c r="C507" s="3" t="s">
        <v>1453</v>
      </c>
      <c r="D507" s="3" t="s">
        <v>1454</v>
      </c>
      <c r="E507" s="5">
        <v>30738.0</v>
      </c>
      <c r="F507" s="3">
        <v>3.0843976E7</v>
      </c>
      <c r="G507" s="3">
        <v>3.515317558E9</v>
      </c>
      <c r="H507" s="3" t="s">
        <v>44</v>
      </c>
      <c r="I507" s="3" t="s">
        <v>22</v>
      </c>
      <c r="K507" s="3" t="s">
        <v>1132</v>
      </c>
      <c r="L507" s="3" t="s">
        <v>1133</v>
      </c>
      <c r="M507" s="3" t="s">
        <v>1134</v>
      </c>
      <c r="O507" s="3" t="s">
        <v>1126</v>
      </c>
      <c r="R507" s="7" t="str">
        <f>IF(H507="","",VLOOKUP(H507,'Hoja 9'!$A$1:$B$255,2,0))</f>
        <v>GIMNASIO</v>
      </c>
      <c r="S507" s="7">
        <f t="shared" si="1"/>
        <v>2024</v>
      </c>
      <c r="T507" s="7">
        <f t="shared" si="2"/>
        <v>4</v>
      </c>
    </row>
    <row r="508">
      <c r="A508" s="4">
        <v>45391.751191793985</v>
      </c>
      <c r="B508" s="3" t="s">
        <v>107</v>
      </c>
      <c r="C508" s="3" t="s">
        <v>180</v>
      </c>
      <c r="D508" s="3" t="s">
        <v>1455</v>
      </c>
      <c r="E508" s="5">
        <v>38618.0</v>
      </c>
      <c r="F508" s="3">
        <v>4.6505907E7</v>
      </c>
      <c r="G508" s="3">
        <v>3.517913805E9</v>
      </c>
      <c r="H508" s="3" t="s">
        <v>27</v>
      </c>
      <c r="I508" s="3" t="s">
        <v>28</v>
      </c>
      <c r="K508" s="3" t="s">
        <v>1132</v>
      </c>
      <c r="L508" s="3" t="s">
        <v>1136</v>
      </c>
      <c r="M508" s="3" t="s">
        <v>1137</v>
      </c>
      <c r="R508" s="7" t="str">
        <f>IF(H508="","",VLOOKUP(H508,'Hoja 9'!$A$1:$B$255,2,0))</f>
        <v>BOCA EN BOCA</v>
      </c>
      <c r="S508" s="7">
        <f t="shared" si="1"/>
        <v>2024</v>
      </c>
      <c r="T508" s="7">
        <f t="shared" si="2"/>
        <v>4</v>
      </c>
    </row>
    <row r="509">
      <c r="A509" s="4">
        <v>45391.79520006945</v>
      </c>
      <c r="B509" s="3" t="s">
        <v>1448</v>
      </c>
      <c r="C509" s="3" t="s">
        <v>406</v>
      </c>
      <c r="D509" s="3" t="s">
        <v>365</v>
      </c>
      <c r="E509" s="5">
        <v>36262.0</v>
      </c>
      <c r="F509" s="3">
        <v>4.1697667E7</v>
      </c>
      <c r="G509" s="3">
        <v>3.522650239E9</v>
      </c>
      <c r="H509" s="3" t="s">
        <v>27</v>
      </c>
      <c r="I509" s="3" t="s">
        <v>22</v>
      </c>
      <c r="K509" s="3" t="s">
        <v>1132</v>
      </c>
      <c r="L509" s="3" t="s">
        <v>1136</v>
      </c>
      <c r="M509" s="3" t="s">
        <v>1134</v>
      </c>
      <c r="O509" s="3" t="s">
        <v>23</v>
      </c>
      <c r="R509" s="7" t="str">
        <f>IF(H509="","",VLOOKUP(H509,'Hoja 9'!$A$1:$B$255,2,0))</f>
        <v>BOCA EN BOCA</v>
      </c>
      <c r="S509" s="7">
        <f t="shared" si="1"/>
        <v>2024</v>
      </c>
      <c r="T509" s="7">
        <f t="shared" si="2"/>
        <v>4</v>
      </c>
    </row>
    <row r="510">
      <c r="A510" s="4">
        <v>45391.79878302083</v>
      </c>
      <c r="B510" s="3" t="s">
        <v>1456</v>
      </c>
      <c r="C510" s="3" t="s">
        <v>1444</v>
      </c>
      <c r="D510" s="3" t="s">
        <v>1457</v>
      </c>
      <c r="E510" s="5">
        <v>40289.0</v>
      </c>
      <c r="F510" s="3">
        <v>5.0222434E7</v>
      </c>
      <c r="G510" s="3">
        <v>3.516512619E9</v>
      </c>
      <c r="H510" s="3" t="s">
        <v>244</v>
      </c>
      <c r="I510" s="3" t="s">
        <v>22</v>
      </c>
      <c r="K510" s="3" t="s">
        <v>1132</v>
      </c>
      <c r="L510" s="3" t="s">
        <v>1136</v>
      </c>
      <c r="M510" s="3" t="s">
        <v>1134</v>
      </c>
      <c r="O510" s="3" t="s">
        <v>23</v>
      </c>
      <c r="R510" s="7" t="str">
        <f>IF(H510="","",VLOOKUP(H510,'Hoja 9'!$A$1:$B$255,2,0))</f>
        <v>META</v>
      </c>
      <c r="S510" s="7">
        <f t="shared" si="1"/>
        <v>2024</v>
      </c>
      <c r="T510" s="7">
        <f t="shared" si="2"/>
        <v>4</v>
      </c>
    </row>
    <row r="511">
      <c r="A511" s="4">
        <v>45393.78478611111</v>
      </c>
      <c r="B511" s="3" t="s">
        <v>1458</v>
      </c>
      <c r="C511" s="3" t="s">
        <v>1459</v>
      </c>
      <c r="D511" s="3" t="s">
        <v>1460</v>
      </c>
      <c r="E511" s="5">
        <v>45386.0</v>
      </c>
      <c r="F511" s="3">
        <v>1.2812239E7</v>
      </c>
      <c r="G511" s="3">
        <v>3.516424506E9</v>
      </c>
      <c r="H511" s="3" t="s">
        <v>27</v>
      </c>
      <c r="I511" s="3" t="s">
        <v>22</v>
      </c>
      <c r="K511" s="3" t="s">
        <v>1132</v>
      </c>
      <c r="L511" s="3" t="s">
        <v>1136</v>
      </c>
      <c r="M511" s="3" t="s">
        <v>1137</v>
      </c>
      <c r="O511" s="3" t="s">
        <v>58</v>
      </c>
      <c r="R511" s="7" t="str">
        <f>IF(H511="","",VLOOKUP(H511,'Hoja 9'!$A$1:$B$255,2,0))</f>
        <v>BOCA EN BOCA</v>
      </c>
      <c r="S511" s="7">
        <f t="shared" si="1"/>
        <v>2024</v>
      </c>
      <c r="T511" s="7">
        <f t="shared" si="2"/>
        <v>4</v>
      </c>
    </row>
    <row r="512">
      <c r="A512" s="4">
        <v>45394.342061076386</v>
      </c>
      <c r="B512" s="3" t="s">
        <v>1461</v>
      </c>
      <c r="C512" s="3" t="s">
        <v>867</v>
      </c>
      <c r="D512" s="3" t="s">
        <v>1462</v>
      </c>
      <c r="E512" s="5">
        <v>34288.0</v>
      </c>
      <c r="F512" s="3">
        <v>3.0474307E7</v>
      </c>
      <c r="G512" s="3">
        <v>3.515557367E9</v>
      </c>
      <c r="H512" s="3" t="s">
        <v>1463</v>
      </c>
      <c r="I512" s="3" t="s">
        <v>28</v>
      </c>
      <c r="K512" s="3" t="s">
        <v>1132</v>
      </c>
      <c r="L512" s="3" t="s">
        <v>1136</v>
      </c>
      <c r="M512" s="3" t="s">
        <v>1134</v>
      </c>
      <c r="R512" s="7" t="str">
        <f>IF(H512="","",VLOOKUP(H512,'Hoja 9'!$A$1:$B$255,2,0))</f>
        <v>BOCA EN BOCA</v>
      </c>
      <c r="S512" s="7">
        <f t="shared" si="1"/>
        <v>2024</v>
      </c>
      <c r="T512" s="7">
        <f t="shared" si="2"/>
        <v>4</v>
      </c>
    </row>
    <row r="513">
      <c r="A513" s="4">
        <v>45395.619864583336</v>
      </c>
      <c r="B513" s="3" t="s">
        <v>1464</v>
      </c>
      <c r="C513" s="3" t="s">
        <v>1465</v>
      </c>
      <c r="D513" s="3" t="s">
        <v>1466</v>
      </c>
      <c r="E513" s="5">
        <v>27544.0</v>
      </c>
      <c r="F513" s="3">
        <v>9.5801901E7</v>
      </c>
      <c r="G513" s="3">
        <v>3.515106479E9</v>
      </c>
      <c r="H513" s="3" t="s">
        <v>21</v>
      </c>
      <c r="I513" s="3" t="s">
        <v>28</v>
      </c>
      <c r="K513" s="3" t="s">
        <v>1145</v>
      </c>
      <c r="R513" s="7" t="str">
        <f>IF(H513="","",VLOOKUP(H513,'Hoja 9'!$A$1:$B$255,2,0))</f>
        <v>GOOGLE</v>
      </c>
      <c r="S513" s="7">
        <f t="shared" si="1"/>
        <v>2024</v>
      </c>
      <c r="T513" s="7">
        <f t="shared" si="2"/>
        <v>4</v>
      </c>
    </row>
    <row r="514">
      <c r="A514" s="4">
        <v>45398.79358034722</v>
      </c>
      <c r="B514" s="3" t="s">
        <v>1467</v>
      </c>
      <c r="C514" s="3" t="s">
        <v>500</v>
      </c>
      <c r="D514" s="12" t="s">
        <v>1468</v>
      </c>
      <c r="E514" s="5">
        <v>19386.0</v>
      </c>
      <c r="F514" s="3">
        <v>1.0544706E7</v>
      </c>
      <c r="G514" s="3">
        <v>3.512191217E9</v>
      </c>
      <c r="H514" s="3" t="s">
        <v>148</v>
      </c>
      <c r="I514" s="3" t="s">
        <v>22</v>
      </c>
      <c r="K514" s="3" t="s">
        <v>1145</v>
      </c>
      <c r="O514" s="3" t="s">
        <v>287</v>
      </c>
      <c r="R514" s="7" t="str">
        <f>IF(H514="","",VLOOKUP(H514,'Hoja 9'!$A$1:$B$255,2,0))</f>
        <v>OBRA SOCIAL</v>
      </c>
      <c r="S514" s="7">
        <f t="shared" si="1"/>
        <v>2024</v>
      </c>
      <c r="T514" s="7">
        <f t="shared" si="2"/>
        <v>4</v>
      </c>
    </row>
    <row r="515">
      <c r="A515" s="4">
        <v>45399.6713383912</v>
      </c>
      <c r="B515" s="3" t="s">
        <v>1469</v>
      </c>
      <c r="C515" s="3" t="s">
        <v>518</v>
      </c>
      <c r="D515" s="3" t="s">
        <v>1470</v>
      </c>
      <c r="E515" s="5">
        <v>24437.0</v>
      </c>
      <c r="F515" s="3">
        <v>1.8030042E7</v>
      </c>
      <c r="G515" s="3">
        <v>3.515406413E9</v>
      </c>
      <c r="H515" s="3" t="s">
        <v>44</v>
      </c>
      <c r="I515" s="3" t="s">
        <v>22</v>
      </c>
      <c r="K515" s="3" t="s">
        <v>1132</v>
      </c>
      <c r="L515" s="3" t="s">
        <v>1133</v>
      </c>
      <c r="M515" s="3" t="s">
        <v>1134</v>
      </c>
      <c r="O515" s="3" t="s">
        <v>1471</v>
      </c>
      <c r="R515" s="7" t="str">
        <f>IF(H515="","",VLOOKUP(H515,'Hoja 9'!$A$1:$B$255,2,0))</f>
        <v>GIMNASIO</v>
      </c>
      <c r="S515" s="7">
        <f t="shared" si="1"/>
        <v>2024</v>
      </c>
      <c r="T515" s="7">
        <f t="shared" si="2"/>
        <v>4</v>
      </c>
    </row>
    <row r="516">
      <c r="A516" s="4">
        <v>45400.79575482639</v>
      </c>
      <c r="B516" s="3" t="s">
        <v>1472</v>
      </c>
      <c r="C516" s="3" t="s">
        <v>1473</v>
      </c>
      <c r="D516" s="3" t="s">
        <v>421</v>
      </c>
      <c r="E516" s="5">
        <v>32143.0</v>
      </c>
      <c r="F516" s="3">
        <v>2.5647473E7</v>
      </c>
      <c r="G516" s="3">
        <v>3.513054939E9</v>
      </c>
      <c r="H516" s="3" t="s">
        <v>21</v>
      </c>
      <c r="I516" s="3" t="s">
        <v>28</v>
      </c>
      <c r="K516" s="3" t="s">
        <v>1132</v>
      </c>
      <c r="L516" s="3" t="s">
        <v>1133</v>
      </c>
      <c r="M516" s="3" t="s">
        <v>1134</v>
      </c>
      <c r="R516" s="7" t="str">
        <f>IF(H516="","",VLOOKUP(H516,'Hoja 9'!$A$1:$B$255,2,0))</f>
        <v>GOOGLE</v>
      </c>
      <c r="S516" s="7">
        <f t="shared" si="1"/>
        <v>2024</v>
      </c>
      <c r="T516" s="7">
        <f t="shared" si="2"/>
        <v>4</v>
      </c>
    </row>
    <row r="517">
      <c r="A517" s="4">
        <v>45401.517707164356</v>
      </c>
      <c r="B517" s="3" t="s">
        <v>1474</v>
      </c>
      <c r="C517" s="3" t="s">
        <v>180</v>
      </c>
      <c r="D517" s="3" t="s">
        <v>1475</v>
      </c>
      <c r="E517" s="5">
        <v>33994.0</v>
      </c>
      <c r="F517" s="3">
        <v>3.7173163E7</v>
      </c>
      <c r="G517" s="3">
        <v>3.512101784E9</v>
      </c>
      <c r="H517" s="3" t="s">
        <v>27</v>
      </c>
      <c r="I517" s="3" t="s">
        <v>28</v>
      </c>
      <c r="K517" s="3" t="s">
        <v>1132</v>
      </c>
      <c r="L517" s="3" t="s">
        <v>1476</v>
      </c>
      <c r="M517" s="3" t="s">
        <v>1134</v>
      </c>
      <c r="R517" s="7" t="str">
        <f>IF(H517="","",VLOOKUP(H517,'Hoja 9'!$A$1:$B$255,2,0))</f>
        <v>BOCA EN BOCA</v>
      </c>
      <c r="S517" s="7">
        <f t="shared" si="1"/>
        <v>2024</v>
      </c>
      <c r="T517" s="7">
        <f t="shared" si="2"/>
        <v>4</v>
      </c>
    </row>
    <row r="518">
      <c r="A518" s="4">
        <v>45401.81788851852</v>
      </c>
      <c r="B518" s="3" t="s">
        <v>1394</v>
      </c>
      <c r="C518" s="3" t="s">
        <v>1477</v>
      </c>
      <c r="D518" s="3" t="s">
        <v>1478</v>
      </c>
      <c r="E518" s="5">
        <v>41271.0</v>
      </c>
      <c r="F518" s="3">
        <v>5.2862154E7</v>
      </c>
      <c r="G518" s="3">
        <v>3.515104601E9</v>
      </c>
      <c r="H518" s="3" t="s">
        <v>44</v>
      </c>
      <c r="I518" s="3" t="s">
        <v>22</v>
      </c>
      <c r="K518" s="3" t="s">
        <v>1132</v>
      </c>
      <c r="L518" s="3" t="s">
        <v>1136</v>
      </c>
      <c r="M518" s="3" t="s">
        <v>1134</v>
      </c>
      <c r="O518" s="3" t="s">
        <v>1479</v>
      </c>
      <c r="R518" s="7" t="str">
        <f>IF(H518="","",VLOOKUP(H518,'Hoja 9'!$A$1:$B$255,2,0))</f>
        <v>GIMNASIO</v>
      </c>
      <c r="S518" s="7">
        <f t="shared" si="1"/>
        <v>2024</v>
      </c>
      <c r="T518" s="7">
        <f t="shared" si="2"/>
        <v>4</v>
      </c>
    </row>
    <row r="519">
      <c r="A519" s="4">
        <v>45404.686320023146</v>
      </c>
      <c r="B519" s="3" t="s">
        <v>1333</v>
      </c>
      <c r="C519" s="3" t="s">
        <v>1480</v>
      </c>
      <c r="D519" s="3" t="s">
        <v>1481</v>
      </c>
      <c r="E519" s="5">
        <v>29369.0</v>
      </c>
      <c r="F519" s="3">
        <v>2.8116737E7</v>
      </c>
      <c r="G519" s="3">
        <v>3.517069048E9</v>
      </c>
      <c r="H519" s="3" t="s">
        <v>44</v>
      </c>
      <c r="I519" s="3" t="s">
        <v>28</v>
      </c>
      <c r="K519" s="3" t="s">
        <v>1132</v>
      </c>
      <c r="L519" s="3" t="s">
        <v>1282</v>
      </c>
      <c r="M519" s="3" t="s">
        <v>1134</v>
      </c>
      <c r="R519" s="7" t="str">
        <f>IF(H519="","",VLOOKUP(H519,'Hoja 9'!$A$1:$B$255,2,0))</f>
        <v>GIMNASIO</v>
      </c>
      <c r="S519" s="7">
        <f t="shared" si="1"/>
        <v>2024</v>
      </c>
      <c r="T519" s="7">
        <f t="shared" si="2"/>
        <v>4</v>
      </c>
    </row>
    <row r="520">
      <c r="A520" s="4">
        <v>45406.44570615741</v>
      </c>
      <c r="B520" s="3" t="s">
        <v>1482</v>
      </c>
      <c r="C520" s="3" t="s">
        <v>1483</v>
      </c>
      <c r="D520" s="3" t="s">
        <v>1484</v>
      </c>
      <c r="E520" s="5">
        <v>33957.0</v>
      </c>
      <c r="F520" s="3">
        <v>3.9623224E7</v>
      </c>
      <c r="G520" s="3">
        <v>3.513165576E9</v>
      </c>
      <c r="H520" s="3" t="s">
        <v>27</v>
      </c>
      <c r="I520" s="3" t="s">
        <v>28</v>
      </c>
      <c r="K520" s="3" t="s">
        <v>1132</v>
      </c>
      <c r="L520" s="3" t="s">
        <v>1136</v>
      </c>
      <c r="M520" s="3" t="s">
        <v>1137</v>
      </c>
      <c r="R520" s="7" t="str">
        <f>IF(H520="","",VLOOKUP(H520,'Hoja 9'!$A$1:$B$255,2,0))</f>
        <v>BOCA EN BOCA</v>
      </c>
      <c r="S520" s="7">
        <f t="shared" si="1"/>
        <v>2024</v>
      </c>
      <c r="T520" s="7">
        <f t="shared" si="2"/>
        <v>4</v>
      </c>
    </row>
    <row r="521">
      <c r="A521" s="4">
        <v>45406.495976562495</v>
      </c>
      <c r="B521" s="3" t="s">
        <v>1485</v>
      </c>
      <c r="C521" s="3" t="s">
        <v>1486</v>
      </c>
      <c r="D521" s="3" t="s">
        <v>1487</v>
      </c>
      <c r="E521" s="5">
        <v>29269.0</v>
      </c>
      <c r="F521" s="3">
        <v>2.79598E7</v>
      </c>
      <c r="G521" s="3">
        <v>3.512378483E9</v>
      </c>
      <c r="H521" s="3" t="s">
        <v>27</v>
      </c>
      <c r="I521" s="3" t="s">
        <v>22</v>
      </c>
      <c r="K521" s="3" t="s">
        <v>1132</v>
      </c>
      <c r="L521" s="3" t="s">
        <v>1488</v>
      </c>
      <c r="M521" s="3" t="s">
        <v>1137</v>
      </c>
      <c r="O521" s="3" t="s">
        <v>72</v>
      </c>
      <c r="R521" s="7" t="str">
        <f>IF(H521="","",VLOOKUP(H521,'Hoja 9'!$A$1:$B$255,2,0))</f>
        <v>BOCA EN BOCA</v>
      </c>
      <c r="S521" s="7">
        <f t="shared" si="1"/>
        <v>2024</v>
      </c>
      <c r="T521" s="7">
        <f t="shared" si="2"/>
        <v>4</v>
      </c>
    </row>
    <row r="522">
      <c r="A522" s="4">
        <v>45406.841478993054</v>
      </c>
      <c r="B522" s="3" t="s">
        <v>1489</v>
      </c>
      <c r="C522" s="3" t="s">
        <v>1490</v>
      </c>
      <c r="D522" s="3" t="s">
        <v>1491</v>
      </c>
      <c r="E522" s="5">
        <v>28362.0</v>
      </c>
      <c r="F522" s="3">
        <v>2.6150128E7</v>
      </c>
      <c r="G522" s="3">
        <v>3.513573431E9</v>
      </c>
      <c r="H522" s="3" t="s">
        <v>21</v>
      </c>
      <c r="I522" s="3" t="s">
        <v>28</v>
      </c>
      <c r="K522" s="3" t="s">
        <v>1132</v>
      </c>
      <c r="L522" s="3" t="s">
        <v>1492</v>
      </c>
      <c r="M522" s="3" t="s">
        <v>1137</v>
      </c>
      <c r="R522" s="7" t="str">
        <f>IF(H522="","",VLOOKUP(H522,'Hoja 9'!$A$1:$B$255,2,0))</f>
        <v>GOOGLE</v>
      </c>
      <c r="S522" s="7">
        <f t="shared" si="1"/>
        <v>2024</v>
      </c>
      <c r="T522" s="7">
        <f t="shared" si="2"/>
        <v>4</v>
      </c>
    </row>
    <row r="523">
      <c r="A523" s="4">
        <v>45411.37984606481</v>
      </c>
      <c r="B523" s="3" t="s">
        <v>1493</v>
      </c>
      <c r="C523" s="3" t="s">
        <v>1494</v>
      </c>
      <c r="D523" s="3" t="s">
        <v>1495</v>
      </c>
      <c r="E523" s="5">
        <v>29247.0</v>
      </c>
      <c r="F523" s="3">
        <v>2.7955579E7</v>
      </c>
      <c r="G523" s="3">
        <v>3.515317848E9</v>
      </c>
      <c r="H523" s="3" t="s">
        <v>21</v>
      </c>
      <c r="I523" s="3" t="s">
        <v>22</v>
      </c>
      <c r="K523" s="3" t="s">
        <v>1132</v>
      </c>
      <c r="L523" s="3" t="s">
        <v>1496</v>
      </c>
      <c r="M523" s="3" t="s">
        <v>1137</v>
      </c>
      <c r="O523" s="3" t="s">
        <v>149</v>
      </c>
      <c r="R523" s="7" t="str">
        <f>IF(H523="","",VLOOKUP(H523,'Hoja 9'!$A$1:$B$255,2,0))</f>
        <v>GOOGLE</v>
      </c>
      <c r="S523" s="7">
        <f t="shared" si="1"/>
        <v>2024</v>
      </c>
      <c r="T523" s="7">
        <f t="shared" si="2"/>
        <v>4</v>
      </c>
    </row>
    <row r="524">
      <c r="A524" s="4">
        <v>45411.79094399305</v>
      </c>
      <c r="B524" s="3" t="s">
        <v>1497</v>
      </c>
      <c r="C524" s="3" t="s">
        <v>108</v>
      </c>
      <c r="D524" s="3" t="s">
        <v>1498</v>
      </c>
      <c r="E524" s="5">
        <v>33903.0</v>
      </c>
      <c r="F524" s="3">
        <v>3.7084528E7</v>
      </c>
      <c r="G524" s="3">
        <v>3.513395407E9</v>
      </c>
      <c r="H524" s="3" t="s">
        <v>27</v>
      </c>
      <c r="I524" s="3" t="s">
        <v>22</v>
      </c>
      <c r="K524" s="3" t="s">
        <v>1132</v>
      </c>
      <c r="L524" s="3" t="s">
        <v>1136</v>
      </c>
      <c r="M524" s="3" t="s">
        <v>1137</v>
      </c>
      <c r="O524" s="3" t="s">
        <v>23</v>
      </c>
      <c r="R524" s="7" t="str">
        <f>IF(H524="","",VLOOKUP(H524,'Hoja 9'!$A$1:$B$255,2,0))</f>
        <v>BOCA EN BOCA</v>
      </c>
      <c r="S524" s="7">
        <f t="shared" si="1"/>
        <v>2024</v>
      </c>
      <c r="T524" s="7">
        <f t="shared" si="2"/>
        <v>4</v>
      </c>
    </row>
    <row r="525">
      <c r="A525" s="4">
        <v>45414.83301472222</v>
      </c>
      <c r="B525" s="3" t="s">
        <v>1499</v>
      </c>
      <c r="C525" s="3" t="s">
        <v>1500</v>
      </c>
      <c r="D525" s="3" t="s">
        <v>1501</v>
      </c>
      <c r="E525" s="5">
        <v>21102.0</v>
      </c>
      <c r="F525" s="3">
        <v>1.3584803E7</v>
      </c>
      <c r="G525" s="3">
        <v>3.516465446E9</v>
      </c>
      <c r="H525" s="3" t="s">
        <v>27</v>
      </c>
      <c r="I525" s="3" t="s">
        <v>22</v>
      </c>
      <c r="K525" s="3" t="s">
        <v>1132</v>
      </c>
      <c r="L525" s="3" t="s">
        <v>1502</v>
      </c>
      <c r="M525" s="3" t="s">
        <v>1134</v>
      </c>
      <c r="O525" s="3" t="s">
        <v>23</v>
      </c>
      <c r="R525" s="7" t="str">
        <f>IF(H525="","",VLOOKUP(H525,'Hoja 9'!$A$1:$B$255,2,0))</f>
        <v>BOCA EN BOCA</v>
      </c>
      <c r="S525" s="7">
        <f t="shared" si="1"/>
        <v>2024</v>
      </c>
      <c r="T525" s="7">
        <f t="shared" si="2"/>
        <v>5</v>
      </c>
    </row>
    <row r="526">
      <c r="A526" s="4">
        <v>45415.44258420139</v>
      </c>
      <c r="B526" s="3" t="s">
        <v>1503</v>
      </c>
      <c r="C526" s="3" t="s">
        <v>252</v>
      </c>
      <c r="D526" s="3" t="s">
        <v>1504</v>
      </c>
      <c r="E526" s="5">
        <v>40415.0</v>
      </c>
      <c r="F526" s="3">
        <v>5.0422101E7</v>
      </c>
      <c r="G526" s="3">
        <v>3.513929219E9</v>
      </c>
      <c r="H526" s="3" t="s">
        <v>1505</v>
      </c>
      <c r="I526" s="3" t="s">
        <v>28</v>
      </c>
      <c r="K526" s="3" t="s">
        <v>1132</v>
      </c>
      <c r="L526" s="3" t="s">
        <v>1332</v>
      </c>
      <c r="M526" s="3" t="s">
        <v>1134</v>
      </c>
      <c r="R526" s="7" t="str">
        <f>IF(H526="","",VLOOKUP(H526,'Hoja 9'!$A$1:$B$255,2,0))</f>
        <v>BOCA EN BOCA</v>
      </c>
      <c r="S526" s="7">
        <f t="shared" si="1"/>
        <v>2024</v>
      </c>
      <c r="T526" s="7">
        <f t="shared" si="2"/>
        <v>5</v>
      </c>
    </row>
    <row r="527">
      <c r="A527" s="4">
        <v>45415.508632418976</v>
      </c>
      <c r="B527" s="3" t="s">
        <v>1050</v>
      </c>
      <c r="C527" s="3" t="s">
        <v>1506</v>
      </c>
      <c r="D527" s="3" t="s">
        <v>1507</v>
      </c>
      <c r="E527" s="5">
        <v>33292.0</v>
      </c>
      <c r="F527" s="3">
        <v>3.5575853E7</v>
      </c>
      <c r="G527" s="3">
        <v>3.512488931E9</v>
      </c>
      <c r="H527" s="3" t="s">
        <v>27</v>
      </c>
      <c r="I527" s="3" t="s">
        <v>22</v>
      </c>
      <c r="K527" s="3" t="s">
        <v>1132</v>
      </c>
      <c r="L527" s="3" t="s">
        <v>1136</v>
      </c>
      <c r="M527" s="3" t="s">
        <v>1137</v>
      </c>
      <c r="O527" s="3" t="s">
        <v>58</v>
      </c>
      <c r="R527" s="7" t="str">
        <f>IF(H527="","",VLOOKUP(H527,'Hoja 9'!$A$1:$B$255,2,0))</f>
        <v>BOCA EN BOCA</v>
      </c>
      <c r="S527" s="7">
        <f t="shared" si="1"/>
        <v>2024</v>
      </c>
      <c r="T527" s="7">
        <f t="shared" si="2"/>
        <v>5</v>
      </c>
    </row>
    <row r="528">
      <c r="A528" s="4">
        <v>45415.7299703125</v>
      </c>
      <c r="B528" s="3" t="s">
        <v>1508</v>
      </c>
      <c r="C528" s="3" t="s">
        <v>1509</v>
      </c>
      <c r="D528" s="3" t="s">
        <v>1510</v>
      </c>
      <c r="E528" s="5">
        <v>29304.0</v>
      </c>
      <c r="F528" s="3">
        <v>2.7956744E7</v>
      </c>
      <c r="G528" s="3">
        <v>3.516167281E9</v>
      </c>
      <c r="H528" s="3" t="s">
        <v>27</v>
      </c>
      <c r="I528" s="3" t="s">
        <v>28</v>
      </c>
      <c r="K528" s="3" t="s">
        <v>1132</v>
      </c>
      <c r="L528" s="3" t="s">
        <v>1511</v>
      </c>
      <c r="M528" s="3" t="s">
        <v>1134</v>
      </c>
      <c r="R528" s="7" t="str">
        <f>IF(H528="","",VLOOKUP(H528,'Hoja 9'!$A$1:$B$255,2,0))</f>
        <v>BOCA EN BOCA</v>
      </c>
      <c r="S528" s="7">
        <f t="shared" si="1"/>
        <v>2024</v>
      </c>
      <c r="T528" s="7">
        <f t="shared" si="2"/>
        <v>5</v>
      </c>
    </row>
    <row r="529">
      <c r="A529" s="4">
        <v>45417.783245370374</v>
      </c>
      <c r="B529" s="3" t="s">
        <v>1512</v>
      </c>
      <c r="C529" s="3" t="s">
        <v>1513</v>
      </c>
      <c r="D529" s="3" t="s">
        <v>1514</v>
      </c>
      <c r="E529" s="5" t="s">
        <v>1515</v>
      </c>
      <c r="F529" s="3">
        <v>3.0470882E7</v>
      </c>
      <c r="G529" s="3">
        <v>3.515631822E9</v>
      </c>
      <c r="H529" s="3" t="s">
        <v>339</v>
      </c>
      <c r="I529" s="3" t="s">
        <v>28</v>
      </c>
      <c r="K529" s="3" t="s">
        <v>1145</v>
      </c>
      <c r="R529" s="7" t="str">
        <f>IF(H529="","",VLOOKUP(H529,'Hoja 9'!$A$1:$B$255,2,0))</f>
        <v>META</v>
      </c>
      <c r="S529" s="7">
        <f t="shared" si="1"/>
        <v>2024</v>
      </c>
      <c r="T529" s="7">
        <f t="shared" si="2"/>
        <v>5</v>
      </c>
    </row>
    <row r="530">
      <c r="A530" s="4">
        <v>45418.499055532404</v>
      </c>
      <c r="B530" s="3" t="s">
        <v>1516</v>
      </c>
      <c r="C530" s="3" t="s">
        <v>1517</v>
      </c>
      <c r="D530" s="3" t="s">
        <v>1518</v>
      </c>
      <c r="E530" s="5">
        <v>30940.0</v>
      </c>
      <c r="F530" s="3">
        <v>3.1056377E7</v>
      </c>
      <c r="G530" s="3">
        <v>3.517674577E9</v>
      </c>
      <c r="H530" s="3" t="s">
        <v>27</v>
      </c>
      <c r="I530" s="3" t="s">
        <v>22</v>
      </c>
      <c r="K530" s="3" t="s">
        <v>1132</v>
      </c>
      <c r="L530" s="3" t="s">
        <v>1519</v>
      </c>
      <c r="M530" s="3" t="s">
        <v>1134</v>
      </c>
      <c r="O530" s="3" t="s">
        <v>58</v>
      </c>
      <c r="R530" s="7" t="str">
        <f>IF(H530="","",VLOOKUP(H530,'Hoja 9'!$A$1:$B$255,2,0))</f>
        <v>BOCA EN BOCA</v>
      </c>
      <c r="S530" s="7">
        <f t="shared" si="1"/>
        <v>2024</v>
      </c>
      <c r="T530" s="7">
        <f t="shared" si="2"/>
        <v>5</v>
      </c>
    </row>
    <row r="531">
      <c r="A531" s="4">
        <v>45418.54224047453</v>
      </c>
      <c r="B531" s="3" t="s">
        <v>235</v>
      </c>
      <c r="C531" s="3" t="s">
        <v>1520</v>
      </c>
      <c r="D531" s="3" t="s">
        <v>237</v>
      </c>
      <c r="E531" s="5">
        <v>32509.0</v>
      </c>
      <c r="F531" s="3">
        <v>3.4130395E7</v>
      </c>
      <c r="G531" s="3">
        <v>3.513887184E9</v>
      </c>
      <c r="H531" s="3" t="s">
        <v>21</v>
      </c>
      <c r="I531" s="3" t="s">
        <v>22</v>
      </c>
      <c r="K531" s="3" t="s">
        <v>1132</v>
      </c>
      <c r="L531" s="3" t="s">
        <v>1136</v>
      </c>
      <c r="M531" s="3" t="s">
        <v>1134</v>
      </c>
      <c r="O531" s="3" t="s">
        <v>1521</v>
      </c>
      <c r="R531" s="7" t="str">
        <f>IF(H531="","",VLOOKUP(H531,'Hoja 9'!$A$1:$B$255,2,0))</f>
        <v>GOOGLE</v>
      </c>
      <c r="S531" s="7">
        <f t="shared" si="1"/>
        <v>2024</v>
      </c>
      <c r="T531" s="7">
        <f t="shared" si="2"/>
        <v>5</v>
      </c>
    </row>
    <row r="532">
      <c r="A532" s="4">
        <v>45418.749522743055</v>
      </c>
      <c r="B532" s="3" t="s">
        <v>1522</v>
      </c>
      <c r="C532" s="3" t="s">
        <v>1523</v>
      </c>
      <c r="D532" s="3" t="s">
        <v>1524</v>
      </c>
      <c r="E532" s="5">
        <v>38805.0</v>
      </c>
      <c r="F532" s="3">
        <v>4.6850723E7</v>
      </c>
      <c r="G532" s="3">
        <v>3.564333703E9</v>
      </c>
      <c r="H532" s="3" t="s">
        <v>1525</v>
      </c>
      <c r="I532" s="3" t="s">
        <v>28</v>
      </c>
      <c r="K532" s="3" t="s">
        <v>1132</v>
      </c>
      <c r="L532" s="3" t="s">
        <v>1401</v>
      </c>
      <c r="M532" s="3" t="s">
        <v>1134</v>
      </c>
      <c r="R532" s="7" t="str">
        <f>IF(H532="","",VLOOKUP(H532,'Hoja 9'!$A$1:$B$255,2,0))</f>
        <v>BOCA EN BOCA</v>
      </c>
      <c r="S532" s="7">
        <f t="shared" si="1"/>
        <v>2024</v>
      </c>
      <c r="T532" s="7">
        <f t="shared" si="2"/>
        <v>5</v>
      </c>
    </row>
    <row r="533">
      <c r="A533" s="4">
        <v>45418.80933912037</v>
      </c>
      <c r="B533" s="3" t="s">
        <v>1526</v>
      </c>
      <c r="C533" s="3" t="s">
        <v>1527</v>
      </c>
      <c r="D533" s="3" t="s">
        <v>1528</v>
      </c>
      <c r="E533" s="5">
        <v>33142.0</v>
      </c>
      <c r="F533" s="3">
        <v>3.6124007E7</v>
      </c>
      <c r="G533" s="3">
        <v>3.516173592E9</v>
      </c>
      <c r="H533" s="3" t="s">
        <v>339</v>
      </c>
      <c r="I533" s="3" t="s">
        <v>22</v>
      </c>
      <c r="K533" s="3" t="s">
        <v>1132</v>
      </c>
      <c r="L533" s="3" t="s">
        <v>1136</v>
      </c>
      <c r="M533" s="3" t="s">
        <v>1137</v>
      </c>
      <c r="O533" s="3" t="s">
        <v>23</v>
      </c>
      <c r="R533" s="7" t="str">
        <f>IF(H533="","",VLOOKUP(H533,'Hoja 9'!$A$1:$B$255,2,0))</f>
        <v>META</v>
      </c>
      <c r="S533" s="7">
        <f t="shared" si="1"/>
        <v>2024</v>
      </c>
      <c r="T533" s="7">
        <f t="shared" si="2"/>
        <v>5</v>
      </c>
    </row>
    <row r="534">
      <c r="A534" s="4">
        <v>45419.381928125</v>
      </c>
      <c r="B534" s="3" t="s">
        <v>1529</v>
      </c>
      <c r="C534" s="3" t="s">
        <v>1530</v>
      </c>
      <c r="D534" s="3" t="s">
        <v>1531</v>
      </c>
      <c r="E534" s="5">
        <v>28536.0</v>
      </c>
      <c r="F534" s="3">
        <v>2.6083746E7</v>
      </c>
      <c r="G534" s="3">
        <v>3.516619705E9</v>
      </c>
      <c r="H534" s="3" t="s">
        <v>27</v>
      </c>
      <c r="I534" s="3" t="s">
        <v>22</v>
      </c>
      <c r="K534" s="3" t="s">
        <v>1132</v>
      </c>
      <c r="L534" s="3" t="s">
        <v>1401</v>
      </c>
      <c r="M534" s="3" t="s">
        <v>1134</v>
      </c>
      <c r="O534" s="3" t="s">
        <v>72</v>
      </c>
      <c r="R534" s="7" t="str">
        <f>IF(H534="","",VLOOKUP(H534,'Hoja 9'!$A$1:$B$255,2,0))</f>
        <v>BOCA EN BOCA</v>
      </c>
      <c r="S534" s="7">
        <f t="shared" si="1"/>
        <v>2024</v>
      </c>
      <c r="T534" s="7">
        <f t="shared" si="2"/>
        <v>5</v>
      </c>
    </row>
    <row r="535">
      <c r="A535" s="4">
        <v>45419.46737496528</v>
      </c>
      <c r="B535" s="3" t="s">
        <v>1532</v>
      </c>
      <c r="C535" s="3" t="s">
        <v>1533</v>
      </c>
      <c r="D535" s="3" t="s">
        <v>1534</v>
      </c>
      <c r="E535" s="5">
        <v>18784.0</v>
      </c>
      <c r="F535" s="3">
        <v>6679246.0</v>
      </c>
      <c r="G535" s="3">
        <v>3.513859662E9</v>
      </c>
      <c r="H535" s="3" t="s">
        <v>21</v>
      </c>
      <c r="I535" s="3" t="s">
        <v>22</v>
      </c>
      <c r="K535" s="3" t="s">
        <v>1132</v>
      </c>
      <c r="L535" s="3" t="s">
        <v>1535</v>
      </c>
      <c r="M535" s="3" t="s">
        <v>1134</v>
      </c>
      <c r="O535" s="3" t="s">
        <v>23</v>
      </c>
      <c r="R535" s="7" t="str">
        <f>IF(H535="","",VLOOKUP(H535,'Hoja 9'!$A$1:$B$255,2,0))</f>
        <v>GOOGLE</v>
      </c>
      <c r="S535" s="7">
        <f t="shared" si="1"/>
        <v>2024</v>
      </c>
      <c r="T535" s="7">
        <f t="shared" si="2"/>
        <v>5</v>
      </c>
    </row>
    <row r="536">
      <c r="A536" s="4">
        <v>45420.680639722224</v>
      </c>
      <c r="B536" s="3" t="s">
        <v>1536</v>
      </c>
      <c r="C536" s="3" t="s">
        <v>1537</v>
      </c>
      <c r="D536" s="3" t="s">
        <v>1538</v>
      </c>
      <c r="E536" s="5">
        <v>38190.0</v>
      </c>
      <c r="F536" s="3">
        <v>9.5220664E7</v>
      </c>
      <c r="G536" s="3">
        <v>3.518029805E9</v>
      </c>
      <c r="H536" s="3" t="s">
        <v>21</v>
      </c>
      <c r="I536" s="3" t="s">
        <v>28</v>
      </c>
      <c r="K536" s="3" t="s">
        <v>1132</v>
      </c>
      <c r="L536" s="3" t="s">
        <v>1133</v>
      </c>
      <c r="M536" s="3" t="s">
        <v>1137</v>
      </c>
      <c r="R536" s="7" t="str">
        <f>IF(H536="","",VLOOKUP(H536,'Hoja 9'!$A$1:$B$255,2,0))</f>
        <v>GOOGLE</v>
      </c>
      <c r="S536" s="7">
        <f t="shared" si="1"/>
        <v>2024</v>
      </c>
      <c r="T536" s="7">
        <f t="shared" si="2"/>
        <v>5</v>
      </c>
    </row>
    <row r="537">
      <c r="A537" s="4">
        <v>45421.39449375</v>
      </c>
      <c r="B537" s="3" t="s">
        <v>182</v>
      </c>
      <c r="C537" s="3" t="s">
        <v>1539</v>
      </c>
      <c r="D537" s="3" t="s">
        <v>1540</v>
      </c>
      <c r="E537" s="5">
        <v>38594.0</v>
      </c>
      <c r="F537" s="3">
        <v>4.6127662E7</v>
      </c>
      <c r="G537" s="3">
        <v>3.517357423E9</v>
      </c>
      <c r="H537" s="3" t="s">
        <v>27</v>
      </c>
      <c r="I537" s="3" t="s">
        <v>22</v>
      </c>
      <c r="K537" s="3" t="s">
        <v>1132</v>
      </c>
      <c r="L537" s="3" t="s">
        <v>1401</v>
      </c>
      <c r="M537" s="3" t="s">
        <v>1134</v>
      </c>
      <c r="O537" s="3" t="s">
        <v>23</v>
      </c>
      <c r="R537" s="7" t="str">
        <f>IF(H537="","",VLOOKUP(H537,'Hoja 9'!$A$1:$B$255,2,0))</f>
        <v>BOCA EN BOCA</v>
      </c>
      <c r="S537" s="7">
        <f t="shared" si="1"/>
        <v>2024</v>
      </c>
      <c r="T537" s="7">
        <f t="shared" si="2"/>
        <v>5</v>
      </c>
    </row>
    <row r="538">
      <c r="A538" s="4">
        <v>45421.445508634264</v>
      </c>
      <c r="B538" s="3" t="s">
        <v>1541</v>
      </c>
      <c r="C538" s="3" t="s">
        <v>1542</v>
      </c>
      <c r="D538" s="3" t="s">
        <v>1543</v>
      </c>
      <c r="E538" s="5">
        <v>31287.0</v>
      </c>
      <c r="F538" s="3">
        <v>3.1769995E7</v>
      </c>
      <c r="G538" s="3">
        <v>3.515928931E9</v>
      </c>
      <c r="H538" s="3" t="s">
        <v>44</v>
      </c>
      <c r="I538" s="3" t="s">
        <v>22</v>
      </c>
      <c r="K538" s="3" t="s">
        <v>1132</v>
      </c>
      <c r="L538" s="3" t="s">
        <v>1544</v>
      </c>
      <c r="M538" s="3" t="s">
        <v>1134</v>
      </c>
      <c r="O538" s="3" t="s">
        <v>1416</v>
      </c>
      <c r="R538" s="7" t="str">
        <f>IF(H538="","",VLOOKUP(H538,'Hoja 9'!$A$1:$B$255,2,0))</f>
        <v>GIMNASIO</v>
      </c>
      <c r="S538" s="7">
        <f t="shared" si="1"/>
        <v>2024</v>
      </c>
      <c r="T538" s="7">
        <f t="shared" si="2"/>
        <v>5</v>
      </c>
    </row>
    <row r="539">
      <c r="A539" s="4">
        <v>45421.705660949076</v>
      </c>
      <c r="B539" s="3" t="s">
        <v>1545</v>
      </c>
      <c r="C539" s="3" t="s">
        <v>1546</v>
      </c>
      <c r="D539" s="3" t="s">
        <v>1547</v>
      </c>
      <c r="E539" s="5">
        <v>24245.0</v>
      </c>
      <c r="F539" s="3">
        <v>1.7629199E7</v>
      </c>
      <c r="G539" s="3">
        <v>3.513211132E9</v>
      </c>
      <c r="H539" s="3" t="s">
        <v>21</v>
      </c>
      <c r="I539" s="3" t="s">
        <v>22</v>
      </c>
      <c r="K539" s="3" t="s">
        <v>1145</v>
      </c>
      <c r="O539" s="3" t="s">
        <v>1548</v>
      </c>
      <c r="R539" s="7" t="str">
        <f>IF(H539="","",VLOOKUP(H539,'Hoja 9'!$A$1:$B$255,2,0))</f>
        <v>GOOGLE</v>
      </c>
      <c r="S539" s="7">
        <f t="shared" si="1"/>
        <v>2024</v>
      </c>
      <c r="T539" s="7">
        <f t="shared" si="2"/>
        <v>5</v>
      </c>
    </row>
    <row r="540">
      <c r="A540" s="4">
        <v>45422.33087435185</v>
      </c>
      <c r="B540" s="3" t="s">
        <v>1549</v>
      </c>
      <c r="C540" s="3" t="s">
        <v>1550</v>
      </c>
      <c r="D540" s="3" t="s">
        <v>1551</v>
      </c>
      <c r="E540" s="5">
        <v>28725.0</v>
      </c>
      <c r="F540" s="3">
        <v>2.6903086E7</v>
      </c>
      <c r="G540" s="3">
        <v>3.515116201E9</v>
      </c>
      <c r="H540" s="3" t="s">
        <v>44</v>
      </c>
      <c r="I540" s="3" t="s">
        <v>28</v>
      </c>
      <c r="K540" s="3" t="s">
        <v>1132</v>
      </c>
      <c r="L540" s="3" t="s">
        <v>1136</v>
      </c>
      <c r="M540" s="3" t="s">
        <v>1134</v>
      </c>
      <c r="R540" s="7" t="str">
        <f>IF(H540="","",VLOOKUP(H540,'Hoja 9'!$A$1:$B$255,2,0))</f>
        <v>GIMNASIO</v>
      </c>
      <c r="S540" s="7">
        <f t="shared" si="1"/>
        <v>2024</v>
      </c>
      <c r="T540" s="7">
        <f t="shared" si="2"/>
        <v>5</v>
      </c>
    </row>
    <row r="541">
      <c r="A541" s="4">
        <v>45425.8209227662</v>
      </c>
      <c r="B541" s="3" t="s">
        <v>1552</v>
      </c>
      <c r="C541" s="3" t="s">
        <v>1553</v>
      </c>
      <c r="D541" s="3" t="s">
        <v>1554</v>
      </c>
      <c r="E541" s="5">
        <v>33772.0</v>
      </c>
      <c r="F541" s="3">
        <v>3.6355806E7</v>
      </c>
      <c r="G541" s="3">
        <v>3.512594972E9</v>
      </c>
      <c r="H541" s="3" t="s">
        <v>44</v>
      </c>
      <c r="I541" s="3" t="s">
        <v>28</v>
      </c>
      <c r="K541" s="3" t="s">
        <v>1132</v>
      </c>
      <c r="L541" s="3" t="s">
        <v>1555</v>
      </c>
      <c r="M541" s="3" t="s">
        <v>1213</v>
      </c>
      <c r="R541" s="7" t="str">
        <f>IF(H541="","",VLOOKUP(H541,'Hoja 9'!$A$1:$B$255,2,0))</f>
        <v>GIMNASIO</v>
      </c>
      <c r="S541" s="7">
        <f t="shared" si="1"/>
        <v>2024</v>
      </c>
      <c r="T541" s="7">
        <f t="shared" si="2"/>
        <v>5</v>
      </c>
    </row>
    <row r="542">
      <c r="A542" s="4">
        <v>45427.50251122685</v>
      </c>
      <c r="B542" s="3" t="s">
        <v>190</v>
      </c>
      <c r="C542" s="3" t="s">
        <v>1241</v>
      </c>
      <c r="D542" s="3" t="s">
        <v>1556</v>
      </c>
      <c r="E542" s="5">
        <v>30372.0</v>
      </c>
      <c r="F542" s="3">
        <v>3.0121686E7</v>
      </c>
      <c r="G542" s="3">
        <v>3.513880924E9</v>
      </c>
      <c r="H542" s="3" t="s">
        <v>27</v>
      </c>
      <c r="I542" s="3" t="s">
        <v>22</v>
      </c>
      <c r="K542" s="3" t="s">
        <v>1132</v>
      </c>
      <c r="L542" s="3" t="s">
        <v>1133</v>
      </c>
      <c r="M542" s="3" t="s">
        <v>1137</v>
      </c>
      <c r="O542" s="3" t="s">
        <v>58</v>
      </c>
      <c r="R542" s="7" t="str">
        <f>IF(H542="","",VLOOKUP(H542,'Hoja 9'!$A$1:$B$255,2,0))</f>
        <v>BOCA EN BOCA</v>
      </c>
      <c r="S542" s="7">
        <f t="shared" si="1"/>
        <v>2024</v>
      </c>
      <c r="T542" s="7">
        <f t="shared" si="2"/>
        <v>5</v>
      </c>
    </row>
    <row r="543">
      <c r="A543" s="4">
        <v>45429.4018212963</v>
      </c>
      <c r="B543" s="3" t="s">
        <v>1557</v>
      </c>
      <c r="C543" s="3" t="s">
        <v>1558</v>
      </c>
      <c r="D543" s="3" t="s">
        <v>1559</v>
      </c>
      <c r="E543" s="5">
        <v>40516.0</v>
      </c>
      <c r="F543" s="3">
        <v>5.0627674E7</v>
      </c>
      <c r="G543" s="3">
        <v>3.516327965E9</v>
      </c>
      <c r="H543" s="3" t="s">
        <v>27</v>
      </c>
      <c r="I543" s="3" t="s">
        <v>22</v>
      </c>
      <c r="K543" s="3" t="s">
        <v>1132</v>
      </c>
      <c r="L543" s="3" t="s">
        <v>1136</v>
      </c>
      <c r="M543" s="3" t="s">
        <v>1134</v>
      </c>
      <c r="O543" s="3" t="s">
        <v>72</v>
      </c>
      <c r="R543" s="7" t="str">
        <f>IF(H543="","",VLOOKUP(H543,'Hoja 9'!$A$1:$B$255,2,0))</f>
        <v>BOCA EN BOCA</v>
      </c>
      <c r="S543" s="7">
        <f t="shared" si="1"/>
        <v>2024</v>
      </c>
      <c r="T543" s="7">
        <f t="shared" si="2"/>
        <v>5</v>
      </c>
    </row>
    <row r="544">
      <c r="A544" s="4">
        <v>45430.54051553241</v>
      </c>
      <c r="B544" s="3" t="s">
        <v>1560</v>
      </c>
      <c r="C544" s="3" t="s">
        <v>727</v>
      </c>
      <c r="D544" s="3" t="s">
        <v>1561</v>
      </c>
      <c r="E544" s="5">
        <v>33524.0</v>
      </c>
      <c r="F544" s="3">
        <v>3.614133E7</v>
      </c>
      <c r="G544" s="3">
        <v>3.517630449E9</v>
      </c>
      <c r="H544" s="3" t="s">
        <v>21</v>
      </c>
      <c r="I544" s="3" t="s">
        <v>28</v>
      </c>
      <c r="K544" s="3" t="s">
        <v>1145</v>
      </c>
      <c r="R544" s="7" t="str">
        <f>IF(H544="","",VLOOKUP(H544,'Hoja 9'!$A$1:$B$255,2,0))</f>
        <v>GOOGLE</v>
      </c>
      <c r="S544" s="7">
        <f t="shared" si="1"/>
        <v>2024</v>
      </c>
      <c r="T544" s="7">
        <f t="shared" si="2"/>
        <v>5</v>
      </c>
    </row>
    <row r="545">
      <c r="A545" s="4">
        <v>45432.73453487268</v>
      </c>
      <c r="B545" s="3" t="s">
        <v>1562</v>
      </c>
      <c r="C545" s="3" t="s">
        <v>1563</v>
      </c>
      <c r="D545" s="3" t="s">
        <v>1564</v>
      </c>
      <c r="E545" s="5">
        <v>21666.0</v>
      </c>
      <c r="F545" s="3">
        <v>1.3036471E7</v>
      </c>
      <c r="G545" s="3">
        <v>2.944606553E9</v>
      </c>
      <c r="H545" s="3" t="s">
        <v>27</v>
      </c>
      <c r="I545" s="3" t="s">
        <v>22</v>
      </c>
      <c r="K545" s="3" t="s">
        <v>1132</v>
      </c>
      <c r="L545" s="3" t="s">
        <v>1565</v>
      </c>
      <c r="M545" s="3" t="s">
        <v>1134</v>
      </c>
      <c r="O545" s="3" t="s">
        <v>23</v>
      </c>
      <c r="R545" s="7" t="str">
        <f>IF(H545="","",VLOOKUP(H545,'Hoja 9'!$A$1:$B$255,2,0))</f>
        <v>BOCA EN BOCA</v>
      </c>
      <c r="S545" s="7">
        <f t="shared" si="1"/>
        <v>2024</v>
      </c>
      <c r="T545" s="7">
        <f t="shared" si="2"/>
        <v>5</v>
      </c>
    </row>
    <row r="546">
      <c r="A546" s="4">
        <v>45432.743445659726</v>
      </c>
      <c r="B546" s="3" t="s">
        <v>1566</v>
      </c>
      <c r="C546" s="3" t="s">
        <v>420</v>
      </c>
      <c r="D546" s="3" t="s">
        <v>1567</v>
      </c>
      <c r="E546" s="5">
        <v>16826.0</v>
      </c>
      <c r="F546" s="3">
        <v>7986243.0</v>
      </c>
      <c r="G546" s="3">
        <v>3.516371481E9</v>
      </c>
      <c r="H546" s="3" t="s">
        <v>21</v>
      </c>
      <c r="I546" s="3" t="s">
        <v>22</v>
      </c>
      <c r="K546" s="3" t="s">
        <v>1132</v>
      </c>
      <c r="L546" s="3" t="s">
        <v>1568</v>
      </c>
      <c r="M546" s="3" t="s">
        <v>1134</v>
      </c>
      <c r="O546" s="3" t="s">
        <v>359</v>
      </c>
      <c r="R546" s="7" t="str">
        <f>IF(H546="","",VLOOKUP(H546,'Hoja 9'!$A$1:$B$255,2,0))</f>
        <v>GOOGLE</v>
      </c>
      <c r="S546" s="7">
        <f t="shared" si="1"/>
        <v>2024</v>
      </c>
      <c r="T546" s="7">
        <f t="shared" si="2"/>
        <v>5</v>
      </c>
    </row>
    <row r="547">
      <c r="A547" s="4">
        <v>45433.83673152778</v>
      </c>
      <c r="B547" s="3" t="s">
        <v>1569</v>
      </c>
      <c r="C547" s="3" t="s">
        <v>1570</v>
      </c>
      <c r="D547" s="3" t="s">
        <v>1571</v>
      </c>
      <c r="E547" s="5">
        <v>24800.0</v>
      </c>
      <c r="F547" s="3">
        <v>1.8607619E7</v>
      </c>
      <c r="G547" s="3">
        <v>3.415779654E9</v>
      </c>
      <c r="H547" s="3" t="s">
        <v>44</v>
      </c>
      <c r="I547" s="3" t="s">
        <v>28</v>
      </c>
      <c r="K547" s="3" t="s">
        <v>1132</v>
      </c>
      <c r="L547" s="3" t="s">
        <v>1133</v>
      </c>
      <c r="M547" s="3" t="s">
        <v>1134</v>
      </c>
      <c r="R547" s="7" t="str">
        <f>IF(H547="","",VLOOKUP(H547,'Hoja 9'!$A$1:$B$255,2,0))</f>
        <v>GIMNASIO</v>
      </c>
      <c r="S547" s="7">
        <f t="shared" si="1"/>
        <v>2024</v>
      </c>
      <c r="T547" s="7">
        <f t="shared" si="2"/>
        <v>5</v>
      </c>
    </row>
    <row r="548">
      <c r="A548" s="4">
        <v>45434.44501357639</v>
      </c>
      <c r="B548" s="3" t="s">
        <v>1572</v>
      </c>
      <c r="C548" s="3" t="s">
        <v>1573</v>
      </c>
      <c r="D548" s="3" t="s">
        <v>1574</v>
      </c>
      <c r="E548" s="5" t="s">
        <v>1575</v>
      </c>
      <c r="F548" s="3">
        <v>2.1395884E7</v>
      </c>
      <c r="G548" s="3">
        <v>3.517678122E9</v>
      </c>
      <c r="H548" s="3" t="s">
        <v>27</v>
      </c>
      <c r="I548" s="3" t="s">
        <v>22</v>
      </c>
      <c r="K548" s="3" t="s">
        <v>1145</v>
      </c>
      <c r="O548" s="3" t="s">
        <v>23</v>
      </c>
      <c r="R548" s="7" t="str">
        <f>IF(H548="","",VLOOKUP(H548,'Hoja 9'!$A$1:$B$255,2,0))</f>
        <v>BOCA EN BOCA</v>
      </c>
      <c r="S548" s="7">
        <f t="shared" si="1"/>
        <v>2024</v>
      </c>
      <c r="T548" s="7">
        <f t="shared" si="2"/>
        <v>5</v>
      </c>
    </row>
    <row r="549">
      <c r="A549" s="4">
        <v>45434.73883084491</v>
      </c>
      <c r="B549" s="3" t="s">
        <v>1576</v>
      </c>
      <c r="C549" s="3" t="s">
        <v>1577</v>
      </c>
      <c r="D549" s="3" t="s">
        <v>1578</v>
      </c>
      <c r="E549" s="5">
        <v>41047.0</v>
      </c>
      <c r="F549" s="3">
        <v>5.2210081E7</v>
      </c>
      <c r="G549" s="3">
        <v>3.51633243E9</v>
      </c>
      <c r="H549" s="3" t="s">
        <v>27</v>
      </c>
      <c r="I549" s="3" t="s">
        <v>28</v>
      </c>
      <c r="K549" s="3" t="s">
        <v>1132</v>
      </c>
      <c r="L549" s="3" t="s">
        <v>1579</v>
      </c>
      <c r="M549" s="3" t="s">
        <v>1134</v>
      </c>
      <c r="R549" s="7" t="str">
        <f>IF(H549="","",VLOOKUP(H549,'Hoja 9'!$A$1:$B$255,2,0))</f>
        <v>BOCA EN BOCA</v>
      </c>
      <c r="S549" s="7">
        <f t="shared" si="1"/>
        <v>2024</v>
      </c>
      <c r="T549" s="7">
        <f t="shared" si="2"/>
        <v>5</v>
      </c>
    </row>
    <row r="550">
      <c r="A550" s="4">
        <v>45434.74117987268</v>
      </c>
      <c r="B550" s="3" t="s">
        <v>1580</v>
      </c>
      <c r="C550" s="3" t="s">
        <v>681</v>
      </c>
      <c r="D550" s="3" t="s">
        <v>1581</v>
      </c>
      <c r="E550" s="5">
        <v>39513.0</v>
      </c>
      <c r="F550" s="3">
        <v>4.7819784E7</v>
      </c>
      <c r="G550" s="3">
        <v>3.515913364E9</v>
      </c>
      <c r="H550" s="3" t="s">
        <v>21</v>
      </c>
      <c r="I550" s="3" t="s">
        <v>22</v>
      </c>
      <c r="K550" s="3" t="s">
        <v>1132</v>
      </c>
      <c r="L550" s="3" t="s">
        <v>1136</v>
      </c>
      <c r="M550" s="3" t="s">
        <v>1134</v>
      </c>
      <c r="O550" s="3" t="s">
        <v>58</v>
      </c>
      <c r="R550" s="7" t="str">
        <f>IF(H550="","",VLOOKUP(H550,'Hoja 9'!$A$1:$B$255,2,0))</f>
        <v>GOOGLE</v>
      </c>
      <c r="S550" s="7">
        <f t="shared" si="1"/>
        <v>2024</v>
      </c>
      <c r="T550" s="7">
        <f t="shared" si="2"/>
        <v>5</v>
      </c>
    </row>
    <row r="551">
      <c r="A551" s="4">
        <v>45434.82096269676</v>
      </c>
      <c r="B551" s="3" t="s">
        <v>1582</v>
      </c>
      <c r="C551" s="3" t="s">
        <v>1583</v>
      </c>
      <c r="D551" s="3" t="s">
        <v>1584</v>
      </c>
      <c r="E551" s="5">
        <v>17041.0</v>
      </c>
      <c r="F551" s="3">
        <v>5452578.0</v>
      </c>
      <c r="G551" s="3">
        <v>3.516646943E9</v>
      </c>
      <c r="H551" s="3" t="s">
        <v>21</v>
      </c>
      <c r="I551" s="3" t="s">
        <v>22</v>
      </c>
      <c r="K551" s="3" t="s">
        <v>1145</v>
      </c>
      <c r="O551" s="3" t="s">
        <v>23</v>
      </c>
      <c r="R551" s="7" t="str">
        <f>IF(H551="","",VLOOKUP(H551,'Hoja 9'!$A$1:$B$255,2,0))</f>
        <v>GOOGLE</v>
      </c>
      <c r="S551" s="7">
        <f t="shared" si="1"/>
        <v>2024</v>
      </c>
      <c r="T551" s="7">
        <f t="shared" si="2"/>
        <v>5</v>
      </c>
    </row>
    <row r="552">
      <c r="A552" s="4">
        <v>45436.858789398146</v>
      </c>
      <c r="B552" s="3" t="s">
        <v>100</v>
      </c>
      <c r="C552" s="3" t="s">
        <v>1241</v>
      </c>
      <c r="D552" s="3" t="s">
        <v>1585</v>
      </c>
      <c r="E552" s="5">
        <v>32279.0</v>
      </c>
      <c r="F552" s="3">
        <v>3.3391389E7</v>
      </c>
      <c r="G552" s="3">
        <v>3.572548472E9</v>
      </c>
      <c r="H552" s="3" t="s">
        <v>148</v>
      </c>
      <c r="I552" s="3" t="s">
        <v>22</v>
      </c>
      <c r="K552" s="3" t="s">
        <v>1132</v>
      </c>
      <c r="L552" s="3" t="s">
        <v>1136</v>
      </c>
      <c r="M552" s="3" t="s">
        <v>1134</v>
      </c>
      <c r="O552" s="3" t="s">
        <v>149</v>
      </c>
      <c r="R552" s="7" t="str">
        <f>IF(H552="","",VLOOKUP(H552,'Hoja 9'!$A$1:$B$255,2,0))</f>
        <v>OBRA SOCIAL</v>
      </c>
      <c r="S552" s="7">
        <f t="shared" si="1"/>
        <v>2024</v>
      </c>
      <c r="T552" s="7">
        <f t="shared" si="2"/>
        <v>5</v>
      </c>
    </row>
    <row r="553">
      <c r="A553" s="4">
        <v>45439.66710935185</v>
      </c>
      <c r="B553" s="3" t="s">
        <v>1586</v>
      </c>
      <c r="C553" s="3" t="s">
        <v>727</v>
      </c>
      <c r="D553" s="3" t="s">
        <v>1587</v>
      </c>
      <c r="E553" s="5">
        <v>34751.0</v>
      </c>
      <c r="F553" s="3">
        <v>3.8984659E7</v>
      </c>
      <c r="G553" s="3">
        <v>3.51272711E9</v>
      </c>
      <c r="H553" s="3" t="s">
        <v>44</v>
      </c>
      <c r="I553" s="3" t="s">
        <v>28</v>
      </c>
      <c r="K553" s="3" t="s">
        <v>1145</v>
      </c>
      <c r="R553" s="7" t="str">
        <f>IF(H553="","",VLOOKUP(H553,'Hoja 9'!$A$1:$B$255,2,0))</f>
        <v>GIMNASIO</v>
      </c>
      <c r="S553" s="7">
        <f t="shared" si="1"/>
        <v>2024</v>
      </c>
      <c r="T553" s="7">
        <f t="shared" si="2"/>
        <v>5</v>
      </c>
    </row>
    <row r="554">
      <c r="A554" s="4">
        <v>45439.80456204861</v>
      </c>
      <c r="B554" s="3" t="s">
        <v>1588</v>
      </c>
      <c r="C554" s="3" t="s">
        <v>1589</v>
      </c>
      <c r="D554" s="3" t="s">
        <v>1590</v>
      </c>
      <c r="E554" s="5">
        <v>35585.0</v>
      </c>
      <c r="F554" s="3">
        <v>4.0246552E7</v>
      </c>
      <c r="G554" s="3">
        <v>3.51676597E9</v>
      </c>
      <c r="H554" s="3" t="s">
        <v>44</v>
      </c>
      <c r="I554" s="3" t="s">
        <v>22</v>
      </c>
      <c r="K554" s="3" t="s">
        <v>1132</v>
      </c>
      <c r="L554" s="3" t="s">
        <v>1133</v>
      </c>
      <c r="M554" s="3" t="s">
        <v>1134</v>
      </c>
      <c r="O554" s="3" t="s">
        <v>23</v>
      </c>
      <c r="R554" s="7" t="str">
        <f>IF(H554="","",VLOOKUP(H554,'Hoja 9'!$A$1:$B$255,2,0))</f>
        <v>GIMNASIO</v>
      </c>
      <c r="S554" s="7">
        <f t="shared" si="1"/>
        <v>2024</v>
      </c>
      <c r="T554" s="7">
        <f t="shared" si="2"/>
        <v>5</v>
      </c>
    </row>
    <row r="555">
      <c r="A555" s="4">
        <v>45440.39837023148</v>
      </c>
      <c r="B555" s="3" t="s">
        <v>1591</v>
      </c>
      <c r="C555" s="3" t="s">
        <v>1592</v>
      </c>
      <c r="D555" s="3" t="s">
        <v>1593</v>
      </c>
      <c r="E555" s="5">
        <v>34472.0</v>
      </c>
      <c r="F555" s="3">
        <v>3.8182695E7</v>
      </c>
      <c r="G555" s="3">
        <v>3.515908389E9</v>
      </c>
      <c r="H555" s="3" t="s">
        <v>21</v>
      </c>
      <c r="I555" s="3" t="s">
        <v>22</v>
      </c>
      <c r="K555" s="3" t="s">
        <v>1132</v>
      </c>
      <c r="L555" s="3" t="s">
        <v>1133</v>
      </c>
      <c r="M555" s="3" t="s">
        <v>1134</v>
      </c>
      <c r="O555" s="3" t="s">
        <v>58</v>
      </c>
      <c r="R555" s="7" t="str">
        <f>IF(H555="","",VLOOKUP(H555,'Hoja 9'!$A$1:$B$255,2,0))</f>
        <v>GOOGLE</v>
      </c>
      <c r="S555" s="7">
        <f t="shared" si="1"/>
        <v>2024</v>
      </c>
      <c r="T555" s="7">
        <f t="shared" si="2"/>
        <v>5</v>
      </c>
    </row>
    <row r="556">
      <c r="A556" s="4">
        <v>45440.47381488426</v>
      </c>
      <c r="B556" s="3" t="s">
        <v>1594</v>
      </c>
      <c r="C556" s="3" t="s">
        <v>1595</v>
      </c>
      <c r="E556" s="5">
        <v>22235.0</v>
      </c>
      <c r="F556" s="3">
        <v>1.4057387E7</v>
      </c>
      <c r="G556" s="3">
        <v>3.518080998E9</v>
      </c>
      <c r="H556" s="3" t="s">
        <v>21</v>
      </c>
      <c r="I556" s="3" t="s">
        <v>22</v>
      </c>
      <c r="K556" s="3" t="s">
        <v>1132</v>
      </c>
      <c r="L556" s="3" t="s">
        <v>1133</v>
      </c>
      <c r="M556" s="3" t="s">
        <v>1134</v>
      </c>
      <c r="O556" s="3" t="s">
        <v>23</v>
      </c>
      <c r="R556" s="7" t="str">
        <f>IF(H556="","",VLOOKUP(H556,'Hoja 9'!$A$1:$B$255,2,0))</f>
        <v>GOOGLE</v>
      </c>
      <c r="S556" s="7">
        <f t="shared" si="1"/>
        <v>2024</v>
      </c>
      <c r="T556" s="7">
        <f t="shared" si="2"/>
        <v>5</v>
      </c>
    </row>
    <row r="557">
      <c r="A557" s="4">
        <v>45442.42105765046</v>
      </c>
      <c r="B557" s="3" t="s">
        <v>1596</v>
      </c>
      <c r="C557" s="3" t="s">
        <v>896</v>
      </c>
      <c r="D557" s="3" t="s">
        <v>1597</v>
      </c>
      <c r="E557" s="5">
        <v>25024.0</v>
      </c>
      <c r="F557" s="3">
        <v>2.0033277E7</v>
      </c>
      <c r="G557" s="3">
        <v>3.512238507E9</v>
      </c>
      <c r="H557" s="3" t="s">
        <v>21</v>
      </c>
      <c r="I557" s="3" t="s">
        <v>22</v>
      </c>
      <c r="K557" s="3" t="s">
        <v>1132</v>
      </c>
      <c r="L557" s="3" t="s">
        <v>1382</v>
      </c>
      <c r="M557" s="3" t="s">
        <v>1134</v>
      </c>
      <c r="O557" s="3" t="s">
        <v>23</v>
      </c>
      <c r="R557" s="7" t="str">
        <f>IF(H557="","",VLOOKUP(H557,'Hoja 9'!$A$1:$B$255,2,0))</f>
        <v>GOOGLE</v>
      </c>
      <c r="S557" s="7">
        <f t="shared" si="1"/>
        <v>2024</v>
      </c>
      <c r="T557" s="7">
        <f t="shared" si="2"/>
        <v>5</v>
      </c>
    </row>
    <row r="558">
      <c r="A558" s="4">
        <v>45444.39619650463</v>
      </c>
      <c r="B558" s="3" t="s">
        <v>787</v>
      </c>
      <c r="C558" s="3" t="s">
        <v>1598</v>
      </c>
      <c r="D558" s="3" t="s">
        <v>1599</v>
      </c>
      <c r="E558" s="5">
        <v>26245.0</v>
      </c>
      <c r="F558" s="3">
        <v>2.2373745E7</v>
      </c>
      <c r="G558" s="3">
        <v>3.516872041E9</v>
      </c>
      <c r="H558" s="3" t="s">
        <v>1600</v>
      </c>
      <c r="I558" s="3" t="s">
        <v>22</v>
      </c>
      <c r="K558" s="3" t="s">
        <v>1132</v>
      </c>
      <c r="L558" s="3" t="s">
        <v>1172</v>
      </c>
      <c r="M558" s="3" t="s">
        <v>1137</v>
      </c>
      <c r="O558" s="3" t="s">
        <v>23</v>
      </c>
      <c r="R558" s="7" t="str">
        <f>IF(H558="","",VLOOKUP(H558,'Hoja 9'!$A$1:$B$255,2,0))</f>
        <v>BOCA EN BOCA</v>
      </c>
      <c r="S558" s="7">
        <f t="shared" si="1"/>
        <v>2024</v>
      </c>
      <c r="T558" s="7">
        <f t="shared" si="2"/>
        <v>6</v>
      </c>
    </row>
    <row r="559">
      <c r="A559" s="4">
        <v>45444.404521944445</v>
      </c>
      <c r="B559" s="3" t="s">
        <v>1272</v>
      </c>
      <c r="C559" s="3" t="s">
        <v>1601</v>
      </c>
      <c r="D559" s="3" t="s">
        <v>1602</v>
      </c>
      <c r="E559" s="5">
        <v>15835.0</v>
      </c>
      <c r="F559" s="3">
        <v>7972132.0</v>
      </c>
      <c r="G559" s="3">
        <v>3.516379799E9</v>
      </c>
      <c r="H559" s="3" t="s">
        <v>21</v>
      </c>
      <c r="I559" s="3" t="s">
        <v>22</v>
      </c>
      <c r="K559" s="3" t="s">
        <v>1145</v>
      </c>
      <c r="O559" s="3" t="s">
        <v>23</v>
      </c>
      <c r="R559" s="7" t="str">
        <f>IF(H559="","",VLOOKUP(H559,'Hoja 9'!$A$1:$B$255,2,0))</f>
        <v>GOOGLE</v>
      </c>
      <c r="S559" s="7">
        <f t="shared" si="1"/>
        <v>2024</v>
      </c>
      <c r="T559" s="7">
        <f t="shared" si="2"/>
        <v>6</v>
      </c>
    </row>
    <row r="560">
      <c r="A560" s="4">
        <v>45444.40660425926</v>
      </c>
      <c r="B560" s="3" t="s">
        <v>1603</v>
      </c>
      <c r="C560" s="3" t="s">
        <v>1604</v>
      </c>
      <c r="D560" s="3" t="s">
        <v>1602</v>
      </c>
      <c r="E560" s="5">
        <v>18560.0</v>
      </c>
      <c r="F560" s="3">
        <v>6398193.0</v>
      </c>
      <c r="G560" s="3">
        <v>3.516379799E9</v>
      </c>
      <c r="H560" s="3" t="s">
        <v>21</v>
      </c>
      <c r="I560" s="3" t="s">
        <v>22</v>
      </c>
      <c r="K560" s="3" t="s">
        <v>1132</v>
      </c>
      <c r="L560" s="3" t="s">
        <v>1605</v>
      </c>
      <c r="M560" s="3" t="s">
        <v>1137</v>
      </c>
      <c r="O560" s="3" t="s">
        <v>72</v>
      </c>
      <c r="R560" s="7" t="str">
        <f>IF(H560="","",VLOOKUP(H560,'Hoja 9'!$A$1:$B$255,2,0))</f>
        <v>GOOGLE</v>
      </c>
      <c r="S560" s="7">
        <f t="shared" si="1"/>
        <v>2024</v>
      </c>
      <c r="T560" s="7">
        <f t="shared" si="2"/>
        <v>6</v>
      </c>
    </row>
    <row r="561">
      <c r="A561" s="4">
        <v>45446.51922887731</v>
      </c>
      <c r="B561" s="3" t="s">
        <v>190</v>
      </c>
      <c r="C561" s="3" t="s">
        <v>1606</v>
      </c>
      <c r="D561" s="3" t="s">
        <v>1607</v>
      </c>
      <c r="E561" s="5">
        <v>23641.0</v>
      </c>
      <c r="F561" s="3">
        <v>1.6907262E7</v>
      </c>
      <c r="G561" s="3">
        <v>3.516641216E9</v>
      </c>
      <c r="H561" s="3" t="s">
        <v>27</v>
      </c>
      <c r="I561" s="3" t="s">
        <v>28</v>
      </c>
      <c r="K561" s="3" t="s">
        <v>1132</v>
      </c>
      <c r="L561" s="3" t="s">
        <v>1404</v>
      </c>
      <c r="M561" s="3" t="s">
        <v>1137</v>
      </c>
      <c r="R561" s="7" t="str">
        <f>IF(H561="","",VLOOKUP(H561,'Hoja 9'!$A$1:$B$255,2,0))</f>
        <v>BOCA EN BOCA</v>
      </c>
      <c r="S561" s="7">
        <f t="shared" si="1"/>
        <v>2024</v>
      </c>
      <c r="T561" s="7">
        <f t="shared" si="2"/>
        <v>6</v>
      </c>
    </row>
    <row r="562">
      <c r="A562" s="4">
        <v>45447.50917871528</v>
      </c>
      <c r="B562" s="3" t="s">
        <v>1608</v>
      </c>
      <c r="C562" s="3" t="s">
        <v>993</v>
      </c>
      <c r="D562" s="3" t="s">
        <v>1609</v>
      </c>
      <c r="E562" s="5">
        <v>41292.0</v>
      </c>
      <c r="F562" s="3">
        <v>5.2862345E7</v>
      </c>
      <c r="G562" s="3">
        <v>3.516136605E9</v>
      </c>
      <c r="H562" s="3" t="s">
        <v>27</v>
      </c>
      <c r="I562" s="3" t="s">
        <v>22</v>
      </c>
      <c r="K562" s="3" t="s">
        <v>1132</v>
      </c>
      <c r="L562" s="3" t="s">
        <v>1136</v>
      </c>
      <c r="M562" s="3" t="s">
        <v>1134</v>
      </c>
      <c r="O562" s="3" t="s">
        <v>23</v>
      </c>
      <c r="R562" s="7" t="str">
        <f>IF(H562="","",VLOOKUP(H562,'Hoja 9'!$A$1:$B$255,2,0))</f>
        <v>BOCA EN BOCA</v>
      </c>
      <c r="S562" s="7">
        <f t="shared" si="1"/>
        <v>2024</v>
      </c>
      <c r="T562" s="7">
        <f t="shared" si="2"/>
        <v>6</v>
      </c>
    </row>
    <row r="563">
      <c r="A563" s="4">
        <v>45448.6335250463</v>
      </c>
      <c r="B563" s="3" t="s">
        <v>1610</v>
      </c>
      <c r="C563" s="3" t="s">
        <v>1611</v>
      </c>
      <c r="D563" s="3" t="s">
        <v>1612</v>
      </c>
      <c r="E563" s="5">
        <v>27689.0</v>
      </c>
      <c r="F563" s="3">
        <v>2.4841442E7</v>
      </c>
      <c r="G563" s="3">
        <v>3.513545007E9</v>
      </c>
      <c r="H563" s="3" t="s">
        <v>27</v>
      </c>
      <c r="I563" s="3" t="s">
        <v>22</v>
      </c>
      <c r="K563" s="3" t="s">
        <v>1145</v>
      </c>
      <c r="O563" s="3" t="s">
        <v>23</v>
      </c>
      <c r="R563" s="7" t="str">
        <f>IF(H563="","",VLOOKUP(H563,'Hoja 9'!$A$1:$B$255,2,0))</f>
        <v>BOCA EN BOCA</v>
      </c>
      <c r="S563" s="7">
        <f t="shared" si="1"/>
        <v>2024</v>
      </c>
      <c r="T563" s="7">
        <f t="shared" si="2"/>
        <v>6</v>
      </c>
    </row>
    <row r="564">
      <c r="A564" s="4">
        <v>45448.71085643518</v>
      </c>
      <c r="B564" s="3" t="s">
        <v>1613</v>
      </c>
      <c r="C564" s="3" t="s">
        <v>1614</v>
      </c>
      <c r="D564" s="3" t="s">
        <v>1615</v>
      </c>
      <c r="E564" s="5">
        <v>37469.0</v>
      </c>
      <c r="F564" s="3">
        <v>4.5081579E7</v>
      </c>
      <c r="G564" s="3">
        <v>3.512480097E9</v>
      </c>
      <c r="H564" s="3" t="s">
        <v>44</v>
      </c>
      <c r="I564" s="3" t="s">
        <v>28</v>
      </c>
      <c r="K564" s="3" t="s">
        <v>1132</v>
      </c>
      <c r="L564" s="3" t="s">
        <v>1133</v>
      </c>
      <c r="M564" s="3" t="s">
        <v>1213</v>
      </c>
      <c r="R564" s="7" t="str">
        <f>IF(H564="","",VLOOKUP(H564,'Hoja 9'!$A$1:$B$255,2,0))</f>
        <v>GIMNASIO</v>
      </c>
      <c r="S564" s="7">
        <f t="shared" si="1"/>
        <v>2024</v>
      </c>
      <c r="T564" s="7">
        <f t="shared" si="2"/>
        <v>6</v>
      </c>
    </row>
    <row r="565">
      <c r="A565" s="4">
        <v>45448.742748275465</v>
      </c>
      <c r="B565" s="3" t="s">
        <v>1616</v>
      </c>
      <c r="C565" s="3" t="s">
        <v>1617</v>
      </c>
      <c r="D565" s="3" t="s">
        <v>1618</v>
      </c>
      <c r="E565" s="5">
        <v>23995.0</v>
      </c>
      <c r="F565" s="3">
        <v>1.7625264E7</v>
      </c>
      <c r="G565" s="3">
        <v>3.515186926E9</v>
      </c>
      <c r="H565" s="3" t="s">
        <v>44</v>
      </c>
      <c r="I565" s="3" t="s">
        <v>22</v>
      </c>
      <c r="K565" s="3" t="s">
        <v>1132</v>
      </c>
      <c r="L565" s="3" t="s">
        <v>1544</v>
      </c>
      <c r="M565" s="3" t="s">
        <v>1134</v>
      </c>
      <c r="O565" s="3" t="s">
        <v>68</v>
      </c>
      <c r="R565" s="7" t="str">
        <f>IF(H565="","",VLOOKUP(H565,'Hoja 9'!$A$1:$B$255,2,0))</f>
        <v>GIMNASIO</v>
      </c>
      <c r="S565" s="7">
        <f t="shared" si="1"/>
        <v>2024</v>
      </c>
      <c r="T565" s="7">
        <f t="shared" si="2"/>
        <v>6</v>
      </c>
    </row>
    <row r="566">
      <c r="A566" s="4">
        <v>45448.79335230324</v>
      </c>
      <c r="B566" s="3" t="s">
        <v>1619</v>
      </c>
      <c r="C566" s="3" t="s">
        <v>567</v>
      </c>
      <c r="D566" s="3" t="s">
        <v>1620</v>
      </c>
      <c r="E566" s="5">
        <v>25735.0</v>
      </c>
      <c r="F566" s="3">
        <v>2.1398244E7</v>
      </c>
      <c r="G566" s="3">
        <v>3.516547039E9</v>
      </c>
      <c r="H566" s="3" t="s">
        <v>44</v>
      </c>
      <c r="I566" s="3" t="s">
        <v>22</v>
      </c>
      <c r="K566" s="3" t="s">
        <v>1132</v>
      </c>
      <c r="L566" s="3" t="s">
        <v>1133</v>
      </c>
      <c r="M566" s="3" t="s">
        <v>1134</v>
      </c>
      <c r="O566" s="3" t="s">
        <v>72</v>
      </c>
      <c r="R566" s="7" t="str">
        <f>IF(H566="","",VLOOKUP(H566,'Hoja 9'!$A$1:$B$255,2,0))</f>
        <v>GIMNASIO</v>
      </c>
      <c r="S566" s="7">
        <f t="shared" si="1"/>
        <v>2024</v>
      </c>
      <c r="T566" s="7">
        <f t="shared" si="2"/>
        <v>6</v>
      </c>
    </row>
    <row r="567">
      <c r="A567" s="4">
        <v>45453.67293159722</v>
      </c>
      <c r="B567" s="3" t="s">
        <v>1621</v>
      </c>
      <c r="C567" s="3" t="s">
        <v>1622</v>
      </c>
      <c r="D567" s="3" t="s">
        <v>1623</v>
      </c>
      <c r="E567" s="5">
        <v>37996.0</v>
      </c>
      <c r="F567" s="3">
        <v>4.5243123E7</v>
      </c>
      <c r="G567" s="3">
        <v>3.512606496E9</v>
      </c>
      <c r="H567" s="3" t="s">
        <v>27</v>
      </c>
      <c r="I567" s="3" t="s">
        <v>22</v>
      </c>
      <c r="K567" s="3" t="s">
        <v>1132</v>
      </c>
      <c r="L567" s="3" t="s">
        <v>1136</v>
      </c>
      <c r="M567" s="3" t="s">
        <v>1137</v>
      </c>
      <c r="O567" s="3" t="s">
        <v>23</v>
      </c>
      <c r="R567" s="7" t="str">
        <f>IF(H567="","",VLOOKUP(H567,'Hoja 9'!$A$1:$B$255,2,0))</f>
        <v>BOCA EN BOCA</v>
      </c>
      <c r="S567" s="7">
        <f t="shared" si="1"/>
        <v>2024</v>
      </c>
      <c r="T567" s="7">
        <f t="shared" si="2"/>
        <v>6</v>
      </c>
    </row>
    <row r="568">
      <c r="A568" s="4">
        <v>45453.79267623843</v>
      </c>
      <c r="B568" s="3" t="s">
        <v>1624</v>
      </c>
      <c r="C568" s="3" t="s">
        <v>1625</v>
      </c>
      <c r="D568" s="3" t="s">
        <v>1626</v>
      </c>
      <c r="E568" s="5">
        <v>24445.0</v>
      </c>
      <c r="F568" s="3">
        <v>1.8174227E7</v>
      </c>
      <c r="G568" s="3">
        <v>3.516878235E9</v>
      </c>
      <c r="H568" s="3" t="s">
        <v>27</v>
      </c>
      <c r="I568" s="3" t="s">
        <v>28</v>
      </c>
      <c r="K568" s="3" t="s">
        <v>1132</v>
      </c>
      <c r="L568" s="3" t="s">
        <v>1404</v>
      </c>
      <c r="M568" s="3" t="s">
        <v>1213</v>
      </c>
      <c r="R568" s="7" t="str">
        <f>IF(H568="","",VLOOKUP(H568,'Hoja 9'!$A$1:$B$255,2,0))</f>
        <v>BOCA EN BOCA</v>
      </c>
      <c r="S568" s="7">
        <f t="shared" si="1"/>
        <v>2024</v>
      </c>
      <c r="T568" s="7">
        <f t="shared" si="2"/>
        <v>6</v>
      </c>
    </row>
    <row r="569">
      <c r="A569" s="4">
        <v>45453.95019423611</v>
      </c>
      <c r="B569" s="3" t="s">
        <v>1627</v>
      </c>
      <c r="C569" s="3" t="s">
        <v>162</v>
      </c>
      <c r="D569" s="3" t="s">
        <v>1628</v>
      </c>
      <c r="E569" s="5">
        <v>32396.0</v>
      </c>
      <c r="F569" s="3">
        <v>3.389482E7</v>
      </c>
      <c r="G569" s="3">
        <v>3.518058807E9</v>
      </c>
      <c r="H569" s="3" t="s">
        <v>244</v>
      </c>
      <c r="I569" s="3" t="s">
        <v>22</v>
      </c>
      <c r="K569" s="3" t="s">
        <v>1132</v>
      </c>
      <c r="L569" s="3" t="s">
        <v>1404</v>
      </c>
      <c r="M569" s="3" t="s">
        <v>1134</v>
      </c>
      <c r="O569" s="3" t="s">
        <v>1629</v>
      </c>
      <c r="R569" s="7" t="str">
        <f>IF(H569="","",VLOOKUP(H569,'Hoja 9'!$A$1:$B$255,2,0))</f>
        <v>META</v>
      </c>
      <c r="S569" s="7">
        <f t="shared" si="1"/>
        <v>2024</v>
      </c>
      <c r="T569" s="7">
        <f t="shared" si="2"/>
        <v>6</v>
      </c>
    </row>
    <row r="570">
      <c r="A570" s="4">
        <v>45455.832310474536</v>
      </c>
      <c r="B570" s="3" t="s">
        <v>1630</v>
      </c>
      <c r="C570" s="3" t="s">
        <v>1631</v>
      </c>
      <c r="D570" s="3" t="s">
        <v>1632</v>
      </c>
      <c r="E570" s="5">
        <v>30972.0</v>
      </c>
      <c r="F570" s="3">
        <v>3.1057686E7</v>
      </c>
      <c r="G570" s="3">
        <v>3.513139577E9</v>
      </c>
      <c r="H570" s="3" t="s">
        <v>21</v>
      </c>
      <c r="I570" s="3" t="s">
        <v>22</v>
      </c>
      <c r="K570" s="3" t="s">
        <v>1132</v>
      </c>
      <c r="L570" s="3" t="s">
        <v>1136</v>
      </c>
      <c r="M570" s="3" t="s">
        <v>1137</v>
      </c>
      <c r="O570" s="3" t="s">
        <v>149</v>
      </c>
      <c r="R570" s="7" t="str">
        <f>IF(H570="","",VLOOKUP(H570,'Hoja 9'!$A$1:$B$255,2,0))</f>
        <v>GOOGLE</v>
      </c>
      <c r="S570" s="7">
        <f t="shared" si="1"/>
        <v>2024</v>
      </c>
      <c r="T570" s="7">
        <f t="shared" si="2"/>
        <v>6</v>
      </c>
    </row>
    <row r="571">
      <c r="A571" s="4">
        <v>45455.851470023146</v>
      </c>
      <c r="B571" s="3" t="s">
        <v>1633</v>
      </c>
      <c r="C571" s="3" t="s">
        <v>681</v>
      </c>
      <c r="D571" s="3" t="s">
        <v>1634</v>
      </c>
      <c r="E571" s="5">
        <v>37203.0</v>
      </c>
      <c r="F571" s="8">
        <v>4.3763356E7</v>
      </c>
      <c r="G571" s="3">
        <v>2.645300647E9</v>
      </c>
      <c r="H571" s="3" t="s">
        <v>21</v>
      </c>
      <c r="I571" s="3" t="s">
        <v>28</v>
      </c>
      <c r="K571" s="3" t="s">
        <v>1145</v>
      </c>
      <c r="R571" s="7" t="str">
        <f>IF(H571="","",VLOOKUP(H571,'Hoja 9'!$A$1:$B$255,2,0))</f>
        <v>GOOGLE</v>
      </c>
      <c r="S571" s="7">
        <f t="shared" si="1"/>
        <v>2024</v>
      </c>
      <c r="T571" s="7">
        <f t="shared" si="2"/>
        <v>6</v>
      </c>
    </row>
    <row r="572">
      <c r="A572" s="4">
        <v>45461.61398025463</v>
      </c>
      <c r="B572" s="3" t="s">
        <v>1635</v>
      </c>
      <c r="C572" s="3" t="s">
        <v>1636</v>
      </c>
      <c r="D572" s="3" t="s">
        <v>1637</v>
      </c>
      <c r="E572" s="5">
        <v>32396.0</v>
      </c>
      <c r="F572" s="3">
        <v>3.3892932E7</v>
      </c>
      <c r="G572" s="3">
        <v>3.517548373E9</v>
      </c>
      <c r="H572" s="3" t="s">
        <v>27</v>
      </c>
      <c r="I572" s="3" t="s">
        <v>28</v>
      </c>
      <c r="K572" s="3" t="s">
        <v>1132</v>
      </c>
      <c r="L572" s="3" t="s">
        <v>1404</v>
      </c>
      <c r="M572" s="3" t="s">
        <v>1134</v>
      </c>
      <c r="R572" s="7" t="str">
        <f>IF(H572="","",VLOOKUP(H572,'Hoja 9'!$A$1:$B$255,2,0))</f>
        <v>BOCA EN BOCA</v>
      </c>
      <c r="S572" s="7">
        <f t="shared" si="1"/>
        <v>2024</v>
      </c>
      <c r="T572" s="7">
        <f t="shared" si="2"/>
        <v>6</v>
      </c>
    </row>
    <row r="573">
      <c r="A573" s="4">
        <v>45462.78624177084</v>
      </c>
      <c r="B573" s="3" t="s">
        <v>1638</v>
      </c>
      <c r="C573" s="3" t="s">
        <v>1639</v>
      </c>
      <c r="D573" s="3" t="s">
        <v>1640</v>
      </c>
      <c r="E573" s="5">
        <v>35927.0</v>
      </c>
      <c r="F573" s="3">
        <v>4.111539E7</v>
      </c>
      <c r="G573" s="3">
        <v>3.543642008E9</v>
      </c>
      <c r="H573" s="3" t="s">
        <v>21</v>
      </c>
      <c r="I573" s="3" t="s">
        <v>28</v>
      </c>
      <c r="K573" s="3" t="s">
        <v>1132</v>
      </c>
      <c r="L573" s="3" t="s">
        <v>1133</v>
      </c>
      <c r="M573" s="3" t="s">
        <v>1134</v>
      </c>
      <c r="R573" s="7" t="str">
        <f>IF(H573="","",VLOOKUP(H573,'Hoja 9'!$A$1:$B$255,2,0))</f>
        <v>GOOGLE</v>
      </c>
      <c r="S573" s="7">
        <f t="shared" si="1"/>
        <v>2024</v>
      </c>
      <c r="T573" s="7">
        <f t="shared" si="2"/>
        <v>6</v>
      </c>
    </row>
    <row r="574">
      <c r="A574" s="4">
        <v>45463.838611134255</v>
      </c>
      <c r="B574" s="3" t="s">
        <v>1641</v>
      </c>
      <c r="C574" s="3" t="s">
        <v>1642</v>
      </c>
      <c r="D574" s="3" t="s">
        <v>1643</v>
      </c>
      <c r="E574" s="5">
        <v>38330.0</v>
      </c>
      <c r="F574" s="3">
        <v>4.6032866E7</v>
      </c>
      <c r="G574" s="3">
        <v>3.513083558E9</v>
      </c>
      <c r="H574" s="3" t="s">
        <v>27</v>
      </c>
      <c r="I574" s="3" t="s">
        <v>22</v>
      </c>
      <c r="K574" s="3" t="s">
        <v>1132</v>
      </c>
      <c r="L574" s="3" t="s">
        <v>1401</v>
      </c>
      <c r="M574" s="3" t="s">
        <v>1134</v>
      </c>
      <c r="O574" s="3" t="s">
        <v>831</v>
      </c>
      <c r="R574" s="7" t="str">
        <f>IF(H574="","",VLOOKUP(H574,'Hoja 9'!$A$1:$B$255,2,0))</f>
        <v>BOCA EN BOCA</v>
      </c>
      <c r="S574" s="7">
        <f t="shared" si="1"/>
        <v>2024</v>
      </c>
      <c r="T574" s="7">
        <f t="shared" si="2"/>
        <v>6</v>
      </c>
    </row>
    <row r="575">
      <c r="A575" s="4">
        <v>45467.68085815972</v>
      </c>
      <c r="B575" s="3" t="s">
        <v>1644</v>
      </c>
      <c r="C575" s="3" t="s">
        <v>1645</v>
      </c>
      <c r="D575" s="3" t="s">
        <v>1646</v>
      </c>
      <c r="E575" s="5">
        <v>36199.0</v>
      </c>
      <c r="F575" s="3">
        <v>4.1735937E7</v>
      </c>
      <c r="G575" s="3">
        <v>3.517535954E9</v>
      </c>
      <c r="H575" s="3" t="s">
        <v>27</v>
      </c>
      <c r="I575" s="3" t="s">
        <v>28</v>
      </c>
      <c r="K575" s="3" t="s">
        <v>1132</v>
      </c>
      <c r="L575" s="3" t="s">
        <v>1136</v>
      </c>
      <c r="R575" s="7" t="str">
        <f>IF(H575="","",VLOOKUP(H575,'Hoja 9'!$A$1:$B$255,2,0))</f>
        <v>BOCA EN BOCA</v>
      </c>
      <c r="S575" s="7">
        <f t="shared" si="1"/>
        <v>2024</v>
      </c>
      <c r="T575" s="7">
        <f t="shared" si="2"/>
        <v>6</v>
      </c>
    </row>
    <row r="576">
      <c r="A576" s="4">
        <v>45467.75726333333</v>
      </c>
      <c r="B576" s="3" t="s">
        <v>1647</v>
      </c>
      <c r="C576" s="3" t="s">
        <v>108</v>
      </c>
      <c r="D576" s="3" t="s">
        <v>1648</v>
      </c>
      <c r="E576" s="5">
        <v>33710.0</v>
      </c>
      <c r="F576" s="3">
        <v>3.6766785E7</v>
      </c>
      <c r="G576" s="3">
        <v>3.512084672E9</v>
      </c>
      <c r="H576" s="3" t="s">
        <v>27</v>
      </c>
      <c r="I576" s="3" t="s">
        <v>22</v>
      </c>
      <c r="K576" s="3" t="s">
        <v>1145</v>
      </c>
      <c r="O576" s="3" t="s">
        <v>58</v>
      </c>
      <c r="R576" s="7" t="str">
        <f>IF(H576="","",VLOOKUP(H576,'Hoja 9'!$A$1:$B$255,2,0))</f>
        <v>BOCA EN BOCA</v>
      </c>
      <c r="S576" s="7">
        <f t="shared" si="1"/>
        <v>2024</v>
      </c>
      <c r="T576" s="7">
        <f t="shared" si="2"/>
        <v>6</v>
      </c>
    </row>
    <row r="577">
      <c r="A577" s="4">
        <v>45467.789752337965</v>
      </c>
      <c r="B577" s="3" t="s">
        <v>1649</v>
      </c>
      <c r="C577" s="3" t="s">
        <v>1650</v>
      </c>
      <c r="D577" s="3" t="s">
        <v>1651</v>
      </c>
      <c r="E577" s="5">
        <v>31960.0</v>
      </c>
      <c r="F577" s="3">
        <v>3.3101362E7</v>
      </c>
      <c r="G577" s="3">
        <v>3.51233576E9</v>
      </c>
      <c r="H577" s="3" t="s">
        <v>27</v>
      </c>
      <c r="I577" s="3" t="s">
        <v>22</v>
      </c>
      <c r="K577" s="3" t="s">
        <v>1132</v>
      </c>
      <c r="L577" s="3" t="s">
        <v>1136</v>
      </c>
      <c r="M577" s="3" t="s">
        <v>1137</v>
      </c>
      <c r="O577" s="3" t="s">
        <v>1652</v>
      </c>
      <c r="R577" s="7" t="str">
        <f>IF(H577="","",VLOOKUP(H577,'Hoja 9'!$A$1:$B$255,2,0))</f>
        <v>BOCA EN BOCA</v>
      </c>
      <c r="S577" s="7">
        <f t="shared" si="1"/>
        <v>2024</v>
      </c>
      <c r="T577" s="7">
        <f t="shared" si="2"/>
        <v>6</v>
      </c>
    </row>
    <row r="578">
      <c r="A578" s="4">
        <v>45468.60597092593</v>
      </c>
      <c r="B578" s="3" t="s">
        <v>1653</v>
      </c>
      <c r="C578" s="3" t="s">
        <v>612</v>
      </c>
      <c r="D578" s="3" t="s">
        <v>1654</v>
      </c>
      <c r="E578" s="5">
        <v>36227.0</v>
      </c>
      <c r="F578" s="3">
        <v>4.1810153E7</v>
      </c>
      <c r="G578" s="3">
        <v>3.517516899E9</v>
      </c>
      <c r="H578" s="3" t="s">
        <v>21</v>
      </c>
      <c r="I578" s="3" t="s">
        <v>22</v>
      </c>
      <c r="K578" s="3" t="s">
        <v>1132</v>
      </c>
      <c r="L578" s="3" t="s">
        <v>1133</v>
      </c>
      <c r="M578" s="3" t="s">
        <v>1134</v>
      </c>
      <c r="O578" s="3" t="s">
        <v>72</v>
      </c>
      <c r="R578" s="7" t="str">
        <f>IF(H578="","",VLOOKUP(H578,'Hoja 9'!$A$1:$B$255,2,0))</f>
        <v>GOOGLE</v>
      </c>
      <c r="S578" s="7">
        <f t="shared" si="1"/>
        <v>2024</v>
      </c>
      <c r="T578" s="7">
        <f t="shared" si="2"/>
        <v>6</v>
      </c>
    </row>
    <row r="579">
      <c r="A579" s="4">
        <v>45469.47734017362</v>
      </c>
      <c r="B579" s="3" t="s">
        <v>190</v>
      </c>
      <c r="C579" s="3" t="s">
        <v>1655</v>
      </c>
      <c r="D579" s="3" t="s">
        <v>1656</v>
      </c>
      <c r="E579" s="13">
        <v>20803.0</v>
      </c>
      <c r="F579" s="3">
        <v>1.2744863E7</v>
      </c>
      <c r="G579" s="3">
        <v>3.513189626E9</v>
      </c>
      <c r="H579" s="3" t="s">
        <v>27</v>
      </c>
      <c r="I579" s="3" t="s">
        <v>28</v>
      </c>
      <c r="K579" s="3" t="s">
        <v>1132</v>
      </c>
      <c r="L579" s="3" t="s">
        <v>1422</v>
      </c>
      <c r="M579" s="3" t="s">
        <v>1134</v>
      </c>
      <c r="R579" s="7" t="str">
        <f>IF(H579="","",VLOOKUP(H579,'Hoja 9'!$A$1:$B$255,2,0))</f>
        <v>BOCA EN BOCA</v>
      </c>
      <c r="S579" s="7">
        <f t="shared" si="1"/>
        <v>2024</v>
      </c>
      <c r="T579" s="7">
        <f t="shared" si="2"/>
        <v>6</v>
      </c>
    </row>
    <row r="580">
      <c r="A580" s="4">
        <v>45469.54419006944</v>
      </c>
      <c r="B580" s="3" t="s">
        <v>1657</v>
      </c>
      <c r="C580" s="3" t="s">
        <v>1292</v>
      </c>
      <c r="D580" s="3" t="s">
        <v>1658</v>
      </c>
      <c r="E580" s="5">
        <v>45469.0</v>
      </c>
      <c r="F580" s="3">
        <v>2.0528479E7</v>
      </c>
      <c r="G580" s="3">
        <v>3.513510244E9</v>
      </c>
      <c r="H580" s="3" t="s">
        <v>27</v>
      </c>
      <c r="I580" s="3" t="s">
        <v>22</v>
      </c>
      <c r="K580" s="3" t="s">
        <v>1145</v>
      </c>
      <c r="O580" s="3" t="s">
        <v>831</v>
      </c>
      <c r="R580" s="7" t="str">
        <f>IF(H580="","",VLOOKUP(H580,'Hoja 9'!$A$1:$B$255,2,0))</f>
        <v>BOCA EN BOCA</v>
      </c>
      <c r="S580" s="7">
        <f t="shared" si="1"/>
        <v>2024</v>
      </c>
      <c r="T580" s="7">
        <f t="shared" si="2"/>
        <v>6</v>
      </c>
    </row>
    <row r="581">
      <c r="A581" s="4">
        <v>45469.58270097223</v>
      </c>
      <c r="B581" s="3" t="s">
        <v>1659</v>
      </c>
      <c r="C581" s="3" t="s">
        <v>1660</v>
      </c>
      <c r="D581" s="3" t="s">
        <v>1661</v>
      </c>
      <c r="E581" s="5">
        <v>28201.0</v>
      </c>
      <c r="F581" s="3">
        <v>2.5964312E7</v>
      </c>
      <c r="G581" s="3">
        <v>3.516109616E9</v>
      </c>
      <c r="H581" s="3" t="s">
        <v>27</v>
      </c>
      <c r="I581" s="3" t="s">
        <v>22</v>
      </c>
      <c r="K581" s="3" t="s">
        <v>1132</v>
      </c>
      <c r="L581" s="3" t="s">
        <v>1404</v>
      </c>
      <c r="M581" s="3" t="s">
        <v>1134</v>
      </c>
      <c r="O581" s="3" t="s">
        <v>149</v>
      </c>
      <c r="R581" s="7" t="str">
        <f>IF(H581="","",VLOOKUP(H581,'Hoja 9'!$A$1:$B$255,2,0))</f>
        <v>BOCA EN BOCA</v>
      </c>
      <c r="S581" s="7">
        <f t="shared" si="1"/>
        <v>2024</v>
      </c>
      <c r="T581" s="7">
        <f t="shared" si="2"/>
        <v>6</v>
      </c>
    </row>
    <row r="582">
      <c r="A582" s="4">
        <v>45469.798674351856</v>
      </c>
      <c r="B582" s="3" t="s">
        <v>1261</v>
      </c>
      <c r="C582" s="3" t="s">
        <v>1662</v>
      </c>
      <c r="D582" s="3" t="s">
        <v>1663</v>
      </c>
      <c r="E582" s="5">
        <v>37038.0</v>
      </c>
      <c r="F582" s="3">
        <v>4.3367114E7</v>
      </c>
      <c r="G582" s="3">
        <v>3.516893622E9</v>
      </c>
      <c r="H582" s="3" t="s">
        <v>44</v>
      </c>
      <c r="I582" s="3" t="s">
        <v>28</v>
      </c>
      <c r="K582" s="3" t="s">
        <v>1132</v>
      </c>
      <c r="L582" s="3" t="s">
        <v>1133</v>
      </c>
      <c r="M582" s="3" t="s">
        <v>1134</v>
      </c>
      <c r="R582" s="7" t="str">
        <f>IF(H582="","",VLOOKUP(H582,'Hoja 9'!$A$1:$B$255,2,0))</f>
        <v>GIMNASIO</v>
      </c>
      <c r="S582" s="7">
        <f t="shared" si="1"/>
        <v>2024</v>
      </c>
      <c r="T582" s="7">
        <f t="shared" si="2"/>
        <v>6</v>
      </c>
    </row>
    <row r="583">
      <c r="A583" s="4">
        <v>45469.81614645833</v>
      </c>
      <c r="B583" s="3" t="s">
        <v>1664</v>
      </c>
      <c r="C583" s="3" t="s">
        <v>1665</v>
      </c>
      <c r="D583" s="3" t="s">
        <v>1666</v>
      </c>
      <c r="E583" s="5">
        <v>29697.0</v>
      </c>
      <c r="F583" s="3">
        <v>2.8849108E7</v>
      </c>
      <c r="G583" s="3">
        <v>3.516331313E9</v>
      </c>
      <c r="H583" s="3" t="s">
        <v>44</v>
      </c>
      <c r="I583" s="3" t="s">
        <v>22</v>
      </c>
      <c r="K583" s="3" t="s">
        <v>1132</v>
      </c>
      <c r="L583" s="3" t="s">
        <v>1133</v>
      </c>
      <c r="M583" s="3" t="s">
        <v>1134</v>
      </c>
      <c r="O583" s="3" t="s">
        <v>23</v>
      </c>
      <c r="R583" s="7" t="str">
        <f>IF(H583="","",VLOOKUP(H583,'Hoja 9'!$A$1:$B$255,2,0))</f>
        <v>GIMNASIO</v>
      </c>
      <c r="S583" s="7">
        <f t="shared" si="1"/>
        <v>2024</v>
      </c>
      <c r="T583" s="7">
        <f t="shared" si="2"/>
        <v>6</v>
      </c>
    </row>
    <row r="584">
      <c r="A584" s="4">
        <v>45474.59512592593</v>
      </c>
      <c r="B584" s="3" t="s">
        <v>1667</v>
      </c>
      <c r="C584" s="3" t="s">
        <v>1668</v>
      </c>
      <c r="D584" s="3" t="s">
        <v>1669</v>
      </c>
      <c r="E584" s="5">
        <v>27059.0</v>
      </c>
      <c r="F584" s="3">
        <v>2.3821812E7</v>
      </c>
      <c r="G584" s="3">
        <v>3.516128265E9</v>
      </c>
      <c r="H584" s="3" t="s">
        <v>27</v>
      </c>
      <c r="I584" s="3" t="s">
        <v>22</v>
      </c>
      <c r="K584" s="3" t="s">
        <v>1145</v>
      </c>
      <c r="O584" s="3" t="s">
        <v>287</v>
      </c>
      <c r="R584" s="7" t="str">
        <f>IF(H584="","",VLOOKUP(H584,'Hoja 9'!$A$1:$B$255,2,0))</f>
        <v>BOCA EN BOCA</v>
      </c>
      <c r="S584" s="7">
        <f t="shared" si="1"/>
        <v>2024</v>
      </c>
      <c r="T584" s="7">
        <f t="shared" si="2"/>
        <v>7</v>
      </c>
    </row>
    <row r="585">
      <c r="A585" s="4">
        <v>45475.72484768518</v>
      </c>
      <c r="B585" s="3" t="s">
        <v>1305</v>
      </c>
      <c r="C585" s="3" t="s">
        <v>162</v>
      </c>
      <c r="E585" s="5">
        <v>19327.0</v>
      </c>
      <c r="F585" s="3">
        <v>1.0683351E7</v>
      </c>
      <c r="G585" s="3">
        <v>3.515083098E9</v>
      </c>
      <c r="H585" s="3" t="s">
        <v>27</v>
      </c>
      <c r="I585" s="3" t="s">
        <v>28</v>
      </c>
      <c r="K585" s="3" t="s">
        <v>1145</v>
      </c>
      <c r="R585" s="7" t="str">
        <f>IF(H585="","",VLOOKUP(H585,'Hoja 9'!$A$1:$B$255,2,0))</f>
        <v>BOCA EN BOCA</v>
      </c>
      <c r="S585" s="7">
        <f t="shared" si="1"/>
        <v>2024</v>
      </c>
      <c r="T585" s="7">
        <f t="shared" si="2"/>
        <v>7</v>
      </c>
    </row>
    <row r="586">
      <c r="A586" s="4">
        <v>45475.813371006945</v>
      </c>
      <c r="B586" s="3" t="s">
        <v>1670</v>
      </c>
      <c r="C586" s="3" t="s">
        <v>1671</v>
      </c>
      <c r="D586" s="3" t="s">
        <v>1672</v>
      </c>
      <c r="E586" s="5">
        <v>33279.0</v>
      </c>
      <c r="F586" s="3">
        <v>3.6240161E7</v>
      </c>
      <c r="G586" s="3">
        <v>3.517674937E9</v>
      </c>
      <c r="H586" s="3" t="s">
        <v>44</v>
      </c>
      <c r="I586" s="3" t="s">
        <v>28</v>
      </c>
      <c r="K586" s="3" t="s">
        <v>1132</v>
      </c>
      <c r="L586" s="3" t="s">
        <v>1133</v>
      </c>
      <c r="M586" s="3" t="s">
        <v>1137</v>
      </c>
      <c r="R586" s="7" t="str">
        <f>IF(H586="","",VLOOKUP(H586,'Hoja 9'!$A$1:$B$255,2,0))</f>
        <v>GIMNASIO</v>
      </c>
      <c r="S586" s="7">
        <f t="shared" si="1"/>
        <v>2024</v>
      </c>
      <c r="T586" s="7">
        <f t="shared" si="2"/>
        <v>7</v>
      </c>
    </row>
    <row r="587">
      <c r="A587" s="4">
        <v>45476.79148451389</v>
      </c>
      <c r="B587" s="3" t="s">
        <v>1673</v>
      </c>
      <c r="C587" s="3" t="s">
        <v>1674</v>
      </c>
      <c r="D587" s="3" t="s">
        <v>1675</v>
      </c>
      <c r="E587" s="5">
        <v>31274.0</v>
      </c>
      <c r="F587" s="3">
        <v>3.176869E7</v>
      </c>
      <c r="G587" s="3">
        <v>3.513912985E9</v>
      </c>
      <c r="H587" s="3" t="s">
        <v>21</v>
      </c>
      <c r="I587" s="3" t="s">
        <v>22</v>
      </c>
      <c r="K587" s="3" t="s">
        <v>1145</v>
      </c>
      <c r="O587" s="3" t="s">
        <v>149</v>
      </c>
      <c r="R587" s="7" t="str">
        <f>IF(H587="","",VLOOKUP(H587,'Hoja 9'!$A$1:$B$255,2,0))</f>
        <v>GOOGLE</v>
      </c>
      <c r="S587" s="7">
        <f t="shared" si="1"/>
        <v>2024</v>
      </c>
      <c r="T587" s="7">
        <f t="shared" si="2"/>
        <v>7</v>
      </c>
    </row>
    <row r="588">
      <c r="A588" s="4">
        <v>45477.35374399305</v>
      </c>
      <c r="B588" s="3" t="s">
        <v>1676</v>
      </c>
      <c r="C588" s="3" t="s">
        <v>1677</v>
      </c>
      <c r="D588" s="3" t="s">
        <v>1678</v>
      </c>
      <c r="E588" s="5">
        <v>45588.0</v>
      </c>
      <c r="F588" s="3">
        <v>2.9713558E7</v>
      </c>
      <c r="G588" s="3">
        <v>3.512069905E9</v>
      </c>
      <c r="H588" s="3" t="s">
        <v>21</v>
      </c>
      <c r="I588" s="3" t="s">
        <v>22</v>
      </c>
      <c r="K588" s="3" t="s">
        <v>1145</v>
      </c>
      <c r="O588" s="3" t="s">
        <v>23</v>
      </c>
      <c r="R588" s="7" t="str">
        <f>IF(H588="","",VLOOKUP(H588,'Hoja 9'!$A$1:$B$255,2,0))</f>
        <v>GOOGLE</v>
      </c>
      <c r="S588" s="7">
        <f t="shared" si="1"/>
        <v>2024</v>
      </c>
      <c r="T588" s="7">
        <f t="shared" si="2"/>
        <v>7</v>
      </c>
    </row>
    <row r="589">
      <c r="A589" s="4">
        <v>45477.44460155093</v>
      </c>
      <c r="B589" s="3" t="s">
        <v>1679</v>
      </c>
      <c r="C589" s="3" t="s">
        <v>1680</v>
      </c>
      <c r="D589" s="3" t="s">
        <v>1681</v>
      </c>
      <c r="E589" s="5">
        <v>27461.0</v>
      </c>
      <c r="F589" s="3">
        <v>2.4472277E7</v>
      </c>
      <c r="G589" s="3">
        <v>3.515638053E9</v>
      </c>
      <c r="H589" s="3" t="s">
        <v>27</v>
      </c>
      <c r="I589" s="3" t="s">
        <v>28</v>
      </c>
      <c r="K589" s="3" t="s">
        <v>1132</v>
      </c>
      <c r="L589" s="3" t="s">
        <v>1682</v>
      </c>
      <c r="M589" s="3" t="s">
        <v>1137</v>
      </c>
      <c r="R589" s="7" t="str">
        <f>IF(H589="","",VLOOKUP(H589,'Hoja 9'!$A$1:$B$255,2,0))</f>
        <v>BOCA EN BOCA</v>
      </c>
      <c r="S589" s="7">
        <f t="shared" si="1"/>
        <v>2024</v>
      </c>
      <c r="T589" s="7">
        <f t="shared" si="2"/>
        <v>7</v>
      </c>
    </row>
    <row r="590">
      <c r="A590" s="4">
        <v>45477.786396157404</v>
      </c>
      <c r="B590" s="3" t="s">
        <v>1683</v>
      </c>
      <c r="C590" s="3" t="s">
        <v>1292</v>
      </c>
      <c r="D590" s="3" t="s">
        <v>1684</v>
      </c>
      <c r="E590" s="5">
        <v>25309.0</v>
      </c>
      <c r="F590" s="3">
        <v>2.0649721E7</v>
      </c>
      <c r="G590" s="3">
        <v>3.518613437E9</v>
      </c>
      <c r="H590" s="3" t="s">
        <v>44</v>
      </c>
      <c r="I590" s="3" t="s">
        <v>22</v>
      </c>
      <c r="K590" s="3" t="s">
        <v>1132</v>
      </c>
      <c r="L590" s="3" t="s">
        <v>1685</v>
      </c>
      <c r="M590" s="3" t="s">
        <v>1134</v>
      </c>
      <c r="O590" s="3" t="s">
        <v>542</v>
      </c>
      <c r="R590" s="7" t="str">
        <f>IF(H590="","",VLOOKUP(H590,'Hoja 9'!$A$1:$B$255,2,0))</f>
        <v>GIMNASIO</v>
      </c>
      <c r="S590" s="7">
        <f t="shared" si="1"/>
        <v>2024</v>
      </c>
      <c r="T590" s="7">
        <f t="shared" si="2"/>
        <v>7</v>
      </c>
    </row>
    <row r="591">
      <c r="A591" s="4">
        <v>45481.46042998842</v>
      </c>
      <c r="B591" s="3" t="s">
        <v>1686</v>
      </c>
      <c r="C591" s="3" t="s">
        <v>1687</v>
      </c>
      <c r="D591" s="3" t="s">
        <v>1688</v>
      </c>
      <c r="E591" s="5">
        <v>35808.0</v>
      </c>
      <c r="F591" s="3">
        <v>4.0681996E7</v>
      </c>
      <c r="G591" s="3">
        <v>3.51356606E9</v>
      </c>
      <c r="H591" s="3" t="s">
        <v>21</v>
      </c>
      <c r="I591" s="3" t="s">
        <v>22</v>
      </c>
      <c r="K591" s="3" t="s">
        <v>1132</v>
      </c>
      <c r="L591" s="3" t="s">
        <v>1136</v>
      </c>
      <c r="M591" s="3" t="s">
        <v>1137</v>
      </c>
      <c r="O591" s="3" t="s">
        <v>23</v>
      </c>
      <c r="R591" s="7" t="str">
        <f>IF(H591="","",VLOOKUP(H591,'Hoja 9'!$A$1:$B$255,2,0))</f>
        <v>GOOGLE</v>
      </c>
      <c r="S591" s="7">
        <f t="shared" si="1"/>
        <v>2024</v>
      </c>
      <c r="T591" s="7">
        <f t="shared" si="2"/>
        <v>7</v>
      </c>
    </row>
    <row r="592">
      <c r="A592" s="4">
        <v>45481.53531491898</v>
      </c>
      <c r="B592" s="3" t="s">
        <v>1689</v>
      </c>
      <c r="C592" s="3" t="s">
        <v>1690</v>
      </c>
      <c r="D592" s="3" t="s">
        <v>1691</v>
      </c>
      <c r="E592" s="5" t="s">
        <v>1692</v>
      </c>
      <c r="F592" s="3">
        <v>1.4409795E7</v>
      </c>
      <c r="G592" s="3">
        <v>3.512464627E9</v>
      </c>
      <c r="H592" s="3" t="s">
        <v>21</v>
      </c>
      <c r="I592" s="3" t="s">
        <v>22</v>
      </c>
      <c r="K592" s="3" t="s">
        <v>1132</v>
      </c>
      <c r="L592" s="3" t="s">
        <v>1693</v>
      </c>
      <c r="M592" s="3" t="s">
        <v>1137</v>
      </c>
      <c r="O592" s="3" t="s">
        <v>23</v>
      </c>
      <c r="R592" s="7" t="str">
        <f>IF(H592="","",VLOOKUP(H592,'Hoja 9'!$A$1:$B$255,2,0))</f>
        <v>GOOGLE</v>
      </c>
      <c r="S592" s="7">
        <f t="shared" si="1"/>
        <v>2024</v>
      </c>
      <c r="T592" s="7">
        <f t="shared" si="2"/>
        <v>7</v>
      </c>
    </row>
    <row r="593">
      <c r="A593" s="4">
        <v>45483.38303895833</v>
      </c>
      <c r="B593" s="3" t="s">
        <v>1694</v>
      </c>
      <c r="C593" s="3" t="s">
        <v>1695</v>
      </c>
      <c r="D593" s="3" t="s">
        <v>1696</v>
      </c>
      <c r="E593" s="5" t="s">
        <v>1697</v>
      </c>
      <c r="F593" s="3">
        <v>3.6448094E7</v>
      </c>
      <c r="G593" s="3">
        <v>3.516565317E9</v>
      </c>
      <c r="H593" s="3" t="s">
        <v>148</v>
      </c>
      <c r="I593" s="3" t="s">
        <v>22</v>
      </c>
      <c r="K593" s="3" t="s">
        <v>1132</v>
      </c>
      <c r="L593" s="3" t="s">
        <v>1136</v>
      </c>
      <c r="M593" s="3" t="s">
        <v>1137</v>
      </c>
      <c r="O593" s="3" t="s">
        <v>1698</v>
      </c>
      <c r="R593" s="7" t="str">
        <f>IF(H593="","",VLOOKUP(H593,'Hoja 9'!$A$1:$B$255,2,0))</f>
        <v>OBRA SOCIAL</v>
      </c>
      <c r="S593" s="7">
        <f t="shared" si="1"/>
        <v>2024</v>
      </c>
      <c r="T593" s="7">
        <f t="shared" si="2"/>
        <v>7</v>
      </c>
    </row>
    <row r="594">
      <c r="A594" s="4">
        <v>45483.45459811343</v>
      </c>
      <c r="B594" s="3" t="s">
        <v>1699</v>
      </c>
      <c r="C594" s="3" t="s">
        <v>1700</v>
      </c>
      <c r="D594" s="3" t="s">
        <v>1701</v>
      </c>
      <c r="E594" s="5">
        <v>24544.0</v>
      </c>
      <c r="F594" s="3">
        <v>1.8321241E7</v>
      </c>
      <c r="G594" s="3">
        <v>1.121629091E9</v>
      </c>
      <c r="H594" s="3" t="s">
        <v>21</v>
      </c>
      <c r="I594" s="3" t="s">
        <v>28</v>
      </c>
      <c r="K594" s="3" t="s">
        <v>1145</v>
      </c>
      <c r="R594" s="7" t="str">
        <f>IF(H594="","",VLOOKUP(H594,'Hoja 9'!$A$1:$B$255,2,0))</f>
        <v>GOOGLE</v>
      </c>
      <c r="S594" s="7">
        <f t="shared" si="1"/>
        <v>2024</v>
      </c>
      <c r="T594" s="7">
        <f t="shared" si="2"/>
        <v>7</v>
      </c>
    </row>
    <row r="595">
      <c r="A595" s="4">
        <v>45483.613109224534</v>
      </c>
      <c r="B595" s="3" t="s">
        <v>376</v>
      </c>
      <c r="C595" s="3" t="s">
        <v>1702</v>
      </c>
      <c r="D595" s="3" t="s">
        <v>1703</v>
      </c>
      <c r="E595" s="5">
        <v>27841.0</v>
      </c>
      <c r="F595" s="3">
        <v>2.517585E7</v>
      </c>
      <c r="G595" s="3">
        <v>3.516756852E9</v>
      </c>
      <c r="H595" s="3" t="s">
        <v>27</v>
      </c>
      <c r="I595" s="3" t="s">
        <v>28</v>
      </c>
      <c r="K595" s="3" t="s">
        <v>1145</v>
      </c>
      <c r="R595" s="7" t="str">
        <f>IF(H595="","",VLOOKUP(H595,'Hoja 9'!$A$1:$B$255,2,0))</f>
        <v>BOCA EN BOCA</v>
      </c>
      <c r="S595" s="7">
        <f t="shared" si="1"/>
        <v>2024</v>
      </c>
      <c r="T595" s="7">
        <f t="shared" si="2"/>
        <v>7</v>
      </c>
    </row>
    <row r="596">
      <c r="A596" s="4">
        <v>45484.436562187504</v>
      </c>
      <c r="B596" s="3" t="s">
        <v>1704</v>
      </c>
      <c r="C596" s="3" t="s">
        <v>1705</v>
      </c>
      <c r="D596" s="3" t="s">
        <v>1706</v>
      </c>
      <c r="E596" s="5">
        <v>39644.0</v>
      </c>
      <c r="F596" s="3">
        <v>4.7475395E7</v>
      </c>
      <c r="G596" s="3">
        <v>3.51671099E9</v>
      </c>
      <c r="H596" s="3" t="s">
        <v>27</v>
      </c>
      <c r="I596" s="3" t="s">
        <v>28</v>
      </c>
      <c r="K596" s="3" t="s">
        <v>1132</v>
      </c>
      <c r="L596" s="3" t="s">
        <v>1136</v>
      </c>
      <c r="M596" s="3" t="s">
        <v>1134</v>
      </c>
      <c r="R596" s="7" t="str">
        <f>IF(H596="","",VLOOKUP(H596,'Hoja 9'!$A$1:$B$255,2,0))</f>
        <v>BOCA EN BOCA</v>
      </c>
      <c r="S596" s="7">
        <f t="shared" si="1"/>
        <v>2024</v>
      </c>
      <c r="T596" s="7">
        <f t="shared" si="2"/>
        <v>7</v>
      </c>
    </row>
    <row r="597">
      <c r="A597" s="4">
        <v>45484.74990880787</v>
      </c>
      <c r="B597" s="3" t="s">
        <v>1436</v>
      </c>
      <c r="C597" s="3" t="s">
        <v>1707</v>
      </c>
      <c r="D597" s="3" t="s">
        <v>421</v>
      </c>
      <c r="E597" s="5">
        <v>33012.0</v>
      </c>
      <c r="F597" s="3">
        <v>3.4771733E7</v>
      </c>
      <c r="G597" s="3">
        <v>3.517014769E9</v>
      </c>
      <c r="H597" s="3" t="s">
        <v>1708</v>
      </c>
      <c r="I597" s="3" t="s">
        <v>28</v>
      </c>
      <c r="K597" s="3" t="s">
        <v>1145</v>
      </c>
      <c r="R597" s="7" t="str">
        <f>IF(H597="","",VLOOKUP(H597,'Hoja 9'!$A$1:$B$255,2,0))</f>
        <v>GIMNASIO</v>
      </c>
      <c r="S597" s="7">
        <f t="shared" si="1"/>
        <v>2024</v>
      </c>
      <c r="T597" s="7">
        <f t="shared" si="2"/>
        <v>7</v>
      </c>
    </row>
    <row r="598">
      <c r="A598" s="4">
        <v>45485.507698483794</v>
      </c>
      <c r="B598" s="3" t="s">
        <v>1709</v>
      </c>
      <c r="C598" s="3" t="s">
        <v>770</v>
      </c>
      <c r="D598" s="3" t="s">
        <v>421</v>
      </c>
      <c r="E598" s="5">
        <v>33167.0</v>
      </c>
      <c r="F598" s="3">
        <v>3.5512148E7</v>
      </c>
      <c r="G598" s="3">
        <v>3.5168193E9</v>
      </c>
      <c r="H598" s="3" t="s">
        <v>44</v>
      </c>
      <c r="I598" s="3" t="s">
        <v>22</v>
      </c>
      <c r="K598" s="3" t="s">
        <v>1145</v>
      </c>
      <c r="O598" s="3" t="s">
        <v>23</v>
      </c>
      <c r="R598" s="7" t="str">
        <f>IF(H598="","",VLOOKUP(H598,'Hoja 9'!$A$1:$B$255,2,0))</f>
        <v>GIMNASIO</v>
      </c>
      <c r="S598" s="7">
        <f t="shared" si="1"/>
        <v>2024</v>
      </c>
      <c r="T598" s="7">
        <f t="shared" si="2"/>
        <v>7</v>
      </c>
    </row>
    <row r="599">
      <c r="A599" s="4">
        <v>45485.80061157407</v>
      </c>
      <c r="B599" s="3" t="s">
        <v>1710</v>
      </c>
      <c r="C599" s="3" t="s">
        <v>1273</v>
      </c>
      <c r="D599" s="3" t="s">
        <v>1711</v>
      </c>
      <c r="E599" s="5">
        <v>29185.0</v>
      </c>
      <c r="F599" s="3">
        <v>2.7681597E7</v>
      </c>
      <c r="G599" s="3">
        <v>3.516468609E9</v>
      </c>
      <c r="H599" s="3" t="s">
        <v>44</v>
      </c>
      <c r="I599" s="3" t="s">
        <v>28</v>
      </c>
      <c r="K599" s="3" t="s">
        <v>1132</v>
      </c>
      <c r="L599" s="3" t="s">
        <v>1133</v>
      </c>
      <c r="M599" s="3" t="s">
        <v>1134</v>
      </c>
      <c r="R599" s="7" t="str">
        <f>IF(H599="","",VLOOKUP(H599,'Hoja 9'!$A$1:$B$255,2,0))</f>
        <v>GIMNASIO</v>
      </c>
      <c r="S599" s="7">
        <f t="shared" si="1"/>
        <v>2024</v>
      </c>
      <c r="T599" s="7">
        <f t="shared" si="2"/>
        <v>7</v>
      </c>
    </row>
    <row r="600">
      <c r="A600" s="4">
        <v>45488.652462569444</v>
      </c>
      <c r="B600" s="3" t="s">
        <v>1712</v>
      </c>
      <c r="C600" s="3" t="s">
        <v>1273</v>
      </c>
      <c r="D600" s="3" t="s">
        <v>1713</v>
      </c>
      <c r="E600" s="5">
        <v>36701.0</v>
      </c>
      <c r="F600" s="3">
        <v>4.2639576E7</v>
      </c>
      <c r="G600" s="3">
        <v>3.518166981E9</v>
      </c>
      <c r="H600" s="3" t="s">
        <v>21</v>
      </c>
      <c r="I600" s="3" t="s">
        <v>22</v>
      </c>
      <c r="K600" s="3" t="s">
        <v>1145</v>
      </c>
      <c r="O600" s="3" t="s">
        <v>291</v>
      </c>
      <c r="R600" s="7" t="str">
        <f>IF(H600="","",VLOOKUP(H600,'Hoja 9'!$A$1:$B$255,2,0))</f>
        <v>GOOGLE</v>
      </c>
      <c r="S600" s="7">
        <f t="shared" si="1"/>
        <v>2024</v>
      </c>
      <c r="T600" s="7">
        <f t="shared" si="2"/>
        <v>7</v>
      </c>
    </row>
    <row r="601">
      <c r="A601" s="4">
        <v>45489.41681027778</v>
      </c>
      <c r="B601" s="3" t="s">
        <v>1138</v>
      </c>
      <c r="C601" s="3" t="s">
        <v>503</v>
      </c>
      <c r="D601" s="3" t="s">
        <v>1714</v>
      </c>
      <c r="E601" s="5">
        <v>30735.0</v>
      </c>
      <c r="F601" s="3">
        <v>3.084431E7</v>
      </c>
      <c r="G601" s="3">
        <v>3.513411318E9</v>
      </c>
      <c r="H601" s="3" t="s">
        <v>44</v>
      </c>
      <c r="I601" s="3" t="s">
        <v>28</v>
      </c>
      <c r="K601" s="3" t="s">
        <v>1145</v>
      </c>
      <c r="R601" s="7" t="str">
        <f>IF(H601="","",VLOOKUP(H601,'Hoja 9'!$A$1:$B$255,2,0))</f>
        <v>GIMNASIO</v>
      </c>
      <c r="S601" s="7">
        <f t="shared" si="1"/>
        <v>2024</v>
      </c>
      <c r="T601" s="7">
        <f t="shared" si="2"/>
        <v>7</v>
      </c>
    </row>
    <row r="602">
      <c r="A602" s="4">
        <v>45489.427757627316</v>
      </c>
      <c r="B602" s="3" t="s">
        <v>1715</v>
      </c>
      <c r="C602" s="3" t="s">
        <v>78</v>
      </c>
      <c r="D602" s="3" t="s">
        <v>1716</v>
      </c>
      <c r="E602" s="5">
        <v>29130.0</v>
      </c>
      <c r="F602" s="3">
        <v>2.7657345E7</v>
      </c>
      <c r="G602" s="3">
        <v>3.513475545E9</v>
      </c>
      <c r="H602" s="3" t="s">
        <v>44</v>
      </c>
      <c r="I602" s="3" t="s">
        <v>28</v>
      </c>
      <c r="K602" s="3" t="s">
        <v>1132</v>
      </c>
      <c r="L602" s="3" t="s">
        <v>1133</v>
      </c>
      <c r="M602" s="3" t="s">
        <v>1213</v>
      </c>
      <c r="R602" s="7" t="str">
        <f>IF(H602="","",VLOOKUP(H602,'Hoja 9'!$A$1:$B$255,2,0))</f>
        <v>GIMNASIO</v>
      </c>
      <c r="S602" s="7">
        <f t="shared" si="1"/>
        <v>2024</v>
      </c>
      <c r="T602" s="7">
        <f t="shared" si="2"/>
        <v>7</v>
      </c>
    </row>
    <row r="603">
      <c r="A603" s="4">
        <v>45489.579512083335</v>
      </c>
      <c r="B603" s="3" t="s">
        <v>1717</v>
      </c>
      <c r="C603" s="3" t="s">
        <v>1718</v>
      </c>
      <c r="E603" s="5">
        <v>26561.0</v>
      </c>
      <c r="F603" s="3">
        <v>2.2794599E7</v>
      </c>
      <c r="G603" s="3">
        <v>3.512711704E9</v>
      </c>
      <c r="H603" s="3" t="s">
        <v>339</v>
      </c>
      <c r="I603" s="3" t="s">
        <v>28</v>
      </c>
      <c r="K603" s="3" t="s">
        <v>1132</v>
      </c>
      <c r="L603" s="3" t="s">
        <v>1133</v>
      </c>
      <c r="M603" s="3" t="s">
        <v>1213</v>
      </c>
      <c r="R603" s="7" t="str">
        <f>IF(H603="","",VLOOKUP(H603,'Hoja 9'!$A$1:$B$255,2,0))</f>
        <v>META</v>
      </c>
      <c r="S603" s="7">
        <f t="shared" si="1"/>
        <v>2024</v>
      </c>
      <c r="T603" s="7">
        <f t="shared" si="2"/>
        <v>7</v>
      </c>
    </row>
    <row r="604">
      <c r="A604" s="4">
        <v>45490.663704583334</v>
      </c>
      <c r="B604" s="3" t="s">
        <v>910</v>
      </c>
      <c r="C604" s="3" t="s">
        <v>553</v>
      </c>
      <c r="D604" s="3" t="s">
        <v>1719</v>
      </c>
      <c r="E604" s="5">
        <v>38131.0</v>
      </c>
      <c r="F604" s="3">
        <v>4.5691202E7</v>
      </c>
      <c r="G604" s="3">
        <v>3.517912616E9</v>
      </c>
      <c r="H604" s="3" t="s">
        <v>27</v>
      </c>
      <c r="I604" s="3" t="s">
        <v>22</v>
      </c>
      <c r="K604" s="3" t="s">
        <v>1132</v>
      </c>
      <c r="L604" s="3" t="s">
        <v>1401</v>
      </c>
      <c r="M604" s="3" t="s">
        <v>1213</v>
      </c>
      <c r="O604" s="3" t="s">
        <v>149</v>
      </c>
      <c r="R604" s="7" t="str">
        <f>IF(H604="","",VLOOKUP(H604,'Hoja 9'!$A$1:$B$255,2,0))</f>
        <v>BOCA EN BOCA</v>
      </c>
      <c r="S604" s="7">
        <f t="shared" si="1"/>
        <v>2024</v>
      </c>
      <c r="T604" s="7">
        <f t="shared" si="2"/>
        <v>7</v>
      </c>
    </row>
    <row r="605">
      <c r="A605" s="4">
        <v>45491.651367847226</v>
      </c>
      <c r="B605" s="3" t="s">
        <v>1720</v>
      </c>
      <c r="C605" s="3" t="s">
        <v>710</v>
      </c>
      <c r="D605" s="3" t="s">
        <v>1721</v>
      </c>
      <c r="E605" s="5">
        <v>30219.0</v>
      </c>
      <c r="F605" s="3">
        <v>2.9711721E7</v>
      </c>
      <c r="G605" s="3">
        <v>3.512277895E9</v>
      </c>
      <c r="H605" s="3" t="s">
        <v>44</v>
      </c>
      <c r="I605" s="3" t="s">
        <v>22</v>
      </c>
      <c r="K605" s="3" t="s">
        <v>1132</v>
      </c>
      <c r="L605" s="3" t="s">
        <v>1133</v>
      </c>
      <c r="M605" s="3" t="s">
        <v>1134</v>
      </c>
      <c r="O605" s="3" t="s">
        <v>149</v>
      </c>
      <c r="R605" s="7" t="str">
        <f>IF(H605="","",VLOOKUP(H605,'Hoja 9'!$A$1:$B$255,2,0))</f>
        <v>GIMNASIO</v>
      </c>
      <c r="S605" s="7">
        <f t="shared" si="1"/>
        <v>2024</v>
      </c>
      <c r="T605" s="7">
        <f t="shared" si="2"/>
        <v>7</v>
      </c>
    </row>
    <row r="606">
      <c r="A606" s="4">
        <v>45493.80713181713</v>
      </c>
      <c r="B606" s="3" t="s">
        <v>1095</v>
      </c>
      <c r="C606" s="3" t="s">
        <v>1722</v>
      </c>
      <c r="D606" s="3" t="s">
        <v>1723</v>
      </c>
      <c r="E606" s="5">
        <v>20604.0</v>
      </c>
      <c r="F606" s="3">
        <v>1.2341638E7</v>
      </c>
      <c r="G606" s="3">
        <v>3.51599558E9</v>
      </c>
      <c r="H606" s="3" t="s">
        <v>27</v>
      </c>
      <c r="I606" s="3" t="s">
        <v>28</v>
      </c>
      <c r="K606" s="3" t="s">
        <v>1145</v>
      </c>
      <c r="R606" s="7" t="str">
        <f>IF(H606="","",VLOOKUP(H606,'Hoja 9'!$A$1:$B$255,2,0))</f>
        <v>BOCA EN BOCA</v>
      </c>
      <c r="S606" s="7">
        <f t="shared" si="1"/>
        <v>2024</v>
      </c>
      <c r="T606" s="7">
        <f t="shared" si="2"/>
        <v>7</v>
      </c>
    </row>
    <row r="607">
      <c r="A607" s="4">
        <v>45495.51752966435</v>
      </c>
      <c r="B607" s="3" t="s">
        <v>1724</v>
      </c>
      <c r="C607" s="3" t="s">
        <v>180</v>
      </c>
      <c r="D607" s="3" t="s">
        <v>1725</v>
      </c>
      <c r="E607" s="5">
        <v>36636.0</v>
      </c>
      <c r="F607" s="3">
        <v>4.9640288E7</v>
      </c>
      <c r="G607" s="3">
        <v>3.51765002E9</v>
      </c>
      <c r="H607" s="3" t="s">
        <v>27</v>
      </c>
      <c r="I607" s="3" t="s">
        <v>28</v>
      </c>
      <c r="K607" s="3" t="s">
        <v>1132</v>
      </c>
      <c r="L607" s="3" t="s">
        <v>1726</v>
      </c>
      <c r="M607" s="3" t="s">
        <v>1137</v>
      </c>
      <c r="R607" s="7" t="str">
        <f>IF(H607="","",VLOOKUP(H607,'Hoja 9'!$A$1:$B$255,2,0))</f>
        <v>BOCA EN BOCA</v>
      </c>
      <c r="S607" s="7">
        <f t="shared" si="1"/>
        <v>2024</v>
      </c>
      <c r="T607" s="7">
        <f t="shared" si="2"/>
        <v>7</v>
      </c>
    </row>
    <row r="608">
      <c r="A608" s="4">
        <v>45496.46288478009</v>
      </c>
      <c r="B608" s="3" t="s">
        <v>1727</v>
      </c>
      <c r="C608" s="3" t="s">
        <v>820</v>
      </c>
      <c r="D608" s="3" t="s">
        <v>1728</v>
      </c>
      <c r="E608" s="5">
        <v>29674.0</v>
      </c>
      <c r="F608" s="3">
        <v>2.8655411E7</v>
      </c>
      <c r="G608" s="3">
        <v>3.518057754E9</v>
      </c>
      <c r="H608" s="3" t="s">
        <v>27</v>
      </c>
      <c r="I608" s="3" t="s">
        <v>28</v>
      </c>
      <c r="K608" s="3" t="s">
        <v>1132</v>
      </c>
      <c r="L608" s="3" t="s">
        <v>1300</v>
      </c>
      <c r="M608" s="3" t="s">
        <v>1134</v>
      </c>
      <c r="R608" s="7" t="str">
        <f>IF(H608="","",VLOOKUP(H608,'Hoja 9'!$A$1:$B$255,2,0))</f>
        <v>BOCA EN BOCA</v>
      </c>
      <c r="S608" s="7">
        <f t="shared" si="1"/>
        <v>2024</v>
      </c>
      <c r="T608" s="7">
        <f t="shared" si="2"/>
        <v>7</v>
      </c>
    </row>
    <row r="609">
      <c r="A609" s="4">
        <v>45496.7896662037</v>
      </c>
      <c r="B609" s="3" t="s">
        <v>1729</v>
      </c>
      <c r="C609" s="3" t="s">
        <v>1730</v>
      </c>
      <c r="D609" s="3" t="s">
        <v>1731</v>
      </c>
      <c r="E609" s="5">
        <v>29882.0</v>
      </c>
      <c r="F609" s="3">
        <v>2.9136511E7</v>
      </c>
      <c r="G609" s="3">
        <v>3.516604672E9</v>
      </c>
      <c r="H609" s="3" t="s">
        <v>44</v>
      </c>
      <c r="I609" s="3" t="s">
        <v>28</v>
      </c>
      <c r="K609" s="3" t="s">
        <v>1132</v>
      </c>
      <c r="L609" s="3" t="s">
        <v>1544</v>
      </c>
      <c r="M609" s="3" t="s">
        <v>1137</v>
      </c>
      <c r="R609" s="7" t="str">
        <f>IF(H609="","",VLOOKUP(H609,'Hoja 9'!$A$1:$B$255,2,0))</f>
        <v>GIMNASIO</v>
      </c>
      <c r="S609" s="7">
        <f t="shared" si="1"/>
        <v>2024</v>
      </c>
      <c r="T609" s="7">
        <f t="shared" si="2"/>
        <v>7</v>
      </c>
    </row>
    <row r="610">
      <c r="A610" s="4">
        <v>45497.697465034726</v>
      </c>
      <c r="B610" s="3" t="s">
        <v>1694</v>
      </c>
      <c r="C610" s="3" t="s">
        <v>1732</v>
      </c>
      <c r="D610" s="3" t="s">
        <v>1733</v>
      </c>
      <c r="E610" s="5">
        <v>21598.0</v>
      </c>
      <c r="F610" s="3">
        <v>1.2874339E7</v>
      </c>
      <c r="G610" s="3">
        <v>3.516569941E9</v>
      </c>
      <c r="H610" s="3" t="s">
        <v>27</v>
      </c>
      <c r="I610" s="3" t="s">
        <v>28</v>
      </c>
      <c r="K610" s="3" t="s">
        <v>1145</v>
      </c>
      <c r="R610" s="7" t="str">
        <f>IF(H610="","",VLOOKUP(H610,'Hoja 9'!$A$1:$B$255,2,0))</f>
        <v>BOCA EN BOCA</v>
      </c>
      <c r="S610" s="7">
        <f t="shared" si="1"/>
        <v>2024</v>
      </c>
      <c r="T610" s="7">
        <f t="shared" si="2"/>
        <v>7</v>
      </c>
    </row>
    <row r="611">
      <c r="A611" s="4">
        <v>45497.784159849536</v>
      </c>
      <c r="B611" s="3" t="s">
        <v>1734</v>
      </c>
      <c r="C611" s="3" t="s">
        <v>252</v>
      </c>
      <c r="D611" s="3" t="s">
        <v>1735</v>
      </c>
      <c r="E611" s="5">
        <v>34393.0</v>
      </c>
      <c r="F611" s="3">
        <v>3.8987217E7</v>
      </c>
      <c r="G611" s="3">
        <v>3.513576861E9</v>
      </c>
      <c r="H611" s="3" t="s">
        <v>1736</v>
      </c>
      <c r="I611" s="3" t="s">
        <v>28</v>
      </c>
      <c r="K611" s="3" t="s">
        <v>1132</v>
      </c>
      <c r="L611" s="3" t="s">
        <v>1737</v>
      </c>
      <c r="M611" s="3" t="s">
        <v>1134</v>
      </c>
      <c r="R611" s="7" t="str">
        <f>IF(H611="","",VLOOKUP(H611,'Hoja 9'!$A$1:$B$255,2,0))</f>
        <v>BOCA EN BOCA</v>
      </c>
      <c r="S611" s="7">
        <f t="shared" si="1"/>
        <v>2024</v>
      </c>
      <c r="T611" s="7">
        <f t="shared" si="2"/>
        <v>7</v>
      </c>
    </row>
    <row r="612">
      <c r="A612" s="4">
        <v>45498.48920703704</v>
      </c>
      <c r="B612" s="3" t="s">
        <v>1738</v>
      </c>
      <c r="C612" s="3" t="s">
        <v>420</v>
      </c>
      <c r="D612" s="3" t="s">
        <v>1739</v>
      </c>
      <c r="E612" s="5">
        <v>19724.0</v>
      </c>
      <c r="F612" s="3">
        <v>1.1052471E7</v>
      </c>
      <c r="G612" s="3">
        <v>3.516348177E9</v>
      </c>
      <c r="H612" s="3" t="s">
        <v>21</v>
      </c>
      <c r="I612" s="3" t="s">
        <v>22</v>
      </c>
      <c r="K612" s="3" t="s">
        <v>1145</v>
      </c>
      <c r="O612" s="3" t="s">
        <v>23</v>
      </c>
      <c r="R612" s="7" t="str">
        <f>IF(H612="","",VLOOKUP(H612,'Hoja 9'!$A$1:$B$255,2,0))</f>
        <v>GOOGLE</v>
      </c>
      <c r="S612" s="7">
        <f t="shared" si="1"/>
        <v>2024</v>
      </c>
      <c r="T612" s="7">
        <f t="shared" si="2"/>
        <v>7</v>
      </c>
    </row>
    <row r="613">
      <c r="A613" s="4">
        <v>45498.57450174769</v>
      </c>
      <c r="B613" s="3" t="s">
        <v>1740</v>
      </c>
      <c r="C613" s="3" t="s">
        <v>1741</v>
      </c>
      <c r="D613" s="3" t="s">
        <v>1742</v>
      </c>
      <c r="E613" s="5">
        <v>29622.0</v>
      </c>
      <c r="F613" s="3">
        <v>2.8653283E7</v>
      </c>
      <c r="G613" s="3">
        <v>3.516229217E9</v>
      </c>
      <c r="H613" s="3" t="s">
        <v>148</v>
      </c>
      <c r="I613" s="3" t="s">
        <v>22</v>
      </c>
      <c r="K613" s="3" t="s">
        <v>1145</v>
      </c>
      <c r="O613" s="3" t="s">
        <v>1743</v>
      </c>
      <c r="R613" s="7" t="str">
        <f>IF(H613="","",VLOOKUP(H613,'Hoja 9'!$A$1:$B$255,2,0))</f>
        <v>OBRA SOCIAL</v>
      </c>
      <c r="S613" s="7">
        <f t="shared" si="1"/>
        <v>2024</v>
      </c>
      <c r="T613" s="7">
        <f t="shared" si="2"/>
        <v>7</v>
      </c>
    </row>
    <row r="614">
      <c r="A614" s="4">
        <v>45498.71589790509</v>
      </c>
      <c r="B614" s="3" t="s">
        <v>1744</v>
      </c>
      <c r="C614" s="3" t="s">
        <v>1211</v>
      </c>
      <c r="D614" s="3" t="s">
        <v>1745</v>
      </c>
      <c r="E614" s="5">
        <v>38443.0</v>
      </c>
      <c r="F614" s="3">
        <v>4.603317E7</v>
      </c>
      <c r="G614" s="3">
        <v>3.517637449E9</v>
      </c>
      <c r="H614" s="3" t="s">
        <v>236</v>
      </c>
      <c r="I614" s="3" t="s">
        <v>28</v>
      </c>
      <c r="K614" s="3" t="s">
        <v>1132</v>
      </c>
      <c r="L614" s="3" t="s">
        <v>1133</v>
      </c>
      <c r="M614" s="3" t="s">
        <v>1134</v>
      </c>
      <c r="R614" s="7" t="str">
        <f>IF(H614="","",VLOOKUP(H614,'Hoja 9'!$A$1:$B$255,2,0))</f>
        <v>BOCA EN BOCA</v>
      </c>
      <c r="S614" s="7">
        <f t="shared" si="1"/>
        <v>2024</v>
      </c>
      <c r="T614" s="7">
        <f t="shared" si="2"/>
        <v>7</v>
      </c>
    </row>
    <row r="615">
      <c r="A615" s="4">
        <v>45498.79940971065</v>
      </c>
      <c r="B615" s="3" t="s">
        <v>1746</v>
      </c>
      <c r="C615" s="3" t="s">
        <v>1747</v>
      </c>
      <c r="D615" s="3" t="s">
        <v>1748</v>
      </c>
      <c r="E615" s="5">
        <v>20726.0</v>
      </c>
      <c r="F615" s="3">
        <v>1.2872217E7</v>
      </c>
      <c r="G615" s="3">
        <v>3.513160016E9</v>
      </c>
      <c r="H615" s="3" t="s">
        <v>27</v>
      </c>
      <c r="I615" s="3" t="s">
        <v>28</v>
      </c>
      <c r="K615" s="3" t="s">
        <v>1132</v>
      </c>
      <c r="M615" s="3" t="s">
        <v>1134</v>
      </c>
      <c r="R615" s="7" t="str">
        <f>IF(H615="","",VLOOKUP(H615,'Hoja 9'!$A$1:$B$255,2,0))</f>
        <v>BOCA EN BOCA</v>
      </c>
      <c r="S615" s="7">
        <f t="shared" si="1"/>
        <v>2024</v>
      </c>
      <c r="T615" s="7">
        <f t="shared" si="2"/>
        <v>7</v>
      </c>
    </row>
    <row r="616">
      <c r="A616" s="4">
        <v>45498.89536185186</v>
      </c>
      <c r="B616" s="3" t="s">
        <v>1749</v>
      </c>
      <c r="C616" s="3" t="s">
        <v>770</v>
      </c>
      <c r="D616" s="3" t="s">
        <v>1750</v>
      </c>
      <c r="E616" s="5">
        <v>34978.0</v>
      </c>
      <c r="F616" s="3">
        <v>3.8721091E7</v>
      </c>
      <c r="G616" s="3">
        <v>3.513951413E9</v>
      </c>
      <c r="H616" s="3" t="s">
        <v>27</v>
      </c>
      <c r="I616" s="3" t="s">
        <v>22</v>
      </c>
      <c r="K616" s="3" t="s">
        <v>1132</v>
      </c>
      <c r="L616" s="3" t="s">
        <v>1751</v>
      </c>
      <c r="M616" s="3" t="s">
        <v>1134</v>
      </c>
      <c r="O616" s="3" t="s">
        <v>58</v>
      </c>
      <c r="R616" s="7" t="str">
        <f>IF(H616="","",VLOOKUP(H616,'Hoja 9'!$A$1:$B$255,2,0))</f>
        <v>BOCA EN BOCA</v>
      </c>
      <c r="S616" s="7">
        <f t="shared" si="1"/>
        <v>2024</v>
      </c>
      <c r="T616" s="7">
        <f t="shared" si="2"/>
        <v>7</v>
      </c>
    </row>
    <row r="617">
      <c r="A617" s="4">
        <v>45498.92644471065</v>
      </c>
      <c r="B617" s="3" t="s">
        <v>1752</v>
      </c>
      <c r="C617" s="3" t="s">
        <v>1753</v>
      </c>
      <c r="D617" s="3" t="s">
        <v>401</v>
      </c>
      <c r="E617" s="5">
        <v>39972.0</v>
      </c>
      <c r="F617" s="3">
        <v>4.9555748E7</v>
      </c>
      <c r="G617" s="3">
        <v>3.516208417E9</v>
      </c>
      <c r="H617" s="3" t="s">
        <v>44</v>
      </c>
      <c r="I617" s="3" t="s">
        <v>22</v>
      </c>
      <c r="K617" s="3" t="s">
        <v>1132</v>
      </c>
      <c r="L617" s="3" t="s">
        <v>1401</v>
      </c>
      <c r="M617" s="3" t="s">
        <v>1134</v>
      </c>
      <c r="O617" s="3" t="s">
        <v>23</v>
      </c>
      <c r="R617" s="7" t="str">
        <f>IF(H617="","",VLOOKUP(H617,'Hoja 9'!$A$1:$B$255,2,0))</f>
        <v>GIMNASIO</v>
      </c>
      <c r="S617" s="7">
        <f t="shared" si="1"/>
        <v>2024</v>
      </c>
      <c r="T617" s="7">
        <f t="shared" si="2"/>
        <v>7</v>
      </c>
    </row>
    <row r="618">
      <c r="A618" s="4">
        <v>45499.416347245366</v>
      </c>
      <c r="B618" s="3" t="s">
        <v>1754</v>
      </c>
      <c r="C618" s="3" t="s">
        <v>431</v>
      </c>
      <c r="D618" s="3" t="s">
        <v>1755</v>
      </c>
      <c r="E618" s="5">
        <v>20968.0</v>
      </c>
      <c r="F618" s="3">
        <v>1.3539288E7</v>
      </c>
      <c r="G618" s="3">
        <v>3.513068284E9</v>
      </c>
      <c r="H618" s="3" t="s">
        <v>27</v>
      </c>
      <c r="I618" s="3" t="s">
        <v>22</v>
      </c>
      <c r="K618" s="3" t="s">
        <v>1132</v>
      </c>
      <c r="L618" s="3" t="s">
        <v>1133</v>
      </c>
      <c r="M618" s="3" t="s">
        <v>1137</v>
      </c>
      <c r="O618" s="3" t="s">
        <v>1756</v>
      </c>
      <c r="R618" s="7" t="str">
        <f>IF(H618="","",VLOOKUP(H618,'Hoja 9'!$A$1:$B$255,2,0))</f>
        <v>BOCA EN BOCA</v>
      </c>
      <c r="S618" s="7">
        <f t="shared" si="1"/>
        <v>2024</v>
      </c>
      <c r="T618" s="7">
        <f t="shared" si="2"/>
        <v>7</v>
      </c>
    </row>
    <row r="619">
      <c r="A619" s="4">
        <v>45499.44803975694</v>
      </c>
      <c r="B619" s="3" t="s">
        <v>1757</v>
      </c>
      <c r="C619" s="3" t="s">
        <v>175</v>
      </c>
      <c r="D619" s="3" t="s">
        <v>1758</v>
      </c>
      <c r="E619" s="5">
        <v>32028.0</v>
      </c>
      <c r="F619" s="3">
        <v>3.3227169E7</v>
      </c>
      <c r="G619" s="3">
        <v>3.517672758E9</v>
      </c>
      <c r="H619" s="3" t="s">
        <v>44</v>
      </c>
      <c r="I619" s="3" t="s">
        <v>22</v>
      </c>
      <c r="K619" s="3" t="s">
        <v>1132</v>
      </c>
      <c r="L619" s="3" t="s">
        <v>1133</v>
      </c>
      <c r="M619" s="3" t="s">
        <v>1134</v>
      </c>
      <c r="O619" s="3" t="s">
        <v>1759</v>
      </c>
      <c r="R619" s="7" t="str">
        <f>IF(H619="","",VLOOKUP(H619,'Hoja 9'!$A$1:$B$255,2,0))</f>
        <v>GIMNASIO</v>
      </c>
      <c r="S619" s="7">
        <f t="shared" si="1"/>
        <v>2024</v>
      </c>
      <c r="T619" s="7">
        <f t="shared" si="2"/>
        <v>7</v>
      </c>
    </row>
    <row r="620">
      <c r="A620" s="4">
        <v>45499.48750623842</v>
      </c>
      <c r="B620" s="3" t="s">
        <v>1760</v>
      </c>
      <c r="C620" s="3" t="s">
        <v>1761</v>
      </c>
      <c r="D620" s="3" t="s">
        <v>1762</v>
      </c>
      <c r="E620" s="5">
        <v>40313.0</v>
      </c>
      <c r="F620" s="3">
        <v>5.0341148E7</v>
      </c>
      <c r="G620" s="3">
        <v>3.518097304E9</v>
      </c>
      <c r="H620" s="3" t="s">
        <v>27</v>
      </c>
      <c r="I620" s="3" t="s">
        <v>28</v>
      </c>
      <c r="K620" s="3" t="s">
        <v>1132</v>
      </c>
      <c r="L620" s="3" t="s">
        <v>1136</v>
      </c>
      <c r="M620" s="3" t="s">
        <v>1134</v>
      </c>
      <c r="R620" s="7" t="str">
        <f>IF(H620="","",VLOOKUP(H620,'Hoja 9'!$A$1:$B$255,2,0))</f>
        <v>BOCA EN BOCA</v>
      </c>
      <c r="S620" s="7">
        <f t="shared" si="1"/>
        <v>2024</v>
      </c>
      <c r="T620" s="7">
        <f t="shared" si="2"/>
        <v>7</v>
      </c>
    </row>
    <row r="621">
      <c r="A621" s="4">
        <v>45499.825877905096</v>
      </c>
      <c r="B621" s="3" t="s">
        <v>1763</v>
      </c>
      <c r="C621" s="3" t="s">
        <v>252</v>
      </c>
      <c r="D621" s="3" t="s">
        <v>1764</v>
      </c>
      <c r="E621" s="5">
        <v>38611.0</v>
      </c>
      <c r="F621" s="3">
        <v>4.631138E7</v>
      </c>
      <c r="G621" s="3">
        <v>3.512413092E9</v>
      </c>
      <c r="H621" s="3" t="s">
        <v>27</v>
      </c>
      <c r="I621" s="3" t="s">
        <v>22</v>
      </c>
      <c r="K621" s="3" t="s">
        <v>1132</v>
      </c>
      <c r="L621" s="3" t="s">
        <v>1133</v>
      </c>
      <c r="M621" s="3" t="s">
        <v>1134</v>
      </c>
      <c r="O621" s="3" t="s">
        <v>1765</v>
      </c>
      <c r="R621" s="7" t="str">
        <f>IF(H621="","",VLOOKUP(H621,'Hoja 9'!$A$1:$B$255,2,0))</f>
        <v>BOCA EN BOCA</v>
      </c>
      <c r="S621" s="7">
        <f t="shared" si="1"/>
        <v>2024</v>
      </c>
      <c r="T621" s="7">
        <f t="shared" si="2"/>
        <v>7</v>
      </c>
    </row>
    <row r="622">
      <c r="A622" s="4">
        <v>45502.314244444446</v>
      </c>
      <c r="B622" s="3" t="s">
        <v>245</v>
      </c>
      <c r="C622" s="3" t="s">
        <v>1766</v>
      </c>
      <c r="D622" s="3" t="s">
        <v>1767</v>
      </c>
      <c r="E622" s="5">
        <v>30659.0</v>
      </c>
      <c r="F622" s="3">
        <v>9.2888117E7</v>
      </c>
      <c r="G622" s="3">
        <v>3.51337526E9</v>
      </c>
      <c r="H622" s="3" t="s">
        <v>244</v>
      </c>
      <c r="I622" s="3" t="s">
        <v>22</v>
      </c>
      <c r="K622" s="3" t="s">
        <v>1132</v>
      </c>
      <c r="L622" s="3" t="s">
        <v>1768</v>
      </c>
      <c r="M622" s="3" t="s">
        <v>1134</v>
      </c>
      <c r="O622" s="3" t="s">
        <v>72</v>
      </c>
      <c r="R622" s="7" t="str">
        <f>IF(H622="","",VLOOKUP(H622,'Hoja 9'!$A$1:$B$255,2,0))</f>
        <v>META</v>
      </c>
      <c r="S622" s="7">
        <f t="shared" si="1"/>
        <v>2024</v>
      </c>
      <c r="T622" s="7">
        <f t="shared" si="2"/>
        <v>7</v>
      </c>
    </row>
    <row r="623">
      <c r="A623" s="4">
        <v>45502.823787395835</v>
      </c>
      <c r="B623" s="3" t="s">
        <v>780</v>
      </c>
      <c r="C623" s="3" t="s">
        <v>1769</v>
      </c>
      <c r="D623" s="3" t="s">
        <v>1770</v>
      </c>
      <c r="E623" s="5">
        <v>27058.0</v>
      </c>
      <c r="F623" s="3">
        <v>2.3763152E7</v>
      </c>
      <c r="G623" s="3">
        <v>3.516422201E9</v>
      </c>
      <c r="H623" s="3" t="s">
        <v>148</v>
      </c>
      <c r="I623" s="3" t="s">
        <v>22</v>
      </c>
      <c r="K623" s="3" t="s">
        <v>1132</v>
      </c>
      <c r="L623" s="3" t="s">
        <v>1771</v>
      </c>
      <c r="M623" s="3" t="s">
        <v>1134</v>
      </c>
      <c r="O623" s="3" t="s">
        <v>1772</v>
      </c>
      <c r="R623" s="7" t="str">
        <f>IF(H623="","",VLOOKUP(H623,'Hoja 9'!$A$1:$B$255,2,0))</f>
        <v>OBRA SOCIAL</v>
      </c>
      <c r="S623" s="7">
        <f t="shared" si="1"/>
        <v>2024</v>
      </c>
      <c r="T623" s="7">
        <f t="shared" si="2"/>
        <v>7</v>
      </c>
    </row>
    <row r="624">
      <c r="A624" s="4">
        <v>45503.42098326389</v>
      </c>
      <c r="B624" s="3" t="s">
        <v>1773</v>
      </c>
      <c r="C624" s="3" t="s">
        <v>513</v>
      </c>
      <c r="D624" s="3" t="s">
        <v>1774</v>
      </c>
      <c r="E624" s="5">
        <v>28685.0</v>
      </c>
      <c r="F624" s="3">
        <v>2.6672961E7</v>
      </c>
      <c r="G624" s="3">
        <v>3.51514918E9</v>
      </c>
      <c r="H624" s="3" t="s">
        <v>1775</v>
      </c>
      <c r="I624" s="3" t="s">
        <v>28</v>
      </c>
      <c r="K624" s="3" t="s">
        <v>1132</v>
      </c>
      <c r="L624" s="3" t="s">
        <v>1404</v>
      </c>
      <c r="M624" s="3" t="s">
        <v>1137</v>
      </c>
      <c r="R624" s="7" t="str">
        <f>IF(H624="","",VLOOKUP(H624,'Hoja 9'!$A$1:$B$255,2,0))</f>
        <v>BOCA EN BOCA</v>
      </c>
      <c r="S624" s="7">
        <f t="shared" si="1"/>
        <v>2024</v>
      </c>
      <c r="T624" s="7">
        <f t="shared" si="2"/>
        <v>7</v>
      </c>
    </row>
    <row r="625">
      <c r="A625" s="4">
        <v>45505.70062539352</v>
      </c>
      <c r="B625" s="3" t="s">
        <v>1776</v>
      </c>
      <c r="C625" s="3" t="s">
        <v>1473</v>
      </c>
      <c r="D625" s="3" t="s">
        <v>1777</v>
      </c>
      <c r="E625" s="5">
        <v>26973.0</v>
      </c>
      <c r="F625" s="3">
        <v>2.3683527E7</v>
      </c>
      <c r="G625" s="3">
        <v>3.51608061E9</v>
      </c>
      <c r="H625" s="3" t="s">
        <v>44</v>
      </c>
      <c r="I625" s="3" t="s">
        <v>22</v>
      </c>
      <c r="K625" s="3" t="s">
        <v>1132</v>
      </c>
      <c r="L625" s="3" t="s">
        <v>1133</v>
      </c>
      <c r="M625" s="3" t="s">
        <v>1134</v>
      </c>
      <c r="O625" s="3" t="s">
        <v>23</v>
      </c>
      <c r="R625" s="7" t="str">
        <f>IF(H625="","",VLOOKUP(H625,'Hoja 9'!$A$1:$B$255,2,0))</f>
        <v>GIMNASIO</v>
      </c>
      <c r="S625" s="7">
        <f t="shared" si="1"/>
        <v>2024</v>
      </c>
      <c r="T625" s="7">
        <f t="shared" si="2"/>
        <v>8</v>
      </c>
    </row>
    <row r="626">
      <c r="A626" s="4">
        <v>45506.41179774306</v>
      </c>
      <c r="B626" s="3" t="s">
        <v>780</v>
      </c>
      <c r="C626" s="3" t="s">
        <v>1778</v>
      </c>
      <c r="D626" s="3" t="s">
        <v>1779</v>
      </c>
      <c r="E626" s="5">
        <v>39712.0</v>
      </c>
      <c r="F626" s="3">
        <v>4.8532863E7</v>
      </c>
      <c r="G626" s="3">
        <v>3.512182319E9</v>
      </c>
      <c r="H626" s="3" t="s">
        <v>148</v>
      </c>
      <c r="I626" s="3" t="s">
        <v>22</v>
      </c>
      <c r="K626" s="3" t="s">
        <v>1132</v>
      </c>
      <c r="L626" s="3" t="s">
        <v>1136</v>
      </c>
      <c r="M626" s="3" t="s">
        <v>1137</v>
      </c>
      <c r="O626" s="3" t="s">
        <v>1780</v>
      </c>
      <c r="R626" s="7" t="str">
        <f>IF(H626="","",VLOOKUP(H626,'Hoja 9'!$A$1:$B$255,2,0))</f>
        <v>OBRA SOCIAL</v>
      </c>
      <c r="S626" s="7">
        <f t="shared" si="1"/>
        <v>2024</v>
      </c>
      <c r="T626" s="7">
        <f t="shared" si="2"/>
        <v>8</v>
      </c>
    </row>
    <row r="627">
      <c r="A627" s="4">
        <v>45509.64580092592</v>
      </c>
      <c r="B627" s="3" t="s">
        <v>1781</v>
      </c>
      <c r="C627" s="3" t="s">
        <v>1782</v>
      </c>
      <c r="D627" s="3" t="s">
        <v>1783</v>
      </c>
      <c r="E627" s="5">
        <v>33380.0</v>
      </c>
      <c r="F627" s="3">
        <v>3.6240768E7</v>
      </c>
      <c r="G627" s="3">
        <v>2.920663064E9</v>
      </c>
      <c r="H627" s="3" t="s">
        <v>27</v>
      </c>
      <c r="I627" s="3" t="s">
        <v>28</v>
      </c>
      <c r="K627" s="3" t="s">
        <v>1132</v>
      </c>
      <c r="L627" s="3" t="s">
        <v>1136</v>
      </c>
      <c r="M627" s="3" t="s">
        <v>1137</v>
      </c>
      <c r="R627" s="7" t="str">
        <f>IF(H627="","",VLOOKUP(H627,'Hoja 9'!$A$1:$B$255,2,0))</f>
        <v>BOCA EN BOCA</v>
      </c>
      <c r="S627" s="7">
        <f t="shared" si="1"/>
        <v>2024</v>
      </c>
      <c r="T627" s="7">
        <f t="shared" si="2"/>
        <v>8</v>
      </c>
    </row>
    <row r="628">
      <c r="A628" s="4">
        <v>45509.64908984954</v>
      </c>
      <c r="B628" s="3" t="s">
        <v>1784</v>
      </c>
      <c r="C628" s="3" t="s">
        <v>1785</v>
      </c>
      <c r="D628" s="3" t="s">
        <v>1786</v>
      </c>
      <c r="E628" s="5">
        <v>34354.0</v>
      </c>
      <c r="F628" s="3">
        <v>3.8002954E7</v>
      </c>
      <c r="G628" s="3">
        <v>3.513703452E9</v>
      </c>
      <c r="H628" s="3" t="s">
        <v>244</v>
      </c>
      <c r="I628" s="3" t="s">
        <v>28</v>
      </c>
      <c r="K628" s="3" t="s">
        <v>1132</v>
      </c>
      <c r="L628" s="3" t="s">
        <v>1136</v>
      </c>
      <c r="M628" s="3" t="s">
        <v>1137</v>
      </c>
      <c r="R628" s="7" t="str">
        <f>IF(H628="","",VLOOKUP(H628,'Hoja 9'!$A$1:$B$255,2,0))</f>
        <v>META</v>
      </c>
      <c r="S628" s="7">
        <f t="shared" si="1"/>
        <v>2024</v>
      </c>
      <c r="T628" s="7">
        <f t="shared" si="2"/>
        <v>8</v>
      </c>
    </row>
    <row r="629">
      <c r="A629" s="4">
        <v>45509.70267107639</v>
      </c>
      <c r="B629" s="3" t="s">
        <v>1787</v>
      </c>
      <c r="C629" s="3" t="s">
        <v>1788</v>
      </c>
      <c r="D629" s="3" t="s">
        <v>1789</v>
      </c>
      <c r="E629" s="5">
        <v>35074.0</v>
      </c>
      <c r="F629" s="3">
        <v>3.9495074E7</v>
      </c>
      <c r="G629" s="3">
        <v>3.518175527E9</v>
      </c>
      <c r="H629" s="3" t="s">
        <v>148</v>
      </c>
      <c r="I629" s="3" t="s">
        <v>22</v>
      </c>
      <c r="K629" s="3" t="s">
        <v>1145</v>
      </c>
      <c r="O629" s="3" t="s">
        <v>831</v>
      </c>
      <c r="R629" s="7" t="str">
        <f>IF(H629="","",VLOOKUP(H629,'Hoja 9'!$A$1:$B$255,2,0))</f>
        <v>OBRA SOCIAL</v>
      </c>
      <c r="S629" s="7">
        <f t="shared" si="1"/>
        <v>2024</v>
      </c>
      <c r="T629" s="7">
        <f t="shared" si="2"/>
        <v>8</v>
      </c>
    </row>
    <row r="630">
      <c r="A630" s="4">
        <v>45509.772189317126</v>
      </c>
      <c r="B630" s="3" t="s">
        <v>584</v>
      </c>
      <c r="C630" s="3" t="s">
        <v>1790</v>
      </c>
      <c r="D630" s="3" t="s">
        <v>1791</v>
      </c>
      <c r="E630" s="5">
        <v>24513.0</v>
      </c>
      <c r="F630" s="3">
        <v>1.8489585E7</v>
      </c>
      <c r="G630" s="3">
        <v>3.51765363E9</v>
      </c>
      <c r="H630" s="3" t="s">
        <v>21</v>
      </c>
      <c r="I630" s="3" t="s">
        <v>22</v>
      </c>
      <c r="K630" s="3" t="s">
        <v>1132</v>
      </c>
      <c r="L630" s="3" t="s">
        <v>1568</v>
      </c>
      <c r="M630" s="3" t="s">
        <v>1137</v>
      </c>
      <c r="O630" s="3" t="s">
        <v>1792</v>
      </c>
      <c r="R630" s="7" t="str">
        <f>IF(H630="","",VLOOKUP(H630,'Hoja 9'!$A$1:$B$255,2,0))</f>
        <v>GOOGLE</v>
      </c>
      <c r="S630" s="7">
        <f t="shared" si="1"/>
        <v>2024</v>
      </c>
      <c r="T630" s="7">
        <f t="shared" si="2"/>
        <v>8</v>
      </c>
    </row>
    <row r="631">
      <c r="A631" s="4">
        <v>45510.52542430555</v>
      </c>
      <c r="B631" s="3" t="s">
        <v>1793</v>
      </c>
      <c r="C631" s="3" t="s">
        <v>337</v>
      </c>
      <c r="D631" s="3" t="s">
        <v>1794</v>
      </c>
      <c r="E631" s="5">
        <v>37133.0</v>
      </c>
      <c r="F631" s="3">
        <v>4.3524167E7</v>
      </c>
      <c r="G631" s="3">
        <v>3.515559108E9</v>
      </c>
      <c r="H631" s="3" t="s">
        <v>27</v>
      </c>
      <c r="I631" s="3" t="s">
        <v>22</v>
      </c>
      <c r="K631" s="3" t="s">
        <v>1132</v>
      </c>
      <c r="L631" s="3" t="s">
        <v>1133</v>
      </c>
      <c r="M631" s="3" t="s">
        <v>1134</v>
      </c>
      <c r="O631" s="3" t="s">
        <v>72</v>
      </c>
      <c r="R631" s="7" t="str">
        <f>IF(H631="","",VLOOKUP(H631,'Hoja 9'!$A$1:$B$255,2,0))</f>
        <v>BOCA EN BOCA</v>
      </c>
      <c r="S631" s="7">
        <f t="shared" si="1"/>
        <v>2024</v>
      </c>
      <c r="T631" s="7">
        <f t="shared" si="2"/>
        <v>8</v>
      </c>
    </row>
    <row r="632">
      <c r="A632" s="4">
        <v>45510.60113672454</v>
      </c>
      <c r="B632" s="3" t="s">
        <v>1754</v>
      </c>
      <c r="C632" s="3" t="s">
        <v>856</v>
      </c>
      <c r="D632" s="3" t="s">
        <v>1795</v>
      </c>
      <c r="E632" s="5">
        <v>23204.0</v>
      </c>
      <c r="F632" s="3">
        <v>1.6741765E7</v>
      </c>
      <c r="G632" s="3">
        <v>3.515934519E9</v>
      </c>
      <c r="H632" s="3" t="s">
        <v>27</v>
      </c>
      <c r="I632" s="3" t="s">
        <v>28</v>
      </c>
      <c r="K632" s="3" t="s">
        <v>1132</v>
      </c>
      <c r="L632" s="3" t="s">
        <v>1133</v>
      </c>
      <c r="M632" s="3" t="s">
        <v>1134</v>
      </c>
      <c r="R632" s="7" t="str">
        <f>IF(H632="","",VLOOKUP(H632,'Hoja 9'!$A$1:$B$255,2,0))</f>
        <v>BOCA EN BOCA</v>
      </c>
      <c r="S632" s="7">
        <f t="shared" si="1"/>
        <v>2024</v>
      </c>
      <c r="T632" s="7">
        <f t="shared" si="2"/>
        <v>8</v>
      </c>
    </row>
    <row r="633">
      <c r="A633" s="4">
        <v>45510.66112232639</v>
      </c>
      <c r="B633" s="3" t="s">
        <v>1796</v>
      </c>
      <c r="C633" s="3" t="s">
        <v>1797</v>
      </c>
      <c r="D633" s="3" t="s">
        <v>1798</v>
      </c>
      <c r="E633" s="5">
        <v>39679.0</v>
      </c>
      <c r="F633" s="3">
        <v>4.9397273E7</v>
      </c>
      <c r="G633" s="3">
        <v>3.517342634E9</v>
      </c>
      <c r="H633" s="3" t="s">
        <v>21</v>
      </c>
      <c r="I633" s="3" t="s">
        <v>28</v>
      </c>
      <c r="K633" s="3" t="s">
        <v>1132</v>
      </c>
      <c r="L633" s="3" t="s">
        <v>1140</v>
      </c>
      <c r="M633" s="3" t="s">
        <v>1134</v>
      </c>
      <c r="R633" s="7" t="str">
        <f>IF(H633="","",VLOOKUP(H633,'Hoja 9'!$A$1:$B$255,2,0))</f>
        <v>GOOGLE</v>
      </c>
      <c r="S633" s="7">
        <f t="shared" si="1"/>
        <v>2024</v>
      </c>
      <c r="T633" s="7">
        <f t="shared" si="2"/>
        <v>8</v>
      </c>
    </row>
    <row r="634">
      <c r="A634" s="4">
        <v>45511.421522916666</v>
      </c>
      <c r="B634" s="3" t="s">
        <v>1799</v>
      </c>
      <c r="C634" s="3" t="s">
        <v>305</v>
      </c>
      <c r="D634" s="3" t="s">
        <v>1800</v>
      </c>
      <c r="E634" s="5">
        <v>37426.0</v>
      </c>
      <c r="F634" s="3">
        <v>4.3996798E7</v>
      </c>
      <c r="G634" s="3">
        <v>3.518154005E9</v>
      </c>
      <c r="H634" s="3" t="s">
        <v>27</v>
      </c>
      <c r="I634" s="3" t="s">
        <v>22</v>
      </c>
      <c r="K634" s="3" t="s">
        <v>1132</v>
      </c>
      <c r="L634" s="3" t="s">
        <v>1136</v>
      </c>
      <c r="M634" s="3" t="s">
        <v>1134</v>
      </c>
      <c r="O634" s="3" t="s">
        <v>72</v>
      </c>
      <c r="R634" s="7" t="str">
        <f>IF(H634="","",VLOOKUP(H634,'Hoja 9'!$A$1:$B$255,2,0))</f>
        <v>BOCA EN BOCA</v>
      </c>
      <c r="S634" s="7">
        <f t="shared" si="1"/>
        <v>2024</v>
      </c>
      <c r="T634" s="7">
        <f t="shared" si="2"/>
        <v>8</v>
      </c>
    </row>
    <row r="635">
      <c r="A635" s="4">
        <v>45511.47171248843</v>
      </c>
      <c r="B635" s="3" t="s">
        <v>1801</v>
      </c>
      <c r="C635" s="3" t="s">
        <v>1802</v>
      </c>
      <c r="E635" s="5">
        <v>15133.0</v>
      </c>
      <c r="F635" s="3">
        <v>4120025.0</v>
      </c>
      <c r="G635" s="3">
        <v>3.512145133E9</v>
      </c>
      <c r="H635" s="3" t="s">
        <v>21</v>
      </c>
      <c r="I635" s="3" t="s">
        <v>22</v>
      </c>
      <c r="K635" s="3" t="s">
        <v>1132</v>
      </c>
      <c r="L635" s="3" t="s">
        <v>1133</v>
      </c>
      <c r="M635" s="3" t="s">
        <v>1137</v>
      </c>
      <c r="O635" s="3" t="s">
        <v>23</v>
      </c>
      <c r="R635" s="7" t="str">
        <f>IF(H635="","",VLOOKUP(H635,'Hoja 9'!$A$1:$B$255,2,0))</f>
        <v>GOOGLE</v>
      </c>
      <c r="S635" s="7">
        <f t="shared" si="1"/>
        <v>2024</v>
      </c>
      <c r="T635" s="7">
        <f t="shared" si="2"/>
        <v>8</v>
      </c>
    </row>
    <row r="636">
      <c r="A636" s="4">
        <v>45511.66090540509</v>
      </c>
      <c r="B636" s="3" t="s">
        <v>903</v>
      </c>
      <c r="C636" s="3" t="s">
        <v>1803</v>
      </c>
      <c r="D636" s="3" t="s">
        <v>1804</v>
      </c>
      <c r="E636" s="5">
        <v>35249.0</v>
      </c>
      <c r="F636" s="3">
        <v>4.1033433E7</v>
      </c>
      <c r="G636" s="3">
        <v>3.513200999E9</v>
      </c>
      <c r="H636" s="3" t="s">
        <v>44</v>
      </c>
      <c r="I636" s="3" t="s">
        <v>28</v>
      </c>
      <c r="K636" s="3" t="s">
        <v>1132</v>
      </c>
      <c r="L636" s="3" t="s">
        <v>1133</v>
      </c>
      <c r="M636" s="3" t="s">
        <v>1134</v>
      </c>
      <c r="R636" s="7" t="str">
        <f>IF(H636="","",VLOOKUP(H636,'Hoja 9'!$A$1:$B$255,2,0))</f>
        <v>GIMNASIO</v>
      </c>
      <c r="S636" s="7">
        <f t="shared" si="1"/>
        <v>2024</v>
      </c>
      <c r="T636" s="7">
        <f t="shared" si="2"/>
        <v>8</v>
      </c>
    </row>
    <row r="637">
      <c r="A637" s="4">
        <v>45511.73112457176</v>
      </c>
      <c r="B637" s="3" t="s">
        <v>1805</v>
      </c>
      <c r="C637" s="3" t="s">
        <v>1806</v>
      </c>
      <c r="D637" s="3" t="s">
        <v>1807</v>
      </c>
      <c r="E637" s="5">
        <v>18889.0</v>
      </c>
      <c r="F637" s="3">
        <v>6678798.0</v>
      </c>
      <c r="G637" s="3">
        <v>3.513241344E9</v>
      </c>
      <c r="H637" s="3" t="s">
        <v>21</v>
      </c>
      <c r="I637" s="3" t="s">
        <v>22</v>
      </c>
      <c r="K637" s="3" t="s">
        <v>1132</v>
      </c>
      <c r="L637" s="3" t="s">
        <v>1282</v>
      </c>
      <c r="M637" s="3" t="s">
        <v>1137</v>
      </c>
      <c r="O637" s="3" t="s">
        <v>23</v>
      </c>
      <c r="R637" s="7" t="str">
        <f>IF(H637="","",VLOOKUP(H637,'Hoja 9'!$A$1:$B$255,2,0))</f>
        <v>GOOGLE</v>
      </c>
      <c r="S637" s="7">
        <f t="shared" si="1"/>
        <v>2024</v>
      </c>
      <c r="T637" s="7">
        <f t="shared" si="2"/>
        <v>8</v>
      </c>
    </row>
    <row r="638">
      <c r="A638" s="4">
        <v>45511.82193436343</v>
      </c>
      <c r="B638" s="3" t="s">
        <v>1808</v>
      </c>
      <c r="C638" s="3" t="s">
        <v>1809</v>
      </c>
      <c r="D638" s="3" t="s">
        <v>1810</v>
      </c>
      <c r="E638" s="5">
        <v>30379.0</v>
      </c>
      <c r="F638" s="3">
        <v>3.0121375E7</v>
      </c>
      <c r="G638" s="3">
        <v>3.5137357E9</v>
      </c>
      <c r="H638" s="3" t="s">
        <v>44</v>
      </c>
      <c r="I638" s="3" t="s">
        <v>28</v>
      </c>
      <c r="K638" s="3" t="s">
        <v>1145</v>
      </c>
      <c r="R638" s="7" t="str">
        <f>IF(H638="","",VLOOKUP(H638,'Hoja 9'!$A$1:$B$255,2,0))</f>
        <v>GIMNASIO</v>
      </c>
      <c r="S638" s="7">
        <f t="shared" si="1"/>
        <v>2024</v>
      </c>
      <c r="T638" s="7">
        <f t="shared" si="2"/>
        <v>8</v>
      </c>
    </row>
    <row r="639">
      <c r="A639" s="4">
        <v>45511.94582033565</v>
      </c>
      <c r="B639" s="3" t="s">
        <v>1811</v>
      </c>
      <c r="C639" s="3" t="s">
        <v>681</v>
      </c>
      <c r="D639" s="3" t="s">
        <v>1812</v>
      </c>
      <c r="E639" s="5">
        <v>35354.0</v>
      </c>
      <c r="F639" s="3">
        <v>3.9464481E7</v>
      </c>
      <c r="G639" s="3">
        <v>1.126499645E9</v>
      </c>
      <c r="H639" s="3" t="s">
        <v>21</v>
      </c>
      <c r="I639" s="3" t="s">
        <v>22</v>
      </c>
      <c r="K639" s="3" t="s">
        <v>1132</v>
      </c>
      <c r="L639" s="3" t="s">
        <v>1133</v>
      </c>
      <c r="M639" s="3" t="s">
        <v>1134</v>
      </c>
      <c r="O639" s="3" t="s">
        <v>1813</v>
      </c>
      <c r="R639" s="7" t="str">
        <f>IF(H639="","",VLOOKUP(H639,'Hoja 9'!$A$1:$B$255,2,0))</f>
        <v>GOOGLE</v>
      </c>
      <c r="S639" s="7">
        <f t="shared" si="1"/>
        <v>2024</v>
      </c>
      <c r="T639" s="7">
        <f t="shared" si="2"/>
        <v>8</v>
      </c>
    </row>
    <row r="640">
      <c r="A640" s="4">
        <v>45512.417433009265</v>
      </c>
      <c r="B640" s="3" t="s">
        <v>1814</v>
      </c>
      <c r="C640" s="3" t="s">
        <v>1815</v>
      </c>
      <c r="D640" s="3" t="s">
        <v>1816</v>
      </c>
      <c r="E640" s="5">
        <v>23949.0</v>
      </c>
      <c r="F640" s="3">
        <v>1.7628545E7</v>
      </c>
      <c r="G640" s="3">
        <v>3.515636836E9</v>
      </c>
      <c r="H640" s="3" t="s">
        <v>21</v>
      </c>
      <c r="I640" s="3" t="s">
        <v>22</v>
      </c>
      <c r="K640" s="3" t="s">
        <v>1132</v>
      </c>
      <c r="L640" s="3" t="s">
        <v>1817</v>
      </c>
      <c r="M640" s="3" t="s">
        <v>1134</v>
      </c>
      <c r="O640" s="3" t="s">
        <v>1818</v>
      </c>
      <c r="R640" s="7" t="str">
        <f>IF(H640="","",VLOOKUP(H640,'Hoja 9'!$A$1:$B$255,2,0))</f>
        <v>GOOGLE</v>
      </c>
      <c r="S640" s="7">
        <f t="shared" si="1"/>
        <v>2024</v>
      </c>
      <c r="T640" s="7">
        <f t="shared" si="2"/>
        <v>8</v>
      </c>
    </row>
    <row r="641">
      <c r="A641" s="4">
        <v>45512.74620520833</v>
      </c>
      <c r="B641" s="3" t="s">
        <v>1819</v>
      </c>
      <c r="C641" s="3" t="s">
        <v>1820</v>
      </c>
      <c r="D641" s="3" t="s">
        <v>1821</v>
      </c>
      <c r="E641" s="5">
        <v>29606.0</v>
      </c>
      <c r="F641" s="3">
        <v>2.8432857E7</v>
      </c>
      <c r="G641" s="3">
        <v>3.517538501E9</v>
      </c>
      <c r="H641" s="3" t="s">
        <v>27</v>
      </c>
      <c r="I641" s="3" t="s">
        <v>28</v>
      </c>
      <c r="K641" s="3" t="s">
        <v>1132</v>
      </c>
      <c r="L641" s="3" t="s">
        <v>1136</v>
      </c>
      <c r="M641" s="3" t="s">
        <v>1134</v>
      </c>
      <c r="R641" s="7" t="str">
        <f>IF(H641="","",VLOOKUP(H641,'Hoja 9'!$A$1:$B$255,2,0))</f>
        <v>BOCA EN BOCA</v>
      </c>
      <c r="S641" s="7">
        <f t="shared" si="1"/>
        <v>2024</v>
      </c>
      <c r="T641" s="7">
        <f t="shared" si="2"/>
        <v>8</v>
      </c>
    </row>
    <row r="642">
      <c r="A642" s="4">
        <v>45513.77311340278</v>
      </c>
      <c r="B642" s="3" t="s">
        <v>1822</v>
      </c>
      <c r="C642" s="3" t="s">
        <v>1823</v>
      </c>
      <c r="E642" s="5">
        <v>17378.0</v>
      </c>
      <c r="F642" s="3">
        <v>5681186.0</v>
      </c>
      <c r="G642" s="3">
        <v>3.516450262E9</v>
      </c>
      <c r="H642" s="3" t="s">
        <v>27</v>
      </c>
      <c r="I642" s="3" t="s">
        <v>28</v>
      </c>
      <c r="K642" s="3" t="s">
        <v>1145</v>
      </c>
      <c r="R642" s="7" t="str">
        <f>IF(H642="","",VLOOKUP(H642,'Hoja 9'!$A$1:$B$255,2,0))</f>
        <v>BOCA EN BOCA</v>
      </c>
      <c r="S642" s="7">
        <f t="shared" si="1"/>
        <v>2024</v>
      </c>
      <c r="T642" s="7">
        <f t="shared" si="2"/>
        <v>8</v>
      </c>
    </row>
    <row r="643">
      <c r="A643" s="4">
        <v>45513.803982488425</v>
      </c>
      <c r="B643" s="3" t="s">
        <v>910</v>
      </c>
      <c r="C643" s="3" t="s">
        <v>449</v>
      </c>
      <c r="D643" s="3" t="s">
        <v>1824</v>
      </c>
      <c r="E643" s="5">
        <v>40413.0</v>
      </c>
      <c r="F643" s="3">
        <v>5.0419491E7</v>
      </c>
      <c r="G643" s="3">
        <v>3.515720555E9</v>
      </c>
      <c r="H643" s="3" t="s">
        <v>27</v>
      </c>
      <c r="I643" s="3" t="s">
        <v>22</v>
      </c>
      <c r="K643" s="3" t="s">
        <v>1132</v>
      </c>
      <c r="L643" s="3" t="s">
        <v>1136</v>
      </c>
      <c r="M643" s="3" t="s">
        <v>1213</v>
      </c>
      <c r="O643" s="3" t="s">
        <v>149</v>
      </c>
      <c r="R643" s="7" t="str">
        <f>IF(H643="","",VLOOKUP(H643,'Hoja 9'!$A$1:$B$255,2,0))</f>
        <v>BOCA EN BOCA</v>
      </c>
      <c r="S643" s="7">
        <f t="shared" si="1"/>
        <v>2024</v>
      </c>
      <c r="T643" s="7">
        <f t="shared" si="2"/>
        <v>8</v>
      </c>
    </row>
    <row r="644">
      <c r="A644" s="4">
        <v>45516.573396458334</v>
      </c>
      <c r="B644" s="3" t="s">
        <v>1825</v>
      </c>
      <c r="C644" s="3" t="s">
        <v>1826</v>
      </c>
      <c r="D644" s="3" t="s">
        <v>1827</v>
      </c>
      <c r="E644" s="5">
        <v>37792.0</v>
      </c>
      <c r="F644" s="3">
        <v>4.4805781E7</v>
      </c>
      <c r="G644" s="3">
        <v>3.513938792E9</v>
      </c>
      <c r="H644" s="3" t="s">
        <v>27</v>
      </c>
      <c r="I644" s="3" t="s">
        <v>22</v>
      </c>
      <c r="K644" s="3" t="s">
        <v>1132</v>
      </c>
      <c r="L644" s="3" t="s">
        <v>1136</v>
      </c>
      <c r="M644" s="3" t="s">
        <v>1134</v>
      </c>
      <c r="O644" s="3" t="s">
        <v>1828</v>
      </c>
      <c r="R644" s="7" t="str">
        <f>IF(H644="","",VLOOKUP(H644,'Hoja 9'!$A$1:$B$255,2,0))</f>
        <v>BOCA EN BOCA</v>
      </c>
      <c r="S644" s="7">
        <f t="shared" si="1"/>
        <v>2024</v>
      </c>
      <c r="T644" s="7">
        <f t="shared" si="2"/>
        <v>8</v>
      </c>
    </row>
    <row r="645">
      <c r="A645" s="4">
        <v>45516.734569409724</v>
      </c>
      <c r="B645" s="3" t="s">
        <v>1829</v>
      </c>
      <c r="C645" s="3" t="s">
        <v>1530</v>
      </c>
      <c r="D645" s="3" t="s">
        <v>1830</v>
      </c>
      <c r="E645" s="5">
        <v>27434.0</v>
      </c>
      <c r="F645" s="3">
        <v>2.4160938E7</v>
      </c>
      <c r="G645" s="3">
        <v>3.515923208E9</v>
      </c>
      <c r="H645" s="3" t="s">
        <v>21</v>
      </c>
      <c r="I645" s="3" t="s">
        <v>22</v>
      </c>
      <c r="K645" s="3" t="s">
        <v>1132</v>
      </c>
      <c r="L645" s="3" t="s">
        <v>1133</v>
      </c>
      <c r="M645" s="3" t="s">
        <v>1134</v>
      </c>
      <c r="O645" s="3" t="s">
        <v>1831</v>
      </c>
      <c r="R645" s="7" t="str">
        <f>IF(H645="","",VLOOKUP(H645,'Hoja 9'!$A$1:$B$255,2,0))</f>
        <v>GOOGLE</v>
      </c>
      <c r="S645" s="7">
        <f t="shared" si="1"/>
        <v>2024</v>
      </c>
      <c r="T645" s="7">
        <f t="shared" si="2"/>
        <v>8</v>
      </c>
    </row>
    <row r="646">
      <c r="A646" s="4">
        <v>45516.80856587963</v>
      </c>
      <c r="B646" s="3" t="s">
        <v>1832</v>
      </c>
      <c r="C646" s="3" t="s">
        <v>88</v>
      </c>
      <c r="D646" s="3" t="s">
        <v>1833</v>
      </c>
      <c r="E646" s="5">
        <v>38817.0</v>
      </c>
      <c r="F646" s="3">
        <v>4.699994E7</v>
      </c>
      <c r="G646" s="3">
        <v>3.518638864E9</v>
      </c>
      <c r="H646" s="3" t="s">
        <v>27</v>
      </c>
      <c r="I646" s="3" t="s">
        <v>22</v>
      </c>
      <c r="K646" s="3" t="s">
        <v>1132</v>
      </c>
      <c r="L646" s="3" t="s">
        <v>1834</v>
      </c>
      <c r="M646" s="3" t="s">
        <v>1213</v>
      </c>
      <c r="O646" s="3" t="s">
        <v>23</v>
      </c>
      <c r="R646" s="7" t="str">
        <f>IF(H646="","",VLOOKUP(H646,'Hoja 9'!$A$1:$B$255,2,0))</f>
        <v>BOCA EN BOCA</v>
      </c>
      <c r="S646" s="7">
        <f t="shared" si="1"/>
        <v>2024</v>
      </c>
      <c r="T646" s="7">
        <f t="shared" si="2"/>
        <v>8</v>
      </c>
    </row>
    <row r="647">
      <c r="A647" s="4">
        <v>45517.5666265162</v>
      </c>
      <c r="B647" s="3" t="s">
        <v>1835</v>
      </c>
      <c r="C647" s="3" t="s">
        <v>1836</v>
      </c>
      <c r="D647" s="3" t="s">
        <v>1837</v>
      </c>
      <c r="E647" s="5">
        <v>28447.0</v>
      </c>
      <c r="F647" s="3">
        <v>2.6385278E7</v>
      </c>
      <c r="G647" s="3">
        <v>3.516744744E9</v>
      </c>
      <c r="H647" s="3" t="s">
        <v>21</v>
      </c>
      <c r="I647" s="3" t="s">
        <v>22</v>
      </c>
      <c r="K647" s="3" t="s">
        <v>1132</v>
      </c>
      <c r="L647" s="3" t="s">
        <v>1404</v>
      </c>
      <c r="M647" s="3" t="s">
        <v>1137</v>
      </c>
      <c r="O647" s="3" t="s">
        <v>23</v>
      </c>
      <c r="R647" s="7" t="str">
        <f>IF(H647="","",VLOOKUP(H647,'Hoja 9'!$A$1:$B$255,2,0))</f>
        <v>GOOGLE</v>
      </c>
      <c r="S647" s="7">
        <f t="shared" si="1"/>
        <v>2024</v>
      </c>
      <c r="T647" s="7">
        <f t="shared" si="2"/>
        <v>8</v>
      </c>
    </row>
    <row r="648">
      <c r="A648" s="4">
        <v>45517.57129678241</v>
      </c>
      <c r="B648" s="3" t="s">
        <v>829</v>
      </c>
      <c r="C648" s="3" t="s">
        <v>597</v>
      </c>
      <c r="E648" s="5">
        <v>21845.0</v>
      </c>
      <c r="F648" s="3">
        <v>1.3684971E7</v>
      </c>
      <c r="G648" s="3">
        <v>3.51531759E9</v>
      </c>
      <c r="H648" s="3" t="s">
        <v>27</v>
      </c>
      <c r="I648" s="3" t="s">
        <v>22</v>
      </c>
      <c r="K648" s="3" t="s">
        <v>1145</v>
      </c>
      <c r="O648" s="3" t="s">
        <v>23</v>
      </c>
      <c r="R648" s="7" t="str">
        <f>IF(H648="","",VLOOKUP(H648,'Hoja 9'!$A$1:$B$255,2,0))</f>
        <v>BOCA EN BOCA</v>
      </c>
      <c r="S648" s="7">
        <f t="shared" si="1"/>
        <v>2024</v>
      </c>
      <c r="T648" s="7">
        <f t="shared" si="2"/>
        <v>8</v>
      </c>
    </row>
    <row r="649">
      <c r="A649" s="4">
        <v>45517.64590212963</v>
      </c>
      <c r="B649" s="3" t="s">
        <v>1838</v>
      </c>
      <c r="C649" s="3" t="s">
        <v>1839</v>
      </c>
      <c r="D649" s="3" t="s">
        <v>1840</v>
      </c>
      <c r="E649" s="5">
        <v>35287.0</v>
      </c>
      <c r="F649" s="3">
        <v>3.9622628E7</v>
      </c>
      <c r="G649" s="3">
        <v>3.512563083E9</v>
      </c>
      <c r="H649" s="3" t="s">
        <v>148</v>
      </c>
      <c r="I649" s="3" t="s">
        <v>22</v>
      </c>
      <c r="K649" s="3" t="s">
        <v>1132</v>
      </c>
      <c r="L649" s="3" t="s">
        <v>1136</v>
      </c>
      <c r="M649" s="3" t="s">
        <v>1134</v>
      </c>
      <c r="O649" s="3" t="s">
        <v>149</v>
      </c>
      <c r="R649" s="7" t="str">
        <f>IF(H649="","",VLOOKUP(H649,'Hoja 9'!$A$1:$B$255,2,0))</f>
        <v>OBRA SOCIAL</v>
      </c>
      <c r="S649" s="7">
        <f t="shared" si="1"/>
        <v>2024</v>
      </c>
      <c r="T649" s="7">
        <f t="shared" si="2"/>
        <v>8</v>
      </c>
    </row>
    <row r="650">
      <c r="A650" s="4">
        <v>45517.648160439814</v>
      </c>
      <c r="B650" s="3" t="s">
        <v>1841</v>
      </c>
      <c r="C650" s="3" t="s">
        <v>1842</v>
      </c>
      <c r="D650" s="3" t="s">
        <v>1843</v>
      </c>
      <c r="E650" s="5">
        <v>34163.0</v>
      </c>
      <c r="F650" s="3">
        <v>3.761819E7</v>
      </c>
      <c r="G650" s="3">
        <v>2.966602051E9</v>
      </c>
      <c r="H650" s="3" t="s">
        <v>44</v>
      </c>
      <c r="I650" s="3" t="s">
        <v>28</v>
      </c>
      <c r="K650" s="3" t="s">
        <v>1145</v>
      </c>
      <c r="R650" s="7" t="str">
        <f>IF(H650="","",VLOOKUP(H650,'Hoja 9'!$A$1:$B$255,2,0))</f>
        <v>GIMNASIO</v>
      </c>
      <c r="S650" s="7">
        <f t="shared" si="1"/>
        <v>2024</v>
      </c>
      <c r="T650" s="7">
        <f t="shared" si="2"/>
        <v>8</v>
      </c>
    </row>
    <row r="651">
      <c r="A651" s="4">
        <v>45517.816461180555</v>
      </c>
      <c r="B651" s="3" t="s">
        <v>735</v>
      </c>
      <c r="C651" s="3" t="s">
        <v>180</v>
      </c>
      <c r="D651" s="3" t="s">
        <v>1844</v>
      </c>
      <c r="E651" s="5">
        <v>35384.0</v>
      </c>
      <c r="F651" s="3">
        <v>3.993735E7</v>
      </c>
      <c r="G651" s="3">
        <v>3.516134519E9</v>
      </c>
      <c r="H651" s="3" t="s">
        <v>27</v>
      </c>
      <c r="I651" s="3" t="s">
        <v>28</v>
      </c>
      <c r="K651" s="3" t="s">
        <v>1132</v>
      </c>
      <c r="L651" s="3" t="s">
        <v>1136</v>
      </c>
      <c r="M651" s="3" t="s">
        <v>1137</v>
      </c>
      <c r="R651" s="7" t="str">
        <f>IF(H651="","",VLOOKUP(H651,'Hoja 9'!$A$1:$B$255,2,0))</f>
        <v>BOCA EN BOCA</v>
      </c>
      <c r="S651" s="7">
        <f t="shared" si="1"/>
        <v>2024</v>
      </c>
      <c r="T651" s="7">
        <f t="shared" si="2"/>
        <v>8</v>
      </c>
    </row>
    <row r="652">
      <c r="A652" s="4">
        <v>45518.69364788194</v>
      </c>
      <c r="B652" s="3" t="s">
        <v>1744</v>
      </c>
      <c r="C652" s="3" t="s">
        <v>1845</v>
      </c>
      <c r="D652" s="3" t="s">
        <v>1846</v>
      </c>
      <c r="E652" s="5">
        <v>33543.0</v>
      </c>
      <c r="F652" s="3">
        <v>3.6141852E7</v>
      </c>
      <c r="G652" s="3">
        <v>3.513698015E9</v>
      </c>
      <c r="H652" s="3" t="s">
        <v>21</v>
      </c>
      <c r="I652" s="3" t="s">
        <v>22</v>
      </c>
      <c r="K652" s="3" t="s">
        <v>1145</v>
      </c>
      <c r="O652" s="3" t="s">
        <v>72</v>
      </c>
      <c r="R652" s="7" t="str">
        <f>IF(H652="","",VLOOKUP(H652,'Hoja 9'!$A$1:$B$255,2,0))</f>
        <v>GOOGLE</v>
      </c>
      <c r="S652" s="7">
        <f t="shared" si="1"/>
        <v>2024</v>
      </c>
      <c r="T652" s="7">
        <f t="shared" si="2"/>
        <v>8</v>
      </c>
    </row>
    <row r="653">
      <c r="A653" s="4">
        <v>45518.772020115735</v>
      </c>
      <c r="B653" s="3" t="s">
        <v>1847</v>
      </c>
      <c r="C653" s="3" t="s">
        <v>1848</v>
      </c>
      <c r="D653" s="3" t="s">
        <v>1849</v>
      </c>
      <c r="E653" s="5">
        <v>32193.0</v>
      </c>
      <c r="F653" s="3">
        <v>3.3598965E7</v>
      </c>
      <c r="G653" s="3">
        <v>3.516351034E9</v>
      </c>
      <c r="H653" s="3" t="s">
        <v>148</v>
      </c>
      <c r="I653" s="3" t="s">
        <v>22</v>
      </c>
      <c r="K653" s="3" t="s">
        <v>1145</v>
      </c>
      <c r="O653" s="3" t="s">
        <v>831</v>
      </c>
      <c r="R653" s="7" t="str">
        <f>IF(H653="","",VLOOKUP(H653,'Hoja 9'!$A$1:$B$255,2,0))</f>
        <v>OBRA SOCIAL</v>
      </c>
      <c r="S653" s="7">
        <f t="shared" si="1"/>
        <v>2024</v>
      </c>
      <c r="T653" s="7">
        <f t="shared" si="2"/>
        <v>8</v>
      </c>
    </row>
    <row r="654">
      <c r="A654" s="4">
        <v>45518.78521495371</v>
      </c>
      <c r="B654" s="3" t="s">
        <v>1850</v>
      </c>
      <c r="C654" s="3" t="s">
        <v>896</v>
      </c>
      <c r="E654" s="5">
        <v>39455.0</v>
      </c>
      <c r="F654" s="3">
        <v>4.812389E7</v>
      </c>
      <c r="G654" s="3">
        <v>3.516826804E9</v>
      </c>
      <c r="H654" s="3" t="s">
        <v>27</v>
      </c>
      <c r="I654" s="3" t="s">
        <v>28</v>
      </c>
      <c r="K654" s="3" t="s">
        <v>1132</v>
      </c>
      <c r="L654" s="3" t="s">
        <v>1136</v>
      </c>
      <c r="M654" s="3" t="s">
        <v>1134</v>
      </c>
      <c r="R654" s="7" t="str">
        <f>IF(H654="","",VLOOKUP(H654,'Hoja 9'!$A$1:$B$255,2,0))</f>
        <v>BOCA EN BOCA</v>
      </c>
      <c r="S654" s="7">
        <f t="shared" si="1"/>
        <v>2024</v>
      </c>
      <c r="T654" s="7">
        <f t="shared" si="2"/>
        <v>8</v>
      </c>
    </row>
    <row r="655">
      <c r="A655" s="4">
        <v>45519.56915402778</v>
      </c>
      <c r="B655" s="3" t="s">
        <v>1315</v>
      </c>
      <c r="C655" s="3" t="s">
        <v>1851</v>
      </c>
      <c r="D655" s="3" t="s">
        <v>1852</v>
      </c>
      <c r="E655" s="5">
        <v>26136.0</v>
      </c>
      <c r="F655" s="3">
        <v>2.2224815E7</v>
      </c>
      <c r="G655" s="3">
        <v>3.512242987E9</v>
      </c>
      <c r="H655" s="3" t="s">
        <v>148</v>
      </c>
      <c r="I655" s="3" t="s">
        <v>22</v>
      </c>
      <c r="K655" s="3" t="s">
        <v>1145</v>
      </c>
      <c r="O655" s="3" t="s">
        <v>1853</v>
      </c>
      <c r="R655" s="7" t="str">
        <f>IF(H655="","",VLOOKUP(H655,'Hoja 9'!$A$1:$B$255,2,0))</f>
        <v>OBRA SOCIAL</v>
      </c>
      <c r="S655" s="7">
        <f t="shared" si="1"/>
        <v>2024</v>
      </c>
      <c r="T655" s="7">
        <f t="shared" si="2"/>
        <v>8</v>
      </c>
    </row>
    <row r="656">
      <c r="A656" s="4">
        <v>45519.79601395833</v>
      </c>
      <c r="B656" s="3" t="s">
        <v>1854</v>
      </c>
      <c r="C656" s="3" t="s">
        <v>1662</v>
      </c>
      <c r="D656" s="3" t="s">
        <v>1855</v>
      </c>
      <c r="E656" s="5">
        <v>38322.0</v>
      </c>
      <c r="F656" s="3">
        <v>4.6032852E7</v>
      </c>
      <c r="G656" s="3">
        <v>3.517370378E9</v>
      </c>
      <c r="H656" s="3" t="s">
        <v>44</v>
      </c>
      <c r="I656" s="3" t="s">
        <v>28</v>
      </c>
      <c r="K656" s="3" t="s">
        <v>1132</v>
      </c>
      <c r="L656" s="3" t="s">
        <v>1133</v>
      </c>
      <c r="M656" s="3" t="s">
        <v>1134</v>
      </c>
      <c r="R656" s="7" t="str">
        <f>IF(H656="","",VLOOKUP(H656,'Hoja 9'!$A$1:$B$255,2,0))</f>
        <v>GIMNASIO</v>
      </c>
      <c r="S656" s="7">
        <f t="shared" si="1"/>
        <v>2024</v>
      </c>
      <c r="T656" s="7">
        <f t="shared" si="2"/>
        <v>8</v>
      </c>
    </row>
    <row r="657">
      <c r="A657" s="4">
        <v>45520.479435636575</v>
      </c>
      <c r="B657" s="3" t="s">
        <v>1856</v>
      </c>
      <c r="C657" s="3" t="s">
        <v>1857</v>
      </c>
      <c r="D657" s="3" t="s">
        <v>421</v>
      </c>
      <c r="E657" s="5">
        <v>13270.0</v>
      </c>
      <c r="F657" s="3">
        <v>7176771.0</v>
      </c>
      <c r="G657" s="3">
        <v>3.515087917E9</v>
      </c>
      <c r="H657" s="3" t="s">
        <v>44</v>
      </c>
      <c r="I657" s="3" t="s">
        <v>28</v>
      </c>
      <c r="K657" s="3" t="s">
        <v>1132</v>
      </c>
      <c r="L657" s="3" t="s">
        <v>1133</v>
      </c>
      <c r="M657" s="3" t="s">
        <v>1134</v>
      </c>
      <c r="R657" s="7" t="str">
        <f>IF(H657="","",VLOOKUP(H657,'Hoja 9'!$A$1:$B$255,2,0))</f>
        <v>GIMNASIO</v>
      </c>
      <c r="S657" s="7">
        <f t="shared" si="1"/>
        <v>2024</v>
      </c>
      <c r="T657" s="7">
        <f t="shared" si="2"/>
        <v>8</v>
      </c>
    </row>
    <row r="658">
      <c r="A658" s="4">
        <v>45520.59028290509</v>
      </c>
      <c r="B658" s="3" t="s">
        <v>1858</v>
      </c>
      <c r="C658" s="3" t="s">
        <v>1859</v>
      </c>
      <c r="D658" s="3" t="s">
        <v>1860</v>
      </c>
      <c r="E658" s="5">
        <v>34063.0</v>
      </c>
      <c r="F658" s="3">
        <v>3.6430931E7</v>
      </c>
      <c r="G658" s="3">
        <v>3.513338526E9</v>
      </c>
      <c r="H658" s="3" t="s">
        <v>148</v>
      </c>
      <c r="I658" s="3" t="s">
        <v>22</v>
      </c>
      <c r="K658" s="3" t="s">
        <v>1132</v>
      </c>
      <c r="L658" s="3" t="s">
        <v>1136</v>
      </c>
      <c r="M658" s="3" t="s">
        <v>1134</v>
      </c>
      <c r="O658" s="3" t="s">
        <v>831</v>
      </c>
      <c r="R658" s="7" t="str">
        <f>IF(H658="","",VLOOKUP(H658,'Hoja 9'!$A$1:$B$255,2,0))</f>
        <v>OBRA SOCIAL</v>
      </c>
      <c r="S658" s="7">
        <f t="shared" si="1"/>
        <v>2024</v>
      </c>
      <c r="T658" s="7">
        <f t="shared" si="2"/>
        <v>8</v>
      </c>
    </row>
    <row r="659">
      <c r="A659" s="4">
        <v>45525.81678949074</v>
      </c>
      <c r="B659" s="3" t="s">
        <v>1861</v>
      </c>
      <c r="C659" s="3" t="s">
        <v>1680</v>
      </c>
      <c r="D659" s="3" t="s">
        <v>1862</v>
      </c>
      <c r="E659" s="5">
        <v>23507.0</v>
      </c>
      <c r="F659" s="3">
        <v>16.0</v>
      </c>
      <c r="G659" s="3">
        <v>3.515190577E9</v>
      </c>
      <c r="H659" s="3" t="s">
        <v>27</v>
      </c>
      <c r="I659" s="3" t="s">
        <v>22</v>
      </c>
      <c r="K659" s="3" t="s">
        <v>1145</v>
      </c>
      <c r="R659" s="7" t="str">
        <f>IF(H659="","",VLOOKUP(H659,'Hoja 9'!$A$1:$B$255,2,0))</f>
        <v>BOCA EN BOCA</v>
      </c>
      <c r="S659" s="7">
        <f t="shared" si="1"/>
        <v>2024</v>
      </c>
      <c r="T659" s="7">
        <f t="shared" si="2"/>
        <v>8</v>
      </c>
    </row>
    <row r="660">
      <c r="A660" s="4">
        <v>45525.821400810186</v>
      </c>
      <c r="B660" s="3" t="s">
        <v>1863</v>
      </c>
      <c r="C660" s="3" t="s">
        <v>770</v>
      </c>
      <c r="D660" s="3" t="s">
        <v>1864</v>
      </c>
      <c r="E660" s="5">
        <v>35994.0</v>
      </c>
      <c r="F660" s="3">
        <v>4.141007E7</v>
      </c>
      <c r="G660" s="3">
        <v>3.513143334E9</v>
      </c>
      <c r="H660" s="3" t="s">
        <v>27</v>
      </c>
      <c r="I660" s="3" t="s">
        <v>22</v>
      </c>
      <c r="K660" s="3" t="s">
        <v>1132</v>
      </c>
      <c r="L660" s="3" t="s">
        <v>1133</v>
      </c>
      <c r="M660" s="3" t="s">
        <v>1134</v>
      </c>
      <c r="O660" s="3" t="s">
        <v>287</v>
      </c>
      <c r="R660" s="7" t="str">
        <f>IF(H660="","",VLOOKUP(H660,'Hoja 9'!$A$1:$B$255,2,0))</f>
        <v>BOCA EN BOCA</v>
      </c>
      <c r="S660" s="7">
        <f t="shared" si="1"/>
        <v>2024</v>
      </c>
      <c r="T660" s="7">
        <f t="shared" si="2"/>
        <v>8</v>
      </c>
    </row>
    <row r="661">
      <c r="A661" s="4">
        <v>45526.60735929398</v>
      </c>
      <c r="B661" s="3" t="s">
        <v>1865</v>
      </c>
      <c r="C661" s="3" t="s">
        <v>1866</v>
      </c>
      <c r="D661" s="3" t="s">
        <v>1867</v>
      </c>
      <c r="E661" s="5">
        <v>32572.0</v>
      </c>
      <c r="F661" s="3">
        <v>3.4454594E7</v>
      </c>
      <c r="G661" s="3">
        <v>1.149797102E9</v>
      </c>
      <c r="H661" s="3" t="s">
        <v>21</v>
      </c>
      <c r="I661" s="3" t="s">
        <v>28</v>
      </c>
      <c r="K661" s="3" t="s">
        <v>1132</v>
      </c>
      <c r="L661" s="3" t="s">
        <v>1868</v>
      </c>
      <c r="M661" s="3" t="s">
        <v>1137</v>
      </c>
      <c r="R661" s="7" t="str">
        <f>IF(H661="","",VLOOKUP(H661,'Hoja 9'!$A$1:$B$255,2,0))</f>
        <v>GOOGLE</v>
      </c>
      <c r="S661" s="7">
        <f t="shared" si="1"/>
        <v>2024</v>
      </c>
      <c r="T661" s="7">
        <f t="shared" si="2"/>
        <v>8</v>
      </c>
    </row>
    <row r="662">
      <c r="A662" s="4">
        <v>45527.516877939815</v>
      </c>
      <c r="B662" s="3" t="s">
        <v>1869</v>
      </c>
      <c r="C662" s="3" t="s">
        <v>1870</v>
      </c>
      <c r="D662" s="3" t="s">
        <v>1871</v>
      </c>
      <c r="E662" s="5">
        <v>24544.0</v>
      </c>
      <c r="F662" s="8">
        <v>1.8176566E7</v>
      </c>
      <c r="G662" s="3">
        <v>3.516077026E9</v>
      </c>
      <c r="H662" s="3" t="s">
        <v>27</v>
      </c>
      <c r="I662" s="3" t="s">
        <v>28</v>
      </c>
      <c r="K662" s="3" t="s">
        <v>1145</v>
      </c>
      <c r="R662" s="7" t="str">
        <f>IF(H662="","",VLOOKUP(H662,'Hoja 9'!$A$1:$B$255,2,0))</f>
        <v>BOCA EN BOCA</v>
      </c>
      <c r="S662" s="7">
        <f t="shared" si="1"/>
        <v>2024</v>
      </c>
      <c r="T662" s="7">
        <f t="shared" si="2"/>
        <v>8</v>
      </c>
    </row>
    <row r="663">
      <c r="A663" s="4">
        <v>45530.926267523144</v>
      </c>
      <c r="B663" s="3" t="s">
        <v>1872</v>
      </c>
      <c r="C663" s="3" t="s">
        <v>1873</v>
      </c>
      <c r="D663" s="3" t="s">
        <v>1874</v>
      </c>
      <c r="E663" s="5">
        <v>45508.0</v>
      </c>
      <c r="F663" s="3">
        <v>2.7077658E7</v>
      </c>
      <c r="G663" s="3">
        <v>3.513854926E9</v>
      </c>
      <c r="H663" s="3" t="s">
        <v>27</v>
      </c>
      <c r="I663" s="3" t="s">
        <v>22</v>
      </c>
      <c r="K663" s="3" t="s">
        <v>1145</v>
      </c>
      <c r="O663" s="3" t="s">
        <v>149</v>
      </c>
      <c r="R663" s="7" t="str">
        <f>IF(H663="","",VLOOKUP(H663,'Hoja 9'!$A$1:$B$255,2,0))</f>
        <v>BOCA EN BOCA</v>
      </c>
      <c r="S663" s="7">
        <f t="shared" si="1"/>
        <v>2024</v>
      </c>
      <c r="T663" s="7">
        <f t="shared" si="2"/>
        <v>8</v>
      </c>
    </row>
    <row r="664">
      <c r="A664" s="4">
        <v>45531.62040598379</v>
      </c>
      <c r="B664" s="3" t="s">
        <v>1875</v>
      </c>
      <c r="C664" s="3" t="s">
        <v>1876</v>
      </c>
      <c r="D664" s="3" t="s">
        <v>936</v>
      </c>
      <c r="E664" s="5">
        <v>39610.0</v>
      </c>
      <c r="F664" s="3">
        <v>4.7821471E7</v>
      </c>
      <c r="G664" s="3">
        <v>3.516957798E9</v>
      </c>
      <c r="H664" s="3" t="s">
        <v>27</v>
      </c>
      <c r="I664" s="3" t="s">
        <v>22</v>
      </c>
      <c r="K664" s="3" t="s">
        <v>1132</v>
      </c>
      <c r="L664" s="3" t="s">
        <v>1140</v>
      </c>
      <c r="M664" s="3" t="s">
        <v>1134</v>
      </c>
      <c r="O664" s="3" t="s">
        <v>375</v>
      </c>
      <c r="R664" s="7" t="str">
        <f>IF(H664="","",VLOOKUP(H664,'Hoja 9'!$A$1:$B$255,2,0))</f>
        <v>BOCA EN BOCA</v>
      </c>
      <c r="S664" s="7">
        <f t="shared" si="1"/>
        <v>2024</v>
      </c>
      <c r="T664" s="7">
        <f t="shared" si="2"/>
        <v>8</v>
      </c>
    </row>
    <row r="665">
      <c r="A665" s="4">
        <v>45531.69770146991</v>
      </c>
      <c r="B665" s="3" t="s">
        <v>1436</v>
      </c>
      <c r="C665" s="3" t="s">
        <v>1131</v>
      </c>
      <c r="D665" s="3" t="s">
        <v>1877</v>
      </c>
      <c r="E665" s="5">
        <v>31484.0</v>
      </c>
      <c r="F665" s="3">
        <v>3.2204018E7</v>
      </c>
      <c r="G665" s="3">
        <v>3.512690651E9</v>
      </c>
      <c r="H665" s="3" t="s">
        <v>44</v>
      </c>
      <c r="I665" s="3" t="s">
        <v>28</v>
      </c>
      <c r="K665" s="3" t="s">
        <v>1132</v>
      </c>
      <c r="L665" s="3" t="s">
        <v>1136</v>
      </c>
      <c r="M665" s="3" t="s">
        <v>1134</v>
      </c>
      <c r="R665" s="7" t="str">
        <f>IF(H665="","",VLOOKUP(H665,'Hoja 9'!$A$1:$B$255,2,0))</f>
        <v>GIMNASIO</v>
      </c>
      <c r="S665" s="7">
        <f t="shared" si="1"/>
        <v>2024</v>
      </c>
      <c r="T665" s="7">
        <f t="shared" si="2"/>
        <v>8</v>
      </c>
    </row>
    <row r="666">
      <c r="A666" s="4">
        <v>45531.750971180554</v>
      </c>
      <c r="B666" s="3" t="s">
        <v>1878</v>
      </c>
      <c r="C666" s="3" t="s">
        <v>681</v>
      </c>
      <c r="D666" s="3" t="s">
        <v>1879</v>
      </c>
      <c r="E666" s="5">
        <v>32947.0</v>
      </c>
      <c r="F666" s="3">
        <v>3.5077134E7</v>
      </c>
      <c r="G666" s="3">
        <v>3.512769374E9</v>
      </c>
      <c r="H666" s="3" t="s">
        <v>27</v>
      </c>
      <c r="I666" s="3" t="s">
        <v>22</v>
      </c>
      <c r="K666" s="3" t="s">
        <v>1145</v>
      </c>
      <c r="O666" s="3" t="s">
        <v>58</v>
      </c>
      <c r="R666" s="7" t="str">
        <f>IF(H666="","",VLOOKUP(H666,'Hoja 9'!$A$1:$B$255,2,0))</f>
        <v>BOCA EN BOCA</v>
      </c>
      <c r="S666" s="7">
        <f t="shared" si="1"/>
        <v>2024</v>
      </c>
      <c r="T666" s="7">
        <f t="shared" si="2"/>
        <v>8</v>
      </c>
    </row>
    <row r="667">
      <c r="A667" s="4">
        <v>45531.754883773145</v>
      </c>
      <c r="B667" s="3" t="s">
        <v>960</v>
      </c>
      <c r="C667" s="3" t="s">
        <v>1880</v>
      </c>
      <c r="D667" s="3" t="s">
        <v>1881</v>
      </c>
      <c r="E667" s="5">
        <v>41949.0</v>
      </c>
      <c r="F667" s="3">
        <v>5.4019263E7</v>
      </c>
      <c r="G667" s="3">
        <v>3.512357187E9</v>
      </c>
      <c r="H667" s="3" t="s">
        <v>27</v>
      </c>
      <c r="I667" s="3" t="s">
        <v>22</v>
      </c>
      <c r="K667" s="3" t="s">
        <v>1132</v>
      </c>
      <c r="L667" s="3" t="s">
        <v>1136</v>
      </c>
      <c r="M667" s="3" t="s">
        <v>1134</v>
      </c>
      <c r="O667" s="3" t="s">
        <v>287</v>
      </c>
      <c r="R667" s="7" t="str">
        <f>IF(H667="","",VLOOKUP(H667,'Hoja 9'!$A$1:$B$255,2,0))</f>
        <v>BOCA EN BOCA</v>
      </c>
      <c r="S667" s="7">
        <f t="shared" si="1"/>
        <v>2024</v>
      </c>
      <c r="T667" s="7">
        <f t="shared" si="2"/>
        <v>8</v>
      </c>
    </row>
    <row r="668">
      <c r="A668" s="4">
        <v>45531.793527800924</v>
      </c>
      <c r="B668" s="3" t="s">
        <v>1882</v>
      </c>
      <c r="C668" s="3" t="s">
        <v>1883</v>
      </c>
      <c r="D668" s="3" t="s">
        <v>1884</v>
      </c>
      <c r="E668" s="5">
        <v>19995.0</v>
      </c>
      <c r="F668" s="3">
        <v>1.1193775E7</v>
      </c>
      <c r="G668" s="3">
        <v>3.512277554E9</v>
      </c>
      <c r="H668" s="3" t="s">
        <v>21</v>
      </c>
      <c r="I668" s="3" t="s">
        <v>22</v>
      </c>
      <c r="K668" s="3" t="s">
        <v>1132</v>
      </c>
      <c r="L668" s="3" t="s">
        <v>1422</v>
      </c>
      <c r="M668" s="3" t="s">
        <v>1137</v>
      </c>
      <c r="O668" s="3" t="s">
        <v>68</v>
      </c>
      <c r="R668" s="7" t="str">
        <f>IF(H668="","",VLOOKUP(H668,'Hoja 9'!$A$1:$B$255,2,0))</f>
        <v>GOOGLE</v>
      </c>
      <c r="S668" s="7">
        <f t="shared" si="1"/>
        <v>2024</v>
      </c>
      <c r="T668" s="7">
        <f t="shared" si="2"/>
        <v>8</v>
      </c>
    </row>
    <row r="669">
      <c r="A669" s="4">
        <v>45531.79744592593</v>
      </c>
      <c r="B669" s="3" t="s">
        <v>1885</v>
      </c>
      <c r="C669" s="3" t="s">
        <v>1886</v>
      </c>
      <c r="E669" s="5">
        <v>27742.0</v>
      </c>
      <c r="F669" s="3">
        <v>531090.0</v>
      </c>
      <c r="G669" s="3">
        <v>3.196322831E9</v>
      </c>
      <c r="H669" s="3" t="s">
        <v>44</v>
      </c>
      <c r="I669" s="3" t="s">
        <v>28</v>
      </c>
      <c r="K669" s="3" t="s">
        <v>1145</v>
      </c>
      <c r="R669" s="7" t="str">
        <f>IF(H669="","",VLOOKUP(H669,'Hoja 9'!$A$1:$B$255,2,0))</f>
        <v>GIMNASIO</v>
      </c>
      <c r="S669" s="7">
        <f t="shared" si="1"/>
        <v>2024</v>
      </c>
      <c r="T669" s="7">
        <f t="shared" si="2"/>
        <v>8</v>
      </c>
    </row>
    <row r="670">
      <c r="A670" s="4">
        <v>45532.765570752315</v>
      </c>
      <c r="B670" s="3" t="s">
        <v>558</v>
      </c>
      <c r="C670" s="3" t="s">
        <v>1887</v>
      </c>
      <c r="D670" s="3" t="s">
        <v>1762</v>
      </c>
      <c r="E670" s="5">
        <v>32813.0</v>
      </c>
      <c r="F670" s="3">
        <v>3.4913524E7</v>
      </c>
      <c r="G670" s="3">
        <v>3.518097304E9</v>
      </c>
      <c r="H670" s="3" t="s">
        <v>27</v>
      </c>
      <c r="I670" s="3" t="s">
        <v>28</v>
      </c>
      <c r="K670" s="3" t="s">
        <v>1132</v>
      </c>
      <c r="L670" s="3" t="s">
        <v>1133</v>
      </c>
      <c r="M670" s="3" t="s">
        <v>1137</v>
      </c>
      <c r="R670" s="7" t="str">
        <f>IF(H670="","",VLOOKUP(H670,'Hoja 9'!$A$1:$B$255,2,0))</f>
        <v>BOCA EN BOCA</v>
      </c>
      <c r="S670" s="7">
        <f t="shared" si="1"/>
        <v>2024</v>
      </c>
      <c r="T670" s="7">
        <f t="shared" si="2"/>
        <v>8</v>
      </c>
    </row>
    <row r="671">
      <c r="A671" s="4">
        <v>45533.4392194213</v>
      </c>
      <c r="B671" s="3" t="s">
        <v>1888</v>
      </c>
      <c r="C671" s="3" t="s">
        <v>881</v>
      </c>
      <c r="D671" s="3" t="s">
        <v>1889</v>
      </c>
      <c r="E671" s="5">
        <v>22658.0</v>
      </c>
      <c r="F671" s="3">
        <v>1.4798007E7</v>
      </c>
      <c r="G671" s="3">
        <v>3.516760355E9</v>
      </c>
      <c r="H671" s="3" t="s">
        <v>44</v>
      </c>
      <c r="I671" s="3" t="s">
        <v>28</v>
      </c>
      <c r="K671" s="3" t="s">
        <v>1132</v>
      </c>
      <c r="L671" s="3" t="s">
        <v>1133</v>
      </c>
      <c r="M671" s="3" t="s">
        <v>1134</v>
      </c>
      <c r="R671" s="7" t="str">
        <f>IF(H671="","",VLOOKUP(H671,'Hoja 9'!$A$1:$B$255,2,0))</f>
        <v>GIMNASIO</v>
      </c>
      <c r="S671" s="7">
        <f t="shared" si="1"/>
        <v>2024</v>
      </c>
      <c r="T671" s="7">
        <f t="shared" si="2"/>
        <v>8</v>
      </c>
    </row>
    <row r="672">
      <c r="A672" s="4">
        <v>45533.72147675926</v>
      </c>
      <c r="B672" s="3" t="s">
        <v>1146</v>
      </c>
      <c r="C672" s="3" t="s">
        <v>1606</v>
      </c>
      <c r="D672" s="3" t="s">
        <v>1890</v>
      </c>
      <c r="E672" s="5">
        <v>27750.0</v>
      </c>
      <c r="F672" s="3">
        <v>2.4703868E7</v>
      </c>
      <c r="G672" s="3">
        <v>3.512407224E9</v>
      </c>
      <c r="H672" s="3" t="s">
        <v>44</v>
      </c>
      <c r="I672" s="3" t="s">
        <v>28</v>
      </c>
      <c r="K672" s="3" t="s">
        <v>1132</v>
      </c>
      <c r="L672" s="3" t="s">
        <v>1133</v>
      </c>
      <c r="M672" s="3" t="s">
        <v>1134</v>
      </c>
      <c r="R672" s="7" t="str">
        <f>IF(H672="","",VLOOKUP(H672,'Hoja 9'!$A$1:$B$255,2,0))</f>
        <v>GIMNASIO</v>
      </c>
      <c r="S672" s="7">
        <f t="shared" si="1"/>
        <v>2024</v>
      </c>
      <c r="T672" s="7">
        <f t="shared" si="2"/>
        <v>8</v>
      </c>
    </row>
    <row r="673">
      <c r="A673" s="4">
        <v>45533.73568722222</v>
      </c>
      <c r="B673" s="3" t="s">
        <v>1891</v>
      </c>
      <c r="C673" s="3" t="s">
        <v>710</v>
      </c>
      <c r="D673" s="3" t="s">
        <v>1892</v>
      </c>
      <c r="E673" s="5">
        <v>38209.0</v>
      </c>
      <c r="F673" s="3">
        <v>4.5692578E7</v>
      </c>
      <c r="G673" s="3">
        <v>3.513712696E9</v>
      </c>
      <c r="H673" s="3" t="s">
        <v>44</v>
      </c>
      <c r="I673" s="3" t="s">
        <v>22</v>
      </c>
      <c r="K673" s="3" t="s">
        <v>1132</v>
      </c>
      <c r="L673" s="3" t="s">
        <v>1140</v>
      </c>
      <c r="M673" s="3" t="s">
        <v>1134</v>
      </c>
      <c r="O673" s="3" t="s">
        <v>149</v>
      </c>
      <c r="R673" s="7" t="str">
        <f>IF(H673="","",VLOOKUP(H673,'Hoja 9'!$A$1:$B$255,2,0))</f>
        <v>GIMNASIO</v>
      </c>
      <c r="S673" s="7">
        <f t="shared" si="1"/>
        <v>2024</v>
      </c>
      <c r="T673" s="7">
        <f t="shared" si="2"/>
        <v>8</v>
      </c>
    </row>
    <row r="674">
      <c r="A674" s="4">
        <v>45534.50041861111</v>
      </c>
      <c r="B674" s="3" t="s">
        <v>1893</v>
      </c>
      <c r="C674" s="3" t="s">
        <v>1131</v>
      </c>
      <c r="D674" s="3" t="s">
        <v>1894</v>
      </c>
      <c r="E674" s="5">
        <v>35461.0</v>
      </c>
      <c r="F674" s="3">
        <v>4.0110017E7</v>
      </c>
      <c r="G674" s="3">
        <v>3.51676005E9</v>
      </c>
      <c r="H674" s="3" t="s">
        <v>44</v>
      </c>
      <c r="I674" s="3" t="s">
        <v>28</v>
      </c>
      <c r="K674" s="3" t="s">
        <v>1132</v>
      </c>
      <c r="L674" s="3" t="s">
        <v>1133</v>
      </c>
      <c r="M674" s="3" t="s">
        <v>1213</v>
      </c>
      <c r="R674" s="7" t="str">
        <f>IF(H674="","",VLOOKUP(H674,'Hoja 9'!$A$1:$B$255,2,0))</f>
        <v>GIMNASIO</v>
      </c>
      <c r="S674" s="7">
        <f t="shared" si="1"/>
        <v>2024</v>
      </c>
      <c r="T674" s="7">
        <f t="shared" si="2"/>
        <v>8</v>
      </c>
    </row>
    <row r="675">
      <c r="A675" s="4">
        <v>45534.6819000463</v>
      </c>
      <c r="B675" s="3" t="s">
        <v>35</v>
      </c>
      <c r="C675" s="3" t="s">
        <v>896</v>
      </c>
      <c r="E675" s="5">
        <v>32304.0</v>
      </c>
      <c r="F675" s="3">
        <v>3.3752591E7</v>
      </c>
      <c r="G675" s="3">
        <v>3.512014854E9</v>
      </c>
      <c r="H675" s="3" t="s">
        <v>148</v>
      </c>
      <c r="I675" s="3" t="s">
        <v>22</v>
      </c>
      <c r="K675" s="3" t="s">
        <v>1132</v>
      </c>
      <c r="L675" s="3" t="s">
        <v>1136</v>
      </c>
      <c r="M675" s="3" t="s">
        <v>1137</v>
      </c>
      <c r="O675" s="3" t="s">
        <v>831</v>
      </c>
      <c r="R675" s="7" t="str">
        <f>IF(H675="","",VLOOKUP(H675,'Hoja 9'!$A$1:$B$255,2,0))</f>
        <v>OBRA SOCIAL</v>
      </c>
      <c r="S675" s="7">
        <f t="shared" si="1"/>
        <v>2024</v>
      </c>
      <c r="T675" s="7">
        <f t="shared" si="2"/>
        <v>8</v>
      </c>
    </row>
    <row r="676">
      <c r="A676" s="4">
        <v>45539.52360247685</v>
      </c>
      <c r="B676" s="3" t="s">
        <v>1895</v>
      </c>
      <c r="C676" s="3" t="s">
        <v>1553</v>
      </c>
      <c r="D676" s="3" t="s">
        <v>1896</v>
      </c>
      <c r="E676" s="5">
        <v>33793.0</v>
      </c>
      <c r="F676" s="3">
        <v>3.6357538E7</v>
      </c>
      <c r="G676" s="3">
        <v>3.513983401E9</v>
      </c>
      <c r="H676" s="3" t="s">
        <v>21</v>
      </c>
      <c r="I676" s="3" t="s">
        <v>28</v>
      </c>
      <c r="K676" s="3" t="s">
        <v>1132</v>
      </c>
      <c r="L676" s="3" t="s">
        <v>1332</v>
      </c>
      <c r="M676" s="3" t="s">
        <v>1137</v>
      </c>
      <c r="R676" s="7" t="str">
        <f>IF(H676="","",VLOOKUP(H676,'Hoja 9'!$A$1:$B$255,2,0))</f>
        <v>GOOGLE</v>
      </c>
      <c r="S676" s="7">
        <f t="shared" si="1"/>
        <v>2024</v>
      </c>
      <c r="T676" s="7">
        <f t="shared" si="2"/>
        <v>9</v>
      </c>
    </row>
    <row r="677">
      <c r="A677" s="4">
        <v>45539.73048236111</v>
      </c>
      <c r="B677" s="3" t="s">
        <v>1897</v>
      </c>
      <c r="C677" s="3" t="s">
        <v>228</v>
      </c>
      <c r="D677" s="3" t="s">
        <v>1898</v>
      </c>
      <c r="E677" s="5">
        <v>20997.0</v>
      </c>
      <c r="F677" s="3">
        <v>1.3151933E7</v>
      </c>
      <c r="G677" s="3">
        <v>3.518045274E9</v>
      </c>
      <c r="H677" s="3" t="s">
        <v>27</v>
      </c>
      <c r="I677" s="3" t="s">
        <v>22</v>
      </c>
      <c r="K677" s="3" t="s">
        <v>1132</v>
      </c>
      <c r="L677" s="3" t="s">
        <v>1568</v>
      </c>
      <c r="M677" s="3" t="s">
        <v>1134</v>
      </c>
      <c r="O677" s="3" t="s">
        <v>23</v>
      </c>
      <c r="R677" s="7" t="str">
        <f>IF(H677="","",VLOOKUP(H677,'Hoja 9'!$A$1:$B$255,2,0))</f>
        <v>BOCA EN BOCA</v>
      </c>
      <c r="S677" s="7">
        <f t="shared" si="1"/>
        <v>2024</v>
      </c>
      <c r="T677" s="7">
        <f t="shared" si="2"/>
        <v>9</v>
      </c>
    </row>
    <row r="678">
      <c r="A678" s="4">
        <v>45540.38745116898</v>
      </c>
      <c r="B678" s="3" t="s">
        <v>1899</v>
      </c>
      <c r="C678" s="3" t="s">
        <v>1900</v>
      </c>
      <c r="D678" s="3" t="s">
        <v>1901</v>
      </c>
      <c r="E678" s="5">
        <v>33690.0</v>
      </c>
      <c r="F678" s="3">
        <v>3.623327E7</v>
      </c>
      <c r="G678" s="3">
        <v>3.515398344E9</v>
      </c>
      <c r="H678" s="3" t="s">
        <v>21</v>
      </c>
      <c r="I678" s="3" t="s">
        <v>28</v>
      </c>
      <c r="K678" s="3" t="s">
        <v>1132</v>
      </c>
      <c r="L678" s="3" t="s">
        <v>1902</v>
      </c>
      <c r="M678" s="3" t="s">
        <v>1134</v>
      </c>
      <c r="R678" s="7" t="str">
        <f>IF(H678="","",VLOOKUP(H678,'Hoja 9'!$A$1:$B$255,2,0))</f>
        <v>GOOGLE</v>
      </c>
      <c r="S678" s="7">
        <f t="shared" si="1"/>
        <v>2024</v>
      </c>
      <c r="T678" s="7">
        <f t="shared" si="2"/>
        <v>9</v>
      </c>
    </row>
    <row r="679">
      <c r="A679" s="4">
        <v>45541.70386513889</v>
      </c>
      <c r="B679" s="3" t="s">
        <v>1903</v>
      </c>
      <c r="C679" s="3" t="s">
        <v>1424</v>
      </c>
      <c r="D679" s="3" t="s">
        <v>1904</v>
      </c>
      <c r="E679" s="5">
        <v>21587.0</v>
      </c>
      <c r="F679" s="3">
        <v>1.315128E7</v>
      </c>
      <c r="G679" s="3">
        <v>3.516621433E9</v>
      </c>
      <c r="H679" s="3" t="s">
        <v>27</v>
      </c>
      <c r="I679" s="3" t="s">
        <v>22</v>
      </c>
      <c r="K679" s="3" t="s">
        <v>1132</v>
      </c>
      <c r="L679" s="3" t="s">
        <v>1905</v>
      </c>
      <c r="M679" s="3" t="s">
        <v>1137</v>
      </c>
      <c r="O679" s="3" t="s">
        <v>72</v>
      </c>
      <c r="R679" s="7" t="str">
        <f>IF(H679="","",VLOOKUP(H679,'Hoja 9'!$A$1:$B$255,2,0))</f>
        <v>BOCA EN BOCA</v>
      </c>
      <c r="S679" s="7">
        <f t="shared" si="1"/>
        <v>2024</v>
      </c>
      <c r="T679" s="7">
        <f t="shared" si="2"/>
        <v>9</v>
      </c>
    </row>
    <row r="680">
      <c r="A680" s="4">
        <v>45541.79054199074</v>
      </c>
      <c r="B680" s="3" t="s">
        <v>1906</v>
      </c>
      <c r="C680" s="3" t="s">
        <v>194</v>
      </c>
      <c r="E680" s="5">
        <v>18282.0</v>
      </c>
      <c r="F680" s="3">
        <v>6029207.0</v>
      </c>
      <c r="G680" s="3">
        <v>3.513278792E9</v>
      </c>
      <c r="H680" s="3" t="s">
        <v>21</v>
      </c>
      <c r="I680" s="3" t="s">
        <v>22</v>
      </c>
      <c r="K680" s="3" t="s">
        <v>1145</v>
      </c>
      <c r="O680" s="3" t="s">
        <v>287</v>
      </c>
      <c r="R680" s="7" t="str">
        <f>IF(H680="","",VLOOKUP(H680,'Hoja 9'!$A$1:$B$255,2,0))</f>
        <v>GOOGLE</v>
      </c>
      <c r="S680" s="7">
        <f t="shared" si="1"/>
        <v>2024</v>
      </c>
      <c r="T680" s="7">
        <f t="shared" si="2"/>
        <v>9</v>
      </c>
    </row>
    <row r="681">
      <c r="A681" s="4">
        <v>45542.63209688658</v>
      </c>
      <c r="B681" s="3" t="s">
        <v>1907</v>
      </c>
      <c r="C681" s="3" t="s">
        <v>239</v>
      </c>
      <c r="D681" s="3" t="s">
        <v>1908</v>
      </c>
      <c r="E681" s="5">
        <v>35312.0</v>
      </c>
      <c r="F681" s="3">
        <v>3.969227E7</v>
      </c>
      <c r="G681" s="3">
        <v>3.513507322E9</v>
      </c>
      <c r="H681" s="3" t="s">
        <v>27</v>
      </c>
      <c r="I681" s="3" t="s">
        <v>28</v>
      </c>
      <c r="K681" s="3" t="s">
        <v>1132</v>
      </c>
      <c r="L681" s="3" t="s">
        <v>1136</v>
      </c>
      <c r="M681" s="3" t="s">
        <v>1134</v>
      </c>
      <c r="R681" s="7" t="str">
        <f>IF(H681="","",VLOOKUP(H681,'Hoja 9'!$A$1:$B$255,2,0))</f>
        <v>BOCA EN BOCA</v>
      </c>
      <c r="S681" s="7">
        <f t="shared" si="1"/>
        <v>2024</v>
      </c>
      <c r="T681" s="7">
        <f t="shared" si="2"/>
        <v>9</v>
      </c>
    </row>
    <row r="682">
      <c r="A682" s="4">
        <v>45544.41133855324</v>
      </c>
      <c r="B682" s="3" t="s">
        <v>1909</v>
      </c>
      <c r="C682" s="3" t="s">
        <v>567</v>
      </c>
      <c r="D682" s="3" t="s">
        <v>1910</v>
      </c>
      <c r="E682" s="5">
        <v>45544.0</v>
      </c>
      <c r="F682" s="3">
        <v>2.7959232E7</v>
      </c>
      <c r="G682" s="3">
        <v>3.51212626E9</v>
      </c>
      <c r="H682" s="3" t="s">
        <v>21</v>
      </c>
      <c r="I682" s="3" t="s">
        <v>28</v>
      </c>
      <c r="K682" s="3" t="s">
        <v>1132</v>
      </c>
      <c r="L682" s="3" t="s">
        <v>1404</v>
      </c>
      <c r="M682" s="3" t="s">
        <v>1137</v>
      </c>
      <c r="R682" s="7" t="str">
        <f>IF(H682="","",VLOOKUP(H682,'Hoja 9'!$A$1:$B$255,2,0))</f>
        <v>GOOGLE</v>
      </c>
      <c r="S682" s="7">
        <f t="shared" si="1"/>
        <v>2024</v>
      </c>
      <c r="T682" s="7">
        <f t="shared" si="2"/>
        <v>9</v>
      </c>
    </row>
    <row r="683">
      <c r="A683" s="4">
        <v>45544.66913875</v>
      </c>
      <c r="B683" s="3" t="s">
        <v>1911</v>
      </c>
      <c r="C683" s="3" t="s">
        <v>893</v>
      </c>
      <c r="D683" s="3" t="s">
        <v>1912</v>
      </c>
      <c r="E683" s="5">
        <v>28410.0</v>
      </c>
      <c r="F683" s="3">
        <v>2.6178031E7</v>
      </c>
      <c r="G683" s="3">
        <v>3.535656072E9</v>
      </c>
      <c r="H683" s="3" t="s">
        <v>27</v>
      </c>
      <c r="I683" s="3" t="s">
        <v>22</v>
      </c>
      <c r="K683" s="3" t="s">
        <v>1132</v>
      </c>
      <c r="L683" s="3" t="s">
        <v>1913</v>
      </c>
      <c r="M683" s="3" t="s">
        <v>1137</v>
      </c>
      <c r="O683" s="3" t="s">
        <v>58</v>
      </c>
      <c r="R683" s="7" t="str">
        <f>IF(H683="","",VLOOKUP(H683,'Hoja 9'!$A$1:$B$255,2,0))</f>
        <v>BOCA EN BOCA</v>
      </c>
      <c r="S683" s="7">
        <f t="shared" si="1"/>
        <v>2024</v>
      </c>
      <c r="T683" s="7">
        <f t="shared" si="2"/>
        <v>9</v>
      </c>
    </row>
    <row r="684">
      <c r="A684" s="4">
        <v>45544.689350416666</v>
      </c>
      <c r="B684" s="3" t="s">
        <v>1914</v>
      </c>
      <c r="C684" s="3" t="s">
        <v>1915</v>
      </c>
      <c r="E684" s="5">
        <v>33753.0</v>
      </c>
      <c r="F684" s="3">
        <v>3.6431204E7</v>
      </c>
      <c r="G684" s="3">
        <v>3.517066754E9</v>
      </c>
      <c r="H684" s="3" t="s">
        <v>148</v>
      </c>
      <c r="I684" s="3" t="s">
        <v>22</v>
      </c>
      <c r="K684" s="3" t="s">
        <v>1132</v>
      </c>
      <c r="L684" s="3" t="s">
        <v>1136</v>
      </c>
      <c r="M684" s="3" t="s">
        <v>1137</v>
      </c>
      <c r="O684" s="3" t="s">
        <v>58</v>
      </c>
      <c r="R684" s="7" t="str">
        <f>IF(H684="","",VLOOKUP(H684,'Hoja 9'!$A$1:$B$255,2,0))</f>
        <v>OBRA SOCIAL</v>
      </c>
      <c r="S684" s="7">
        <f t="shared" si="1"/>
        <v>2024</v>
      </c>
      <c r="T684" s="7">
        <f t="shared" si="2"/>
        <v>9</v>
      </c>
    </row>
    <row r="685">
      <c r="A685" s="4">
        <v>45544.771295439816</v>
      </c>
      <c r="B685" s="3" t="s">
        <v>1916</v>
      </c>
      <c r="C685" s="3" t="s">
        <v>1687</v>
      </c>
      <c r="D685" s="3" t="s">
        <v>1917</v>
      </c>
      <c r="E685" s="5">
        <v>28128.0</v>
      </c>
      <c r="F685" s="3">
        <v>2.5247502E7</v>
      </c>
      <c r="G685" s="3">
        <v>3.515553532E9</v>
      </c>
      <c r="H685" s="3" t="s">
        <v>21</v>
      </c>
      <c r="I685" s="3" t="s">
        <v>22</v>
      </c>
      <c r="K685" s="3" t="s">
        <v>1132</v>
      </c>
      <c r="L685" s="3" t="s">
        <v>1136</v>
      </c>
      <c r="M685" s="3" t="s">
        <v>1137</v>
      </c>
      <c r="O685" s="3" t="s">
        <v>68</v>
      </c>
      <c r="R685" s="7" t="str">
        <f>IF(H685="","",VLOOKUP(H685,'Hoja 9'!$A$1:$B$255,2,0))</f>
        <v>GOOGLE</v>
      </c>
      <c r="S685" s="7">
        <f t="shared" si="1"/>
        <v>2024</v>
      </c>
      <c r="T685" s="7">
        <f t="shared" si="2"/>
        <v>9</v>
      </c>
    </row>
    <row r="686">
      <c r="A686" s="4">
        <v>45545.46656008102</v>
      </c>
      <c r="B686" s="3" t="s">
        <v>1918</v>
      </c>
      <c r="C686" s="3" t="s">
        <v>1919</v>
      </c>
      <c r="D686" s="3" t="s">
        <v>1920</v>
      </c>
      <c r="E686" s="5">
        <v>30035.0</v>
      </c>
      <c r="F686" s="3">
        <v>2.9256259E7</v>
      </c>
      <c r="G686" s="3">
        <v>3.512080135E9</v>
      </c>
      <c r="H686" s="3" t="s">
        <v>21</v>
      </c>
      <c r="I686" s="3" t="s">
        <v>28</v>
      </c>
      <c r="K686" s="3" t="s">
        <v>1145</v>
      </c>
      <c r="R686" s="7" t="str">
        <f>IF(H686="","",VLOOKUP(H686,'Hoja 9'!$A$1:$B$255,2,0))</f>
        <v>GOOGLE</v>
      </c>
      <c r="S686" s="7">
        <f t="shared" si="1"/>
        <v>2024</v>
      </c>
      <c r="T686" s="7">
        <f t="shared" si="2"/>
        <v>9</v>
      </c>
    </row>
    <row r="687">
      <c r="A687" s="4">
        <v>45545.70997085648</v>
      </c>
      <c r="B687" s="3" t="s">
        <v>1921</v>
      </c>
      <c r="C687" s="3" t="s">
        <v>60</v>
      </c>
      <c r="D687" s="3" t="s">
        <v>1922</v>
      </c>
      <c r="E687" s="5">
        <v>30743.0</v>
      </c>
      <c r="F687" s="3">
        <v>3.0845183E7</v>
      </c>
      <c r="G687" s="3">
        <v>3.516532594E9</v>
      </c>
      <c r="H687" s="3" t="s">
        <v>44</v>
      </c>
      <c r="I687" s="3" t="s">
        <v>22</v>
      </c>
      <c r="K687" s="3" t="s">
        <v>1132</v>
      </c>
      <c r="L687" s="3" t="s">
        <v>1136</v>
      </c>
      <c r="M687" s="3" t="s">
        <v>1134</v>
      </c>
      <c r="O687" s="3" t="s">
        <v>23</v>
      </c>
      <c r="R687" s="7" t="str">
        <f>IF(H687="","",VLOOKUP(H687,'Hoja 9'!$A$1:$B$255,2,0))</f>
        <v>GIMNASIO</v>
      </c>
      <c r="S687" s="7">
        <f t="shared" si="1"/>
        <v>2024</v>
      </c>
      <c r="T687" s="7">
        <f t="shared" si="2"/>
        <v>9</v>
      </c>
    </row>
    <row r="688">
      <c r="A688" s="4">
        <v>45545.764309108796</v>
      </c>
      <c r="B688" s="3" t="s">
        <v>1923</v>
      </c>
      <c r="C688" s="3" t="s">
        <v>1924</v>
      </c>
      <c r="D688" s="3" t="s">
        <v>1925</v>
      </c>
      <c r="E688" s="5">
        <v>30927.0</v>
      </c>
      <c r="F688" s="3">
        <v>3.1056122E7</v>
      </c>
      <c r="G688" s="3">
        <v>3.512458679E9</v>
      </c>
      <c r="H688" s="3" t="s">
        <v>27</v>
      </c>
      <c r="I688" s="3" t="s">
        <v>22</v>
      </c>
      <c r="K688" s="3" t="s">
        <v>1132</v>
      </c>
      <c r="L688" s="3" t="s">
        <v>1136</v>
      </c>
      <c r="M688" s="3" t="s">
        <v>1134</v>
      </c>
      <c r="O688" s="3" t="s">
        <v>72</v>
      </c>
      <c r="R688" s="7" t="str">
        <f>IF(H688="","",VLOOKUP(H688,'Hoja 9'!$A$1:$B$255,2,0))</f>
        <v>BOCA EN BOCA</v>
      </c>
      <c r="S688" s="7">
        <f t="shared" si="1"/>
        <v>2024</v>
      </c>
      <c r="T688" s="7">
        <f t="shared" si="2"/>
        <v>9</v>
      </c>
    </row>
    <row r="689">
      <c r="A689" s="4">
        <v>45545.791105069446</v>
      </c>
      <c r="B689" s="3" t="s">
        <v>1926</v>
      </c>
      <c r="C689" s="3" t="s">
        <v>1927</v>
      </c>
      <c r="D689" s="3" t="s">
        <v>1928</v>
      </c>
      <c r="E689" s="5">
        <v>29399.0</v>
      </c>
      <c r="F689" s="3">
        <v>2.8268901E7</v>
      </c>
      <c r="G689" s="3">
        <v>3.515945432E9</v>
      </c>
      <c r="H689" s="3" t="s">
        <v>44</v>
      </c>
      <c r="I689" s="3" t="s">
        <v>28</v>
      </c>
      <c r="K689" s="3" t="s">
        <v>1132</v>
      </c>
      <c r="L689" s="3" t="s">
        <v>1133</v>
      </c>
      <c r="M689" s="3" t="s">
        <v>1137</v>
      </c>
      <c r="R689" s="7" t="str">
        <f>IF(H689="","",VLOOKUP(H689,'Hoja 9'!$A$1:$B$255,2,0))</f>
        <v>GIMNASIO</v>
      </c>
      <c r="S689" s="7">
        <f t="shared" si="1"/>
        <v>2024</v>
      </c>
      <c r="T689" s="7">
        <f t="shared" si="2"/>
        <v>9</v>
      </c>
    </row>
    <row r="690">
      <c r="A690" s="4">
        <v>45546.474677488426</v>
      </c>
      <c r="B690" s="3" t="s">
        <v>340</v>
      </c>
      <c r="C690" s="3" t="s">
        <v>1929</v>
      </c>
      <c r="D690" s="3" t="s">
        <v>1930</v>
      </c>
      <c r="E690" s="5">
        <v>16337.0</v>
      </c>
      <c r="F690" s="3">
        <v>4891051.0</v>
      </c>
      <c r="G690" s="3">
        <v>2.932467444E9</v>
      </c>
      <c r="H690" s="3" t="s">
        <v>21</v>
      </c>
      <c r="I690" s="3" t="s">
        <v>28</v>
      </c>
      <c r="K690" s="3" t="s">
        <v>1145</v>
      </c>
      <c r="R690" s="7" t="str">
        <f>IF(H690="","",VLOOKUP(H690,'Hoja 9'!$A$1:$B$255,2,0))</f>
        <v>GOOGLE</v>
      </c>
      <c r="S690" s="7">
        <f t="shared" si="1"/>
        <v>2024</v>
      </c>
      <c r="T690" s="7">
        <f t="shared" si="2"/>
        <v>9</v>
      </c>
    </row>
    <row r="691">
      <c r="A691" s="4">
        <v>45546.57110476852</v>
      </c>
      <c r="B691" s="3" t="s">
        <v>1931</v>
      </c>
      <c r="C691" s="3" t="s">
        <v>1473</v>
      </c>
      <c r="D691" s="3" t="s">
        <v>1932</v>
      </c>
      <c r="E691" s="5">
        <v>36034.0</v>
      </c>
      <c r="F691" s="3">
        <v>4.1482756E7</v>
      </c>
      <c r="G691" s="3">
        <v>3.517441185E9</v>
      </c>
      <c r="H691" s="3" t="s">
        <v>244</v>
      </c>
      <c r="I691" s="3" t="s">
        <v>22</v>
      </c>
      <c r="K691" s="3" t="s">
        <v>1132</v>
      </c>
      <c r="M691" s="3" t="s">
        <v>1137</v>
      </c>
      <c r="O691" s="3" t="s">
        <v>58</v>
      </c>
      <c r="R691" s="7" t="str">
        <f>IF(H691="","",VLOOKUP(H691,'Hoja 9'!$A$1:$B$255,2,0))</f>
        <v>META</v>
      </c>
      <c r="S691" s="7">
        <f t="shared" si="1"/>
        <v>2024</v>
      </c>
      <c r="T691" s="7">
        <f t="shared" si="2"/>
        <v>9</v>
      </c>
    </row>
    <row r="692">
      <c r="A692" s="4">
        <v>45547.58937111111</v>
      </c>
      <c r="B692" s="3" t="s">
        <v>1784</v>
      </c>
      <c r="C692" s="3" t="s">
        <v>1933</v>
      </c>
      <c r="D692" s="3" t="s">
        <v>1934</v>
      </c>
      <c r="E692" s="5">
        <v>30322.0</v>
      </c>
      <c r="F692" s="3">
        <v>2.9965182E7</v>
      </c>
      <c r="G692" s="3">
        <v>3.515463038E9</v>
      </c>
      <c r="H692" s="3" t="s">
        <v>148</v>
      </c>
      <c r="I692" s="3" t="s">
        <v>22</v>
      </c>
      <c r="K692" s="3" t="s">
        <v>1145</v>
      </c>
      <c r="O692" s="3" t="s">
        <v>831</v>
      </c>
      <c r="R692" s="7" t="str">
        <f>IF(H692="","",VLOOKUP(H692,'Hoja 9'!$A$1:$B$255,2,0))</f>
        <v>OBRA SOCIAL</v>
      </c>
      <c r="S692" s="7">
        <f t="shared" si="1"/>
        <v>2024</v>
      </c>
      <c r="T692" s="7">
        <f t="shared" si="2"/>
        <v>9</v>
      </c>
    </row>
    <row r="693">
      <c r="A693" s="4">
        <v>45547.62265252315</v>
      </c>
      <c r="B693" s="3" t="s">
        <v>360</v>
      </c>
      <c r="C693" s="3" t="s">
        <v>1935</v>
      </c>
      <c r="D693" s="3" t="s">
        <v>1936</v>
      </c>
      <c r="E693" s="5">
        <v>14697.0</v>
      </c>
      <c r="F693" s="3">
        <v>6342154.0</v>
      </c>
      <c r="G693" s="3">
        <v>3.515055014E9</v>
      </c>
      <c r="H693" s="3" t="s">
        <v>21</v>
      </c>
      <c r="I693" s="3" t="s">
        <v>28</v>
      </c>
      <c r="K693" s="3" t="s">
        <v>1145</v>
      </c>
      <c r="R693" s="7" t="str">
        <f>IF(H693="","",VLOOKUP(H693,'Hoja 9'!$A$1:$B$255,2,0))</f>
        <v>GOOGLE</v>
      </c>
      <c r="S693" s="7">
        <f t="shared" si="1"/>
        <v>2024</v>
      </c>
      <c r="T693" s="7">
        <f t="shared" si="2"/>
        <v>9</v>
      </c>
    </row>
    <row r="694">
      <c r="A694" s="4">
        <v>45547.77953017361</v>
      </c>
      <c r="B694" s="3" t="s">
        <v>1937</v>
      </c>
      <c r="C694" s="3" t="s">
        <v>344</v>
      </c>
      <c r="D694" s="3" t="s">
        <v>1938</v>
      </c>
      <c r="E694" s="5">
        <v>34144.0</v>
      </c>
      <c r="F694" s="3">
        <v>3.7733553E7</v>
      </c>
      <c r="G694" s="3">
        <v>3.51357811E9</v>
      </c>
      <c r="H694" s="3" t="s">
        <v>27</v>
      </c>
      <c r="I694" s="3" t="s">
        <v>28</v>
      </c>
      <c r="K694" s="3" t="s">
        <v>1145</v>
      </c>
      <c r="R694" s="7" t="str">
        <f>IF(H694="","",VLOOKUP(H694,'Hoja 9'!$A$1:$B$255,2,0))</f>
        <v>BOCA EN BOCA</v>
      </c>
      <c r="S694" s="7">
        <f t="shared" si="1"/>
        <v>2024</v>
      </c>
      <c r="T694" s="7">
        <f t="shared" si="2"/>
        <v>9</v>
      </c>
    </row>
    <row r="695">
      <c r="A695" s="4">
        <v>45547.842180266205</v>
      </c>
      <c r="B695" s="3" t="s">
        <v>1939</v>
      </c>
      <c r="C695" s="3" t="s">
        <v>607</v>
      </c>
      <c r="D695" s="3" t="s">
        <v>1940</v>
      </c>
      <c r="E695" s="5">
        <v>40377.0</v>
      </c>
      <c r="F695" s="3">
        <v>5.032931E7</v>
      </c>
      <c r="G695" s="3">
        <v>3.515595669E9</v>
      </c>
      <c r="H695" s="3" t="s">
        <v>27</v>
      </c>
      <c r="I695" s="3" t="s">
        <v>22</v>
      </c>
      <c r="K695" s="3" t="s">
        <v>1132</v>
      </c>
      <c r="L695" s="3" t="s">
        <v>1941</v>
      </c>
      <c r="M695" s="3" t="s">
        <v>1134</v>
      </c>
      <c r="O695" s="3" t="s">
        <v>23</v>
      </c>
      <c r="R695" s="7" t="str">
        <f>IF(H695="","",VLOOKUP(H695,'Hoja 9'!$A$1:$B$255,2,0))</f>
        <v>BOCA EN BOCA</v>
      </c>
      <c r="S695" s="7">
        <f t="shared" si="1"/>
        <v>2024</v>
      </c>
      <c r="T695" s="7">
        <f t="shared" si="2"/>
        <v>9</v>
      </c>
    </row>
    <row r="696">
      <c r="A696" s="4">
        <v>45548.39318396991</v>
      </c>
      <c r="B696" s="3" t="s">
        <v>1942</v>
      </c>
      <c r="C696" s="3" t="s">
        <v>175</v>
      </c>
      <c r="D696" s="3" t="s">
        <v>1943</v>
      </c>
      <c r="E696" s="5">
        <v>35834.0</v>
      </c>
      <c r="F696" s="3">
        <v>4.094147E7</v>
      </c>
      <c r="G696" s="3">
        <v>3.513849359E9</v>
      </c>
      <c r="H696" s="3" t="s">
        <v>27</v>
      </c>
      <c r="I696" s="3" t="s">
        <v>28</v>
      </c>
      <c r="K696" s="3" t="s">
        <v>1132</v>
      </c>
      <c r="L696" s="3" t="s">
        <v>1133</v>
      </c>
      <c r="M696" s="3" t="s">
        <v>1134</v>
      </c>
      <c r="R696" s="7" t="str">
        <f>IF(H696="","",VLOOKUP(H696,'Hoja 9'!$A$1:$B$255,2,0))</f>
        <v>BOCA EN BOCA</v>
      </c>
      <c r="S696" s="7">
        <f t="shared" si="1"/>
        <v>2024</v>
      </c>
      <c r="T696" s="7">
        <f t="shared" si="2"/>
        <v>9</v>
      </c>
    </row>
    <row r="697">
      <c r="A697" s="4">
        <v>45551.59474053241</v>
      </c>
      <c r="B697" s="3" t="s">
        <v>1944</v>
      </c>
      <c r="C697" s="3" t="s">
        <v>1945</v>
      </c>
      <c r="D697" s="3" t="s">
        <v>1946</v>
      </c>
      <c r="E697" s="5">
        <v>32762.0</v>
      </c>
      <c r="F697" s="3">
        <v>3.4768805E7</v>
      </c>
      <c r="G697" s="3">
        <v>3.51208529E9</v>
      </c>
      <c r="H697" s="3" t="s">
        <v>21</v>
      </c>
      <c r="I697" s="3" t="s">
        <v>22</v>
      </c>
      <c r="K697" s="3" t="s">
        <v>1132</v>
      </c>
      <c r="L697" s="3" t="s">
        <v>1404</v>
      </c>
      <c r="M697" s="3" t="s">
        <v>1134</v>
      </c>
      <c r="O697" s="3" t="s">
        <v>149</v>
      </c>
      <c r="R697" s="7" t="str">
        <f>IF(H697="","",VLOOKUP(H697,'Hoja 9'!$A$1:$B$255,2,0))</f>
        <v>GOOGLE</v>
      </c>
      <c r="S697" s="7">
        <f t="shared" si="1"/>
        <v>2024</v>
      </c>
      <c r="T697" s="7">
        <f t="shared" si="2"/>
        <v>9</v>
      </c>
    </row>
    <row r="698">
      <c r="A698" s="4">
        <v>45551.71451895833</v>
      </c>
      <c r="B698" s="3" t="s">
        <v>1947</v>
      </c>
      <c r="C698" s="3" t="s">
        <v>1231</v>
      </c>
      <c r="D698" s="3" t="s">
        <v>1948</v>
      </c>
      <c r="E698" s="5">
        <v>32512.0</v>
      </c>
      <c r="F698" s="3">
        <v>3.4188738E7</v>
      </c>
      <c r="G698" s="3">
        <v>3.517405784E9</v>
      </c>
      <c r="H698" s="3" t="s">
        <v>44</v>
      </c>
      <c r="I698" s="3" t="s">
        <v>22</v>
      </c>
      <c r="K698" s="3" t="s">
        <v>1132</v>
      </c>
      <c r="L698" s="3" t="s">
        <v>1133</v>
      </c>
      <c r="M698" s="3" t="s">
        <v>1134</v>
      </c>
      <c r="O698" s="3" t="s">
        <v>23</v>
      </c>
      <c r="R698" s="7" t="str">
        <f>IF(H698="","",VLOOKUP(H698,'Hoja 9'!$A$1:$B$255,2,0))</f>
        <v>GIMNASIO</v>
      </c>
      <c r="S698" s="7">
        <f t="shared" si="1"/>
        <v>2024</v>
      </c>
      <c r="T698" s="7">
        <f t="shared" si="2"/>
        <v>9</v>
      </c>
    </row>
    <row r="699">
      <c r="A699" s="4">
        <v>45551.71581252315</v>
      </c>
      <c r="B699" s="3" t="s">
        <v>1949</v>
      </c>
      <c r="C699" s="3" t="s">
        <v>1950</v>
      </c>
      <c r="D699" s="3" t="s">
        <v>1951</v>
      </c>
      <c r="E699" s="5">
        <v>35899.0</v>
      </c>
      <c r="F699" s="3">
        <v>4.1115028E7</v>
      </c>
      <c r="G699" s="3">
        <v>3.513434424E9</v>
      </c>
      <c r="H699" s="3" t="s">
        <v>44</v>
      </c>
      <c r="I699" s="3" t="s">
        <v>22</v>
      </c>
      <c r="K699" s="3" t="s">
        <v>1132</v>
      </c>
      <c r="L699" s="3" t="s">
        <v>1952</v>
      </c>
      <c r="M699" s="3" t="s">
        <v>1134</v>
      </c>
      <c r="O699" s="3" t="s">
        <v>23</v>
      </c>
      <c r="R699" s="7" t="str">
        <f>IF(H699="","",VLOOKUP(H699,'Hoja 9'!$A$1:$B$255,2,0))</f>
        <v>GIMNASIO</v>
      </c>
      <c r="S699" s="7">
        <f t="shared" si="1"/>
        <v>2024</v>
      </c>
      <c r="T699" s="7">
        <f t="shared" si="2"/>
        <v>9</v>
      </c>
    </row>
    <row r="700">
      <c r="A700" s="4">
        <v>45552.37838834491</v>
      </c>
      <c r="B700" s="3" t="s">
        <v>1953</v>
      </c>
      <c r="C700" s="3" t="s">
        <v>321</v>
      </c>
      <c r="D700" s="3" t="s">
        <v>1954</v>
      </c>
      <c r="E700" s="5">
        <v>33300.0</v>
      </c>
      <c r="F700" s="3">
        <v>3.5577658E7</v>
      </c>
      <c r="G700" s="3">
        <v>3.517422014E9</v>
      </c>
      <c r="H700" s="3" t="s">
        <v>44</v>
      </c>
      <c r="I700" s="3" t="s">
        <v>22</v>
      </c>
      <c r="K700" s="3" t="s">
        <v>1132</v>
      </c>
      <c r="L700" s="3" t="s">
        <v>1136</v>
      </c>
      <c r="M700" s="3" t="s">
        <v>1134</v>
      </c>
      <c r="O700" s="3" t="s">
        <v>58</v>
      </c>
      <c r="R700" s="7" t="str">
        <f>IF(H700="","",VLOOKUP(H700,'Hoja 9'!$A$1:$B$255,2,0))</f>
        <v>GIMNASIO</v>
      </c>
      <c r="S700" s="7">
        <f t="shared" si="1"/>
        <v>2024</v>
      </c>
      <c r="T700" s="7">
        <f t="shared" si="2"/>
        <v>9</v>
      </c>
    </row>
    <row r="701">
      <c r="A701" s="4">
        <v>45552.790506192134</v>
      </c>
      <c r="B701" s="3" t="s">
        <v>1955</v>
      </c>
      <c r="C701" s="3" t="s">
        <v>1956</v>
      </c>
      <c r="D701" s="3" t="s">
        <v>1957</v>
      </c>
      <c r="E701" s="5">
        <v>35723.0</v>
      </c>
      <c r="F701" s="3">
        <v>4.0681753E7</v>
      </c>
      <c r="G701" s="3">
        <v>3.513251381E9</v>
      </c>
      <c r="H701" s="3" t="s">
        <v>44</v>
      </c>
      <c r="I701" s="3" t="s">
        <v>28</v>
      </c>
      <c r="K701" s="3" t="s">
        <v>1132</v>
      </c>
      <c r="L701" s="3" t="s">
        <v>1133</v>
      </c>
      <c r="M701" s="3" t="s">
        <v>1134</v>
      </c>
      <c r="R701" s="7" t="str">
        <f>IF(H701="","",VLOOKUP(H701,'Hoja 9'!$A$1:$B$255,2,0))</f>
        <v>GIMNASIO</v>
      </c>
      <c r="S701" s="7">
        <f t="shared" si="1"/>
        <v>2024</v>
      </c>
      <c r="T701" s="7">
        <f t="shared" si="2"/>
        <v>9</v>
      </c>
    </row>
    <row r="702">
      <c r="A702" s="4">
        <v>45552.82242674768</v>
      </c>
      <c r="B702" s="3" t="s">
        <v>1958</v>
      </c>
      <c r="C702" s="3" t="s">
        <v>1090</v>
      </c>
      <c r="D702" s="3" t="s">
        <v>1959</v>
      </c>
      <c r="E702" s="5">
        <v>32802.0</v>
      </c>
      <c r="F702" s="3">
        <v>3.4838579E7</v>
      </c>
      <c r="G702" s="3">
        <v>3.515998963E9</v>
      </c>
      <c r="H702" s="3" t="s">
        <v>27</v>
      </c>
      <c r="I702" s="3" t="s">
        <v>28</v>
      </c>
      <c r="K702" s="3" t="s">
        <v>1132</v>
      </c>
      <c r="L702" s="3" t="s">
        <v>1136</v>
      </c>
      <c r="M702" s="3" t="s">
        <v>1134</v>
      </c>
      <c r="R702" s="7" t="str">
        <f>IF(H702="","",VLOOKUP(H702,'Hoja 9'!$A$1:$B$255,2,0))</f>
        <v>BOCA EN BOCA</v>
      </c>
      <c r="S702" s="7">
        <f t="shared" si="1"/>
        <v>2024</v>
      </c>
      <c r="T702" s="7">
        <f t="shared" si="2"/>
        <v>9</v>
      </c>
    </row>
    <row r="703">
      <c r="A703" s="4">
        <v>45553.687410266204</v>
      </c>
      <c r="B703" s="3" t="s">
        <v>1960</v>
      </c>
      <c r="C703" s="3" t="s">
        <v>1961</v>
      </c>
      <c r="D703" s="3" t="s">
        <v>1962</v>
      </c>
      <c r="E703" s="5">
        <v>35885.0</v>
      </c>
      <c r="F703" s="3">
        <v>4.1115033E7</v>
      </c>
      <c r="G703" s="3">
        <v>3.518723367E9</v>
      </c>
      <c r="H703" s="3" t="s">
        <v>44</v>
      </c>
      <c r="I703" s="3" t="s">
        <v>28</v>
      </c>
      <c r="K703" s="3" t="s">
        <v>1132</v>
      </c>
      <c r="L703" s="3" t="s">
        <v>1136</v>
      </c>
      <c r="M703" s="3" t="s">
        <v>1134</v>
      </c>
      <c r="R703" s="7" t="str">
        <f>IF(H703="","",VLOOKUP(H703,'Hoja 9'!$A$1:$B$255,2,0))</f>
        <v>GIMNASIO</v>
      </c>
      <c r="S703" s="7">
        <f t="shared" si="1"/>
        <v>2024</v>
      </c>
      <c r="T703" s="7">
        <f t="shared" si="2"/>
        <v>9</v>
      </c>
    </row>
    <row r="704">
      <c r="A704" s="4">
        <v>45553.83369642361</v>
      </c>
      <c r="B704" s="3" t="s">
        <v>903</v>
      </c>
      <c r="C704" s="3" t="s">
        <v>1407</v>
      </c>
      <c r="D704" s="3" t="s">
        <v>1963</v>
      </c>
      <c r="E704" s="5">
        <v>41024.0</v>
      </c>
      <c r="F704" s="3">
        <v>5.2157219E7</v>
      </c>
      <c r="G704" s="3">
        <v>3.513164275E9</v>
      </c>
      <c r="H704" s="3" t="s">
        <v>27</v>
      </c>
      <c r="I704" s="3" t="s">
        <v>28</v>
      </c>
      <c r="K704" s="3" t="s">
        <v>1132</v>
      </c>
      <c r="L704" s="3" t="s">
        <v>1136</v>
      </c>
      <c r="M704" s="3" t="s">
        <v>1134</v>
      </c>
      <c r="R704" s="7" t="str">
        <f>IF(H704="","",VLOOKUP(H704,'Hoja 9'!$A$1:$B$255,2,0))</f>
        <v>BOCA EN BOCA</v>
      </c>
      <c r="S704" s="7">
        <f t="shared" si="1"/>
        <v>2024</v>
      </c>
      <c r="T704" s="7">
        <f t="shared" si="2"/>
        <v>9</v>
      </c>
    </row>
    <row r="705">
      <c r="A705" s="4">
        <v>45554.54233813657</v>
      </c>
      <c r="B705" s="3" t="s">
        <v>1964</v>
      </c>
      <c r="C705" s="3" t="s">
        <v>1011</v>
      </c>
      <c r="D705" s="3" t="s">
        <v>1965</v>
      </c>
      <c r="E705" s="5">
        <v>22445.0</v>
      </c>
      <c r="F705" s="3">
        <v>1.4401315E7</v>
      </c>
      <c r="G705" s="3">
        <v>3.513703952E9</v>
      </c>
      <c r="H705" s="3" t="s">
        <v>27</v>
      </c>
      <c r="I705" s="3" t="s">
        <v>22</v>
      </c>
      <c r="K705" s="3" t="s">
        <v>1132</v>
      </c>
      <c r="L705" s="3" t="s">
        <v>1568</v>
      </c>
      <c r="M705" s="3" t="s">
        <v>1137</v>
      </c>
      <c r="O705" s="3" t="s">
        <v>23</v>
      </c>
      <c r="R705" s="7" t="str">
        <f>IF(H705="","",VLOOKUP(H705,'Hoja 9'!$A$1:$B$255,2,0))</f>
        <v>BOCA EN BOCA</v>
      </c>
      <c r="S705" s="7">
        <f t="shared" si="1"/>
        <v>2024</v>
      </c>
      <c r="T705" s="7">
        <f t="shared" si="2"/>
        <v>9</v>
      </c>
    </row>
    <row r="706">
      <c r="A706" s="4">
        <v>45555.55360962963</v>
      </c>
      <c r="B706" s="3" t="s">
        <v>1966</v>
      </c>
      <c r="C706" s="3" t="s">
        <v>1087</v>
      </c>
      <c r="E706" s="5">
        <v>36621.0</v>
      </c>
      <c r="F706" s="3">
        <v>4.2439947E7</v>
      </c>
      <c r="G706" s="3">
        <v>3.513576395E9</v>
      </c>
      <c r="H706" s="3" t="s">
        <v>27</v>
      </c>
      <c r="I706" s="3" t="s">
        <v>22</v>
      </c>
      <c r="K706" s="3" t="s">
        <v>1132</v>
      </c>
      <c r="L706" s="3" t="s">
        <v>1967</v>
      </c>
      <c r="M706" s="3" t="s">
        <v>1134</v>
      </c>
      <c r="O706" s="3" t="s">
        <v>673</v>
      </c>
      <c r="R706" s="7" t="str">
        <f>IF(H706="","",VLOOKUP(H706,'Hoja 9'!$A$1:$B$255,2,0))</f>
        <v>BOCA EN BOCA</v>
      </c>
      <c r="S706" s="7">
        <f t="shared" si="1"/>
        <v>2024</v>
      </c>
      <c r="T706" s="7">
        <f t="shared" si="2"/>
        <v>9</v>
      </c>
    </row>
    <row r="707">
      <c r="A707" s="4">
        <v>45555.8222240162</v>
      </c>
      <c r="B707" s="3" t="s">
        <v>1968</v>
      </c>
      <c r="C707" s="3" t="s">
        <v>1969</v>
      </c>
      <c r="D707" s="3" t="s">
        <v>1970</v>
      </c>
      <c r="E707" s="5">
        <v>35830.0</v>
      </c>
      <c r="F707" s="3">
        <v>4.0940701E7</v>
      </c>
      <c r="G707" s="3">
        <v>3.516596518E9</v>
      </c>
      <c r="H707" s="3" t="s">
        <v>148</v>
      </c>
      <c r="I707" s="3" t="s">
        <v>22</v>
      </c>
      <c r="K707" s="3" t="s">
        <v>1132</v>
      </c>
      <c r="L707" s="3" t="s">
        <v>1136</v>
      </c>
      <c r="M707" s="3" t="s">
        <v>1137</v>
      </c>
      <c r="O707" s="3" t="s">
        <v>831</v>
      </c>
      <c r="R707" s="7" t="str">
        <f>IF(H707="","",VLOOKUP(H707,'Hoja 9'!$A$1:$B$255,2,0))</f>
        <v>OBRA SOCIAL</v>
      </c>
      <c r="S707" s="7">
        <f t="shared" si="1"/>
        <v>2024</v>
      </c>
      <c r="T707" s="7">
        <f t="shared" si="2"/>
        <v>9</v>
      </c>
    </row>
    <row r="708">
      <c r="A708" s="4">
        <v>45559.690004895834</v>
      </c>
      <c r="B708" s="3" t="s">
        <v>1971</v>
      </c>
      <c r="C708" s="3" t="s">
        <v>1972</v>
      </c>
      <c r="D708" s="3" t="s">
        <v>1973</v>
      </c>
      <c r="E708" s="5">
        <v>39413.0</v>
      </c>
      <c r="F708" s="3">
        <v>4.8041313E7</v>
      </c>
      <c r="G708" s="3">
        <v>3.513276306E9</v>
      </c>
      <c r="H708" s="3" t="s">
        <v>21</v>
      </c>
      <c r="I708" s="3" t="s">
        <v>28</v>
      </c>
      <c r="K708" s="3" t="s">
        <v>1145</v>
      </c>
      <c r="R708" s="7" t="str">
        <f>IF(H708="","",VLOOKUP(H708,'Hoja 9'!$A$1:$B$255,2,0))</f>
        <v>GOOGLE</v>
      </c>
      <c r="S708" s="7">
        <f t="shared" si="1"/>
        <v>2024</v>
      </c>
      <c r="T708" s="7">
        <f t="shared" si="2"/>
        <v>9</v>
      </c>
    </row>
    <row r="709">
      <c r="A709" s="4">
        <v>45560.38234268519</v>
      </c>
      <c r="B709" s="3" t="s">
        <v>1974</v>
      </c>
      <c r="C709" s="3" t="s">
        <v>1975</v>
      </c>
      <c r="D709" s="3" t="s">
        <v>1976</v>
      </c>
      <c r="E709" s="5">
        <v>32899.0</v>
      </c>
      <c r="F709" s="3">
        <v>3.4849685E7</v>
      </c>
      <c r="G709" s="3">
        <v>3.515436185E9</v>
      </c>
      <c r="H709" s="3" t="s">
        <v>21</v>
      </c>
      <c r="I709" s="3" t="s">
        <v>28</v>
      </c>
      <c r="K709" s="3" t="s">
        <v>1132</v>
      </c>
      <c r="L709" s="3" t="s">
        <v>1136</v>
      </c>
      <c r="M709" s="3" t="s">
        <v>1137</v>
      </c>
      <c r="R709" s="7" t="str">
        <f>IF(H709="","",VLOOKUP(H709,'Hoja 9'!$A$1:$B$255,2,0))</f>
        <v>GOOGLE</v>
      </c>
      <c r="S709" s="7">
        <f t="shared" si="1"/>
        <v>2024</v>
      </c>
      <c r="T709" s="7">
        <f t="shared" si="2"/>
        <v>9</v>
      </c>
    </row>
    <row r="710">
      <c r="A710" s="4">
        <v>45560.43885681713</v>
      </c>
      <c r="B710" s="3" t="s">
        <v>1977</v>
      </c>
      <c r="C710" s="3" t="s">
        <v>239</v>
      </c>
      <c r="D710" s="3" t="s">
        <v>1978</v>
      </c>
      <c r="E710" s="5" t="s">
        <v>1979</v>
      </c>
      <c r="F710" s="3">
        <v>3.1222813E7</v>
      </c>
      <c r="G710" s="3">
        <v>3.51516941E9</v>
      </c>
      <c r="H710" s="3" t="s">
        <v>244</v>
      </c>
      <c r="I710" s="3" t="s">
        <v>28</v>
      </c>
      <c r="K710" s="3" t="s">
        <v>1132</v>
      </c>
      <c r="L710" s="3" t="s">
        <v>1136</v>
      </c>
      <c r="M710" s="3" t="s">
        <v>1134</v>
      </c>
      <c r="R710" s="7" t="str">
        <f>IF(H710="","",VLOOKUP(H710,'Hoja 9'!$A$1:$B$255,2,0))</f>
        <v>META</v>
      </c>
      <c r="S710" s="7">
        <f t="shared" si="1"/>
        <v>2024</v>
      </c>
      <c r="T710" s="7">
        <f t="shared" si="2"/>
        <v>9</v>
      </c>
    </row>
    <row r="711">
      <c r="A711" s="4">
        <v>45560.482727118055</v>
      </c>
      <c r="B711" s="3" t="s">
        <v>1980</v>
      </c>
      <c r="C711" s="3" t="s">
        <v>1981</v>
      </c>
      <c r="D711" s="3" t="s">
        <v>1982</v>
      </c>
      <c r="E711" s="5">
        <v>29324.0</v>
      </c>
      <c r="F711" s="3">
        <v>9.3906461E7</v>
      </c>
      <c r="G711" s="3">
        <v>3.516248316E9</v>
      </c>
      <c r="H711" s="3" t="s">
        <v>21</v>
      </c>
      <c r="I711" s="3" t="s">
        <v>22</v>
      </c>
      <c r="K711" s="3" t="s">
        <v>1145</v>
      </c>
      <c r="O711" s="3" t="s">
        <v>72</v>
      </c>
      <c r="R711" s="7" t="str">
        <f>IF(H711="","",VLOOKUP(H711,'Hoja 9'!$A$1:$B$255,2,0))</f>
        <v>GOOGLE</v>
      </c>
      <c r="S711" s="7">
        <f t="shared" si="1"/>
        <v>2024</v>
      </c>
      <c r="T711" s="7">
        <f t="shared" si="2"/>
        <v>9</v>
      </c>
    </row>
    <row r="712">
      <c r="A712" s="4">
        <v>45560.5961643287</v>
      </c>
      <c r="B712" s="3" t="s">
        <v>1983</v>
      </c>
      <c r="C712" s="3" t="s">
        <v>710</v>
      </c>
      <c r="D712" s="3" t="s">
        <v>1984</v>
      </c>
      <c r="E712" s="5">
        <v>31796.0</v>
      </c>
      <c r="F712" s="3">
        <v>3.2785705E7</v>
      </c>
      <c r="G712" s="3">
        <v>3.512503307E9</v>
      </c>
      <c r="H712" s="3" t="s">
        <v>148</v>
      </c>
      <c r="I712" s="3" t="s">
        <v>22</v>
      </c>
      <c r="K712" s="3" t="s">
        <v>1145</v>
      </c>
      <c r="O712" s="3" t="s">
        <v>831</v>
      </c>
      <c r="R712" s="7" t="str">
        <f>IF(H712="","",VLOOKUP(H712,'Hoja 9'!$A$1:$B$255,2,0))</f>
        <v>OBRA SOCIAL</v>
      </c>
      <c r="S712" s="7">
        <f t="shared" si="1"/>
        <v>2024</v>
      </c>
      <c r="T712" s="7">
        <f t="shared" si="2"/>
        <v>9</v>
      </c>
    </row>
    <row r="713">
      <c r="A713" s="4">
        <v>45560.748012662036</v>
      </c>
      <c r="B713" s="3" t="s">
        <v>1985</v>
      </c>
      <c r="C713" s="3" t="s">
        <v>584</v>
      </c>
      <c r="D713" s="3" t="s">
        <v>1986</v>
      </c>
      <c r="E713" s="5">
        <v>33843.0</v>
      </c>
      <c r="F713" s="3">
        <v>3.8328928E7</v>
      </c>
      <c r="G713" s="3">
        <v>3.513717271E9</v>
      </c>
      <c r="H713" s="3" t="s">
        <v>44</v>
      </c>
      <c r="I713" s="3" t="s">
        <v>22</v>
      </c>
      <c r="K713" s="3" t="s">
        <v>1132</v>
      </c>
      <c r="L713" s="3" t="s">
        <v>1136</v>
      </c>
      <c r="M713" s="3" t="s">
        <v>1134</v>
      </c>
      <c r="O713" s="3" t="s">
        <v>291</v>
      </c>
      <c r="R713" s="7" t="str">
        <f>IF(H713="","",VLOOKUP(H713,'Hoja 9'!$A$1:$B$255,2,0))</f>
        <v>GIMNASIO</v>
      </c>
      <c r="S713" s="7">
        <f t="shared" si="1"/>
        <v>2024</v>
      </c>
      <c r="T713" s="7">
        <f t="shared" si="2"/>
        <v>9</v>
      </c>
    </row>
    <row r="714">
      <c r="A714" s="4">
        <v>45561.45607901621</v>
      </c>
      <c r="B714" s="3" t="s">
        <v>1987</v>
      </c>
      <c r="C714" s="3" t="s">
        <v>1988</v>
      </c>
      <c r="D714" s="3" t="s">
        <v>1989</v>
      </c>
      <c r="E714" s="5">
        <v>33706.0</v>
      </c>
      <c r="F714" s="3">
        <v>3.562342E7</v>
      </c>
      <c r="G714" s="3">
        <v>3.513711819E9</v>
      </c>
      <c r="H714" s="3" t="s">
        <v>148</v>
      </c>
      <c r="I714" s="3" t="s">
        <v>22</v>
      </c>
      <c r="K714" s="3" t="s">
        <v>1132</v>
      </c>
      <c r="L714" s="3" t="s">
        <v>1133</v>
      </c>
      <c r="M714" s="3" t="s">
        <v>1134</v>
      </c>
      <c r="O714" s="3" t="s">
        <v>149</v>
      </c>
      <c r="R714" s="7" t="str">
        <f>IF(H714="","",VLOOKUP(H714,'Hoja 9'!$A$1:$B$255,2,0))</f>
        <v>OBRA SOCIAL</v>
      </c>
      <c r="S714" s="7">
        <f t="shared" si="1"/>
        <v>2024</v>
      </c>
      <c r="T714" s="7">
        <f t="shared" si="2"/>
        <v>9</v>
      </c>
    </row>
    <row r="715">
      <c r="A715" s="4">
        <v>45561.565180590274</v>
      </c>
      <c r="B715" s="3" t="s">
        <v>1301</v>
      </c>
      <c r="C715" s="3" t="s">
        <v>1990</v>
      </c>
      <c r="D715" s="3" t="s">
        <v>1991</v>
      </c>
      <c r="E715" s="5">
        <v>29219.0</v>
      </c>
      <c r="F715" s="3">
        <v>2.7671345E7</v>
      </c>
      <c r="G715" s="3">
        <v>3.516175658E9</v>
      </c>
      <c r="H715" s="3" t="s">
        <v>148</v>
      </c>
      <c r="I715" s="3" t="s">
        <v>22</v>
      </c>
      <c r="K715" s="3" t="s">
        <v>1145</v>
      </c>
      <c r="O715" s="3" t="s">
        <v>58</v>
      </c>
      <c r="R715" s="7" t="str">
        <f>IF(H715="","",VLOOKUP(H715,'Hoja 9'!$A$1:$B$255,2,0))</f>
        <v>OBRA SOCIAL</v>
      </c>
      <c r="S715" s="7">
        <f t="shared" si="1"/>
        <v>2024</v>
      </c>
      <c r="T715" s="7">
        <f t="shared" si="2"/>
        <v>9</v>
      </c>
    </row>
    <row r="716">
      <c r="A716" s="4">
        <v>45561.96918467592</v>
      </c>
      <c r="B716" s="3" t="s">
        <v>710</v>
      </c>
      <c r="C716" s="3" t="s">
        <v>1992</v>
      </c>
      <c r="D716" s="3" t="s">
        <v>1993</v>
      </c>
      <c r="E716" s="5">
        <v>34051.0</v>
      </c>
      <c r="F716" s="3">
        <v>3.7476608E7</v>
      </c>
      <c r="G716" s="3">
        <v>3.513741771E9</v>
      </c>
      <c r="H716" s="3" t="s">
        <v>27</v>
      </c>
      <c r="I716" s="3" t="s">
        <v>28</v>
      </c>
      <c r="K716" s="3" t="s">
        <v>1145</v>
      </c>
      <c r="R716" s="7" t="str">
        <f>IF(H716="","",VLOOKUP(H716,'Hoja 9'!$A$1:$B$255,2,0))</f>
        <v>BOCA EN BOCA</v>
      </c>
      <c r="S716" s="7">
        <f t="shared" si="1"/>
        <v>2024</v>
      </c>
      <c r="T716" s="7">
        <f t="shared" si="2"/>
        <v>9</v>
      </c>
    </row>
    <row r="717">
      <c r="A717" s="4">
        <v>45562.64346263889</v>
      </c>
      <c r="B717" s="3" t="s">
        <v>1994</v>
      </c>
      <c r="C717" s="3" t="s">
        <v>756</v>
      </c>
      <c r="D717" s="3" t="s">
        <v>1995</v>
      </c>
      <c r="E717" s="5">
        <v>31272.0</v>
      </c>
      <c r="F717" s="3">
        <v>3.1769213E7</v>
      </c>
      <c r="G717" s="3">
        <v>3.515393323E9</v>
      </c>
      <c r="H717" s="3" t="s">
        <v>44</v>
      </c>
      <c r="I717" s="3" t="s">
        <v>28</v>
      </c>
      <c r="K717" s="3" t="s">
        <v>1132</v>
      </c>
      <c r="L717" s="3" t="s">
        <v>1133</v>
      </c>
      <c r="M717" s="3" t="s">
        <v>1134</v>
      </c>
      <c r="R717" s="7" t="str">
        <f>IF(H717="","",VLOOKUP(H717,'Hoja 9'!$A$1:$B$255,2,0))</f>
        <v>GIMNASIO</v>
      </c>
      <c r="S717" s="7">
        <f t="shared" si="1"/>
        <v>2024</v>
      </c>
      <c r="T717" s="7">
        <f t="shared" si="2"/>
        <v>9</v>
      </c>
    </row>
    <row r="718">
      <c r="A718" s="4">
        <v>45562.6527130787</v>
      </c>
      <c r="B718" s="3" t="s">
        <v>1996</v>
      </c>
      <c r="C718" s="3" t="s">
        <v>268</v>
      </c>
      <c r="D718" s="3" t="s">
        <v>1997</v>
      </c>
      <c r="E718" s="5">
        <v>34465.0</v>
      </c>
      <c r="F718" s="3">
        <v>3.8329576E7</v>
      </c>
      <c r="G718" s="3">
        <v>3.516110785E9</v>
      </c>
      <c r="H718" s="3" t="s">
        <v>44</v>
      </c>
      <c r="I718" s="3" t="s">
        <v>28</v>
      </c>
      <c r="K718" s="3" t="s">
        <v>1132</v>
      </c>
      <c r="L718" s="3" t="s">
        <v>1136</v>
      </c>
      <c r="M718" s="3" t="s">
        <v>1134</v>
      </c>
      <c r="R718" s="7" t="str">
        <f>IF(H718="","",VLOOKUP(H718,'Hoja 9'!$A$1:$B$255,2,0))</f>
        <v>GIMNASIO</v>
      </c>
      <c r="S718" s="7">
        <f t="shared" si="1"/>
        <v>2024</v>
      </c>
      <c r="T718" s="7">
        <f t="shared" si="2"/>
        <v>9</v>
      </c>
    </row>
    <row r="719">
      <c r="A719" s="4">
        <v>45562.84715621528</v>
      </c>
      <c r="B719" s="3" t="s">
        <v>1413</v>
      </c>
      <c r="C719" s="3" t="s">
        <v>1998</v>
      </c>
      <c r="D719" s="3" t="s">
        <v>1999</v>
      </c>
      <c r="E719" s="5">
        <v>32544.0</v>
      </c>
      <c r="F719" s="3">
        <v>3.4246624E7</v>
      </c>
      <c r="G719" s="3">
        <v>3.515930298E9</v>
      </c>
      <c r="H719" s="3" t="s">
        <v>44</v>
      </c>
      <c r="I719" s="3" t="s">
        <v>22</v>
      </c>
      <c r="K719" s="3" t="s">
        <v>1132</v>
      </c>
      <c r="L719" s="3" t="s">
        <v>1133</v>
      </c>
      <c r="M719" s="3" t="s">
        <v>1137</v>
      </c>
      <c r="O719" s="3" t="s">
        <v>72</v>
      </c>
      <c r="R719" s="7" t="str">
        <f>IF(H719="","",VLOOKUP(H719,'Hoja 9'!$A$1:$B$255,2,0))</f>
        <v>GIMNASIO</v>
      </c>
      <c r="S719" s="7">
        <f t="shared" si="1"/>
        <v>2024</v>
      </c>
      <c r="T719" s="7">
        <f t="shared" si="2"/>
        <v>9</v>
      </c>
    </row>
    <row r="720">
      <c r="A720" s="4">
        <v>45563.55964872685</v>
      </c>
      <c r="B720" s="3" t="s">
        <v>2000</v>
      </c>
      <c r="C720" s="3" t="s">
        <v>2001</v>
      </c>
      <c r="D720" s="3" t="s">
        <v>2002</v>
      </c>
      <c r="E720" s="5">
        <v>34152.0</v>
      </c>
      <c r="F720" s="3">
        <v>3.761917E7</v>
      </c>
      <c r="G720" s="3">
        <v>3.513088065E9</v>
      </c>
      <c r="H720" s="3" t="s">
        <v>244</v>
      </c>
      <c r="I720" s="3" t="s">
        <v>22</v>
      </c>
      <c r="K720" s="3" t="s">
        <v>1132</v>
      </c>
      <c r="L720" s="3" t="s">
        <v>2003</v>
      </c>
      <c r="M720" s="3" t="s">
        <v>1137</v>
      </c>
      <c r="O720" s="3" t="s">
        <v>58</v>
      </c>
      <c r="R720" s="7" t="str">
        <f>IF(H720="","",VLOOKUP(H720,'Hoja 9'!$A$1:$B$255,2,0))</f>
        <v>META</v>
      </c>
      <c r="S720" s="7">
        <f t="shared" si="1"/>
        <v>2024</v>
      </c>
      <c r="T720" s="7">
        <f t="shared" si="2"/>
        <v>9</v>
      </c>
    </row>
    <row r="721">
      <c r="A721" s="4">
        <v>45563.65193283565</v>
      </c>
      <c r="B721" s="3" t="s">
        <v>710</v>
      </c>
      <c r="C721" s="3" t="s">
        <v>1992</v>
      </c>
      <c r="D721" s="3" t="s">
        <v>1993</v>
      </c>
      <c r="E721" s="5">
        <v>34051.0</v>
      </c>
      <c r="F721" s="3">
        <v>3.7476608E7</v>
      </c>
      <c r="G721" s="3">
        <v>3.513741771E9</v>
      </c>
      <c r="H721" s="3" t="s">
        <v>27</v>
      </c>
      <c r="I721" s="3" t="s">
        <v>28</v>
      </c>
      <c r="K721" s="3" t="s">
        <v>1145</v>
      </c>
      <c r="R721" s="7" t="str">
        <f>IF(H721="","",VLOOKUP(H721,'Hoja 9'!$A$1:$B$255,2,0))</f>
        <v>BOCA EN BOCA</v>
      </c>
      <c r="S721" s="7">
        <f t="shared" si="1"/>
        <v>2024</v>
      </c>
      <c r="T721" s="7">
        <f t="shared" si="2"/>
        <v>9</v>
      </c>
    </row>
    <row r="722">
      <c r="A722" s="4">
        <v>45565.74458827546</v>
      </c>
      <c r="B722" s="3" t="s">
        <v>2004</v>
      </c>
      <c r="C722" s="3" t="s">
        <v>136</v>
      </c>
      <c r="D722" s="3" t="s">
        <v>2005</v>
      </c>
      <c r="E722" s="5">
        <v>36279.0</v>
      </c>
      <c r="F722" s="3">
        <v>4.1887291E7</v>
      </c>
      <c r="G722" s="3">
        <v>3.516890302E9</v>
      </c>
      <c r="H722" s="3" t="s">
        <v>44</v>
      </c>
      <c r="I722" s="3" t="s">
        <v>28</v>
      </c>
      <c r="K722" s="3" t="s">
        <v>1132</v>
      </c>
      <c r="L722" s="3" t="s">
        <v>1136</v>
      </c>
      <c r="M722" s="3" t="s">
        <v>1213</v>
      </c>
      <c r="R722" s="7" t="str">
        <f>IF(H722="","",VLOOKUP(H722,'Hoja 9'!$A$1:$B$255,2,0))</f>
        <v>GIMNASIO</v>
      </c>
      <c r="S722" s="7">
        <f t="shared" si="1"/>
        <v>2024</v>
      </c>
      <c r="T722" s="7">
        <f t="shared" si="2"/>
        <v>9</v>
      </c>
    </row>
    <row r="723">
      <c r="A723" s="4">
        <v>45566.486779768515</v>
      </c>
      <c r="B723" s="3" t="s">
        <v>2006</v>
      </c>
      <c r="C723" s="3" t="s">
        <v>2007</v>
      </c>
      <c r="D723" s="3" t="s">
        <v>2008</v>
      </c>
      <c r="E723" s="5">
        <v>33806.0</v>
      </c>
      <c r="F723" s="3">
        <v>3.6643179E7</v>
      </c>
      <c r="G723" s="3">
        <v>3.51623309E9</v>
      </c>
      <c r="H723" s="3" t="s">
        <v>21</v>
      </c>
      <c r="I723" s="3" t="s">
        <v>22</v>
      </c>
      <c r="K723" s="3" t="s">
        <v>1132</v>
      </c>
      <c r="L723" s="3" t="s">
        <v>1136</v>
      </c>
      <c r="M723" s="3" t="s">
        <v>1134</v>
      </c>
      <c r="O723" s="3" t="s">
        <v>149</v>
      </c>
      <c r="R723" s="7" t="str">
        <f>IF(H723="","",VLOOKUP(H723,'Hoja 9'!$A$1:$B$255,2,0))</f>
        <v>GOOGLE</v>
      </c>
      <c r="S723" s="7">
        <f t="shared" si="1"/>
        <v>2024</v>
      </c>
      <c r="T723" s="7">
        <f t="shared" si="2"/>
        <v>10</v>
      </c>
    </row>
    <row r="724">
      <c r="A724" s="4">
        <v>45567.57981246528</v>
      </c>
      <c r="B724" s="3" t="s">
        <v>238</v>
      </c>
      <c r="C724" s="3" t="s">
        <v>2009</v>
      </c>
      <c r="D724" s="3" t="s">
        <v>2010</v>
      </c>
      <c r="E724" s="5">
        <v>32815.0</v>
      </c>
      <c r="F724" s="3">
        <v>3.4542656E7</v>
      </c>
      <c r="G724" s="3">
        <v>3.517011721E9</v>
      </c>
      <c r="H724" s="3" t="s">
        <v>27</v>
      </c>
      <c r="I724" s="3" t="s">
        <v>22</v>
      </c>
      <c r="K724" s="3" t="s">
        <v>1132</v>
      </c>
      <c r="L724" s="3" t="s">
        <v>2011</v>
      </c>
      <c r="M724" s="3" t="s">
        <v>1134</v>
      </c>
      <c r="O724" s="3" t="s">
        <v>58</v>
      </c>
      <c r="R724" s="7" t="str">
        <f>IF(H724="","",VLOOKUP(H724,'Hoja 9'!$A$1:$B$255,2,0))</f>
        <v>BOCA EN BOCA</v>
      </c>
      <c r="S724" s="7">
        <f t="shared" si="1"/>
        <v>2024</v>
      </c>
      <c r="T724" s="7">
        <f t="shared" si="2"/>
        <v>10</v>
      </c>
    </row>
    <row r="725">
      <c r="A725" s="4">
        <v>45567.65279324074</v>
      </c>
      <c r="B725" s="3" t="s">
        <v>903</v>
      </c>
      <c r="C725" s="3" t="s">
        <v>1753</v>
      </c>
      <c r="D725" s="3" t="s">
        <v>2012</v>
      </c>
      <c r="E725" s="5">
        <v>41610.0</v>
      </c>
      <c r="F725" s="3">
        <v>5.3505494E7</v>
      </c>
      <c r="G725" s="3">
        <v>3.517073124E9</v>
      </c>
      <c r="H725" s="3" t="s">
        <v>244</v>
      </c>
      <c r="I725" s="3" t="s">
        <v>22</v>
      </c>
      <c r="K725" s="3" t="s">
        <v>1132</v>
      </c>
      <c r="L725" s="3" t="s">
        <v>1332</v>
      </c>
      <c r="M725" s="3" t="s">
        <v>1134</v>
      </c>
      <c r="O725" s="3" t="s">
        <v>58</v>
      </c>
      <c r="R725" s="7" t="str">
        <f>IF(H725="","",VLOOKUP(H725,'Hoja 9'!$A$1:$B$255,2,0))</f>
        <v>META</v>
      </c>
      <c r="S725" s="7">
        <f t="shared" si="1"/>
        <v>2024</v>
      </c>
      <c r="T725" s="7">
        <f t="shared" si="2"/>
        <v>10</v>
      </c>
    </row>
    <row r="726">
      <c r="A726" s="4">
        <v>45567.69454513889</v>
      </c>
      <c r="B726" s="3" t="s">
        <v>35</v>
      </c>
      <c r="C726" s="3" t="s">
        <v>2013</v>
      </c>
      <c r="E726" s="5">
        <v>14142.0</v>
      </c>
      <c r="F726" s="3">
        <v>2035123.0</v>
      </c>
      <c r="G726" s="3">
        <v>3.515377216E9</v>
      </c>
      <c r="H726" s="3" t="s">
        <v>21</v>
      </c>
      <c r="I726" s="3" t="s">
        <v>28</v>
      </c>
      <c r="K726" s="3" t="s">
        <v>1145</v>
      </c>
      <c r="R726" s="7" t="str">
        <f>IF(H726="","",VLOOKUP(H726,'Hoja 9'!$A$1:$B$255,2,0))</f>
        <v>GOOGLE</v>
      </c>
      <c r="S726" s="7">
        <f t="shared" si="1"/>
        <v>2024</v>
      </c>
      <c r="T726" s="7">
        <f t="shared" si="2"/>
        <v>10</v>
      </c>
    </row>
    <row r="727">
      <c r="A727" s="4">
        <v>45567.764562951386</v>
      </c>
      <c r="B727" s="3" t="s">
        <v>2014</v>
      </c>
      <c r="C727" s="3" t="s">
        <v>567</v>
      </c>
      <c r="D727" s="3" t="s">
        <v>421</v>
      </c>
      <c r="E727" s="5">
        <v>21203.0</v>
      </c>
      <c r="F727" s="3">
        <v>1.1956189E7</v>
      </c>
      <c r="G727" s="3">
        <v>3.517585112E9</v>
      </c>
      <c r="H727" s="3" t="s">
        <v>44</v>
      </c>
      <c r="I727" s="3" t="s">
        <v>28</v>
      </c>
      <c r="K727" s="3" t="s">
        <v>1132</v>
      </c>
      <c r="L727" s="3" t="s">
        <v>1133</v>
      </c>
      <c r="M727" s="3" t="s">
        <v>1134</v>
      </c>
      <c r="R727" s="7" t="str">
        <f>IF(H727="","",VLOOKUP(H727,'Hoja 9'!$A$1:$B$255,2,0))</f>
        <v>GIMNASIO</v>
      </c>
      <c r="S727" s="7">
        <f t="shared" si="1"/>
        <v>2024</v>
      </c>
      <c r="T727" s="7">
        <f t="shared" si="2"/>
        <v>10</v>
      </c>
    </row>
    <row r="728">
      <c r="A728" s="4">
        <v>45567.791359097224</v>
      </c>
      <c r="B728" s="3" t="s">
        <v>2015</v>
      </c>
      <c r="C728" s="3" t="s">
        <v>778</v>
      </c>
      <c r="D728" s="3" t="s">
        <v>2016</v>
      </c>
      <c r="E728" s="5">
        <v>39763.0</v>
      </c>
      <c r="F728" s="3">
        <v>4.9220014E7</v>
      </c>
      <c r="G728" s="3">
        <v>3.51245764E9</v>
      </c>
      <c r="H728" s="3" t="s">
        <v>2017</v>
      </c>
      <c r="I728" s="3" t="s">
        <v>28</v>
      </c>
      <c r="K728" s="3" t="s">
        <v>1132</v>
      </c>
      <c r="L728" s="3" t="s">
        <v>1133</v>
      </c>
      <c r="M728" s="3" t="s">
        <v>1137</v>
      </c>
      <c r="R728" s="7" t="str">
        <f>IF(H728="","",VLOOKUP(H728,'Hoja 9'!$A$1:$B$255,2,0))</f>
        <v>BOCA EN BOCA</v>
      </c>
      <c r="S728" s="7">
        <f t="shared" si="1"/>
        <v>2024</v>
      </c>
      <c r="T728" s="7">
        <f t="shared" si="2"/>
        <v>10</v>
      </c>
    </row>
    <row r="729">
      <c r="A729" s="4">
        <v>45567.81328241898</v>
      </c>
      <c r="B729" s="3" t="s">
        <v>2018</v>
      </c>
      <c r="C729" s="3" t="s">
        <v>2019</v>
      </c>
      <c r="D729" s="3" t="s">
        <v>2020</v>
      </c>
      <c r="E729" s="5">
        <v>29348.0</v>
      </c>
      <c r="F729" s="3">
        <v>2.8115209E7</v>
      </c>
      <c r="G729" s="3">
        <v>3.517523197E9</v>
      </c>
      <c r="H729" s="3" t="s">
        <v>339</v>
      </c>
      <c r="I729" s="3" t="s">
        <v>22</v>
      </c>
      <c r="K729" s="3" t="s">
        <v>1132</v>
      </c>
      <c r="L729" s="3" t="s">
        <v>1136</v>
      </c>
      <c r="M729" s="3" t="s">
        <v>1137</v>
      </c>
      <c r="O729" s="3" t="s">
        <v>58</v>
      </c>
      <c r="R729" s="7" t="str">
        <f>IF(H729="","",VLOOKUP(H729,'Hoja 9'!$A$1:$B$255,2,0))</f>
        <v>META</v>
      </c>
      <c r="S729" s="7">
        <f t="shared" si="1"/>
        <v>2024</v>
      </c>
      <c r="T729" s="7">
        <f t="shared" si="2"/>
        <v>10</v>
      </c>
    </row>
    <row r="730">
      <c r="A730" s="4">
        <v>45572.88887189815</v>
      </c>
      <c r="B730" s="3" t="s">
        <v>2021</v>
      </c>
      <c r="C730" s="3" t="s">
        <v>2022</v>
      </c>
      <c r="D730" s="3" t="s">
        <v>2023</v>
      </c>
      <c r="E730" s="5">
        <v>30228.0</v>
      </c>
      <c r="F730" s="3">
        <v>2.971183E7</v>
      </c>
      <c r="G730" s="3">
        <v>3.513113644E9</v>
      </c>
      <c r="H730" s="3" t="s">
        <v>148</v>
      </c>
      <c r="I730" s="3" t="s">
        <v>22</v>
      </c>
      <c r="K730" s="3" t="s">
        <v>1145</v>
      </c>
      <c r="O730" s="3" t="s">
        <v>149</v>
      </c>
      <c r="R730" s="7" t="str">
        <f>IF(H730="","",VLOOKUP(H730,'Hoja 9'!$A$1:$B$255,2,0))</f>
        <v>OBRA SOCIAL</v>
      </c>
      <c r="S730" s="7">
        <f t="shared" si="1"/>
        <v>2024</v>
      </c>
      <c r="T730" s="7">
        <f t="shared" si="2"/>
        <v>10</v>
      </c>
    </row>
    <row r="731">
      <c r="A731" s="4">
        <v>45573.50579378472</v>
      </c>
      <c r="B731" s="3" t="s">
        <v>2024</v>
      </c>
      <c r="C731" s="3" t="s">
        <v>893</v>
      </c>
      <c r="D731" s="3" t="s">
        <v>421</v>
      </c>
      <c r="E731" s="5">
        <v>29000.0</v>
      </c>
      <c r="F731" s="3">
        <v>2.7249145E7</v>
      </c>
      <c r="G731" s="3">
        <v>3.513504545E9</v>
      </c>
      <c r="H731" s="3" t="s">
        <v>44</v>
      </c>
      <c r="I731" s="3" t="s">
        <v>28</v>
      </c>
      <c r="K731" s="3" t="s">
        <v>1132</v>
      </c>
      <c r="L731" s="3" t="s">
        <v>2025</v>
      </c>
      <c r="M731" s="3" t="s">
        <v>1134</v>
      </c>
      <c r="R731" s="7" t="str">
        <f>IF(H731="","",VLOOKUP(H731,'Hoja 9'!$A$1:$B$255,2,0))</f>
        <v>GIMNASIO</v>
      </c>
      <c r="S731" s="7">
        <f t="shared" si="1"/>
        <v>2024</v>
      </c>
      <c r="T731" s="7">
        <f t="shared" si="2"/>
        <v>10</v>
      </c>
    </row>
    <row r="732">
      <c r="A732" s="4">
        <v>45574.49762930555</v>
      </c>
      <c r="B732" s="3" t="s">
        <v>343</v>
      </c>
      <c r="C732" s="3" t="s">
        <v>926</v>
      </c>
      <c r="D732" s="3" t="s">
        <v>2026</v>
      </c>
      <c r="E732" s="5">
        <v>30334.0</v>
      </c>
      <c r="F732" s="3">
        <v>3.0327643E7</v>
      </c>
      <c r="G732" s="3">
        <v>3.51222875E9</v>
      </c>
      <c r="H732" s="3" t="s">
        <v>27</v>
      </c>
      <c r="I732" s="3" t="s">
        <v>22</v>
      </c>
      <c r="K732" s="3" t="s">
        <v>1145</v>
      </c>
      <c r="O732" s="3" t="s">
        <v>149</v>
      </c>
      <c r="R732" s="7" t="str">
        <f>IF(H732="","",VLOOKUP(H732,'Hoja 9'!$A$1:$B$255,2,0))</f>
        <v>BOCA EN BOCA</v>
      </c>
      <c r="S732" s="7">
        <f t="shared" si="1"/>
        <v>2024</v>
      </c>
      <c r="T732" s="7">
        <f t="shared" si="2"/>
        <v>10</v>
      </c>
    </row>
    <row r="733">
      <c r="A733" s="4">
        <v>45574.81868989584</v>
      </c>
      <c r="B733" s="3" t="s">
        <v>2027</v>
      </c>
      <c r="C733" s="3" t="s">
        <v>856</v>
      </c>
      <c r="D733" s="3" t="s">
        <v>2028</v>
      </c>
      <c r="E733" s="5">
        <v>34700.0</v>
      </c>
      <c r="F733" s="3">
        <v>3.8088693E7</v>
      </c>
      <c r="G733" s="3">
        <v>3.516075005E9</v>
      </c>
      <c r="H733" s="3" t="s">
        <v>44</v>
      </c>
      <c r="I733" s="3" t="s">
        <v>28</v>
      </c>
      <c r="K733" s="3" t="s">
        <v>1132</v>
      </c>
      <c r="L733" s="3" t="s">
        <v>1133</v>
      </c>
      <c r="M733" s="3" t="s">
        <v>1134</v>
      </c>
      <c r="R733" s="7" t="str">
        <f>IF(H733="","",VLOOKUP(H733,'Hoja 9'!$A$1:$B$255,2,0))</f>
        <v>GIMNASIO</v>
      </c>
      <c r="S733" s="7">
        <f t="shared" si="1"/>
        <v>2024</v>
      </c>
      <c r="T733" s="7">
        <f t="shared" si="2"/>
        <v>10</v>
      </c>
    </row>
    <row r="734">
      <c r="A734" s="4">
        <v>45575.45812069444</v>
      </c>
      <c r="B734" s="3" t="s">
        <v>2029</v>
      </c>
      <c r="C734" s="3" t="s">
        <v>2030</v>
      </c>
      <c r="D734" s="3" t="s">
        <v>2031</v>
      </c>
      <c r="E734" s="5">
        <v>37888.0</v>
      </c>
      <c r="F734" s="3">
        <v>4.5083727E7</v>
      </c>
      <c r="G734" s="3">
        <v>3.512657941E9</v>
      </c>
      <c r="H734" s="3" t="s">
        <v>44</v>
      </c>
      <c r="I734" s="3" t="s">
        <v>22</v>
      </c>
      <c r="K734" s="3" t="s">
        <v>1132</v>
      </c>
      <c r="L734" s="3" t="s">
        <v>1133</v>
      </c>
      <c r="M734" s="3" t="s">
        <v>1134</v>
      </c>
      <c r="O734" s="3" t="s">
        <v>23</v>
      </c>
      <c r="R734" s="7" t="str">
        <f>IF(H734="","",VLOOKUP(H734,'Hoja 9'!$A$1:$B$255,2,0))</f>
        <v>GIMNASIO</v>
      </c>
      <c r="S734" s="7">
        <f t="shared" si="1"/>
        <v>2024</v>
      </c>
      <c r="T734" s="7">
        <f t="shared" si="2"/>
        <v>10</v>
      </c>
    </row>
    <row r="735">
      <c r="A735" s="4">
        <v>45575.49374015046</v>
      </c>
      <c r="B735" s="3" t="s">
        <v>2032</v>
      </c>
      <c r="C735" s="3" t="s">
        <v>505</v>
      </c>
      <c r="E735" s="5">
        <v>15028.0</v>
      </c>
      <c r="F735" s="3">
        <v>4118761.0</v>
      </c>
      <c r="G735" s="3">
        <v>3.516222609E9</v>
      </c>
      <c r="H735" s="3" t="s">
        <v>2033</v>
      </c>
      <c r="I735" s="3" t="s">
        <v>22</v>
      </c>
      <c r="K735" s="3" t="s">
        <v>1145</v>
      </c>
      <c r="O735" s="3" t="s">
        <v>23</v>
      </c>
      <c r="R735" s="7" t="str">
        <f>IF(H735="","",VLOOKUP(H735,'Hoja 9'!$A$1:$B$255,2,0))</f>
        <v>BOCA EN BOCA</v>
      </c>
      <c r="S735" s="7">
        <f t="shared" si="1"/>
        <v>2024</v>
      </c>
      <c r="T735" s="7">
        <f t="shared" si="2"/>
        <v>10</v>
      </c>
    </row>
    <row r="736">
      <c r="A736" s="4">
        <v>45576.48771190972</v>
      </c>
      <c r="B736" s="3" t="s">
        <v>832</v>
      </c>
      <c r="C736" s="3" t="s">
        <v>521</v>
      </c>
      <c r="D736" s="3" t="s">
        <v>2034</v>
      </c>
      <c r="E736" s="5">
        <v>30386.0</v>
      </c>
      <c r="F736" s="3">
        <v>3.0078305E7</v>
      </c>
      <c r="G736" s="3">
        <v>3.518085123E9</v>
      </c>
      <c r="H736" s="3" t="s">
        <v>21</v>
      </c>
      <c r="I736" s="3" t="s">
        <v>22</v>
      </c>
      <c r="K736" s="3" t="s">
        <v>1132</v>
      </c>
      <c r="L736" s="3" t="s">
        <v>1136</v>
      </c>
      <c r="M736" s="3" t="s">
        <v>1137</v>
      </c>
      <c r="O736" s="3" t="s">
        <v>1126</v>
      </c>
      <c r="R736" s="7" t="str">
        <f>IF(H736="","",VLOOKUP(H736,'Hoja 9'!$A$1:$B$255,2,0))</f>
        <v>GOOGLE</v>
      </c>
      <c r="S736" s="7">
        <f t="shared" si="1"/>
        <v>2024</v>
      </c>
      <c r="T736" s="7">
        <f t="shared" si="2"/>
        <v>10</v>
      </c>
    </row>
    <row r="737">
      <c r="A737" s="4">
        <v>45579.88663949074</v>
      </c>
      <c r="B737" s="3" t="s">
        <v>376</v>
      </c>
      <c r="C737" s="3" t="s">
        <v>1241</v>
      </c>
      <c r="D737" s="3" t="s">
        <v>2035</v>
      </c>
      <c r="E737" s="5" t="s">
        <v>2036</v>
      </c>
      <c r="F737" s="3">
        <v>2.7546046E7</v>
      </c>
      <c r="G737" s="3">
        <v>3.512606579E9</v>
      </c>
      <c r="H737" s="3" t="s">
        <v>339</v>
      </c>
      <c r="I737" s="3" t="s">
        <v>28</v>
      </c>
      <c r="K737" s="3" t="s">
        <v>1132</v>
      </c>
      <c r="L737" s="3" t="s">
        <v>1300</v>
      </c>
      <c r="M737" s="3" t="s">
        <v>1137</v>
      </c>
      <c r="R737" s="7" t="str">
        <f>IF(H737="","",VLOOKUP(H737,'Hoja 9'!$A$1:$B$255,2,0))</f>
        <v>META</v>
      </c>
      <c r="S737" s="7">
        <f t="shared" si="1"/>
        <v>2024</v>
      </c>
      <c r="T737" s="7">
        <f t="shared" si="2"/>
        <v>10</v>
      </c>
    </row>
    <row r="738">
      <c r="A738" s="4">
        <v>45580.76529030093</v>
      </c>
      <c r="B738" s="3" t="s">
        <v>1921</v>
      </c>
      <c r="C738" s="3" t="s">
        <v>1452</v>
      </c>
      <c r="D738" s="3" t="s">
        <v>2037</v>
      </c>
      <c r="E738" s="5">
        <v>27432.0</v>
      </c>
      <c r="F738" s="3">
        <v>2.4180259E7</v>
      </c>
      <c r="G738" s="3">
        <v>3.518003357E9</v>
      </c>
      <c r="H738" s="3" t="s">
        <v>44</v>
      </c>
      <c r="I738" s="3" t="s">
        <v>28</v>
      </c>
      <c r="K738" s="3" t="s">
        <v>1132</v>
      </c>
      <c r="L738" s="3" t="s">
        <v>1133</v>
      </c>
      <c r="M738" s="3" t="s">
        <v>1134</v>
      </c>
      <c r="R738" s="7" t="str">
        <f>IF(H738="","",VLOOKUP(H738,'Hoja 9'!$A$1:$B$255,2,0))</f>
        <v>GIMNASIO</v>
      </c>
      <c r="S738" s="7">
        <f t="shared" si="1"/>
        <v>2024</v>
      </c>
      <c r="T738" s="7">
        <f t="shared" si="2"/>
        <v>10</v>
      </c>
    </row>
    <row r="739">
      <c r="A739" s="4">
        <v>45581.74116123843</v>
      </c>
      <c r="B739" s="3" t="s">
        <v>2038</v>
      </c>
      <c r="C739" s="3" t="s">
        <v>2039</v>
      </c>
      <c r="D739" s="3" t="s">
        <v>2040</v>
      </c>
      <c r="E739" s="5">
        <v>30671.0</v>
      </c>
      <c r="F739" s="3">
        <v>3.0658685E7</v>
      </c>
      <c r="G739" s="3">
        <v>3.513938754E9</v>
      </c>
      <c r="H739" s="3" t="s">
        <v>44</v>
      </c>
      <c r="I739" s="3" t="s">
        <v>22</v>
      </c>
      <c r="K739" s="3" t="s">
        <v>1132</v>
      </c>
      <c r="L739" s="3" t="s">
        <v>1133</v>
      </c>
      <c r="M739" s="3" t="s">
        <v>1134</v>
      </c>
      <c r="O739" s="3" t="s">
        <v>72</v>
      </c>
      <c r="R739" s="7" t="str">
        <f>IF(H739="","",VLOOKUP(H739,'Hoja 9'!$A$1:$B$255,2,0))</f>
        <v>GIMNASIO</v>
      </c>
      <c r="S739" s="7">
        <f t="shared" si="1"/>
        <v>2024</v>
      </c>
      <c r="T739" s="7">
        <f t="shared" si="2"/>
        <v>10</v>
      </c>
    </row>
    <row r="740">
      <c r="A740" s="4">
        <v>45582.46252732639</v>
      </c>
      <c r="B740" s="3" t="s">
        <v>1146</v>
      </c>
      <c r="C740" s="3" t="s">
        <v>2041</v>
      </c>
      <c r="D740" s="3" t="s">
        <v>2042</v>
      </c>
      <c r="E740" s="5">
        <v>41225.0</v>
      </c>
      <c r="F740" s="3">
        <v>5.2464936E7</v>
      </c>
      <c r="G740" s="3">
        <v>3.513713474E9</v>
      </c>
      <c r="H740" s="3" t="s">
        <v>27</v>
      </c>
      <c r="I740" s="3" t="s">
        <v>28</v>
      </c>
      <c r="K740" s="3" t="s">
        <v>1132</v>
      </c>
      <c r="L740" s="3" t="s">
        <v>1422</v>
      </c>
      <c r="M740" s="3" t="s">
        <v>1134</v>
      </c>
      <c r="R740" s="7" t="str">
        <f>IF(H740="","",VLOOKUP(H740,'Hoja 9'!$A$1:$B$255,2,0))</f>
        <v>BOCA EN BOCA</v>
      </c>
      <c r="S740" s="7">
        <f t="shared" si="1"/>
        <v>2024</v>
      </c>
      <c r="T740" s="7">
        <f t="shared" si="2"/>
        <v>10</v>
      </c>
    </row>
    <row r="741">
      <c r="A741" s="4">
        <v>45583.34815612268</v>
      </c>
      <c r="B741" s="3" t="s">
        <v>2043</v>
      </c>
      <c r="C741" s="3" t="s">
        <v>2044</v>
      </c>
      <c r="D741" s="3" t="s">
        <v>2045</v>
      </c>
      <c r="E741" s="5">
        <v>41781.0</v>
      </c>
      <c r="F741" s="8">
        <v>5.3731075E7</v>
      </c>
      <c r="G741" s="3">
        <v>3.516826077E9</v>
      </c>
      <c r="H741" s="3" t="s">
        <v>148</v>
      </c>
      <c r="I741" s="3" t="s">
        <v>22</v>
      </c>
      <c r="K741" s="3" t="s">
        <v>1132</v>
      </c>
      <c r="L741" s="3" t="s">
        <v>1172</v>
      </c>
      <c r="M741" s="3" t="s">
        <v>1137</v>
      </c>
      <c r="O741" s="3" t="s">
        <v>831</v>
      </c>
      <c r="R741" s="7" t="str">
        <f>IF(H741="","",VLOOKUP(H741,'Hoja 9'!$A$1:$B$255,2,0))</f>
        <v>OBRA SOCIAL</v>
      </c>
      <c r="S741" s="7">
        <f t="shared" si="1"/>
        <v>2024</v>
      </c>
      <c r="T741" s="7">
        <f t="shared" si="2"/>
        <v>10</v>
      </c>
    </row>
    <row r="742">
      <c r="A742" s="4">
        <v>45583.717446574075</v>
      </c>
      <c r="B742" s="3" t="s">
        <v>985</v>
      </c>
      <c r="C742" s="3" t="s">
        <v>2046</v>
      </c>
      <c r="D742" s="3" t="s">
        <v>2047</v>
      </c>
      <c r="E742" s="5">
        <v>25981.0</v>
      </c>
      <c r="F742" s="3">
        <v>2.2034524E7</v>
      </c>
      <c r="G742" s="3">
        <v>3.543560752E9</v>
      </c>
      <c r="H742" s="3" t="s">
        <v>2048</v>
      </c>
      <c r="I742" s="3" t="s">
        <v>28</v>
      </c>
      <c r="K742" s="3" t="s">
        <v>1132</v>
      </c>
      <c r="L742" s="3" t="s">
        <v>1133</v>
      </c>
      <c r="M742" s="3" t="s">
        <v>1134</v>
      </c>
      <c r="R742" s="7" t="str">
        <f>IF(H742="","",VLOOKUP(H742,'Hoja 9'!$A$1:$B$255,2,0))</f>
        <v>BOCA EN BOCA</v>
      </c>
      <c r="S742" s="7">
        <f t="shared" si="1"/>
        <v>2024</v>
      </c>
      <c r="T742" s="7">
        <f t="shared" si="2"/>
        <v>10</v>
      </c>
    </row>
    <row r="743">
      <c r="A743" s="4">
        <v>45586.488825625</v>
      </c>
      <c r="B743" s="3" t="s">
        <v>2049</v>
      </c>
      <c r="C743" s="3" t="s">
        <v>1228</v>
      </c>
      <c r="D743" s="3" t="s">
        <v>2050</v>
      </c>
      <c r="E743" s="5">
        <v>41011.0</v>
      </c>
      <c r="F743" s="3">
        <v>5.2206311E7</v>
      </c>
      <c r="G743" s="3">
        <v>3.518031224E9</v>
      </c>
      <c r="H743" s="3" t="s">
        <v>27</v>
      </c>
      <c r="I743" s="3" t="s">
        <v>28</v>
      </c>
      <c r="K743" s="3" t="s">
        <v>1132</v>
      </c>
      <c r="L743" s="3" t="s">
        <v>1834</v>
      </c>
      <c r="M743" s="3" t="s">
        <v>1137</v>
      </c>
      <c r="R743" s="7" t="str">
        <f>IF(H743="","",VLOOKUP(H743,'Hoja 9'!$A$1:$B$255,2,0))</f>
        <v>BOCA EN BOCA</v>
      </c>
      <c r="S743" s="7">
        <f t="shared" si="1"/>
        <v>2024</v>
      </c>
      <c r="T743" s="7">
        <f t="shared" si="2"/>
        <v>10</v>
      </c>
    </row>
    <row r="744">
      <c r="A744" s="4">
        <v>45586.64161608796</v>
      </c>
      <c r="B744" s="3" t="s">
        <v>230</v>
      </c>
      <c r="C744" s="3" t="s">
        <v>684</v>
      </c>
      <c r="D744" s="3" t="s">
        <v>2051</v>
      </c>
      <c r="E744" s="5">
        <v>45645.0</v>
      </c>
      <c r="F744" s="3">
        <v>2.5756798E7</v>
      </c>
      <c r="G744" s="3">
        <v>3.5127663E9</v>
      </c>
      <c r="H744" s="3" t="s">
        <v>21</v>
      </c>
      <c r="I744" s="3" t="s">
        <v>22</v>
      </c>
      <c r="K744" s="3" t="s">
        <v>1145</v>
      </c>
      <c r="O744" s="3" t="s">
        <v>831</v>
      </c>
      <c r="R744" s="7" t="str">
        <f>IF(H744="","",VLOOKUP(H744,'Hoja 9'!$A$1:$B$255,2,0))</f>
        <v>GOOGLE</v>
      </c>
      <c r="S744" s="7">
        <f t="shared" si="1"/>
        <v>2024</v>
      </c>
      <c r="T744" s="7">
        <f t="shared" si="2"/>
        <v>10</v>
      </c>
    </row>
    <row r="745">
      <c r="A745" s="4">
        <v>45586.69986299769</v>
      </c>
      <c r="B745" s="3" t="s">
        <v>2052</v>
      </c>
      <c r="C745" s="3" t="s">
        <v>175</v>
      </c>
      <c r="D745" s="3" t="s">
        <v>2053</v>
      </c>
      <c r="E745" s="5">
        <v>20848.0</v>
      </c>
      <c r="F745" s="3">
        <v>1.2583296E7</v>
      </c>
      <c r="G745" s="3">
        <v>3.51542587E9</v>
      </c>
      <c r="H745" s="3" t="s">
        <v>27</v>
      </c>
      <c r="I745" s="3" t="s">
        <v>28</v>
      </c>
      <c r="K745" s="3" t="s">
        <v>1145</v>
      </c>
      <c r="R745" s="7" t="str">
        <f>IF(H745="","",VLOOKUP(H745,'Hoja 9'!$A$1:$B$255,2,0))</f>
        <v>BOCA EN BOCA</v>
      </c>
      <c r="S745" s="7">
        <f t="shared" si="1"/>
        <v>2024</v>
      </c>
      <c r="T745" s="7">
        <f t="shared" si="2"/>
        <v>10</v>
      </c>
    </row>
    <row r="746">
      <c r="A746" s="4">
        <v>45587.72615585648</v>
      </c>
      <c r="B746" s="3" t="s">
        <v>2054</v>
      </c>
      <c r="C746" s="3" t="s">
        <v>180</v>
      </c>
      <c r="E746" s="5">
        <v>18645.0</v>
      </c>
      <c r="F746" s="3">
        <v>8531201.0</v>
      </c>
      <c r="G746" s="3">
        <v>3.518070833E9</v>
      </c>
      <c r="H746" s="3" t="s">
        <v>27</v>
      </c>
      <c r="I746" s="3" t="s">
        <v>28</v>
      </c>
      <c r="K746" s="3" t="s">
        <v>1132</v>
      </c>
      <c r="M746" s="3" t="s">
        <v>1134</v>
      </c>
      <c r="R746" s="7" t="str">
        <f>IF(H746="","",VLOOKUP(H746,'Hoja 9'!$A$1:$B$255,2,0))</f>
        <v>BOCA EN BOCA</v>
      </c>
      <c r="S746" s="7">
        <f t="shared" si="1"/>
        <v>2024</v>
      </c>
      <c r="T746" s="7">
        <f t="shared" si="2"/>
        <v>10</v>
      </c>
    </row>
    <row r="747">
      <c r="A747" s="4">
        <v>45587.89139234954</v>
      </c>
      <c r="B747" s="3" t="s">
        <v>2055</v>
      </c>
      <c r="C747" s="3" t="s">
        <v>2056</v>
      </c>
      <c r="E747" s="5">
        <v>34823.0</v>
      </c>
      <c r="F747" s="3">
        <v>3.8989159E7</v>
      </c>
      <c r="G747" s="3">
        <v>3.513284008E9</v>
      </c>
      <c r="H747" s="3" t="s">
        <v>21</v>
      </c>
      <c r="I747" s="3" t="s">
        <v>22</v>
      </c>
      <c r="K747" s="3" t="s">
        <v>1132</v>
      </c>
      <c r="L747" s="3" t="s">
        <v>1136</v>
      </c>
      <c r="M747" s="3" t="s">
        <v>1134</v>
      </c>
      <c r="O747" s="3" t="s">
        <v>1759</v>
      </c>
      <c r="R747" s="7" t="str">
        <f>IF(H747="","",VLOOKUP(H747,'Hoja 9'!$A$1:$B$255,2,0))</f>
        <v>GOOGLE</v>
      </c>
      <c r="S747" s="7">
        <f t="shared" si="1"/>
        <v>2024</v>
      </c>
      <c r="T747" s="7">
        <f t="shared" si="2"/>
        <v>10</v>
      </c>
    </row>
    <row r="748">
      <c r="A748" s="4">
        <v>45588.49695340278</v>
      </c>
      <c r="B748" s="3" t="s">
        <v>340</v>
      </c>
      <c r="C748" s="3" t="s">
        <v>2057</v>
      </c>
      <c r="D748" s="3" t="s">
        <v>2058</v>
      </c>
      <c r="E748" s="5">
        <v>28175.0</v>
      </c>
      <c r="F748" s="3">
        <v>2.575624E7</v>
      </c>
      <c r="G748" s="3">
        <v>3.517353014E9</v>
      </c>
      <c r="H748" s="3" t="s">
        <v>21</v>
      </c>
      <c r="I748" s="3" t="s">
        <v>22</v>
      </c>
      <c r="K748" s="3" t="s">
        <v>1145</v>
      </c>
      <c r="O748" s="3" t="s">
        <v>58</v>
      </c>
      <c r="R748" s="7" t="str">
        <f>IF(H748="","",VLOOKUP(H748,'Hoja 9'!$A$1:$B$255,2,0))</f>
        <v>GOOGLE</v>
      </c>
      <c r="S748" s="7">
        <f t="shared" si="1"/>
        <v>2024</v>
      </c>
      <c r="T748" s="7">
        <f t="shared" si="2"/>
        <v>10</v>
      </c>
    </row>
    <row r="749">
      <c r="A749" s="4">
        <v>45588.51485894676</v>
      </c>
      <c r="B749" s="3" t="s">
        <v>97</v>
      </c>
      <c r="C749" s="3" t="s">
        <v>180</v>
      </c>
      <c r="D749" s="3" t="s">
        <v>2059</v>
      </c>
      <c r="E749" s="5">
        <v>30969.0</v>
      </c>
      <c r="F749" s="3">
        <v>3.1217605E7</v>
      </c>
      <c r="G749" s="3">
        <v>3.5176838E9</v>
      </c>
      <c r="H749" s="3" t="s">
        <v>27</v>
      </c>
      <c r="I749" s="3" t="s">
        <v>28</v>
      </c>
      <c r="K749" s="3" t="s">
        <v>1132</v>
      </c>
      <c r="L749" s="3" t="s">
        <v>1422</v>
      </c>
      <c r="M749" s="3" t="s">
        <v>1213</v>
      </c>
      <c r="R749" s="7" t="str">
        <f>IF(H749="","",VLOOKUP(H749,'Hoja 9'!$A$1:$B$255,2,0))</f>
        <v>BOCA EN BOCA</v>
      </c>
      <c r="S749" s="7">
        <f t="shared" si="1"/>
        <v>2024</v>
      </c>
      <c r="T749" s="7">
        <f t="shared" si="2"/>
        <v>10</v>
      </c>
    </row>
    <row r="750">
      <c r="A750" s="4">
        <v>45588.82899361111</v>
      </c>
      <c r="B750" s="3" t="s">
        <v>2060</v>
      </c>
      <c r="C750" s="3" t="s">
        <v>136</v>
      </c>
      <c r="D750" s="3" t="s">
        <v>2061</v>
      </c>
      <c r="E750" s="5">
        <v>34607.0</v>
      </c>
      <c r="F750" s="3">
        <v>3.841314E7</v>
      </c>
      <c r="G750" s="3">
        <v>3.513117498E9</v>
      </c>
      <c r="H750" s="3" t="s">
        <v>27</v>
      </c>
      <c r="I750" s="3" t="s">
        <v>22</v>
      </c>
      <c r="K750" s="3" t="s">
        <v>1132</v>
      </c>
      <c r="L750" s="3" t="s">
        <v>1133</v>
      </c>
      <c r="M750" s="3" t="s">
        <v>1134</v>
      </c>
      <c r="O750" s="3" t="s">
        <v>2062</v>
      </c>
      <c r="R750" s="7" t="str">
        <f>IF(H750="","",VLOOKUP(H750,'Hoja 9'!$A$1:$B$255,2,0))</f>
        <v>BOCA EN BOCA</v>
      </c>
      <c r="S750" s="7">
        <f t="shared" si="1"/>
        <v>2024</v>
      </c>
      <c r="T750" s="7">
        <f t="shared" si="2"/>
        <v>10</v>
      </c>
    </row>
    <row r="751">
      <c r="A751" s="4">
        <v>45589.70310760417</v>
      </c>
      <c r="B751" s="3" t="s">
        <v>91</v>
      </c>
      <c r="C751" s="3" t="s">
        <v>1241</v>
      </c>
      <c r="D751" s="3" t="s">
        <v>2063</v>
      </c>
      <c r="E751" s="5">
        <v>28343.0</v>
      </c>
      <c r="F751" s="3">
        <v>2.592061E7</v>
      </c>
      <c r="G751" s="3">
        <v>3.518151278E9</v>
      </c>
      <c r="H751" s="3" t="s">
        <v>27</v>
      </c>
      <c r="I751" s="3" t="s">
        <v>28</v>
      </c>
      <c r="K751" s="3" t="s">
        <v>1132</v>
      </c>
      <c r="L751" s="3" t="s">
        <v>1136</v>
      </c>
      <c r="M751" s="3" t="s">
        <v>1137</v>
      </c>
      <c r="R751" s="7" t="str">
        <f>IF(H751="","",VLOOKUP(H751,'Hoja 9'!$A$1:$B$255,2,0))</f>
        <v>BOCA EN BOCA</v>
      </c>
      <c r="S751" s="7">
        <f t="shared" si="1"/>
        <v>2024</v>
      </c>
      <c r="T751" s="7">
        <f t="shared" si="2"/>
        <v>10</v>
      </c>
    </row>
    <row r="752">
      <c r="A752" s="4">
        <v>45590.4747653125</v>
      </c>
      <c r="B752" s="3" t="s">
        <v>2064</v>
      </c>
      <c r="C752" s="3" t="s">
        <v>996</v>
      </c>
      <c r="D752" s="3" t="s">
        <v>2065</v>
      </c>
      <c r="E752" s="5">
        <v>34298.0</v>
      </c>
      <c r="F752" s="3">
        <v>3.8028896E7</v>
      </c>
      <c r="G752" s="3">
        <v>3.512125255E9</v>
      </c>
      <c r="H752" s="3" t="s">
        <v>2066</v>
      </c>
      <c r="I752" s="3" t="s">
        <v>28</v>
      </c>
      <c r="K752" s="3" t="s">
        <v>1132</v>
      </c>
      <c r="L752" s="3" t="s">
        <v>1133</v>
      </c>
      <c r="M752" s="3" t="s">
        <v>1134</v>
      </c>
      <c r="R752" s="7" t="str">
        <f>IF(H752="","",VLOOKUP(H752,'Hoja 9'!$A$1:$B$255,2,0))</f>
        <v>BOCA EN BOCA</v>
      </c>
      <c r="S752" s="7">
        <f t="shared" si="1"/>
        <v>2024</v>
      </c>
      <c r="T752" s="7">
        <f t="shared" si="2"/>
        <v>10</v>
      </c>
    </row>
    <row r="753">
      <c r="A753" s="4">
        <v>45593.805293680554</v>
      </c>
      <c r="B753" s="3" t="s">
        <v>2067</v>
      </c>
      <c r="C753" s="3" t="s">
        <v>1273</v>
      </c>
      <c r="D753" s="3" t="s">
        <v>2068</v>
      </c>
      <c r="E753" s="5">
        <v>39079.0</v>
      </c>
      <c r="F753" s="3">
        <v>4.7662025E7</v>
      </c>
      <c r="G753" s="3">
        <v>3.512171646E9</v>
      </c>
      <c r="H753" s="3" t="s">
        <v>27</v>
      </c>
      <c r="I753" s="3" t="s">
        <v>28</v>
      </c>
      <c r="K753" s="3" t="s">
        <v>1132</v>
      </c>
      <c r="L753" s="3" t="s">
        <v>1422</v>
      </c>
      <c r="M753" s="3" t="s">
        <v>1137</v>
      </c>
      <c r="R753" s="7" t="str">
        <f>IF(H753="","",VLOOKUP(H753,'Hoja 9'!$A$1:$B$255,2,0))</f>
        <v>BOCA EN BOCA</v>
      </c>
      <c r="S753" s="7">
        <f t="shared" si="1"/>
        <v>2024</v>
      </c>
      <c r="T753" s="7">
        <f t="shared" si="2"/>
        <v>10</v>
      </c>
    </row>
    <row r="754">
      <c r="A754" s="4">
        <v>45594.52847359954</v>
      </c>
      <c r="B754" s="3" t="s">
        <v>2069</v>
      </c>
      <c r="C754" s="3" t="s">
        <v>2070</v>
      </c>
      <c r="D754" s="3" t="s">
        <v>2071</v>
      </c>
      <c r="E754" s="5">
        <v>33983.0</v>
      </c>
      <c r="F754" s="3">
        <v>3.7195371E7</v>
      </c>
      <c r="G754" s="3">
        <v>3.518150251E9</v>
      </c>
      <c r="H754" s="3" t="s">
        <v>21</v>
      </c>
      <c r="I754" s="3" t="s">
        <v>22</v>
      </c>
      <c r="K754" s="3" t="s">
        <v>1132</v>
      </c>
      <c r="L754" s="3" t="s">
        <v>2072</v>
      </c>
      <c r="M754" s="3" t="s">
        <v>1134</v>
      </c>
      <c r="O754" s="3" t="s">
        <v>2073</v>
      </c>
      <c r="R754" s="7" t="str">
        <f>IF(H754="","",VLOOKUP(H754,'Hoja 9'!$A$1:$B$255,2,0))</f>
        <v>GOOGLE</v>
      </c>
      <c r="S754" s="7">
        <f t="shared" si="1"/>
        <v>2024</v>
      </c>
      <c r="T754" s="7">
        <f t="shared" si="2"/>
        <v>10</v>
      </c>
    </row>
    <row r="755">
      <c r="A755" s="4">
        <v>45594.778788564814</v>
      </c>
      <c r="B755" s="3" t="s">
        <v>2074</v>
      </c>
      <c r="C755" s="3" t="s">
        <v>46</v>
      </c>
      <c r="D755" s="3" t="s">
        <v>2075</v>
      </c>
      <c r="E755" s="5">
        <v>21866.0</v>
      </c>
      <c r="F755" s="3">
        <v>1.3537934E7</v>
      </c>
      <c r="G755" s="3">
        <v>3.515516896E9</v>
      </c>
      <c r="H755" s="3" t="s">
        <v>21</v>
      </c>
      <c r="I755" s="3" t="s">
        <v>22</v>
      </c>
      <c r="K755" s="3" t="s">
        <v>1132</v>
      </c>
      <c r="L755" s="3" t="s">
        <v>1834</v>
      </c>
      <c r="M755" s="3" t="s">
        <v>1137</v>
      </c>
      <c r="O755" s="3" t="s">
        <v>1126</v>
      </c>
      <c r="R755" s="7" t="str">
        <f>IF(H755="","",VLOOKUP(H755,'Hoja 9'!$A$1:$B$255,2,0))</f>
        <v>GOOGLE</v>
      </c>
      <c r="S755" s="7">
        <f t="shared" si="1"/>
        <v>2024</v>
      </c>
      <c r="T755" s="7">
        <f t="shared" si="2"/>
        <v>10</v>
      </c>
    </row>
    <row r="756">
      <c r="A756" s="4">
        <v>45594.78059741898</v>
      </c>
      <c r="B756" s="3" t="s">
        <v>2076</v>
      </c>
      <c r="C756" s="3" t="s">
        <v>2077</v>
      </c>
      <c r="D756" s="3" t="s">
        <v>2078</v>
      </c>
      <c r="E756" s="5">
        <v>20509.0</v>
      </c>
      <c r="F756" s="3">
        <v>1.2209967E7</v>
      </c>
      <c r="G756" s="3">
        <v>3.512268711E9</v>
      </c>
      <c r="H756" s="3" t="s">
        <v>27</v>
      </c>
      <c r="I756" s="3" t="s">
        <v>28</v>
      </c>
      <c r="K756" s="3" t="s">
        <v>1145</v>
      </c>
      <c r="R756" s="7" t="str">
        <f>IF(H756="","",VLOOKUP(H756,'Hoja 9'!$A$1:$B$255,2,0))</f>
        <v>BOCA EN BOCA</v>
      </c>
      <c r="S756" s="7">
        <f t="shared" si="1"/>
        <v>2024</v>
      </c>
      <c r="T756" s="7">
        <f t="shared" si="2"/>
        <v>10</v>
      </c>
    </row>
    <row r="757">
      <c r="A757" s="4">
        <v>45594.96885052083</v>
      </c>
      <c r="B757" s="3" t="s">
        <v>2079</v>
      </c>
      <c r="C757" s="3" t="s">
        <v>2080</v>
      </c>
      <c r="D757" s="3" t="s">
        <v>2081</v>
      </c>
      <c r="E757" s="5">
        <v>45459.0</v>
      </c>
      <c r="F757" s="3">
        <v>2.5300915E7</v>
      </c>
      <c r="G757" s="3">
        <v>3.5126678E9</v>
      </c>
      <c r="H757" s="3" t="s">
        <v>21</v>
      </c>
      <c r="I757" s="3" t="s">
        <v>22</v>
      </c>
      <c r="K757" s="3" t="s">
        <v>1145</v>
      </c>
      <c r="O757" s="3" t="s">
        <v>23</v>
      </c>
      <c r="R757" s="7" t="str">
        <f>IF(H757="","",VLOOKUP(H757,'Hoja 9'!$A$1:$B$255,2,0))</f>
        <v>GOOGLE</v>
      </c>
      <c r="S757" s="7">
        <f t="shared" si="1"/>
        <v>2024</v>
      </c>
      <c r="T757" s="7">
        <f t="shared" si="2"/>
        <v>10</v>
      </c>
    </row>
    <row r="758">
      <c r="A758" s="4">
        <v>45595.45162929398</v>
      </c>
      <c r="B758" s="3" t="s">
        <v>2082</v>
      </c>
      <c r="C758" s="3" t="s">
        <v>2083</v>
      </c>
      <c r="D758" s="3" t="s">
        <v>2084</v>
      </c>
      <c r="E758" s="5">
        <v>45305.0</v>
      </c>
      <c r="F758" s="3">
        <v>2.3822196E7</v>
      </c>
      <c r="G758" s="3">
        <v>3.516167629E9</v>
      </c>
      <c r="H758" s="3" t="s">
        <v>27</v>
      </c>
      <c r="I758" s="3" t="s">
        <v>22</v>
      </c>
      <c r="K758" s="3" t="s">
        <v>1132</v>
      </c>
      <c r="L758" s="3" t="s">
        <v>2085</v>
      </c>
      <c r="M758" s="3" t="s">
        <v>1137</v>
      </c>
      <c r="O758" s="3" t="s">
        <v>68</v>
      </c>
      <c r="R758" s="7" t="str">
        <f>IF(H758="","",VLOOKUP(H758,'Hoja 9'!$A$1:$B$255,2,0))</f>
        <v>BOCA EN BOCA</v>
      </c>
      <c r="S758" s="7">
        <f t="shared" si="1"/>
        <v>2024</v>
      </c>
      <c r="T758" s="7">
        <f t="shared" si="2"/>
        <v>10</v>
      </c>
    </row>
    <row r="759">
      <c r="A759" s="4">
        <v>45596.72292666667</v>
      </c>
      <c r="B759" s="3" t="s">
        <v>2086</v>
      </c>
      <c r="C759" s="3" t="s">
        <v>185</v>
      </c>
      <c r="E759" s="5">
        <v>17486.0</v>
      </c>
      <c r="F759" s="3">
        <v>7999463.0</v>
      </c>
      <c r="G759" s="3">
        <v>3.516641834E9</v>
      </c>
      <c r="H759" s="3" t="s">
        <v>27</v>
      </c>
      <c r="I759" s="3" t="s">
        <v>22</v>
      </c>
      <c r="K759" s="3" t="s">
        <v>1145</v>
      </c>
      <c r="O759" s="3" t="s">
        <v>2087</v>
      </c>
      <c r="R759" s="7" t="str">
        <f>IF(H759="","",VLOOKUP(H759,'Hoja 9'!$A$1:$B$255,2,0))</f>
        <v>BOCA EN BOCA</v>
      </c>
      <c r="S759" s="7">
        <f t="shared" si="1"/>
        <v>2024</v>
      </c>
      <c r="T759" s="7">
        <f t="shared" si="2"/>
        <v>10</v>
      </c>
    </row>
    <row r="760">
      <c r="A760" s="4">
        <v>45596.76487648148</v>
      </c>
      <c r="B760" s="3" t="s">
        <v>2088</v>
      </c>
      <c r="C760" s="3" t="s">
        <v>1147</v>
      </c>
      <c r="D760" s="3" t="s">
        <v>2089</v>
      </c>
      <c r="E760" s="5">
        <v>35225.0</v>
      </c>
      <c r="F760" s="3">
        <v>3.9070275E7</v>
      </c>
      <c r="G760" s="3">
        <v>3.517473197E9</v>
      </c>
      <c r="H760" s="3" t="s">
        <v>2090</v>
      </c>
      <c r="I760" s="3" t="s">
        <v>22</v>
      </c>
      <c r="K760" s="3" t="s">
        <v>1132</v>
      </c>
      <c r="L760" s="3" t="s">
        <v>2091</v>
      </c>
      <c r="M760" s="3" t="s">
        <v>1213</v>
      </c>
      <c r="O760" s="3" t="s">
        <v>58</v>
      </c>
      <c r="R760" s="7" t="str">
        <f>IF(H760="","",VLOOKUP(H760,'Hoja 9'!$A$1:$B$255,2,0))</f>
        <v>BOCA EN BOCA</v>
      </c>
      <c r="S760" s="7">
        <f t="shared" si="1"/>
        <v>2024</v>
      </c>
      <c r="T760" s="7">
        <f t="shared" si="2"/>
        <v>10</v>
      </c>
    </row>
    <row r="761">
      <c r="A761" s="4">
        <v>45598.445467349535</v>
      </c>
      <c r="B761" s="3" t="s">
        <v>747</v>
      </c>
      <c r="C761" s="3" t="s">
        <v>2092</v>
      </c>
      <c r="D761" s="3" t="s">
        <v>2093</v>
      </c>
      <c r="E761" s="5">
        <v>28208.0</v>
      </c>
      <c r="F761" s="3">
        <v>2.5759503E7</v>
      </c>
      <c r="G761" s="3">
        <v>3.516199707E9</v>
      </c>
      <c r="H761" s="3" t="s">
        <v>21</v>
      </c>
      <c r="I761" s="3" t="s">
        <v>22</v>
      </c>
      <c r="K761" s="3" t="s">
        <v>1132</v>
      </c>
      <c r="L761" s="3" t="s">
        <v>2094</v>
      </c>
      <c r="M761" s="3" t="s">
        <v>1137</v>
      </c>
      <c r="O761" s="3" t="s">
        <v>2095</v>
      </c>
      <c r="R761" s="7" t="str">
        <f>IF(H761="","",VLOOKUP(H761,'Hoja 9'!$A$1:$B$255,2,0))</f>
        <v>GOOGLE</v>
      </c>
      <c r="S761" s="7">
        <f t="shared" si="1"/>
        <v>2024</v>
      </c>
      <c r="T761" s="7">
        <f t="shared" si="2"/>
        <v>11</v>
      </c>
    </row>
    <row r="762">
      <c r="A762" s="4">
        <v>45600.43385048611</v>
      </c>
      <c r="B762" s="3" t="s">
        <v>2096</v>
      </c>
      <c r="C762" s="3" t="s">
        <v>2097</v>
      </c>
      <c r="D762" s="3" t="s">
        <v>2098</v>
      </c>
      <c r="E762" s="5">
        <v>21797.0</v>
      </c>
      <c r="F762" s="3">
        <v>1.3684132E7</v>
      </c>
      <c r="G762" s="3">
        <v>3.515281007E9</v>
      </c>
      <c r="H762" s="3" t="s">
        <v>27</v>
      </c>
      <c r="I762" s="3" t="s">
        <v>28</v>
      </c>
      <c r="K762" s="3" t="s">
        <v>1145</v>
      </c>
      <c r="R762" s="7" t="str">
        <f>IF(H762="","",VLOOKUP(H762,'Hoja 9'!$A$1:$B$255,2,0))</f>
        <v>BOCA EN BOCA</v>
      </c>
      <c r="S762" s="7">
        <f t="shared" si="1"/>
        <v>2024</v>
      </c>
      <c r="T762" s="7">
        <f t="shared" si="2"/>
        <v>11</v>
      </c>
    </row>
    <row r="763">
      <c r="A763" s="4">
        <v>45601.83933983796</v>
      </c>
      <c r="B763" s="3" t="s">
        <v>2099</v>
      </c>
      <c r="C763" s="3" t="s">
        <v>2100</v>
      </c>
      <c r="D763" s="3" t="s">
        <v>2101</v>
      </c>
      <c r="E763" s="5">
        <v>29026.0</v>
      </c>
      <c r="F763" s="3">
        <v>2.7361158E7</v>
      </c>
      <c r="G763" s="3">
        <v>3.517693839E9</v>
      </c>
      <c r="H763" s="3" t="s">
        <v>27</v>
      </c>
      <c r="I763" s="3" t="s">
        <v>22</v>
      </c>
      <c r="K763" s="3" t="s">
        <v>1132</v>
      </c>
      <c r="L763" s="3" t="s">
        <v>1133</v>
      </c>
      <c r="M763" s="3" t="s">
        <v>1137</v>
      </c>
      <c r="O763" s="3" t="s">
        <v>23</v>
      </c>
      <c r="R763" s="7" t="str">
        <f>IF(H763="","",VLOOKUP(H763,'Hoja 9'!$A$1:$B$255,2,0))</f>
        <v>BOCA EN BOCA</v>
      </c>
      <c r="S763" s="7">
        <f t="shared" si="1"/>
        <v>2024</v>
      </c>
      <c r="T763" s="7">
        <f t="shared" si="2"/>
        <v>11</v>
      </c>
    </row>
    <row r="764">
      <c r="A764" s="4">
        <v>45602.40748409722</v>
      </c>
      <c r="B764" s="3" t="s">
        <v>1180</v>
      </c>
      <c r="C764" s="3" t="s">
        <v>2102</v>
      </c>
      <c r="D764" s="3" t="s">
        <v>2103</v>
      </c>
      <c r="E764" s="5">
        <v>29291.0</v>
      </c>
      <c r="F764" s="3">
        <v>2.7959178E7</v>
      </c>
      <c r="G764" s="3">
        <v>3.517049179E9</v>
      </c>
      <c r="H764" s="3" t="s">
        <v>27</v>
      </c>
      <c r="I764" s="3" t="s">
        <v>22</v>
      </c>
      <c r="K764" s="3" t="s">
        <v>1145</v>
      </c>
      <c r="O764" s="3" t="s">
        <v>23</v>
      </c>
      <c r="R764" s="7" t="str">
        <f>IF(H764="","",VLOOKUP(H764,'Hoja 9'!$A$1:$B$255,2,0))</f>
        <v>BOCA EN BOCA</v>
      </c>
      <c r="S764" s="7">
        <f t="shared" si="1"/>
        <v>2024</v>
      </c>
      <c r="T764" s="7">
        <f t="shared" si="2"/>
        <v>11</v>
      </c>
    </row>
    <row r="765">
      <c r="A765" s="4">
        <v>45602.69726361111</v>
      </c>
      <c r="B765" s="3" t="s">
        <v>1458</v>
      </c>
      <c r="C765" s="3" t="s">
        <v>1395</v>
      </c>
      <c r="D765" s="3" t="s">
        <v>2104</v>
      </c>
      <c r="E765" s="5">
        <v>32450.0</v>
      </c>
      <c r="F765" s="3">
        <v>3.3976771E7</v>
      </c>
      <c r="G765" s="3">
        <v>3.512447028E9</v>
      </c>
      <c r="H765" s="3" t="s">
        <v>27</v>
      </c>
      <c r="I765" s="3" t="s">
        <v>28</v>
      </c>
      <c r="K765" s="3" t="s">
        <v>1132</v>
      </c>
      <c r="L765" s="3" t="s">
        <v>1133</v>
      </c>
      <c r="M765" s="3" t="s">
        <v>1134</v>
      </c>
      <c r="R765" s="7" t="str">
        <f>IF(H765="","",VLOOKUP(H765,'Hoja 9'!$A$1:$B$255,2,0))</f>
        <v>BOCA EN BOCA</v>
      </c>
      <c r="S765" s="7">
        <f t="shared" si="1"/>
        <v>2024</v>
      </c>
      <c r="T765" s="7">
        <f t="shared" si="2"/>
        <v>11</v>
      </c>
    </row>
    <row r="766">
      <c r="A766" s="4">
        <v>45602.80207820602</v>
      </c>
      <c r="B766" s="3" t="s">
        <v>2105</v>
      </c>
      <c r="C766" s="3" t="s">
        <v>2106</v>
      </c>
      <c r="D766" s="3" t="s">
        <v>2107</v>
      </c>
      <c r="E766" s="5">
        <v>25750.0</v>
      </c>
      <c r="F766" s="3">
        <v>2.1628906E7</v>
      </c>
      <c r="G766" s="3">
        <v>3.515321272E9</v>
      </c>
      <c r="H766" s="3" t="s">
        <v>44</v>
      </c>
      <c r="I766" s="3" t="s">
        <v>22</v>
      </c>
      <c r="K766" s="3" t="s">
        <v>1132</v>
      </c>
      <c r="L766" s="3" t="s">
        <v>1133</v>
      </c>
      <c r="M766" s="3" t="s">
        <v>1137</v>
      </c>
      <c r="O766" s="3" t="s">
        <v>72</v>
      </c>
      <c r="R766" s="7" t="str">
        <f>IF(H766="","",VLOOKUP(H766,'Hoja 9'!$A$1:$B$255,2,0))</f>
        <v>GIMNASIO</v>
      </c>
      <c r="S766" s="7">
        <f t="shared" si="1"/>
        <v>2024</v>
      </c>
      <c r="T766" s="7">
        <f t="shared" si="2"/>
        <v>11</v>
      </c>
    </row>
    <row r="767">
      <c r="A767" s="4">
        <v>45602.95404063657</v>
      </c>
      <c r="B767" s="3" t="s">
        <v>1110</v>
      </c>
      <c r="C767" s="3" t="s">
        <v>745</v>
      </c>
      <c r="D767" s="3" t="s">
        <v>2108</v>
      </c>
      <c r="E767" s="5">
        <v>25326.0</v>
      </c>
      <c r="F767" s="3">
        <v>2.0786418E7</v>
      </c>
      <c r="G767" s="3">
        <v>3.512464142E9</v>
      </c>
      <c r="H767" s="3" t="s">
        <v>27</v>
      </c>
      <c r="I767" s="3" t="s">
        <v>22</v>
      </c>
      <c r="K767" s="3" t="s">
        <v>1132</v>
      </c>
      <c r="L767" s="3" t="s">
        <v>1133</v>
      </c>
      <c r="M767" s="3" t="s">
        <v>1137</v>
      </c>
      <c r="O767" s="3" t="s">
        <v>23</v>
      </c>
      <c r="R767" s="7" t="str">
        <f>IF(H767="","",VLOOKUP(H767,'Hoja 9'!$A$1:$B$255,2,0))</f>
        <v>BOCA EN BOCA</v>
      </c>
      <c r="S767" s="7">
        <f t="shared" si="1"/>
        <v>2024</v>
      </c>
      <c r="T767" s="7">
        <f t="shared" si="2"/>
        <v>11</v>
      </c>
    </row>
    <row r="768">
      <c r="A768" s="4">
        <v>45603.38044371528</v>
      </c>
      <c r="B768" s="3" t="s">
        <v>2109</v>
      </c>
      <c r="C768" s="3" t="s">
        <v>218</v>
      </c>
      <c r="E768" s="5">
        <v>18512.0</v>
      </c>
      <c r="F768" s="3">
        <v>8409107.0</v>
      </c>
      <c r="G768" s="3">
        <v>3.515192445E9</v>
      </c>
      <c r="H768" s="3" t="s">
        <v>44</v>
      </c>
      <c r="I768" s="3" t="s">
        <v>22</v>
      </c>
      <c r="K768" s="3" t="s">
        <v>1132</v>
      </c>
      <c r="L768" s="3" t="s">
        <v>1133</v>
      </c>
      <c r="M768" s="3" t="s">
        <v>1134</v>
      </c>
      <c r="O768" s="3" t="s">
        <v>287</v>
      </c>
      <c r="R768" s="7" t="str">
        <f>IF(H768="","",VLOOKUP(H768,'Hoja 9'!$A$1:$B$255,2,0))</f>
        <v>GIMNASIO</v>
      </c>
      <c r="S768" s="7">
        <f t="shared" si="1"/>
        <v>2024</v>
      </c>
      <c r="T768" s="7">
        <f t="shared" si="2"/>
        <v>11</v>
      </c>
    </row>
    <row r="769">
      <c r="A769" s="4">
        <v>45604.65487809028</v>
      </c>
      <c r="B769" s="3" t="s">
        <v>2110</v>
      </c>
      <c r="C769" s="3" t="s">
        <v>299</v>
      </c>
      <c r="D769" s="3" t="s">
        <v>2111</v>
      </c>
      <c r="E769" s="5">
        <v>31113.0</v>
      </c>
      <c r="F769" s="3">
        <v>3.1480753E7</v>
      </c>
      <c r="G769" s="3">
        <v>3.513416186E9</v>
      </c>
      <c r="H769" s="3" t="s">
        <v>44</v>
      </c>
      <c r="I769" s="3" t="s">
        <v>22</v>
      </c>
      <c r="K769" s="3" t="s">
        <v>1132</v>
      </c>
      <c r="L769" s="3" t="s">
        <v>1133</v>
      </c>
      <c r="M769" s="3" t="s">
        <v>1134</v>
      </c>
      <c r="R769" s="7" t="str">
        <f>IF(H769="","",VLOOKUP(H769,'Hoja 9'!$A$1:$B$255,2,0))</f>
        <v>GIMNASIO</v>
      </c>
      <c r="S769" s="7">
        <f t="shared" si="1"/>
        <v>2024</v>
      </c>
      <c r="T769" s="7">
        <f t="shared" si="2"/>
        <v>11</v>
      </c>
    </row>
    <row r="770">
      <c r="A770" s="4">
        <v>45607.75385769676</v>
      </c>
      <c r="B770" s="3" t="s">
        <v>254</v>
      </c>
      <c r="C770" s="3" t="s">
        <v>2112</v>
      </c>
      <c r="D770" s="3" t="s">
        <v>2113</v>
      </c>
      <c r="E770" s="5">
        <v>26323.0</v>
      </c>
      <c r="F770" s="3">
        <v>2.2562895E7</v>
      </c>
      <c r="G770" s="3">
        <v>3.517023527E9</v>
      </c>
      <c r="H770" s="3" t="s">
        <v>27</v>
      </c>
      <c r="I770" s="3" t="s">
        <v>22</v>
      </c>
      <c r="K770" s="3" t="s">
        <v>1132</v>
      </c>
      <c r="L770" s="3" t="s">
        <v>1345</v>
      </c>
      <c r="M770" s="3" t="s">
        <v>1137</v>
      </c>
      <c r="O770" s="3" t="s">
        <v>149</v>
      </c>
      <c r="R770" s="7" t="str">
        <f>IF(H770="","",VLOOKUP(H770,'Hoja 9'!$A$1:$B$255,2,0))</f>
        <v>BOCA EN BOCA</v>
      </c>
      <c r="S770" s="7">
        <f t="shared" si="1"/>
        <v>2024</v>
      </c>
      <c r="T770" s="7">
        <f t="shared" si="2"/>
        <v>11</v>
      </c>
    </row>
    <row r="771">
      <c r="A771" s="4">
        <v>45608.479184236116</v>
      </c>
      <c r="B771" s="3" t="s">
        <v>2114</v>
      </c>
      <c r="C771" s="3" t="s">
        <v>2115</v>
      </c>
      <c r="D771" s="3" t="s">
        <v>2116</v>
      </c>
      <c r="E771" s="5">
        <v>37713.0</v>
      </c>
      <c r="F771" s="3">
        <v>4.4347189E7</v>
      </c>
      <c r="G771" s="3">
        <v>3.516456352E9</v>
      </c>
      <c r="H771" s="3" t="s">
        <v>2117</v>
      </c>
      <c r="I771" s="3" t="s">
        <v>22</v>
      </c>
      <c r="K771" s="3" t="s">
        <v>1132</v>
      </c>
      <c r="L771" s="3" t="s">
        <v>1136</v>
      </c>
      <c r="M771" s="3" t="s">
        <v>1134</v>
      </c>
      <c r="O771" s="3" t="s">
        <v>58</v>
      </c>
      <c r="R771" s="7" t="str">
        <f>IF(H771="","",VLOOKUP(H771,'Hoja 9'!$A$1:$B$255,2,0))</f>
        <v>BOCA EN BOCA</v>
      </c>
      <c r="S771" s="7">
        <f t="shared" si="1"/>
        <v>2024</v>
      </c>
      <c r="T771" s="7">
        <f t="shared" si="2"/>
        <v>11</v>
      </c>
    </row>
    <row r="772">
      <c r="A772" s="4">
        <v>45608.76609793981</v>
      </c>
      <c r="B772" s="3" t="s">
        <v>712</v>
      </c>
      <c r="C772" s="3" t="s">
        <v>2118</v>
      </c>
      <c r="D772" s="3" t="s">
        <v>2119</v>
      </c>
      <c r="E772" s="5">
        <v>28653.0</v>
      </c>
      <c r="F772" s="3">
        <v>2.6484801E7</v>
      </c>
      <c r="G772" s="3">
        <v>3.543574159E9</v>
      </c>
      <c r="H772" s="3" t="s">
        <v>27</v>
      </c>
      <c r="I772" s="3" t="s">
        <v>22</v>
      </c>
      <c r="K772" s="3" t="s">
        <v>1145</v>
      </c>
      <c r="O772" s="3" t="s">
        <v>23</v>
      </c>
      <c r="R772" s="7" t="str">
        <f>IF(H772="","",VLOOKUP(H772,'Hoja 9'!$A$1:$B$255,2,0))</f>
        <v>BOCA EN BOCA</v>
      </c>
      <c r="S772" s="7">
        <f t="shared" si="1"/>
        <v>2024</v>
      </c>
      <c r="T772" s="7">
        <f t="shared" si="2"/>
        <v>11</v>
      </c>
    </row>
    <row r="773">
      <c r="A773" s="4">
        <v>45609.887809224536</v>
      </c>
      <c r="B773" s="3" t="s">
        <v>903</v>
      </c>
      <c r="C773" s="3" t="s">
        <v>449</v>
      </c>
      <c r="D773" s="3" t="s">
        <v>2120</v>
      </c>
      <c r="E773" s="5">
        <v>35404.0</v>
      </c>
      <c r="F773" s="3">
        <v>4.0107593E7</v>
      </c>
      <c r="G773" s="3">
        <v>3.516203961E9</v>
      </c>
      <c r="H773" s="3" t="s">
        <v>27</v>
      </c>
      <c r="I773" s="3" t="s">
        <v>28</v>
      </c>
      <c r="K773" s="3" t="s">
        <v>1132</v>
      </c>
      <c r="L773" s="3" t="s">
        <v>2121</v>
      </c>
      <c r="M773" s="3" t="s">
        <v>1213</v>
      </c>
      <c r="R773" s="7" t="str">
        <f>IF(H773="","",VLOOKUP(H773,'Hoja 9'!$A$1:$B$255,2,0))</f>
        <v>BOCA EN BOCA</v>
      </c>
      <c r="S773" s="7">
        <f t="shared" si="1"/>
        <v>2024</v>
      </c>
      <c r="T773" s="7">
        <f t="shared" si="2"/>
        <v>11</v>
      </c>
    </row>
    <row r="774">
      <c r="A774" s="4">
        <v>45610.73455349537</v>
      </c>
      <c r="B774" s="3" t="s">
        <v>1266</v>
      </c>
      <c r="C774" s="3" t="s">
        <v>1069</v>
      </c>
      <c r="E774" s="5">
        <v>17395.0</v>
      </c>
      <c r="F774" s="3">
        <v>7946827.0</v>
      </c>
      <c r="G774" s="3">
        <v>3.51606088E9</v>
      </c>
      <c r="H774" s="3" t="s">
        <v>27</v>
      </c>
      <c r="I774" s="3" t="s">
        <v>22</v>
      </c>
      <c r="K774" s="3" t="s">
        <v>1145</v>
      </c>
      <c r="O774" s="3" t="s">
        <v>23</v>
      </c>
      <c r="R774" s="7" t="str">
        <f>IF(H774="","",VLOOKUP(H774,'Hoja 9'!$A$1:$B$255,2,0))</f>
        <v>BOCA EN BOCA</v>
      </c>
      <c r="S774" s="7">
        <f t="shared" si="1"/>
        <v>2024</v>
      </c>
      <c r="T774" s="7">
        <f t="shared" si="2"/>
        <v>11</v>
      </c>
    </row>
    <row r="775">
      <c r="A775" s="4">
        <v>45611.57525098379</v>
      </c>
      <c r="B775" s="3" t="s">
        <v>2122</v>
      </c>
      <c r="C775" s="3" t="s">
        <v>2123</v>
      </c>
      <c r="D775" s="3" t="s">
        <v>2124</v>
      </c>
      <c r="E775" s="5">
        <v>24637.0</v>
      </c>
      <c r="F775" s="3">
        <v>1.8408396E7</v>
      </c>
      <c r="G775" s="3">
        <v>3.513248546E9</v>
      </c>
      <c r="H775" s="3" t="s">
        <v>27</v>
      </c>
      <c r="I775" s="3" t="s">
        <v>28</v>
      </c>
      <c r="K775" s="3" t="s">
        <v>1145</v>
      </c>
      <c r="R775" s="7" t="str">
        <f>IF(H775="","",VLOOKUP(H775,'Hoja 9'!$A$1:$B$255,2,0))</f>
        <v>BOCA EN BOCA</v>
      </c>
      <c r="S775" s="7">
        <f t="shared" si="1"/>
        <v>2024</v>
      </c>
      <c r="T775" s="7">
        <f t="shared" si="2"/>
        <v>11</v>
      </c>
    </row>
    <row r="776">
      <c r="A776" s="4">
        <v>45611.75169362269</v>
      </c>
      <c r="B776" s="3" t="s">
        <v>2125</v>
      </c>
      <c r="C776" s="3" t="s">
        <v>175</v>
      </c>
      <c r="D776" s="3" t="s">
        <v>2126</v>
      </c>
      <c r="E776" s="5">
        <v>29479.0</v>
      </c>
      <c r="F776" s="3">
        <v>2.8343919E7</v>
      </c>
      <c r="G776" s="3">
        <v>3.517324915E9</v>
      </c>
      <c r="H776" s="3" t="s">
        <v>44</v>
      </c>
      <c r="I776" s="3" t="s">
        <v>22</v>
      </c>
      <c r="K776" s="3" t="s">
        <v>1132</v>
      </c>
      <c r="L776" s="3" t="s">
        <v>1133</v>
      </c>
      <c r="M776" s="3" t="s">
        <v>1134</v>
      </c>
      <c r="O776" s="3" t="s">
        <v>149</v>
      </c>
      <c r="R776" s="7" t="str">
        <f>IF(H776="","",VLOOKUP(H776,'Hoja 9'!$A$1:$B$255,2,0))</f>
        <v>GIMNASIO</v>
      </c>
      <c r="S776" s="7">
        <f t="shared" si="1"/>
        <v>2024</v>
      </c>
      <c r="T776" s="7">
        <f t="shared" si="2"/>
        <v>11</v>
      </c>
    </row>
    <row r="777">
      <c r="A777" s="4">
        <v>45615.46583380787</v>
      </c>
      <c r="B777" s="3" t="s">
        <v>1202</v>
      </c>
      <c r="C777" s="3" t="s">
        <v>194</v>
      </c>
      <c r="D777" s="3" t="s">
        <v>2127</v>
      </c>
      <c r="E777" s="5">
        <v>18661.0</v>
      </c>
      <c r="F777" s="3">
        <v>6392101.0</v>
      </c>
      <c r="G777" s="3">
        <v>3.515064419E9</v>
      </c>
      <c r="H777" s="3" t="s">
        <v>27</v>
      </c>
      <c r="I777" s="3" t="s">
        <v>22</v>
      </c>
      <c r="K777" s="3" t="s">
        <v>1132</v>
      </c>
      <c r="L777" s="3" t="s">
        <v>1345</v>
      </c>
      <c r="M777" s="3" t="s">
        <v>1137</v>
      </c>
      <c r="O777" s="3" t="s">
        <v>287</v>
      </c>
      <c r="R777" s="7" t="str">
        <f>IF(H777="","",VLOOKUP(H777,'Hoja 9'!$A$1:$B$255,2,0))</f>
        <v>BOCA EN BOCA</v>
      </c>
      <c r="S777" s="7">
        <f t="shared" si="1"/>
        <v>2024</v>
      </c>
      <c r="T777" s="7">
        <f t="shared" si="2"/>
        <v>11</v>
      </c>
    </row>
    <row r="778">
      <c r="A778" s="4">
        <v>45617.795183159724</v>
      </c>
      <c r="B778" s="3" t="s">
        <v>2128</v>
      </c>
      <c r="C778" s="3" t="s">
        <v>505</v>
      </c>
      <c r="E778" s="5">
        <v>21877.0</v>
      </c>
      <c r="F778" s="3">
        <v>1.3476436E7</v>
      </c>
      <c r="G778" s="3">
        <v>3.513467613E9</v>
      </c>
      <c r="H778" s="3" t="s">
        <v>27</v>
      </c>
      <c r="I778" s="3" t="s">
        <v>22</v>
      </c>
      <c r="K778" s="3" t="s">
        <v>1145</v>
      </c>
      <c r="O778" s="3" t="s">
        <v>2129</v>
      </c>
      <c r="R778" s="7" t="str">
        <f>IF(H778="","",VLOOKUP(H778,'Hoja 9'!$A$1:$B$255,2,0))</f>
        <v>BOCA EN BOCA</v>
      </c>
      <c r="S778" s="7">
        <f t="shared" si="1"/>
        <v>2024</v>
      </c>
      <c r="T778" s="7">
        <f t="shared" si="2"/>
        <v>11</v>
      </c>
    </row>
    <row r="779">
      <c r="A779" s="4">
        <v>45619.67737237268</v>
      </c>
      <c r="B779" s="3" t="s">
        <v>2130</v>
      </c>
      <c r="C779" s="3" t="s">
        <v>2131</v>
      </c>
      <c r="D779" s="3" t="s">
        <v>2132</v>
      </c>
      <c r="E779" s="5">
        <v>27279.0</v>
      </c>
      <c r="F779" s="3">
        <v>2.4013617E7</v>
      </c>
      <c r="G779" s="3">
        <v>3.515998629E9</v>
      </c>
      <c r="H779" s="3" t="s">
        <v>27</v>
      </c>
      <c r="I779" s="3" t="s">
        <v>22</v>
      </c>
      <c r="K779" s="3" t="s">
        <v>1132</v>
      </c>
      <c r="L779" s="3" t="s">
        <v>2133</v>
      </c>
      <c r="M779" s="3" t="s">
        <v>1134</v>
      </c>
      <c r="O779" s="3" t="s">
        <v>72</v>
      </c>
      <c r="R779" s="7" t="str">
        <f>IF(H779="","",VLOOKUP(H779,'Hoja 9'!$A$1:$B$255,2,0))</f>
        <v>BOCA EN BOCA</v>
      </c>
      <c r="S779" s="7">
        <f t="shared" si="1"/>
        <v>2024</v>
      </c>
      <c r="T779" s="7">
        <f t="shared" si="2"/>
        <v>11</v>
      </c>
    </row>
    <row r="780">
      <c r="A780" s="4">
        <v>45622.583672256944</v>
      </c>
      <c r="B780" s="3" t="s">
        <v>2134</v>
      </c>
      <c r="C780" s="3" t="s">
        <v>1241</v>
      </c>
      <c r="D780" s="3" t="s">
        <v>2135</v>
      </c>
      <c r="E780" s="5">
        <v>34513.0</v>
      </c>
      <c r="F780" s="3">
        <v>3.8331162E7</v>
      </c>
      <c r="G780" s="3">
        <v>3.512592059E9</v>
      </c>
      <c r="H780" s="3" t="s">
        <v>44</v>
      </c>
      <c r="I780" s="3" t="s">
        <v>28</v>
      </c>
      <c r="K780" s="3" t="s">
        <v>1132</v>
      </c>
      <c r="L780" s="3" t="s">
        <v>1133</v>
      </c>
      <c r="M780" s="3" t="s">
        <v>1134</v>
      </c>
      <c r="R780" s="7" t="str">
        <f>IF(H780="","",VLOOKUP(H780,'Hoja 9'!$A$1:$B$255,2,0))</f>
        <v>GIMNASIO</v>
      </c>
      <c r="S780" s="7">
        <f t="shared" si="1"/>
        <v>2024</v>
      </c>
      <c r="T780" s="7">
        <f t="shared" si="2"/>
        <v>11</v>
      </c>
    </row>
    <row r="781">
      <c r="A781" s="4">
        <v>45622.769652939816</v>
      </c>
      <c r="B781" s="3" t="s">
        <v>2136</v>
      </c>
      <c r="C781" s="3" t="s">
        <v>175</v>
      </c>
      <c r="E781" s="5">
        <v>27495.0</v>
      </c>
      <c r="F781" s="3">
        <v>2.4385318E7</v>
      </c>
      <c r="G781" s="3">
        <v>3.515990795E9</v>
      </c>
      <c r="H781" s="3" t="s">
        <v>27</v>
      </c>
      <c r="I781" s="3" t="s">
        <v>28</v>
      </c>
      <c r="K781" s="3" t="s">
        <v>1145</v>
      </c>
      <c r="R781" s="7" t="str">
        <f>IF(H781="","",VLOOKUP(H781,'Hoja 9'!$A$1:$B$255,2,0))</f>
        <v>BOCA EN BOCA</v>
      </c>
      <c r="S781" s="7">
        <f t="shared" si="1"/>
        <v>2024</v>
      </c>
      <c r="T781" s="7">
        <f t="shared" si="2"/>
        <v>11</v>
      </c>
    </row>
    <row r="782">
      <c r="A782" s="4">
        <v>45622.770108020835</v>
      </c>
      <c r="B782" s="3" t="s">
        <v>2137</v>
      </c>
      <c r="C782" s="3" t="s">
        <v>1981</v>
      </c>
      <c r="D782" s="3" t="s">
        <v>2138</v>
      </c>
      <c r="E782" s="5">
        <v>37497.0</v>
      </c>
      <c r="F782" s="3">
        <v>4.434615E7</v>
      </c>
      <c r="G782" s="3">
        <v>3.517570132E9</v>
      </c>
      <c r="H782" s="3" t="s">
        <v>44</v>
      </c>
      <c r="I782" s="3" t="s">
        <v>22</v>
      </c>
      <c r="K782" s="3" t="s">
        <v>1132</v>
      </c>
      <c r="L782" s="3" t="s">
        <v>1133</v>
      </c>
      <c r="M782" s="3" t="s">
        <v>1134</v>
      </c>
      <c r="O782" s="3" t="s">
        <v>149</v>
      </c>
      <c r="R782" s="7" t="str">
        <f>IF(H782="","",VLOOKUP(H782,'Hoja 9'!$A$1:$B$255,2,0))</f>
        <v>GIMNASIO</v>
      </c>
      <c r="S782" s="7">
        <f t="shared" si="1"/>
        <v>2024</v>
      </c>
      <c r="T782" s="7">
        <f t="shared" si="2"/>
        <v>11</v>
      </c>
    </row>
    <row r="783">
      <c r="A783" s="4">
        <v>45622.78752197917</v>
      </c>
      <c r="B783" s="3" t="s">
        <v>376</v>
      </c>
      <c r="C783" s="3" t="s">
        <v>2139</v>
      </c>
      <c r="D783" s="3" t="s">
        <v>2140</v>
      </c>
      <c r="E783" s="5">
        <v>29043.0</v>
      </c>
      <c r="F783" s="3">
        <v>2.7546046E7</v>
      </c>
      <c r="G783" s="3">
        <v>3.512606579E9</v>
      </c>
      <c r="H783" s="3" t="s">
        <v>339</v>
      </c>
      <c r="I783" s="3" t="s">
        <v>28</v>
      </c>
      <c r="K783" s="3" t="s">
        <v>1132</v>
      </c>
      <c r="L783" s="3" t="s">
        <v>1300</v>
      </c>
      <c r="M783" s="3" t="s">
        <v>1137</v>
      </c>
      <c r="R783" s="7" t="str">
        <f>IF(H783="","",VLOOKUP(H783,'Hoja 9'!$A$1:$B$255,2,0))</f>
        <v>META</v>
      </c>
      <c r="S783" s="7">
        <f t="shared" si="1"/>
        <v>2024</v>
      </c>
      <c r="T783" s="7">
        <f t="shared" si="2"/>
        <v>11</v>
      </c>
    </row>
    <row r="784">
      <c r="A784" s="4">
        <v>45623.74120827546</v>
      </c>
      <c r="B784" s="3" t="s">
        <v>1784</v>
      </c>
      <c r="C784" s="3" t="s">
        <v>1886</v>
      </c>
      <c r="D784" s="3" t="s">
        <v>2141</v>
      </c>
      <c r="E784" s="5">
        <v>25470.0</v>
      </c>
      <c r="F784" s="3">
        <v>2.0998074E7</v>
      </c>
      <c r="G784" s="3">
        <v>3.515932389E9</v>
      </c>
      <c r="H784" s="3" t="s">
        <v>44</v>
      </c>
      <c r="I784" s="3" t="s">
        <v>22</v>
      </c>
      <c r="K784" s="3" t="s">
        <v>1132</v>
      </c>
      <c r="L784" s="3" t="s">
        <v>2142</v>
      </c>
      <c r="M784" s="3" t="s">
        <v>1134</v>
      </c>
      <c r="O784" s="3" t="s">
        <v>2143</v>
      </c>
      <c r="R784" s="7" t="str">
        <f>IF(H784="","",VLOOKUP(H784,'Hoja 9'!$A$1:$B$255,2,0))</f>
        <v>GIMNASIO</v>
      </c>
      <c r="S784" s="7">
        <f t="shared" si="1"/>
        <v>2024</v>
      </c>
      <c r="T784" s="7">
        <f t="shared" si="2"/>
        <v>11</v>
      </c>
    </row>
    <row r="785">
      <c r="A785" s="4">
        <v>45624.35528481481</v>
      </c>
      <c r="B785" s="3" t="s">
        <v>2144</v>
      </c>
      <c r="C785" s="3" t="s">
        <v>1413</v>
      </c>
      <c r="D785" s="3" t="s">
        <v>2145</v>
      </c>
      <c r="E785" s="5">
        <v>34078.0</v>
      </c>
      <c r="F785" s="3">
        <v>3.7476222E7</v>
      </c>
      <c r="G785" s="3">
        <v>3.515293085E9</v>
      </c>
      <c r="H785" s="3" t="s">
        <v>21</v>
      </c>
      <c r="I785" s="3" t="s">
        <v>22</v>
      </c>
      <c r="K785" s="3" t="s">
        <v>1145</v>
      </c>
      <c r="O785" s="3" t="s">
        <v>68</v>
      </c>
      <c r="R785" s="7" t="str">
        <f>IF(H785="","",VLOOKUP(H785,'Hoja 9'!$A$1:$B$255,2,0))</f>
        <v>GOOGLE</v>
      </c>
      <c r="S785" s="7">
        <f t="shared" si="1"/>
        <v>2024</v>
      </c>
      <c r="T785" s="7">
        <f t="shared" si="2"/>
        <v>11</v>
      </c>
    </row>
    <row r="786">
      <c r="A786" s="4">
        <v>45624.51729928241</v>
      </c>
      <c r="B786" s="3" t="s">
        <v>2146</v>
      </c>
      <c r="C786" s="3" t="s">
        <v>2147</v>
      </c>
      <c r="D786" s="3" t="s">
        <v>2148</v>
      </c>
      <c r="E786" s="5">
        <v>13386.0</v>
      </c>
      <c r="F786" s="3">
        <v>6496932.0</v>
      </c>
      <c r="G786" s="3">
        <v>3.512072926E9</v>
      </c>
      <c r="H786" s="3" t="s">
        <v>27</v>
      </c>
      <c r="I786" s="3" t="s">
        <v>28</v>
      </c>
      <c r="K786" s="3" t="s">
        <v>1132</v>
      </c>
      <c r="L786" s="3" t="s">
        <v>2149</v>
      </c>
      <c r="M786" s="3" t="s">
        <v>1134</v>
      </c>
      <c r="R786" s="7" t="str">
        <f>IF(H786="","",VLOOKUP(H786,'Hoja 9'!$A$1:$B$255,2,0))</f>
        <v>BOCA EN BOCA</v>
      </c>
      <c r="S786" s="7">
        <f t="shared" si="1"/>
        <v>2024</v>
      </c>
      <c r="T786" s="7">
        <f t="shared" si="2"/>
        <v>11</v>
      </c>
    </row>
    <row r="787">
      <c r="A787" s="4">
        <v>45625.418358043986</v>
      </c>
      <c r="B787" s="3" t="s">
        <v>2150</v>
      </c>
      <c r="C787" s="3" t="s">
        <v>1074</v>
      </c>
      <c r="D787" s="3" t="s">
        <v>2151</v>
      </c>
      <c r="E787" s="5">
        <v>29380.0</v>
      </c>
      <c r="F787" s="3">
        <v>2.811739E7</v>
      </c>
      <c r="G787" s="3">
        <v>3.51560046E9</v>
      </c>
      <c r="H787" s="3" t="s">
        <v>27</v>
      </c>
      <c r="I787" s="3" t="s">
        <v>22</v>
      </c>
      <c r="K787" s="3" t="s">
        <v>1132</v>
      </c>
      <c r="L787" s="3" t="s">
        <v>1136</v>
      </c>
      <c r="M787" s="3" t="s">
        <v>1134</v>
      </c>
      <c r="O787" s="3" t="s">
        <v>72</v>
      </c>
      <c r="R787" s="7" t="str">
        <f>IF(H787="","",VLOOKUP(H787,'Hoja 9'!$A$1:$B$255,2,0))</f>
        <v>BOCA EN BOCA</v>
      </c>
      <c r="S787" s="7">
        <f t="shared" si="1"/>
        <v>2024</v>
      </c>
      <c r="T787" s="7">
        <f t="shared" si="2"/>
        <v>11</v>
      </c>
    </row>
    <row r="788">
      <c r="A788" s="4">
        <v>45625.51721197917</v>
      </c>
      <c r="B788" s="3" t="s">
        <v>2152</v>
      </c>
      <c r="C788" s="3" t="s">
        <v>2153</v>
      </c>
      <c r="D788" s="3" t="s">
        <v>2154</v>
      </c>
      <c r="E788" s="5">
        <v>29193.0</v>
      </c>
      <c r="F788" s="3">
        <v>2.7445405E7</v>
      </c>
      <c r="G788" s="3">
        <v>3.512319518E9</v>
      </c>
      <c r="H788" s="3" t="s">
        <v>27</v>
      </c>
      <c r="I788" s="3" t="s">
        <v>22</v>
      </c>
      <c r="K788" s="3" t="s">
        <v>1132</v>
      </c>
      <c r="L788" s="3" t="s">
        <v>1401</v>
      </c>
      <c r="M788" s="3" t="s">
        <v>1134</v>
      </c>
      <c r="O788" s="3" t="s">
        <v>23</v>
      </c>
      <c r="R788" s="7" t="str">
        <f>IF(H788="","",VLOOKUP(H788,'Hoja 9'!$A$1:$B$255,2,0))</f>
        <v>BOCA EN BOCA</v>
      </c>
      <c r="S788" s="7">
        <f t="shared" si="1"/>
        <v>2024</v>
      </c>
      <c r="T788" s="7">
        <f t="shared" si="2"/>
        <v>11</v>
      </c>
    </row>
    <row r="789">
      <c r="A789" s="4">
        <v>45628.509041412035</v>
      </c>
      <c r="B789" s="3" t="s">
        <v>2155</v>
      </c>
      <c r="C789" s="3" t="s">
        <v>2156</v>
      </c>
      <c r="E789" s="5">
        <v>18507.0</v>
      </c>
      <c r="F789" s="3">
        <v>6204156.0</v>
      </c>
      <c r="G789" s="3">
        <v>3.514771372E9</v>
      </c>
      <c r="H789" s="3" t="s">
        <v>27</v>
      </c>
      <c r="I789" s="3" t="s">
        <v>28</v>
      </c>
      <c r="K789" s="3" t="s">
        <v>1145</v>
      </c>
      <c r="R789" s="7" t="str">
        <f>IF(H789="","",VLOOKUP(H789,'Hoja 9'!$A$1:$B$255,2,0))</f>
        <v>BOCA EN BOCA</v>
      </c>
      <c r="S789" s="7">
        <f t="shared" si="1"/>
        <v>2024</v>
      </c>
      <c r="T789" s="7">
        <f t="shared" si="2"/>
        <v>12</v>
      </c>
    </row>
    <row r="790">
      <c r="A790" s="4">
        <v>45630.34583914352</v>
      </c>
      <c r="B790" s="3" t="s">
        <v>2157</v>
      </c>
      <c r="C790" s="3" t="s">
        <v>2158</v>
      </c>
      <c r="D790" s="3" t="s">
        <v>2159</v>
      </c>
      <c r="E790" s="5">
        <v>24937.0</v>
      </c>
      <c r="F790" s="3">
        <v>2.0268672E7</v>
      </c>
      <c r="G790" s="3">
        <v>3.515113925E9</v>
      </c>
      <c r="H790" s="3" t="s">
        <v>2160</v>
      </c>
      <c r="I790" s="3" t="s">
        <v>22</v>
      </c>
      <c r="K790" s="3" t="s">
        <v>1132</v>
      </c>
      <c r="L790" s="3" t="s">
        <v>1404</v>
      </c>
      <c r="M790" s="3" t="s">
        <v>1134</v>
      </c>
      <c r="O790" s="3" t="s">
        <v>2161</v>
      </c>
      <c r="R790" s="7" t="str">
        <f>IF(H790="","",VLOOKUP(H790,'Hoja 9'!$A$1:$B$255,2,0))</f>
        <v>BOCA EN BOCA</v>
      </c>
      <c r="S790" s="7">
        <f t="shared" si="1"/>
        <v>2024</v>
      </c>
      <c r="T790" s="7">
        <f t="shared" si="2"/>
        <v>12</v>
      </c>
    </row>
    <row r="791">
      <c r="A791" s="4">
        <v>45630.68122916667</v>
      </c>
      <c r="B791" s="3" t="s">
        <v>2162</v>
      </c>
      <c r="C791" s="3" t="s">
        <v>1730</v>
      </c>
      <c r="E791" s="5">
        <v>27946.0</v>
      </c>
      <c r="F791" s="3">
        <v>2.5288236E7</v>
      </c>
      <c r="G791" s="3">
        <v>3.454010455E9</v>
      </c>
      <c r="H791" s="3" t="s">
        <v>27</v>
      </c>
      <c r="I791" s="3" t="s">
        <v>28</v>
      </c>
      <c r="K791" s="3" t="s">
        <v>1132</v>
      </c>
      <c r="M791" s="3" t="s">
        <v>1134</v>
      </c>
      <c r="R791" s="7" t="str">
        <f>IF(H791="","",VLOOKUP(H791,'Hoja 9'!$A$1:$B$255,2,0))</f>
        <v>BOCA EN BOCA</v>
      </c>
      <c r="S791" s="7">
        <f t="shared" si="1"/>
        <v>2024</v>
      </c>
      <c r="T791" s="7">
        <f t="shared" si="2"/>
        <v>12</v>
      </c>
    </row>
    <row r="792">
      <c r="A792" s="4">
        <v>45631.54479418982</v>
      </c>
      <c r="B792" s="3" t="s">
        <v>2163</v>
      </c>
      <c r="C792" s="3" t="s">
        <v>2164</v>
      </c>
      <c r="D792" s="3" t="s">
        <v>2165</v>
      </c>
      <c r="E792" s="5">
        <v>22327.0</v>
      </c>
      <c r="F792" s="3">
        <v>9.6372555E7</v>
      </c>
      <c r="G792" s="3">
        <v>3.512135972E9</v>
      </c>
      <c r="H792" s="3" t="s">
        <v>21</v>
      </c>
      <c r="I792" s="3" t="s">
        <v>28</v>
      </c>
      <c r="K792" s="3" t="s">
        <v>1132</v>
      </c>
      <c r="L792" s="3" t="s">
        <v>1492</v>
      </c>
      <c r="M792" s="3" t="s">
        <v>1137</v>
      </c>
      <c r="R792" s="7" t="str">
        <f>IF(H792="","",VLOOKUP(H792,'Hoja 9'!$A$1:$B$255,2,0))</f>
        <v>GOOGLE</v>
      </c>
      <c r="S792" s="7">
        <f t="shared" si="1"/>
        <v>2024</v>
      </c>
      <c r="T792" s="7">
        <f t="shared" si="2"/>
        <v>12</v>
      </c>
    </row>
    <row r="793">
      <c r="A793" s="4">
        <v>45631.63436334491</v>
      </c>
      <c r="B793" s="3" t="s">
        <v>91</v>
      </c>
      <c r="C793" s="3" t="s">
        <v>2166</v>
      </c>
      <c r="D793" s="3" t="s">
        <v>2167</v>
      </c>
      <c r="E793" s="5">
        <v>34175.0</v>
      </c>
      <c r="F793" s="3">
        <v>3.7820795E7</v>
      </c>
      <c r="G793" s="3">
        <v>3.516338709E9</v>
      </c>
      <c r="H793" s="3" t="s">
        <v>2168</v>
      </c>
      <c r="I793" s="3" t="s">
        <v>28</v>
      </c>
      <c r="K793" s="3" t="s">
        <v>1132</v>
      </c>
      <c r="L793" s="3" t="s">
        <v>1136</v>
      </c>
      <c r="M793" s="3" t="s">
        <v>1134</v>
      </c>
      <c r="R793" s="7" t="str">
        <f>IF(H793="","",VLOOKUP(H793,'Hoja 9'!$A$1:$B$255,2,0))</f>
        <v>BOCA EN BOCA</v>
      </c>
      <c r="S793" s="7">
        <f t="shared" si="1"/>
        <v>2024</v>
      </c>
      <c r="T793" s="7">
        <f t="shared" si="2"/>
        <v>12</v>
      </c>
    </row>
    <row r="794">
      <c r="A794" s="4">
        <v>45634.820822650465</v>
      </c>
      <c r="B794" s="3" t="s">
        <v>2169</v>
      </c>
      <c r="C794" s="3" t="s">
        <v>2170</v>
      </c>
      <c r="D794" s="3" t="s">
        <v>2171</v>
      </c>
      <c r="E794" s="5">
        <v>30981.0</v>
      </c>
      <c r="F794" s="3">
        <v>3.10581E7</v>
      </c>
      <c r="G794" s="3">
        <v>3.516606695E9</v>
      </c>
      <c r="H794" s="3" t="s">
        <v>339</v>
      </c>
      <c r="I794" s="3" t="s">
        <v>28</v>
      </c>
      <c r="K794" s="3" t="s">
        <v>1132</v>
      </c>
      <c r="L794" s="3" t="s">
        <v>1136</v>
      </c>
      <c r="M794" s="3" t="s">
        <v>1134</v>
      </c>
      <c r="R794" s="7" t="str">
        <f>IF(H794="","",VLOOKUP(H794,'Hoja 9'!$A$1:$B$255,2,0))</f>
        <v>META</v>
      </c>
      <c r="S794" s="7">
        <f t="shared" si="1"/>
        <v>2024</v>
      </c>
      <c r="T794" s="7">
        <f t="shared" si="2"/>
        <v>12</v>
      </c>
    </row>
    <row r="795">
      <c r="A795" s="4">
        <v>45635.44894149306</v>
      </c>
      <c r="B795" s="3" t="s">
        <v>2172</v>
      </c>
      <c r="C795" s="3" t="s">
        <v>584</v>
      </c>
      <c r="D795" s="3" t="s">
        <v>2173</v>
      </c>
      <c r="E795" s="5">
        <v>29364.0</v>
      </c>
      <c r="F795" s="3">
        <v>2.8116252E7</v>
      </c>
      <c r="G795" s="3" t="s">
        <v>2174</v>
      </c>
      <c r="H795" s="3" t="s">
        <v>44</v>
      </c>
      <c r="I795" s="3" t="s">
        <v>28</v>
      </c>
      <c r="K795" s="3" t="s">
        <v>1132</v>
      </c>
      <c r="L795" s="3" t="s">
        <v>1133</v>
      </c>
      <c r="M795" s="3" t="s">
        <v>1137</v>
      </c>
      <c r="R795" s="7" t="str">
        <f>IF(H795="","",VLOOKUP(H795,'Hoja 9'!$A$1:$B$255,2,0))</f>
        <v>GIMNASIO</v>
      </c>
      <c r="S795" s="7">
        <f t="shared" si="1"/>
        <v>2024</v>
      </c>
      <c r="T795" s="7">
        <f t="shared" si="2"/>
        <v>12</v>
      </c>
    </row>
    <row r="796">
      <c r="A796" s="4">
        <v>45635.65956346065</v>
      </c>
      <c r="B796" s="3" t="s">
        <v>2175</v>
      </c>
      <c r="C796" s="3" t="s">
        <v>2176</v>
      </c>
      <c r="D796" s="3" t="s">
        <v>2177</v>
      </c>
      <c r="E796" s="5">
        <v>20514.0</v>
      </c>
      <c r="F796" s="3">
        <v>1.2245397E7</v>
      </c>
      <c r="G796" s="3">
        <v>3.512366066E9</v>
      </c>
      <c r="H796" s="3" t="s">
        <v>27</v>
      </c>
      <c r="I796" s="3" t="s">
        <v>22</v>
      </c>
      <c r="K796" s="3" t="s">
        <v>1132</v>
      </c>
      <c r="L796" s="3" t="s">
        <v>2178</v>
      </c>
      <c r="M796" s="3" t="s">
        <v>1137</v>
      </c>
      <c r="O796" s="3" t="s">
        <v>23</v>
      </c>
      <c r="R796" s="7" t="str">
        <f>IF(H796="","",VLOOKUP(H796,'Hoja 9'!$A$1:$B$255,2,0))</f>
        <v>BOCA EN BOCA</v>
      </c>
      <c r="S796" s="7">
        <f t="shared" si="1"/>
        <v>2024</v>
      </c>
      <c r="T796" s="7">
        <f t="shared" si="2"/>
        <v>12</v>
      </c>
    </row>
    <row r="797">
      <c r="A797" s="4">
        <v>45635.789426655094</v>
      </c>
      <c r="B797" s="3" t="s">
        <v>2179</v>
      </c>
      <c r="C797" s="3" t="s">
        <v>241</v>
      </c>
      <c r="D797" s="3" t="s">
        <v>2180</v>
      </c>
      <c r="E797" s="5">
        <v>27445.0</v>
      </c>
      <c r="F797" s="3">
        <v>2.4318363E7</v>
      </c>
      <c r="G797" s="3">
        <v>3.516191977E9</v>
      </c>
      <c r="H797" s="3" t="s">
        <v>148</v>
      </c>
      <c r="I797" s="3" t="s">
        <v>22</v>
      </c>
      <c r="K797" s="3" t="s">
        <v>1145</v>
      </c>
      <c r="O797" s="3" t="s">
        <v>831</v>
      </c>
      <c r="R797" s="7" t="str">
        <f>IF(H797="","",VLOOKUP(H797,'Hoja 9'!$A$1:$B$255,2,0))</f>
        <v>OBRA SOCIAL</v>
      </c>
      <c r="S797" s="7">
        <f t="shared" si="1"/>
        <v>2024</v>
      </c>
      <c r="T797" s="7">
        <f t="shared" si="2"/>
        <v>12</v>
      </c>
    </row>
    <row r="798">
      <c r="A798" s="4">
        <v>45635.79125086806</v>
      </c>
      <c r="B798" s="3" t="s">
        <v>2179</v>
      </c>
      <c r="C798" s="3" t="s">
        <v>1473</v>
      </c>
      <c r="D798" s="3" t="s">
        <v>2181</v>
      </c>
      <c r="E798" s="5">
        <v>27445.0</v>
      </c>
      <c r="F798" s="3">
        <v>2.4318363E7</v>
      </c>
      <c r="G798" s="3">
        <v>3.516191977E9</v>
      </c>
      <c r="H798" s="3" t="s">
        <v>148</v>
      </c>
      <c r="I798" s="3" t="s">
        <v>22</v>
      </c>
      <c r="K798" s="3" t="s">
        <v>1145</v>
      </c>
      <c r="O798" s="3" t="s">
        <v>831</v>
      </c>
      <c r="R798" s="7" t="str">
        <f>IF(H798="","",VLOOKUP(H798,'Hoja 9'!$A$1:$B$255,2,0))</f>
        <v>OBRA SOCIAL</v>
      </c>
      <c r="S798" s="7">
        <f t="shared" si="1"/>
        <v>2024</v>
      </c>
      <c r="T798" s="7">
        <f t="shared" si="2"/>
        <v>12</v>
      </c>
    </row>
    <row r="799">
      <c r="A799" s="4">
        <v>45636.44899597223</v>
      </c>
      <c r="B799" s="3" t="s">
        <v>2182</v>
      </c>
      <c r="C799" s="3" t="s">
        <v>420</v>
      </c>
      <c r="D799" s="3" t="s">
        <v>2183</v>
      </c>
      <c r="E799" s="5">
        <v>29748.0</v>
      </c>
      <c r="F799" s="3">
        <v>2.8850674E7</v>
      </c>
      <c r="G799" s="3">
        <v>3.516778033E9</v>
      </c>
      <c r="H799" s="3" t="s">
        <v>2184</v>
      </c>
      <c r="I799" s="3" t="s">
        <v>22</v>
      </c>
      <c r="K799" s="3" t="s">
        <v>1132</v>
      </c>
      <c r="L799" s="3" t="s">
        <v>1404</v>
      </c>
      <c r="M799" s="3" t="s">
        <v>1134</v>
      </c>
      <c r="O799" s="3" t="s">
        <v>58</v>
      </c>
      <c r="R799" s="7" t="str">
        <f>IF(H799="","",VLOOKUP(H799,'Hoja 9'!$A$1:$B$255,2,0))</f>
        <v>GIMNASIO</v>
      </c>
      <c r="S799" s="7">
        <f t="shared" si="1"/>
        <v>2024</v>
      </c>
      <c r="T799" s="7">
        <f t="shared" si="2"/>
        <v>12</v>
      </c>
    </row>
    <row r="800">
      <c r="A800" s="4">
        <v>45636.466414780094</v>
      </c>
      <c r="B800" s="3" t="s">
        <v>2185</v>
      </c>
      <c r="C800" s="3" t="s">
        <v>2186</v>
      </c>
      <c r="D800" s="3" t="s">
        <v>2187</v>
      </c>
      <c r="E800" s="5">
        <v>30736.0</v>
      </c>
      <c r="F800" s="3">
        <v>3.0846039E7</v>
      </c>
      <c r="G800" s="3">
        <v>3.513974867E9</v>
      </c>
      <c r="H800" s="3" t="s">
        <v>2188</v>
      </c>
      <c r="I800" s="3" t="s">
        <v>22</v>
      </c>
      <c r="K800" s="3" t="s">
        <v>1132</v>
      </c>
      <c r="L800" s="3" t="s">
        <v>1133</v>
      </c>
      <c r="M800" s="3" t="s">
        <v>1134</v>
      </c>
      <c r="O800" s="3" t="s">
        <v>2189</v>
      </c>
      <c r="R800" s="7" t="str">
        <f>IF(H800="","",VLOOKUP(H800,'Hoja 9'!$A$1:$B$255,2,0))</f>
        <v>BOCA EN BOCA</v>
      </c>
      <c r="S800" s="7">
        <f t="shared" si="1"/>
        <v>2024</v>
      </c>
      <c r="T800" s="7">
        <f t="shared" si="2"/>
        <v>12</v>
      </c>
    </row>
    <row r="801">
      <c r="A801" s="4">
        <v>45636.467267685184</v>
      </c>
      <c r="B801" s="3" t="s">
        <v>2190</v>
      </c>
      <c r="C801" s="3" t="s">
        <v>867</v>
      </c>
      <c r="D801" s="3" t="s">
        <v>2191</v>
      </c>
      <c r="E801" s="5">
        <v>35783.0</v>
      </c>
      <c r="F801" s="3">
        <v>4.075069E7</v>
      </c>
      <c r="G801" s="3">
        <v>3.515317299E9</v>
      </c>
      <c r="H801" s="3" t="s">
        <v>27</v>
      </c>
      <c r="I801" s="3" t="s">
        <v>28</v>
      </c>
      <c r="K801" s="3" t="s">
        <v>1132</v>
      </c>
      <c r="L801" s="3" t="s">
        <v>1136</v>
      </c>
      <c r="M801" s="3" t="s">
        <v>1134</v>
      </c>
      <c r="R801" s="7" t="str">
        <f>IF(H801="","",VLOOKUP(H801,'Hoja 9'!$A$1:$B$255,2,0))</f>
        <v>BOCA EN BOCA</v>
      </c>
      <c r="S801" s="7">
        <f t="shared" si="1"/>
        <v>2024</v>
      </c>
      <c r="T801" s="7">
        <f t="shared" si="2"/>
        <v>12</v>
      </c>
    </row>
    <row r="802">
      <c r="A802" s="4">
        <v>45638.64498646991</v>
      </c>
      <c r="B802" s="3" t="s">
        <v>2192</v>
      </c>
      <c r="C802" s="3" t="s">
        <v>727</v>
      </c>
      <c r="D802" s="3" t="s">
        <v>2193</v>
      </c>
      <c r="E802" s="5">
        <v>35829.0</v>
      </c>
      <c r="F802" s="3">
        <v>4.0940539E7</v>
      </c>
      <c r="G802" s="3">
        <v>2.645155548E9</v>
      </c>
      <c r="H802" s="3" t="s">
        <v>21</v>
      </c>
      <c r="I802" s="3" t="s">
        <v>22</v>
      </c>
      <c r="K802" s="3" t="s">
        <v>1132</v>
      </c>
      <c r="L802" s="3" t="s">
        <v>2194</v>
      </c>
      <c r="M802" s="3" t="s">
        <v>1134</v>
      </c>
      <c r="O802" s="3" t="s">
        <v>287</v>
      </c>
      <c r="R802" s="7" t="str">
        <f>IF(H802="","",VLOOKUP(H802,'Hoja 9'!$A$1:$B$255,2,0))</f>
        <v>GOOGLE</v>
      </c>
      <c r="S802" s="7">
        <f t="shared" si="1"/>
        <v>2024</v>
      </c>
      <c r="T802" s="7">
        <f t="shared" si="2"/>
        <v>12</v>
      </c>
    </row>
    <row r="803">
      <c r="A803" s="4">
        <v>45642.82413304398</v>
      </c>
      <c r="B803" s="3" t="s">
        <v>2195</v>
      </c>
      <c r="C803" s="3" t="s">
        <v>1181</v>
      </c>
      <c r="D803" s="3" t="s">
        <v>2196</v>
      </c>
      <c r="E803" s="5">
        <v>26151.0</v>
      </c>
      <c r="F803" s="3">
        <v>2.191291E7</v>
      </c>
      <c r="G803" s="3">
        <v>3.515281211E9</v>
      </c>
      <c r="H803" s="3" t="s">
        <v>27</v>
      </c>
      <c r="I803" s="3" t="s">
        <v>22</v>
      </c>
      <c r="K803" s="3" t="s">
        <v>1145</v>
      </c>
      <c r="O803" s="3" t="s">
        <v>72</v>
      </c>
      <c r="R803" s="7" t="str">
        <f>IF(H803="","",VLOOKUP(H803,'Hoja 9'!$A$1:$B$255,2,0))</f>
        <v>BOCA EN BOCA</v>
      </c>
      <c r="S803" s="7">
        <f t="shared" si="1"/>
        <v>2024</v>
      </c>
      <c r="T803" s="7">
        <f t="shared" si="2"/>
        <v>12</v>
      </c>
    </row>
    <row r="804">
      <c r="A804" s="4">
        <v>45643.76677138889</v>
      </c>
      <c r="B804" s="3" t="s">
        <v>2128</v>
      </c>
      <c r="C804" s="3" t="s">
        <v>513</v>
      </c>
      <c r="E804" s="5">
        <v>30520.0</v>
      </c>
      <c r="F804" s="3">
        <v>3.0272221E7</v>
      </c>
      <c r="G804" s="3">
        <v>3.51510907E9</v>
      </c>
      <c r="H804" s="3" t="s">
        <v>27</v>
      </c>
      <c r="I804" s="3" t="s">
        <v>28</v>
      </c>
      <c r="K804" s="3" t="s">
        <v>1132</v>
      </c>
      <c r="L804" s="3" t="s">
        <v>1133</v>
      </c>
      <c r="M804" s="3" t="s">
        <v>1134</v>
      </c>
      <c r="R804" s="7" t="str">
        <f>IF(H804="","",VLOOKUP(H804,'Hoja 9'!$A$1:$B$255,2,0))</f>
        <v>BOCA EN BOCA</v>
      </c>
      <c r="S804" s="7">
        <f t="shared" si="1"/>
        <v>2024</v>
      </c>
      <c r="T804" s="7">
        <f t="shared" si="2"/>
        <v>12</v>
      </c>
    </row>
    <row r="805">
      <c r="A805" s="4">
        <v>45644.51095445602</v>
      </c>
      <c r="B805" s="3" t="s">
        <v>1164</v>
      </c>
      <c r="C805" s="3" t="s">
        <v>2197</v>
      </c>
      <c r="E805" s="5">
        <v>27950.0</v>
      </c>
      <c r="F805" s="3">
        <v>2.5170473E7</v>
      </c>
      <c r="G805" s="3">
        <v>3.472438312E9</v>
      </c>
      <c r="H805" s="3" t="s">
        <v>27</v>
      </c>
      <c r="I805" s="3" t="s">
        <v>22</v>
      </c>
      <c r="K805" s="3" t="s">
        <v>1132</v>
      </c>
      <c r="M805" s="3" t="s">
        <v>1137</v>
      </c>
      <c r="O805" s="3" t="s">
        <v>149</v>
      </c>
      <c r="R805" s="7" t="str">
        <f>IF(H805="","",VLOOKUP(H805,'Hoja 9'!$A$1:$B$255,2,0))</f>
        <v>BOCA EN BOCA</v>
      </c>
      <c r="S805" s="7">
        <f t="shared" si="1"/>
        <v>2024</v>
      </c>
      <c r="T805" s="7">
        <f t="shared" si="2"/>
        <v>12</v>
      </c>
    </row>
    <row r="806">
      <c r="A806" s="4">
        <v>45644.69060074074</v>
      </c>
      <c r="B806" s="3" t="s">
        <v>2198</v>
      </c>
      <c r="C806" s="3" t="s">
        <v>84</v>
      </c>
      <c r="D806" s="3" t="s">
        <v>2199</v>
      </c>
      <c r="E806" s="5">
        <v>15935.0</v>
      </c>
      <c r="F806" s="3">
        <v>4788714.0</v>
      </c>
      <c r="G806" s="3">
        <v>3.517020966E9</v>
      </c>
      <c r="H806" s="3" t="s">
        <v>27</v>
      </c>
      <c r="I806" s="3" t="s">
        <v>28</v>
      </c>
      <c r="K806" s="3" t="s">
        <v>1132</v>
      </c>
      <c r="L806" s="3" t="s">
        <v>1282</v>
      </c>
      <c r="M806" s="3" t="s">
        <v>1137</v>
      </c>
      <c r="R806" s="7" t="str">
        <f>IF(H806="","",VLOOKUP(H806,'Hoja 9'!$A$1:$B$255,2,0))</f>
        <v>BOCA EN BOCA</v>
      </c>
      <c r="S806" s="7">
        <f t="shared" si="1"/>
        <v>2024</v>
      </c>
      <c r="T806" s="7">
        <f t="shared" si="2"/>
        <v>12</v>
      </c>
    </row>
    <row r="807">
      <c r="A807" s="4">
        <v>45644.741267881946</v>
      </c>
      <c r="B807" s="3" t="s">
        <v>2200</v>
      </c>
      <c r="C807" s="3" t="s">
        <v>239</v>
      </c>
      <c r="D807" s="3" t="s">
        <v>421</v>
      </c>
      <c r="E807" s="5">
        <v>29361.0</v>
      </c>
      <c r="F807" s="3">
        <v>2.8112846E7</v>
      </c>
      <c r="G807" s="3">
        <v>3.516617833E9</v>
      </c>
      <c r="H807" s="3" t="s">
        <v>44</v>
      </c>
      <c r="I807" s="3" t="s">
        <v>28</v>
      </c>
      <c r="K807" s="3" t="s">
        <v>1132</v>
      </c>
      <c r="L807" s="3" t="s">
        <v>2201</v>
      </c>
      <c r="M807" s="3" t="s">
        <v>1134</v>
      </c>
      <c r="R807" s="7" t="str">
        <f>IF(H807="","",VLOOKUP(H807,'Hoja 9'!$A$1:$B$255,2,0))</f>
        <v>GIMNASIO</v>
      </c>
      <c r="S807" s="7">
        <f t="shared" si="1"/>
        <v>2024</v>
      </c>
      <c r="T807" s="7">
        <f t="shared" si="2"/>
        <v>12</v>
      </c>
    </row>
    <row r="808">
      <c r="A808" s="4">
        <v>45644.75151511574</v>
      </c>
      <c r="B808" s="3" t="s">
        <v>2202</v>
      </c>
      <c r="C808" s="3" t="s">
        <v>2203</v>
      </c>
      <c r="D808" s="3" t="s">
        <v>421</v>
      </c>
      <c r="E808" s="5">
        <v>34366.0</v>
      </c>
      <c r="F808" s="3">
        <v>3.8003515E7</v>
      </c>
      <c r="G808" s="3">
        <v>3.517714341E9</v>
      </c>
      <c r="H808" s="3" t="s">
        <v>44</v>
      </c>
      <c r="I808" s="3" t="s">
        <v>28</v>
      </c>
      <c r="K808" s="3" t="s">
        <v>1132</v>
      </c>
      <c r="L808" s="3" t="s">
        <v>1133</v>
      </c>
      <c r="M808" s="3" t="s">
        <v>1134</v>
      </c>
      <c r="R808" s="7" t="str">
        <f>IF(H808="","",VLOOKUP(H808,'Hoja 9'!$A$1:$B$255,2,0))</f>
        <v>GIMNASIO</v>
      </c>
      <c r="S808" s="7">
        <f t="shared" si="1"/>
        <v>2024</v>
      </c>
      <c r="T808" s="7">
        <f t="shared" si="2"/>
        <v>12</v>
      </c>
    </row>
    <row r="809">
      <c r="A809" s="4">
        <v>45644.80594841435</v>
      </c>
      <c r="B809" s="3" t="s">
        <v>2204</v>
      </c>
      <c r="C809" s="3" t="s">
        <v>2205</v>
      </c>
      <c r="D809" s="3" t="s">
        <v>2206</v>
      </c>
      <c r="E809" s="5">
        <v>32746.0</v>
      </c>
      <c r="F809" s="3">
        <v>9.6015767E7</v>
      </c>
      <c r="G809" s="3">
        <v>3.513638954E9</v>
      </c>
      <c r="H809" s="3" t="s">
        <v>27</v>
      </c>
      <c r="I809" s="3" t="s">
        <v>28</v>
      </c>
      <c r="K809" s="3" t="s">
        <v>1132</v>
      </c>
      <c r="L809" s="3" t="s">
        <v>1133</v>
      </c>
      <c r="M809" s="3" t="s">
        <v>1137</v>
      </c>
      <c r="R809" s="7" t="str">
        <f>IF(H809="","",VLOOKUP(H809,'Hoja 9'!$A$1:$B$255,2,0))</f>
        <v>BOCA EN BOCA</v>
      </c>
      <c r="S809" s="7">
        <f t="shared" si="1"/>
        <v>2024</v>
      </c>
      <c r="T809" s="7">
        <f t="shared" si="2"/>
        <v>12</v>
      </c>
    </row>
    <row r="810">
      <c r="A810" s="4">
        <v>45646.44194418981</v>
      </c>
      <c r="B810" s="3" t="s">
        <v>2207</v>
      </c>
      <c r="C810" s="3" t="s">
        <v>2208</v>
      </c>
      <c r="D810" s="3" t="s">
        <v>2209</v>
      </c>
      <c r="E810" s="5">
        <v>45703.0</v>
      </c>
      <c r="F810" s="3">
        <v>3.8106676E7</v>
      </c>
      <c r="G810" s="3">
        <v>3.515177037E9</v>
      </c>
      <c r="H810" s="3" t="s">
        <v>21</v>
      </c>
      <c r="I810" s="3" t="s">
        <v>22</v>
      </c>
      <c r="K810" s="3" t="s">
        <v>1132</v>
      </c>
      <c r="L810" s="3" t="s">
        <v>1133</v>
      </c>
      <c r="M810" s="3" t="s">
        <v>1134</v>
      </c>
      <c r="O810" s="3" t="s">
        <v>72</v>
      </c>
      <c r="R810" s="7" t="str">
        <f>IF(H810="","",VLOOKUP(H810,'Hoja 9'!$A$1:$B$255,2,0))</f>
        <v>GOOGLE</v>
      </c>
      <c r="S810" s="7">
        <f t="shared" si="1"/>
        <v>2024</v>
      </c>
      <c r="T810" s="7">
        <f t="shared" si="2"/>
        <v>12</v>
      </c>
    </row>
    <row r="811">
      <c r="A811" s="4">
        <v>45652.455319699075</v>
      </c>
      <c r="B811" s="3" t="s">
        <v>1405</v>
      </c>
      <c r="C811" s="3" t="s">
        <v>759</v>
      </c>
      <c r="D811" s="3" t="s">
        <v>2210</v>
      </c>
      <c r="E811" s="5">
        <v>38615.0</v>
      </c>
      <c r="F811" s="3">
        <v>4.6223461E7</v>
      </c>
      <c r="G811" s="3">
        <v>3.518153199E9</v>
      </c>
      <c r="H811" s="3" t="s">
        <v>27</v>
      </c>
      <c r="I811" s="3" t="s">
        <v>22</v>
      </c>
      <c r="K811" s="3" t="s">
        <v>1132</v>
      </c>
      <c r="L811" s="3" t="s">
        <v>1422</v>
      </c>
      <c r="M811" s="3" t="s">
        <v>1137</v>
      </c>
      <c r="O811" s="3" t="s">
        <v>72</v>
      </c>
      <c r="R811" s="7" t="str">
        <f>IF(H811="","",VLOOKUP(H811,'Hoja 9'!$A$1:$B$255,2,0))</f>
        <v>BOCA EN BOCA</v>
      </c>
      <c r="S811" s="7">
        <f t="shared" si="1"/>
        <v>2024</v>
      </c>
      <c r="T811" s="7">
        <f t="shared" si="2"/>
        <v>12</v>
      </c>
    </row>
    <row r="812">
      <c r="A812" s="4">
        <v>45652.69289827546</v>
      </c>
      <c r="B812" s="3" t="s">
        <v>2211</v>
      </c>
      <c r="C812" s="3" t="s">
        <v>2212</v>
      </c>
      <c r="D812" s="3" t="s">
        <v>2213</v>
      </c>
      <c r="E812" s="5">
        <v>28994.0</v>
      </c>
      <c r="F812" s="3">
        <v>2.7360627E7</v>
      </c>
      <c r="G812" s="3">
        <v>3.516530441E9</v>
      </c>
      <c r="H812" s="3" t="s">
        <v>27</v>
      </c>
      <c r="I812" s="3" t="s">
        <v>28</v>
      </c>
      <c r="K812" s="3" t="s">
        <v>1145</v>
      </c>
      <c r="R812" s="7" t="str">
        <f>IF(H812="","",VLOOKUP(H812,'Hoja 9'!$A$1:$B$255,2,0))</f>
        <v>BOCA EN BOCA</v>
      </c>
      <c r="S812" s="7">
        <f t="shared" si="1"/>
        <v>2024</v>
      </c>
      <c r="T812" s="7">
        <f t="shared" si="2"/>
        <v>12</v>
      </c>
    </row>
    <row r="813">
      <c r="A813" s="4">
        <v>45652.777062430556</v>
      </c>
      <c r="B813" s="3" t="s">
        <v>1130</v>
      </c>
      <c r="C813" s="3" t="s">
        <v>2214</v>
      </c>
      <c r="D813" s="3" t="s">
        <v>2215</v>
      </c>
      <c r="E813" s="5">
        <v>36992.0</v>
      </c>
      <c r="F813" s="3">
        <v>4.336961E7</v>
      </c>
      <c r="G813" s="3">
        <v>3.512543464E9</v>
      </c>
      <c r="H813" s="3" t="s">
        <v>44</v>
      </c>
      <c r="I813" s="3" t="s">
        <v>28</v>
      </c>
      <c r="K813" s="3" t="s">
        <v>1132</v>
      </c>
      <c r="L813" s="3" t="s">
        <v>2216</v>
      </c>
      <c r="M813" s="3" t="s">
        <v>1134</v>
      </c>
      <c r="R813" s="7" t="str">
        <f>IF(H813="","",VLOOKUP(H813,'Hoja 9'!$A$1:$B$255,2,0))</f>
        <v>GIMNASIO</v>
      </c>
      <c r="S813" s="7">
        <f t="shared" si="1"/>
        <v>2024</v>
      </c>
      <c r="T813" s="7">
        <f t="shared" si="2"/>
        <v>12</v>
      </c>
    </row>
    <row r="814">
      <c r="A814" s="4">
        <v>45653.571283819445</v>
      </c>
      <c r="B814" s="3" t="s">
        <v>2217</v>
      </c>
      <c r="C814" s="3" t="s">
        <v>337</v>
      </c>
      <c r="E814" s="5">
        <v>28320.0</v>
      </c>
      <c r="F814" s="3">
        <v>2.6208212E7</v>
      </c>
      <c r="G814" s="3">
        <v>3.51767605E9</v>
      </c>
      <c r="H814" s="3" t="s">
        <v>21</v>
      </c>
      <c r="I814" s="3" t="s">
        <v>22</v>
      </c>
      <c r="K814" s="3" t="s">
        <v>1145</v>
      </c>
      <c r="O814" s="3" t="s">
        <v>831</v>
      </c>
      <c r="R814" s="7" t="str">
        <f>IF(H814="","",VLOOKUP(H814,'Hoja 9'!$A$1:$B$255,2,0))</f>
        <v>GOOGLE</v>
      </c>
      <c r="S814" s="7">
        <f t="shared" si="1"/>
        <v>2024</v>
      </c>
      <c r="T814" s="7">
        <f t="shared" si="2"/>
        <v>12</v>
      </c>
    </row>
    <row r="815">
      <c r="A815" s="4">
        <v>45653.7346127662</v>
      </c>
      <c r="B815" s="3" t="s">
        <v>2218</v>
      </c>
      <c r="C815" s="3" t="s">
        <v>1453</v>
      </c>
      <c r="D815" s="3" t="s">
        <v>2219</v>
      </c>
      <c r="E815" s="5">
        <v>21714.0</v>
      </c>
      <c r="F815" s="8">
        <v>1.3290752E7</v>
      </c>
      <c r="G815" s="3">
        <v>3.513304219E9</v>
      </c>
      <c r="H815" s="3" t="s">
        <v>44</v>
      </c>
      <c r="I815" s="3" t="s">
        <v>22</v>
      </c>
      <c r="K815" s="3" t="s">
        <v>1132</v>
      </c>
      <c r="L815" s="3" t="s">
        <v>1133</v>
      </c>
      <c r="M815" s="3" t="s">
        <v>1134</v>
      </c>
      <c r="O815" s="3" t="s">
        <v>23</v>
      </c>
      <c r="R815" s="7" t="str">
        <f>IF(H815="","",VLOOKUP(H815,'Hoja 9'!$A$1:$B$255,2,0))</f>
        <v>GIMNASIO</v>
      </c>
      <c r="S815" s="7">
        <f t="shared" si="1"/>
        <v>2024</v>
      </c>
      <c r="T815" s="7">
        <f t="shared" si="2"/>
        <v>12</v>
      </c>
    </row>
    <row r="816">
      <c r="A816" s="4">
        <v>45653.77849111111</v>
      </c>
      <c r="B816" s="3" t="s">
        <v>2220</v>
      </c>
      <c r="C816" s="3" t="s">
        <v>2221</v>
      </c>
      <c r="D816" s="3" t="s">
        <v>2222</v>
      </c>
      <c r="E816" s="5">
        <v>37027.0</v>
      </c>
      <c r="F816" s="3">
        <v>4.3369461E7</v>
      </c>
      <c r="G816" s="3">
        <v>3.516620229E9</v>
      </c>
      <c r="H816" s="3" t="s">
        <v>27</v>
      </c>
      <c r="I816" s="3" t="s">
        <v>28</v>
      </c>
      <c r="K816" s="3" t="s">
        <v>1132</v>
      </c>
      <c r="L816" s="3" t="s">
        <v>1136</v>
      </c>
      <c r="M816" s="3" t="s">
        <v>1213</v>
      </c>
      <c r="R816" s="7" t="str">
        <f>IF(H816="","",VLOOKUP(H816,'Hoja 9'!$A$1:$B$255,2,0))</f>
        <v>BOCA EN BOCA</v>
      </c>
      <c r="S816" s="7">
        <f t="shared" si="1"/>
        <v>2024</v>
      </c>
      <c r="T816" s="7">
        <f t="shared" si="2"/>
        <v>12</v>
      </c>
    </row>
    <row r="817">
      <c r="A817" s="4">
        <v>45656.65747954861</v>
      </c>
      <c r="B817" s="3" t="s">
        <v>2223</v>
      </c>
      <c r="C817" s="3" t="s">
        <v>2224</v>
      </c>
      <c r="D817" s="3" t="s">
        <v>2225</v>
      </c>
      <c r="E817" s="5">
        <v>36194.0</v>
      </c>
      <c r="F817" s="3">
        <v>4.1735739E7</v>
      </c>
      <c r="G817" s="3">
        <v>3.51253801E9</v>
      </c>
      <c r="H817" s="3" t="s">
        <v>44</v>
      </c>
      <c r="I817" s="3" t="s">
        <v>22</v>
      </c>
      <c r="K817" s="3" t="s">
        <v>1132</v>
      </c>
      <c r="L817" s="3" t="s">
        <v>1133</v>
      </c>
      <c r="M817" s="3" t="s">
        <v>1134</v>
      </c>
      <c r="O817" s="3" t="s">
        <v>2226</v>
      </c>
      <c r="R817" s="7" t="str">
        <f>IF(H817="","",VLOOKUP(H817,'Hoja 9'!$A$1:$B$255,2,0))</f>
        <v>GIMNASIO</v>
      </c>
      <c r="S817" s="7">
        <f t="shared" si="1"/>
        <v>2024</v>
      </c>
      <c r="T817" s="7">
        <f t="shared" si="2"/>
        <v>12</v>
      </c>
    </row>
    <row r="818">
      <c r="A818" s="4">
        <v>45656.90083894676</v>
      </c>
      <c r="B818" s="3" t="s">
        <v>402</v>
      </c>
      <c r="C818" s="3" t="s">
        <v>2227</v>
      </c>
      <c r="D818" s="3" t="s">
        <v>2228</v>
      </c>
      <c r="E818" s="5">
        <v>42482.0</v>
      </c>
      <c r="F818" s="3">
        <v>5.5290634E7</v>
      </c>
      <c r="G818" s="3">
        <v>3.512480723E9</v>
      </c>
      <c r="H818" s="3" t="s">
        <v>2229</v>
      </c>
      <c r="I818" s="3" t="s">
        <v>28</v>
      </c>
      <c r="K818" s="3" t="s">
        <v>1145</v>
      </c>
      <c r="R818" s="7" t="str">
        <f>IF(H818="","",VLOOKUP(H818,'Hoja 9'!$A$1:$B$255,2,0))</f>
        <v>BOCA EN BOCA</v>
      </c>
      <c r="S818" s="7">
        <f t="shared" si="1"/>
        <v>2024</v>
      </c>
      <c r="T818" s="7">
        <f t="shared" si="2"/>
        <v>12</v>
      </c>
    </row>
    <row r="819">
      <c r="A819" s="4">
        <v>45659.85073327547</v>
      </c>
      <c r="B819" s="3" t="s">
        <v>2230</v>
      </c>
      <c r="C819" s="3" t="s">
        <v>2231</v>
      </c>
      <c r="D819" s="3" t="s">
        <v>2232</v>
      </c>
      <c r="E819" s="5">
        <v>25493.0</v>
      </c>
      <c r="F819" s="3">
        <v>2.0873977E7</v>
      </c>
      <c r="G819" s="3">
        <v>3.515477382E9</v>
      </c>
      <c r="H819" s="3" t="s">
        <v>21</v>
      </c>
      <c r="I819" s="3" t="s">
        <v>22</v>
      </c>
      <c r="K819" s="3" t="s">
        <v>1132</v>
      </c>
      <c r="L819" s="3" t="s">
        <v>1133</v>
      </c>
      <c r="M819" s="3" t="s">
        <v>1137</v>
      </c>
      <c r="O819" s="3" t="s">
        <v>2233</v>
      </c>
      <c r="R819" s="7" t="str">
        <f>IF(H819="","",VLOOKUP(H819,'Hoja 9'!$A$1:$B$255,2,0))</f>
        <v>GOOGLE</v>
      </c>
      <c r="S819" s="7">
        <f t="shared" si="1"/>
        <v>2025</v>
      </c>
      <c r="T819" s="7">
        <f t="shared" si="2"/>
        <v>1</v>
      </c>
    </row>
    <row r="820">
      <c r="A820" s="4">
        <v>45660.57484016204</v>
      </c>
      <c r="B820" s="3" t="s">
        <v>2234</v>
      </c>
      <c r="C820" s="3" t="s">
        <v>119</v>
      </c>
      <c r="D820" s="3" t="s">
        <v>2235</v>
      </c>
      <c r="E820" s="5">
        <v>26240.0</v>
      </c>
      <c r="F820" s="3">
        <v>2.2373715E7</v>
      </c>
      <c r="G820" s="3">
        <v>3.517063267E9</v>
      </c>
      <c r="H820" s="3" t="s">
        <v>27</v>
      </c>
      <c r="I820" s="3" t="s">
        <v>28</v>
      </c>
      <c r="K820" s="3" t="s">
        <v>1145</v>
      </c>
      <c r="R820" s="7" t="str">
        <f>IF(H820="","",VLOOKUP(H820,'Hoja 9'!$A$1:$B$255,2,0))</f>
        <v>BOCA EN BOCA</v>
      </c>
      <c r="S820" s="7">
        <f t="shared" si="1"/>
        <v>2025</v>
      </c>
      <c r="T820" s="7">
        <f t="shared" si="2"/>
        <v>1</v>
      </c>
    </row>
    <row r="821">
      <c r="A821" s="4">
        <v>45660.741034756946</v>
      </c>
      <c r="B821" s="3" t="s">
        <v>2236</v>
      </c>
      <c r="C821" s="3" t="s">
        <v>513</v>
      </c>
      <c r="D821" s="3" t="s">
        <v>2237</v>
      </c>
      <c r="E821" s="5">
        <v>27344.0</v>
      </c>
      <c r="F821" s="3">
        <v>2.4281041E7</v>
      </c>
      <c r="G821" s="3">
        <v>3.515638146E9</v>
      </c>
      <c r="H821" s="3" t="s">
        <v>27</v>
      </c>
      <c r="I821" s="3" t="s">
        <v>22</v>
      </c>
      <c r="K821" s="3" t="s">
        <v>1132</v>
      </c>
      <c r="L821" s="3" t="s">
        <v>2238</v>
      </c>
      <c r="M821" s="3" t="s">
        <v>1134</v>
      </c>
      <c r="O821" s="3" t="s">
        <v>1831</v>
      </c>
      <c r="R821" s="7" t="str">
        <f>IF(H821="","",VLOOKUP(H821,'Hoja 9'!$A$1:$B$255,2,0))</f>
        <v>BOCA EN BOCA</v>
      </c>
      <c r="S821" s="7">
        <f t="shared" si="1"/>
        <v>2025</v>
      </c>
      <c r="T821" s="7">
        <f t="shared" si="2"/>
        <v>1</v>
      </c>
    </row>
    <row r="822">
      <c r="A822" s="4">
        <v>45663.384735706015</v>
      </c>
      <c r="B822" s="3" t="s">
        <v>2239</v>
      </c>
      <c r="C822" s="3" t="s">
        <v>529</v>
      </c>
      <c r="D822" s="3" t="s">
        <v>2240</v>
      </c>
      <c r="E822" s="5">
        <v>28635.0</v>
      </c>
      <c r="F822" s="3">
        <v>2.6544418E7</v>
      </c>
      <c r="G822" s="3">
        <v>2.6544418E7</v>
      </c>
      <c r="H822" s="3" t="s">
        <v>27</v>
      </c>
      <c r="I822" s="3" t="s">
        <v>22</v>
      </c>
      <c r="K822" s="3" t="s">
        <v>1145</v>
      </c>
      <c r="O822" s="3" t="s">
        <v>879</v>
      </c>
      <c r="R822" s="7" t="str">
        <f>IF(H822="","",VLOOKUP(H822,'Hoja 9'!$A$1:$B$255,2,0))</f>
        <v>BOCA EN BOCA</v>
      </c>
      <c r="S822" s="7">
        <f t="shared" si="1"/>
        <v>2025</v>
      </c>
      <c r="T822" s="7">
        <f t="shared" si="2"/>
        <v>1</v>
      </c>
    </row>
    <row r="823">
      <c r="A823" s="4">
        <v>45663.45171263889</v>
      </c>
      <c r="B823" s="3" t="s">
        <v>1405</v>
      </c>
      <c r="C823" s="3" t="s">
        <v>2241</v>
      </c>
      <c r="D823" s="3" t="s">
        <v>2242</v>
      </c>
      <c r="E823" s="5">
        <v>27956.0</v>
      </c>
      <c r="F823" s="3">
        <v>2.51577E7</v>
      </c>
      <c r="G823" s="3">
        <v>3.516830022E9</v>
      </c>
      <c r="H823" s="3" t="s">
        <v>27</v>
      </c>
      <c r="I823" s="3" t="s">
        <v>22</v>
      </c>
      <c r="K823" s="3" t="s">
        <v>1132</v>
      </c>
      <c r="L823" s="3" t="s">
        <v>2243</v>
      </c>
      <c r="M823" s="3" t="s">
        <v>1134</v>
      </c>
      <c r="O823" s="3" t="s">
        <v>72</v>
      </c>
      <c r="R823" s="7" t="str">
        <f>IF(H823="","",VLOOKUP(H823,'Hoja 9'!$A$1:$B$255,2,0))</f>
        <v>BOCA EN BOCA</v>
      </c>
      <c r="S823" s="7">
        <f t="shared" si="1"/>
        <v>2025</v>
      </c>
      <c r="T823" s="7">
        <f t="shared" si="2"/>
        <v>1</v>
      </c>
    </row>
    <row r="824">
      <c r="A824" s="4">
        <v>45663.516022407406</v>
      </c>
      <c r="B824" s="3" t="s">
        <v>2244</v>
      </c>
      <c r="C824" s="3" t="s">
        <v>162</v>
      </c>
      <c r="D824" s="3" t="s">
        <v>2245</v>
      </c>
      <c r="E824" s="5">
        <v>20511.0</v>
      </c>
      <c r="F824" s="3">
        <v>1.1974876E7</v>
      </c>
      <c r="G824" s="3">
        <v>3.512398477E9</v>
      </c>
      <c r="H824" s="3" t="s">
        <v>27</v>
      </c>
      <c r="I824" s="3" t="s">
        <v>22</v>
      </c>
      <c r="K824" s="3" t="s">
        <v>1145</v>
      </c>
      <c r="O824" s="3" t="s">
        <v>23</v>
      </c>
      <c r="R824" s="7" t="str">
        <f>IF(H824="","",VLOOKUP(H824,'Hoja 9'!$A$1:$B$255,2,0))</f>
        <v>BOCA EN BOCA</v>
      </c>
      <c r="S824" s="7">
        <f t="shared" si="1"/>
        <v>2025</v>
      </c>
      <c r="T824" s="7">
        <f t="shared" si="2"/>
        <v>1</v>
      </c>
    </row>
    <row r="825">
      <c r="A825" s="4">
        <v>45663.68587243056</v>
      </c>
      <c r="B825" s="3" t="s">
        <v>2246</v>
      </c>
      <c r="C825" s="3" t="s">
        <v>710</v>
      </c>
      <c r="D825" s="3" t="s">
        <v>2247</v>
      </c>
      <c r="E825" s="5">
        <v>32046.0</v>
      </c>
      <c r="F825" s="3">
        <v>3.3303647E7</v>
      </c>
      <c r="G825" s="3">
        <v>3.513191252E9</v>
      </c>
      <c r="H825" s="3" t="s">
        <v>44</v>
      </c>
      <c r="I825" s="3" t="s">
        <v>28</v>
      </c>
      <c r="K825" s="3" t="s">
        <v>1132</v>
      </c>
      <c r="L825" s="3" t="s">
        <v>1133</v>
      </c>
      <c r="M825" s="3" t="s">
        <v>1134</v>
      </c>
      <c r="R825" s="7" t="str">
        <f>IF(H825="","",VLOOKUP(H825,'Hoja 9'!$A$1:$B$255,2,0))</f>
        <v>GIMNASIO</v>
      </c>
      <c r="S825" s="7">
        <f t="shared" si="1"/>
        <v>2025</v>
      </c>
      <c r="T825" s="7">
        <f t="shared" si="2"/>
        <v>1</v>
      </c>
    </row>
    <row r="826">
      <c r="A826" s="4">
        <v>45663.76821534723</v>
      </c>
      <c r="B826" s="3" t="s">
        <v>2248</v>
      </c>
      <c r="C826" s="3" t="s">
        <v>2249</v>
      </c>
      <c r="D826" s="3" t="s">
        <v>2250</v>
      </c>
      <c r="E826" s="5">
        <v>20849.0</v>
      </c>
      <c r="F826" s="3">
        <v>1.295107E7</v>
      </c>
      <c r="G826" s="3">
        <v>3.51319421E9</v>
      </c>
      <c r="H826" s="3" t="s">
        <v>27</v>
      </c>
      <c r="I826" s="3" t="s">
        <v>22</v>
      </c>
      <c r="K826" s="3" t="s">
        <v>1145</v>
      </c>
      <c r="O826" s="3" t="s">
        <v>23</v>
      </c>
      <c r="R826" s="7" t="str">
        <f>IF(H826="","",VLOOKUP(H826,'Hoja 9'!$A$1:$B$255,2,0))</f>
        <v>BOCA EN BOCA</v>
      </c>
      <c r="S826" s="7">
        <f t="shared" si="1"/>
        <v>2025</v>
      </c>
      <c r="T826" s="7">
        <f t="shared" si="2"/>
        <v>1</v>
      </c>
    </row>
    <row r="827">
      <c r="A827" s="4">
        <v>45664.57523673611</v>
      </c>
      <c r="B827" s="3" t="s">
        <v>2251</v>
      </c>
      <c r="C827" s="3" t="s">
        <v>2252</v>
      </c>
      <c r="D827" s="3" t="s">
        <v>2253</v>
      </c>
      <c r="E827" s="5">
        <v>34854.0</v>
      </c>
      <c r="F827" s="3">
        <v>4.3110762E7</v>
      </c>
      <c r="G827" s="3">
        <v>3.516378095E9</v>
      </c>
      <c r="H827" s="3" t="s">
        <v>21</v>
      </c>
      <c r="I827" s="3" t="s">
        <v>22</v>
      </c>
      <c r="K827" s="3" t="s">
        <v>1145</v>
      </c>
      <c r="O827" s="3" t="s">
        <v>2254</v>
      </c>
      <c r="R827" s="7" t="str">
        <f>IF(H827="","",VLOOKUP(H827,'Hoja 9'!$A$1:$B$255,2,0))</f>
        <v>GOOGLE</v>
      </c>
      <c r="S827" s="7">
        <f t="shared" si="1"/>
        <v>2025</v>
      </c>
      <c r="T827" s="7">
        <f t="shared" si="2"/>
        <v>1</v>
      </c>
    </row>
    <row r="828">
      <c r="A828" s="4">
        <v>45665.764251354165</v>
      </c>
      <c r="B828" s="3" t="s">
        <v>2255</v>
      </c>
      <c r="C828" s="3" t="s">
        <v>2256</v>
      </c>
      <c r="D828" s="3" t="s">
        <v>2257</v>
      </c>
      <c r="E828" s="5">
        <v>36707.0</v>
      </c>
      <c r="F828" s="3">
        <v>4.277338E7</v>
      </c>
      <c r="G828" s="3">
        <v>3.51211819E9</v>
      </c>
      <c r="H828" s="3" t="s">
        <v>44</v>
      </c>
      <c r="I828" s="3" t="s">
        <v>28</v>
      </c>
      <c r="K828" s="3" t="s">
        <v>1132</v>
      </c>
      <c r="L828" s="3" t="s">
        <v>2258</v>
      </c>
      <c r="M828" s="3" t="s">
        <v>1134</v>
      </c>
      <c r="R828" s="7" t="str">
        <f>IF(H828="","",VLOOKUP(H828,'Hoja 9'!$A$1:$B$255,2,0))</f>
        <v>GIMNASIO</v>
      </c>
      <c r="S828" s="7">
        <f t="shared" si="1"/>
        <v>2025</v>
      </c>
      <c r="T828" s="7">
        <f t="shared" si="2"/>
        <v>1</v>
      </c>
    </row>
    <row r="829">
      <c r="A829" s="4">
        <v>45665.7963475463</v>
      </c>
      <c r="B829" s="3" t="s">
        <v>2259</v>
      </c>
      <c r="C829" s="3" t="s">
        <v>1235</v>
      </c>
      <c r="D829" s="3" t="s">
        <v>2260</v>
      </c>
      <c r="E829" s="5">
        <v>24982.0</v>
      </c>
      <c r="F829" s="3">
        <v>2.0439302E7</v>
      </c>
      <c r="G829" s="3">
        <v>3.515197178E9</v>
      </c>
      <c r="H829" s="3" t="s">
        <v>27</v>
      </c>
      <c r="I829" s="3" t="s">
        <v>28</v>
      </c>
      <c r="K829" s="3" t="s">
        <v>1132</v>
      </c>
      <c r="L829" s="3" t="s">
        <v>1404</v>
      </c>
      <c r="M829" s="3" t="s">
        <v>1134</v>
      </c>
      <c r="R829" s="7" t="str">
        <f>IF(H829="","",VLOOKUP(H829,'Hoja 9'!$A$1:$B$255,2,0))</f>
        <v>BOCA EN BOCA</v>
      </c>
      <c r="S829" s="7">
        <f t="shared" si="1"/>
        <v>2025</v>
      </c>
      <c r="T829" s="7">
        <f t="shared" si="2"/>
        <v>1</v>
      </c>
    </row>
    <row r="830">
      <c r="A830" s="4">
        <v>45666.85024260417</v>
      </c>
      <c r="B830" s="3" t="s">
        <v>2261</v>
      </c>
      <c r="C830" s="3" t="s">
        <v>2262</v>
      </c>
      <c r="D830" s="3" t="s">
        <v>2263</v>
      </c>
      <c r="E830" s="5">
        <v>25126.0</v>
      </c>
      <c r="F830" s="8">
        <v>2.0531066E7</v>
      </c>
      <c r="G830" s="3">
        <v>3.515121314E9</v>
      </c>
      <c r="H830" s="3" t="s">
        <v>27</v>
      </c>
      <c r="I830" s="3" t="s">
        <v>22</v>
      </c>
      <c r="K830" s="3" t="s">
        <v>1132</v>
      </c>
      <c r="L830" s="3" t="s">
        <v>2264</v>
      </c>
      <c r="M830" s="3" t="s">
        <v>1137</v>
      </c>
      <c r="O830" s="3" t="s">
        <v>23</v>
      </c>
      <c r="R830" s="7" t="str">
        <f>IF(H830="","",VLOOKUP(H830,'Hoja 9'!$A$1:$B$255,2,0))</f>
        <v>BOCA EN BOCA</v>
      </c>
      <c r="S830" s="7">
        <f t="shared" si="1"/>
        <v>2025</v>
      </c>
      <c r="T830" s="7">
        <f t="shared" si="2"/>
        <v>1</v>
      </c>
    </row>
    <row r="831">
      <c r="A831" s="4">
        <v>45667.5769353588</v>
      </c>
      <c r="B831" s="3" t="s">
        <v>1034</v>
      </c>
      <c r="C831" s="3" t="s">
        <v>2265</v>
      </c>
      <c r="D831" s="3" t="s">
        <v>2266</v>
      </c>
      <c r="E831" s="5">
        <v>15359.0</v>
      </c>
      <c r="F831" s="3">
        <v>4278863.0</v>
      </c>
      <c r="G831" s="3">
        <v>3.516362189E9</v>
      </c>
      <c r="H831" s="3" t="s">
        <v>148</v>
      </c>
      <c r="I831" s="3" t="s">
        <v>22</v>
      </c>
      <c r="K831" s="3" t="s">
        <v>1132</v>
      </c>
      <c r="M831" s="3" t="s">
        <v>1137</v>
      </c>
      <c r="O831" s="3" t="s">
        <v>23</v>
      </c>
      <c r="R831" s="7" t="str">
        <f>IF(H831="","",VLOOKUP(H831,'Hoja 9'!$A$1:$B$255,2,0))</f>
        <v>OBRA SOCIAL</v>
      </c>
      <c r="S831" s="7">
        <f t="shared" si="1"/>
        <v>2025</v>
      </c>
      <c r="T831" s="7">
        <f t="shared" si="2"/>
        <v>1</v>
      </c>
    </row>
    <row r="832">
      <c r="A832" s="4">
        <v>45671.62603438657</v>
      </c>
      <c r="B832" s="3" t="s">
        <v>2267</v>
      </c>
      <c r="C832" s="3" t="s">
        <v>2039</v>
      </c>
      <c r="E832" s="5">
        <v>17117.0</v>
      </c>
      <c r="F832" s="3">
        <v>5489599.0</v>
      </c>
      <c r="G832" s="3">
        <v>3.516144212E9</v>
      </c>
      <c r="H832" s="3" t="s">
        <v>27</v>
      </c>
      <c r="I832" s="3" t="s">
        <v>22</v>
      </c>
      <c r="K832" s="3" t="s">
        <v>1145</v>
      </c>
      <c r="O832" s="3" t="s">
        <v>23</v>
      </c>
      <c r="R832" s="7" t="str">
        <f>IF(H832="","",VLOOKUP(H832,'Hoja 9'!$A$1:$B$255,2,0))</f>
        <v>BOCA EN BOCA</v>
      </c>
      <c r="S832" s="7">
        <f t="shared" si="1"/>
        <v>2025</v>
      </c>
      <c r="T832" s="7">
        <f t="shared" si="2"/>
        <v>1</v>
      </c>
    </row>
    <row r="833">
      <c r="A833" s="4">
        <v>45671.67576701389</v>
      </c>
      <c r="B833" s="3" t="s">
        <v>2223</v>
      </c>
      <c r="C833" s="3" t="s">
        <v>1259</v>
      </c>
      <c r="E833" s="5">
        <v>22537.0</v>
      </c>
      <c r="F833" s="3">
        <v>1.3951769E7</v>
      </c>
      <c r="G833" s="3">
        <v>3.513019701E9</v>
      </c>
      <c r="H833" s="3" t="s">
        <v>21</v>
      </c>
      <c r="I833" s="3" t="s">
        <v>22</v>
      </c>
      <c r="K833" s="3" t="s">
        <v>1132</v>
      </c>
      <c r="M833" s="3" t="s">
        <v>1134</v>
      </c>
      <c r="O833" s="3" t="s">
        <v>23</v>
      </c>
      <c r="R833" s="7" t="str">
        <f>IF(H833="","",VLOOKUP(H833,'Hoja 9'!$A$1:$B$255,2,0))</f>
        <v>GOOGLE</v>
      </c>
      <c r="S833" s="7">
        <f t="shared" si="1"/>
        <v>2025</v>
      </c>
      <c r="T833" s="7">
        <f t="shared" si="2"/>
        <v>1</v>
      </c>
    </row>
    <row r="834">
      <c r="A834" s="4">
        <v>45672.80083879629</v>
      </c>
      <c r="B834" s="3" t="s">
        <v>2268</v>
      </c>
      <c r="C834" s="3" t="s">
        <v>2269</v>
      </c>
      <c r="D834" s="3" t="s">
        <v>2270</v>
      </c>
      <c r="E834" s="5">
        <v>33092.0</v>
      </c>
      <c r="F834" s="3">
        <v>9.6360039E7</v>
      </c>
      <c r="G834" s="3">
        <v>1.171164849E9</v>
      </c>
      <c r="H834" s="3" t="s">
        <v>21</v>
      </c>
      <c r="I834" s="3" t="s">
        <v>28</v>
      </c>
      <c r="K834" s="3" t="s">
        <v>1132</v>
      </c>
      <c r="L834" s="3" t="s">
        <v>1133</v>
      </c>
      <c r="M834" s="3" t="s">
        <v>1137</v>
      </c>
      <c r="R834" s="7" t="str">
        <f>IF(H834="","",VLOOKUP(H834,'Hoja 9'!$A$1:$B$255,2,0))</f>
        <v>GOOGLE</v>
      </c>
      <c r="S834" s="7">
        <f t="shared" si="1"/>
        <v>2025</v>
      </c>
      <c r="T834" s="7">
        <f t="shared" si="2"/>
        <v>1</v>
      </c>
    </row>
    <row r="835">
      <c r="A835" s="4">
        <v>45673.36994939815</v>
      </c>
      <c r="B835" s="3" t="s">
        <v>2271</v>
      </c>
      <c r="C835" s="3" t="s">
        <v>1453</v>
      </c>
      <c r="E835" s="5">
        <v>25180.0</v>
      </c>
      <c r="F835" s="3">
        <v>2.0543106E7</v>
      </c>
      <c r="G835" s="3">
        <v>3.516797692E9</v>
      </c>
      <c r="H835" s="3" t="s">
        <v>27</v>
      </c>
      <c r="I835" s="3" t="s">
        <v>22</v>
      </c>
      <c r="K835" s="3" t="s">
        <v>1145</v>
      </c>
      <c r="O835" s="3" t="s">
        <v>149</v>
      </c>
      <c r="R835" s="7" t="str">
        <f>IF(H835="","",VLOOKUP(H835,'Hoja 9'!$A$1:$B$255,2,0))</f>
        <v>BOCA EN BOCA</v>
      </c>
      <c r="S835" s="7">
        <f t="shared" si="1"/>
        <v>2025</v>
      </c>
      <c r="T835" s="7">
        <f t="shared" si="2"/>
        <v>1</v>
      </c>
    </row>
    <row r="836">
      <c r="A836" s="4">
        <v>45673.479054537034</v>
      </c>
      <c r="B836" s="3" t="s">
        <v>2272</v>
      </c>
      <c r="C836" s="3" t="s">
        <v>823</v>
      </c>
      <c r="D836" s="3" t="s">
        <v>2273</v>
      </c>
      <c r="E836" s="5">
        <v>33196.0</v>
      </c>
      <c r="F836" s="3">
        <v>3.5531617E7</v>
      </c>
      <c r="G836" s="3">
        <v>3.512327857E9</v>
      </c>
      <c r="H836" s="3" t="s">
        <v>21</v>
      </c>
      <c r="I836" s="3" t="s">
        <v>22</v>
      </c>
      <c r="K836" s="3" t="s">
        <v>1145</v>
      </c>
      <c r="O836" s="3" t="s">
        <v>592</v>
      </c>
      <c r="R836" s="7" t="str">
        <f>IF(H836="","",VLOOKUP(H836,'Hoja 9'!$A$1:$B$255,2,0))</f>
        <v>GOOGLE</v>
      </c>
      <c r="S836" s="7">
        <f t="shared" si="1"/>
        <v>2025</v>
      </c>
      <c r="T836" s="7">
        <f t="shared" si="2"/>
        <v>1</v>
      </c>
    </row>
    <row r="837">
      <c r="A837" s="4">
        <v>45673.48066210648</v>
      </c>
      <c r="B837" s="3" t="s">
        <v>1036</v>
      </c>
      <c r="C837" s="3" t="s">
        <v>2274</v>
      </c>
      <c r="D837" s="3" t="s">
        <v>2273</v>
      </c>
      <c r="E837" s="5">
        <v>33196.0</v>
      </c>
      <c r="F837" s="3">
        <v>3.5531617E7</v>
      </c>
      <c r="G837" s="3">
        <v>3.512327857E9</v>
      </c>
      <c r="H837" s="3" t="s">
        <v>21</v>
      </c>
      <c r="I837" s="3" t="s">
        <v>22</v>
      </c>
      <c r="K837" s="3" t="s">
        <v>1145</v>
      </c>
      <c r="O837" s="3" t="s">
        <v>2275</v>
      </c>
      <c r="R837" s="7" t="str">
        <f>IF(H837="","",VLOOKUP(H837,'Hoja 9'!$A$1:$B$255,2,0))</f>
        <v>GOOGLE</v>
      </c>
      <c r="S837" s="7">
        <f t="shared" si="1"/>
        <v>2025</v>
      </c>
      <c r="T837" s="7">
        <f t="shared" si="2"/>
        <v>1</v>
      </c>
    </row>
    <row r="838">
      <c r="A838" s="4">
        <v>45673.62498638889</v>
      </c>
      <c r="B838" s="3" t="s">
        <v>2276</v>
      </c>
      <c r="C838" s="3" t="s">
        <v>2277</v>
      </c>
      <c r="E838" s="5">
        <v>27606.0</v>
      </c>
      <c r="F838" s="3">
        <v>2.4629326E7</v>
      </c>
      <c r="G838" s="3">
        <v>3.512273529E9</v>
      </c>
      <c r="H838" s="3" t="s">
        <v>27</v>
      </c>
      <c r="I838" s="3" t="s">
        <v>28</v>
      </c>
      <c r="K838" s="3" t="s">
        <v>1145</v>
      </c>
      <c r="R838" s="7" t="str">
        <f>IF(H838="","",VLOOKUP(H838,'Hoja 9'!$A$1:$B$255,2,0))</f>
        <v>BOCA EN BOCA</v>
      </c>
      <c r="S838" s="7">
        <f t="shared" si="1"/>
        <v>2025</v>
      </c>
      <c r="T838" s="7">
        <f t="shared" si="2"/>
        <v>1</v>
      </c>
    </row>
    <row r="839">
      <c r="A839" s="4">
        <v>45674.632035613424</v>
      </c>
      <c r="B839" s="3" t="s">
        <v>2278</v>
      </c>
      <c r="C839" s="3" t="s">
        <v>2279</v>
      </c>
      <c r="D839" s="3" t="s">
        <v>2280</v>
      </c>
      <c r="E839" s="5">
        <v>26672.0</v>
      </c>
      <c r="F839" s="3">
        <v>2.3194124E7</v>
      </c>
      <c r="G839" s="3">
        <v>3.516220388E9</v>
      </c>
      <c r="H839" s="3" t="s">
        <v>148</v>
      </c>
      <c r="I839" s="3" t="s">
        <v>22</v>
      </c>
      <c r="K839" s="3" t="s">
        <v>1145</v>
      </c>
      <c r="O839" s="3" t="s">
        <v>2281</v>
      </c>
      <c r="R839" s="7" t="str">
        <f>IF(H839="","",VLOOKUP(H839,'Hoja 9'!$A$1:$B$255,2,0))</f>
        <v>OBRA SOCIAL</v>
      </c>
      <c r="S839" s="7">
        <f t="shared" si="1"/>
        <v>2025</v>
      </c>
      <c r="T839" s="7">
        <f t="shared" si="2"/>
        <v>1</v>
      </c>
    </row>
    <row r="840">
      <c r="A840" s="4">
        <v>45674.668786793976</v>
      </c>
      <c r="B840" s="3" t="s">
        <v>2282</v>
      </c>
      <c r="C840" s="3" t="s">
        <v>1530</v>
      </c>
      <c r="D840" s="3" t="s">
        <v>2283</v>
      </c>
      <c r="E840" s="5">
        <v>29947.0</v>
      </c>
      <c r="F840" s="3">
        <v>2.920698E7</v>
      </c>
      <c r="G840" s="3">
        <v>3.515116806E9</v>
      </c>
      <c r="H840" s="3" t="s">
        <v>44</v>
      </c>
      <c r="I840" s="3" t="s">
        <v>22</v>
      </c>
      <c r="K840" s="3" t="s">
        <v>1132</v>
      </c>
      <c r="L840" s="3" t="s">
        <v>1133</v>
      </c>
      <c r="M840" s="3" t="s">
        <v>1137</v>
      </c>
      <c r="O840" s="3" t="s">
        <v>23</v>
      </c>
      <c r="R840" s="7" t="str">
        <f>IF(H840="","",VLOOKUP(H840,'Hoja 9'!$A$1:$B$255,2,0))</f>
        <v>GIMNASIO</v>
      </c>
      <c r="S840" s="7">
        <f t="shared" si="1"/>
        <v>2025</v>
      </c>
      <c r="T840" s="7">
        <f t="shared" si="2"/>
        <v>1</v>
      </c>
    </row>
    <row r="841">
      <c r="A841" s="4">
        <v>45677.403479953704</v>
      </c>
      <c r="B841" s="3" t="s">
        <v>2190</v>
      </c>
      <c r="C841" s="3" t="s">
        <v>2284</v>
      </c>
      <c r="D841" s="3" t="s">
        <v>421</v>
      </c>
      <c r="E841" s="5">
        <v>15278.0</v>
      </c>
      <c r="F841" s="3">
        <v>7965847.0</v>
      </c>
      <c r="G841" s="3">
        <v>3.512007914E9</v>
      </c>
      <c r="H841" s="3" t="s">
        <v>21</v>
      </c>
      <c r="I841" s="3" t="s">
        <v>22</v>
      </c>
      <c r="K841" s="3" t="s">
        <v>1132</v>
      </c>
      <c r="L841" s="3" t="s">
        <v>1568</v>
      </c>
      <c r="M841" s="3" t="s">
        <v>1213</v>
      </c>
      <c r="O841" s="3" t="s">
        <v>23</v>
      </c>
      <c r="R841" s="7" t="str">
        <f>IF(H841="","",VLOOKUP(H841,'Hoja 9'!$A$1:$B$255,2,0))</f>
        <v>GOOGLE</v>
      </c>
      <c r="S841" s="7">
        <f t="shared" si="1"/>
        <v>2025</v>
      </c>
      <c r="T841" s="7">
        <f t="shared" si="2"/>
        <v>1</v>
      </c>
    </row>
    <row r="842">
      <c r="A842" s="4">
        <v>45677.65395695602</v>
      </c>
      <c r="B842" s="3" t="s">
        <v>2285</v>
      </c>
      <c r="C842" s="3" t="s">
        <v>2286</v>
      </c>
      <c r="D842" s="3" t="s">
        <v>2287</v>
      </c>
      <c r="E842" s="5">
        <v>18451.0</v>
      </c>
      <c r="F842" s="3">
        <v>6401938.0</v>
      </c>
      <c r="G842" s="3">
        <v>3.51663535E9</v>
      </c>
      <c r="H842" s="3" t="s">
        <v>27</v>
      </c>
      <c r="I842" s="3" t="s">
        <v>22</v>
      </c>
      <c r="K842" s="3" t="s">
        <v>1132</v>
      </c>
      <c r="L842" s="3" t="s">
        <v>1133</v>
      </c>
      <c r="M842" s="3" t="s">
        <v>1137</v>
      </c>
      <c r="O842" s="3" t="s">
        <v>68</v>
      </c>
      <c r="R842" s="7" t="str">
        <f>IF(H842="","",VLOOKUP(H842,'Hoja 9'!$A$1:$B$255,2,0))</f>
        <v>BOCA EN BOCA</v>
      </c>
      <c r="S842" s="7">
        <f t="shared" si="1"/>
        <v>2025</v>
      </c>
      <c r="T842" s="7">
        <f t="shared" si="2"/>
        <v>1</v>
      </c>
    </row>
    <row r="843">
      <c r="A843" s="4">
        <v>45677.807818657406</v>
      </c>
      <c r="B843" s="3" t="s">
        <v>420</v>
      </c>
      <c r="C843" s="3" t="s">
        <v>2288</v>
      </c>
      <c r="E843" s="5">
        <v>32171.0</v>
      </c>
      <c r="F843" s="3">
        <v>3.3535439E7</v>
      </c>
      <c r="G843" s="3">
        <v>3.517393466E9</v>
      </c>
      <c r="H843" s="3" t="s">
        <v>44</v>
      </c>
      <c r="I843" s="3" t="s">
        <v>22</v>
      </c>
      <c r="K843" s="3" t="s">
        <v>1132</v>
      </c>
      <c r="L843" s="3" t="s">
        <v>2289</v>
      </c>
      <c r="M843" s="3" t="s">
        <v>1134</v>
      </c>
      <c r="O843" s="3" t="s">
        <v>58</v>
      </c>
      <c r="R843" s="7" t="str">
        <f>IF(H843="","",VLOOKUP(H843,'Hoja 9'!$A$1:$B$255,2,0))</f>
        <v>GIMNASIO</v>
      </c>
      <c r="S843" s="7">
        <f t="shared" si="1"/>
        <v>2025</v>
      </c>
      <c r="T843" s="7">
        <f t="shared" si="2"/>
        <v>1</v>
      </c>
    </row>
    <row r="844">
      <c r="A844" s="4">
        <v>45677.81876486111</v>
      </c>
      <c r="B844" s="3" t="s">
        <v>2290</v>
      </c>
      <c r="C844" s="3" t="s">
        <v>2291</v>
      </c>
      <c r="D844" s="3" t="s">
        <v>2292</v>
      </c>
      <c r="E844" s="5">
        <v>20360.0</v>
      </c>
      <c r="F844" s="8">
        <v>1.1785895E7</v>
      </c>
      <c r="G844" s="3">
        <v>3.515295932E9</v>
      </c>
      <c r="H844" s="3" t="s">
        <v>27</v>
      </c>
      <c r="I844" s="3" t="s">
        <v>28</v>
      </c>
      <c r="K844" s="3" t="s">
        <v>1145</v>
      </c>
      <c r="R844" s="7" t="str">
        <f>IF(H844="","",VLOOKUP(H844,'Hoja 9'!$A$1:$B$255,2,0))</f>
        <v>BOCA EN BOCA</v>
      </c>
      <c r="S844" s="7">
        <f t="shared" si="1"/>
        <v>2025</v>
      </c>
      <c r="T844" s="7">
        <f t="shared" si="2"/>
        <v>1</v>
      </c>
    </row>
    <row r="845">
      <c r="A845" s="4">
        <v>45677.81958365741</v>
      </c>
      <c r="B845" s="3" t="s">
        <v>2293</v>
      </c>
      <c r="C845" s="3" t="s">
        <v>2294</v>
      </c>
      <c r="D845" s="3" t="s">
        <v>2295</v>
      </c>
      <c r="E845" s="5">
        <v>20759.0</v>
      </c>
      <c r="F845" s="3">
        <v>1.2672465E7</v>
      </c>
      <c r="G845" s="3">
        <v>3.51241184E9</v>
      </c>
      <c r="H845" s="3" t="s">
        <v>27</v>
      </c>
      <c r="I845" s="3" t="s">
        <v>28</v>
      </c>
      <c r="K845" s="3" t="s">
        <v>1132</v>
      </c>
      <c r="L845" s="3" t="s">
        <v>2296</v>
      </c>
      <c r="M845" s="3" t="s">
        <v>1134</v>
      </c>
      <c r="R845" s="7" t="str">
        <f>IF(H845="","",VLOOKUP(H845,'Hoja 9'!$A$1:$B$255,2,0))</f>
        <v>BOCA EN BOCA</v>
      </c>
      <c r="S845" s="7">
        <f t="shared" si="1"/>
        <v>2025</v>
      </c>
      <c r="T845" s="7">
        <f t="shared" si="2"/>
        <v>1</v>
      </c>
    </row>
    <row r="846">
      <c r="A846" s="4">
        <v>45678.74356986111</v>
      </c>
      <c r="B846" s="3" t="s">
        <v>2297</v>
      </c>
      <c r="C846" s="3" t="s">
        <v>1069</v>
      </c>
      <c r="D846" s="3" t="s">
        <v>2298</v>
      </c>
      <c r="E846" s="5">
        <v>31891.0</v>
      </c>
      <c r="F846" s="3">
        <v>3.3029301E7</v>
      </c>
      <c r="G846" s="3">
        <v>3.513359751E9</v>
      </c>
      <c r="H846" s="3" t="s">
        <v>21</v>
      </c>
      <c r="I846" s="3" t="s">
        <v>22</v>
      </c>
      <c r="K846" s="3" t="s">
        <v>1132</v>
      </c>
      <c r="L846" s="3" t="s">
        <v>1404</v>
      </c>
      <c r="M846" s="3" t="s">
        <v>1137</v>
      </c>
      <c r="O846" s="3" t="s">
        <v>291</v>
      </c>
      <c r="R846" s="7" t="str">
        <f>IF(H846="","",VLOOKUP(H846,'Hoja 9'!$A$1:$B$255,2,0))</f>
        <v>GOOGLE</v>
      </c>
      <c r="S846" s="7">
        <f t="shared" si="1"/>
        <v>2025</v>
      </c>
      <c r="T846" s="7">
        <f t="shared" si="2"/>
        <v>1</v>
      </c>
    </row>
    <row r="847">
      <c r="A847" s="4">
        <v>45678.763893020834</v>
      </c>
      <c r="B847" s="3" t="s">
        <v>2299</v>
      </c>
      <c r="C847" s="3" t="s">
        <v>1069</v>
      </c>
      <c r="E847" s="5">
        <v>15934.0</v>
      </c>
      <c r="F847" s="3">
        <v>7973986.0</v>
      </c>
      <c r="G847" s="3">
        <v>3.512608885E9</v>
      </c>
      <c r="H847" s="3" t="s">
        <v>27</v>
      </c>
      <c r="I847" s="3" t="s">
        <v>22</v>
      </c>
      <c r="K847" s="3" t="s">
        <v>1132</v>
      </c>
      <c r="L847" s="3" t="s">
        <v>1834</v>
      </c>
      <c r="M847" s="3" t="s">
        <v>1137</v>
      </c>
      <c r="O847" s="3" t="s">
        <v>2300</v>
      </c>
      <c r="R847" s="7" t="str">
        <f>IF(H847="","",VLOOKUP(H847,'Hoja 9'!$A$1:$B$255,2,0))</f>
        <v>BOCA EN BOCA</v>
      </c>
      <c r="S847" s="7">
        <f t="shared" si="1"/>
        <v>2025</v>
      </c>
      <c r="T847" s="7">
        <f t="shared" si="2"/>
        <v>1</v>
      </c>
    </row>
    <row r="848">
      <c r="A848" s="4">
        <v>45678.77533506944</v>
      </c>
      <c r="B848" s="3" t="s">
        <v>2301</v>
      </c>
      <c r="C848" s="3" t="s">
        <v>893</v>
      </c>
      <c r="E848" s="5">
        <v>18897.0</v>
      </c>
      <c r="F848" s="3">
        <v>8629165.0</v>
      </c>
      <c r="G848" s="3">
        <v>3.515724754E9</v>
      </c>
      <c r="H848" s="3" t="s">
        <v>27</v>
      </c>
      <c r="I848" s="3" t="s">
        <v>22</v>
      </c>
      <c r="K848" s="3" t="s">
        <v>1145</v>
      </c>
      <c r="O848" s="3" t="s">
        <v>58</v>
      </c>
      <c r="R848" s="7" t="str">
        <f>IF(H848="","",VLOOKUP(H848,'Hoja 9'!$A$1:$B$255,2,0))</f>
        <v>BOCA EN BOCA</v>
      </c>
      <c r="S848" s="7">
        <f t="shared" si="1"/>
        <v>2025</v>
      </c>
      <c r="T848" s="7">
        <f t="shared" si="2"/>
        <v>1</v>
      </c>
    </row>
    <row r="849">
      <c r="A849" s="4">
        <v>45679.488735949075</v>
      </c>
      <c r="B849" s="3" t="s">
        <v>420</v>
      </c>
      <c r="C849" s="3" t="s">
        <v>753</v>
      </c>
      <c r="D849" s="3" t="s">
        <v>421</v>
      </c>
      <c r="E849" s="5">
        <v>32171.0</v>
      </c>
      <c r="F849" s="3">
        <v>3.3535439E7</v>
      </c>
      <c r="G849" s="3">
        <v>3.517393466E9</v>
      </c>
      <c r="H849" s="3" t="s">
        <v>21</v>
      </c>
      <c r="I849" s="3" t="s">
        <v>22</v>
      </c>
      <c r="K849" s="3" t="s">
        <v>1145</v>
      </c>
      <c r="O849" s="3" t="s">
        <v>58</v>
      </c>
      <c r="R849" s="7" t="str">
        <f>IF(H849="","",VLOOKUP(H849,'Hoja 9'!$A$1:$B$255,2,0))</f>
        <v>GOOGLE</v>
      </c>
      <c r="S849" s="7">
        <f t="shared" si="1"/>
        <v>2025</v>
      </c>
      <c r="T849" s="7">
        <f t="shared" si="2"/>
        <v>1</v>
      </c>
    </row>
    <row r="850">
      <c r="A850" s="4">
        <v>45680.70384688658</v>
      </c>
      <c r="B850" s="3" t="s">
        <v>204</v>
      </c>
      <c r="C850" s="3" t="s">
        <v>2302</v>
      </c>
      <c r="D850" s="3" t="s">
        <v>2303</v>
      </c>
      <c r="E850" s="5">
        <v>28846.0</v>
      </c>
      <c r="F850" s="3">
        <v>2.7014925E7</v>
      </c>
      <c r="G850" s="3">
        <v>3.516208041E9</v>
      </c>
      <c r="H850" s="3" t="s">
        <v>44</v>
      </c>
      <c r="I850" s="3" t="s">
        <v>22</v>
      </c>
      <c r="K850" s="3" t="s">
        <v>1132</v>
      </c>
      <c r="L850" s="3" t="s">
        <v>1133</v>
      </c>
      <c r="M850" s="3" t="s">
        <v>1134</v>
      </c>
      <c r="O850" s="3" t="s">
        <v>68</v>
      </c>
      <c r="R850" s="7" t="str">
        <f>IF(H850="","",VLOOKUP(H850,'Hoja 9'!$A$1:$B$255,2,0))</f>
        <v>GIMNASIO</v>
      </c>
      <c r="S850" s="7">
        <f t="shared" si="1"/>
        <v>2025</v>
      </c>
      <c r="T850" s="7">
        <f t="shared" si="2"/>
        <v>1</v>
      </c>
    </row>
    <row r="851">
      <c r="A851" s="4">
        <v>45680.746874502314</v>
      </c>
      <c r="B851" s="3" t="s">
        <v>2304</v>
      </c>
      <c r="C851" s="3" t="s">
        <v>2305</v>
      </c>
      <c r="D851" s="3" t="s">
        <v>2306</v>
      </c>
      <c r="E851" s="5">
        <v>29993.0</v>
      </c>
      <c r="F851" s="3">
        <v>2.9253017E7</v>
      </c>
      <c r="G851" s="3">
        <v>3.518164135E9</v>
      </c>
      <c r="H851" s="3" t="s">
        <v>44</v>
      </c>
      <c r="I851" s="3" t="s">
        <v>28</v>
      </c>
      <c r="K851" s="3" t="s">
        <v>1132</v>
      </c>
      <c r="L851" s="3" t="s">
        <v>2307</v>
      </c>
      <c r="M851" s="3" t="s">
        <v>1134</v>
      </c>
      <c r="R851" s="7" t="str">
        <f>IF(H851="","",VLOOKUP(H851,'Hoja 9'!$A$1:$B$255,2,0))</f>
        <v>GIMNASIO</v>
      </c>
      <c r="S851" s="7">
        <f t="shared" si="1"/>
        <v>2025</v>
      </c>
      <c r="T851" s="7">
        <f t="shared" si="2"/>
        <v>1</v>
      </c>
    </row>
    <row r="852">
      <c r="A852" s="4">
        <v>45680.86111503472</v>
      </c>
      <c r="B852" s="3" t="s">
        <v>2308</v>
      </c>
      <c r="C852" s="3" t="s">
        <v>2309</v>
      </c>
      <c r="D852" s="3" t="s">
        <v>2310</v>
      </c>
      <c r="E852" s="5">
        <v>29906.0</v>
      </c>
      <c r="F852" s="3">
        <v>2.9089999E7</v>
      </c>
      <c r="G852" s="3">
        <v>3.794347758E9</v>
      </c>
      <c r="H852" s="3" t="s">
        <v>21</v>
      </c>
      <c r="I852" s="3" t="s">
        <v>28</v>
      </c>
      <c r="K852" s="3" t="s">
        <v>1145</v>
      </c>
      <c r="R852" s="7" t="str">
        <f>IF(H852="","",VLOOKUP(H852,'Hoja 9'!$A$1:$B$255,2,0))</f>
        <v>GOOGLE</v>
      </c>
      <c r="S852" s="7">
        <f t="shared" si="1"/>
        <v>2025</v>
      </c>
      <c r="T852" s="7">
        <f t="shared" si="2"/>
        <v>1</v>
      </c>
    </row>
    <row r="853">
      <c r="A853" s="4">
        <v>45681.439019375</v>
      </c>
      <c r="B853" s="3" t="s">
        <v>2311</v>
      </c>
      <c r="C853" s="3" t="s">
        <v>2312</v>
      </c>
      <c r="D853" s="3" t="s">
        <v>2313</v>
      </c>
      <c r="E853" s="5">
        <v>21122.0</v>
      </c>
      <c r="F853" s="3">
        <v>1.3042938E7</v>
      </c>
      <c r="G853" s="3">
        <v>3.513155903E9</v>
      </c>
      <c r="H853" s="3" t="s">
        <v>21</v>
      </c>
      <c r="I853" s="3" t="s">
        <v>28</v>
      </c>
      <c r="K853" s="3" t="s">
        <v>1145</v>
      </c>
      <c r="R853" s="7" t="str">
        <f>IF(H853="","",VLOOKUP(H853,'Hoja 9'!$A$1:$B$255,2,0))</f>
        <v>GOOGLE</v>
      </c>
      <c r="S853" s="7">
        <f t="shared" si="1"/>
        <v>2025</v>
      </c>
      <c r="T853" s="7">
        <f t="shared" si="2"/>
        <v>1</v>
      </c>
    </row>
    <row r="854">
      <c r="A854" s="4">
        <v>45684.42542424769</v>
      </c>
      <c r="B854" s="3" t="s">
        <v>2314</v>
      </c>
      <c r="C854" s="3" t="s">
        <v>1803</v>
      </c>
      <c r="D854" s="3" t="s">
        <v>2315</v>
      </c>
      <c r="E854" s="5">
        <v>38173.0</v>
      </c>
      <c r="F854" s="3">
        <v>4.55957E7</v>
      </c>
      <c r="G854" s="3">
        <v>3.512307123E9</v>
      </c>
      <c r="H854" s="3" t="s">
        <v>27</v>
      </c>
      <c r="I854" s="3" t="s">
        <v>28</v>
      </c>
      <c r="K854" s="3" t="s">
        <v>1132</v>
      </c>
      <c r="L854" s="3" t="s">
        <v>1133</v>
      </c>
      <c r="M854" s="3" t="s">
        <v>1134</v>
      </c>
      <c r="R854" s="7" t="str">
        <f>IF(H854="","",VLOOKUP(H854,'Hoja 9'!$A$1:$B$255,2,0))</f>
        <v>BOCA EN BOCA</v>
      </c>
      <c r="S854" s="7">
        <f t="shared" si="1"/>
        <v>2025</v>
      </c>
      <c r="T854" s="7">
        <f t="shared" si="2"/>
        <v>1</v>
      </c>
    </row>
    <row r="855">
      <c r="A855" s="4">
        <v>45684.87358546296</v>
      </c>
      <c r="B855" s="3" t="s">
        <v>2316</v>
      </c>
      <c r="C855" s="3" t="s">
        <v>2317</v>
      </c>
      <c r="D855" s="3" t="s">
        <v>2318</v>
      </c>
      <c r="E855" s="5">
        <v>22915.0</v>
      </c>
      <c r="F855" s="3">
        <v>1.6083436E7</v>
      </c>
      <c r="G855" s="3">
        <v>3.512086028E9</v>
      </c>
      <c r="H855" s="3" t="s">
        <v>27</v>
      </c>
      <c r="I855" s="3" t="s">
        <v>22</v>
      </c>
      <c r="K855" s="3" t="s">
        <v>1145</v>
      </c>
      <c r="O855" s="3" t="s">
        <v>58</v>
      </c>
      <c r="R855" s="7" t="str">
        <f>IF(H855="","",VLOOKUP(H855,'Hoja 9'!$A$1:$B$255,2,0))</f>
        <v>BOCA EN BOCA</v>
      </c>
      <c r="S855" s="7">
        <f t="shared" si="1"/>
        <v>2025</v>
      </c>
      <c r="T855" s="7">
        <f t="shared" si="2"/>
        <v>1</v>
      </c>
    </row>
    <row r="856">
      <c r="A856" s="4">
        <v>45684.876923495365</v>
      </c>
      <c r="B856" s="3" t="s">
        <v>2316</v>
      </c>
      <c r="C856" s="3" t="s">
        <v>2317</v>
      </c>
      <c r="D856" s="3" t="s">
        <v>2318</v>
      </c>
      <c r="E856" s="5">
        <v>22915.0</v>
      </c>
      <c r="F856" s="3">
        <v>1.6086028E7</v>
      </c>
      <c r="G856" s="3">
        <v>3.512086028E9</v>
      </c>
      <c r="H856" s="3" t="s">
        <v>27</v>
      </c>
      <c r="I856" s="3" t="s">
        <v>22</v>
      </c>
      <c r="K856" s="3" t="s">
        <v>1145</v>
      </c>
      <c r="O856" s="3" t="s">
        <v>58</v>
      </c>
      <c r="R856" s="7" t="str">
        <f>IF(H856="","",VLOOKUP(H856,'Hoja 9'!$A$1:$B$255,2,0))</f>
        <v>BOCA EN BOCA</v>
      </c>
      <c r="S856" s="7">
        <f t="shared" si="1"/>
        <v>2025</v>
      </c>
      <c r="T856" s="7">
        <f t="shared" si="2"/>
        <v>1</v>
      </c>
    </row>
    <row r="857">
      <c r="A857" s="4">
        <v>45685.43719541667</v>
      </c>
      <c r="B857" s="3" t="s">
        <v>2319</v>
      </c>
      <c r="C857" s="3" t="s">
        <v>2320</v>
      </c>
      <c r="D857" s="3" t="s">
        <v>2321</v>
      </c>
      <c r="E857" s="5">
        <v>30118.0</v>
      </c>
      <c r="F857" s="3">
        <v>2.9606847E7</v>
      </c>
      <c r="G857" s="3">
        <v>3.516360085E9</v>
      </c>
      <c r="H857" s="3" t="s">
        <v>21</v>
      </c>
      <c r="I857" s="3" t="s">
        <v>22</v>
      </c>
      <c r="K857" s="3" t="s">
        <v>1132</v>
      </c>
      <c r="L857" s="3" t="s">
        <v>2322</v>
      </c>
      <c r="M857" s="3" t="s">
        <v>1137</v>
      </c>
      <c r="O857" s="3" t="s">
        <v>2323</v>
      </c>
      <c r="R857" s="7" t="str">
        <f>IF(H857="","",VLOOKUP(H857,'Hoja 9'!$A$1:$B$255,2,0))</f>
        <v>GOOGLE</v>
      </c>
      <c r="S857" s="7">
        <f t="shared" si="1"/>
        <v>2025</v>
      </c>
      <c r="T857" s="7">
        <f t="shared" si="2"/>
        <v>1</v>
      </c>
    </row>
    <row r="858">
      <c r="A858" s="4">
        <v>45685.72976318287</v>
      </c>
      <c r="B858" s="3" t="s">
        <v>2324</v>
      </c>
      <c r="C858" s="3" t="s">
        <v>2325</v>
      </c>
      <c r="D858" s="3" t="s">
        <v>2326</v>
      </c>
      <c r="E858" s="5">
        <v>35024.0</v>
      </c>
      <c r="F858" s="3">
        <v>3.8301848E7</v>
      </c>
      <c r="G858" s="3">
        <v>3.517897449E9</v>
      </c>
      <c r="H858" s="3" t="s">
        <v>244</v>
      </c>
      <c r="I858" s="3" t="s">
        <v>22</v>
      </c>
      <c r="K858" s="3" t="s">
        <v>1132</v>
      </c>
      <c r="L858" s="3" t="s">
        <v>1693</v>
      </c>
      <c r="M858" s="3" t="s">
        <v>1137</v>
      </c>
      <c r="O858" s="3" t="s">
        <v>287</v>
      </c>
      <c r="R858" s="7" t="str">
        <f>IF(H858="","",VLOOKUP(H858,'Hoja 9'!$A$1:$B$255,2,0))</f>
        <v>META</v>
      </c>
      <c r="S858" s="7">
        <f t="shared" si="1"/>
        <v>2025</v>
      </c>
      <c r="T858" s="7">
        <f t="shared" si="2"/>
        <v>1</v>
      </c>
    </row>
    <row r="859">
      <c r="A859" s="4">
        <v>45685.74581790509</v>
      </c>
      <c r="B859" s="3" t="s">
        <v>2327</v>
      </c>
      <c r="C859" s="3" t="s">
        <v>420</v>
      </c>
      <c r="D859" s="3" t="s">
        <v>2328</v>
      </c>
      <c r="E859" s="5">
        <v>28799.0</v>
      </c>
      <c r="F859" s="3">
        <v>2.6313462E7</v>
      </c>
      <c r="G859" s="3">
        <v>3.517527532E9</v>
      </c>
      <c r="H859" s="3" t="s">
        <v>44</v>
      </c>
      <c r="I859" s="3" t="s">
        <v>28</v>
      </c>
      <c r="K859" s="3" t="s">
        <v>1132</v>
      </c>
      <c r="L859" s="3" t="s">
        <v>2329</v>
      </c>
      <c r="M859" s="3" t="s">
        <v>1213</v>
      </c>
      <c r="R859" s="7" t="str">
        <f>IF(H859="","",VLOOKUP(H859,'Hoja 9'!$A$1:$B$255,2,0))</f>
        <v>GIMNASIO</v>
      </c>
      <c r="S859" s="7">
        <f t="shared" si="1"/>
        <v>2025</v>
      </c>
      <c r="T859" s="7">
        <f t="shared" si="2"/>
        <v>1</v>
      </c>
    </row>
    <row r="860">
      <c r="A860" s="4">
        <v>45686.450112164355</v>
      </c>
      <c r="B860" s="3" t="s">
        <v>2192</v>
      </c>
      <c r="C860" s="3" t="s">
        <v>738</v>
      </c>
      <c r="D860" s="3" t="s">
        <v>2330</v>
      </c>
      <c r="E860" s="5">
        <v>25748.0</v>
      </c>
      <c r="F860" s="3">
        <v>2.1610301E7</v>
      </c>
      <c r="G860" s="3">
        <v>2.645010314E9</v>
      </c>
      <c r="H860" s="3" t="s">
        <v>27</v>
      </c>
      <c r="I860" s="3" t="s">
        <v>22</v>
      </c>
      <c r="K860" s="3" t="s">
        <v>1132</v>
      </c>
      <c r="L860" s="3" t="s">
        <v>1133</v>
      </c>
      <c r="M860" s="3" t="s">
        <v>1134</v>
      </c>
      <c r="O860" s="3" t="s">
        <v>287</v>
      </c>
      <c r="R860" s="7" t="str">
        <f>IF(H860="","",VLOOKUP(H860,'Hoja 9'!$A$1:$B$255,2,0))</f>
        <v>BOCA EN BOCA</v>
      </c>
      <c r="S860" s="7">
        <f t="shared" si="1"/>
        <v>2025</v>
      </c>
      <c r="T860" s="7">
        <f t="shared" si="2"/>
        <v>1</v>
      </c>
    </row>
    <row r="861">
      <c r="A861" s="4">
        <v>45686.726683009256</v>
      </c>
      <c r="B861" s="3" t="s">
        <v>2331</v>
      </c>
      <c r="C861" s="3" t="s">
        <v>2332</v>
      </c>
      <c r="D861" s="3" t="s">
        <v>2333</v>
      </c>
      <c r="E861" s="5">
        <v>33100.0</v>
      </c>
      <c r="F861" s="3">
        <v>4.1815006E7</v>
      </c>
      <c r="G861" s="3">
        <v>3.517526765E9</v>
      </c>
      <c r="H861" s="3" t="s">
        <v>244</v>
      </c>
      <c r="I861" s="3" t="s">
        <v>28</v>
      </c>
      <c r="K861" s="3" t="s">
        <v>1132</v>
      </c>
      <c r="L861" s="3" t="s">
        <v>1136</v>
      </c>
      <c r="M861" s="3" t="s">
        <v>1134</v>
      </c>
      <c r="R861" s="7" t="str">
        <f>IF(H861="","",VLOOKUP(H861,'Hoja 9'!$A$1:$B$255,2,0))</f>
        <v>META</v>
      </c>
      <c r="S861" s="7">
        <f t="shared" si="1"/>
        <v>2025</v>
      </c>
      <c r="T861" s="7">
        <f t="shared" si="2"/>
        <v>1</v>
      </c>
    </row>
    <row r="862">
      <c r="A862" s="4">
        <v>45686.75207028935</v>
      </c>
      <c r="B862" s="3" t="s">
        <v>1272</v>
      </c>
      <c r="C862" s="3" t="s">
        <v>2334</v>
      </c>
      <c r="D862" s="3" t="s">
        <v>2335</v>
      </c>
      <c r="E862" s="5">
        <v>24567.0</v>
      </c>
      <c r="F862" s="3">
        <v>1.8302572E7</v>
      </c>
      <c r="G862" s="3">
        <v>3.515157379E9</v>
      </c>
      <c r="H862" s="3" t="s">
        <v>27</v>
      </c>
      <c r="I862" s="3" t="s">
        <v>22</v>
      </c>
      <c r="K862" s="3" t="s">
        <v>1132</v>
      </c>
      <c r="L862" s="3" t="s">
        <v>1133</v>
      </c>
      <c r="M862" s="3" t="s">
        <v>1137</v>
      </c>
      <c r="O862" s="3" t="s">
        <v>58</v>
      </c>
      <c r="R862" s="7" t="str">
        <f>IF(H862="","",VLOOKUP(H862,'Hoja 9'!$A$1:$B$255,2,0))</f>
        <v>BOCA EN BOCA</v>
      </c>
      <c r="S862" s="7">
        <f t="shared" si="1"/>
        <v>2025</v>
      </c>
      <c r="T862" s="7">
        <f t="shared" si="2"/>
        <v>1</v>
      </c>
    </row>
    <row r="863">
      <c r="A863" s="4">
        <v>45687.66891158565</v>
      </c>
      <c r="B863" s="3" t="s">
        <v>2336</v>
      </c>
      <c r="C863" s="3" t="s">
        <v>2337</v>
      </c>
      <c r="E863" s="5">
        <v>23353.0</v>
      </c>
      <c r="F863" s="3">
        <v>1.6740824E7</v>
      </c>
      <c r="G863" s="3">
        <v>3.512680068E9</v>
      </c>
      <c r="H863" s="3" t="s">
        <v>27</v>
      </c>
      <c r="I863" s="3" t="s">
        <v>22</v>
      </c>
      <c r="K863" s="3" t="s">
        <v>1145</v>
      </c>
      <c r="R863" s="7" t="str">
        <f>IF(H863="","",VLOOKUP(H863,'Hoja 9'!$A$1:$B$255,2,0))</f>
        <v>BOCA EN BOCA</v>
      </c>
      <c r="S863" s="7">
        <f t="shared" si="1"/>
        <v>2025</v>
      </c>
      <c r="T863" s="7">
        <f t="shared" si="2"/>
        <v>1</v>
      </c>
    </row>
    <row r="864">
      <c r="A864" s="4">
        <v>45688.448191944444</v>
      </c>
      <c r="B864" s="3" t="s">
        <v>787</v>
      </c>
      <c r="C864" s="3" t="s">
        <v>738</v>
      </c>
      <c r="D864" s="3" t="s">
        <v>2338</v>
      </c>
      <c r="E864" s="5">
        <v>34727.0</v>
      </c>
      <c r="F864" s="3">
        <v>3.8647952E7</v>
      </c>
      <c r="G864" s="3">
        <v>3.518022205E9</v>
      </c>
      <c r="H864" s="3" t="s">
        <v>44</v>
      </c>
      <c r="I864" s="3" t="s">
        <v>28</v>
      </c>
      <c r="K864" s="3" t="s">
        <v>1132</v>
      </c>
      <c r="L864" s="3" t="s">
        <v>2339</v>
      </c>
      <c r="M864" s="3" t="s">
        <v>1134</v>
      </c>
      <c r="R864" s="7" t="str">
        <f>IF(H864="","",VLOOKUP(H864,'Hoja 9'!$A$1:$B$255,2,0))</f>
        <v>GIMNASIO</v>
      </c>
      <c r="S864" s="7">
        <f t="shared" si="1"/>
        <v>2025</v>
      </c>
      <c r="T864" s="7">
        <f t="shared" si="2"/>
        <v>1</v>
      </c>
    </row>
    <row r="865">
      <c r="A865" s="4">
        <v>45692.67886609954</v>
      </c>
      <c r="B865" s="3" t="s">
        <v>2340</v>
      </c>
      <c r="C865" s="3" t="s">
        <v>2341</v>
      </c>
      <c r="E865" s="5">
        <v>19926.0</v>
      </c>
      <c r="F865" s="3">
        <v>1.1244221E7</v>
      </c>
      <c r="G865" s="3">
        <v>3.516724587E9</v>
      </c>
      <c r="H865" s="3" t="s">
        <v>27</v>
      </c>
      <c r="I865" s="3" t="s">
        <v>22</v>
      </c>
      <c r="K865" s="3" t="s">
        <v>1132</v>
      </c>
      <c r="L865" s="3" t="s">
        <v>1133</v>
      </c>
      <c r="M865" s="3" t="s">
        <v>1137</v>
      </c>
      <c r="O865" s="3" t="s">
        <v>23</v>
      </c>
      <c r="R865" s="7" t="str">
        <f>IF(H865="","",VLOOKUP(H865,'Hoja 9'!$A$1:$B$255,2,0))</f>
        <v>BOCA EN BOCA</v>
      </c>
      <c r="S865" s="7">
        <f t="shared" si="1"/>
        <v>2025</v>
      </c>
      <c r="T865" s="7">
        <f t="shared" si="2"/>
        <v>2</v>
      </c>
    </row>
    <row r="866">
      <c r="A866" s="4">
        <v>45692.956764097224</v>
      </c>
      <c r="B866" s="3" t="s">
        <v>2342</v>
      </c>
      <c r="C866" s="3" t="s">
        <v>2343</v>
      </c>
      <c r="D866" s="3" t="s">
        <v>2344</v>
      </c>
      <c r="E866" s="5">
        <v>31362.0</v>
      </c>
      <c r="F866" s="3">
        <v>3.1890251E7</v>
      </c>
      <c r="G866" s="3">
        <v>3.41350852E9</v>
      </c>
      <c r="H866" s="3" t="s">
        <v>27</v>
      </c>
      <c r="I866" s="3" t="s">
        <v>22</v>
      </c>
      <c r="K866" s="3" t="s">
        <v>1145</v>
      </c>
      <c r="O866" s="3" t="s">
        <v>149</v>
      </c>
      <c r="R866" s="7" t="str">
        <f>IF(H866="","",VLOOKUP(H866,'Hoja 9'!$A$1:$B$255,2,0))</f>
        <v>BOCA EN BOCA</v>
      </c>
      <c r="S866" s="7">
        <f t="shared" si="1"/>
        <v>2025</v>
      </c>
      <c r="T866" s="7">
        <f t="shared" si="2"/>
        <v>2</v>
      </c>
    </row>
    <row r="867">
      <c r="A867" s="4">
        <v>45693.436704039355</v>
      </c>
      <c r="B867" s="3" t="s">
        <v>2345</v>
      </c>
      <c r="C867" s="3" t="s">
        <v>820</v>
      </c>
      <c r="D867" s="3" t="s">
        <v>2346</v>
      </c>
      <c r="E867" s="5">
        <v>33157.0</v>
      </c>
      <c r="F867" s="3">
        <v>3.5282113E7</v>
      </c>
      <c r="G867" s="3">
        <v>3.515162829E9</v>
      </c>
      <c r="H867" s="3" t="s">
        <v>27</v>
      </c>
      <c r="I867" s="3" t="s">
        <v>28</v>
      </c>
      <c r="K867" s="3" t="s">
        <v>1132</v>
      </c>
      <c r="L867" s="3" t="s">
        <v>1136</v>
      </c>
      <c r="M867" s="3" t="s">
        <v>1134</v>
      </c>
      <c r="R867" s="7" t="str">
        <f>IF(H867="","",VLOOKUP(H867,'Hoja 9'!$A$1:$B$255,2,0))</f>
        <v>BOCA EN BOCA</v>
      </c>
      <c r="S867" s="7">
        <f t="shared" si="1"/>
        <v>2025</v>
      </c>
      <c r="T867" s="7">
        <f t="shared" si="2"/>
        <v>2</v>
      </c>
    </row>
    <row r="868">
      <c r="A868" s="4">
        <v>45693.524811655094</v>
      </c>
      <c r="B868" s="3" t="s">
        <v>2347</v>
      </c>
      <c r="C868" s="3" t="s">
        <v>2348</v>
      </c>
      <c r="D868" s="3" t="s">
        <v>2349</v>
      </c>
      <c r="E868" s="5">
        <v>29182.0</v>
      </c>
      <c r="F868" s="3">
        <v>2.7656971E7</v>
      </c>
      <c r="G868" s="3">
        <v>3.516754851E9</v>
      </c>
      <c r="H868" s="3" t="s">
        <v>27</v>
      </c>
      <c r="I868" s="3" t="s">
        <v>22</v>
      </c>
      <c r="K868" s="3" t="s">
        <v>1132</v>
      </c>
      <c r="L868" s="3" t="s">
        <v>2350</v>
      </c>
      <c r="M868" s="3" t="s">
        <v>1134</v>
      </c>
      <c r="O868" s="3" t="s">
        <v>23</v>
      </c>
      <c r="R868" s="7" t="str">
        <f>IF(H868="","",VLOOKUP(H868,'Hoja 9'!$A$1:$B$255,2,0))</f>
        <v>BOCA EN BOCA</v>
      </c>
      <c r="S868" s="7">
        <f t="shared" si="1"/>
        <v>2025</v>
      </c>
      <c r="T868" s="7">
        <f t="shared" si="2"/>
        <v>2</v>
      </c>
    </row>
    <row r="869">
      <c r="A869" s="4">
        <v>45693.86325304398</v>
      </c>
      <c r="B869" s="3" t="s">
        <v>2351</v>
      </c>
      <c r="C869" s="3" t="s">
        <v>2352</v>
      </c>
      <c r="D869" s="3" t="s">
        <v>2353</v>
      </c>
      <c r="E869" s="5">
        <v>36685.0</v>
      </c>
      <c r="F869" s="3">
        <v>4.2513817E7</v>
      </c>
      <c r="G869" s="3">
        <v>3.516453248E9</v>
      </c>
      <c r="H869" s="3" t="s">
        <v>27</v>
      </c>
      <c r="I869" s="3" t="s">
        <v>28</v>
      </c>
      <c r="K869" s="3" t="s">
        <v>1145</v>
      </c>
      <c r="R869" s="7" t="str">
        <f>IF(H869="","",VLOOKUP(H869,'Hoja 9'!$A$1:$B$255,2,0))</f>
        <v>BOCA EN BOCA</v>
      </c>
      <c r="S869" s="7">
        <f t="shared" si="1"/>
        <v>2025</v>
      </c>
      <c r="T869" s="7">
        <f t="shared" si="2"/>
        <v>2</v>
      </c>
    </row>
    <row r="870">
      <c r="A870" s="4">
        <v>45694.477552916665</v>
      </c>
      <c r="B870" s="3" t="s">
        <v>2354</v>
      </c>
      <c r="C870" s="3" t="s">
        <v>2355</v>
      </c>
      <c r="D870" s="12" t="s">
        <v>2356</v>
      </c>
      <c r="E870" s="5">
        <v>17371.0</v>
      </c>
      <c r="F870" s="3">
        <v>7997880.0</v>
      </c>
      <c r="G870" s="3">
        <v>3.513464188E9</v>
      </c>
      <c r="H870" s="3" t="s">
        <v>27</v>
      </c>
      <c r="I870" s="3" t="s">
        <v>28</v>
      </c>
      <c r="K870" s="3" t="s">
        <v>1145</v>
      </c>
      <c r="R870" s="7" t="str">
        <f>IF(H870="","",VLOOKUP(H870,'Hoja 9'!$A$1:$B$255,2,0))</f>
        <v>BOCA EN BOCA</v>
      </c>
      <c r="S870" s="7">
        <f t="shared" si="1"/>
        <v>2025</v>
      </c>
      <c r="T870" s="7">
        <f t="shared" si="2"/>
        <v>2</v>
      </c>
    </row>
    <row r="871">
      <c r="A871" s="4">
        <v>45698.46359453704</v>
      </c>
      <c r="B871" s="3" t="s">
        <v>2357</v>
      </c>
      <c r="C871" s="3" t="s">
        <v>162</v>
      </c>
      <c r="D871" s="3" t="s">
        <v>2358</v>
      </c>
      <c r="E871" s="5">
        <v>32511.0</v>
      </c>
      <c r="F871" s="3">
        <v>3.4131648E7</v>
      </c>
      <c r="G871" s="3">
        <v>3.51399996E9</v>
      </c>
      <c r="H871" s="3" t="s">
        <v>21</v>
      </c>
      <c r="I871" s="3" t="s">
        <v>28</v>
      </c>
      <c r="K871" s="3" t="s">
        <v>1132</v>
      </c>
      <c r="L871" s="3" t="s">
        <v>1133</v>
      </c>
      <c r="M871" s="3" t="s">
        <v>1134</v>
      </c>
      <c r="R871" s="7" t="str">
        <f>IF(H871="","",VLOOKUP(H871,'Hoja 9'!$A$1:$B$255,2,0))</f>
        <v>GOOGLE</v>
      </c>
      <c r="S871" s="7">
        <f t="shared" si="1"/>
        <v>2025</v>
      </c>
      <c r="T871" s="7">
        <f t="shared" si="2"/>
        <v>2</v>
      </c>
    </row>
    <row r="872">
      <c r="A872" s="4">
        <v>45699.798671481476</v>
      </c>
      <c r="B872" s="3" t="s">
        <v>394</v>
      </c>
      <c r="C872" s="3" t="s">
        <v>2359</v>
      </c>
      <c r="D872" s="3" t="s">
        <v>2360</v>
      </c>
      <c r="E872" s="5">
        <v>36353.0</v>
      </c>
      <c r="F872" s="3">
        <v>4.1963156E7</v>
      </c>
      <c r="G872" s="3">
        <v>3.515060402E9</v>
      </c>
      <c r="H872" s="3" t="s">
        <v>27</v>
      </c>
      <c r="I872" s="3" t="s">
        <v>22</v>
      </c>
      <c r="K872" s="3" t="s">
        <v>1132</v>
      </c>
      <c r="L872" s="3" t="s">
        <v>2361</v>
      </c>
      <c r="M872" s="3" t="s">
        <v>1213</v>
      </c>
      <c r="O872" s="3" t="s">
        <v>149</v>
      </c>
      <c r="R872" s="7" t="str">
        <f>IF(H872="","",VLOOKUP(H872,'Hoja 9'!$A$1:$B$255,2,0))</f>
        <v>BOCA EN BOCA</v>
      </c>
      <c r="S872" s="7">
        <f t="shared" si="1"/>
        <v>2025</v>
      </c>
      <c r="T872" s="7">
        <f t="shared" si="2"/>
        <v>2</v>
      </c>
    </row>
    <row r="873">
      <c r="A873" s="4">
        <v>45700.81271989583</v>
      </c>
      <c r="B873" s="3" t="s">
        <v>2362</v>
      </c>
      <c r="C873" s="3" t="s">
        <v>2363</v>
      </c>
      <c r="D873" s="3" t="s">
        <v>2364</v>
      </c>
      <c r="E873" s="5">
        <v>15417.0</v>
      </c>
      <c r="F873" s="3">
        <v>4424142.0</v>
      </c>
      <c r="G873" s="3">
        <v>3.512261824E9</v>
      </c>
      <c r="H873" s="3" t="s">
        <v>27</v>
      </c>
      <c r="I873" s="3" t="s">
        <v>22</v>
      </c>
      <c r="K873" s="3" t="s">
        <v>1145</v>
      </c>
      <c r="O873" s="3" t="s">
        <v>23</v>
      </c>
      <c r="R873" s="7" t="str">
        <f>IF(H873="","",VLOOKUP(H873,'Hoja 9'!$A$1:$B$255,2,0))</f>
        <v>BOCA EN BOCA</v>
      </c>
      <c r="S873" s="7">
        <f t="shared" si="1"/>
        <v>2025</v>
      </c>
      <c r="T873" s="7">
        <f t="shared" si="2"/>
        <v>2</v>
      </c>
    </row>
    <row r="874">
      <c r="A874" s="4">
        <v>45701.36085081019</v>
      </c>
      <c r="B874" s="3" t="s">
        <v>526</v>
      </c>
      <c r="C874" s="3" t="s">
        <v>1395</v>
      </c>
      <c r="D874" s="3" t="s">
        <v>2365</v>
      </c>
      <c r="E874" s="5">
        <v>32216.0</v>
      </c>
      <c r="F874" s="3">
        <v>3.3712713E7</v>
      </c>
      <c r="G874" s="3">
        <v>3.512369338E9</v>
      </c>
      <c r="H874" s="3" t="s">
        <v>27</v>
      </c>
      <c r="I874" s="3" t="s">
        <v>28</v>
      </c>
      <c r="K874" s="3" t="s">
        <v>1132</v>
      </c>
      <c r="L874" s="3" t="s">
        <v>2366</v>
      </c>
      <c r="M874" s="3" t="s">
        <v>1134</v>
      </c>
      <c r="R874" s="7" t="str">
        <f>IF(H874="","",VLOOKUP(H874,'Hoja 9'!$A$1:$B$255,2,0))</f>
        <v>BOCA EN BOCA</v>
      </c>
      <c r="S874" s="7">
        <f t="shared" si="1"/>
        <v>2025</v>
      </c>
      <c r="T874" s="7">
        <f t="shared" si="2"/>
        <v>2</v>
      </c>
    </row>
    <row r="875">
      <c r="A875" s="4">
        <v>45701.49758167824</v>
      </c>
      <c r="B875" s="3" t="s">
        <v>2367</v>
      </c>
      <c r="C875" s="3" t="s">
        <v>2368</v>
      </c>
      <c r="D875" s="3" t="s">
        <v>2369</v>
      </c>
      <c r="E875" s="5">
        <v>25950.0</v>
      </c>
      <c r="F875" s="3">
        <v>2.2033078E7</v>
      </c>
      <c r="G875" s="3">
        <v>3.513189192E9</v>
      </c>
      <c r="H875" s="3" t="s">
        <v>27</v>
      </c>
      <c r="I875" s="3" t="s">
        <v>28</v>
      </c>
      <c r="K875" s="3" t="s">
        <v>1132</v>
      </c>
      <c r="L875" s="3" t="s">
        <v>1300</v>
      </c>
      <c r="M875" s="3" t="s">
        <v>1137</v>
      </c>
      <c r="R875" s="7" t="str">
        <f>IF(H875="","",VLOOKUP(H875,'Hoja 9'!$A$1:$B$255,2,0))</f>
        <v>BOCA EN BOCA</v>
      </c>
      <c r="S875" s="7">
        <f t="shared" si="1"/>
        <v>2025</v>
      </c>
      <c r="T875" s="7">
        <f t="shared" si="2"/>
        <v>2</v>
      </c>
    </row>
    <row r="876">
      <c r="A876" s="4">
        <v>45701.51936939815</v>
      </c>
      <c r="B876" s="3" t="s">
        <v>2370</v>
      </c>
      <c r="C876" s="3" t="s">
        <v>2371</v>
      </c>
      <c r="D876" s="3" t="s">
        <v>2372</v>
      </c>
      <c r="E876" s="5">
        <v>15417.0</v>
      </c>
      <c r="F876" s="3">
        <v>4424142.0</v>
      </c>
      <c r="G876" s="3">
        <v>3.512261824E9</v>
      </c>
      <c r="H876" s="3" t="s">
        <v>27</v>
      </c>
      <c r="I876" s="3" t="s">
        <v>22</v>
      </c>
      <c r="K876" s="3" t="s">
        <v>1145</v>
      </c>
      <c r="O876" s="3" t="s">
        <v>23</v>
      </c>
      <c r="R876" s="7" t="str">
        <f>IF(H876="","",VLOOKUP(H876,'Hoja 9'!$A$1:$B$255,2,0))</f>
        <v>BOCA EN BOCA</v>
      </c>
      <c r="S876" s="7">
        <f t="shared" si="1"/>
        <v>2025</v>
      </c>
      <c r="T876" s="7">
        <f t="shared" si="2"/>
        <v>2</v>
      </c>
    </row>
    <row r="877">
      <c r="A877" s="4">
        <v>45701.55396711806</v>
      </c>
      <c r="B877" s="3" t="s">
        <v>2218</v>
      </c>
      <c r="C877" s="3" t="s">
        <v>1845</v>
      </c>
      <c r="D877" s="3" t="s">
        <v>2373</v>
      </c>
      <c r="E877" s="5">
        <v>37895.0</v>
      </c>
      <c r="F877" s="3">
        <v>4.497021E7</v>
      </c>
      <c r="G877" s="3">
        <v>3.51205225E9</v>
      </c>
      <c r="H877" s="3" t="s">
        <v>27</v>
      </c>
      <c r="I877" s="3" t="s">
        <v>22</v>
      </c>
      <c r="K877" s="3" t="s">
        <v>1132</v>
      </c>
      <c r="L877" s="3" t="s">
        <v>1136</v>
      </c>
      <c r="M877" s="3" t="s">
        <v>1134</v>
      </c>
      <c r="O877" s="3" t="s">
        <v>23</v>
      </c>
      <c r="R877" s="7" t="str">
        <f>IF(H877="","",VLOOKUP(H877,'Hoja 9'!$A$1:$B$255,2,0))</f>
        <v>BOCA EN BOCA</v>
      </c>
      <c r="S877" s="7">
        <f t="shared" si="1"/>
        <v>2025</v>
      </c>
      <c r="T877" s="7">
        <f t="shared" si="2"/>
        <v>2</v>
      </c>
    </row>
    <row r="878">
      <c r="A878" s="4">
        <v>45701.66398020834</v>
      </c>
      <c r="B878" s="3" t="s">
        <v>2374</v>
      </c>
      <c r="C878" s="3" t="s">
        <v>2375</v>
      </c>
      <c r="E878" s="5">
        <v>33434.0</v>
      </c>
      <c r="F878" s="3">
        <v>3.6239241E7</v>
      </c>
      <c r="G878" s="3">
        <v>3.51312215E9</v>
      </c>
      <c r="H878" s="3" t="s">
        <v>44</v>
      </c>
      <c r="I878" s="3" t="s">
        <v>28</v>
      </c>
      <c r="K878" s="3" t="s">
        <v>1132</v>
      </c>
      <c r="L878" s="3" t="s">
        <v>1133</v>
      </c>
      <c r="M878" s="3" t="s">
        <v>1134</v>
      </c>
      <c r="R878" s="7" t="str">
        <f>IF(H878="","",VLOOKUP(H878,'Hoja 9'!$A$1:$B$255,2,0))</f>
        <v>GIMNASIO</v>
      </c>
      <c r="S878" s="7">
        <f t="shared" si="1"/>
        <v>2025</v>
      </c>
      <c r="T878" s="7">
        <f t="shared" si="2"/>
        <v>2</v>
      </c>
    </row>
    <row r="879">
      <c r="A879" s="4">
        <v>45702.75850506945</v>
      </c>
      <c r="B879" s="3" t="s">
        <v>2376</v>
      </c>
      <c r="C879" s="3" t="s">
        <v>2377</v>
      </c>
      <c r="E879" s="5">
        <v>19363.0</v>
      </c>
      <c r="F879" s="3">
        <v>1.0333579E7</v>
      </c>
      <c r="G879" s="3">
        <v>3.513022014E9</v>
      </c>
      <c r="H879" s="3" t="s">
        <v>44</v>
      </c>
      <c r="I879" s="3" t="s">
        <v>28</v>
      </c>
      <c r="K879" s="3" t="s">
        <v>1132</v>
      </c>
      <c r="L879" s="3" t="s">
        <v>1133</v>
      </c>
      <c r="M879" s="3" t="s">
        <v>1137</v>
      </c>
      <c r="R879" s="7" t="str">
        <f>IF(H879="","",VLOOKUP(H879,'Hoja 9'!$A$1:$B$255,2,0))</f>
        <v>GIMNASIO</v>
      </c>
      <c r="S879" s="7">
        <f t="shared" si="1"/>
        <v>2025</v>
      </c>
      <c r="T879" s="7">
        <f t="shared" si="2"/>
        <v>2</v>
      </c>
    </row>
    <row r="880">
      <c r="A880" s="4">
        <v>45702.820223310184</v>
      </c>
      <c r="B880" s="3" t="s">
        <v>2378</v>
      </c>
      <c r="C880" s="3" t="s">
        <v>2379</v>
      </c>
      <c r="D880" s="3" t="s">
        <v>2380</v>
      </c>
      <c r="E880" s="5">
        <v>28606.0</v>
      </c>
      <c r="F880" s="3">
        <v>2.5561899E7</v>
      </c>
      <c r="G880" s="3">
        <v>3.51701939E9</v>
      </c>
      <c r="H880" s="3" t="s">
        <v>2381</v>
      </c>
      <c r="I880" s="3" t="s">
        <v>22</v>
      </c>
      <c r="K880" s="3" t="s">
        <v>1132</v>
      </c>
      <c r="L880" s="3" t="s">
        <v>2382</v>
      </c>
      <c r="M880" s="3" t="s">
        <v>1134</v>
      </c>
      <c r="O880" s="3" t="s">
        <v>1828</v>
      </c>
      <c r="R880" s="7" t="str">
        <f>IF(H880="","",VLOOKUP(H880,'Hoja 9'!$A$1:$B$255,2,0))</f>
        <v>BOCA EN BOCA</v>
      </c>
      <c r="S880" s="7">
        <f t="shared" si="1"/>
        <v>2025</v>
      </c>
      <c r="T880" s="7">
        <f t="shared" si="2"/>
        <v>2</v>
      </c>
    </row>
    <row r="881">
      <c r="A881" s="4">
        <v>45705.44299895833</v>
      </c>
      <c r="B881" s="3" t="s">
        <v>2383</v>
      </c>
      <c r="C881" s="3" t="s">
        <v>2384</v>
      </c>
      <c r="D881" s="3" t="s">
        <v>2385</v>
      </c>
      <c r="E881" s="5">
        <v>38948.0</v>
      </c>
      <c r="F881" s="3">
        <v>4.7350672E7</v>
      </c>
      <c r="G881" s="3">
        <v>3.515449219E9</v>
      </c>
      <c r="H881" s="3" t="s">
        <v>148</v>
      </c>
      <c r="I881" s="3" t="s">
        <v>22</v>
      </c>
      <c r="K881" s="3" t="s">
        <v>1132</v>
      </c>
      <c r="L881" s="3" t="s">
        <v>1133</v>
      </c>
      <c r="M881" s="3" t="s">
        <v>1134</v>
      </c>
      <c r="O881" s="3" t="s">
        <v>23</v>
      </c>
      <c r="R881" s="7" t="str">
        <f>IF(H881="","",VLOOKUP(H881,'Hoja 9'!$A$1:$B$255,2,0))</f>
        <v>OBRA SOCIAL</v>
      </c>
      <c r="S881" s="7">
        <f t="shared" si="1"/>
        <v>2025</v>
      </c>
      <c r="T881" s="7">
        <f t="shared" si="2"/>
        <v>2</v>
      </c>
    </row>
    <row r="882">
      <c r="A882" s="4">
        <v>45705.82572033565</v>
      </c>
      <c r="B882" s="3" t="s">
        <v>488</v>
      </c>
      <c r="C882" s="3" t="s">
        <v>1241</v>
      </c>
      <c r="D882" s="3" t="s">
        <v>2386</v>
      </c>
      <c r="E882" s="5">
        <v>35844.0</v>
      </c>
      <c r="F882" s="3">
        <v>4.0963503E7</v>
      </c>
      <c r="G882" s="3">
        <v>3.512069785E9</v>
      </c>
      <c r="H882" s="3" t="s">
        <v>44</v>
      </c>
      <c r="I882" s="3" t="s">
        <v>28</v>
      </c>
      <c r="K882" s="3" t="s">
        <v>1132</v>
      </c>
      <c r="L882" s="3" t="s">
        <v>2387</v>
      </c>
      <c r="M882" s="3" t="s">
        <v>1213</v>
      </c>
      <c r="R882" s="7" t="str">
        <f>IF(H882="","",VLOOKUP(H882,'Hoja 9'!$A$1:$B$255,2,0))</f>
        <v>GIMNASIO</v>
      </c>
      <c r="S882" s="7">
        <f t="shared" si="1"/>
        <v>2025</v>
      </c>
      <c r="T882" s="7">
        <f t="shared" si="2"/>
        <v>2</v>
      </c>
    </row>
    <row r="883">
      <c r="A883" s="4">
        <v>45706.80956405093</v>
      </c>
      <c r="B883" s="3" t="s">
        <v>2388</v>
      </c>
      <c r="C883" s="3" t="s">
        <v>1241</v>
      </c>
      <c r="D883" s="3" t="s">
        <v>2389</v>
      </c>
      <c r="E883" s="5">
        <v>31400.0</v>
      </c>
      <c r="F883" s="3">
        <v>3.1922296E7</v>
      </c>
      <c r="G883" s="3">
        <v>3.513467935E9</v>
      </c>
      <c r="H883" s="3" t="s">
        <v>27</v>
      </c>
      <c r="I883" s="3" t="s">
        <v>22</v>
      </c>
      <c r="K883" s="3" t="s">
        <v>1145</v>
      </c>
      <c r="O883" s="3" t="s">
        <v>58</v>
      </c>
      <c r="R883" s="7" t="str">
        <f>IF(H883="","",VLOOKUP(H883,'Hoja 9'!$A$1:$B$255,2,0))</f>
        <v>BOCA EN BOCA</v>
      </c>
      <c r="S883" s="7">
        <f t="shared" si="1"/>
        <v>2025</v>
      </c>
      <c r="T883" s="7">
        <f t="shared" si="2"/>
        <v>2</v>
      </c>
    </row>
    <row r="884">
      <c r="A884" s="4">
        <v>45706.897710879624</v>
      </c>
      <c r="B884" s="3" t="s">
        <v>2390</v>
      </c>
      <c r="C884" s="3" t="s">
        <v>2391</v>
      </c>
      <c r="D884" s="3" t="s">
        <v>2392</v>
      </c>
      <c r="E884" s="5">
        <v>25900.0</v>
      </c>
      <c r="F884" s="3">
        <v>2.196624E7</v>
      </c>
      <c r="G884" s="3">
        <v>3.513392976E9</v>
      </c>
      <c r="H884" s="3" t="s">
        <v>44</v>
      </c>
      <c r="I884" s="3" t="s">
        <v>22</v>
      </c>
      <c r="K884" s="3" t="s">
        <v>1132</v>
      </c>
      <c r="M884" s="3" t="s">
        <v>1137</v>
      </c>
      <c r="O884" s="3" t="s">
        <v>23</v>
      </c>
      <c r="R884" s="7" t="str">
        <f>IF(H884="","",VLOOKUP(H884,'Hoja 9'!$A$1:$B$255,2,0))</f>
        <v>GIMNASIO</v>
      </c>
      <c r="S884" s="7">
        <f t="shared" si="1"/>
        <v>2025</v>
      </c>
      <c r="T884" s="7">
        <f t="shared" si="2"/>
        <v>2</v>
      </c>
    </row>
    <row r="885">
      <c r="A885" s="4">
        <v>45706.93709575231</v>
      </c>
      <c r="B885" s="3" t="s">
        <v>2393</v>
      </c>
      <c r="C885" s="3" t="s">
        <v>2394</v>
      </c>
      <c r="D885" s="3" t="s">
        <v>2395</v>
      </c>
      <c r="E885" s="5">
        <v>22863.0</v>
      </c>
      <c r="F885" s="3">
        <v>1.4969369E7</v>
      </c>
      <c r="G885" s="3">
        <v>3.517052627E9</v>
      </c>
      <c r="H885" s="3" t="s">
        <v>27</v>
      </c>
      <c r="I885" s="3" t="s">
        <v>28</v>
      </c>
      <c r="K885" s="3" t="s">
        <v>1132</v>
      </c>
      <c r="L885" s="3" t="s">
        <v>1133</v>
      </c>
      <c r="M885" s="3" t="s">
        <v>1137</v>
      </c>
      <c r="R885" s="7" t="str">
        <f>IF(H885="","",VLOOKUP(H885,'Hoja 9'!$A$1:$B$255,2,0))</f>
        <v>BOCA EN BOCA</v>
      </c>
      <c r="S885" s="7">
        <f t="shared" si="1"/>
        <v>2025</v>
      </c>
      <c r="T885" s="7">
        <f t="shared" si="2"/>
        <v>2</v>
      </c>
    </row>
    <row r="886">
      <c r="A886" s="4">
        <v>45707.438011886574</v>
      </c>
      <c r="B886" s="3" t="s">
        <v>2396</v>
      </c>
      <c r="C886" s="3" t="s">
        <v>2397</v>
      </c>
      <c r="D886" s="3" t="s">
        <v>2398</v>
      </c>
      <c r="E886" s="5">
        <v>30365.0</v>
      </c>
      <c r="F886" s="3">
        <v>2.9968887E7</v>
      </c>
      <c r="G886" s="3">
        <v>3.513165995E9</v>
      </c>
      <c r="H886" s="3" t="s">
        <v>27</v>
      </c>
      <c r="I886" s="3" t="s">
        <v>22</v>
      </c>
      <c r="K886" s="3" t="s">
        <v>1145</v>
      </c>
      <c r="O886" s="3" t="s">
        <v>23</v>
      </c>
      <c r="R886" s="7" t="str">
        <f>IF(H886="","",VLOOKUP(H886,'Hoja 9'!$A$1:$B$255,2,0))</f>
        <v>BOCA EN BOCA</v>
      </c>
      <c r="S886" s="7">
        <f t="shared" si="1"/>
        <v>2025</v>
      </c>
      <c r="T886" s="7">
        <f t="shared" si="2"/>
        <v>2</v>
      </c>
    </row>
    <row r="887">
      <c r="A887" s="4">
        <v>45707.56767857639</v>
      </c>
      <c r="B887" s="3" t="s">
        <v>2399</v>
      </c>
      <c r="C887" s="3" t="s">
        <v>1486</v>
      </c>
      <c r="D887" s="3" t="s">
        <v>2400</v>
      </c>
      <c r="E887" s="5">
        <v>30338.0</v>
      </c>
      <c r="F887" s="3">
        <v>2.9966564E7</v>
      </c>
      <c r="G887" s="3">
        <v>3.515182172E9</v>
      </c>
      <c r="H887" s="3" t="s">
        <v>27</v>
      </c>
      <c r="I887" s="3" t="s">
        <v>28</v>
      </c>
      <c r="K887" s="3" t="s">
        <v>1132</v>
      </c>
      <c r="L887" s="3" t="s">
        <v>2401</v>
      </c>
      <c r="M887" s="3" t="s">
        <v>1134</v>
      </c>
      <c r="R887" s="7" t="str">
        <f>IF(H887="","",VLOOKUP(H887,'Hoja 9'!$A$1:$B$255,2,0))</f>
        <v>BOCA EN BOCA</v>
      </c>
      <c r="S887" s="7">
        <f t="shared" si="1"/>
        <v>2025</v>
      </c>
      <c r="T887" s="7">
        <f t="shared" si="2"/>
        <v>2</v>
      </c>
    </row>
    <row r="888">
      <c r="A888" s="4">
        <v>45707.796260821764</v>
      </c>
      <c r="B888" s="3" t="s">
        <v>526</v>
      </c>
      <c r="C888" s="3" t="s">
        <v>1256</v>
      </c>
      <c r="D888" s="3" t="s">
        <v>2402</v>
      </c>
      <c r="E888" s="5">
        <v>29667.0</v>
      </c>
      <c r="F888" s="3">
        <v>2.8653571E7</v>
      </c>
      <c r="G888" s="3">
        <v>3.517421823E9</v>
      </c>
      <c r="H888" s="3" t="s">
        <v>44</v>
      </c>
      <c r="I888" s="3" t="s">
        <v>22</v>
      </c>
      <c r="K888" s="3" t="s">
        <v>1132</v>
      </c>
      <c r="L888" s="3" t="s">
        <v>1133</v>
      </c>
      <c r="M888" s="3" t="s">
        <v>1134</v>
      </c>
      <c r="O888" s="3" t="s">
        <v>23</v>
      </c>
      <c r="R888" s="7" t="str">
        <f>IF(H888="","",VLOOKUP(H888,'Hoja 9'!$A$1:$B$255,2,0))</f>
        <v>GIMNASIO</v>
      </c>
      <c r="S888" s="7">
        <f t="shared" si="1"/>
        <v>2025</v>
      </c>
      <c r="T888" s="7">
        <f t="shared" si="2"/>
        <v>2</v>
      </c>
    </row>
    <row r="889">
      <c r="A889" s="4">
        <v>45707.80227774306</v>
      </c>
      <c r="B889" s="3" t="s">
        <v>2403</v>
      </c>
      <c r="C889" s="3" t="s">
        <v>2404</v>
      </c>
      <c r="D889" s="3" t="s">
        <v>2405</v>
      </c>
      <c r="E889" s="5">
        <v>45733.0</v>
      </c>
      <c r="F889" s="3">
        <v>1.8175697E7</v>
      </c>
      <c r="G889" s="3">
        <v>3.514590389E9</v>
      </c>
      <c r="H889" s="3" t="s">
        <v>21</v>
      </c>
      <c r="I889" s="3" t="s">
        <v>22</v>
      </c>
      <c r="K889" s="3" t="s">
        <v>1145</v>
      </c>
      <c r="O889" s="3" t="s">
        <v>23</v>
      </c>
      <c r="R889" s="7" t="str">
        <f>IF(H889="","",VLOOKUP(H889,'Hoja 9'!$A$1:$B$255,2,0))</f>
        <v>GOOGLE</v>
      </c>
      <c r="S889" s="7">
        <f t="shared" si="1"/>
        <v>2025</v>
      </c>
      <c r="T889" s="7">
        <f t="shared" si="2"/>
        <v>2</v>
      </c>
    </row>
    <row r="890">
      <c r="A890" s="4">
        <v>45708.69763740741</v>
      </c>
      <c r="B890" s="3" t="s">
        <v>1784</v>
      </c>
      <c r="C890" s="3" t="s">
        <v>1642</v>
      </c>
      <c r="D890" s="3" t="s">
        <v>2406</v>
      </c>
      <c r="E890" s="5">
        <v>32363.0</v>
      </c>
      <c r="F890" s="3">
        <v>3.4357894E7</v>
      </c>
      <c r="G890" s="3">
        <v>3.517541928E9</v>
      </c>
      <c r="H890" s="3" t="s">
        <v>2407</v>
      </c>
      <c r="I890" s="3" t="s">
        <v>22</v>
      </c>
      <c r="K890" s="3" t="s">
        <v>1132</v>
      </c>
      <c r="L890" s="3" t="s">
        <v>1136</v>
      </c>
      <c r="M890" s="3" t="s">
        <v>1137</v>
      </c>
      <c r="O890" s="3" t="s">
        <v>149</v>
      </c>
      <c r="R890" s="7" t="str">
        <f>IF(H890="","",VLOOKUP(H890,'Hoja 9'!$A$1:$B$255,2,0))</f>
        <v>BOCA EN BOCA</v>
      </c>
      <c r="S890" s="7">
        <f t="shared" si="1"/>
        <v>2025</v>
      </c>
      <c r="T890" s="7">
        <f t="shared" si="2"/>
        <v>2</v>
      </c>
    </row>
    <row r="891">
      <c r="A891" s="4">
        <v>45708.75147903935</v>
      </c>
      <c r="B891" s="3" t="s">
        <v>2408</v>
      </c>
      <c r="C891" s="3" t="s">
        <v>2409</v>
      </c>
      <c r="D891" s="3" t="s">
        <v>2410</v>
      </c>
      <c r="E891" s="5">
        <v>26654.0</v>
      </c>
      <c r="F891" s="3">
        <v>2.27952E7</v>
      </c>
      <c r="G891" s="3">
        <v>3.513578152E9</v>
      </c>
      <c r="H891" s="3" t="s">
        <v>148</v>
      </c>
      <c r="I891" s="3" t="s">
        <v>22</v>
      </c>
      <c r="K891" s="3" t="s">
        <v>1132</v>
      </c>
      <c r="L891" s="3" t="s">
        <v>1568</v>
      </c>
      <c r="M891" s="3" t="s">
        <v>1134</v>
      </c>
      <c r="O891" s="3" t="s">
        <v>287</v>
      </c>
      <c r="R891" s="7" t="str">
        <f>IF(H891="","",VLOOKUP(H891,'Hoja 9'!$A$1:$B$255,2,0))</f>
        <v>OBRA SOCIAL</v>
      </c>
      <c r="S891" s="7">
        <f t="shared" si="1"/>
        <v>2025</v>
      </c>
      <c r="T891" s="7">
        <f t="shared" si="2"/>
        <v>2</v>
      </c>
    </row>
    <row r="892">
      <c r="A892" s="4">
        <v>45709.78920611111</v>
      </c>
      <c r="B892" s="3" t="s">
        <v>2411</v>
      </c>
      <c r="C892" s="3" t="s">
        <v>2412</v>
      </c>
      <c r="D892" s="3" t="s">
        <v>2413</v>
      </c>
      <c r="E892" s="5">
        <v>33414.0</v>
      </c>
      <c r="F892" s="3">
        <v>9.4102164E7</v>
      </c>
      <c r="G892" s="3">
        <v>3.512674033E9</v>
      </c>
      <c r="H892" s="3" t="s">
        <v>44</v>
      </c>
      <c r="I892" s="3" t="s">
        <v>28</v>
      </c>
      <c r="K892" s="3" t="s">
        <v>1132</v>
      </c>
      <c r="L892" s="3" t="s">
        <v>2414</v>
      </c>
      <c r="M892" s="3" t="s">
        <v>1213</v>
      </c>
      <c r="R892" s="7" t="str">
        <f>IF(H892="","",VLOOKUP(H892,'Hoja 9'!$A$1:$B$255,2,0))</f>
        <v>GIMNASIO</v>
      </c>
      <c r="S892" s="7">
        <f t="shared" si="1"/>
        <v>2025</v>
      </c>
      <c r="T892" s="7">
        <f t="shared" si="2"/>
        <v>2</v>
      </c>
    </row>
    <row r="893">
      <c r="A893" s="4">
        <v>45712.64340475695</v>
      </c>
      <c r="B893" s="3" t="s">
        <v>611</v>
      </c>
      <c r="C893" s="3" t="s">
        <v>2415</v>
      </c>
      <c r="E893" s="5">
        <v>27951.0</v>
      </c>
      <c r="F893" s="3">
        <v>2.5441468E7</v>
      </c>
      <c r="G893" s="3">
        <v>3.515904563E9</v>
      </c>
      <c r="H893" s="3" t="s">
        <v>44</v>
      </c>
      <c r="I893" s="3" t="s">
        <v>28</v>
      </c>
      <c r="K893" s="3" t="s">
        <v>1132</v>
      </c>
      <c r="L893" s="3" t="s">
        <v>1496</v>
      </c>
      <c r="M893" s="3" t="s">
        <v>1134</v>
      </c>
      <c r="R893" s="7" t="str">
        <f>IF(H893="","",VLOOKUP(H893,'Hoja 9'!$A$1:$B$255,2,0))</f>
        <v>GIMNASIO</v>
      </c>
      <c r="S893" s="7">
        <f t="shared" si="1"/>
        <v>2025</v>
      </c>
      <c r="T893" s="7">
        <f t="shared" si="2"/>
        <v>2</v>
      </c>
    </row>
    <row r="894">
      <c r="A894" s="4">
        <v>45713.74902092593</v>
      </c>
      <c r="B894" s="3" t="s">
        <v>2416</v>
      </c>
      <c r="C894" s="3" t="s">
        <v>2417</v>
      </c>
      <c r="D894" s="3" t="s">
        <v>2418</v>
      </c>
      <c r="E894" s="5">
        <v>45708.0</v>
      </c>
      <c r="F894" s="3">
        <v>3.5522051E7</v>
      </c>
      <c r="G894" s="3">
        <v>3.518637856E9</v>
      </c>
      <c r="H894" s="3" t="s">
        <v>27</v>
      </c>
      <c r="I894" s="3" t="s">
        <v>28</v>
      </c>
      <c r="K894" s="3" t="s">
        <v>1145</v>
      </c>
      <c r="R894" s="7" t="str">
        <f>IF(H894="","",VLOOKUP(H894,'Hoja 9'!$A$1:$B$255,2,0))</f>
        <v>BOCA EN BOCA</v>
      </c>
      <c r="S894" s="7">
        <f t="shared" si="1"/>
        <v>2025</v>
      </c>
      <c r="T894" s="7">
        <f t="shared" si="2"/>
        <v>2</v>
      </c>
    </row>
    <row r="895">
      <c r="A895" s="4">
        <v>45713.756624664355</v>
      </c>
      <c r="B895" s="3" t="s">
        <v>264</v>
      </c>
      <c r="C895" s="3" t="s">
        <v>1981</v>
      </c>
      <c r="D895" s="3" t="s">
        <v>2419</v>
      </c>
      <c r="E895" s="5">
        <v>41172.0</v>
      </c>
      <c r="F895" s="3">
        <v>5.2743733E7</v>
      </c>
      <c r="G895" s="3">
        <v>3.518637856E9</v>
      </c>
      <c r="H895" s="3" t="s">
        <v>27</v>
      </c>
      <c r="I895" s="3" t="s">
        <v>28</v>
      </c>
      <c r="K895" s="3" t="s">
        <v>1145</v>
      </c>
      <c r="R895" s="7" t="str">
        <f>IF(H895="","",VLOOKUP(H895,'Hoja 9'!$A$1:$B$255,2,0))</f>
        <v>BOCA EN BOCA</v>
      </c>
      <c r="S895" s="7">
        <f t="shared" si="1"/>
        <v>2025</v>
      </c>
      <c r="T895" s="7">
        <f t="shared" si="2"/>
        <v>2</v>
      </c>
    </row>
    <row r="896">
      <c r="A896" s="4">
        <v>45713.78687951389</v>
      </c>
      <c r="B896" s="3" t="s">
        <v>2420</v>
      </c>
      <c r="C896" s="3" t="s">
        <v>833</v>
      </c>
      <c r="E896" s="5">
        <v>25596.0</v>
      </c>
      <c r="F896" s="3">
        <v>2.1408295E7</v>
      </c>
      <c r="G896" s="3">
        <v>3.515104601E9</v>
      </c>
      <c r="H896" s="3" t="s">
        <v>44</v>
      </c>
      <c r="I896" s="3" t="s">
        <v>22</v>
      </c>
      <c r="K896" s="3" t="s">
        <v>1132</v>
      </c>
      <c r="L896" s="3" t="s">
        <v>1133</v>
      </c>
      <c r="M896" s="3" t="s">
        <v>1134</v>
      </c>
      <c r="R896" s="7" t="str">
        <f>IF(H896="","",VLOOKUP(H896,'Hoja 9'!$A$1:$B$255,2,0))</f>
        <v>GIMNASIO</v>
      </c>
      <c r="S896" s="7">
        <f t="shared" si="1"/>
        <v>2025</v>
      </c>
      <c r="T896" s="7">
        <f t="shared" si="2"/>
        <v>2</v>
      </c>
    </row>
    <row r="897">
      <c r="A897" s="4">
        <v>45714.481890717594</v>
      </c>
      <c r="B897" s="3" t="s">
        <v>1560</v>
      </c>
      <c r="C897" s="3" t="s">
        <v>239</v>
      </c>
      <c r="D897" s="3" t="s">
        <v>2421</v>
      </c>
      <c r="E897" s="5">
        <v>33547.0</v>
      </c>
      <c r="F897" s="3">
        <v>3.6141891E7</v>
      </c>
      <c r="G897" s="3">
        <v>3.516561192E9</v>
      </c>
      <c r="H897" s="3" t="s">
        <v>27</v>
      </c>
      <c r="I897" s="3" t="s">
        <v>28</v>
      </c>
      <c r="K897" s="3" t="s">
        <v>1132</v>
      </c>
      <c r="L897" s="3" t="s">
        <v>2422</v>
      </c>
      <c r="M897" s="3" t="s">
        <v>1137</v>
      </c>
      <c r="R897" s="7" t="str">
        <f>IF(H897="","",VLOOKUP(H897,'Hoja 9'!$A$1:$B$255,2,0))</f>
        <v>BOCA EN BOCA</v>
      </c>
      <c r="S897" s="7">
        <f t="shared" si="1"/>
        <v>2025</v>
      </c>
      <c r="T897" s="7">
        <f t="shared" si="2"/>
        <v>2</v>
      </c>
    </row>
    <row r="898">
      <c r="A898" s="4">
        <v>45714.632510509255</v>
      </c>
      <c r="B898" s="3" t="s">
        <v>2423</v>
      </c>
      <c r="C898" s="3" t="s">
        <v>2424</v>
      </c>
      <c r="D898" s="3" t="s">
        <v>2425</v>
      </c>
      <c r="E898" s="5">
        <v>26530.0</v>
      </c>
      <c r="F898" s="3">
        <v>2.27933E7</v>
      </c>
      <c r="G898" s="3">
        <v>3.516666933E9</v>
      </c>
      <c r="H898" s="3" t="s">
        <v>27</v>
      </c>
      <c r="I898" s="3" t="s">
        <v>22</v>
      </c>
      <c r="K898" s="3" t="s">
        <v>1132</v>
      </c>
      <c r="L898" s="3" t="s">
        <v>2426</v>
      </c>
      <c r="M898" s="3" t="s">
        <v>1137</v>
      </c>
      <c r="O898" s="3" t="s">
        <v>23</v>
      </c>
      <c r="R898" s="7" t="str">
        <f>IF(H898="","",VLOOKUP(H898,'Hoja 9'!$A$1:$B$255,2,0))</f>
        <v>BOCA EN BOCA</v>
      </c>
      <c r="S898" s="7">
        <f t="shared" si="1"/>
        <v>2025</v>
      </c>
      <c r="T898" s="7">
        <f t="shared" si="2"/>
        <v>2</v>
      </c>
    </row>
    <row r="899">
      <c r="A899" s="4">
        <v>45715.45204497685</v>
      </c>
      <c r="B899" s="3" t="s">
        <v>2427</v>
      </c>
      <c r="C899" s="3" t="s">
        <v>844</v>
      </c>
      <c r="D899" s="3" t="s">
        <v>2428</v>
      </c>
      <c r="E899" s="5">
        <v>26734.0</v>
      </c>
      <c r="F899" s="3">
        <v>2.2968383E7</v>
      </c>
      <c r="G899" s="3">
        <v>3.513421912E9</v>
      </c>
      <c r="H899" s="3" t="s">
        <v>21</v>
      </c>
      <c r="I899" s="3" t="s">
        <v>28</v>
      </c>
      <c r="K899" s="3" t="s">
        <v>1145</v>
      </c>
      <c r="R899" s="7" t="str">
        <f>IF(H899="","",VLOOKUP(H899,'Hoja 9'!$A$1:$B$255,2,0))</f>
        <v>GOOGLE</v>
      </c>
      <c r="S899" s="7">
        <f t="shared" si="1"/>
        <v>2025</v>
      </c>
      <c r="T899" s="7">
        <f t="shared" si="2"/>
        <v>2</v>
      </c>
    </row>
    <row r="900">
      <c r="A900" s="4">
        <v>45721.49354988426</v>
      </c>
      <c r="B900" s="3" t="s">
        <v>2429</v>
      </c>
      <c r="C900" s="3" t="s">
        <v>2430</v>
      </c>
      <c r="D900" s="3" t="s">
        <v>2431</v>
      </c>
      <c r="E900" s="5">
        <v>31941.0</v>
      </c>
      <c r="F900" s="3">
        <v>3.3101207E7</v>
      </c>
      <c r="G900" s="3">
        <v>3.513165406E9</v>
      </c>
      <c r="H900" s="3" t="s">
        <v>27</v>
      </c>
      <c r="I900" s="3" t="s">
        <v>28</v>
      </c>
      <c r="K900" s="3" t="s">
        <v>1132</v>
      </c>
      <c r="L900" s="3" t="s">
        <v>1133</v>
      </c>
      <c r="M900" s="3" t="s">
        <v>1134</v>
      </c>
      <c r="R900" s="7" t="str">
        <f>IF(H900="","",VLOOKUP(H900,'Hoja 9'!$A$1:$B$255,2,0))</f>
        <v>BOCA EN BOCA</v>
      </c>
      <c r="S900" s="7">
        <f t="shared" si="1"/>
        <v>2025</v>
      </c>
      <c r="T900" s="7">
        <f t="shared" si="2"/>
        <v>3</v>
      </c>
    </row>
    <row r="901">
      <c r="A901" s="4">
        <v>45721.5370496875</v>
      </c>
      <c r="B901" s="3" t="s">
        <v>2432</v>
      </c>
      <c r="C901" s="3" t="s">
        <v>2433</v>
      </c>
      <c r="D901" s="3" t="s">
        <v>2434</v>
      </c>
      <c r="E901" s="5">
        <v>33275.0</v>
      </c>
      <c r="F901" s="3">
        <v>3.5673726E7</v>
      </c>
      <c r="G901" s="3">
        <v>3.543552547E9</v>
      </c>
      <c r="H901" s="3" t="s">
        <v>148</v>
      </c>
      <c r="I901" s="3" t="s">
        <v>22</v>
      </c>
      <c r="K901" s="3" t="s">
        <v>1145</v>
      </c>
      <c r="O901" s="3" t="s">
        <v>831</v>
      </c>
      <c r="R901" s="7" t="str">
        <f>IF(H901="","",VLOOKUP(H901,'Hoja 9'!$A$1:$B$255,2,0))</f>
        <v>OBRA SOCIAL</v>
      </c>
      <c r="S901" s="7">
        <f t="shared" si="1"/>
        <v>2025</v>
      </c>
      <c r="T901" s="7">
        <f t="shared" si="2"/>
        <v>3</v>
      </c>
    </row>
    <row r="902">
      <c r="A902" s="4">
        <v>45722.78220707176</v>
      </c>
      <c r="B902" s="3" t="s">
        <v>2435</v>
      </c>
      <c r="C902" s="3" t="s">
        <v>2436</v>
      </c>
      <c r="D902" s="3" t="s">
        <v>2437</v>
      </c>
      <c r="E902" s="5">
        <v>30856.0</v>
      </c>
      <c r="F902" s="3">
        <v>3.1023452E7</v>
      </c>
      <c r="G902" s="3">
        <v>3.512268557E9</v>
      </c>
      <c r="H902" s="3" t="s">
        <v>27</v>
      </c>
      <c r="I902" s="3" t="s">
        <v>22</v>
      </c>
      <c r="K902" s="3" t="s">
        <v>1132</v>
      </c>
      <c r="L902" s="3" t="s">
        <v>1133</v>
      </c>
      <c r="M902" s="3" t="s">
        <v>1134</v>
      </c>
      <c r="O902" s="3" t="s">
        <v>2438</v>
      </c>
      <c r="R902" s="7" t="str">
        <f>IF(H902="","",VLOOKUP(H902,'Hoja 9'!$A$1:$B$255,2,0))</f>
        <v>BOCA EN BOCA</v>
      </c>
      <c r="S902" s="7">
        <f t="shared" si="1"/>
        <v>2025</v>
      </c>
      <c r="T902" s="7">
        <f t="shared" si="2"/>
        <v>3</v>
      </c>
    </row>
    <row r="903">
      <c r="A903" s="4">
        <v>45722.79258850694</v>
      </c>
      <c r="B903" s="3" t="s">
        <v>2439</v>
      </c>
      <c r="C903" s="3" t="s">
        <v>2440</v>
      </c>
      <c r="D903" s="3" t="s">
        <v>2441</v>
      </c>
      <c r="E903" s="5">
        <v>29187.0</v>
      </c>
      <c r="F903" s="3">
        <v>2.7670467E7</v>
      </c>
      <c r="G903" s="3">
        <v>3.51318562E9</v>
      </c>
      <c r="H903" s="3" t="s">
        <v>27</v>
      </c>
      <c r="I903" s="3" t="s">
        <v>22</v>
      </c>
      <c r="K903" s="3" t="s">
        <v>1132</v>
      </c>
      <c r="L903" s="3" t="s">
        <v>1136</v>
      </c>
      <c r="M903" s="3" t="s">
        <v>1137</v>
      </c>
      <c r="O903" s="3" t="s">
        <v>23</v>
      </c>
      <c r="R903" s="7" t="str">
        <f>IF(H903="","",VLOOKUP(H903,'Hoja 9'!$A$1:$B$255,2,0))</f>
        <v>BOCA EN BOCA</v>
      </c>
      <c r="S903" s="7">
        <f t="shared" si="1"/>
        <v>2025</v>
      </c>
      <c r="T903" s="7">
        <f t="shared" si="2"/>
        <v>3</v>
      </c>
    </row>
    <row r="904">
      <c r="A904" s="4">
        <v>45723.45699152778</v>
      </c>
      <c r="B904" s="3" t="s">
        <v>2442</v>
      </c>
      <c r="C904" s="3" t="s">
        <v>2443</v>
      </c>
      <c r="D904" s="3" t="s">
        <v>2444</v>
      </c>
      <c r="E904" s="5">
        <v>26566.0</v>
      </c>
      <c r="F904" s="3">
        <v>2.2794801E7</v>
      </c>
      <c r="G904" s="3">
        <v>3.517403686E9</v>
      </c>
      <c r="H904" s="3" t="s">
        <v>21</v>
      </c>
      <c r="I904" s="3" t="s">
        <v>22</v>
      </c>
      <c r="K904" s="3" t="s">
        <v>1145</v>
      </c>
      <c r="O904" s="3" t="s">
        <v>2445</v>
      </c>
      <c r="R904" s="7" t="str">
        <f>IF(H904="","",VLOOKUP(H904,'Hoja 9'!$A$1:$B$255,2,0))</f>
        <v>GOOGLE</v>
      </c>
      <c r="S904" s="7">
        <f t="shared" si="1"/>
        <v>2025</v>
      </c>
      <c r="T904" s="7">
        <f t="shared" si="2"/>
        <v>3</v>
      </c>
    </row>
    <row r="905">
      <c r="A905" s="4">
        <v>45723.58305020833</v>
      </c>
      <c r="B905" s="3" t="s">
        <v>958</v>
      </c>
      <c r="C905" s="3" t="s">
        <v>2446</v>
      </c>
      <c r="D905" s="3" t="s">
        <v>2447</v>
      </c>
      <c r="E905" s="5">
        <v>32760.0</v>
      </c>
      <c r="F905" s="3">
        <v>3.4768618E7</v>
      </c>
      <c r="G905" s="3">
        <v>3.517162513E9</v>
      </c>
      <c r="H905" s="3" t="s">
        <v>27</v>
      </c>
      <c r="I905" s="3" t="s">
        <v>28</v>
      </c>
      <c r="K905" s="3" t="s">
        <v>1132</v>
      </c>
      <c r="L905" s="3" t="s">
        <v>1133</v>
      </c>
      <c r="M905" s="3" t="s">
        <v>1134</v>
      </c>
      <c r="R905" s="7" t="str">
        <f>IF(H905="","",VLOOKUP(H905,'Hoja 9'!$A$1:$B$255,2,0))</f>
        <v>BOCA EN BOCA</v>
      </c>
      <c r="S905" s="7">
        <f t="shared" si="1"/>
        <v>2025</v>
      </c>
      <c r="T905" s="7">
        <f t="shared" si="2"/>
        <v>3</v>
      </c>
    </row>
    <row r="906">
      <c r="A906" s="4">
        <v>45727.452509131945</v>
      </c>
      <c r="B906" s="3" t="s">
        <v>2448</v>
      </c>
      <c r="C906" s="3" t="s">
        <v>2449</v>
      </c>
      <c r="D906" s="3" t="s">
        <v>2450</v>
      </c>
      <c r="E906" s="5">
        <v>33053.0</v>
      </c>
      <c r="F906" s="3">
        <v>1.9124844E7</v>
      </c>
      <c r="G906" s="3">
        <v>3.51678289E9</v>
      </c>
      <c r="H906" s="3" t="s">
        <v>27</v>
      </c>
      <c r="I906" s="3" t="s">
        <v>22</v>
      </c>
      <c r="K906" s="3" t="s">
        <v>1145</v>
      </c>
      <c r="O906" s="3" t="s">
        <v>2451</v>
      </c>
      <c r="R906" s="7" t="str">
        <f>IF(H906="","",VLOOKUP(H906,'Hoja 9'!$A$1:$B$255,2,0))</f>
        <v>BOCA EN BOCA</v>
      </c>
      <c r="S906" s="7">
        <f t="shared" si="1"/>
        <v>2025</v>
      </c>
      <c r="T906" s="7">
        <f t="shared" si="2"/>
        <v>3</v>
      </c>
    </row>
    <row r="907">
      <c r="A907" s="4">
        <v>45727.81561172454</v>
      </c>
      <c r="B907" s="3" t="s">
        <v>2452</v>
      </c>
      <c r="C907" s="3" t="s">
        <v>388</v>
      </c>
      <c r="D907" s="3" t="s">
        <v>2453</v>
      </c>
      <c r="E907" s="5">
        <v>37715.0</v>
      </c>
      <c r="F907" s="3">
        <v>4.4739124E7</v>
      </c>
      <c r="G907" s="3">
        <v>3.513885676E9</v>
      </c>
      <c r="H907" s="3" t="s">
        <v>27</v>
      </c>
      <c r="I907" s="3" t="s">
        <v>22</v>
      </c>
      <c r="K907" s="3" t="s">
        <v>1132</v>
      </c>
      <c r="L907" s="3" t="s">
        <v>1136</v>
      </c>
      <c r="M907" s="3" t="s">
        <v>1134</v>
      </c>
      <c r="O907" s="3" t="s">
        <v>408</v>
      </c>
      <c r="R907" s="7" t="str">
        <f>IF(H907="","",VLOOKUP(H907,'Hoja 9'!$A$1:$B$255,2,0))</f>
        <v>BOCA EN BOCA</v>
      </c>
      <c r="S907" s="7">
        <f t="shared" si="1"/>
        <v>2025</v>
      </c>
      <c r="T907" s="7">
        <f t="shared" si="2"/>
        <v>3</v>
      </c>
    </row>
    <row r="908">
      <c r="A908" s="4">
        <v>45727.901133356485</v>
      </c>
      <c r="B908" s="3" t="s">
        <v>440</v>
      </c>
      <c r="C908" s="3" t="s">
        <v>521</v>
      </c>
      <c r="D908" s="3" t="s">
        <v>2454</v>
      </c>
      <c r="E908" s="5">
        <v>29126.0</v>
      </c>
      <c r="F908" s="3">
        <v>2.7653652E7</v>
      </c>
      <c r="G908" s="3">
        <v>3.515638014E9</v>
      </c>
      <c r="H908" s="3" t="s">
        <v>27</v>
      </c>
      <c r="I908" s="3" t="s">
        <v>28</v>
      </c>
      <c r="K908" s="3" t="s">
        <v>1132</v>
      </c>
      <c r="L908" s="3" t="s">
        <v>1685</v>
      </c>
      <c r="M908" s="3" t="s">
        <v>1137</v>
      </c>
      <c r="R908" s="7" t="str">
        <f>IF(H908="","",VLOOKUP(H908,'Hoja 9'!$A$1:$B$255,2,0))</f>
        <v>BOCA EN BOCA</v>
      </c>
      <c r="S908" s="7">
        <f t="shared" si="1"/>
        <v>2025</v>
      </c>
      <c r="T908" s="7">
        <f t="shared" si="2"/>
        <v>3</v>
      </c>
    </row>
    <row r="909">
      <c r="A909" s="4">
        <v>45728.43449672454</v>
      </c>
      <c r="B909" s="3" t="s">
        <v>2455</v>
      </c>
      <c r="C909" s="3" t="s">
        <v>1259</v>
      </c>
      <c r="D909" s="3" t="s">
        <v>2456</v>
      </c>
      <c r="E909" s="5">
        <v>33282.0</v>
      </c>
      <c r="F909" s="3">
        <v>3.550037E7</v>
      </c>
      <c r="G909" s="3">
        <v>3.834246569E9</v>
      </c>
      <c r="H909" s="3" t="s">
        <v>21</v>
      </c>
      <c r="I909" s="3" t="s">
        <v>22</v>
      </c>
      <c r="K909" s="3" t="s">
        <v>1132</v>
      </c>
      <c r="L909" s="3" t="s">
        <v>2457</v>
      </c>
      <c r="M909" s="3" t="s">
        <v>1134</v>
      </c>
      <c r="O909" s="3" t="s">
        <v>58</v>
      </c>
      <c r="R909" s="7" t="str">
        <f>IF(H909="","",VLOOKUP(H909,'Hoja 9'!$A$1:$B$255,2,0))</f>
        <v>GOOGLE</v>
      </c>
      <c r="S909" s="7">
        <f t="shared" si="1"/>
        <v>2025</v>
      </c>
      <c r="T909" s="7">
        <f t="shared" si="2"/>
        <v>3</v>
      </c>
    </row>
    <row r="910">
      <c r="A910" s="4">
        <v>45730.60929847222</v>
      </c>
      <c r="B910" s="3" t="s">
        <v>2458</v>
      </c>
      <c r="C910" s="3" t="s">
        <v>2459</v>
      </c>
      <c r="D910" s="3" t="s">
        <v>2460</v>
      </c>
      <c r="E910" s="5">
        <v>15179.0</v>
      </c>
      <c r="F910" s="3" t="s">
        <v>2460</v>
      </c>
      <c r="G910" s="3">
        <v>3.514598255E9</v>
      </c>
      <c r="H910" s="3" t="s">
        <v>27</v>
      </c>
      <c r="I910" s="3" t="s">
        <v>22</v>
      </c>
      <c r="K910" s="3" t="s">
        <v>1132</v>
      </c>
      <c r="L910" s="3" t="s">
        <v>1345</v>
      </c>
      <c r="M910" s="3" t="s">
        <v>1137</v>
      </c>
      <c r="O910" s="3" t="s">
        <v>68</v>
      </c>
      <c r="R910" s="7" t="str">
        <f>IF(H910="","",VLOOKUP(H910,'Hoja 9'!$A$1:$B$255,2,0))</f>
        <v>BOCA EN BOCA</v>
      </c>
      <c r="S910" s="7">
        <f t="shared" si="1"/>
        <v>2025</v>
      </c>
      <c r="T910" s="7">
        <f t="shared" si="2"/>
        <v>3</v>
      </c>
    </row>
    <row r="911">
      <c r="A911" s="4">
        <v>45730.793938125</v>
      </c>
      <c r="B911" s="3" t="s">
        <v>2461</v>
      </c>
      <c r="C911" s="3" t="s">
        <v>449</v>
      </c>
      <c r="D911" s="3" t="s">
        <v>2462</v>
      </c>
      <c r="E911" s="5">
        <v>36462.0</v>
      </c>
      <c r="F911" s="3">
        <v>4.2217942E7</v>
      </c>
      <c r="G911" s="3">
        <v>3.513145178E9</v>
      </c>
      <c r="H911" s="3" t="s">
        <v>21</v>
      </c>
      <c r="I911" s="3" t="s">
        <v>22</v>
      </c>
      <c r="K911" s="3" t="s">
        <v>1132</v>
      </c>
      <c r="L911" s="3" t="s">
        <v>1136</v>
      </c>
      <c r="M911" s="3" t="s">
        <v>1137</v>
      </c>
      <c r="O911" s="3" t="s">
        <v>58</v>
      </c>
      <c r="R911" s="7" t="str">
        <f>IF(H911="","",VLOOKUP(H911,'Hoja 9'!$A$1:$B$255,2,0))</f>
        <v>GOOGLE</v>
      </c>
      <c r="S911" s="7">
        <f t="shared" si="1"/>
        <v>2025</v>
      </c>
      <c r="T911" s="7">
        <f t="shared" si="2"/>
        <v>3</v>
      </c>
    </row>
    <row r="912">
      <c r="A912" s="4">
        <v>45733.4831975</v>
      </c>
      <c r="B912" s="3" t="s">
        <v>2463</v>
      </c>
      <c r="C912" s="3" t="s">
        <v>710</v>
      </c>
      <c r="D912" s="3" t="s">
        <v>2464</v>
      </c>
      <c r="E912" s="5">
        <v>42767.0</v>
      </c>
      <c r="F912" s="3">
        <v>5.6059212E7</v>
      </c>
      <c r="G912" s="3">
        <v>3.51205499E9</v>
      </c>
      <c r="H912" s="3" t="s">
        <v>21</v>
      </c>
      <c r="I912" s="3" t="s">
        <v>28</v>
      </c>
      <c r="K912" s="3" t="s">
        <v>1145</v>
      </c>
      <c r="R912" s="7" t="str">
        <f>IF(H912="","",VLOOKUP(H912,'Hoja 9'!$A$1:$B$255,2,0))</f>
        <v>GOOGLE</v>
      </c>
      <c r="S912" s="7">
        <f t="shared" si="1"/>
        <v>2025</v>
      </c>
      <c r="T912" s="7">
        <f t="shared" si="2"/>
        <v>3</v>
      </c>
    </row>
    <row r="913">
      <c r="A913" s="4">
        <v>45733.84956858796</v>
      </c>
      <c r="B913" s="3" t="s">
        <v>2465</v>
      </c>
      <c r="C913" s="3" t="s">
        <v>1231</v>
      </c>
      <c r="D913" s="3" t="s">
        <v>2466</v>
      </c>
      <c r="E913" s="5">
        <v>35188.0</v>
      </c>
      <c r="F913" s="3">
        <v>3.949859E7</v>
      </c>
      <c r="G913" s="3">
        <v>3.513908643E9</v>
      </c>
      <c r="H913" s="3" t="s">
        <v>27</v>
      </c>
      <c r="I913" s="3" t="s">
        <v>22</v>
      </c>
      <c r="K913" s="3" t="s">
        <v>1132</v>
      </c>
      <c r="L913" s="3" t="s">
        <v>1136</v>
      </c>
      <c r="M913" s="3" t="s">
        <v>1137</v>
      </c>
      <c r="O913" s="3" t="s">
        <v>23</v>
      </c>
      <c r="R913" s="7" t="str">
        <f>IF(H913="","",VLOOKUP(H913,'Hoja 9'!$A$1:$B$255,2,0))</f>
        <v>BOCA EN BOCA</v>
      </c>
      <c r="S913" s="7">
        <f t="shared" si="1"/>
        <v>2025</v>
      </c>
      <c r="T913" s="7">
        <f t="shared" si="2"/>
        <v>3</v>
      </c>
    </row>
    <row r="914">
      <c r="A914" s="4">
        <v>45734.47815804398</v>
      </c>
      <c r="B914" s="3" t="s">
        <v>2000</v>
      </c>
      <c r="C914" s="3" t="s">
        <v>2467</v>
      </c>
      <c r="D914" s="3" t="s">
        <v>2468</v>
      </c>
      <c r="E914" s="5">
        <v>45983.0</v>
      </c>
      <c r="F914" s="3">
        <v>3.4840949E7</v>
      </c>
      <c r="G914" s="3">
        <v>3.518583214E9</v>
      </c>
      <c r="H914" s="3" t="s">
        <v>27</v>
      </c>
      <c r="I914" s="3" t="s">
        <v>28</v>
      </c>
      <c r="K914" s="3" t="s">
        <v>1132</v>
      </c>
      <c r="M914" s="3" t="s">
        <v>1134</v>
      </c>
      <c r="R914" s="7" t="str">
        <f>IF(H914="","",VLOOKUP(H914,'Hoja 9'!$A$1:$B$255,2,0))</f>
        <v>BOCA EN BOCA</v>
      </c>
      <c r="S914" s="7">
        <f t="shared" si="1"/>
        <v>2025</v>
      </c>
      <c r="T914" s="7">
        <f t="shared" si="2"/>
        <v>3</v>
      </c>
    </row>
    <row r="915">
      <c r="A915" s="4">
        <v>45734.7887815625</v>
      </c>
      <c r="B915" s="3" t="s">
        <v>2469</v>
      </c>
      <c r="C915" s="3" t="s">
        <v>2470</v>
      </c>
      <c r="D915" s="3" t="s">
        <v>2471</v>
      </c>
      <c r="E915" s="5">
        <v>22077.0</v>
      </c>
      <c r="F915" s="3">
        <v>1.3984281E7</v>
      </c>
      <c r="G915" s="3">
        <v>3.515597474E9</v>
      </c>
      <c r="H915" s="3" t="s">
        <v>27</v>
      </c>
      <c r="I915" s="3" t="s">
        <v>28</v>
      </c>
      <c r="K915" s="3" t="s">
        <v>1145</v>
      </c>
      <c r="R915" s="7" t="str">
        <f>IF(H915="","",VLOOKUP(H915,'Hoja 9'!$A$1:$B$255,2,0))</f>
        <v>BOCA EN BOCA</v>
      </c>
      <c r="S915" s="7">
        <f t="shared" si="1"/>
        <v>2025</v>
      </c>
      <c r="T915" s="7">
        <f t="shared" si="2"/>
        <v>3</v>
      </c>
    </row>
    <row r="916">
      <c r="A916" s="4">
        <v>45735.44763260416</v>
      </c>
      <c r="B916" s="3" t="s">
        <v>2472</v>
      </c>
      <c r="C916" s="3" t="s">
        <v>1886</v>
      </c>
      <c r="D916" s="3" t="s">
        <v>2473</v>
      </c>
      <c r="E916" s="5">
        <v>24163.0</v>
      </c>
      <c r="F916" s="3">
        <v>1.7628061E7</v>
      </c>
      <c r="G916" s="3">
        <v>3.512299573E9</v>
      </c>
      <c r="H916" s="3" t="s">
        <v>148</v>
      </c>
      <c r="I916" s="3" t="s">
        <v>22</v>
      </c>
      <c r="K916" s="3" t="s">
        <v>1145</v>
      </c>
      <c r="O916" s="3" t="s">
        <v>2281</v>
      </c>
      <c r="R916" s="7" t="str">
        <f>IF(H916="","",VLOOKUP(H916,'Hoja 9'!$A$1:$B$255,2,0))</f>
        <v>OBRA SOCIAL</v>
      </c>
      <c r="S916" s="7">
        <f t="shared" si="1"/>
        <v>2025</v>
      </c>
      <c r="T916" s="7">
        <f t="shared" si="2"/>
        <v>3</v>
      </c>
    </row>
    <row r="917">
      <c r="A917" s="4">
        <v>45736.41248003472</v>
      </c>
      <c r="B917" s="3" t="s">
        <v>2474</v>
      </c>
      <c r="C917" s="3" t="s">
        <v>2475</v>
      </c>
      <c r="D917" s="3" t="s">
        <v>2476</v>
      </c>
      <c r="E917" s="5">
        <v>32131.0</v>
      </c>
      <c r="F917" s="3">
        <v>3.331014E7</v>
      </c>
      <c r="G917" s="3">
        <v>3.518046056E9</v>
      </c>
      <c r="H917" s="3" t="s">
        <v>27</v>
      </c>
      <c r="I917" s="3" t="s">
        <v>22</v>
      </c>
      <c r="K917" s="3" t="s">
        <v>1132</v>
      </c>
      <c r="L917" s="3" t="s">
        <v>1136</v>
      </c>
      <c r="M917" s="3" t="s">
        <v>1137</v>
      </c>
      <c r="O917" s="3" t="s">
        <v>23</v>
      </c>
      <c r="R917" s="7" t="str">
        <f>IF(H917="","",VLOOKUP(H917,'Hoja 9'!$A$1:$B$255,2,0))</f>
        <v>BOCA EN BOCA</v>
      </c>
      <c r="S917" s="7">
        <f t="shared" si="1"/>
        <v>2025</v>
      </c>
      <c r="T917" s="7">
        <f t="shared" si="2"/>
        <v>3</v>
      </c>
    </row>
    <row r="918">
      <c r="A918" s="4">
        <v>45736.41645981482</v>
      </c>
      <c r="B918" s="3" t="s">
        <v>2477</v>
      </c>
      <c r="C918" s="3" t="s">
        <v>2478</v>
      </c>
      <c r="D918" s="3" t="s">
        <v>2479</v>
      </c>
      <c r="E918" s="5">
        <v>34677.0</v>
      </c>
      <c r="F918" s="3">
        <v>3.8500592E7</v>
      </c>
      <c r="G918" s="3">
        <v>3.512571777E9</v>
      </c>
      <c r="H918" s="3" t="s">
        <v>27</v>
      </c>
      <c r="I918" s="3" t="s">
        <v>28</v>
      </c>
      <c r="K918" s="3" t="s">
        <v>1132</v>
      </c>
      <c r="L918" s="3" t="s">
        <v>1404</v>
      </c>
      <c r="M918" s="3" t="s">
        <v>1134</v>
      </c>
      <c r="R918" s="7" t="str">
        <f>IF(H918="","",VLOOKUP(H918,'Hoja 9'!$A$1:$B$255,2,0))</f>
        <v>BOCA EN BOCA</v>
      </c>
      <c r="S918" s="7">
        <f t="shared" si="1"/>
        <v>2025</v>
      </c>
      <c r="T918" s="7">
        <f t="shared" si="2"/>
        <v>3</v>
      </c>
    </row>
    <row r="919">
      <c r="A919" s="4">
        <v>45736.44875451388</v>
      </c>
      <c r="B919" s="3" t="s">
        <v>2480</v>
      </c>
      <c r="C919" s="3" t="s">
        <v>2481</v>
      </c>
      <c r="D919" s="3" t="s">
        <v>2482</v>
      </c>
      <c r="E919" s="5">
        <v>22701.0</v>
      </c>
      <c r="F919" s="3">
        <v>1.4894338E7</v>
      </c>
      <c r="G919" s="3">
        <v>3.513344901E9</v>
      </c>
      <c r="H919" s="3" t="s">
        <v>27</v>
      </c>
      <c r="I919" s="3" t="s">
        <v>22</v>
      </c>
      <c r="K919" s="3" t="s">
        <v>1145</v>
      </c>
      <c r="O919" s="3" t="s">
        <v>625</v>
      </c>
      <c r="R919" s="7" t="str">
        <f>IF(H919="","",VLOOKUP(H919,'Hoja 9'!$A$1:$B$255,2,0))</f>
        <v>BOCA EN BOCA</v>
      </c>
      <c r="S919" s="7">
        <f t="shared" si="1"/>
        <v>2025</v>
      </c>
      <c r="T919" s="7">
        <f t="shared" si="2"/>
        <v>3</v>
      </c>
    </row>
    <row r="920">
      <c r="A920" s="4">
        <v>45736.82920335648</v>
      </c>
      <c r="B920" s="3" t="s">
        <v>2483</v>
      </c>
      <c r="C920" s="3" t="s">
        <v>1857</v>
      </c>
      <c r="D920" s="3" t="s">
        <v>2484</v>
      </c>
      <c r="E920" s="5">
        <v>22820.0</v>
      </c>
      <c r="F920" s="3">
        <v>1.4920445E7</v>
      </c>
      <c r="G920" s="3">
        <v>3.516504616E9</v>
      </c>
      <c r="H920" s="3" t="s">
        <v>44</v>
      </c>
      <c r="I920" s="3" t="s">
        <v>22</v>
      </c>
      <c r="K920" s="3" t="s">
        <v>1132</v>
      </c>
      <c r="L920" s="3" t="s">
        <v>2485</v>
      </c>
      <c r="M920" s="3" t="s">
        <v>1134</v>
      </c>
      <c r="O920" s="3" t="s">
        <v>23</v>
      </c>
      <c r="R920" s="7" t="str">
        <f>IF(H920="","",VLOOKUP(H920,'Hoja 9'!$A$1:$B$255,2,0))</f>
        <v>GIMNASIO</v>
      </c>
      <c r="S920" s="7">
        <f t="shared" si="1"/>
        <v>2025</v>
      </c>
      <c r="T920" s="7">
        <f t="shared" si="2"/>
        <v>3</v>
      </c>
    </row>
    <row r="921">
      <c r="A921" s="4">
        <v>45736.84049986111</v>
      </c>
      <c r="B921" s="3" t="s">
        <v>2486</v>
      </c>
      <c r="C921" s="3" t="s">
        <v>2487</v>
      </c>
      <c r="D921" s="3" t="s">
        <v>2488</v>
      </c>
      <c r="E921" s="5">
        <v>27048.0</v>
      </c>
      <c r="F921" s="3">
        <v>2.4147633E7</v>
      </c>
      <c r="G921" s="3">
        <v>3.513066792E9</v>
      </c>
      <c r="H921" s="3" t="s">
        <v>44</v>
      </c>
      <c r="I921" s="3" t="s">
        <v>28</v>
      </c>
      <c r="K921" s="3" t="s">
        <v>1132</v>
      </c>
      <c r="L921" s="3" t="s">
        <v>1133</v>
      </c>
      <c r="M921" s="3" t="s">
        <v>1134</v>
      </c>
      <c r="R921" s="7" t="str">
        <f>IF(H921="","",VLOOKUP(H921,'Hoja 9'!$A$1:$B$255,2,0))</f>
        <v>GIMNASIO</v>
      </c>
      <c r="S921" s="7">
        <f t="shared" si="1"/>
        <v>2025</v>
      </c>
      <c r="T921" s="7">
        <f t="shared" si="2"/>
        <v>3</v>
      </c>
    </row>
    <row r="922">
      <c r="A922" s="4">
        <v>45741.37234076389</v>
      </c>
      <c r="B922" s="3" t="s">
        <v>2489</v>
      </c>
      <c r="C922" s="3" t="s">
        <v>344</v>
      </c>
      <c r="E922" s="5">
        <v>28164.0</v>
      </c>
      <c r="F922" s="3">
        <v>2.5710265E7</v>
      </c>
      <c r="G922" s="3">
        <v>3.515942369E9</v>
      </c>
      <c r="H922" s="3" t="s">
        <v>44</v>
      </c>
      <c r="I922" s="3" t="s">
        <v>28</v>
      </c>
      <c r="K922" s="3" t="s">
        <v>1132</v>
      </c>
      <c r="L922" s="3" t="s">
        <v>1136</v>
      </c>
      <c r="M922" s="3" t="s">
        <v>1137</v>
      </c>
      <c r="R922" s="7" t="str">
        <f>IF(H922="","",VLOOKUP(H922,'Hoja 9'!$A$1:$B$255,2,0))</f>
        <v>GIMNASIO</v>
      </c>
      <c r="S922" s="7">
        <f t="shared" si="1"/>
        <v>2025</v>
      </c>
      <c r="T922" s="7">
        <f t="shared" si="2"/>
        <v>3</v>
      </c>
    </row>
    <row r="923">
      <c r="A923" s="4">
        <v>45742.519784143515</v>
      </c>
      <c r="B923" s="3" t="s">
        <v>960</v>
      </c>
      <c r="C923" s="3" t="s">
        <v>2490</v>
      </c>
      <c r="D923" s="3" t="s">
        <v>2491</v>
      </c>
      <c r="E923" s="5">
        <v>36578.0</v>
      </c>
      <c r="F923" s="3">
        <v>4.2387202E7</v>
      </c>
      <c r="G923" s="3">
        <v>3.513506283E9</v>
      </c>
      <c r="H923" s="3" t="s">
        <v>27</v>
      </c>
      <c r="I923" s="3" t="s">
        <v>28</v>
      </c>
      <c r="K923" s="3" t="s">
        <v>1132</v>
      </c>
      <c r="L923" s="3" t="s">
        <v>1136</v>
      </c>
      <c r="M923" s="3" t="s">
        <v>1137</v>
      </c>
      <c r="R923" s="7" t="str">
        <f>IF(H923="","",VLOOKUP(H923,'Hoja 9'!$A$1:$B$255,2,0))</f>
        <v>BOCA EN BOCA</v>
      </c>
      <c r="S923" s="7">
        <f t="shared" si="1"/>
        <v>2025</v>
      </c>
      <c r="T923" s="7">
        <f t="shared" si="2"/>
        <v>3</v>
      </c>
    </row>
    <row r="924">
      <c r="A924" s="4">
        <v>45742.794072523146</v>
      </c>
      <c r="B924" s="3" t="s">
        <v>2492</v>
      </c>
      <c r="C924" s="3" t="s">
        <v>2493</v>
      </c>
      <c r="D924" s="3" t="s">
        <v>2494</v>
      </c>
      <c r="E924" s="5">
        <v>24243.0</v>
      </c>
      <c r="F924" s="3">
        <v>1.762949E7</v>
      </c>
      <c r="G924" s="3">
        <v>3.515149476E9</v>
      </c>
      <c r="H924" s="3" t="s">
        <v>44</v>
      </c>
      <c r="I924" s="3" t="s">
        <v>22</v>
      </c>
      <c r="K924" s="3" t="s">
        <v>1132</v>
      </c>
      <c r="L924" s="3" t="s">
        <v>1133</v>
      </c>
      <c r="M924" s="3" t="s">
        <v>1134</v>
      </c>
      <c r="O924" s="3" t="s">
        <v>58</v>
      </c>
      <c r="R924" s="7" t="str">
        <f>IF(H924="","",VLOOKUP(H924,'Hoja 9'!$A$1:$B$255,2,0))</f>
        <v>GIMNASIO</v>
      </c>
      <c r="S924" s="7">
        <f t="shared" si="1"/>
        <v>2025</v>
      </c>
      <c r="T924" s="7">
        <f t="shared" si="2"/>
        <v>3</v>
      </c>
    </row>
    <row r="925">
      <c r="A925" s="4">
        <v>45742.89236075232</v>
      </c>
      <c r="B925" s="3" t="s">
        <v>2495</v>
      </c>
      <c r="C925" s="3" t="s">
        <v>2496</v>
      </c>
      <c r="D925" s="3" t="s">
        <v>2497</v>
      </c>
      <c r="E925" s="5">
        <v>16190.0</v>
      </c>
      <c r="F925" s="3">
        <v>4500089.0</v>
      </c>
      <c r="G925" s="3">
        <v>3.515476871E9</v>
      </c>
      <c r="H925" s="3" t="s">
        <v>21</v>
      </c>
      <c r="I925" s="3" t="s">
        <v>22</v>
      </c>
      <c r="K925" s="3" t="s">
        <v>1145</v>
      </c>
      <c r="O925" s="3" t="s">
        <v>23</v>
      </c>
      <c r="R925" s="7" t="str">
        <f>IF(H925="","",VLOOKUP(H925,'Hoja 9'!$A$1:$B$255,2,0))</f>
        <v>GOOGLE</v>
      </c>
      <c r="S925" s="7">
        <f t="shared" si="1"/>
        <v>2025</v>
      </c>
      <c r="T925" s="7">
        <f t="shared" si="2"/>
        <v>3</v>
      </c>
    </row>
    <row r="926">
      <c r="A926" s="4">
        <v>45743.64768903935</v>
      </c>
      <c r="B926" s="3" t="s">
        <v>2498</v>
      </c>
      <c r="C926" s="3" t="s">
        <v>1845</v>
      </c>
      <c r="D926" s="3" t="s">
        <v>2499</v>
      </c>
      <c r="E926" s="5">
        <v>33543.0</v>
      </c>
      <c r="F926" s="3">
        <v>3.6141852E7</v>
      </c>
      <c r="G926" s="3">
        <v>3.513698015E9</v>
      </c>
      <c r="H926" s="3" t="s">
        <v>21</v>
      </c>
      <c r="I926" s="3" t="s">
        <v>22</v>
      </c>
      <c r="K926" s="3" t="s">
        <v>1132</v>
      </c>
      <c r="L926" s="3" t="s">
        <v>1133</v>
      </c>
      <c r="M926" s="3" t="s">
        <v>1134</v>
      </c>
      <c r="O926" s="3" t="s">
        <v>72</v>
      </c>
      <c r="R926" s="7" t="str">
        <f>IF(H926="","",VLOOKUP(H926,'Hoja 9'!$A$1:$B$255,2,0))</f>
        <v>GOOGLE</v>
      </c>
      <c r="S926" s="7">
        <f t="shared" si="1"/>
        <v>2025</v>
      </c>
      <c r="T926" s="7">
        <f t="shared" si="2"/>
        <v>3</v>
      </c>
    </row>
    <row r="927">
      <c r="A927" s="4">
        <v>45743.65180695602</v>
      </c>
      <c r="B927" s="3" t="s">
        <v>91</v>
      </c>
      <c r="C927" s="3" t="s">
        <v>2500</v>
      </c>
      <c r="E927" s="5">
        <v>21933.0</v>
      </c>
      <c r="F927" s="3">
        <v>1.3961377E7</v>
      </c>
      <c r="G927" s="3">
        <v>3.513792843E9</v>
      </c>
      <c r="H927" s="3" t="s">
        <v>21</v>
      </c>
      <c r="I927" s="3" t="s">
        <v>22</v>
      </c>
      <c r="K927" s="3" t="s">
        <v>1145</v>
      </c>
      <c r="O927" s="3" t="s">
        <v>23</v>
      </c>
      <c r="R927" s="7" t="str">
        <f>IF(H927="","",VLOOKUP(H927,'Hoja 9'!$A$1:$B$255,2,0))</f>
        <v>GOOGLE</v>
      </c>
      <c r="S927" s="7">
        <f t="shared" si="1"/>
        <v>2025</v>
      </c>
      <c r="T927" s="7">
        <f t="shared" si="2"/>
        <v>3</v>
      </c>
    </row>
    <row r="928">
      <c r="A928" s="4">
        <v>45744.488644930556</v>
      </c>
      <c r="B928" s="3" t="s">
        <v>2498</v>
      </c>
      <c r="C928" s="3" t="s">
        <v>2500</v>
      </c>
      <c r="D928" s="3" t="s">
        <v>2501</v>
      </c>
      <c r="E928" s="5">
        <v>21933.0</v>
      </c>
      <c r="F928" s="3">
        <v>1.3961377E7</v>
      </c>
      <c r="G928" s="3">
        <v>3.513792843E9</v>
      </c>
      <c r="H928" s="3" t="s">
        <v>27</v>
      </c>
      <c r="I928" s="3" t="s">
        <v>22</v>
      </c>
      <c r="K928" s="3" t="s">
        <v>1145</v>
      </c>
      <c r="O928" s="3" t="s">
        <v>23</v>
      </c>
      <c r="R928" s="7" t="str">
        <f>IF(H928="","",VLOOKUP(H928,'Hoja 9'!$A$1:$B$255,2,0))</f>
        <v>BOCA EN BOCA</v>
      </c>
      <c r="S928" s="7">
        <f t="shared" si="1"/>
        <v>2025</v>
      </c>
      <c r="T928" s="7">
        <f t="shared" si="2"/>
        <v>3</v>
      </c>
    </row>
    <row r="929">
      <c r="A929" s="4">
        <v>45744.7392558912</v>
      </c>
      <c r="B929" s="3" t="s">
        <v>2502</v>
      </c>
      <c r="C929" s="3" t="s">
        <v>1407</v>
      </c>
      <c r="D929" s="3" t="s">
        <v>2503</v>
      </c>
      <c r="E929" s="5">
        <v>37713.0</v>
      </c>
      <c r="F929" s="3">
        <v>4.4739634E7</v>
      </c>
      <c r="G929" s="3">
        <v>3.51759408E9</v>
      </c>
      <c r="H929" s="3" t="s">
        <v>27</v>
      </c>
      <c r="I929" s="3" t="s">
        <v>28</v>
      </c>
      <c r="K929" s="3" t="s">
        <v>1132</v>
      </c>
      <c r="L929" s="3" t="s">
        <v>1332</v>
      </c>
      <c r="M929" s="3" t="s">
        <v>1134</v>
      </c>
      <c r="R929" s="7" t="str">
        <f>IF(H929="","",VLOOKUP(H929,'Hoja 9'!$A$1:$B$255,2,0))</f>
        <v>BOCA EN BOCA</v>
      </c>
      <c r="S929" s="7">
        <f t="shared" si="1"/>
        <v>2025</v>
      </c>
      <c r="T929" s="7">
        <f t="shared" si="2"/>
        <v>3</v>
      </c>
    </row>
    <row r="930">
      <c r="A930" s="4">
        <v>45747.4006920949</v>
      </c>
      <c r="B930" s="3" t="s">
        <v>2504</v>
      </c>
      <c r="C930" s="3" t="s">
        <v>2505</v>
      </c>
      <c r="D930" s="3" t="s">
        <v>2506</v>
      </c>
      <c r="E930" s="5">
        <v>34670.0</v>
      </c>
      <c r="F930" s="3">
        <v>3.8349628E7</v>
      </c>
      <c r="G930" s="3">
        <v>3.512383506E9</v>
      </c>
      <c r="H930" s="3" t="s">
        <v>21</v>
      </c>
      <c r="I930" s="3" t="s">
        <v>28</v>
      </c>
      <c r="K930" s="3" t="s">
        <v>1132</v>
      </c>
      <c r="L930" s="3" t="s">
        <v>2507</v>
      </c>
      <c r="M930" s="3" t="s">
        <v>1137</v>
      </c>
      <c r="R930" s="7" t="str">
        <f>IF(H930="","",VLOOKUP(H930,'Hoja 9'!$A$1:$B$255,2,0))</f>
        <v>GOOGLE</v>
      </c>
      <c r="S930" s="7">
        <f t="shared" si="1"/>
        <v>2025</v>
      </c>
      <c r="T930" s="7">
        <f t="shared" si="2"/>
        <v>3</v>
      </c>
    </row>
    <row r="931">
      <c r="A931" s="4">
        <v>45747.43003791667</v>
      </c>
      <c r="B931" s="3" t="s">
        <v>2508</v>
      </c>
      <c r="C931" s="3" t="s">
        <v>612</v>
      </c>
      <c r="D931" s="3" t="s">
        <v>2509</v>
      </c>
      <c r="E931" s="5">
        <v>33892.0</v>
      </c>
      <c r="F931" s="3">
        <v>3.6428952E7</v>
      </c>
      <c r="G931" s="3">
        <v>3.515932712E9</v>
      </c>
      <c r="H931" s="3" t="s">
        <v>27</v>
      </c>
      <c r="I931" s="3" t="s">
        <v>22</v>
      </c>
      <c r="K931" s="3" t="s">
        <v>1132</v>
      </c>
      <c r="L931" s="3" t="s">
        <v>1133</v>
      </c>
      <c r="M931" s="3" t="s">
        <v>1137</v>
      </c>
      <c r="O931" s="3" t="s">
        <v>1765</v>
      </c>
      <c r="R931" s="7" t="str">
        <f>IF(H931="","",VLOOKUP(H931,'Hoja 9'!$A$1:$B$255,2,0))</f>
        <v>BOCA EN BOCA</v>
      </c>
      <c r="S931" s="7">
        <f t="shared" si="1"/>
        <v>2025</v>
      </c>
      <c r="T931" s="7">
        <f t="shared" si="2"/>
        <v>3</v>
      </c>
    </row>
    <row r="932">
      <c r="A932" s="4">
        <v>45751.37683952546</v>
      </c>
      <c r="B932" s="3" t="s">
        <v>2510</v>
      </c>
      <c r="C932" s="3" t="s">
        <v>2511</v>
      </c>
      <c r="D932" s="3" t="s">
        <v>2512</v>
      </c>
      <c r="E932" s="5">
        <v>27897.0</v>
      </c>
      <c r="F932" s="3">
        <v>2.5038955E7</v>
      </c>
      <c r="G932" s="3">
        <v>3.51510233E9</v>
      </c>
      <c r="H932" s="3" t="s">
        <v>44</v>
      </c>
      <c r="I932" s="3" t="s">
        <v>22</v>
      </c>
      <c r="K932" s="3" t="s">
        <v>1132</v>
      </c>
      <c r="L932" s="3" t="s">
        <v>2513</v>
      </c>
      <c r="M932" s="3" t="s">
        <v>1134</v>
      </c>
      <c r="O932" s="3" t="s">
        <v>72</v>
      </c>
      <c r="R932" s="7" t="str">
        <f>IF(H932="","",VLOOKUP(H932,'Hoja 9'!$A$1:$B$255,2,0))</f>
        <v>GIMNASIO</v>
      </c>
      <c r="S932" s="7">
        <f t="shared" si="1"/>
        <v>2025</v>
      </c>
      <c r="T932" s="7">
        <f t="shared" si="2"/>
        <v>4</v>
      </c>
    </row>
    <row r="933">
      <c r="A933" s="4">
        <v>45751.649273125004</v>
      </c>
      <c r="B933" s="3" t="s">
        <v>1497</v>
      </c>
      <c r="C933" s="3" t="s">
        <v>236</v>
      </c>
      <c r="D933" s="3" t="s">
        <v>2514</v>
      </c>
      <c r="E933" s="5">
        <v>33339.0</v>
      </c>
      <c r="F933" s="3">
        <v>3.5580116E7</v>
      </c>
      <c r="G933" s="3">
        <v>3.512194215E9</v>
      </c>
      <c r="H933" s="3" t="s">
        <v>27</v>
      </c>
      <c r="I933" s="3" t="s">
        <v>22</v>
      </c>
      <c r="K933" s="3" t="s">
        <v>1132</v>
      </c>
      <c r="L933" s="3" t="s">
        <v>1133</v>
      </c>
      <c r="M933" s="3" t="s">
        <v>1137</v>
      </c>
      <c r="O933" s="3" t="s">
        <v>149</v>
      </c>
      <c r="R933" s="7" t="str">
        <f>IF(H933="","",VLOOKUP(H933,'Hoja 9'!$A$1:$B$255,2,0))</f>
        <v>BOCA EN BOCA</v>
      </c>
      <c r="S933" s="7">
        <f t="shared" si="1"/>
        <v>2025</v>
      </c>
      <c r="T933" s="7">
        <f t="shared" si="2"/>
        <v>4</v>
      </c>
    </row>
    <row r="934">
      <c r="A934" s="4">
        <v>45751.71008171296</v>
      </c>
      <c r="B934" s="3" t="s">
        <v>2515</v>
      </c>
      <c r="C934" s="3" t="s">
        <v>1292</v>
      </c>
      <c r="E934" s="5">
        <v>23798.0</v>
      </c>
      <c r="F934" s="3">
        <v>1.715892E7</v>
      </c>
      <c r="G934" s="3">
        <v>3.513300817E9</v>
      </c>
      <c r="H934" s="3" t="s">
        <v>27</v>
      </c>
      <c r="I934" s="3" t="s">
        <v>22</v>
      </c>
      <c r="K934" s="3" t="s">
        <v>1145</v>
      </c>
      <c r="O934" s="3" t="s">
        <v>23</v>
      </c>
      <c r="R934" s="7" t="str">
        <f>IF(H934="","",VLOOKUP(H934,'Hoja 9'!$A$1:$B$255,2,0))</f>
        <v>BOCA EN BOCA</v>
      </c>
      <c r="S934" s="7">
        <f t="shared" si="1"/>
        <v>2025</v>
      </c>
      <c r="T934" s="7">
        <f t="shared" si="2"/>
        <v>4</v>
      </c>
    </row>
    <row r="935">
      <c r="A935" s="4">
        <v>45751.77140586806</v>
      </c>
      <c r="B935" s="3" t="s">
        <v>2516</v>
      </c>
      <c r="C935" s="3" t="s">
        <v>92</v>
      </c>
      <c r="D935" s="3" t="s">
        <v>2517</v>
      </c>
      <c r="E935" s="5">
        <v>30264.0</v>
      </c>
      <c r="F935" s="3">
        <v>2.9715277E7</v>
      </c>
      <c r="G935" s="3">
        <v>3.51215531E9</v>
      </c>
      <c r="H935" s="3" t="s">
        <v>21</v>
      </c>
      <c r="I935" s="3" t="s">
        <v>22</v>
      </c>
      <c r="K935" s="3" t="s">
        <v>1145</v>
      </c>
      <c r="O935" s="3" t="s">
        <v>23</v>
      </c>
      <c r="R935" s="7" t="str">
        <f>IF(H935="","",VLOOKUP(H935,'Hoja 9'!$A$1:$B$255,2,0))</f>
        <v>GOOGLE</v>
      </c>
      <c r="S935" s="7">
        <f t="shared" si="1"/>
        <v>2025</v>
      </c>
      <c r="T935" s="7">
        <f t="shared" si="2"/>
        <v>4</v>
      </c>
    </row>
    <row r="936">
      <c r="A936" s="4">
        <v>45751.805666631946</v>
      </c>
      <c r="B936" s="3" t="s">
        <v>2518</v>
      </c>
      <c r="C936" s="3" t="s">
        <v>1124</v>
      </c>
      <c r="E936" s="5">
        <v>30890.0</v>
      </c>
      <c r="F936" s="3">
        <v>3.10536E7</v>
      </c>
      <c r="G936" s="3">
        <v>3.513853405E9</v>
      </c>
      <c r="H936" s="3" t="s">
        <v>27</v>
      </c>
      <c r="I936" s="3" t="s">
        <v>22</v>
      </c>
      <c r="K936" s="3" t="s">
        <v>1145</v>
      </c>
      <c r="O936" s="3" t="s">
        <v>149</v>
      </c>
      <c r="R936" s="7" t="str">
        <f>IF(H936="","",VLOOKUP(H936,'Hoja 9'!$A$1:$B$255,2,0))</f>
        <v>BOCA EN BOCA</v>
      </c>
      <c r="S936" s="7">
        <f t="shared" si="1"/>
        <v>2025</v>
      </c>
      <c r="T936" s="7">
        <f t="shared" si="2"/>
        <v>4</v>
      </c>
    </row>
    <row r="937">
      <c r="A937" s="4">
        <v>45754.48509353009</v>
      </c>
      <c r="B937" s="3" t="s">
        <v>73</v>
      </c>
      <c r="C937" s="3" t="s">
        <v>2519</v>
      </c>
      <c r="D937" s="3" t="s">
        <v>2520</v>
      </c>
      <c r="E937" s="5">
        <v>28950.0</v>
      </c>
      <c r="F937" s="3">
        <v>2.7303587E7</v>
      </c>
      <c r="G937" s="3">
        <v>3.513493623E9</v>
      </c>
      <c r="H937" s="3" t="s">
        <v>44</v>
      </c>
      <c r="I937" s="3" t="s">
        <v>22</v>
      </c>
      <c r="K937" s="3" t="s">
        <v>1132</v>
      </c>
      <c r="L937" s="3" t="s">
        <v>2521</v>
      </c>
      <c r="M937" s="3" t="s">
        <v>1134</v>
      </c>
      <c r="O937" s="3" t="s">
        <v>2522</v>
      </c>
      <c r="R937" s="7" t="str">
        <f>IF(H937="","",VLOOKUP(H937,'Hoja 9'!$A$1:$B$255,2,0))</f>
        <v>GIMNASIO</v>
      </c>
      <c r="S937" s="7">
        <f t="shared" si="1"/>
        <v>2025</v>
      </c>
      <c r="T937" s="7">
        <f t="shared" si="2"/>
        <v>4</v>
      </c>
    </row>
    <row r="938">
      <c r="A938" s="4">
        <v>45754.66104709491</v>
      </c>
      <c r="B938" s="3" t="s">
        <v>1180</v>
      </c>
      <c r="C938" s="3" t="s">
        <v>584</v>
      </c>
      <c r="D938" s="3" t="s">
        <v>2523</v>
      </c>
      <c r="E938" s="5">
        <v>32512.0</v>
      </c>
      <c r="F938" s="3">
        <v>3.4188496E7</v>
      </c>
      <c r="G938" s="3">
        <v>3.512895706E9</v>
      </c>
      <c r="H938" s="3" t="s">
        <v>21</v>
      </c>
      <c r="I938" s="3" t="s">
        <v>22</v>
      </c>
      <c r="K938" s="3" t="s">
        <v>1132</v>
      </c>
      <c r="L938" s="3" t="s">
        <v>1404</v>
      </c>
      <c r="M938" s="3" t="s">
        <v>1137</v>
      </c>
      <c r="O938" s="3" t="s">
        <v>23</v>
      </c>
      <c r="R938" s="7" t="str">
        <f>IF(H938="","",VLOOKUP(H938,'Hoja 9'!$A$1:$B$255,2,0))</f>
        <v>GOOGLE</v>
      </c>
      <c r="S938" s="7">
        <f t="shared" si="1"/>
        <v>2025</v>
      </c>
      <c r="T938" s="7">
        <f t="shared" si="2"/>
        <v>4</v>
      </c>
    </row>
    <row r="939">
      <c r="A939" s="4">
        <v>45754.886074016205</v>
      </c>
      <c r="B939" s="3" t="s">
        <v>2524</v>
      </c>
      <c r="C939" s="3" t="s">
        <v>2525</v>
      </c>
      <c r="D939" s="3" t="s">
        <v>2526</v>
      </c>
      <c r="E939" s="5">
        <v>20175.0</v>
      </c>
      <c r="F939" s="3">
        <v>1.1744055E7</v>
      </c>
      <c r="G939" s="3">
        <v>3.515168697E9</v>
      </c>
      <c r="H939" s="3" t="s">
        <v>27</v>
      </c>
      <c r="I939" s="3" t="s">
        <v>28</v>
      </c>
      <c r="K939" s="3" t="s">
        <v>1145</v>
      </c>
      <c r="R939" s="7" t="str">
        <f>IF(H939="","",VLOOKUP(H939,'Hoja 9'!$A$1:$B$255,2,0))</f>
        <v>BOCA EN BOCA</v>
      </c>
      <c r="S939" s="7">
        <f t="shared" si="1"/>
        <v>2025</v>
      </c>
      <c r="T939" s="7">
        <f t="shared" si="2"/>
        <v>4</v>
      </c>
    </row>
    <row r="940">
      <c r="A940" s="4">
        <v>45755.458628900466</v>
      </c>
      <c r="B940" s="3" t="s">
        <v>2527</v>
      </c>
      <c r="C940" s="3" t="s">
        <v>2528</v>
      </c>
      <c r="D940" s="3" t="s">
        <v>209</v>
      </c>
      <c r="E940" s="5">
        <v>11714.0</v>
      </c>
      <c r="F940" s="3">
        <v>9.3938916E7</v>
      </c>
      <c r="G940" s="3">
        <v>3.515389887E9</v>
      </c>
      <c r="H940" s="3" t="s">
        <v>27</v>
      </c>
      <c r="I940" s="3" t="s">
        <v>28</v>
      </c>
      <c r="K940" s="3" t="s">
        <v>1145</v>
      </c>
      <c r="R940" s="7" t="str">
        <f>IF(H940="","",VLOOKUP(H940,'Hoja 9'!$A$1:$B$255,2,0))</f>
        <v>BOCA EN BOCA</v>
      </c>
      <c r="S940" s="7">
        <f t="shared" si="1"/>
        <v>2025</v>
      </c>
      <c r="T940" s="7">
        <f t="shared" si="2"/>
        <v>4</v>
      </c>
    </row>
    <row r="941">
      <c r="A941" s="4">
        <v>45755.491956365746</v>
      </c>
      <c r="B941" s="3" t="s">
        <v>2529</v>
      </c>
      <c r="C941" s="3" t="s">
        <v>1655</v>
      </c>
      <c r="D941" s="3" t="s">
        <v>2530</v>
      </c>
      <c r="E941" s="5">
        <v>21443.0</v>
      </c>
      <c r="F941" s="3">
        <v>1.2670232E7</v>
      </c>
      <c r="G941" s="3">
        <v>3.512417002E9</v>
      </c>
      <c r="H941" s="3" t="s">
        <v>21</v>
      </c>
      <c r="I941" s="3" t="s">
        <v>28</v>
      </c>
      <c r="K941" s="3" t="s">
        <v>1145</v>
      </c>
      <c r="R941" s="7" t="str">
        <f>IF(H941="","",VLOOKUP(H941,'Hoja 9'!$A$1:$B$255,2,0))</f>
        <v>GOOGLE</v>
      </c>
      <c r="S941" s="7">
        <f t="shared" si="1"/>
        <v>2025</v>
      </c>
      <c r="T941" s="7">
        <f t="shared" si="2"/>
        <v>4</v>
      </c>
    </row>
    <row r="942">
      <c r="A942" s="4">
        <v>45755.49442474537</v>
      </c>
      <c r="B942" s="3" t="s">
        <v>2531</v>
      </c>
      <c r="C942" s="3" t="s">
        <v>2532</v>
      </c>
      <c r="D942" s="3" t="s">
        <v>2533</v>
      </c>
      <c r="E942" s="5">
        <v>19833.0</v>
      </c>
      <c r="F942" s="3">
        <v>1.1190688E7</v>
      </c>
      <c r="G942" s="3">
        <v>3.512417001E9</v>
      </c>
      <c r="H942" s="3" t="s">
        <v>21</v>
      </c>
      <c r="I942" s="3" t="s">
        <v>28</v>
      </c>
      <c r="K942" s="3" t="s">
        <v>1132</v>
      </c>
      <c r="L942" s="3" t="s">
        <v>1422</v>
      </c>
      <c r="M942" s="3" t="s">
        <v>1137</v>
      </c>
      <c r="R942" s="7" t="str">
        <f>IF(H942="","",VLOOKUP(H942,'Hoja 9'!$A$1:$B$255,2,0))</f>
        <v>GOOGLE</v>
      </c>
      <c r="S942" s="7">
        <f t="shared" si="1"/>
        <v>2025</v>
      </c>
      <c r="T942" s="7">
        <f t="shared" si="2"/>
        <v>4</v>
      </c>
    </row>
    <row r="943">
      <c r="A943" s="4">
        <v>45755.510292962965</v>
      </c>
      <c r="B943" s="3" t="s">
        <v>2534</v>
      </c>
      <c r="C943" s="3" t="s">
        <v>175</v>
      </c>
      <c r="D943" s="3" t="s">
        <v>2535</v>
      </c>
      <c r="E943" s="5">
        <v>20058.0</v>
      </c>
      <c r="F943" s="3">
        <v>1.1257813E7</v>
      </c>
      <c r="G943" s="3">
        <v>3.51318159E9</v>
      </c>
      <c r="H943" s="3" t="s">
        <v>44</v>
      </c>
      <c r="I943" s="3" t="s">
        <v>22</v>
      </c>
      <c r="K943" s="3" t="s">
        <v>1132</v>
      </c>
      <c r="L943" s="3" t="s">
        <v>1565</v>
      </c>
      <c r="M943" s="3" t="s">
        <v>1134</v>
      </c>
      <c r="O943" s="3" t="s">
        <v>72</v>
      </c>
      <c r="R943" s="7" t="str">
        <f>IF(H943="","",VLOOKUP(H943,'Hoja 9'!$A$1:$B$255,2,0))</f>
        <v>GIMNASIO</v>
      </c>
      <c r="S943" s="7">
        <f t="shared" si="1"/>
        <v>2025</v>
      </c>
      <c r="T943" s="7">
        <f t="shared" si="2"/>
        <v>4</v>
      </c>
    </row>
    <row r="944">
      <c r="A944" s="4">
        <v>45755.91770446759</v>
      </c>
      <c r="B944" s="3" t="s">
        <v>2536</v>
      </c>
      <c r="C944" s="3" t="s">
        <v>2537</v>
      </c>
      <c r="D944" s="3" t="s">
        <v>2538</v>
      </c>
      <c r="E944" s="5">
        <v>38491.0</v>
      </c>
      <c r="F944" s="8">
        <v>4.6671046E7</v>
      </c>
      <c r="G944" s="3">
        <v>2.994115646E9</v>
      </c>
      <c r="H944" s="3" t="s">
        <v>21</v>
      </c>
      <c r="I944" s="3" t="s">
        <v>28</v>
      </c>
      <c r="K944" s="3" t="s">
        <v>1145</v>
      </c>
      <c r="R944" s="7" t="str">
        <f>IF(H944="","",VLOOKUP(H944,'Hoja 9'!$A$1:$B$255,2,0))</f>
        <v>GOOGLE</v>
      </c>
      <c r="S944" s="7">
        <f t="shared" si="1"/>
        <v>2025</v>
      </c>
      <c r="T944" s="7">
        <f t="shared" si="2"/>
        <v>4</v>
      </c>
    </row>
    <row r="945">
      <c r="A945" s="4">
        <v>45756.62818060185</v>
      </c>
      <c r="B945" s="3" t="s">
        <v>2539</v>
      </c>
      <c r="C945" s="3" t="s">
        <v>2540</v>
      </c>
      <c r="D945" s="3" t="s">
        <v>2541</v>
      </c>
      <c r="E945" s="5">
        <v>30279.0</v>
      </c>
      <c r="F945" s="3">
        <v>2.9512477E7</v>
      </c>
      <c r="G945" s="3">
        <v>3.517537748E9</v>
      </c>
      <c r="H945" s="3" t="s">
        <v>27</v>
      </c>
      <c r="I945" s="3" t="s">
        <v>22</v>
      </c>
      <c r="K945" s="3" t="s">
        <v>1132</v>
      </c>
      <c r="L945" s="3" t="s">
        <v>1172</v>
      </c>
      <c r="M945" s="3" t="s">
        <v>1137</v>
      </c>
      <c r="O945" s="3" t="s">
        <v>23</v>
      </c>
      <c r="R945" s="7" t="str">
        <f>IF(H945="","",VLOOKUP(H945,'Hoja 9'!$A$1:$B$255,2,0))</f>
        <v>BOCA EN BOCA</v>
      </c>
      <c r="S945" s="7">
        <f t="shared" si="1"/>
        <v>2025</v>
      </c>
      <c r="T945" s="7">
        <f t="shared" si="2"/>
        <v>4</v>
      </c>
    </row>
    <row r="946">
      <c r="A946" s="4">
        <v>45756.692130254625</v>
      </c>
      <c r="B946" s="3" t="s">
        <v>2542</v>
      </c>
      <c r="C946" s="3" t="s">
        <v>2543</v>
      </c>
      <c r="E946" s="5">
        <v>25476.0</v>
      </c>
      <c r="F946" s="3">
        <v>2.0966836E7</v>
      </c>
      <c r="G946" s="3">
        <v>3.518018923E9</v>
      </c>
      <c r="H946" s="3" t="s">
        <v>44</v>
      </c>
      <c r="I946" s="3" t="s">
        <v>28</v>
      </c>
      <c r="K946" s="3" t="s">
        <v>1132</v>
      </c>
      <c r="L946" s="3" t="s">
        <v>1133</v>
      </c>
      <c r="M946" s="3" t="s">
        <v>1134</v>
      </c>
      <c r="R946" s="7" t="str">
        <f>IF(H946="","",VLOOKUP(H946,'Hoja 9'!$A$1:$B$255,2,0))</f>
        <v>GIMNASIO</v>
      </c>
      <c r="S946" s="7">
        <f t="shared" si="1"/>
        <v>2025</v>
      </c>
      <c r="T946" s="7">
        <f t="shared" si="2"/>
        <v>4</v>
      </c>
    </row>
    <row r="947">
      <c r="A947" s="4">
        <v>45756.758505555554</v>
      </c>
      <c r="B947" s="3" t="s">
        <v>1619</v>
      </c>
      <c r="C947" s="3" t="s">
        <v>1732</v>
      </c>
      <c r="D947" s="3" t="s">
        <v>2544</v>
      </c>
      <c r="E947" s="5">
        <v>19714.0</v>
      </c>
      <c r="F947" s="3">
        <v>1.0920204E7</v>
      </c>
      <c r="G947" s="3">
        <v>3.516761063E9</v>
      </c>
      <c r="H947" s="3" t="s">
        <v>27</v>
      </c>
      <c r="I947" s="3" t="s">
        <v>22</v>
      </c>
      <c r="K947" s="3" t="s">
        <v>1132</v>
      </c>
      <c r="L947" s="3" t="s">
        <v>1568</v>
      </c>
      <c r="M947" s="3" t="s">
        <v>1134</v>
      </c>
      <c r="O947" s="3" t="s">
        <v>72</v>
      </c>
      <c r="R947" s="7" t="str">
        <f>IF(H947="","",VLOOKUP(H947,'Hoja 9'!$A$1:$B$255,2,0))</f>
        <v>BOCA EN BOCA</v>
      </c>
      <c r="S947" s="7">
        <f t="shared" si="1"/>
        <v>2025</v>
      </c>
      <c r="T947" s="7">
        <f t="shared" si="2"/>
        <v>4</v>
      </c>
    </row>
    <row r="948">
      <c r="A948" s="4">
        <v>45758.723944756945</v>
      </c>
      <c r="B948" s="3" t="s">
        <v>1921</v>
      </c>
      <c r="C948" s="3" t="s">
        <v>162</v>
      </c>
      <c r="D948" s="3" t="s">
        <v>2545</v>
      </c>
      <c r="E948" s="5">
        <v>34275.0</v>
      </c>
      <c r="F948" s="3">
        <v>3.8500844E7</v>
      </c>
      <c r="G948" s="3">
        <v>3.516365446E9</v>
      </c>
      <c r="H948" s="3" t="s">
        <v>244</v>
      </c>
      <c r="I948" s="3" t="s">
        <v>22</v>
      </c>
      <c r="K948" s="3" t="s">
        <v>1132</v>
      </c>
      <c r="L948" s="3" t="s">
        <v>2546</v>
      </c>
      <c r="M948" s="3" t="s">
        <v>1134</v>
      </c>
      <c r="O948" s="3" t="s">
        <v>23</v>
      </c>
      <c r="R948" s="7" t="str">
        <f>IF(H948="","",VLOOKUP(H948,'Hoja 9'!$A$1:$B$255,2,0))</f>
        <v>META</v>
      </c>
      <c r="S948" s="7">
        <f t="shared" si="1"/>
        <v>2025</v>
      </c>
      <c r="T948" s="7">
        <f t="shared" si="2"/>
        <v>4</v>
      </c>
    </row>
    <row r="949">
      <c r="A949" s="4">
        <v>45758.79492318287</v>
      </c>
      <c r="B949" s="3" t="s">
        <v>2547</v>
      </c>
      <c r="C949" s="3" t="s">
        <v>2548</v>
      </c>
      <c r="D949" s="3" t="s">
        <v>2549</v>
      </c>
      <c r="E949" s="5">
        <v>37324.0</v>
      </c>
      <c r="F949" s="3">
        <v>5.2154931E7</v>
      </c>
      <c r="G949" s="3">
        <v>3.518002086E9</v>
      </c>
      <c r="H949" s="3" t="s">
        <v>27</v>
      </c>
      <c r="I949" s="3" t="s">
        <v>22</v>
      </c>
      <c r="K949" s="3" t="s">
        <v>1132</v>
      </c>
      <c r="L949" s="3" t="s">
        <v>1401</v>
      </c>
      <c r="M949" s="3" t="s">
        <v>1213</v>
      </c>
      <c r="O949" s="3" t="s">
        <v>149</v>
      </c>
      <c r="R949" s="7" t="str">
        <f>IF(H949="","",VLOOKUP(H949,'Hoja 9'!$A$1:$B$255,2,0))</f>
        <v>BOCA EN BOCA</v>
      </c>
      <c r="S949" s="7">
        <f t="shared" si="1"/>
        <v>2025</v>
      </c>
      <c r="T949" s="7">
        <f t="shared" si="2"/>
        <v>4</v>
      </c>
    </row>
    <row r="950">
      <c r="A950" s="4">
        <v>45758.82089584491</v>
      </c>
      <c r="B950" s="3" t="s">
        <v>2550</v>
      </c>
      <c r="C950" s="3" t="s">
        <v>78</v>
      </c>
      <c r="D950" s="3" t="s">
        <v>2551</v>
      </c>
      <c r="E950" s="5">
        <v>33435.0</v>
      </c>
      <c r="F950" s="3">
        <v>3.5965476E7</v>
      </c>
      <c r="G950" s="3">
        <v>3.517734188E9</v>
      </c>
      <c r="H950" s="3" t="s">
        <v>27</v>
      </c>
      <c r="I950" s="3" t="s">
        <v>28</v>
      </c>
      <c r="K950" s="3" t="s">
        <v>1132</v>
      </c>
      <c r="L950" s="3" t="s">
        <v>1136</v>
      </c>
      <c r="M950" s="3" t="s">
        <v>1134</v>
      </c>
      <c r="R950" s="7" t="str">
        <f>IF(H950="","",VLOOKUP(H950,'Hoja 9'!$A$1:$B$255,2,0))</f>
        <v>BOCA EN BOCA</v>
      </c>
      <c r="S950" s="7">
        <f t="shared" si="1"/>
        <v>2025</v>
      </c>
      <c r="T950" s="7">
        <f t="shared" si="2"/>
        <v>4</v>
      </c>
    </row>
    <row r="951">
      <c r="A951" s="4">
        <v>45758.882095567125</v>
      </c>
      <c r="B951" s="3" t="s">
        <v>850</v>
      </c>
      <c r="C951" s="3" t="s">
        <v>778</v>
      </c>
      <c r="D951" s="3" t="s">
        <v>2552</v>
      </c>
      <c r="E951" s="5">
        <v>19466.0</v>
      </c>
      <c r="F951" s="3">
        <v>1.0774385E7</v>
      </c>
      <c r="G951" s="3">
        <v>3.513107075E9</v>
      </c>
      <c r="H951" s="3" t="s">
        <v>44</v>
      </c>
      <c r="I951" s="3" t="s">
        <v>22</v>
      </c>
      <c r="K951" s="3" t="s">
        <v>1145</v>
      </c>
      <c r="O951" s="3" t="s">
        <v>23</v>
      </c>
      <c r="R951" s="7" t="str">
        <f>IF(H951="","",VLOOKUP(H951,'Hoja 9'!$A$1:$B$255,2,0))</f>
        <v>GIMNASIO</v>
      </c>
      <c r="S951" s="7">
        <f t="shared" si="1"/>
        <v>2025</v>
      </c>
      <c r="T951" s="7">
        <f t="shared" si="2"/>
        <v>4</v>
      </c>
    </row>
    <row r="952">
      <c r="A952" s="4">
        <v>45761.429118622684</v>
      </c>
      <c r="B952" s="3" t="s">
        <v>2004</v>
      </c>
      <c r="C952" s="3" t="s">
        <v>652</v>
      </c>
      <c r="D952" s="3" t="s">
        <v>2005</v>
      </c>
      <c r="E952" s="5">
        <v>36279.0</v>
      </c>
      <c r="F952" s="8">
        <v>4.1887291E7</v>
      </c>
      <c r="G952" s="3">
        <v>3.516890302E9</v>
      </c>
      <c r="H952" s="3" t="s">
        <v>44</v>
      </c>
      <c r="I952" s="3" t="s">
        <v>22</v>
      </c>
      <c r="K952" s="3" t="s">
        <v>1132</v>
      </c>
      <c r="L952" s="3" t="s">
        <v>1136</v>
      </c>
      <c r="M952" s="3" t="s">
        <v>1134</v>
      </c>
      <c r="O952" s="3" t="s">
        <v>149</v>
      </c>
      <c r="R952" s="7" t="str">
        <f>IF(H952="","",VLOOKUP(H952,'Hoja 9'!$A$1:$B$255,2,0))</f>
        <v>GIMNASIO</v>
      </c>
      <c r="S952" s="7">
        <f t="shared" si="1"/>
        <v>2025</v>
      </c>
      <c r="T952" s="7">
        <f t="shared" si="2"/>
        <v>4</v>
      </c>
    </row>
    <row r="953">
      <c r="A953" s="4">
        <v>45761.79345474537</v>
      </c>
      <c r="B953" s="3" t="s">
        <v>2004</v>
      </c>
      <c r="C953" s="3" t="s">
        <v>2553</v>
      </c>
      <c r="D953" s="3" t="s">
        <v>2554</v>
      </c>
      <c r="E953" s="5">
        <v>38516.0</v>
      </c>
      <c r="F953" s="3">
        <v>4.6034082E7</v>
      </c>
      <c r="G953" s="3" t="s">
        <v>2555</v>
      </c>
      <c r="H953" s="3" t="s">
        <v>27</v>
      </c>
      <c r="I953" s="3" t="s">
        <v>22</v>
      </c>
      <c r="K953" s="3" t="s">
        <v>1132</v>
      </c>
      <c r="L953" s="3" t="s">
        <v>1404</v>
      </c>
      <c r="M953" s="3" t="s">
        <v>1134</v>
      </c>
      <c r="O953" s="3" t="s">
        <v>23</v>
      </c>
      <c r="R953" s="7" t="str">
        <f>IF(H953="","",VLOOKUP(H953,'Hoja 9'!$A$1:$B$255,2,0))</f>
        <v>BOCA EN BOCA</v>
      </c>
      <c r="S953" s="7">
        <f t="shared" si="1"/>
        <v>2025</v>
      </c>
      <c r="T953" s="7">
        <f t="shared" si="2"/>
        <v>4</v>
      </c>
    </row>
    <row r="954">
      <c r="A954" s="4">
        <v>45762.462131203705</v>
      </c>
      <c r="B954" s="3" t="s">
        <v>2556</v>
      </c>
      <c r="C954" s="3" t="s">
        <v>406</v>
      </c>
      <c r="D954" s="3" t="s">
        <v>2557</v>
      </c>
      <c r="E954" s="5">
        <v>30839.0</v>
      </c>
      <c r="F954" s="3">
        <v>3.0772775E7</v>
      </c>
      <c r="G954" s="3">
        <v>3.516313815E9</v>
      </c>
      <c r="H954" s="3" t="s">
        <v>2558</v>
      </c>
      <c r="I954" s="3" t="s">
        <v>28</v>
      </c>
      <c r="K954" s="3" t="s">
        <v>1132</v>
      </c>
      <c r="L954" s="3" t="s">
        <v>2559</v>
      </c>
      <c r="M954" s="3" t="s">
        <v>1134</v>
      </c>
      <c r="R954" s="7" t="str">
        <f>IF(H954="","",VLOOKUP(H954,'Hoja 9'!$A$1:$B$255,2,0))</f>
        <v>BOCA EN BOCA</v>
      </c>
      <c r="S954" s="7">
        <f t="shared" si="1"/>
        <v>2025</v>
      </c>
      <c r="T954" s="7">
        <f t="shared" si="2"/>
        <v>4</v>
      </c>
    </row>
    <row r="955">
      <c r="A955" s="4">
        <v>45762.72465402778</v>
      </c>
      <c r="B955" s="3" t="s">
        <v>2560</v>
      </c>
      <c r="C955" s="3" t="s">
        <v>678</v>
      </c>
      <c r="E955" s="5">
        <v>32401.0</v>
      </c>
      <c r="F955" s="3">
        <v>3.3893221E7</v>
      </c>
      <c r="G955" s="3">
        <v>3.513346346E9</v>
      </c>
      <c r="H955" s="3" t="s">
        <v>44</v>
      </c>
      <c r="I955" s="3" t="s">
        <v>28</v>
      </c>
      <c r="K955" s="3" t="s">
        <v>1132</v>
      </c>
      <c r="L955" s="3" t="s">
        <v>1136</v>
      </c>
      <c r="M955" s="3" t="s">
        <v>1134</v>
      </c>
      <c r="R955" s="7" t="str">
        <f>IF(H955="","",VLOOKUP(H955,'Hoja 9'!$A$1:$B$255,2,0))</f>
        <v>GIMNASIO</v>
      </c>
      <c r="S955" s="7">
        <f t="shared" si="1"/>
        <v>2025</v>
      </c>
      <c r="T955" s="7">
        <f t="shared" si="2"/>
        <v>4</v>
      </c>
    </row>
    <row r="956">
      <c r="A956" s="4">
        <v>45762.823821631944</v>
      </c>
      <c r="B956" s="3" t="s">
        <v>2561</v>
      </c>
      <c r="C956" s="3" t="s">
        <v>2562</v>
      </c>
      <c r="D956" s="3" t="s">
        <v>2563</v>
      </c>
      <c r="E956" s="5">
        <v>16501.0</v>
      </c>
      <c r="F956" s="3">
        <v>5098861.0</v>
      </c>
      <c r="G956" s="3">
        <v>3.513746299E9</v>
      </c>
      <c r="H956" s="3" t="s">
        <v>27</v>
      </c>
      <c r="I956" s="3" t="s">
        <v>22</v>
      </c>
      <c r="K956" s="3" t="s">
        <v>1145</v>
      </c>
      <c r="O956" s="3" t="s">
        <v>23</v>
      </c>
      <c r="R956" s="7" t="str">
        <f>IF(H956="","",VLOOKUP(H956,'Hoja 9'!$A$1:$B$255,2,0))</f>
        <v>BOCA EN BOCA</v>
      </c>
      <c r="S956" s="7">
        <f t="shared" si="1"/>
        <v>2025</v>
      </c>
      <c r="T956" s="7">
        <f t="shared" si="2"/>
        <v>4</v>
      </c>
    </row>
    <row r="957">
      <c r="A957" s="4">
        <v>45763.77793542824</v>
      </c>
      <c r="B957" s="3" t="s">
        <v>2564</v>
      </c>
      <c r="C957" s="3" t="s">
        <v>908</v>
      </c>
      <c r="D957" s="3" t="s">
        <v>2565</v>
      </c>
      <c r="E957" s="5">
        <v>25155.0</v>
      </c>
      <c r="F957" s="3">
        <v>2.0532674E7</v>
      </c>
      <c r="G957" s="3">
        <v>3.515109541E9</v>
      </c>
      <c r="H957" s="3" t="s">
        <v>27</v>
      </c>
      <c r="I957" s="3" t="s">
        <v>28</v>
      </c>
      <c r="K957" s="3" t="s">
        <v>1132</v>
      </c>
      <c r="L957" s="3" t="s">
        <v>2566</v>
      </c>
      <c r="M957" s="3" t="s">
        <v>1137</v>
      </c>
      <c r="R957" s="7" t="str">
        <f>IF(H957="","",VLOOKUP(H957,'Hoja 9'!$A$1:$B$255,2,0))</f>
        <v>BOCA EN BOCA</v>
      </c>
      <c r="S957" s="7">
        <f t="shared" si="1"/>
        <v>2025</v>
      </c>
      <c r="T957" s="7">
        <f t="shared" si="2"/>
        <v>4</v>
      </c>
    </row>
    <row r="958">
      <c r="A958" s="4">
        <v>45764.64462274306</v>
      </c>
      <c r="B958" s="3" t="s">
        <v>2567</v>
      </c>
      <c r="C958" s="3" t="s">
        <v>996</v>
      </c>
      <c r="E958" s="5">
        <v>36090.0</v>
      </c>
      <c r="F958" s="3">
        <v>4.1600143E7</v>
      </c>
      <c r="G958" s="3">
        <v>3.513484526E9</v>
      </c>
      <c r="H958" s="3" t="s">
        <v>27</v>
      </c>
      <c r="I958" s="3" t="s">
        <v>22</v>
      </c>
      <c r="K958" s="3" t="s">
        <v>1145</v>
      </c>
      <c r="R958" s="7" t="str">
        <f>IF(H958="","",VLOOKUP(H958,'Hoja 9'!$A$1:$B$255,2,0))</f>
        <v>BOCA EN BOCA</v>
      </c>
      <c r="S958" s="7">
        <f t="shared" si="1"/>
        <v>2025</v>
      </c>
      <c r="T958" s="7">
        <f t="shared" si="2"/>
        <v>4</v>
      </c>
    </row>
    <row r="959">
      <c r="A959" s="4">
        <v>45764.75444334491</v>
      </c>
      <c r="B959" s="3" t="s">
        <v>2568</v>
      </c>
      <c r="C959" s="3" t="s">
        <v>1625</v>
      </c>
      <c r="D959" s="3" t="s">
        <v>2569</v>
      </c>
      <c r="E959" s="5">
        <v>21680.0</v>
      </c>
      <c r="F959" s="3">
        <v>1.2998499E7</v>
      </c>
      <c r="G959" s="3">
        <v>3.516880117E9</v>
      </c>
      <c r="H959" s="3" t="s">
        <v>27</v>
      </c>
      <c r="I959" s="3" t="s">
        <v>28</v>
      </c>
      <c r="K959" s="3" t="s">
        <v>1132</v>
      </c>
      <c r="L959" s="3" t="s">
        <v>2570</v>
      </c>
      <c r="M959" s="3" t="s">
        <v>1137</v>
      </c>
      <c r="R959" s="7" t="str">
        <f>IF(H959="","",VLOOKUP(H959,'Hoja 9'!$A$1:$B$255,2,0))</f>
        <v>BOCA EN BOCA</v>
      </c>
      <c r="S959" s="7">
        <f t="shared" si="1"/>
        <v>2025</v>
      </c>
      <c r="T959" s="7">
        <f t="shared" si="2"/>
        <v>4</v>
      </c>
    </row>
    <row r="960">
      <c r="A960" s="4">
        <v>45764.78974784722</v>
      </c>
      <c r="B960" s="3" t="s">
        <v>2571</v>
      </c>
      <c r="C960" s="3" t="s">
        <v>2572</v>
      </c>
      <c r="D960" s="3" t="s">
        <v>2573</v>
      </c>
      <c r="E960" s="5">
        <v>38654.0</v>
      </c>
      <c r="F960" s="3">
        <v>4.6849942E7</v>
      </c>
      <c r="G960" s="3">
        <v>3.518026715E9</v>
      </c>
      <c r="H960" s="3" t="s">
        <v>44</v>
      </c>
      <c r="I960" s="3" t="s">
        <v>22</v>
      </c>
      <c r="K960" s="3" t="s">
        <v>1132</v>
      </c>
      <c r="L960" s="3" t="s">
        <v>1136</v>
      </c>
      <c r="M960" s="3" t="s">
        <v>1134</v>
      </c>
      <c r="O960" s="3" t="s">
        <v>23</v>
      </c>
      <c r="R960" s="7" t="str">
        <f>IF(H960="","",VLOOKUP(H960,'Hoja 9'!$A$1:$B$255,2,0))</f>
        <v>GIMNASIO</v>
      </c>
      <c r="S960" s="7">
        <f t="shared" si="1"/>
        <v>2025</v>
      </c>
      <c r="T960" s="7">
        <f t="shared" si="2"/>
        <v>4</v>
      </c>
    </row>
    <row r="961">
      <c r="A961" s="4">
        <v>45768.4181088426</v>
      </c>
      <c r="B961" s="3" t="s">
        <v>264</v>
      </c>
      <c r="C961" s="3" t="s">
        <v>2574</v>
      </c>
      <c r="D961" s="3" t="s">
        <v>2575</v>
      </c>
      <c r="E961" s="5">
        <v>40592.0</v>
      </c>
      <c r="F961" s="3">
        <v>5.0854409E7</v>
      </c>
      <c r="G961" s="3">
        <v>3.51258676E9</v>
      </c>
      <c r="H961" s="3" t="s">
        <v>244</v>
      </c>
      <c r="I961" s="3" t="s">
        <v>22</v>
      </c>
      <c r="K961" s="3" t="s">
        <v>1132</v>
      </c>
      <c r="L961" s="3" t="s">
        <v>1332</v>
      </c>
      <c r="M961" s="3" t="s">
        <v>1134</v>
      </c>
      <c r="O961" s="3" t="s">
        <v>149</v>
      </c>
      <c r="R961" s="7" t="str">
        <f>IF(H961="","",VLOOKUP(H961,'Hoja 9'!$A$1:$B$255,2,0))</f>
        <v>META</v>
      </c>
      <c r="S961" s="7">
        <f t="shared" si="1"/>
        <v>2025</v>
      </c>
      <c r="T961" s="7">
        <f t="shared" si="2"/>
        <v>4</v>
      </c>
    </row>
    <row r="962">
      <c r="A962" s="4">
        <v>45768.41987266204</v>
      </c>
      <c r="B962" s="3" t="s">
        <v>2576</v>
      </c>
      <c r="C962" s="3" t="s">
        <v>2577</v>
      </c>
      <c r="D962" s="3" t="s">
        <v>2578</v>
      </c>
      <c r="E962" s="5">
        <v>40270.0</v>
      </c>
      <c r="F962" s="3">
        <v>5.286756E7</v>
      </c>
      <c r="G962" s="3">
        <v>3.512383506E9</v>
      </c>
      <c r="H962" s="3" t="s">
        <v>27</v>
      </c>
      <c r="I962" s="3" t="s">
        <v>28</v>
      </c>
      <c r="K962" s="3" t="s">
        <v>1132</v>
      </c>
      <c r="L962" s="3" t="s">
        <v>1136</v>
      </c>
      <c r="M962" s="3" t="s">
        <v>1134</v>
      </c>
      <c r="R962" s="7" t="str">
        <f>IF(H962="","",VLOOKUP(H962,'Hoja 9'!$A$1:$B$255,2,0))</f>
        <v>BOCA EN BOCA</v>
      </c>
      <c r="S962" s="7">
        <f t="shared" si="1"/>
        <v>2025</v>
      </c>
      <c r="T962" s="7">
        <f t="shared" si="2"/>
        <v>4</v>
      </c>
    </row>
    <row r="963">
      <c r="A963" s="4">
        <v>45768.44489866898</v>
      </c>
      <c r="B963" s="3" t="s">
        <v>1757</v>
      </c>
      <c r="C963" s="3" t="s">
        <v>175</v>
      </c>
      <c r="D963" s="3" t="s">
        <v>2579</v>
      </c>
      <c r="E963" s="5">
        <v>32028.0</v>
      </c>
      <c r="F963" s="3">
        <v>3.3227169E7</v>
      </c>
      <c r="G963" s="3">
        <v>3.517672758E9</v>
      </c>
      <c r="H963" s="3" t="s">
        <v>2580</v>
      </c>
      <c r="I963" s="3" t="s">
        <v>28</v>
      </c>
      <c r="K963" s="3" t="s">
        <v>1145</v>
      </c>
      <c r="R963" s="7" t="str">
        <f>IF(H963="","",VLOOKUP(H963,'Hoja 9'!$A$1:$B$255,2,0))</f>
        <v>GIMNASIO</v>
      </c>
      <c r="S963" s="7">
        <f t="shared" si="1"/>
        <v>2025</v>
      </c>
      <c r="T963" s="7">
        <f t="shared" si="2"/>
        <v>4</v>
      </c>
    </row>
    <row r="964">
      <c r="A964" s="4">
        <v>45768.47998049769</v>
      </c>
      <c r="B964" s="3" t="s">
        <v>2581</v>
      </c>
      <c r="C964" s="3" t="s">
        <v>296</v>
      </c>
      <c r="D964" s="3" t="s">
        <v>2582</v>
      </c>
      <c r="E964" s="5">
        <v>37432.0</v>
      </c>
      <c r="F964" s="3">
        <v>4.3811634E7</v>
      </c>
      <c r="G964" s="3">
        <v>3.516988111E9</v>
      </c>
      <c r="H964" s="3" t="s">
        <v>244</v>
      </c>
      <c r="I964" s="3" t="s">
        <v>28</v>
      </c>
      <c r="K964" s="3" t="s">
        <v>1132</v>
      </c>
      <c r="L964" s="3" t="s">
        <v>1136</v>
      </c>
      <c r="M964" s="3" t="s">
        <v>1134</v>
      </c>
      <c r="R964" s="7" t="str">
        <f>IF(H964="","",VLOOKUP(H964,'Hoja 9'!$A$1:$B$255,2,0))</f>
        <v>META</v>
      </c>
      <c r="S964" s="7">
        <f t="shared" si="1"/>
        <v>2025</v>
      </c>
      <c r="T964" s="7">
        <f t="shared" si="2"/>
        <v>4</v>
      </c>
    </row>
    <row r="965">
      <c r="A965" s="4">
        <v>45768.73816237268</v>
      </c>
      <c r="B965" s="3" t="s">
        <v>2583</v>
      </c>
      <c r="C965" s="3" t="s">
        <v>413</v>
      </c>
      <c r="D965" s="3" t="s">
        <v>2584</v>
      </c>
      <c r="E965" s="5">
        <v>30621.0</v>
      </c>
      <c r="F965" s="3">
        <v>3.0389784E7</v>
      </c>
      <c r="G965" s="3">
        <v>3.412020195E9</v>
      </c>
      <c r="H965" s="3" t="s">
        <v>27</v>
      </c>
      <c r="I965" s="3" t="s">
        <v>28</v>
      </c>
      <c r="K965" s="3" t="s">
        <v>1132</v>
      </c>
      <c r="L965" s="3" t="s">
        <v>2585</v>
      </c>
      <c r="M965" s="3" t="s">
        <v>1134</v>
      </c>
      <c r="R965" s="7" t="str">
        <f>IF(H965="","",VLOOKUP(H965,'Hoja 9'!$A$1:$B$255,2,0))</f>
        <v>BOCA EN BOCA</v>
      </c>
      <c r="S965" s="7">
        <f t="shared" si="1"/>
        <v>2025</v>
      </c>
      <c r="T965" s="7">
        <f t="shared" si="2"/>
        <v>4</v>
      </c>
    </row>
    <row r="966">
      <c r="A966" s="4">
        <v>45768.80587377315</v>
      </c>
      <c r="B966" s="3" t="s">
        <v>2586</v>
      </c>
      <c r="C966" s="3" t="s">
        <v>202</v>
      </c>
      <c r="D966" s="3" t="s">
        <v>2587</v>
      </c>
      <c r="E966" s="5">
        <v>20884.0</v>
      </c>
      <c r="F966" s="3">
        <v>1.2995443E7</v>
      </c>
      <c r="G966" s="3">
        <v>3.515214857E9</v>
      </c>
      <c r="H966" s="3" t="s">
        <v>44</v>
      </c>
      <c r="I966" s="3" t="s">
        <v>28</v>
      </c>
      <c r="K966" s="3" t="s">
        <v>1132</v>
      </c>
      <c r="L966" s="3" t="s">
        <v>1133</v>
      </c>
      <c r="M966" s="3" t="s">
        <v>1134</v>
      </c>
      <c r="R966" s="7" t="str">
        <f>IF(H966="","",VLOOKUP(H966,'Hoja 9'!$A$1:$B$255,2,0))</f>
        <v>GIMNASIO</v>
      </c>
      <c r="S966" s="7">
        <f t="shared" si="1"/>
        <v>2025</v>
      </c>
      <c r="T966" s="7">
        <f t="shared" si="2"/>
        <v>4</v>
      </c>
    </row>
    <row r="967">
      <c r="A967" s="4">
        <v>45768.83373039352</v>
      </c>
      <c r="B967" s="3" t="s">
        <v>2588</v>
      </c>
      <c r="C967" s="3" t="s">
        <v>2589</v>
      </c>
      <c r="D967" s="3" t="s">
        <v>2590</v>
      </c>
      <c r="E967" s="5">
        <v>34684.0</v>
      </c>
      <c r="F967" s="3">
        <v>3.8644083E7</v>
      </c>
      <c r="G967" s="3">
        <v>3.5131272E9</v>
      </c>
      <c r="H967" s="3" t="s">
        <v>44</v>
      </c>
      <c r="I967" s="3" t="s">
        <v>28</v>
      </c>
      <c r="K967" s="3" t="s">
        <v>1132</v>
      </c>
      <c r="L967" s="3" t="s">
        <v>2591</v>
      </c>
      <c r="M967" s="3" t="s">
        <v>1134</v>
      </c>
      <c r="R967" s="7" t="str">
        <f>IF(H967="","",VLOOKUP(H967,'Hoja 9'!$A$1:$B$255,2,0))</f>
        <v>GIMNASIO</v>
      </c>
      <c r="S967" s="7">
        <f t="shared" si="1"/>
        <v>2025</v>
      </c>
      <c r="T967" s="7">
        <f t="shared" si="2"/>
        <v>4</v>
      </c>
    </row>
    <row r="968">
      <c r="A968" s="4">
        <v>45769.43528950232</v>
      </c>
      <c r="B968" s="3" t="s">
        <v>1497</v>
      </c>
      <c r="C968" s="3" t="s">
        <v>2592</v>
      </c>
      <c r="D968" s="3" t="s">
        <v>2593</v>
      </c>
      <c r="E968" s="5">
        <v>37868.0</v>
      </c>
      <c r="F968" s="3">
        <v>4.5026146E7</v>
      </c>
      <c r="G968" s="3">
        <v>3.513799497E9</v>
      </c>
      <c r="H968" s="3" t="s">
        <v>148</v>
      </c>
      <c r="I968" s="3" t="s">
        <v>22</v>
      </c>
      <c r="K968" s="3" t="s">
        <v>1145</v>
      </c>
      <c r="O968" s="3" t="s">
        <v>149</v>
      </c>
      <c r="R968" s="7" t="str">
        <f>IF(H968="","",VLOOKUP(H968,'Hoja 9'!$A$1:$B$255,2,0))</f>
        <v>OBRA SOCIAL</v>
      </c>
      <c r="S968" s="7">
        <f t="shared" si="1"/>
        <v>2025</v>
      </c>
      <c r="T968" s="7">
        <f t="shared" si="2"/>
        <v>4</v>
      </c>
    </row>
    <row r="969">
      <c r="A969" s="4">
        <v>45769.83789949074</v>
      </c>
      <c r="B969" s="3" t="s">
        <v>2594</v>
      </c>
      <c r="C969" s="3" t="s">
        <v>518</v>
      </c>
      <c r="D969" s="3" t="s">
        <v>2595</v>
      </c>
      <c r="E969" s="5">
        <v>32503.0</v>
      </c>
      <c r="F969" s="3">
        <v>3.431674E7</v>
      </c>
      <c r="G969" s="3">
        <v>3.512441054E9</v>
      </c>
      <c r="H969" s="3" t="s">
        <v>44</v>
      </c>
      <c r="I969" s="3" t="s">
        <v>22</v>
      </c>
      <c r="K969" s="3" t="s">
        <v>1132</v>
      </c>
      <c r="L969" s="3" t="s">
        <v>1726</v>
      </c>
      <c r="M969" s="3" t="s">
        <v>1137</v>
      </c>
      <c r="O969" s="3" t="s">
        <v>72</v>
      </c>
      <c r="R969" s="7" t="str">
        <f>IF(H969="","",VLOOKUP(H969,'Hoja 9'!$A$1:$B$255,2,0))</f>
        <v>GIMNASIO</v>
      </c>
      <c r="S969" s="7">
        <f t="shared" si="1"/>
        <v>2025</v>
      </c>
      <c r="T969" s="7">
        <f t="shared" si="2"/>
        <v>4</v>
      </c>
    </row>
    <row r="970">
      <c r="A970" s="4">
        <v>45770.41000300926</v>
      </c>
      <c r="B970" s="3" t="s">
        <v>621</v>
      </c>
      <c r="C970" s="3" t="s">
        <v>2596</v>
      </c>
      <c r="D970" s="3" t="s">
        <v>2597</v>
      </c>
      <c r="E970" s="5">
        <v>18633.0</v>
      </c>
      <c r="F970" s="3">
        <v>6494708.0</v>
      </c>
      <c r="G970" s="3" t="s">
        <v>2598</v>
      </c>
      <c r="H970" s="3" t="s">
        <v>44</v>
      </c>
      <c r="I970" s="3" t="s">
        <v>22</v>
      </c>
      <c r="K970" s="3" t="s">
        <v>1145</v>
      </c>
      <c r="O970" s="3" t="s">
        <v>72</v>
      </c>
      <c r="R970" s="7" t="str">
        <f>IF(H970="","",VLOOKUP(H970,'Hoja 9'!$A$1:$B$255,2,0))</f>
        <v>GIMNASIO</v>
      </c>
      <c r="S970" s="7">
        <f t="shared" si="1"/>
        <v>2025</v>
      </c>
      <c r="T970" s="7">
        <f t="shared" si="2"/>
        <v>4</v>
      </c>
    </row>
    <row r="971">
      <c r="A971" s="4">
        <v>45770.764709062496</v>
      </c>
      <c r="B971" s="3" t="s">
        <v>1165</v>
      </c>
      <c r="C971" s="3" t="s">
        <v>321</v>
      </c>
      <c r="D971" s="3" t="s">
        <v>2599</v>
      </c>
      <c r="E971" s="5">
        <v>40422.0</v>
      </c>
      <c r="F971" s="3">
        <v>5.0422125E7</v>
      </c>
      <c r="G971" s="3" t="s">
        <v>2598</v>
      </c>
      <c r="H971" s="3" t="s">
        <v>44</v>
      </c>
      <c r="I971" s="3" t="s">
        <v>28</v>
      </c>
      <c r="K971" s="3" t="s">
        <v>1132</v>
      </c>
      <c r="L971" s="3" t="s">
        <v>2600</v>
      </c>
      <c r="M971" s="3" t="s">
        <v>1134</v>
      </c>
      <c r="R971" s="7" t="str">
        <f>IF(H971="","",VLOOKUP(H971,'Hoja 9'!$A$1:$B$255,2,0))</f>
        <v>GIMNASIO</v>
      </c>
      <c r="S971" s="7">
        <f t="shared" si="1"/>
        <v>2025</v>
      </c>
      <c r="T971" s="7">
        <f t="shared" si="2"/>
        <v>4</v>
      </c>
    </row>
    <row r="972">
      <c r="A972" s="4">
        <v>45771.69905420139</v>
      </c>
      <c r="B972" s="3" t="s">
        <v>2601</v>
      </c>
      <c r="C972" s="3" t="s">
        <v>2602</v>
      </c>
      <c r="D972" s="3" t="s">
        <v>2603</v>
      </c>
      <c r="E972" s="5">
        <v>31101.0</v>
      </c>
      <c r="F972" s="3">
        <v>3.1355985E7</v>
      </c>
      <c r="G972" s="3">
        <v>3.512665822E9</v>
      </c>
      <c r="H972" s="3" t="s">
        <v>27</v>
      </c>
      <c r="I972" s="3" t="s">
        <v>28</v>
      </c>
      <c r="K972" s="3" t="s">
        <v>1132</v>
      </c>
      <c r="L972" s="3" t="s">
        <v>2604</v>
      </c>
      <c r="M972" s="3" t="s">
        <v>1134</v>
      </c>
      <c r="R972" s="7" t="str">
        <f>IF(H972="","",VLOOKUP(H972,'Hoja 9'!$A$1:$B$255,2,0))</f>
        <v>BOCA EN BOCA</v>
      </c>
      <c r="S972" s="7">
        <f t="shared" si="1"/>
        <v>2025</v>
      </c>
      <c r="T972" s="7">
        <f t="shared" si="2"/>
        <v>4</v>
      </c>
    </row>
    <row r="973">
      <c r="A973" s="4">
        <v>45772.41903621527</v>
      </c>
      <c r="B973" s="3" t="s">
        <v>2605</v>
      </c>
      <c r="C973" s="3" t="s">
        <v>2606</v>
      </c>
      <c r="D973" s="3" t="s">
        <v>2607</v>
      </c>
      <c r="E973" s="5">
        <v>27580.0</v>
      </c>
      <c r="F973" s="3">
        <v>2.4687262E7</v>
      </c>
      <c r="G973" s="3">
        <v>3.51302288E9</v>
      </c>
      <c r="H973" s="3" t="s">
        <v>44</v>
      </c>
      <c r="I973" s="3" t="s">
        <v>28</v>
      </c>
      <c r="K973" s="3" t="s">
        <v>1132</v>
      </c>
      <c r="L973" s="3" t="s">
        <v>1133</v>
      </c>
      <c r="M973" s="3" t="s">
        <v>1134</v>
      </c>
      <c r="R973" s="7" t="str">
        <f>IF(H973="","",VLOOKUP(H973,'Hoja 9'!$A$1:$B$255,2,0))</f>
        <v>GIMNASIO</v>
      </c>
      <c r="S973" s="7">
        <f t="shared" si="1"/>
        <v>2025</v>
      </c>
      <c r="T973" s="7">
        <f t="shared" si="2"/>
        <v>4</v>
      </c>
    </row>
    <row r="974">
      <c r="A974" s="4">
        <v>45772.74968954861</v>
      </c>
      <c r="B974" s="3" t="s">
        <v>2608</v>
      </c>
      <c r="C974" s="3" t="s">
        <v>2197</v>
      </c>
      <c r="D974" s="3" t="s">
        <v>2609</v>
      </c>
      <c r="E974" s="5">
        <v>23935.0</v>
      </c>
      <c r="F974" s="3">
        <v>1.6665878E7</v>
      </c>
      <c r="G974" s="3">
        <v>3.515505817E9</v>
      </c>
      <c r="H974" s="3" t="s">
        <v>27</v>
      </c>
      <c r="I974" s="3" t="s">
        <v>28</v>
      </c>
      <c r="K974" s="3" t="s">
        <v>1132</v>
      </c>
      <c r="L974" s="3" t="s">
        <v>1404</v>
      </c>
      <c r="M974" s="3" t="s">
        <v>1134</v>
      </c>
      <c r="R974" s="7" t="str">
        <f>IF(H974="","",VLOOKUP(H974,'Hoja 9'!$A$1:$B$255,2,0))</f>
        <v>BOCA EN BOCA</v>
      </c>
      <c r="S974" s="7">
        <f t="shared" si="1"/>
        <v>2025</v>
      </c>
      <c r="T974" s="7">
        <f t="shared" si="2"/>
        <v>4</v>
      </c>
    </row>
    <row r="975">
      <c r="A975" s="4">
        <v>45775.843293541664</v>
      </c>
      <c r="B975" s="3" t="s">
        <v>2610</v>
      </c>
      <c r="C975" s="3" t="s">
        <v>185</v>
      </c>
      <c r="D975" s="3" t="s">
        <v>2611</v>
      </c>
      <c r="E975" s="5">
        <v>25695.0</v>
      </c>
      <c r="F975" s="3">
        <v>2.1567648E7</v>
      </c>
      <c r="G975" s="3">
        <v>3.514590212E9</v>
      </c>
      <c r="H975" s="3" t="s">
        <v>44</v>
      </c>
      <c r="I975" s="3" t="s">
        <v>28</v>
      </c>
      <c r="K975" s="3" t="s">
        <v>1132</v>
      </c>
      <c r="L975" s="3" t="s">
        <v>2612</v>
      </c>
      <c r="M975" s="3" t="s">
        <v>1134</v>
      </c>
      <c r="R975" s="7" t="str">
        <f>IF(H975="","",VLOOKUP(H975,'Hoja 9'!$A$1:$B$255,2,0))</f>
        <v>GIMNASIO</v>
      </c>
      <c r="S975" s="7">
        <f t="shared" si="1"/>
        <v>2025</v>
      </c>
      <c r="T975" s="7">
        <f t="shared" si="2"/>
        <v>4</v>
      </c>
    </row>
    <row r="976">
      <c r="A976" s="4">
        <v>45776.738338020834</v>
      </c>
      <c r="B976" s="3" t="s">
        <v>409</v>
      </c>
      <c r="C976" s="3" t="s">
        <v>721</v>
      </c>
      <c r="D976" s="3" t="s">
        <v>722</v>
      </c>
      <c r="E976" s="5">
        <v>15395.0</v>
      </c>
      <c r="F976" s="3">
        <v>4129035.0</v>
      </c>
      <c r="G976" s="3">
        <v>3.513565063E9</v>
      </c>
      <c r="H976" s="3" t="s">
        <v>21</v>
      </c>
      <c r="I976" s="3" t="s">
        <v>28</v>
      </c>
      <c r="K976" s="3" t="s">
        <v>1145</v>
      </c>
      <c r="R976" s="7" t="str">
        <f>IF(H976="","",VLOOKUP(H976,'Hoja 9'!$A$1:$B$255,2,0))</f>
        <v>GOOGLE</v>
      </c>
      <c r="S976" s="7">
        <f t="shared" si="1"/>
        <v>2025</v>
      </c>
      <c r="T976" s="7">
        <f t="shared" si="2"/>
        <v>4</v>
      </c>
    </row>
    <row r="977">
      <c r="A977" s="4">
        <v>45777.665995393516</v>
      </c>
      <c r="B977" s="3" t="s">
        <v>2613</v>
      </c>
      <c r="C977" s="3" t="s">
        <v>2614</v>
      </c>
      <c r="D977" s="3" t="s">
        <v>2615</v>
      </c>
      <c r="E977" s="5">
        <v>21082.0</v>
      </c>
      <c r="F977" s="3">
        <v>1.3373977E7</v>
      </c>
      <c r="G977" s="3">
        <v>3.513146903E9</v>
      </c>
      <c r="H977" s="3" t="s">
        <v>27</v>
      </c>
      <c r="I977" s="3" t="s">
        <v>28</v>
      </c>
      <c r="K977" s="3" t="s">
        <v>1145</v>
      </c>
      <c r="R977" s="7" t="str">
        <f>IF(H977="","",VLOOKUP(H977,'Hoja 9'!$A$1:$B$255,2,0))</f>
        <v>BOCA EN BOCA</v>
      </c>
      <c r="S977" s="7">
        <f t="shared" si="1"/>
        <v>2025</v>
      </c>
      <c r="T977" s="7">
        <f t="shared" si="2"/>
        <v>4</v>
      </c>
    </row>
    <row r="978">
      <c r="A978" s="4">
        <v>45782.546711250005</v>
      </c>
      <c r="B978" s="3" t="s">
        <v>2616</v>
      </c>
      <c r="C978" s="3" t="s">
        <v>750</v>
      </c>
      <c r="D978" s="3" t="s">
        <v>2617</v>
      </c>
      <c r="E978" s="5">
        <v>40001.0</v>
      </c>
      <c r="F978" s="3">
        <v>4.9716875E7</v>
      </c>
      <c r="G978" s="3">
        <v>3.515329797E9</v>
      </c>
      <c r="H978" s="3" t="s">
        <v>21</v>
      </c>
      <c r="I978" s="3" t="s">
        <v>22</v>
      </c>
      <c r="K978" s="3" t="s">
        <v>1132</v>
      </c>
      <c r="L978" s="3" t="s">
        <v>1136</v>
      </c>
      <c r="M978" s="3" t="s">
        <v>1134</v>
      </c>
      <c r="O978" s="3" t="s">
        <v>23</v>
      </c>
      <c r="R978" s="7" t="str">
        <f>IF(H978="","",VLOOKUP(H978,'Hoja 9'!$A$1:$B$255,2,0))</f>
        <v>GOOGLE</v>
      </c>
      <c r="S978" s="7">
        <f t="shared" si="1"/>
        <v>2025</v>
      </c>
      <c r="T978" s="7">
        <f t="shared" si="2"/>
        <v>5</v>
      </c>
    </row>
    <row r="979">
      <c r="A979" s="4">
        <v>45782.64804876158</v>
      </c>
      <c r="B979" s="3" t="s">
        <v>2618</v>
      </c>
      <c r="C979" s="3" t="s">
        <v>2619</v>
      </c>
      <c r="D979" s="3" t="s">
        <v>2620</v>
      </c>
      <c r="E979" s="5">
        <v>30637.0</v>
      </c>
      <c r="F979" s="3">
        <v>3.065659E7</v>
      </c>
      <c r="G979" s="3">
        <v>3.512008982E9</v>
      </c>
      <c r="H979" s="3" t="s">
        <v>27</v>
      </c>
      <c r="I979" s="3" t="s">
        <v>28</v>
      </c>
      <c r="K979" s="3" t="s">
        <v>1145</v>
      </c>
      <c r="R979" s="7" t="str">
        <f>IF(H979="","",VLOOKUP(H979,'Hoja 9'!$A$1:$B$255,2,0))</f>
        <v>BOCA EN BOCA</v>
      </c>
      <c r="S979" s="7">
        <f t="shared" si="1"/>
        <v>2025</v>
      </c>
      <c r="T979" s="7">
        <f t="shared" si="2"/>
        <v>5</v>
      </c>
    </row>
    <row r="980">
      <c r="A980" s="4">
        <v>45782.83196939815</v>
      </c>
      <c r="B980" s="3" t="s">
        <v>2621</v>
      </c>
      <c r="C980" s="3" t="s">
        <v>893</v>
      </c>
      <c r="D980" s="3" t="s">
        <v>2622</v>
      </c>
      <c r="E980" s="5">
        <v>30420.0</v>
      </c>
      <c r="F980" s="3">
        <v>3.0087325E7</v>
      </c>
      <c r="G980" s="3">
        <v>3.516817829E9</v>
      </c>
      <c r="H980" s="3" t="s">
        <v>44</v>
      </c>
      <c r="I980" s="3" t="s">
        <v>22</v>
      </c>
      <c r="K980" s="3" t="s">
        <v>1132</v>
      </c>
      <c r="L980" s="3" t="s">
        <v>1133</v>
      </c>
      <c r="M980" s="3" t="s">
        <v>1134</v>
      </c>
      <c r="O980" s="3" t="s">
        <v>58</v>
      </c>
      <c r="R980" s="7" t="str">
        <f>IF(H980="","",VLOOKUP(H980,'Hoja 9'!$A$1:$B$255,2,0))</f>
        <v>GIMNASIO</v>
      </c>
      <c r="S980" s="7">
        <f t="shared" si="1"/>
        <v>2025</v>
      </c>
      <c r="T980" s="7">
        <f t="shared" si="2"/>
        <v>5</v>
      </c>
    </row>
    <row r="981">
      <c r="A981" s="4">
        <v>45784.81758649305</v>
      </c>
      <c r="B981" s="3" t="s">
        <v>1230</v>
      </c>
      <c r="C981" s="3" t="s">
        <v>1617</v>
      </c>
      <c r="E981" s="5">
        <v>24154.0</v>
      </c>
      <c r="F981" s="3">
        <v>1.7626908E7</v>
      </c>
      <c r="G981" s="3">
        <v>3.515135709E9</v>
      </c>
      <c r="H981" s="3" t="s">
        <v>27</v>
      </c>
      <c r="I981" s="3" t="s">
        <v>28</v>
      </c>
      <c r="K981" s="3" t="s">
        <v>1145</v>
      </c>
      <c r="R981" s="7" t="str">
        <f>IF(H981="","",VLOOKUP(H981,'Hoja 9'!$A$1:$B$255,2,0))</f>
        <v>BOCA EN BOCA</v>
      </c>
      <c r="S981" s="7">
        <f t="shared" si="1"/>
        <v>2025</v>
      </c>
      <c r="T981" s="7">
        <f t="shared" si="2"/>
        <v>5</v>
      </c>
    </row>
    <row r="982">
      <c r="A982" s="4">
        <v>45784.933767002316</v>
      </c>
      <c r="B982" s="3" t="s">
        <v>2623</v>
      </c>
      <c r="C982" s="3" t="s">
        <v>242</v>
      </c>
      <c r="D982" s="3" t="s">
        <v>2624</v>
      </c>
      <c r="E982" s="5">
        <v>36446.0</v>
      </c>
      <c r="F982" s="3">
        <v>4.2160204E7</v>
      </c>
      <c r="G982" s="3">
        <v>3.51234329E9</v>
      </c>
      <c r="H982" s="3" t="s">
        <v>27</v>
      </c>
      <c r="I982" s="3" t="s">
        <v>22</v>
      </c>
      <c r="K982" s="3" t="s">
        <v>1132</v>
      </c>
      <c r="L982" s="3" t="s">
        <v>2625</v>
      </c>
      <c r="M982" s="3" t="s">
        <v>1134</v>
      </c>
      <c r="O982" s="3" t="s">
        <v>2626</v>
      </c>
      <c r="R982" s="7" t="str">
        <f>IF(H982="","",VLOOKUP(H982,'Hoja 9'!$A$1:$B$255,2,0))</f>
        <v>BOCA EN BOCA</v>
      </c>
      <c r="S982" s="7">
        <f t="shared" si="1"/>
        <v>2025</v>
      </c>
      <c r="T982" s="7">
        <f t="shared" si="2"/>
        <v>5</v>
      </c>
    </row>
    <row r="983">
      <c r="A983" s="4">
        <v>45785.55634401621</v>
      </c>
      <c r="B983" s="3" t="s">
        <v>903</v>
      </c>
      <c r="C983" s="3" t="s">
        <v>1886</v>
      </c>
      <c r="D983" s="3" t="s">
        <v>2627</v>
      </c>
      <c r="E983" s="5">
        <v>22962.0</v>
      </c>
      <c r="F983" s="3">
        <v>1.6183623E7</v>
      </c>
      <c r="G983" s="3">
        <v>3.513218392E9</v>
      </c>
      <c r="H983" s="3" t="s">
        <v>21</v>
      </c>
      <c r="I983" s="3" t="s">
        <v>28</v>
      </c>
      <c r="K983" s="3" t="s">
        <v>1132</v>
      </c>
      <c r="L983" s="3" t="s">
        <v>1133</v>
      </c>
      <c r="M983" s="3" t="s">
        <v>1134</v>
      </c>
      <c r="R983" s="7" t="str">
        <f>IF(H983="","",VLOOKUP(H983,'Hoja 9'!$A$1:$B$255,2,0))</f>
        <v>GOOGLE</v>
      </c>
      <c r="S983" s="7">
        <f t="shared" si="1"/>
        <v>2025</v>
      </c>
      <c r="T983" s="7">
        <f t="shared" si="2"/>
        <v>5</v>
      </c>
    </row>
    <row r="984">
      <c r="A984" s="4">
        <v>45785.657241747685</v>
      </c>
      <c r="B984" s="3" t="s">
        <v>2628</v>
      </c>
      <c r="C984" s="3" t="s">
        <v>848</v>
      </c>
      <c r="E984" s="5">
        <v>14519.0</v>
      </c>
      <c r="F984" s="3">
        <v>6509542.0</v>
      </c>
      <c r="G984" s="3">
        <v>3.512145133E9</v>
      </c>
      <c r="H984" s="3" t="s">
        <v>27</v>
      </c>
      <c r="I984" s="3" t="s">
        <v>22</v>
      </c>
      <c r="K984" s="3" t="s">
        <v>1145</v>
      </c>
      <c r="O984" s="3" t="s">
        <v>23</v>
      </c>
      <c r="R984" s="7" t="str">
        <f>IF(H984="","",VLOOKUP(H984,'Hoja 9'!$A$1:$B$255,2,0))</f>
        <v>BOCA EN BOCA</v>
      </c>
      <c r="S984" s="7">
        <f t="shared" si="1"/>
        <v>2025</v>
      </c>
      <c r="T984" s="7">
        <f t="shared" si="2"/>
        <v>5</v>
      </c>
    </row>
    <row r="985">
      <c r="A985" s="4">
        <v>45786.674446840276</v>
      </c>
      <c r="B985" s="3" t="s">
        <v>2629</v>
      </c>
      <c r="C985" s="3" t="s">
        <v>218</v>
      </c>
      <c r="D985" s="3" t="s">
        <v>2630</v>
      </c>
      <c r="E985" s="5">
        <v>40237.0</v>
      </c>
      <c r="F985" s="3">
        <v>5009099.0</v>
      </c>
      <c r="G985" s="3">
        <v>3.515605577E9</v>
      </c>
      <c r="H985" s="3" t="s">
        <v>44</v>
      </c>
      <c r="I985" s="3" t="s">
        <v>28</v>
      </c>
      <c r="K985" s="3" t="s">
        <v>1132</v>
      </c>
      <c r="L985" s="3" t="s">
        <v>1140</v>
      </c>
      <c r="M985" s="3" t="s">
        <v>1134</v>
      </c>
      <c r="R985" s="7" t="str">
        <f>IF(H985="","",VLOOKUP(H985,'Hoja 9'!$A$1:$B$255,2,0))</f>
        <v>GIMNASIO</v>
      </c>
      <c r="S985" s="7">
        <f t="shared" si="1"/>
        <v>2025</v>
      </c>
      <c r="T985" s="7">
        <f t="shared" si="2"/>
        <v>5</v>
      </c>
    </row>
    <row r="986">
      <c r="A986" s="4">
        <v>45788.53781407408</v>
      </c>
      <c r="B986" s="3" t="s">
        <v>2128</v>
      </c>
      <c r="C986" s="3" t="s">
        <v>2631</v>
      </c>
      <c r="D986" s="3" t="s">
        <v>2632</v>
      </c>
      <c r="E986" s="5">
        <v>23742.0</v>
      </c>
      <c r="F986" s="3">
        <v>1.7156995E7</v>
      </c>
      <c r="G986" s="3">
        <v>3.516622237E9</v>
      </c>
      <c r="H986" s="3" t="s">
        <v>27</v>
      </c>
      <c r="I986" s="3" t="s">
        <v>28</v>
      </c>
      <c r="K986" s="3" t="s">
        <v>1145</v>
      </c>
      <c r="R986" s="7" t="str">
        <f>IF(H986="","",VLOOKUP(H986,'Hoja 9'!$A$1:$B$255,2,0))</f>
        <v>BOCA EN BOCA</v>
      </c>
      <c r="S986" s="7">
        <f t="shared" si="1"/>
        <v>2025</v>
      </c>
      <c r="T986" s="7">
        <f t="shared" si="2"/>
        <v>5</v>
      </c>
    </row>
    <row r="987">
      <c r="A987" s="4">
        <v>45790.5128189699</v>
      </c>
      <c r="B987" s="3" t="s">
        <v>2633</v>
      </c>
      <c r="C987" s="3" t="s">
        <v>2634</v>
      </c>
      <c r="D987" s="3" t="s">
        <v>2635</v>
      </c>
      <c r="E987" s="5">
        <v>31481.0</v>
      </c>
      <c r="F987" s="3">
        <v>3.2203431E7</v>
      </c>
      <c r="G987" s="3">
        <v>3.515106103E9</v>
      </c>
      <c r="H987" s="3" t="s">
        <v>44</v>
      </c>
      <c r="I987" s="3" t="s">
        <v>22</v>
      </c>
      <c r="K987" s="3" t="s">
        <v>1132</v>
      </c>
      <c r="L987" s="3" t="s">
        <v>1868</v>
      </c>
      <c r="M987" s="3" t="s">
        <v>1134</v>
      </c>
      <c r="O987" s="3" t="s">
        <v>23</v>
      </c>
      <c r="R987" s="7" t="str">
        <f>IF(H987="","",VLOOKUP(H987,'Hoja 9'!$A$1:$B$255,2,0))</f>
        <v>GIMNASIO</v>
      </c>
      <c r="S987" s="7">
        <f t="shared" si="1"/>
        <v>2025</v>
      </c>
      <c r="T987" s="7">
        <f t="shared" si="2"/>
        <v>5</v>
      </c>
    </row>
    <row r="988">
      <c r="A988" s="4">
        <v>45790.87636778935</v>
      </c>
      <c r="B988" s="3" t="s">
        <v>2636</v>
      </c>
      <c r="C988" s="3" t="s">
        <v>1424</v>
      </c>
      <c r="D988" s="3" t="s">
        <v>2637</v>
      </c>
      <c r="E988" s="5">
        <v>37652.0</v>
      </c>
      <c r="F988" s="3">
        <v>4.9262251E7</v>
      </c>
      <c r="G988" s="3" t="s">
        <v>2638</v>
      </c>
      <c r="H988" s="3" t="s">
        <v>27</v>
      </c>
      <c r="I988" s="3" t="s">
        <v>22</v>
      </c>
      <c r="K988" s="3" t="s">
        <v>1132</v>
      </c>
      <c r="L988" s="3" t="s">
        <v>1133</v>
      </c>
      <c r="M988" s="3" t="s">
        <v>1134</v>
      </c>
      <c r="O988" s="3" t="s">
        <v>586</v>
      </c>
      <c r="R988" s="7" t="str">
        <f>IF(H988="","",VLOOKUP(H988,'Hoja 9'!$A$1:$B$255,2,0))</f>
        <v>BOCA EN BOCA</v>
      </c>
      <c r="S988" s="7">
        <f t="shared" si="1"/>
        <v>2025</v>
      </c>
      <c r="T988" s="7">
        <f t="shared" si="2"/>
        <v>5</v>
      </c>
    </row>
    <row r="989">
      <c r="A989" s="4">
        <v>45791.49600537037</v>
      </c>
      <c r="B989" s="3" t="s">
        <v>2639</v>
      </c>
      <c r="C989" s="3" t="s">
        <v>2640</v>
      </c>
      <c r="D989" s="3" t="s">
        <v>2641</v>
      </c>
      <c r="E989" s="5">
        <v>36232.0</v>
      </c>
      <c r="F989" s="3">
        <v>4.1809631E7</v>
      </c>
      <c r="G989" s="3">
        <v>3.515953371E9</v>
      </c>
      <c r="H989" s="3" t="s">
        <v>27</v>
      </c>
      <c r="I989" s="3" t="s">
        <v>28</v>
      </c>
      <c r="K989" s="3" t="s">
        <v>1132</v>
      </c>
      <c r="L989" s="3" t="s">
        <v>2600</v>
      </c>
      <c r="M989" s="3" t="s">
        <v>1134</v>
      </c>
      <c r="R989" s="7" t="str">
        <f>IF(H989="","",VLOOKUP(H989,'Hoja 9'!$A$1:$B$255,2,0))</f>
        <v>BOCA EN BOCA</v>
      </c>
      <c r="S989" s="7">
        <f t="shared" si="1"/>
        <v>2025</v>
      </c>
      <c r="T989" s="7">
        <f t="shared" si="2"/>
        <v>5</v>
      </c>
    </row>
    <row r="990">
      <c r="A990" s="4">
        <v>45791.834147754635</v>
      </c>
      <c r="B990" s="3" t="s">
        <v>2642</v>
      </c>
      <c r="C990" s="3" t="s">
        <v>2643</v>
      </c>
      <c r="D990" s="3" t="s">
        <v>2644</v>
      </c>
      <c r="E990" s="5">
        <v>30907.0</v>
      </c>
      <c r="F990" s="3">
        <v>3.1085932E7</v>
      </c>
      <c r="G990" s="3">
        <v>3.5156005E9</v>
      </c>
      <c r="H990" s="3" t="s">
        <v>27</v>
      </c>
      <c r="I990" s="3" t="s">
        <v>28</v>
      </c>
      <c r="K990" s="3" t="s">
        <v>1132</v>
      </c>
      <c r="L990" s="3" t="s">
        <v>1133</v>
      </c>
      <c r="M990" s="3" t="s">
        <v>1134</v>
      </c>
      <c r="R990" s="7" t="str">
        <f>IF(H990="","",VLOOKUP(H990,'Hoja 9'!$A$1:$B$255,2,0))</f>
        <v>BOCA EN BOCA</v>
      </c>
      <c r="S990" s="7">
        <f t="shared" si="1"/>
        <v>2025</v>
      </c>
      <c r="T990" s="7">
        <f t="shared" si="2"/>
        <v>5</v>
      </c>
    </row>
    <row r="991">
      <c r="A991" s="4">
        <v>45792.67014122685</v>
      </c>
      <c r="B991" s="3" t="s">
        <v>2645</v>
      </c>
      <c r="C991" s="3" t="s">
        <v>848</v>
      </c>
      <c r="D991" s="3" t="s">
        <v>2646</v>
      </c>
      <c r="E991" s="5">
        <v>28765.0</v>
      </c>
      <c r="F991" s="3">
        <v>2.6141736E7</v>
      </c>
      <c r="G991" s="3">
        <v>3.513464446E9</v>
      </c>
      <c r="H991" s="3" t="s">
        <v>21</v>
      </c>
      <c r="I991" s="3" t="s">
        <v>22</v>
      </c>
      <c r="K991" s="3" t="s">
        <v>1145</v>
      </c>
      <c r="O991" s="3" t="s">
        <v>58</v>
      </c>
      <c r="R991" s="7" t="str">
        <f>IF(H991="","",VLOOKUP(H991,'Hoja 9'!$A$1:$B$255,2,0))</f>
        <v>GOOGLE</v>
      </c>
      <c r="S991" s="7">
        <f t="shared" si="1"/>
        <v>2025</v>
      </c>
      <c r="T991" s="7">
        <f t="shared" si="2"/>
        <v>5</v>
      </c>
    </row>
    <row r="992">
      <c r="A992" s="4">
        <v>45794.04282372685</v>
      </c>
      <c r="B992" s="3" t="s">
        <v>2647</v>
      </c>
      <c r="C992" s="3" t="s">
        <v>1486</v>
      </c>
      <c r="D992" s="3" t="s">
        <v>2648</v>
      </c>
      <c r="E992" s="5">
        <v>38091.0</v>
      </c>
      <c r="F992" s="3">
        <v>4.5641433E7</v>
      </c>
      <c r="G992" s="3">
        <v>3.516076331E9</v>
      </c>
      <c r="H992" s="3" t="s">
        <v>244</v>
      </c>
      <c r="I992" s="3" t="s">
        <v>22</v>
      </c>
      <c r="K992" s="3" t="s">
        <v>1132</v>
      </c>
      <c r="L992" s="3" t="s">
        <v>1133</v>
      </c>
      <c r="M992" s="3" t="s">
        <v>1134</v>
      </c>
      <c r="O992" s="3" t="s">
        <v>2649</v>
      </c>
      <c r="R992" s="7" t="str">
        <f>IF(H992="","",VLOOKUP(H992,'Hoja 9'!$A$1:$B$255,2,0))</f>
        <v>META</v>
      </c>
      <c r="S992" s="7">
        <f t="shared" si="1"/>
        <v>2025</v>
      </c>
      <c r="T992" s="7">
        <f t="shared" si="2"/>
        <v>5</v>
      </c>
    </row>
    <row r="993">
      <c r="A993" s="4">
        <v>45795.833251041666</v>
      </c>
      <c r="B993" s="3" t="s">
        <v>1036</v>
      </c>
      <c r="C993" s="3" t="s">
        <v>2650</v>
      </c>
      <c r="D993" s="3" t="s">
        <v>2651</v>
      </c>
      <c r="E993" s="5">
        <v>30483.0</v>
      </c>
      <c r="F993" s="3">
        <v>3.0329641E7</v>
      </c>
      <c r="G993" s="3">
        <v>3.513857461E9</v>
      </c>
      <c r="H993" s="3" t="s">
        <v>44</v>
      </c>
      <c r="I993" s="3" t="s">
        <v>28</v>
      </c>
      <c r="K993" s="3" t="s">
        <v>1132</v>
      </c>
      <c r="L993" s="3" t="s">
        <v>1404</v>
      </c>
      <c r="M993" s="3" t="s">
        <v>1134</v>
      </c>
      <c r="R993" s="7" t="str">
        <f>IF(H993="","",VLOOKUP(H993,'Hoja 9'!$A$1:$B$255,2,0))</f>
        <v>GIMNASIO</v>
      </c>
      <c r="S993" s="7">
        <f t="shared" si="1"/>
        <v>2025</v>
      </c>
      <c r="T993" s="7">
        <f t="shared" si="2"/>
        <v>5</v>
      </c>
    </row>
    <row r="994">
      <c r="A994" s="4">
        <v>45795.88207143519</v>
      </c>
      <c r="B994" s="3" t="s">
        <v>281</v>
      </c>
      <c r="C994" s="3" t="s">
        <v>2652</v>
      </c>
      <c r="D994" s="3" t="s">
        <v>2653</v>
      </c>
      <c r="E994" s="5">
        <v>45795.0</v>
      </c>
      <c r="F994" s="3">
        <v>6234619.0</v>
      </c>
      <c r="G994" s="3">
        <v>3.516604695E9</v>
      </c>
      <c r="H994" s="3" t="s">
        <v>44</v>
      </c>
      <c r="I994" s="3" t="s">
        <v>28</v>
      </c>
      <c r="K994" s="3" t="s">
        <v>1145</v>
      </c>
      <c r="R994" s="7" t="str">
        <f>IF(H994="","",VLOOKUP(H994,'Hoja 9'!$A$1:$B$255,2,0))</f>
        <v>GIMNASIO</v>
      </c>
      <c r="S994" s="7">
        <f t="shared" si="1"/>
        <v>2025</v>
      </c>
      <c r="T994" s="7">
        <f t="shared" si="2"/>
        <v>5</v>
      </c>
    </row>
    <row r="995">
      <c r="A995" s="4">
        <v>45796.44129340278</v>
      </c>
      <c r="B995" s="3" t="s">
        <v>2654</v>
      </c>
      <c r="C995" s="3" t="s">
        <v>2115</v>
      </c>
      <c r="D995" s="3" t="s">
        <v>2655</v>
      </c>
      <c r="E995" s="5">
        <v>34234.0</v>
      </c>
      <c r="F995" s="3">
        <v>3.752253E7</v>
      </c>
      <c r="G995" s="3">
        <v>3.534792451E9</v>
      </c>
      <c r="H995" s="3" t="s">
        <v>44</v>
      </c>
      <c r="I995" s="3" t="s">
        <v>22</v>
      </c>
      <c r="K995" s="3" t="s">
        <v>1132</v>
      </c>
      <c r="L995" s="3" t="s">
        <v>1133</v>
      </c>
      <c r="M995" s="3" t="s">
        <v>1134</v>
      </c>
      <c r="O995" s="3" t="s">
        <v>287</v>
      </c>
      <c r="R995" s="7" t="str">
        <f>IF(H995="","",VLOOKUP(H995,'Hoja 9'!$A$1:$B$255,2,0))</f>
        <v>GIMNASIO</v>
      </c>
      <c r="S995" s="7">
        <f t="shared" si="1"/>
        <v>2025</v>
      </c>
      <c r="T995" s="7">
        <f t="shared" si="2"/>
        <v>5</v>
      </c>
    </row>
    <row r="996">
      <c r="A996" s="4">
        <v>45796.46774346065</v>
      </c>
      <c r="B996" s="3" t="s">
        <v>2656</v>
      </c>
      <c r="C996" s="3" t="s">
        <v>1625</v>
      </c>
      <c r="E996" s="5">
        <v>23291.0</v>
      </c>
      <c r="F996" s="3">
        <v>1.6507309E7</v>
      </c>
      <c r="G996" s="3">
        <v>3.515730256E9</v>
      </c>
      <c r="H996" s="3" t="s">
        <v>27</v>
      </c>
      <c r="I996" s="3" t="s">
        <v>28</v>
      </c>
      <c r="K996" s="3" t="s">
        <v>1132</v>
      </c>
      <c r="L996" s="3" t="s">
        <v>1133</v>
      </c>
      <c r="M996" s="3" t="s">
        <v>1134</v>
      </c>
      <c r="R996" s="7" t="str">
        <f>IF(H996="","",VLOOKUP(H996,'Hoja 9'!$A$1:$B$255,2,0))</f>
        <v>BOCA EN BOCA</v>
      </c>
      <c r="S996" s="7">
        <f t="shared" si="1"/>
        <v>2025</v>
      </c>
      <c r="T996" s="7">
        <f t="shared" si="2"/>
        <v>5</v>
      </c>
    </row>
    <row r="997">
      <c r="A997" s="4">
        <v>45796.50740486111</v>
      </c>
      <c r="B997" s="3" t="s">
        <v>472</v>
      </c>
      <c r="C997" s="3" t="s">
        <v>2657</v>
      </c>
      <c r="E997" s="5">
        <v>23771.0</v>
      </c>
      <c r="F997" s="3">
        <v>1.7591789E7</v>
      </c>
      <c r="G997" s="3">
        <v>3.512095193E9</v>
      </c>
      <c r="H997" s="3" t="s">
        <v>44</v>
      </c>
      <c r="I997" s="3" t="s">
        <v>28</v>
      </c>
      <c r="K997" s="3" t="s">
        <v>1145</v>
      </c>
      <c r="R997" s="7" t="str">
        <f>IF(H997="","",VLOOKUP(H997,'Hoja 9'!$A$1:$B$255,2,0))</f>
        <v>GIMNASIO</v>
      </c>
      <c r="S997" s="7">
        <f t="shared" si="1"/>
        <v>2025</v>
      </c>
      <c r="T997" s="7">
        <f t="shared" si="2"/>
        <v>5</v>
      </c>
    </row>
    <row r="998">
      <c r="A998" s="4">
        <v>45796.73935325231</v>
      </c>
      <c r="B998" s="3" t="s">
        <v>1050</v>
      </c>
      <c r="C998" s="3" t="s">
        <v>2658</v>
      </c>
      <c r="D998" s="3" t="s">
        <v>2659</v>
      </c>
      <c r="E998" s="5">
        <v>28332.0</v>
      </c>
      <c r="F998" s="3">
        <v>2.5858494E7</v>
      </c>
      <c r="G998" s="3">
        <v>3.516379967E9</v>
      </c>
      <c r="H998" s="3" t="s">
        <v>148</v>
      </c>
      <c r="I998" s="3" t="s">
        <v>22</v>
      </c>
      <c r="K998" s="3" t="s">
        <v>1132</v>
      </c>
      <c r="L998" s="3" t="s">
        <v>2660</v>
      </c>
      <c r="M998" s="3" t="s">
        <v>1137</v>
      </c>
      <c r="O998" s="3" t="s">
        <v>23</v>
      </c>
      <c r="R998" s="7" t="str">
        <f>IF(H998="","",VLOOKUP(H998,'Hoja 9'!$A$1:$B$255,2,0))</f>
        <v>OBRA SOCIAL</v>
      </c>
      <c r="S998" s="7">
        <f t="shared" si="1"/>
        <v>2025</v>
      </c>
      <c r="T998" s="7">
        <f t="shared" si="2"/>
        <v>5</v>
      </c>
    </row>
    <row r="999">
      <c r="A999" s="4">
        <v>45797.760530416665</v>
      </c>
      <c r="B999" s="3" t="s">
        <v>2661</v>
      </c>
      <c r="C999" s="3" t="s">
        <v>1509</v>
      </c>
      <c r="D999" s="3" t="s">
        <v>2662</v>
      </c>
      <c r="E999" s="5">
        <v>32609.0</v>
      </c>
      <c r="F999" s="3">
        <v>3.4440403E7</v>
      </c>
      <c r="G999" s="3">
        <v>3.516648823E9</v>
      </c>
      <c r="H999" s="3" t="s">
        <v>2663</v>
      </c>
      <c r="I999" s="3" t="s">
        <v>22</v>
      </c>
      <c r="K999" s="3" t="s">
        <v>1145</v>
      </c>
      <c r="O999" s="3" t="s">
        <v>149</v>
      </c>
      <c r="R999" s="7" t="str">
        <f>IF(H999="","",VLOOKUP(H999,'Hoja 9'!$A$1:$B$255,2,0))</f>
        <v>BOCA EN BOCA</v>
      </c>
      <c r="S999" s="7">
        <f t="shared" si="1"/>
        <v>2025</v>
      </c>
      <c r="T999" s="7">
        <f t="shared" si="2"/>
        <v>5</v>
      </c>
    </row>
    <row r="1000">
      <c r="A1000" s="4">
        <v>45798.462872118056</v>
      </c>
      <c r="B1000" s="3" t="s">
        <v>448</v>
      </c>
      <c r="C1000" s="3" t="s">
        <v>505</v>
      </c>
      <c r="D1000" s="3" t="s">
        <v>2664</v>
      </c>
      <c r="E1000" s="5">
        <v>17840.0</v>
      </c>
      <c r="F1000" s="3">
        <v>5869655.0</v>
      </c>
      <c r="G1000" s="3">
        <v>3.513239274E9</v>
      </c>
      <c r="H1000" s="3" t="s">
        <v>44</v>
      </c>
      <c r="I1000" s="3" t="s">
        <v>28</v>
      </c>
      <c r="K1000" s="3" t="s">
        <v>1132</v>
      </c>
      <c r="L1000" s="3" t="s">
        <v>1133</v>
      </c>
      <c r="M1000" s="3" t="s">
        <v>1134</v>
      </c>
      <c r="R1000" s="7" t="str">
        <f>IF(H1000="","",VLOOKUP(H1000,'Hoja 9'!$A$1:$B$255,2,0))</f>
        <v>GIMNASIO</v>
      </c>
      <c r="S1000" s="7">
        <f t="shared" si="1"/>
        <v>2025</v>
      </c>
      <c r="T1000" s="7">
        <f t="shared" si="2"/>
        <v>5</v>
      </c>
    </row>
    <row r="1001">
      <c r="A1001" s="4">
        <v>45798.74893328703</v>
      </c>
      <c r="B1001" s="3" t="s">
        <v>2665</v>
      </c>
      <c r="C1001" s="3" t="s">
        <v>2666</v>
      </c>
      <c r="D1001" s="3" t="s">
        <v>2667</v>
      </c>
      <c r="E1001" s="5">
        <v>37613.0</v>
      </c>
      <c r="F1001" s="3">
        <v>4.4579777E7</v>
      </c>
      <c r="G1001" s="3">
        <v>3.416559313E9</v>
      </c>
      <c r="H1001" s="3" t="s">
        <v>148</v>
      </c>
      <c r="I1001" s="3" t="s">
        <v>22</v>
      </c>
      <c r="K1001" s="3" t="s">
        <v>1132</v>
      </c>
      <c r="L1001" s="3" t="s">
        <v>2668</v>
      </c>
      <c r="M1001" s="3" t="s">
        <v>1137</v>
      </c>
      <c r="O1001" s="3" t="s">
        <v>149</v>
      </c>
      <c r="R1001" s="7" t="str">
        <f>IF(H1001="","",VLOOKUP(H1001,'Hoja 9'!$A$1:$B$255,2,0))</f>
        <v>OBRA SOCIAL</v>
      </c>
      <c r="S1001" s="7">
        <f t="shared" si="1"/>
        <v>2025</v>
      </c>
      <c r="T1001" s="7">
        <f t="shared" si="2"/>
        <v>5</v>
      </c>
    </row>
    <row r="1002">
      <c r="A1002" s="4">
        <v>45799.66321222222</v>
      </c>
      <c r="B1002" s="3" t="s">
        <v>376</v>
      </c>
      <c r="C1002" s="3" t="s">
        <v>218</v>
      </c>
      <c r="D1002" s="3" t="s">
        <v>2669</v>
      </c>
      <c r="E1002" s="5">
        <v>32655.0</v>
      </c>
      <c r="F1002" s="3">
        <v>3.445505E7</v>
      </c>
      <c r="G1002" s="3">
        <v>3.514085635E9</v>
      </c>
      <c r="H1002" s="3" t="s">
        <v>44</v>
      </c>
      <c r="I1002" s="3" t="s">
        <v>28</v>
      </c>
      <c r="K1002" s="3" t="s">
        <v>1132</v>
      </c>
      <c r="L1002" s="3" t="s">
        <v>2670</v>
      </c>
      <c r="M1002" s="3" t="s">
        <v>1134</v>
      </c>
      <c r="R1002" s="7" t="str">
        <f>IF(H1002="","",VLOOKUP(H1002,'Hoja 9'!$A$1:$B$255,2,0))</f>
        <v>GIMNASIO</v>
      </c>
      <c r="S1002" s="7">
        <f t="shared" si="1"/>
        <v>2025</v>
      </c>
      <c r="T1002" s="7">
        <f t="shared" si="2"/>
        <v>5</v>
      </c>
    </row>
    <row r="1003">
      <c r="A1003" s="4">
        <v>45800.46521649306</v>
      </c>
      <c r="B1003" s="3" t="s">
        <v>2671</v>
      </c>
      <c r="C1003" s="3" t="s">
        <v>2672</v>
      </c>
      <c r="E1003" s="5">
        <v>27488.0</v>
      </c>
      <c r="F1003" s="3">
        <v>2.4302562E7</v>
      </c>
      <c r="G1003" s="3">
        <v>3.516565633E9</v>
      </c>
      <c r="H1003" s="3" t="s">
        <v>244</v>
      </c>
      <c r="I1003" s="3" t="s">
        <v>28</v>
      </c>
      <c r="K1003" s="3" t="s">
        <v>1145</v>
      </c>
      <c r="R1003" s="7" t="str">
        <f>IF(H1003="","",VLOOKUP(H1003,'Hoja 9'!$A$1:$B$255,2,0))</f>
        <v>META</v>
      </c>
      <c r="S1003" s="7">
        <f t="shared" si="1"/>
        <v>2025</v>
      </c>
      <c r="T1003" s="7">
        <f t="shared" si="2"/>
        <v>5</v>
      </c>
    </row>
    <row r="1004">
      <c r="A1004" s="4">
        <v>45803.40664515046</v>
      </c>
      <c r="B1004" s="3" t="s">
        <v>2673</v>
      </c>
      <c r="C1004" s="3" t="s">
        <v>175</v>
      </c>
      <c r="D1004" s="3" t="s">
        <v>2674</v>
      </c>
      <c r="E1004" s="5">
        <v>33069.0</v>
      </c>
      <c r="F1004" s="3">
        <v>3.5283712E7</v>
      </c>
      <c r="G1004" s="3">
        <v>3.516427532E9</v>
      </c>
      <c r="H1004" s="3" t="s">
        <v>44</v>
      </c>
      <c r="I1004" s="3" t="s">
        <v>22</v>
      </c>
      <c r="K1004" s="3" t="s">
        <v>1132</v>
      </c>
      <c r="L1004" s="3" t="s">
        <v>1136</v>
      </c>
      <c r="M1004" s="3" t="s">
        <v>1134</v>
      </c>
      <c r="O1004" s="3" t="s">
        <v>1759</v>
      </c>
      <c r="R1004" s="7" t="str">
        <f>IF(H1004="","",VLOOKUP(H1004,'Hoja 9'!$A$1:$B$255,2,0))</f>
        <v>GIMNASIO</v>
      </c>
      <c r="S1004" s="7">
        <f t="shared" si="1"/>
        <v>2025</v>
      </c>
      <c r="T1004" s="7">
        <f t="shared" si="2"/>
        <v>5</v>
      </c>
    </row>
    <row r="1005">
      <c r="A1005" s="4">
        <v>45803.464873969904</v>
      </c>
      <c r="B1005" s="3" t="s">
        <v>2675</v>
      </c>
      <c r="C1005" s="3" t="s">
        <v>296</v>
      </c>
      <c r="D1005" s="3" t="s">
        <v>2676</v>
      </c>
      <c r="E1005" s="5">
        <v>33897.0</v>
      </c>
      <c r="F1005" s="3">
        <v>3.6925936E7</v>
      </c>
      <c r="G1005" s="3">
        <v>3.512472243E9</v>
      </c>
      <c r="H1005" s="3" t="s">
        <v>21</v>
      </c>
      <c r="I1005" s="3" t="s">
        <v>22</v>
      </c>
      <c r="K1005" s="3" t="s">
        <v>1132</v>
      </c>
      <c r="L1005" s="3" t="s">
        <v>2677</v>
      </c>
      <c r="M1005" s="3" t="s">
        <v>1213</v>
      </c>
      <c r="O1005" s="3" t="s">
        <v>673</v>
      </c>
      <c r="R1005" s="7" t="str">
        <f>IF(H1005="","",VLOOKUP(H1005,'Hoja 9'!$A$1:$B$255,2,0))</f>
        <v>GOOGLE</v>
      </c>
      <c r="S1005" s="7">
        <f t="shared" si="1"/>
        <v>2025</v>
      </c>
      <c r="T1005" s="7">
        <f t="shared" si="2"/>
        <v>5</v>
      </c>
    </row>
    <row r="1006">
      <c r="A1006" s="4">
        <v>45803.634543506945</v>
      </c>
      <c r="B1006" s="3" t="s">
        <v>2678</v>
      </c>
      <c r="C1006" s="3" t="s">
        <v>337</v>
      </c>
      <c r="E1006" s="5">
        <v>25486.0</v>
      </c>
      <c r="F1006" s="3">
        <v>2.0876674E7</v>
      </c>
      <c r="G1006" s="3">
        <v>3.513932937E9</v>
      </c>
      <c r="H1006" s="3" t="s">
        <v>27</v>
      </c>
      <c r="I1006" s="3" t="s">
        <v>22</v>
      </c>
      <c r="K1006" s="3" t="s">
        <v>1145</v>
      </c>
      <c r="O1006" s="3" t="s">
        <v>23</v>
      </c>
      <c r="R1006" s="7" t="str">
        <f>IF(H1006="","",VLOOKUP(H1006,'Hoja 9'!$A$1:$B$255,2,0))</f>
        <v>BOCA EN BOCA</v>
      </c>
      <c r="S1006" s="7">
        <f t="shared" si="1"/>
        <v>2025</v>
      </c>
      <c r="T1006" s="7">
        <f t="shared" si="2"/>
        <v>5</v>
      </c>
    </row>
    <row r="1007">
      <c r="A1007" s="4">
        <v>45803.76479877315</v>
      </c>
      <c r="B1007" s="3" t="s">
        <v>2679</v>
      </c>
      <c r="C1007" s="3" t="s">
        <v>2680</v>
      </c>
      <c r="D1007" s="3" t="s">
        <v>2681</v>
      </c>
      <c r="E1007" s="5">
        <v>31147.0</v>
      </c>
      <c r="F1007" s="3">
        <v>3.1471409E7</v>
      </c>
      <c r="G1007" s="3">
        <v>3.513483032E9</v>
      </c>
      <c r="H1007" s="3" t="s">
        <v>21</v>
      </c>
      <c r="I1007" s="3" t="s">
        <v>28</v>
      </c>
      <c r="K1007" s="3" t="s">
        <v>1132</v>
      </c>
      <c r="L1007" s="3" t="s">
        <v>1133</v>
      </c>
      <c r="M1007" s="3" t="s">
        <v>1213</v>
      </c>
      <c r="R1007" s="7" t="str">
        <f>IF(H1007="","",VLOOKUP(H1007,'Hoja 9'!$A$1:$B$255,2,0))</f>
        <v>GOOGLE</v>
      </c>
      <c r="S1007" s="7">
        <f t="shared" si="1"/>
        <v>2025</v>
      </c>
      <c r="T1007" s="7">
        <f t="shared" si="2"/>
        <v>5</v>
      </c>
    </row>
    <row r="1008">
      <c r="A1008" s="4">
        <v>45803.77058702546</v>
      </c>
      <c r="B1008" s="3" t="s">
        <v>2682</v>
      </c>
      <c r="C1008" s="3" t="s">
        <v>2683</v>
      </c>
      <c r="D1008" s="3" t="s">
        <v>2684</v>
      </c>
      <c r="E1008" s="5">
        <v>32028.0</v>
      </c>
      <c r="F1008" s="3">
        <v>3.2979712E7</v>
      </c>
      <c r="G1008" s="3">
        <v>3.544599933E9</v>
      </c>
      <c r="H1008" s="3" t="s">
        <v>21</v>
      </c>
      <c r="I1008" s="3" t="s">
        <v>28</v>
      </c>
      <c r="K1008" s="3" t="s">
        <v>1132</v>
      </c>
      <c r="L1008" s="3" t="s">
        <v>1133</v>
      </c>
      <c r="M1008" s="3" t="s">
        <v>1134</v>
      </c>
      <c r="R1008" s="7" t="str">
        <f>IF(H1008="","",VLOOKUP(H1008,'Hoja 9'!$A$1:$B$255,2,0))</f>
        <v>GOOGLE</v>
      </c>
      <c r="S1008" s="7">
        <f t="shared" si="1"/>
        <v>2025</v>
      </c>
      <c r="T1008" s="7">
        <f t="shared" si="2"/>
        <v>5</v>
      </c>
    </row>
    <row r="1009">
      <c r="A1009" s="4">
        <v>45804.43975684028</v>
      </c>
      <c r="B1009" s="3" t="s">
        <v>2685</v>
      </c>
      <c r="C1009" s="3" t="s">
        <v>2686</v>
      </c>
      <c r="D1009" s="3" t="s">
        <v>2303</v>
      </c>
      <c r="E1009" s="5">
        <v>40773.0</v>
      </c>
      <c r="F1009" s="3">
        <v>5.1196682E7</v>
      </c>
      <c r="G1009" s="3">
        <v>3.516208041E9</v>
      </c>
      <c r="H1009" s="3" t="s">
        <v>44</v>
      </c>
      <c r="I1009" s="3" t="s">
        <v>22</v>
      </c>
      <c r="K1009" s="3" t="s">
        <v>1132</v>
      </c>
      <c r="L1009" s="3" t="s">
        <v>1136</v>
      </c>
      <c r="M1009" s="3" t="s">
        <v>1134</v>
      </c>
      <c r="O1009" s="3" t="s">
        <v>68</v>
      </c>
      <c r="R1009" s="7" t="str">
        <f>IF(H1009="","",VLOOKUP(H1009,'Hoja 9'!$A$1:$B$255,2,0))</f>
        <v>GIMNASIO</v>
      </c>
      <c r="S1009" s="7">
        <f t="shared" si="1"/>
        <v>2025</v>
      </c>
      <c r="T1009" s="7">
        <f t="shared" si="2"/>
        <v>5</v>
      </c>
    </row>
    <row r="1010">
      <c r="A1010" s="4">
        <v>45805.69121883102</v>
      </c>
      <c r="B1010" s="3" t="s">
        <v>2687</v>
      </c>
      <c r="C1010" s="3" t="s">
        <v>205</v>
      </c>
      <c r="D1010" s="3" t="s">
        <v>2688</v>
      </c>
      <c r="E1010" s="5">
        <v>35040.0</v>
      </c>
      <c r="F1010" s="3">
        <v>3.9374466E7</v>
      </c>
      <c r="G1010" s="3">
        <v>1.159899701E9</v>
      </c>
      <c r="H1010" s="3" t="s">
        <v>21</v>
      </c>
      <c r="I1010" s="3" t="s">
        <v>28</v>
      </c>
      <c r="K1010" s="3" t="s">
        <v>1132</v>
      </c>
      <c r="L1010" s="3" t="s">
        <v>2689</v>
      </c>
      <c r="M1010" s="3" t="s">
        <v>1134</v>
      </c>
      <c r="R1010" s="7" t="str">
        <f>IF(H1010="","",VLOOKUP(H1010,'Hoja 9'!$A$1:$B$255,2,0))</f>
        <v>GOOGLE</v>
      </c>
      <c r="S1010" s="7">
        <f t="shared" si="1"/>
        <v>2025</v>
      </c>
      <c r="T1010" s="7">
        <f t="shared" si="2"/>
        <v>5</v>
      </c>
    </row>
    <row r="1011">
      <c r="A1011" s="4">
        <v>45805.72982987268</v>
      </c>
      <c r="B1011" s="3" t="s">
        <v>654</v>
      </c>
      <c r="C1011" s="3" t="s">
        <v>78</v>
      </c>
      <c r="D1011" s="3" t="s">
        <v>2690</v>
      </c>
      <c r="E1011" s="5">
        <v>35816.0</v>
      </c>
      <c r="F1011" s="3">
        <v>4.0920257E7</v>
      </c>
      <c r="G1011" s="3">
        <v>3.515587324E9</v>
      </c>
      <c r="H1011" s="3" t="s">
        <v>21</v>
      </c>
      <c r="I1011" s="3" t="s">
        <v>28</v>
      </c>
      <c r="K1011" s="3" t="s">
        <v>1132</v>
      </c>
      <c r="L1011" s="3" t="s">
        <v>2691</v>
      </c>
      <c r="M1011" s="3" t="s">
        <v>1134</v>
      </c>
      <c r="R1011" s="7" t="str">
        <f>IF(H1011="","",VLOOKUP(H1011,'Hoja 9'!$A$1:$B$255,2,0))</f>
        <v>GOOGLE</v>
      </c>
      <c r="S1011" s="7">
        <f t="shared" si="1"/>
        <v>2025</v>
      </c>
      <c r="T1011" s="7">
        <f t="shared" si="2"/>
        <v>5</v>
      </c>
    </row>
    <row r="1012">
      <c r="A1012" s="4">
        <v>45805.78810844907</v>
      </c>
      <c r="B1012" s="3" t="s">
        <v>2223</v>
      </c>
      <c r="C1012" s="3" t="s">
        <v>2692</v>
      </c>
      <c r="D1012" s="3" t="s">
        <v>2693</v>
      </c>
      <c r="E1012" s="5">
        <v>33101.0</v>
      </c>
      <c r="F1012" s="3">
        <v>3.5034672E7</v>
      </c>
      <c r="G1012" s="3">
        <v>3.516067822E9</v>
      </c>
      <c r="H1012" s="3" t="s">
        <v>27</v>
      </c>
      <c r="I1012" s="3" t="s">
        <v>28</v>
      </c>
      <c r="K1012" s="3" t="s">
        <v>1145</v>
      </c>
      <c r="R1012" s="7" t="str">
        <f>IF(H1012="","",VLOOKUP(H1012,'Hoja 9'!$A$1:$B$255,2,0))</f>
        <v>BOCA EN BOCA</v>
      </c>
      <c r="S1012" s="7">
        <f t="shared" si="1"/>
        <v>2025</v>
      </c>
      <c r="T1012" s="7">
        <f t="shared" si="2"/>
        <v>5</v>
      </c>
    </row>
    <row r="1013">
      <c r="A1013" s="4">
        <v>45806.44865106481</v>
      </c>
      <c r="B1013" s="3" t="s">
        <v>1918</v>
      </c>
      <c r="C1013" s="3" t="s">
        <v>2643</v>
      </c>
      <c r="D1013" s="3" t="s">
        <v>2694</v>
      </c>
      <c r="E1013" s="5">
        <v>21037.0</v>
      </c>
      <c r="F1013" s="3">
        <v>1.3373656E7</v>
      </c>
      <c r="G1013" s="3">
        <v>3.516111984E9</v>
      </c>
      <c r="H1013" s="3" t="s">
        <v>44</v>
      </c>
      <c r="I1013" s="3" t="s">
        <v>22</v>
      </c>
      <c r="K1013" s="3" t="s">
        <v>1132</v>
      </c>
      <c r="L1013" s="3" t="s">
        <v>1133</v>
      </c>
      <c r="M1013" s="3" t="s">
        <v>1134</v>
      </c>
      <c r="O1013" s="3" t="s">
        <v>23</v>
      </c>
      <c r="R1013" s="7" t="str">
        <f>IF(H1013="","",VLOOKUP(H1013,'Hoja 9'!$A$1:$B$255,2,0))</f>
        <v>GIMNASIO</v>
      </c>
      <c r="S1013" s="7">
        <f t="shared" si="1"/>
        <v>2025</v>
      </c>
      <c r="T1013" s="7">
        <f t="shared" si="2"/>
        <v>5</v>
      </c>
    </row>
    <row r="1014">
      <c r="A1014" s="4">
        <v>45807.4667625</v>
      </c>
      <c r="B1014" s="3" t="s">
        <v>2695</v>
      </c>
      <c r="C1014" s="3" t="s">
        <v>436</v>
      </c>
      <c r="E1014" s="5">
        <v>24507.0</v>
      </c>
      <c r="F1014" s="3">
        <v>1.8015534E7</v>
      </c>
      <c r="G1014" s="3">
        <v>3.517460479E9</v>
      </c>
      <c r="H1014" s="3" t="s">
        <v>27</v>
      </c>
      <c r="I1014" s="3" t="s">
        <v>28</v>
      </c>
      <c r="K1014" s="3" t="s">
        <v>1132</v>
      </c>
      <c r="L1014" s="3" t="s">
        <v>1136</v>
      </c>
      <c r="M1014" s="3" t="s">
        <v>1134</v>
      </c>
      <c r="R1014" s="7" t="str">
        <f>IF(H1014="","",VLOOKUP(H1014,'Hoja 9'!$A$1:$B$255,2,0))</f>
        <v>BOCA EN BOCA</v>
      </c>
      <c r="S1014" s="7">
        <f t="shared" si="1"/>
        <v>2025</v>
      </c>
      <c r="T1014" s="7">
        <f t="shared" si="2"/>
        <v>5</v>
      </c>
    </row>
    <row r="1015">
      <c r="A1015" s="4">
        <v>45807.67951188657</v>
      </c>
      <c r="B1015" s="3" t="s">
        <v>2696</v>
      </c>
      <c r="C1015" s="3" t="s">
        <v>599</v>
      </c>
      <c r="E1015" s="5">
        <v>28381.0</v>
      </c>
      <c r="F1015" s="3">
        <v>2.6098433E7</v>
      </c>
      <c r="G1015" s="3">
        <v>3.515746964E9</v>
      </c>
      <c r="H1015" s="3" t="s">
        <v>27</v>
      </c>
      <c r="I1015" s="3" t="s">
        <v>28</v>
      </c>
      <c r="K1015" s="3" t="s">
        <v>1132</v>
      </c>
      <c r="L1015" s="3" t="s">
        <v>1136</v>
      </c>
      <c r="M1015" s="3" t="s">
        <v>1137</v>
      </c>
      <c r="R1015" s="7" t="str">
        <f>IF(H1015="","",VLOOKUP(H1015,'Hoja 9'!$A$1:$B$255,2,0))</f>
        <v>BOCA EN BOCA</v>
      </c>
      <c r="S1015" s="7">
        <f t="shared" si="1"/>
        <v>2025</v>
      </c>
      <c r="T1015" s="7">
        <f t="shared" si="2"/>
        <v>5</v>
      </c>
    </row>
    <row r="1016">
      <c r="A1016" s="4">
        <v>45807.793500659725</v>
      </c>
      <c r="B1016" s="3" t="s">
        <v>2128</v>
      </c>
      <c r="C1016" s="3" t="s">
        <v>1231</v>
      </c>
      <c r="D1016" s="3" t="s">
        <v>2697</v>
      </c>
      <c r="E1016" s="5">
        <v>31200.0</v>
      </c>
      <c r="F1016" s="3">
        <v>3.0779612E7</v>
      </c>
      <c r="G1016" s="3">
        <v>3.518087765E9</v>
      </c>
      <c r="H1016" s="3" t="s">
        <v>27</v>
      </c>
      <c r="I1016" s="3" t="s">
        <v>28</v>
      </c>
      <c r="K1016" s="3" t="s">
        <v>1132</v>
      </c>
      <c r="L1016" s="3" t="s">
        <v>1136</v>
      </c>
      <c r="M1016" s="3" t="s">
        <v>1137</v>
      </c>
      <c r="R1016" s="7" t="str">
        <f>IF(H1016="","",VLOOKUP(H1016,'Hoja 9'!$A$1:$B$255,2,0))</f>
        <v>BOCA EN BOCA</v>
      </c>
      <c r="S1016" s="7">
        <f t="shared" si="1"/>
        <v>2025</v>
      </c>
      <c r="T1016" s="7">
        <f t="shared" si="2"/>
        <v>5</v>
      </c>
    </row>
    <row r="1017">
      <c r="A1017" s="4">
        <v>45808.663254687504</v>
      </c>
      <c r="B1017" s="3" t="s">
        <v>2698</v>
      </c>
      <c r="C1017" s="3" t="s">
        <v>296</v>
      </c>
      <c r="D1017" s="3" t="s">
        <v>2699</v>
      </c>
      <c r="E1017" s="5">
        <v>37020.0</v>
      </c>
      <c r="F1017" s="3">
        <v>4.3273576E7</v>
      </c>
      <c r="G1017" s="3">
        <v>3.513299104E9</v>
      </c>
      <c r="H1017" s="3" t="s">
        <v>27</v>
      </c>
      <c r="I1017" s="3" t="s">
        <v>22</v>
      </c>
      <c r="K1017" s="3" t="s">
        <v>1132</v>
      </c>
      <c r="L1017" s="3" t="s">
        <v>1133</v>
      </c>
      <c r="M1017" s="3" t="s">
        <v>1134</v>
      </c>
      <c r="O1017" s="3" t="s">
        <v>72</v>
      </c>
      <c r="R1017" s="7" t="str">
        <f>IF(H1017="","",VLOOKUP(H1017,'Hoja 9'!$A$1:$B$255,2,0))</f>
        <v>BOCA EN BOCA</v>
      </c>
      <c r="S1017" s="7">
        <f t="shared" si="1"/>
        <v>2025</v>
      </c>
      <c r="T1017" s="7">
        <f t="shared" si="2"/>
        <v>5</v>
      </c>
    </row>
    <row r="1018">
      <c r="A1018" s="4">
        <v>45810.48143113426</v>
      </c>
      <c r="B1018" s="3" t="s">
        <v>2700</v>
      </c>
      <c r="C1018" s="3" t="s">
        <v>2701</v>
      </c>
      <c r="D1018" s="3" t="s">
        <v>2702</v>
      </c>
      <c r="E1018" s="5">
        <v>18489.0</v>
      </c>
      <c r="F1018" s="3">
        <v>6397633.0</v>
      </c>
      <c r="G1018" s="3">
        <v>3.513694169E9</v>
      </c>
      <c r="H1018" s="3" t="s">
        <v>27</v>
      </c>
      <c r="I1018" s="3" t="s">
        <v>22</v>
      </c>
      <c r="K1018" s="3" t="s">
        <v>1132</v>
      </c>
      <c r="L1018" s="3" t="s">
        <v>2703</v>
      </c>
      <c r="M1018" s="3" t="s">
        <v>1137</v>
      </c>
      <c r="O1018" s="3" t="s">
        <v>23</v>
      </c>
      <c r="R1018" s="7" t="str">
        <f>IF(H1018="","",VLOOKUP(H1018,'Hoja 9'!$A$1:$B$255,2,0))</f>
        <v>BOCA EN BOCA</v>
      </c>
      <c r="S1018" s="7">
        <f t="shared" si="1"/>
        <v>2025</v>
      </c>
      <c r="T1018" s="7">
        <f t="shared" si="2"/>
        <v>6</v>
      </c>
    </row>
    <row r="1019">
      <c r="A1019" s="4">
        <v>45810.62704047454</v>
      </c>
      <c r="B1019" s="3" t="s">
        <v>2704</v>
      </c>
      <c r="C1019" s="3" t="s">
        <v>2705</v>
      </c>
      <c r="D1019" s="3" t="s">
        <v>2706</v>
      </c>
      <c r="E1019" s="5">
        <v>37670.0</v>
      </c>
      <c r="F1019" s="3">
        <v>3.0843273E7</v>
      </c>
      <c r="G1019" s="3">
        <v>3.512234086E9</v>
      </c>
      <c r="H1019" s="3" t="s">
        <v>244</v>
      </c>
      <c r="I1019" s="3" t="s">
        <v>28</v>
      </c>
      <c r="K1019" s="3" t="s">
        <v>1132</v>
      </c>
      <c r="L1019" s="3" t="s">
        <v>1422</v>
      </c>
      <c r="M1019" s="3" t="s">
        <v>1137</v>
      </c>
      <c r="R1019" s="7" t="str">
        <f>IF(H1019="","",VLOOKUP(H1019,'Hoja 9'!$A$1:$B$255,2,0))</f>
        <v>META</v>
      </c>
      <c r="S1019" s="7">
        <f t="shared" si="1"/>
        <v>2025</v>
      </c>
      <c r="T1019" s="7">
        <f t="shared" si="2"/>
        <v>6</v>
      </c>
    </row>
    <row r="1020">
      <c r="A1020" s="4">
        <v>45810.79549189815</v>
      </c>
      <c r="B1020" s="3" t="s">
        <v>2707</v>
      </c>
      <c r="C1020" s="3" t="s">
        <v>2657</v>
      </c>
      <c r="D1020" s="3" t="s">
        <v>2708</v>
      </c>
      <c r="E1020" s="5">
        <v>36817.0</v>
      </c>
      <c r="F1020" s="3">
        <v>4.2855577E7</v>
      </c>
      <c r="G1020" s="3">
        <v>3.517425315E9</v>
      </c>
      <c r="H1020" s="3" t="s">
        <v>27</v>
      </c>
      <c r="I1020" s="3" t="s">
        <v>22</v>
      </c>
      <c r="K1020" s="3" t="s">
        <v>1132</v>
      </c>
      <c r="L1020" s="3" t="s">
        <v>1136</v>
      </c>
      <c r="M1020" s="3" t="s">
        <v>1137</v>
      </c>
      <c r="O1020" s="3" t="s">
        <v>287</v>
      </c>
      <c r="R1020" s="7" t="str">
        <f>IF(H1020="","",VLOOKUP(H1020,'Hoja 9'!$A$1:$B$255,2,0))</f>
        <v>BOCA EN BOCA</v>
      </c>
      <c r="S1020" s="7">
        <f t="shared" si="1"/>
        <v>2025</v>
      </c>
      <c r="T1020" s="7">
        <f t="shared" si="2"/>
        <v>6</v>
      </c>
    </row>
    <row r="1021">
      <c r="A1021" s="4">
        <v>45811.7824025</v>
      </c>
      <c r="B1021" s="3" t="s">
        <v>2709</v>
      </c>
      <c r="C1021" s="3" t="s">
        <v>2710</v>
      </c>
      <c r="D1021" s="3" t="s">
        <v>2711</v>
      </c>
      <c r="E1021" s="5">
        <v>31448.0</v>
      </c>
      <c r="F1021" s="3">
        <v>3.2241401E7</v>
      </c>
      <c r="G1021" s="3">
        <v>3.517012926E9</v>
      </c>
      <c r="H1021" s="3" t="s">
        <v>27</v>
      </c>
      <c r="I1021" s="3" t="s">
        <v>22</v>
      </c>
      <c r="K1021" s="3" t="s">
        <v>1132</v>
      </c>
      <c r="L1021" s="3" t="s">
        <v>2712</v>
      </c>
      <c r="M1021" s="3" t="s">
        <v>1134</v>
      </c>
      <c r="O1021" s="3" t="s">
        <v>2161</v>
      </c>
      <c r="R1021" s="7" t="str">
        <f>IF(H1021="","",VLOOKUP(H1021,'Hoja 9'!$A$1:$B$255,2,0))</f>
        <v>BOCA EN BOCA</v>
      </c>
      <c r="S1021" s="7">
        <f t="shared" si="1"/>
        <v>2025</v>
      </c>
      <c r="T1021" s="7">
        <f t="shared" si="2"/>
        <v>6</v>
      </c>
    </row>
    <row r="1022">
      <c r="A1022" s="4">
        <v>45811.825810462964</v>
      </c>
      <c r="B1022" s="3" t="s">
        <v>2713</v>
      </c>
      <c r="C1022" s="3" t="s">
        <v>2714</v>
      </c>
      <c r="D1022" s="3" t="s">
        <v>2715</v>
      </c>
      <c r="E1022" s="5">
        <v>35298.0</v>
      </c>
      <c r="F1022" s="3">
        <v>3.9692449E7</v>
      </c>
      <c r="G1022" s="3">
        <v>3.518561034E9</v>
      </c>
      <c r="H1022" s="3" t="s">
        <v>27</v>
      </c>
      <c r="I1022" s="3" t="s">
        <v>22</v>
      </c>
      <c r="K1022" s="3" t="s">
        <v>1132</v>
      </c>
      <c r="L1022" s="3" t="s">
        <v>2716</v>
      </c>
      <c r="M1022" s="3" t="s">
        <v>1137</v>
      </c>
      <c r="O1022" s="3" t="s">
        <v>72</v>
      </c>
      <c r="R1022" s="7" t="str">
        <f>IF(H1022="","",VLOOKUP(H1022,'Hoja 9'!$A$1:$B$255,2,0))</f>
        <v>BOCA EN BOCA</v>
      </c>
      <c r="S1022" s="7">
        <f t="shared" si="1"/>
        <v>2025</v>
      </c>
      <c r="T1022" s="7">
        <f t="shared" si="2"/>
        <v>6</v>
      </c>
    </row>
    <row r="1023">
      <c r="A1023" s="4">
        <v>45811.8325365625</v>
      </c>
      <c r="B1023" s="3" t="s">
        <v>2717</v>
      </c>
      <c r="C1023" s="3" t="s">
        <v>1340</v>
      </c>
      <c r="D1023" s="3" t="s">
        <v>2718</v>
      </c>
      <c r="E1023" s="5">
        <v>28663.0</v>
      </c>
      <c r="F1023" s="3">
        <v>2.681523E7</v>
      </c>
      <c r="G1023" s="3">
        <v>3.518009252E9</v>
      </c>
      <c r="H1023" s="3" t="s">
        <v>21</v>
      </c>
      <c r="I1023" s="3" t="s">
        <v>22</v>
      </c>
      <c r="K1023" s="3" t="s">
        <v>1145</v>
      </c>
      <c r="O1023" s="3" t="s">
        <v>72</v>
      </c>
      <c r="R1023" s="7" t="str">
        <f>IF(H1023="","",VLOOKUP(H1023,'Hoja 9'!$A$1:$B$255,2,0))</f>
        <v>GOOGLE</v>
      </c>
      <c r="S1023" s="7">
        <f t="shared" si="1"/>
        <v>2025</v>
      </c>
      <c r="T1023" s="7">
        <f t="shared" si="2"/>
        <v>6</v>
      </c>
    </row>
    <row r="1024">
      <c r="A1024" s="4">
        <v>45812.63469894676</v>
      </c>
      <c r="B1024" s="3" t="s">
        <v>2719</v>
      </c>
      <c r="C1024" s="3" t="s">
        <v>2720</v>
      </c>
      <c r="E1024" s="5">
        <v>19528.0</v>
      </c>
      <c r="F1024" s="3">
        <v>1.0902037E7</v>
      </c>
      <c r="G1024" s="3">
        <v>3.516884519E9</v>
      </c>
      <c r="H1024" s="3" t="s">
        <v>21</v>
      </c>
      <c r="I1024" s="3" t="s">
        <v>22</v>
      </c>
      <c r="K1024" s="3" t="s">
        <v>1132</v>
      </c>
      <c r="L1024" s="3" t="s">
        <v>2721</v>
      </c>
      <c r="M1024" s="3" t="s">
        <v>1134</v>
      </c>
      <c r="O1024" s="3" t="s">
        <v>23</v>
      </c>
      <c r="R1024" s="7" t="str">
        <f>IF(H1024="","",VLOOKUP(H1024,'Hoja 9'!$A$1:$B$255,2,0))</f>
        <v>GOOGLE</v>
      </c>
      <c r="S1024" s="7">
        <f t="shared" si="1"/>
        <v>2025</v>
      </c>
      <c r="T1024" s="7">
        <f t="shared" si="2"/>
        <v>6</v>
      </c>
    </row>
    <row r="1025">
      <c r="A1025" s="4">
        <v>45812.73321576389</v>
      </c>
      <c r="B1025" s="3" t="s">
        <v>2722</v>
      </c>
      <c r="C1025" s="3" t="s">
        <v>2723</v>
      </c>
      <c r="D1025" s="3" t="s">
        <v>2724</v>
      </c>
      <c r="E1025" s="5" t="s">
        <v>2725</v>
      </c>
      <c r="F1025" s="3">
        <v>2.8270703E7</v>
      </c>
      <c r="G1025" s="3">
        <v>3.515937242E9</v>
      </c>
      <c r="H1025" s="3" t="s">
        <v>244</v>
      </c>
      <c r="I1025" s="3" t="s">
        <v>28</v>
      </c>
      <c r="K1025" s="3" t="s">
        <v>1145</v>
      </c>
      <c r="R1025" s="7" t="str">
        <f>IF(H1025="","",VLOOKUP(H1025,'Hoja 9'!$A$1:$B$255,2,0))</f>
        <v>META</v>
      </c>
      <c r="S1025" s="7">
        <f t="shared" si="1"/>
        <v>2025</v>
      </c>
      <c r="T1025" s="7">
        <f t="shared" si="2"/>
        <v>6</v>
      </c>
    </row>
    <row r="1026">
      <c r="A1026" s="4">
        <v>45813.440054293984</v>
      </c>
      <c r="B1026" s="3" t="s">
        <v>2726</v>
      </c>
      <c r="C1026" s="3" t="s">
        <v>1253</v>
      </c>
      <c r="D1026" s="3" t="s">
        <v>2727</v>
      </c>
      <c r="E1026" s="5">
        <v>25571.0</v>
      </c>
      <c r="F1026" s="3">
        <v>2.1402551E7</v>
      </c>
      <c r="G1026" s="3">
        <v>3.512360848E9</v>
      </c>
      <c r="H1026" s="3" t="s">
        <v>21</v>
      </c>
      <c r="I1026" s="3" t="s">
        <v>22</v>
      </c>
      <c r="K1026" s="3" t="s">
        <v>1132</v>
      </c>
      <c r="L1026" s="3" t="s">
        <v>1136</v>
      </c>
      <c r="M1026" s="3" t="s">
        <v>1134</v>
      </c>
      <c r="O1026" s="3" t="s">
        <v>23</v>
      </c>
      <c r="R1026" s="7" t="str">
        <f>IF(H1026="","",VLOOKUP(H1026,'Hoja 9'!$A$1:$B$255,2,0))</f>
        <v>GOOGLE</v>
      </c>
      <c r="S1026" s="7">
        <f t="shared" si="1"/>
        <v>2025</v>
      </c>
      <c r="T1026" s="7">
        <f t="shared" si="2"/>
        <v>6</v>
      </c>
    </row>
    <row r="1027">
      <c r="A1027" s="4">
        <v>45813.638759525464</v>
      </c>
      <c r="B1027" s="3" t="s">
        <v>2728</v>
      </c>
      <c r="C1027" s="3" t="s">
        <v>180</v>
      </c>
      <c r="D1027" s="3" t="s">
        <v>2729</v>
      </c>
      <c r="E1027" s="5">
        <v>36532.0</v>
      </c>
      <c r="F1027" s="3">
        <v>4.2336654E7</v>
      </c>
      <c r="G1027" s="3">
        <v>1.130122089E9</v>
      </c>
      <c r="H1027" s="3" t="s">
        <v>27</v>
      </c>
      <c r="I1027" s="3" t="s">
        <v>28</v>
      </c>
      <c r="K1027" s="3" t="s">
        <v>1132</v>
      </c>
      <c r="L1027" s="3" t="s">
        <v>1136</v>
      </c>
      <c r="M1027" s="3" t="s">
        <v>1213</v>
      </c>
      <c r="R1027" s="7" t="str">
        <f>IF(H1027="","",VLOOKUP(H1027,'Hoja 9'!$A$1:$B$255,2,0))</f>
        <v>BOCA EN BOCA</v>
      </c>
      <c r="S1027" s="7">
        <f t="shared" si="1"/>
        <v>2025</v>
      </c>
      <c r="T1027" s="7">
        <f t="shared" si="2"/>
        <v>6</v>
      </c>
    </row>
    <row r="1028">
      <c r="A1028" s="4">
        <v>45814.510579340276</v>
      </c>
      <c r="B1028" s="3" t="s">
        <v>2730</v>
      </c>
      <c r="C1028" s="3" t="s">
        <v>202</v>
      </c>
      <c r="D1028" s="3" t="s">
        <v>2731</v>
      </c>
      <c r="E1028" s="5" t="s">
        <v>2732</v>
      </c>
      <c r="F1028" s="3">
        <v>7990729.0</v>
      </c>
      <c r="G1028" s="3">
        <v>3.512021681E9</v>
      </c>
      <c r="H1028" s="3" t="s">
        <v>21</v>
      </c>
      <c r="I1028" s="3" t="s">
        <v>28</v>
      </c>
      <c r="K1028" s="3" t="s">
        <v>1132</v>
      </c>
      <c r="L1028" s="3" t="s">
        <v>2733</v>
      </c>
      <c r="M1028" s="3" t="s">
        <v>1137</v>
      </c>
      <c r="R1028" s="7" t="str">
        <f>IF(H1028="","",VLOOKUP(H1028,'Hoja 9'!$A$1:$B$255,2,0))</f>
        <v>GOOGLE</v>
      </c>
      <c r="S1028" s="7">
        <f t="shared" si="1"/>
        <v>2025</v>
      </c>
      <c r="T1028" s="7">
        <f t="shared" si="2"/>
        <v>6</v>
      </c>
    </row>
    <row r="1029">
      <c r="A1029" s="4">
        <v>45818.53208261574</v>
      </c>
      <c r="B1029" s="3" t="s">
        <v>2734</v>
      </c>
      <c r="C1029" s="3" t="s">
        <v>2735</v>
      </c>
      <c r="D1029" s="3" t="s">
        <v>2736</v>
      </c>
      <c r="E1029" s="5">
        <v>41427.0</v>
      </c>
      <c r="F1029" s="8">
        <v>5.3076154E7</v>
      </c>
      <c r="G1029" s="3">
        <v>3.515116806E9</v>
      </c>
      <c r="H1029" s="3" t="s">
        <v>44</v>
      </c>
      <c r="I1029" s="3" t="s">
        <v>28</v>
      </c>
      <c r="K1029" s="3" t="s">
        <v>1132</v>
      </c>
      <c r="L1029" s="3" t="s">
        <v>1401</v>
      </c>
      <c r="M1029" s="3" t="s">
        <v>1134</v>
      </c>
      <c r="R1029" s="7" t="str">
        <f>IF(H1029="","",VLOOKUP(H1029,'Hoja 9'!$A$1:$B$255,2,0))</f>
        <v>GIMNASIO</v>
      </c>
      <c r="S1029" s="7">
        <f t="shared" si="1"/>
        <v>2025</v>
      </c>
      <c r="T1029" s="7">
        <f t="shared" si="2"/>
        <v>6</v>
      </c>
    </row>
    <row r="1030">
      <c r="A1030" s="4">
        <v>45818.57043506944</v>
      </c>
      <c r="B1030" s="3" t="s">
        <v>2737</v>
      </c>
      <c r="C1030" s="3" t="s">
        <v>175</v>
      </c>
      <c r="D1030" s="3" t="s">
        <v>2738</v>
      </c>
      <c r="E1030" s="5">
        <v>29999.0</v>
      </c>
      <c r="F1030" s="3">
        <v>2.9254903E7</v>
      </c>
      <c r="G1030" s="3">
        <v>3.5162089E9</v>
      </c>
      <c r="H1030" s="3" t="s">
        <v>21</v>
      </c>
      <c r="I1030" s="3" t="s">
        <v>28</v>
      </c>
      <c r="K1030" s="3" t="s">
        <v>1132</v>
      </c>
      <c r="L1030" s="3" t="s">
        <v>1136</v>
      </c>
      <c r="M1030" s="3" t="s">
        <v>1137</v>
      </c>
      <c r="R1030" s="7" t="str">
        <f>IF(H1030="","",VLOOKUP(H1030,'Hoja 9'!$A$1:$B$255,2,0))</f>
        <v>GOOGLE</v>
      </c>
      <c r="S1030" s="7">
        <f t="shared" si="1"/>
        <v>2025</v>
      </c>
      <c r="T1030" s="7">
        <f t="shared" si="2"/>
        <v>6</v>
      </c>
    </row>
    <row r="1031">
      <c r="A1031" s="4">
        <v>45818.76331892361</v>
      </c>
      <c r="B1031" s="3" t="s">
        <v>420</v>
      </c>
      <c r="C1031" s="3" t="s">
        <v>175</v>
      </c>
      <c r="E1031" s="5">
        <v>29999.0</v>
      </c>
      <c r="F1031" s="3">
        <v>2.9254903E7</v>
      </c>
      <c r="G1031" s="3">
        <v>3.5162089E9</v>
      </c>
      <c r="H1031" s="3" t="s">
        <v>21</v>
      </c>
      <c r="I1031" s="3" t="s">
        <v>28</v>
      </c>
      <c r="K1031" s="3" t="s">
        <v>1132</v>
      </c>
      <c r="L1031" s="3" t="s">
        <v>1136</v>
      </c>
      <c r="M1031" s="3" t="s">
        <v>1137</v>
      </c>
      <c r="R1031" s="7" t="str">
        <f>IF(H1031="","",VLOOKUP(H1031,'Hoja 9'!$A$1:$B$255,2,0))</f>
        <v>GOOGLE</v>
      </c>
      <c r="S1031" s="7">
        <f t="shared" si="1"/>
        <v>2025</v>
      </c>
      <c r="T1031" s="7">
        <f t="shared" si="2"/>
        <v>6</v>
      </c>
    </row>
    <row r="1032">
      <c r="A1032" s="4">
        <v>45818.79612251157</v>
      </c>
      <c r="B1032" s="3" t="s">
        <v>671</v>
      </c>
      <c r="C1032" s="3" t="s">
        <v>218</v>
      </c>
      <c r="E1032" s="5">
        <v>31097.0</v>
      </c>
      <c r="F1032" s="3">
        <v>3.1357652E7</v>
      </c>
      <c r="G1032" s="3">
        <v>3.512374665E9</v>
      </c>
      <c r="H1032" s="3" t="s">
        <v>44</v>
      </c>
      <c r="I1032" s="3" t="s">
        <v>28</v>
      </c>
      <c r="K1032" s="3" t="s">
        <v>1132</v>
      </c>
      <c r="L1032" s="3" t="s">
        <v>1404</v>
      </c>
      <c r="M1032" s="3" t="s">
        <v>1134</v>
      </c>
      <c r="R1032" s="7" t="str">
        <f>IF(H1032="","",VLOOKUP(H1032,'Hoja 9'!$A$1:$B$255,2,0))</f>
        <v>GIMNASIO</v>
      </c>
      <c r="S1032" s="7">
        <f t="shared" si="1"/>
        <v>2025</v>
      </c>
      <c r="T1032" s="7">
        <f t="shared" si="2"/>
        <v>6</v>
      </c>
    </row>
    <row r="1033">
      <c r="A1033" s="4">
        <v>45821.74873668981</v>
      </c>
      <c r="B1033" s="3" t="s">
        <v>2739</v>
      </c>
      <c r="C1033" s="3" t="s">
        <v>357</v>
      </c>
      <c r="D1033" s="3" t="s">
        <v>2740</v>
      </c>
      <c r="E1033" s="5">
        <v>28978.0</v>
      </c>
      <c r="F1033" s="3">
        <v>2.7248456E7</v>
      </c>
      <c r="G1033" s="3">
        <v>3.518377E9</v>
      </c>
      <c r="H1033" s="3" t="s">
        <v>21</v>
      </c>
      <c r="I1033" s="3" t="s">
        <v>28</v>
      </c>
      <c r="K1033" s="3" t="s">
        <v>1132</v>
      </c>
      <c r="L1033" s="3" t="s">
        <v>1136</v>
      </c>
      <c r="M1033" s="3" t="s">
        <v>1137</v>
      </c>
      <c r="R1033" s="7" t="str">
        <f>IF(H1033="","",VLOOKUP(H1033,'Hoja 9'!$A$1:$B$255,2,0))</f>
        <v>GOOGLE</v>
      </c>
      <c r="S1033" s="7">
        <f t="shared" si="1"/>
        <v>2025</v>
      </c>
      <c r="T1033" s="7">
        <f t="shared" si="2"/>
        <v>6</v>
      </c>
    </row>
    <row r="1034">
      <c r="A1034" s="4">
        <v>45821.84758321759</v>
      </c>
      <c r="B1034" s="3" t="s">
        <v>2741</v>
      </c>
      <c r="C1034" s="3" t="s">
        <v>2742</v>
      </c>
      <c r="D1034" s="3" t="s">
        <v>2743</v>
      </c>
      <c r="E1034" s="5">
        <v>27010.0</v>
      </c>
      <c r="F1034" s="3">
        <v>2.3821145E7</v>
      </c>
      <c r="G1034" s="3">
        <v>3.513193958E9</v>
      </c>
      <c r="H1034" s="3" t="s">
        <v>27</v>
      </c>
      <c r="I1034" s="3" t="s">
        <v>22</v>
      </c>
      <c r="K1034" s="3" t="s">
        <v>1145</v>
      </c>
      <c r="O1034" s="3" t="s">
        <v>68</v>
      </c>
      <c r="R1034" s="7" t="str">
        <f>IF(H1034="","",VLOOKUP(H1034,'Hoja 9'!$A$1:$B$255,2,0))</f>
        <v>BOCA EN BOCA</v>
      </c>
      <c r="S1034" s="7">
        <f t="shared" si="1"/>
        <v>2025</v>
      </c>
      <c r="T1034" s="7">
        <f t="shared" si="2"/>
        <v>6</v>
      </c>
    </row>
    <row r="1035">
      <c r="A1035" s="4">
        <v>45821.84964935185</v>
      </c>
      <c r="B1035" s="3" t="s">
        <v>2741</v>
      </c>
      <c r="C1035" s="3" t="s">
        <v>2742</v>
      </c>
      <c r="D1035" s="3" t="s">
        <v>2743</v>
      </c>
      <c r="E1035" s="5">
        <v>25914.0</v>
      </c>
      <c r="F1035" s="3">
        <v>2.3821145E7</v>
      </c>
      <c r="G1035" s="3">
        <v>3.513193958E9</v>
      </c>
      <c r="H1035" s="3" t="s">
        <v>27</v>
      </c>
      <c r="I1035" s="3" t="s">
        <v>22</v>
      </c>
      <c r="K1035" s="3" t="s">
        <v>1145</v>
      </c>
      <c r="O1035" s="3" t="s">
        <v>68</v>
      </c>
      <c r="R1035" s="7" t="str">
        <f>IF(H1035="","",VLOOKUP(H1035,'Hoja 9'!$A$1:$B$255,2,0))</f>
        <v>BOCA EN BOCA</v>
      </c>
      <c r="S1035" s="7">
        <f t="shared" si="1"/>
        <v>2025</v>
      </c>
      <c r="T1035" s="7">
        <f t="shared" si="2"/>
        <v>6</v>
      </c>
    </row>
    <row r="1036">
      <c r="A1036" s="4">
        <v>45825.76051583333</v>
      </c>
      <c r="B1036" s="3" t="s">
        <v>769</v>
      </c>
      <c r="C1036" s="3" t="s">
        <v>218</v>
      </c>
      <c r="D1036" s="3" t="s">
        <v>2744</v>
      </c>
      <c r="E1036" s="5">
        <v>26269.0</v>
      </c>
      <c r="F1036" s="3">
        <v>2.3440418E7</v>
      </c>
      <c r="G1036" s="3">
        <v>3.513718449E9</v>
      </c>
      <c r="H1036" s="3" t="s">
        <v>148</v>
      </c>
      <c r="I1036" s="3" t="s">
        <v>22</v>
      </c>
      <c r="K1036" s="3" t="s">
        <v>1145</v>
      </c>
      <c r="O1036" s="3" t="s">
        <v>149</v>
      </c>
      <c r="R1036" s="7" t="str">
        <f>IF(H1036="","",VLOOKUP(H1036,'Hoja 9'!$A$1:$B$255,2,0))</f>
        <v>OBRA SOCIAL</v>
      </c>
      <c r="S1036" s="7">
        <f t="shared" si="1"/>
        <v>2025</v>
      </c>
      <c r="T1036" s="7">
        <f t="shared" si="2"/>
        <v>6</v>
      </c>
    </row>
    <row r="1037">
      <c r="A1037" s="4">
        <v>45825.795511689816</v>
      </c>
      <c r="B1037" s="3" t="s">
        <v>2745</v>
      </c>
      <c r="C1037" s="3" t="s">
        <v>996</v>
      </c>
      <c r="D1037" s="3" t="s">
        <v>2746</v>
      </c>
      <c r="E1037" s="5">
        <v>30961.0</v>
      </c>
      <c r="F1037" s="3">
        <v>3.1057241E7</v>
      </c>
      <c r="G1037" s="3">
        <v>3.513899462E9</v>
      </c>
      <c r="H1037" s="3" t="s">
        <v>27</v>
      </c>
      <c r="I1037" s="3" t="s">
        <v>22</v>
      </c>
      <c r="K1037" s="3" t="s">
        <v>1132</v>
      </c>
      <c r="L1037" s="3" t="s">
        <v>2747</v>
      </c>
      <c r="M1037" s="3" t="s">
        <v>1134</v>
      </c>
      <c r="O1037" s="3" t="s">
        <v>23</v>
      </c>
      <c r="R1037" s="7" t="str">
        <f>IF(H1037="","",VLOOKUP(H1037,'Hoja 9'!$A$1:$B$255,2,0))</f>
        <v>BOCA EN BOCA</v>
      </c>
      <c r="S1037" s="7">
        <f t="shared" si="1"/>
        <v>2025</v>
      </c>
      <c r="T1037" s="7">
        <f t="shared" si="2"/>
        <v>6</v>
      </c>
    </row>
    <row r="1038">
      <c r="A1038" s="4">
        <v>45825.799007118054</v>
      </c>
      <c r="B1038" s="3" t="s">
        <v>866</v>
      </c>
      <c r="C1038" s="3" t="s">
        <v>258</v>
      </c>
      <c r="E1038" s="5">
        <v>18917.0</v>
      </c>
      <c r="F1038" s="3">
        <v>1.0366321E7</v>
      </c>
      <c r="G1038" s="3">
        <v>3.513858331E9</v>
      </c>
      <c r="H1038" s="3" t="s">
        <v>27</v>
      </c>
      <c r="I1038" s="3" t="s">
        <v>22</v>
      </c>
      <c r="K1038" s="3" t="s">
        <v>1132</v>
      </c>
      <c r="L1038" s="3" t="s">
        <v>1133</v>
      </c>
      <c r="M1038" s="3" t="s">
        <v>1134</v>
      </c>
      <c r="O1038" s="3" t="s">
        <v>72</v>
      </c>
      <c r="R1038" s="7" t="str">
        <f>IF(H1038="","",VLOOKUP(H1038,'Hoja 9'!$A$1:$B$255,2,0))</f>
        <v>BOCA EN BOCA</v>
      </c>
      <c r="S1038" s="7">
        <f t="shared" si="1"/>
        <v>2025</v>
      </c>
      <c r="T1038" s="7">
        <f t="shared" si="2"/>
        <v>6</v>
      </c>
    </row>
    <row r="1039">
      <c r="A1039" s="4">
        <v>45825.87777274306</v>
      </c>
      <c r="B1039" s="3" t="s">
        <v>2748</v>
      </c>
      <c r="C1039" s="3" t="s">
        <v>727</v>
      </c>
      <c r="D1039" s="3" t="s">
        <v>2749</v>
      </c>
      <c r="E1039" s="5">
        <v>39552.0</v>
      </c>
      <c r="F1039" s="3">
        <v>4.8125548E7</v>
      </c>
      <c r="G1039" s="3">
        <v>3.518614022E9</v>
      </c>
      <c r="H1039" s="3" t="s">
        <v>244</v>
      </c>
      <c r="I1039" s="3" t="s">
        <v>22</v>
      </c>
      <c r="K1039" s="3" t="s">
        <v>1132</v>
      </c>
      <c r="L1039" s="3" t="s">
        <v>1136</v>
      </c>
      <c r="M1039" s="3" t="s">
        <v>1134</v>
      </c>
      <c r="O1039" s="3" t="s">
        <v>23</v>
      </c>
      <c r="R1039" s="7" t="str">
        <f>IF(H1039="","",VLOOKUP(H1039,'Hoja 9'!$A$1:$B$255,2,0))</f>
        <v>META</v>
      </c>
      <c r="S1039" s="7">
        <f t="shared" si="1"/>
        <v>2025</v>
      </c>
      <c r="T1039" s="7">
        <f t="shared" si="2"/>
        <v>6</v>
      </c>
    </row>
    <row r="1040">
      <c r="A1040" s="4">
        <v>45826.7083725463</v>
      </c>
      <c r="B1040" s="3" t="s">
        <v>1619</v>
      </c>
      <c r="C1040" s="3" t="s">
        <v>162</v>
      </c>
      <c r="E1040" s="5">
        <v>29849.0</v>
      </c>
      <c r="F1040" s="3">
        <v>2.9136424E7</v>
      </c>
      <c r="G1040" s="3">
        <v>3.513044767E9</v>
      </c>
      <c r="H1040" s="3" t="s">
        <v>27</v>
      </c>
      <c r="I1040" s="3" t="s">
        <v>28</v>
      </c>
      <c r="K1040" s="3" t="s">
        <v>1132</v>
      </c>
      <c r="L1040" s="3" t="s">
        <v>1133</v>
      </c>
      <c r="M1040" s="3" t="s">
        <v>1134</v>
      </c>
      <c r="R1040" s="7" t="str">
        <f>IF(H1040="","",VLOOKUP(H1040,'Hoja 9'!$A$1:$B$255,2,0))</f>
        <v>BOCA EN BOCA</v>
      </c>
      <c r="S1040" s="7">
        <f t="shared" si="1"/>
        <v>2025</v>
      </c>
      <c r="T1040" s="7">
        <f t="shared" si="2"/>
        <v>6</v>
      </c>
    </row>
    <row r="1041">
      <c r="A1041" s="4">
        <v>45826.72621385417</v>
      </c>
      <c r="B1041" s="3" t="s">
        <v>2750</v>
      </c>
      <c r="C1041" s="3" t="s">
        <v>893</v>
      </c>
      <c r="E1041" s="5">
        <v>25124.0</v>
      </c>
      <c r="F1041" s="3">
        <v>2.0588227E7</v>
      </c>
      <c r="G1041" s="3">
        <v>3.512024181E9</v>
      </c>
      <c r="H1041" s="3" t="s">
        <v>44</v>
      </c>
      <c r="I1041" s="3" t="s">
        <v>22</v>
      </c>
      <c r="K1041" s="3" t="s">
        <v>1132</v>
      </c>
      <c r="L1041" s="3" t="s">
        <v>1133</v>
      </c>
      <c r="M1041" s="3" t="s">
        <v>1134</v>
      </c>
      <c r="O1041" s="3" t="s">
        <v>23</v>
      </c>
      <c r="R1041" s="7" t="str">
        <f>IF(H1041="","",VLOOKUP(H1041,'Hoja 9'!$A$1:$B$255,2,0))</f>
        <v>GIMNASIO</v>
      </c>
      <c r="S1041" s="7">
        <f t="shared" si="1"/>
        <v>2025</v>
      </c>
      <c r="T1041" s="7">
        <f t="shared" si="2"/>
        <v>6</v>
      </c>
    </row>
    <row r="1042">
      <c r="A1042" s="4">
        <v>45826.792961643514</v>
      </c>
      <c r="B1042" s="3" t="s">
        <v>2751</v>
      </c>
      <c r="C1042" s="3" t="s">
        <v>2752</v>
      </c>
      <c r="E1042" s="5">
        <v>37679.0</v>
      </c>
      <c r="F1042" s="3">
        <v>4.4657361E7</v>
      </c>
      <c r="G1042" s="3">
        <v>3.512552702E9</v>
      </c>
      <c r="H1042" s="3" t="s">
        <v>27</v>
      </c>
      <c r="I1042" s="3" t="s">
        <v>28</v>
      </c>
      <c r="K1042" s="3" t="s">
        <v>1132</v>
      </c>
      <c r="L1042" s="3" t="s">
        <v>1140</v>
      </c>
      <c r="M1042" s="3" t="s">
        <v>1134</v>
      </c>
      <c r="R1042" s="7" t="str">
        <f>IF(H1042="","",VLOOKUP(H1042,'Hoja 9'!$A$1:$B$255,2,0))</f>
        <v>BOCA EN BOCA</v>
      </c>
      <c r="S1042" s="7">
        <f t="shared" si="1"/>
        <v>2025</v>
      </c>
      <c r="T1042" s="7">
        <f t="shared" si="2"/>
        <v>6</v>
      </c>
    </row>
    <row r="1043">
      <c r="A1043" s="4">
        <v>45826.80817079861</v>
      </c>
      <c r="B1043" s="3" t="s">
        <v>2753</v>
      </c>
      <c r="C1043" s="3" t="s">
        <v>2754</v>
      </c>
      <c r="D1043" s="3" t="s">
        <v>2755</v>
      </c>
      <c r="E1043" s="5">
        <v>33418.0</v>
      </c>
      <c r="F1043" s="3">
        <v>3.5966293E7</v>
      </c>
      <c r="G1043" s="3">
        <v>3.516478748E9</v>
      </c>
      <c r="H1043" s="3" t="s">
        <v>27</v>
      </c>
      <c r="I1043" s="3" t="s">
        <v>28</v>
      </c>
      <c r="K1043" s="3" t="s">
        <v>1132</v>
      </c>
      <c r="L1043" s="3" t="s">
        <v>1136</v>
      </c>
      <c r="M1043" s="3" t="s">
        <v>1137</v>
      </c>
      <c r="R1043" s="7" t="str">
        <f>IF(H1043="","",VLOOKUP(H1043,'Hoja 9'!$A$1:$B$255,2,0))</f>
        <v>BOCA EN BOCA</v>
      </c>
      <c r="S1043" s="7">
        <f t="shared" si="1"/>
        <v>2025</v>
      </c>
      <c r="T1043" s="7">
        <f t="shared" si="2"/>
        <v>6</v>
      </c>
    </row>
    <row r="1044">
      <c r="A1044" s="4">
        <v>45826.89521192129</v>
      </c>
      <c r="B1044" s="3" t="s">
        <v>496</v>
      </c>
      <c r="C1044" s="3" t="s">
        <v>2756</v>
      </c>
      <c r="D1044" s="3" t="s">
        <v>2757</v>
      </c>
      <c r="E1044" s="5">
        <v>28983.0</v>
      </c>
      <c r="F1044" s="3">
        <v>2.7248614E7</v>
      </c>
      <c r="G1044" s="3">
        <v>3.512189365E9</v>
      </c>
      <c r="H1044" s="3" t="s">
        <v>27</v>
      </c>
      <c r="I1044" s="3" t="s">
        <v>28</v>
      </c>
      <c r="K1044" s="3" t="s">
        <v>1145</v>
      </c>
      <c r="R1044" s="7" t="str">
        <f>IF(H1044="","",VLOOKUP(H1044,'Hoja 9'!$A$1:$B$255,2,0))</f>
        <v>BOCA EN BOCA</v>
      </c>
      <c r="S1044" s="7">
        <f t="shared" si="1"/>
        <v>2025</v>
      </c>
      <c r="T1044" s="7">
        <f t="shared" si="2"/>
        <v>6</v>
      </c>
    </row>
    <row r="1045">
      <c r="A1045" s="4">
        <v>45831.683408125</v>
      </c>
      <c r="B1045" s="3" t="s">
        <v>2758</v>
      </c>
      <c r="C1045" s="3" t="s">
        <v>1241</v>
      </c>
      <c r="D1045" s="3" t="s">
        <v>2759</v>
      </c>
      <c r="E1045" s="5">
        <v>37679.0</v>
      </c>
      <c r="F1045" s="3">
        <v>4.4694487E7</v>
      </c>
      <c r="G1045" s="3">
        <v>3.512167989E9</v>
      </c>
      <c r="H1045" s="3" t="s">
        <v>27</v>
      </c>
      <c r="I1045" s="3" t="s">
        <v>28</v>
      </c>
      <c r="K1045" s="3" t="s">
        <v>1132</v>
      </c>
      <c r="L1045" s="3" t="s">
        <v>2760</v>
      </c>
      <c r="M1045" s="3" t="s">
        <v>1134</v>
      </c>
      <c r="R1045" s="7" t="str">
        <f>IF(H1045="","",VLOOKUP(H1045,'Hoja 9'!$A$1:$B$255,2,0))</f>
        <v>BOCA EN BOCA</v>
      </c>
      <c r="S1045" s="7">
        <f t="shared" si="1"/>
        <v>2025</v>
      </c>
      <c r="T1045" s="7">
        <f t="shared" si="2"/>
        <v>6</v>
      </c>
    </row>
    <row r="1046">
      <c r="A1046" s="4">
        <v>45831.89440422454</v>
      </c>
      <c r="B1046" s="3" t="s">
        <v>2761</v>
      </c>
      <c r="C1046" s="3" t="s">
        <v>78</v>
      </c>
      <c r="D1046" s="3" t="s">
        <v>2762</v>
      </c>
      <c r="E1046" s="5">
        <v>29751.0</v>
      </c>
      <c r="F1046" s="3">
        <v>2.885037E7</v>
      </c>
      <c r="G1046" s="3">
        <v>3.515954286E9</v>
      </c>
      <c r="H1046" s="3" t="s">
        <v>44</v>
      </c>
      <c r="I1046" s="3" t="s">
        <v>28</v>
      </c>
      <c r="K1046" s="3" t="s">
        <v>1132</v>
      </c>
      <c r="L1046" s="3" t="s">
        <v>1133</v>
      </c>
      <c r="M1046" s="3" t="s">
        <v>1134</v>
      </c>
      <c r="R1046" s="7" t="str">
        <f>IF(H1046="","",VLOOKUP(H1046,'Hoja 9'!$A$1:$B$255,2,0))</f>
        <v>GIMNASIO</v>
      </c>
      <c r="S1046" s="7">
        <f t="shared" si="1"/>
        <v>2025</v>
      </c>
      <c r="T1046" s="7">
        <f t="shared" si="2"/>
        <v>6</v>
      </c>
    </row>
    <row r="1047">
      <c r="A1047" s="4">
        <v>45832.45291501157</v>
      </c>
      <c r="B1047" s="3" t="s">
        <v>2763</v>
      </c>
      <c r="C1047" s="3" t="s">
        <v>2764</v>
      </c>
      <c r="D1047" s="3" t="s">
        <v>2765</v>
      </c>
      <c r="E1047" s="5">
        <v>19028.0</v>
      </c>
      <c r="F1047" s="3">
        <v>1.0174976E7</v>
      </c>
      <c r="G1047" s="3">
        <v>3.516874E9</v>
      </c>
      <c r="H1047" s="3" t="s">
        <v>27</v>
      </c>
      <c r="I1047" s="3" t="s">
        <v>28</v>
      </c>
      <c r="K1047" s="3" t="s">
        <v>1145</v>
      </c>
      <c r="R1047" s="7" t="str">
        <f>IF(H1047="","",VLOOKUP(H1047,'Hoja 9'!$A$1:$B$255,2,0))</f>
        <v>BOCA EN BOCA</v>
      </c>
      <c r="S1047" s="7">
        <f t="shared" si="1"/>
        <v>2025</v>
      </c>
      <c r="T1047" s="7">
        <f t="shared" si="2"/>
        <v>6</v>
      </c>
    </row>
    <row r="1048">
      <c r="A1048" s="4">
        <v>45832.49292351852</v>
      </c>
      <c r="B1048" s="3" t="s">
        <v>2766</v>
      </c>
      <c r="C1048" s="3" t="s">
        <v>2767</v>
      </c>
      <c r="E1048" s="5">
        <v>16140.0</v>
      </c>
      <c r="F1048" s="3">
        <v>4855352.0</v>
      </c>
      <c r="G1048" s="3">
        <v>3.513549222E9</v>
      </c>
      <c r="H1048" s="3" t="s">
        <v>27</v>
      </c>
      <c r="I1048" s="3" t="s">
        <v>22</v>
      </c>
      <c r="K1048" s="3" t="s">
        <v>1145</v>
      </c>
      <c r="O1048" s="3" t="s">
        <v>23</v>
      </c>
      <c r="R1048" s="7" t="str">
        <f>IF(H1048="","",VLOOKUP(H1048,'Hoja 9'!$A$1:$B$255,2,0))</f>
        <v>BOCA EN BOCA</v>
      </c>
      <c r="S1048" s="7">
        <f t="shared" si="1"/>
        <v>2025</v>
      </c>
      <c r="T1048" s="7">
        <f t="shared" si="2"/>
        <v>6</v>
      </c>
    </row>
    <row r="1049">
      <c r="A1049" s="4">
        <v>45832.780534618054</v>
      </c>
      <c r="B1049" s="3" t="s">
        <v>2768</v>
      </c>
      <c r="C1049" s="3" t="s">
        <v>2769</v>
      </c>
      <c r="E1049" s="5">
        <v>31533.0</v>
      </c>
      <c r="F1049" s="3">
        <v>3.2313606E7</v>
      </c>
      <c r="G1049" s="3">
        <v>3.516537121E9</v>
      </c>
      <c r="H1049" s="3" t="s">
        <v>44</v>
      </c>
      <c r="I1049" s="3" t="s">
        <v>28</v>
      </c>
      <c r="K1049" s="3" t="s">
        <v>1132</v>
      </c>
      <c r="L1049" s="3" t="s">
        <v>1133</v>
      </c>
      <c r="M1049" s="3" t="s">
        <v>1134</v>
      </c>
      <c r="R1049" s="7" t="str">
        <f>IF(H1049="","",VLOOKUP(H1049,'Hoja 9'!$A$1:$B$255,2,0))</f>
        <v>GIMNASIO</v>
      </c>
      <c r="S1049" s="7">
        <f t="shared" si="1"/>
        <v>2025</v>
      </c>
      <c r="T1049" s="7">
        <f t="shared" si="2"/>
        <v>6</v>
      </c>
    </row>
    <row r="1050">
      <c r="A1050" s="4">
        <v>45832.79682423611</v>
      </c>
      <c r="B1050" s="3" t="s">
        <v>2770</v>
      </c>
      <c r="C1050" s="3" t="s">
        <v>276</v>
      </c>
      <c r="D1050" s="3" t="s">
        <v>2771</v>
      </c>
      <c r="E1050" s="5">
        <v>37174.0</v>
      </c>
      <c r="F1050" s="3">
        <v>4.3694644E7</v>
      </c>
      <c r="G1050" s="3">
        <v>3.512075558E9</v>
      </c>
      <c r="H1050" s="3" t="s">
        <v>44</v>
      </c>
      <c r="I1050" s="3" t="s">
        <v>22</v>
      </c>
      <c r="K1050" s="3" t="s">
        <v>1132</v>
      </c>
      <c r="L1050" s="3" t="s">
        <v>1332</v>
      </c>
      <c r="M1050" s="3" t="s">
        <v>1213</v>
      </c>
      <c r="O1050" s="3" t="s">
        <v>149</v>
      </c>
      <c r="R1050" s="7" t="str">
        <f>IF(H1050="","",VLOOKUP(H1050,'Hoja 9'!$A$1:$B$255,2,0))</f>
        <v>GIMNASIO</v>
      </c>
      <c r="S1050" s="7">
        <f t="shared" si="1"/>
        <v>2025</v>
      </c>
      <c r="T1050" s="7">
        <f t="shared" si="2"/>
        <v>6</v>
      </c>
    </row>
    <row r="1051">
      <c r="A1051" s="4">
        <v>45833.585977106486</v>
      </c>
      <c r="B1051" s="3" t="s">
        <v>1482</v>
      </c>
      <c r="C1051" s="3" t="s">
        <v>2772</v>
      </c>
      <c r="D1051" s="3" t="s">
        <v>2773</v>
      </c>
      <c r="E1051" s="5">
        <v>29402.0</v>
      </c>
      <c r="F1051" s="3">
        <v>2.7869017E7</v>
      </c>
      <c r="G1051" s="3">
        <v>3.517071234E9</v>
      </c>
      <c r="H1051" s="3" t="s">
        <v>244</v>
      </c>
      <c r="I1051" s="3" t="s">
        <v>28</v>
      </c>
      <c r="K1051" s="3" t="s">
        <v>1132</v>
      </c>
      <c r="L1051" s="3" t="s">
        <v>2774</v>
      </c>
      <c r="M1051" s="3" t="s">
        <v>1137</v>
      </c>
      <c r="R1051" s="7" t="str">
        <f>IF(H1051="","",VLOOKUP(H1051,'Hoja 9'!$A$1:$B$255,2,0))</f>
        <v>META</v>
      </c>
      <c r="S1051" s="7">
        <f t="shared" si="1"/>
        <v>2025</v>
      </c>
      <c r="T1051" s="7">
        <f t="shared" si="2"/>
        <v>6</v>
      </c>
    </row>
    <row r="1052">
      <c r="A1052" s="4">
        <v>45833.68841803241</v>
      </c>
      <c r="B1052" s="3" t="s">
        <v>903</v>
      </c>
      <c r="C1052" s="3" t="s">
        <v>2775</v>
      </c>
      <c r="D1052" s="3" t="s">
        <v>2776</v>
      </c>
      <c r="E1052" s="5">
        <v>33508.0</v>
      </c>
      <c r="F1052" s="3">
        <v>3.6126517E7</v>
      </c>
      <c r="G1052" s="3">
        <v>3.517561771E9</v>
      </c>
      <c r="H1052" s="3" t="s">
        <v>44</v>
      </c>
      <c r="I1052" s="3" t="s">
        <v>22</v>
      </c>
      <c r="K1052" s="3" t="s">
        <v>1132</v>
      </c>
      <c r="L1052" s="3" t="s">
        <v>1133</v>
      </c>
      <c r="M1052" s="3" t="s">
        <v>1134</v>
      </c>
      <c r="O1052" s="3" t="s">
        <v>2777</v>
      </c>
      <c r="R1052" s="7" t="str">
        <f>IF(H1052="","",VLOOKUP(H1052,'Hoja 9'!$A$1:$B$255,2,0))</f>
        <v>GIMNASIO</v>
      </c>
      <c r="S1052" s="7">
        <f t="shared" si="1"/>
        <v>2025</v>
      </c>
      <c r="T1052" s="7">
        <f t="shared" si="2"/>
        <v>6</v>
      </c>
    </row>
    <row r="1053">
      <c r="A1053" s="4">
        <v>45834.734182025466</v>
      </c>
      <c r="B1053" s="3" t="s">
        <v>2778</v>
      </c>
      <c r="C1053" s="3" t="s">
        <v>2779</v>
      </c>
      <c r="D1053" s="3" t="s">
        <v>2780</v>
      </c>
      <c r="E1053" s="5">
        <v>40557.0</v>
      </c>
      <c r="F1053" s="3">
        <v>5.0696438E7</v>
      </c>
      <c r="G1053" s="3">
        <v>3.516590333E9</v>
      </c>
      <c r="H1053" s="3" t="s">
        <v>44</v>
      </c>
      <c r="I1053" s="3" t="s">
        <v>22</v>
      </c>
      <c r="K1053" s="3" t="s">
        <v>1132</v>
      </c>
      <c r="L1053" s="3" t="s">
        <v>1382</v>
      </c>
      <c r="M1053" s="3" t="s">
        <v>1134</v>
      </c>
      <c r="O1053" s="3" t="s">
        <v>23</v>
      </c>
      <c r="R1053" s="7" t="str">
        <f>IF(H1053="","",VLOOKUP(H1053,'Hoja 9'!$A$1:$B$255,2,0))</f>
        <v>GIMNASIO</v>
      </c>
      <c r="S1053" s="7">
        <f t="shared" si="1"/>
        <v>2025</v>
      </c>
      <c r="T1053" s="7">
        <f t="shared" si="2"/>
        <v>6</v>
      </c>
    </row>
    <row r="1054">
      <c r="A1054" s="4">
        <v>45834.84735471065</v>
      </c>
      <c r="B1054" s="3" t="s">
        <v>2781</v>
      </c>
      <c r="C1054" s="3" t="s">
        <v>1407</v>
      </c>
      <c r="D1054" s="3" t="s">
        <v>2782</v>
      </c>
      <c r="E1054" s="5">
        <v>38340.0</v>
      </c>
      <c r="F1054" s="3">
        <v>4.5695835E7</v>
      </c>
      <c r="G1054" s="3">
        <v>3.513439427E9</v>
      </c>
      <c r="H1054" s="3" t="s">
        <v>2783</v>
      </c>
      <c r="I1054" s="3" t="s">
        <v>28</v>
      </c>
      <c r="K1054" s="3" t="s">
        <v>1132</v>
      </c>
      <c r="L1054" s="3" t="s">
        <v>1133</v>
      </c>
      <c r="M1054" s="3" t="s">
        <v>1134</v>
      </c>
      <c r="R1054" s="7" t="str">
        <f>IF(H1054="","",VLOOKUP(H1054,'Hoja 9'!$A$1:$B$255,2,0))</f>
        <v>GIMNASIO</v>
      </c>
      <c r="S1054" s="7">
        <f t="shared" si="1"/>
        <v>2025</v>
      </c>
      <c r="T1054" s="7">
        <f t="shared" si="2"/>
        <v>6</v>
      </c>
    </row>
    <row r="1055">
      <c r="A1055" s="4">
        <v>45835.80665041666</v>
      </c>
      <c r="B1055" s="3" t="s">
        <v>2784</v>
      </c>
      <c r="C1055" s="3" t="s">
        <v>534</v>
      </c>
      <c r="D1055" s="3" t="s">
        <v>2785</v>
      </c>
      <c r="E1055" s="5">
        <v>38340.0</v>
      </c>
      <c r="F1055" s="3">
        <v>4.5695835E7</v>
      </c>
      <c r="G1055" s="3">
        <v>3.513439427E9</v>
      </c>
      <c r="H1055" s="3" t="s">
        <v>21</v>
      </c>
      <c r="I1055" s="3" t="s">
        <v>28</v>
      </c>
      <c r="K1055" s="3" t="s">
        <v>1132</v>
      </c>
      <c r="L1055" s="3" t="s">
        <v>1133</v>
      </c>
      <c r="M1055" s="3" t="s">
        <v>1134</v>
      </c>
      <c r="R1055" s="7" t="str">
        <f>IF(H1055="","",VLOOKUP(H1055,'Hoja 9'!$A$1:$B$255,2,0))</f>
        <v>GOOGLE</v>
      </c>
      <c r="S1055" s="7">
        <f t="shared" si="1"/>
        <v>2025</v>
      </c>
      <c r="T1055" s="7">
        <f t="shared" si="2"/>
        <v>6</v>
      </c>
    </row>
    <row r="1056">
      <c r="A1056" s="4">
        <v>45837.521860451394</v>
      </c>
      <c r="B1056" s="3" t="s">
        <v>2786</v>
      </c>
      <c r="C1056" s="3" t="s">
        <v>133</v>
      </c>
      <c r="D1056" s="3" t="s">
        <v>2787</v>
      </c>
      <c r="E1056" s="5">
        <v>36183.0</v>
      </c>
      <c r="F1056" s="3">
        <v>4.1736005E7</v>
      </c>
      <c r="G1056" s="3">
        <v>3.512106456E9</v>
      </c>
      <c r="H1056" s="3" t="s">
        <v>27</v>
      </c>
      <c r="I1056" s="3" t="s">
        <v>28</v>
      </c>
      <c r="K1056" s="3" t="s">
        <v>1132</v>
      </c>
      <c r="L1056" s="3" t="s">
        <v>1133</v>
      </c>
      <c r="M1056" s="3" t="s">
        <v>1134</v>
      </c>
      <c r="R1056" s="7" t="str">
        <f>IF(H1056="","",VLOOKUP(H1056,'Hoja 9'!$A$1:$B$255,2,0))</f>
        <v>BOCA EN BOCA</v>
      </c>
      <c r="S1056" s="7">
        <f t="shared" si="1"/>
        <v>2025</v>
      </c>
      <c r="T1056" s="7">
        <f t="shared" si="2"/>
        <v>6</v>
      </c>
    </row>
    <row r="1057">
      <c r="A1057" s="4">
        <v>45838.44533711806</v>
      </c>
      <c r="B1057" s="3" t="s">
        <v>515</v>
      </c>
      <c r="C1057" s="3" t="s">
        <v>2788</v>
      </c>
      <c r="D1057" s="3" t="s">
        <v>2789</v>
      </c>
      <c r="E1057" s="5">
        <v>21537.0</v>
      </c>
      <c r="F1057" s="3">
        <v>1.2994392E7</v>
      </c>
      <c r="G1057" s="3">
        <v>3.515379208E9</v>
      </c>
      <c r="H1057" s="3" t="s">
        <v>21</v>
      </c>
      <c r="I1057" s="3" t="s">
        <v>28</v>
      </c>
      <c r="K1057" s="3" t="s">
        <v>1132</v>
      </c>
      <c r="L1057" s="3" t="s">
        <v>1133</v>
      </c>
      <c r="M1057" s="3" t="s">
        <v>1137</v>
      </c>
      <c r="R1057" s="7" t="str">
        <f>IF(H1057="","",VLOOKUP(H1057,'Hoja 9'!$A$1:$B$255,2,0))</f>
        <v>GOOGLE</v>
      </c>
      <c r="S1057" s="7">
        <f t="shared" si="1"/>
        <v>2025</v>
      </c>
      <c r="T1057" s="7">
        <f t="shared" si="2"/>
        <v>6</v>
      </c>
    </row>
    <row r="1058">
      <c r="A1058" s="4">
        <v>45838.6370571875</v>
      </c>
      <c r="B1058" s="3" t="s">
        <v>866</v>
      </c>
      <c r="C1058" s="3" t="s">
        <v>2355</v>
      </c>
      <c r="E1058" s="5">
        <v>18292.0</v>
      </c>
      <c r="F1058" s="3">
        <v>8313363.0</v>
      </c>
      <c r="G1058" s="3">
        <v>3.515925145E9</v>
      </c>
      <c r="H1058" s="3" t="s">
        <v>44</v>
      </c>
      <c r="I1058" s="3" t="s">
        <v>28</v>
      </c>
      <c r="K1058" s="3" t="s">
        <v>1145</v>
      </c>
      <c r="R1058" s="7" t="str">
        <f>IF(H1058="","",VLOOKUP(H1058,'Hoja 9'!$A$1:$B$255,2,0))</f>
        <v>GIMNASIO</v>
      </c>
      <c r="S1058" s="7">
        <f t="shared" si="1"/>
        <v>2025</v>
      </c>
      <c r="T1058" s="7">
        <f t="shared" si="2"/>
        <v>6</v>
      </c>
    </row>
    <row r="1059">
      <c r="A1059" s="4">
        <v>45838.66890284722</v>
      </c>
      <c r="B1059" s="3" t="s">
        <v>2790</v>
      </c>
      <c r="C1059" s="3" t="s">
        <v>2791</v>
      </c>
      <c r="D1059" s="3" t="s">
        <v>2792</v>
      </c>
      <c r="E1059" s="5">
        <v>40560.0</v>
      </c>
      <c r="F1059" s="3">
        <v>5.0628844E7</v>
      </c>
      <c r="G1059" s="3">
        <v>3.51647305E9</v>
      </c>
      <c r="H1059" s="3" t="s">
        <v>148</v>
      </c>
      <c r="I1059" s="3" t="s">
        <v>22</v>
      </c>
      <c r="K1059" s="3" t="s">
        <v>1132</v>
      </c>
      <c r="L1059" s="3" t="s">
        <v>2793</v>
      </c>
      <c r="M1059" s="3" t="s">
        <v>1134</v>
      </c>
      <c r="O1059" s="3" t="s">
        <v>149</v>
      </c>
      <c r="R1059" s="7" t="str">
        <f>IF(H1059="","",VLOOKUP(H1059,'Hoja 9'!$A$1:$B$255,2,0))</f>
        <v>OBRA SOCIAL</v>
      </c>
      <c r="S1059" s="7">
        <f t="shared" si="1"/>
        <v>2025</v>
      </c>
      <c r="T1059" s="7">
        <f t="shared" si="2"/>
        <v>6</v>
      </c>
    </row>
    <row r="1060">
      <c r="A1060" s="4">
        <v>45838.67086728009</v>
      </c>
      <c r="B1060" s="3" t="s">
        <v>2794</v>
      </c>
      <c r="C1060" s="3" t="s">
        <v>2791</v>
      </c>
      <c r="D1060" s="3" t="s">
        <v>2792</v>
      </c>
      <c r="E1060" s="5">
        <v>40560.0</v>
      </c>
      <c r="F1060" s="3">
        <v>5.0628843E7</v>
      </c>
      <c r="G1060" s="3">
        <v>3.51647305E9</v>
      </c>
      <c r="H1060" s="3" t="s">
        <v>148</v>
      </c>
      <c r="I1060" s="3" t="s">
        <v>22</v>
      </c>
      <c r="K1060" s="3" t="s">
        <v>1132</v>
      </c>
      <c r="L1060" s="3" t="s">
        <v>2795</v>
      </c>
      <c r="M1060" s="3" t="s">
        <v>1134</v>
      </c>
      <c r="O1060" s="3" t="s">
        <v>149</v>
      </c>
      <c r="R1060" s="7" t="str">
        <f>IF(H1060="","",VLOOKUP(H1060,'Hoja 9'!$A$1:$B$255,2,0))</f>
        <v>OBRA SOCIAL</v>
      </c>
      <c r="S1060" s="7">
        <f t="shared" si="1"/>
        <v>2025</v>
      </c>
      <c r="T1060" s="7">
        <f t="shared" si="2"/>
        <v>6</v>
      </c>
    </row>
    <row r="1061">
      <c r="A1061" s="4">
        <v>45839.39768383102</v>
      </c>
      <c r="B1061" s="3" t="s">
        <v>2796</v>
      </c>
      <c r="C1061" s="3" t="s">
        <v>2797</v>
      </c>
      <c r="D1061" s="3" t="s">
        <v>2798</v>
      </c>
      <c r="E1061" s="5">
        <v>36682.0</v>
      </c>
      <c r="F1061" s="3">
        <v>4.2476477E7</v>
      </c>
      <c r="G1061" s="3">
        <v>3.513865653E9</v>
      </c>
      <c r="H1061" s="3" t="s">
        <v>44</v>
      </c>
      <c r="I1061" s="3" t="s">
        <v>22</v>
      </c>
      <c r="K1061" s="3" t="s">
        <v>1132</v>
      </c>
      <c r="L1061" s="3" t="s">
        <v>1133</v>
      </c>
      <c r="M1061" s="3" t="s">
        <v>1134</v>
      </c>
      <c r="O1061" s="3" t="s">
        <v>2799</v>
      </c>
      <c r="R1061" s="7" t="str">
        <f>IF(H1061="","",VLOOKUP(H1061,'Hoja 9'!$A$1:$B$255,2,0))</f>
        <v>GIMNASIO</v>
      </c>
      <c r="S1061" s="7">
        <f t="shared" si="1"/>
        <v>2025</v>
      </c>
      <c r="T1061" s="7">
        <f t="shared" si="2"/>
        <v>7</v>
      </c>
    </row>
    <row r="1062">
      <c r="A1062" s="4">
        <v>45840.74174681713</v>
      </c>
      <c r="B1062" s="3" t="s">
        <v>2461</v>
      </c>
      <c r="C1062" s="3" t="s">
        <v>2800</v>
      </c>
      <c r="E1062" s="5">
        <v>21537.0</v>
      </c>
      <c r="F1062" s="3">
        <v>1.2994393E7</v>
      </c>
      <c r="G1062" s="3">
        <v>3.515379208E9</v>
      </c>
      <c r="H1062" s="3" t="s">
        <v>21</v>
      </c>
      <c r="I1062" s="3" t="s">
        <v>28</v>
      </c>
      <c r="K1062" s="3" t="s">
        <v>1132</v>
      </c>
      <c r="L1062" s="3" t="s">
        <v>2801</v>
      </c>
      <c r="M1062" s="3" t="s">
        <v>1137</v>
      </c>
      <c r="R1062" s="7" t="str">
        <f>IF(H1062="","",VLOOKUP(H1062,'Hoja 9'!$A$1:$B$255,2,0))</f>
        <v>GOOGLE</v>
      </c>
      <c r="S1062" s="7">
        <f t="shared" si="1"/>
        <v>2025</v>
      </c>
      <c r="T1062" s="7">
        <f t="shared" si="2"/>
        <v>7</v>
      </c>
    </row>
    <row r="1063">
      <c r="A1063" s="4">
        <v>45840.75087172454</v>
      </c>
      <c r="B1063" s="3" t="s">
        <v>2802</v>
      </c>
      <c r="C1063" s="3" t="s">
        <v>2803</v>
      </c>
      <c r="D1063" s="3" t="s">
        <v>2804</v>
      </c>
      <c r="E1063" s="5">
        <v>34670.0</v>
      </c>
      <c r="F1063" s="3">
        <v>3.864451E7</v>
      </c>
      <c r="G1063" s="3">
        <v>3.512103737E9</v>
      </c>
      <c r="H1063" s="3" t="s">
        <v>27</v>
      </c>
      <c r="I1063" s="3" t="s">
        <v>28</v>
      </c>
      <c r="K1063" s="3" t="s">
        <v>1132</v>
      </c>
      <c r="L1063" s="3" t="s">
        <v>1136</v>
      </c>
      <c r="M1063" s="3" t="s">
        <v>1134</v>
      </c>
      <c r="R1063" s="7" t="str">
        <f>IF(H1063="","",VLOOKUP(H1063,'Hoja 9'!$A$1:$B$255,2,0))</f>
        <v>BOCA EN BOCA</v>
      </c>
      <c r="S1063" s="7">
        <f t="shared" si="1"/>
        <v>2025</v>
      </c>
      <c r="T1063" s="7">
        <f t="shared" si="2"/>
        <v>7</v>
      </c>
    </row>
    <row r="1064">
      <c r="A1064" s="4">
        <v>45841.65581571759</v>
      </c>
      <c r="B1064" s="3" t="s">
        <v>2192</v>
      </c>
      <c r="C1064" s="3" t="s">
        <v>2805</v>
      </c>
      <c r="D1064" s="3" t="s">
        <v>2806</v>
      </c>
      <c r="E1064" s="5">
        <v>17443.0</v>
      </c>
      <c r="F1064" s="3">
        <v>5636832.0</v>
      </c>
      <c r="G1064" s="3">
        <v>3.518684692E9</v>
      </c>
      <c r="H1064" s="3" t="s">
        <v>21</v>
      </c>
      <c r="I1064" s="3" t="s">
        <v>28</v>
      </c>
      <c r="K1064" s="3" t="s">
        <v>1145</v>
      </c>
      <c r="R1064" s="7" t="str">
        <f>IF(H1064="","",VLOOKUP(H1064,'Hoja 9'!$A$1:$B$255,2,0))</f>
        <v>GOOGLE</v>
      </c>
      <c r="S1064" s="7">
        <f t="shared" si="1"/>
        <v>2025</v>
      </c>
      <c r="T1064" s="7">
        <f t="shared" si="2"/>
        <v>7</v>
      </c>
    </row>
    <row r="1065">
      <c r="A1065" s="4">
        <v>45841.69984903935</v>
      </c>
      <c r="B1065" s="3" t="s">
        <v>2807</v>
      </c>
      <c r="C1065" s="3" t="s">
        <v>2808</v>
      </c>
      <c r="E1065" s="5">
        <v>20693.0</v>
      </c>
      <c r="F1065" s="3">
        <v>1.2653896E7</v>
      </c>
      <c r="G1065" s="3">
        <v>3.517055178E9</v>
      </c>
      <c r="H1065" s="3" t="s">
        <v>27</v>
      </c>
      <c r="I1065" s="3" t="s">
        <v>28</v>
      </c>
      <c r="K1065" s="3" t="s">
        <v>1145</v>
      </c>
      <c r="R1065" s="7" t="str">
        <f>IF(H1065="","",VLOOKUP(H1065,'Hoja 9'!$A$1:$B$255,2,0))</f>
        <v>BOCA EN BOCA</v>
      </c>
      <c r="S1065" s="7">
        <f t="shared" si="1"/>
        <v>2025</v>
      </c>
      <c r="T1065" s="7">
        <f t="shared" si="2"/>
        <v>7</v>
      </c>
    </row>
    <row r="1066">
      <c r="A1066" s="4">
        <v>45842.472472511574</v>
      </c>
      <c r="B1066" s="3" t="s">
        <v>2809</v>
      </c>
      <c r="C1066" s="3" t="s">
        <v>2810</v>
      </c>
      <c r="D1066" s="3" t="s">
        <v>2811</v>
      </c>
      <c r="E1066" s="5">
        <v>22300.0</v>
      </c>
      <c r="F1066" s="3">
        <v>1.4537887E7</v>
      </c>
      <c r="G1066" s="3">
        <v>3.517645107E9</v>
      </c>
      <c r="H1066" s="3" t="s">
        <v>27</v>
      </c>
      <c r="I1066" s="3" t="s">
        <v>22</v>
      </c>
      <c r="K1066" s="3" t="s">
        <v>1132</v>
      </c>
      <c r="L1066" s="3" t="s">
        <v>1133</v>
      </c>
      <c r="M1066" s="3" t="s">
        <v>1137</v>
      </c>
      <c r="O1066" s="3" t="s">
        <v>23</v>
      </c>
      <c r="R1066" s="7" t="str">
        <f>IF(H1066="","",VLOOKUP(H1066,'Hoja 9'!$A$1:$B$255,2,0))</f>
        <v>BOCA EN BOCA</v>
      </c>
      <c r="S1066" s="7">
        <f t="shared" si="1"/>
        <v>2025</v>
      </c>
      <c r="T1066" s="7">
        <f t="shared" si="2"/>
        <v>7</v>
      </c>
    </row>
    <row r="1067">
      <c r="A1067" s="4">
        <v>45842.749896168985</v>
      </c>
      <c r="B1067" s="3" t="s">
        <v>2812</v>
      </c>
      <c r="C1067" s="3" t="s">
        <v>202</v>
      </c>
      <c r="D1067" s="3" t="s">
        <v>2813</v>
      </c>
      <c r="E1067" s="5">
        <v>22253.0</v>
      </c>
      <c r="F1067" s="3">
        <v>1.4022167E7</v>
      </c>
      <c r="G1067" s="3">
        <v>3.51680956E9</v>
      </c>
      <c r="H1067" s="3" t="s">
        <v>21</v>
      </c>
      <c r="I1067" s="3" t="s">
        <v>28</v>
      </c>
      <c r="K1067" s="3" t="s">
        <v>1145</v>
      </c>
      <c r="R1067" s="7" t="str">
        <f>IF(H1067="","",VLOOKUP(H1067,'Hoja 9'!$A$1:$B$255,2,0))</f>
        <v>GOOGLE</v>
      </c>
      <c r="S1067" s="7">
        <f t="shared" si="1"/>
        <v>2025</v>
      </c>
      <c r="T1067" s="7">
        <f t="shared" si="2"/>
        <v>7</v>
      </c>
    </row>
    <row r="1068">
      <c r="A1068" s="4">
        <v>45842.94597577547</v>
      </c>
      <c r="B1068" s="3" t="s">
        <v>2814</v>
      </c>
      <c r="C1068" s="3" t="s">
        <v>2815</v>
      </c>
      <c r="D1068" s="3" t="s">
        <v>2816</v>
      </c>
      <c r="E1068" s="5">
        <v>46019.0</v>
      </c>
      <c r="F1068" s="3">
        <v>3.1220148E7</v>
      </c>
      <c r="G1068" s="3">
        <v>3.518061792E9</v>
      </c>
      <c r="H1068" s="3" t="s">
        <v>21</v>
      </c>
      <c r="I1068" s="3" t="s">
        <v>28</v>
      </c>
      <c r="K1068" s="3" t="s">
        <v>1145</v>
      </c>
      <c r="R1068" s="7" t="str">
        <f>IF(H1068="","",VLOOKUP(H1068,'Hoja 9'!$A$1:$B$255,2,0))</f>
        <v>GOOGLE</v>
      </c>
      <c r="S1068" s="7">
        <f t="shared" si="1"/>
        <v>2025</v>
      </c>
      <c r="T1068" s="7">
        <f t="shared" si="2"/>
        <v>7</v>
      </c>
    </row>
    <row r="1069">
      <c r="A1069" s="4">
        <v>45845.46785418982</v>
      </c>
      <c r="B1069" s="3" t="s">
        <v>1594</v>
      </c>
      <c r="C1069" s="3" t="s">
        <v>406</v>
      </c>
      <c r="D1069" s="3" t="s">
        <v>2817</v>
      </c>
      <c r="E1069" s="5">
        <v>33072.0</v>
      </c>
      <c r="F1069" s="3">
        <v>3.5260241E7</v>
      </c>
      <c r="G1069" s="3">
        <v>3.543604496E9</v>
      </c>
      <c r="H1069" s="3" t="s">
        <v>27</v>
      </c>
      <c r="I1069" s="3" t="s">
        <v>28</v>
      </c>
      <c r="K1069" s="3" t="s">
        <v>1132</v>
      </c>
      <c r="L1069" s="3" t="s">
        <v>1136</v>
      </c>
      <c r="M1069" s="3" t="s">
        <v>1134</v>
      </c>
      <c r="R1069" s="7" t="str">
        <f>IF(H1069="","",VLOOKUP(H1069,'Hoja 9'!$A$1:$B$255,2,0))</f>
        <v>BOCA EN BOCA</v>
      </c>
      <c r="S1069" s="7">
        <f t="shared" si="1"/>
        <v>2025</v>
      </c>
      <c r="T1069" s="7">
        <f t="shared" si="2"/>
        <v>7</v>
      </c>
    </row>
    <row r="1070">
      <c r="A1070" s="4">
        <v>45845.73539833333</v>
      </c>
      <c r="B1070" s="3" t="s">
        <v>2818</v>
      </c>
      <c r="C1070" s="3" t="s">
        <v>896</v>
      </c>
      <c r="D1070" s="3" t="s">
        <v>2819</v>
      </c>
      <c r="E1070" s="5">
        <v>29669.0</v>
      </c>
      <c r="F1070" s="3">
        <v>2.8654815E7</v>
      </c>
      <c r="G1070" s="3">
        <v>3.512331985E9</v>
      </c>
      <c r="H1070" s="3" t="s">
        <v>27</v>
      </c>
      <c r="I1070" s="3" t="s">
        <v>22</v>
      </c>
      <c r="K1070" s="3" t="s">
        <v>1145</v>
      </c>
      <c r="O1070" s="3" t="s">
        <v>72</v>
      </c>
      <c r="R1070" s="7" t="str">
        <f>IF(H1070="","",VLOOKUP(H1070,'Hoja 9'!$A$1:$B$255,2,0))</f>
        <v>BOCA EN BOCA</v>
      </c>
      <c r="S1070" s="7">
        <f t="shared" si="1"/>
        <v>2025</v>
      </c>
      <c r="T1070" s="7">
        <f t="shared" si="2"/>
        <v>7</v>
      </c>
    </row>
    <row r="1071">
      <c r="A1071" s="4">
        <v>45845.74468137731</v>
      </c>
      <c r="B1071" s="3" t="s">
        <v>2820</v>
      </c>
      <c r="C1071" s="3" t="s">
        <v>1231</v>
      </c>
      <c r="D1071" s="3" t="s">
        <v>2821</v>
      </c>
      <c r="E1071" s="5">
        <v>35037.0</v>
      </c>
      <c r="F1071" s="3">
        <v>3.9421781E7</v>
      </c>
      <c r="G1071" s="3">
        <v>3.518089176E9</v>
      </c>
      <c r="H1071" s="3" t="s">
        <v>2822</v>
      </c>
      <c r="I1071" s="3" t="s">
        <v>28</v>
      </c>
      <c r="K1071" s="3" t="s">
        <v>1132</v>
      </c>
      <c r="L1071" s="3" t="s">
        <v>1136</v>
      </c>
      <c r="M1071" s="3" t="s">
        <v>1137</v>
      </c>
      <c r="R1071" s="7" t="str">
        <f>IF(H1071="","",VLOOKUP(H1071,'Hoja 9'!$A$1:$B$255,2,0))</f>
        <v>GOOGLE</v>
      </c>
      <c r="S1071" s="7">
        <f t="shared" si="1"/>
        <v>2025</v>
      </c>
      <c r="T1071" s="7">
        <f t="shared" si="2"/>
        <v>7</v>
      </c>
    </row>
    <row r="1072">
      <c r="A1072" s="4">
        <v>45845.824670208334</v>
      </c>
      <c r="B1072" s="3" t="s">
        <v>2823</v>
      </c>
      <c r="C1072" s="3" t="s">
        <v>236</v>
      </c>
      <c r="D1072" s="3" t="s">
        <v>2824</v>
      </c>
      <c r="E1072" s="5">
        <v>36330.0</v>
      </c>
      <c r="F1072" s="3">
        <v>4.1963258E7</v>
      </c>
      <c r="G1072" s="3">
        <v>3.512955749E9</v>
      </c>
      <c r="H1072" s="3" t="s">
        <v>44</v>
      </c>
      <c r="I1072" s="3" t="s">
        <v>22</v>
      </c>
      <c r="K1072" s="3" t="s">
        <v>1132</v>
      </c>
      <c r="L1072" s="3" t="s">
        <v>2691</v>
      </c>
      <c r="M1072" s="3" t="s">
        <v>1134</v>
      </c>
      <c r="O1072" s="3" t="s">
        <v>149</v>
      </c>
      <c r="R1072" s="7" t="str">
        <f>IF(H1072="","",VLOOKUP(H1072,'Hoja 9'!$A$1:$B$255,2,0))</f>
        <v>GIMNASIO</v>
      </c>
      <c r="S1072" s="7">
        <f t="shared" si="1"/>
        <v>2025</v>
      </c>
      <c r="T1072" s="7">
        <f t="shared" si="2"/>
        <v>7</v>
      </c>
    </row>
    <row r="1073">
      <c r="A1073" s="4">
        <v>45846.45564738426</v>
      </c>
      <c r="B1073" s="3" t="s">
        <v>2825</v>
      </c>
      <c r="C1073" s="3" t="s">
        <v>449</v>
      </c>
      <c r="D1073" s="3" t="s">
        <v>2826</v>
      </c>
      <c r="E1073" s="5">
        <v>37441.0</v>
      </c>
      <c r="F1073" s="3">
        <v>4.4192782E7</v>
      </c>
      <c r="G1073" s="3">
        <v>3.518072002E9</v>
      </c>
      <c r="H1073" s="3" t="s">
        <v>27</v>
      </c>
      <c r="I1073" s="3" t="s">
        <v>22</v>
      </c>
      <c r="K1073" s="3" t="s">
        <v>1132</v>
      </c>
      <c r="L1073" s="3" t="s">
        <v>1133</v>
      </c>
      <c r="M1073" s="3" t="s">
        <v>1137</v>
      </c>
      <c r="O1073" s="3" t="s">
        <v>673</v>
      </c>
      <c r="R1073" s="7" t="str">
        <f>IF(H1073="","",VLOOKUP(H1073,'Hoja 9'!$A$1:$B$255,2,0))</f>
        <v>BOCA EN BOCA</v>
      </c>
      <c r="S1073" s="7">
        <f t="shared" si="1"/>
        <v>2025</v>
      </c>
      <c r="T1073" s="7">
        <f t="shared" si="2"/>
        <v>7</v>
      </c>
    </row>
    <row r="1074">
      <c r="A1074" s="4">
        <v>45846.72664199074</v>
      </c>
      <c r="B1074" s="3" t="s">
        <v>2827</v>
      </c>
      <c r="C1074" s="3" t="s">
        <v>2828</v>
      </c>
      <c r="E1074" s="5">
        <v>22379.0</v>
      </c>
      <c r="F1074" s="3">
        <v>1.4475885E7</v>
      </c>
      <c r="G1074" s="3">
        <v>3.515904535E9</v>
      </c>
      <c r="H1074" s="3" t="s">
        <v>148</v>
      </c>
      <c r="I1074" s="3" t="s">
        <v>22</v>
      </c>
      <c r="K1074" s="3" t="s">
        <v>1132</v>
      </c>
      <c r="M1074" s="3" t="s">
        <v>1137</v>
      </c>
      <c r="O1074" s="3" t="s">
        <v>23</v>
      </c>
      <c r="R1074" s="7" t="str">
        <f>IF(H1074="","",VLOOKUP(H1074,'Hoja 9'!$A$1:$B$255,2,0))</f>
        <v>OBRA SOCIAL</v>
      </c>
      <c r="S1074" s="7">
        <f t="shared" si="1"/>
        <v>2025</v>
      </c>
      <c r="T1074" s="7">
        <f t="shared" si="2"/>
        <v>7</v>
      </c>
    </row>
    <row r="1075">
      <c r="A1075" s="4">
        <v>45848.580382430555</v>
      </c>
      <c r="B1075" s="3" t="s">
        <v>2829</v>
      </c>
      <c r="C1075" s="3" t="s">
        <v>2256</v>
      </c>
      <c r="D1075" s="3" t="s">
        <v>2830</v>
      </c>
      <c r="E1075" s="5">
        <v>32660.0</v>
      </c>
      <c r="F1075" s="3">
        <v>3.3881303E7</v>
      </c>
      <c r="G1075" s="3">
        <v>3.518043069E9</v>
      </c>
      <c r="H1075" s="3" t="s">
        <v>27</v>
      </c>
      <c r="I1075" s="3" t="s">
        <v>28</v>
      </c>
      <c r="K1075" s="3" t="s">
        <v>1145</v>
      </c>
      <c r="R1075" s="7" t="str">
        <f>IF(H1075="","",VLOOKUP(H1075,'Hoja 9'!$A$1:$B$255,2,0))</f>
        <v>BOCA EN BOCA</v>
      </c>
      <c r="S1075" s="7">
        <f t="shared" si="1"/>
        <v>2025</v>
      </c>
      <c r="T1075" s="7">
        <f t="shared" si="2"/>
        <v>7</v>
      </c>
    </row>
    <row r="1076">
      <c r="A1076" s="4">
        <v>45848.76064045139</v>
      </c>
      <c r="B1076" s="3" t="s">
        <v>1838</v>
      </c>
      <c r="C1076" s="3" t="s">
        <v>1530</v>
      </c>
      <c r="D1076" s="3" t="s">
        <v>2831</v>
      </c>
      <c r="E1076" s="5">
        <v>27995.0</v>
      </c>
      <c r="F1076" s="3">
        <v>2.5246922E7</v>
      </c>
      <c r="G1076" s="3">
        <v>3.515995995E9</v>
      </c>
      <c r="H1076" s="3" t="s">
        <v>21</v>
      </c>
      <c r="I1076" s="3" t="s">
        <v>28</v>
      </c>
      <c r="K1076" s="3" t="s">
        <v>1132</v>
      </c>
      <c r="L1076" s="3" t="s">
        <v>1768</v>
      </c>
      <c r="M1076" s="3" t="s">
        <v>1134</v>
      </c>
      <c r="R1076" s="7" t="str">
        <f>IF(H1076="","",VLOOKUP(H1076,'Hoja 9'!$A$1:$B$255,2,0))</f>
        <v>GOOGLE</v>
      </c>
      <c r="S1076" s="7">
        <f t="shared" si="1"/>
        <v>2025</v>
      </c>
      <c r="T1076" s="7">
        <f t="shared" si="2"/>
        <v>7</v>
      </c>
    </row>
    <row r="1077">
      <c r="A1077" s="4">
        <v>45849.72503922453</v>
      </c>
      <c r="B1077" s="3" t="s">
        <v>1272</v>
      </c>
      <c r="C1077" s="3" t="s">
        <v>2832</v>
      </c>
      <c r="D1077" s="3" t="s">
        <v>2833</v>
      </c>
      <c r="E1077" s="5">
        <v>25864.0</v>
      </c>
      <c r="F1077" s="3">
        <v>2.1901133E7</v>
      </c>
      <c r="G1077" s="3">
        <v>3.515641264E9</v>
      </c>
      <c r="H1077" s="3" t="s">
        <v>21</v>
      </c>
      <c r="I1077" s="3" t="s">
        <v>22</v>
      </c>
      <c r="K1077" s="3" t="s">
        <v>1132</v>
      </c>
      <c r="L1077" s="3" t="s">
        <v>1136</v>
      </c>
      <c r="M1077" s="3" t="s">
        <v>1137</v>
      </c>
      <c r="O1077" s="3" t="s">
        <v>23</v>
      </c>
      <c r="R1077" s="7" t="str">
        <f>IF(H1077="","",VLOOKUP(H1077,'Hoja 9'!$A$1:$B$255,2,0))</f>
        <v>GOOGLE</v>
      </c>
      <c r="S1077" s="7">
        <f t="shared" si="1"/>
        <v>2025</v>
      </c>
      <c r="T1077" s="7">
        <f t="shared" si="2"/>
        <v>7</v>
      </c>
    </row>
    <row r="1078">
      <c r="A1078" s="4">
        <v>45852.43264918981</v>
      </c>
      <c r="B1078" s="3" t="s">
        <v>2834</v>
      </c>
      <c r="C1078" s="3" t="s">
        <v>2835</v>
      </c>
      <c r="D1078" s="3" t="s">
        <v>2836</v>
      </c>
      <c r="E1078" s="5">
        <v>40466.0</v>
      </c>
      <c r="F1078" s="3">
        <v>5.0936127E7</v>
      </c>
      <c r="G1078" s="3">
        <v>3.516978553E9</v>
      </c>
      <c r="H1078" s="3" t="s">
        <v>21</v>
      </c>
      <c r="I1078" s="3" t="s">
        <v>28</v>
      </c>
      <c r="K1078" s="3" t="s">
        <v>1132</v>
      </c>
      <c r="L1078" s="3" t="s">
        <v>2837</v>
      </c>
      <c r="M1078" s="3" t="s">
        <v>1134</v>
      </c>
      <c r="R1078" s="7" t="str">
        <f>IF(H1078="","",VLOOKUP(H1078,'Hoja 9'!$A$1:$B$255,2,0))</f>
        <v>GOOGLE</v>
      </c>
      <c r="S1078" s="7">
        <f t="shared" si="1"/>
        <v>2025</v>
      </c>
      <c r="T1078" s="7">
        <f t="shared" si="2"/>
        <v>7</v>
      </c>
    </row>
    <row r="1079">
      <c r="A1079" s="4">
        <v>45852.45075591435</v>
      </c>
      <c r="B1079" s="3" t="s">
        <v>2838</v>
      </c>
      <c r="C1079" s="3" t="s">
        <v>1124</v>
      </c>
      <c r="D1079" s="3" t="s">
        <v>2839</v>
      </c>
      <c r="E1079" s="5">
        <v>33916.0</v>
      </c>
      <c r="F1079" s="3">
        <v>3.6621337E7</v>
      </c>
      <c r="G1079" s="3">
        <v>3.518014372E9</v>
      </c>
      <c r="H1079" s="3" t="s">
        <v>635</v>
      </c>
      <c r="I1079" s="3" t="s">
        <v>28</v>
      </c>
      <c r="K1079" s="3" t="s">
        <v>1145</v>
      </c>
      <c r="R1079" s="7" t="str">
        <f>IF(H1079="","",VLOOKUP(H1079,'Hoja 9'!$A$1:$B$255,2,0))</f>
        <v>GOOGLE</v>
      </c>
      <c r="S1079" s="7">
        <f t="shared" si="1"/>
        <v>2025</v>
      </c>
      <c r="T1079" s="7">
        <f t="shared" si="2"/>
        <v>7</v>
      </c>
    </row>
    <row r="1080">
      <c r="A1080" s="4">
        <v>45852.72017509259</v>
      </c>
      <c r="B1080" s="3" t="s">
        <v>2179</v>
      </c>
      <c r="C1080" s="3" t="s">
        <v>2840</v>
      </c>
      <c r="D1080" s="3" t="s">
        <v>2841</v>
      </c>
      <c r="E1080" s="5">
        <v>21606.0</v>
      </c>
      <c r="F1080" s="8">
        <v>1.2994536E7</v>
      </c>
      <c r="G1080" s="3">
        <v>3.513020827E9</v>
      </c>
      <c r="H1080" s="3" t="s">
        <v>27</v>
      </c>
      <c r="I1080" s="3" t="s">
        <v>28</v>
      </c>
      <c r="K1080" s="3" t="s">
        <v>1145</v>
      </c>
      <c r="R1080" s="7" t="str">
        <f>IF(H1080="","",VLOOKUP(H1080,'Hoja 9'!$A$1:$B$255,2,0))</f>
        <v>BOCA EN BOCA</v>
      </c>
      <c r="S1080" s="7">
        <f t="shared" si="1"/>
        <v>2025</v>
      </c>
      <c r="T1080" s="7">
        <f t="shared" si="2"/>
        <v>7</v>
      </c>
    </row>
    <row r="1081">
      <c r="A1081" s="4">
        <v>45853.5500428125</v>
      </c>
      <c r="B1081" s="3" t="s">
        <v>621</v>
      </c>
      <c r="C1081" s="3" t="s">
        <v>2842</v>
      </c>
      <c r="D1081" s="3" t="s">
        <v>2843</v>
      </c>
      <c r="E1081" s="5">
        <v>34579.0</v>
      </c>
      <c r="F1081" s="3">
        <v>3.8410499E7</v>
      </c>
      <c r="G1081" s="3">
        <v>3.51659357E9</v>
      </c>
      <c r="H1081" s="3" t="s">
        <v>148</v>
      </c>
      <c r="I1081" s="3" t="s">
        <v>22</v>
      </c>
      <c r="K1081" s="3" t="s">
        <v>1145</v>
      </c>
      <c r="O1081" s="3" t="s">
        <v>149</v>
      </c>
      <c r="R1081" s="7" t="str">
        <f>IF(H1081="","",VLOOKUP(H1081,'Hoja 9'!$A$1:$B$255,2,0))</f>
        <v>OBRA SOCIAL</v>
      </c>
      <c r="S1081" s="7">
        <f t="shared" si="1"/>
        <v>2025</v>
      </c>
      <c r="T1081" s="7">
        <f t="shared" si="2"/>
        <v>7</v>
      </c>
    </row>
    <row r="1082">
      <c r="A1082" s="4">
        <v>45853.79485600695</v>
      </c>
      <c r="B1082" s="3" t="s">
        <v>2844</v>
      </c>
      <c r="C1082" s="3" t="s">
        <v>321</v>
      </c>
      <c r="D1082" s="3" t="s">
        <v>2845</v>
      </c>
      <c r="E1082" s="5">
        <v>33761.0</v>
      </c>
      <c r="F1082" s="3">
        <v>3.6354585E7</v>
      </c>
      <c r="G1082" s="3">
        <v>3.512003727E9</v>
      </c>
      <c r="H1082" s="3" t="s">
        <v>27</v>
      </c>
      <c r="I1082" s="3" t="s">
        <v>28</v>
      </c>
      <c r="K1082" s="3" t="s">
        <v>1132</v>
      </c>
      <c r="L1082" s="3" t="s">
        <v>2846</v>
      </c>
      <c r="M1082" s="3" t="s">
        <v>1213</v>
      </c>
      <c r="R1082" s="7" t="str">
        <f>IF(H1082="","",VLOOKUP(H1082,'Hoja 9'!$A$1:$B$255,2,0))</f>
        <v>BOCA EN BOCA</v>
      </c>
      <c r="S1082" s="7">
        <f t="shared" si="1"/>
        <v>2025</v>
      </c>
      <c r="T1082" s="7">
        <f t="shared" si="2"/>
        <v>7</v>
      </c>
    </row>
    <row r="1083">
      <c r="A1083" s="4">
        <v>45853.81098894676</v>
      </c>
      <c r="B1083" s="3" t="s">
        <v>2847</v>
      </c>
      <c r="C1083" s="3" t="s">
        <v>2848</v>
      </c>
      <c r="D1083" s="3" t="s">
        <v>2849</v>
      </c>
      <c r="E1083" s="5" t="s">
        <v>2850</v>
      </c>
      <c r="F1083" s="3">
        <v>1.8555778E7</v>
      </c>
      <c r="G1083" s="3">
        <v>3.513621455E9</v>
      </c>
      <c r="H1083" s="3" t="s">
        <v>27</v>
      </c>
      <c r="I1083" s="3" t="s">
        <v>22</v>
      </c>
      <c r="K1083" s="3" t="s">
        <v>1132</v>
      </c>
      <c r="L1083" s="3" t="s">
        <v>1404</v>
      </c>
      <c r="M1083" s="3" t="s">
        <v>1137</v>
      </c>
      <c r="O1083" s="3" t="s">
        <v>23</v>
      </c>
      <c r="R1083" s="7" t="str">
        <f>IF(H1083="","",VLOOKUP(H1083,'Hoja 9'!$A$1:$B$255,2,0))</f>
        <v>BOCA EN BOCA</v>
      </c>
      <c r="S1083" s="7">
        <f t="shared" si="1"/>
        <v>2025</v>
      </c>
      <c r="T1083" s="7">
        <f t="shared" si="2"/>
        <v>7</v>
      </c>
    </row>
    <row r="1084">
      <c r="A1084" s="4">
        <v>45853.90240276621</v>
      </c>
      <c r="B1084" s="3" t="s">
        <v>2851</v>
      </c>
      <c r="C1084" s="3" t="s">
        <v>727</v>
      </c>
      <c r="D1084" s="3" t="s">
        <v>2852</v>
      </c>
      <c r="E1084" s="5">
        <v>37005.0</v>
      </c>
      <c r="F1084" s="3">
        <v>4.3215499E7</v>
      </c>
      <c r="G1084" s="3">
        <v>3.512026168E9</v>
      </c>
      <c r="H1084" s="3" t="s">
        <v>44</v>
      </c>
      <c r="I1084" s="3" t="s">
        <v>28</v>
      </c>
      <c r="K1084" s="3" t="s">
        <v>1132</v>
      </c>
      <c r="L1084" s="3" t="s">
        <v>1133</v>
      </c>
      <c r="M1084" s="3" t="s">
        <v>1134</v>
      </c>
      <c r="R1084" s="7" t="str">
        <f>IF(H1084="","",VLOOKUP(H1084,'Hoja 9'!$A$1:$B$255,2,0))</f>
        <v>GIMNASIO</v>
      </c>
      <c r="S1084" s="7">
        <f t="shared" si="1"/>
        <v>2025</v>
      </c>
      <c r="T1084" s="7">
        <f t="shared" si="2"/>
        <v>7</v>
      </c>
    </row>
    <row r="1085">
      <c r="A1085" s="4">
        <v>45854.482120960645</v>
      </c>
      <c r="B1085" s="3" t="s">
        <v>2853</v>
      </c>
      <c r="C1085" s="3" t="s">
        <v>2854</v>
      </c>
      <c r="D1085" s="3" t="s">
        <v>2855</v>
      </c>
      <c r="E1085" s="5">
        <v>33095.0</v>
      </c>
      <c r="F1085" s="3">
        <v>3.5360179E7</v>
      </c>
      <c r="G1085" s="3">
        <v>3.517558813E9</v>
      </c>
      <c r="H1085" s="3" t="s">
        <v>27</v>
      </c>
      <c r="I1085" s="3" t="s">
        <v>28</v>
      </c>
      <c r="K1085" s="3" t="s">
        <v>1145</v>
      </c>
      <c r="R1085" s="7" t="str">
        <f>IF(H1085="","",VLOOKUP(H1085,'Hoja 9'!$A$1:$B$255,2,0))</f>
        <v>BOCA EN BOCA</v>
      </c>
      <c r="S1085" s="7">
        <f t="shared" si="1"/>
        <v>2025</v>
      </c>
      <c r="T1085" s="7">
        <f t="shared" si="2"/>
        <v>7</v>
      </c>
    </row>
    <row r="1086">
      <c r="A1086" s="4">
        <v>45854.53714858796</v>
      </c>
      <c r="B1086" s="3" t="s">
        <v>2856</v>
      </c>
      <c r="C1086" s="3" t="s">
        <v>2857</v>
      </c>
      <c r="D1086" s="3" t="s">
        <v>2858</v>
      </c>
      <c r="E1086" s="5">
        <v>31797.0</v>
      </c>
      <c r="F1086" s="3">
        <v>3.2682667E7</v>
      </c>
      <c r="G1086" s="3">
        <v>3.516888999E9</v>
      </c>
      <c r="H1086" s="3" t="s">
        <v>244</v>
      </c>
      <c r="I1086" s="3" t="s">
        <v>22</v>
      </c>
      <c r="K1086" s="3" t="s">
        <v>1132</v>
      </c>
      <c r="L1086" s="3" t="s">
        <v>1136</v>
      </c>
      <c r="M1086" s="3" t="s">
        <v>1137</v>
      </c>
      <c r="O1086" s="3" t="s">
        <v>23</v>
      </c>
      <c r="R1086" s="7" t="str">
        <f>IF(H1086="","",VLOOKUP(H1086,'Hoja 9'!$A$1:$B$255,2,0))</f>
        <v>META</v>
      </c>
      <c r="S1086" s="7">
        <f t="shared" si="1"/>
        <v>2025</v>
      </c>
      <c r="T1086" s="7">
        <f t="shared" si="2"/>
        <v>7</v>
      </c>
    </row>
    <row r="1087">
      <c r="A1087" s="4">
        <v>45854.66721313658</v>
      </c>
      <c r="B1087" s="3" t="s">
        <v>2859</v>
      </c>
      <c r="C1087" s="3" t="s">
        <v>521</v>
      </c>
      <c r="D1087" s="3" t="s">
        <v>2860</v>
      </c>
      <c r="E1087" s="5">
        <v>36726.0</v>
      </c>
      <c r="F1087" s="3">
        <v>5.0331205E7</v>
      </c>
      <c r="G1087" s="3">
        <v>3.516884309E9</v>
      </c>
      <c r="H1087" s="3" t="s">
        <v>27</v>
      </c>
      <c r="I1087" s="3" t="s">
        <v>28</v>
      </c>
      <c r="K1087" s="3" t="s">
        <v>1132</v>
      </c>
      <c r="L1087" s="3" t="s">
        <v>1332</v>
      </c>
      <c r="M1087" s="3" t="s">
        <v>1134</v>
      </c>
      <c r="R1087" s="7" t="str">
        <f>IF(H1087="","",VLOOKUP(H1087,'Hoja 9'!$A$1:$B$255,2,0))</f>
        <v>BOCA EN BOCA</v>
      </c>
      <c r="S1087" s="7">
        <f t="shared" si="1"/>
        <v>2025</v>
      </c>
      <c r="T1087" s="7">
        <f t="shared" si="2"/>
        <v>7</v>
      </c>
    </row>
    <row r="1088">
      <c r="A1088" s="4">
        <v>45854.72464729167</v>
      </c>
      <c r="B1088" s="3" t="s">
        <v>2861</v>
      </c>
      <c r="C1088" s="3" t="s">
        <v>500</v>
      </c>
      <c r="D1088" s="3" t="s">
        <v>2862</v>
      </c>
      <c r="E1088" s="5">
        <v>45724.0</v>
      </c>
      <c r="F1088" s="3">
        <v>4.3271033E7</v>
      </c>
      <c r="G1088" s="3">
        <v>3.516433132E9</v>
      </c>
      <c r="H1088" s="3" t="s">
        <v>27</v>
      </c>
      <c r="I1088" s="3" t="s">
        <v>22</v>
      </c>
      <c r="K1088" s="3" t="s">
        <v>1132</v>
      </c>
      <c r="L1088" s="3" t="s">
        <v>1140</v>
      </c>
      <c r="M1088" s="3" t="s">
        <v>1137</v>
      </c>
      <c r="O1088" s="3" t="s">
        <v>2863</v>
      </c>
      <c r="R1088" s="7" t="str">
        <f>IF(H1088="","",VLOOKUP(H1088,'Hoja 9'!$A$1:$B$255,2,0))</f>
        <v>BOCA EN BOCA</v>
      </c>
      <c r="S1088" s="7">
        <f t="shared" si="1"/>
        <v>2025</v>
      </c>
      <c r="T1088" s="7">
        <f t="shared" si="2"/>
        <v>7</v>
      </c>
    </row>
    <row r="1089">
      <c r="A1089" s="4">
        <v>45854.742014375</v>
      </c>
      <c r="B1089" s="3" t="s">
        <v>1130</v>
      </c>
      <c r="C1089" s="3" t="s">
        <v>2214</v>
      </c>
      <c r="E1089" s="5">
        <v>36992.0</v>
      </c>
      <c r="F1089" s="3">
        <v>4.336961E7</v>
      </c>
      <c r="G1089" s="3">
        <v>3.512543464E9</v>
      </c>
      <c r="H1089" s="3" t="s">
        <v>27</v>
      </c>
      <c r="I1089" s="3" t="s">
        <v>28</v>
      </c>
      <c r="K1089" s="3" t="s">
        <v>1132</v>
      </c>
      <c r="L1089" s="3" t="s">
        <v>1140</v>
      </c>
      <c r="M1089" s="3" t="s">
        <v>1134</v>
      </c>
      <c r="R1089" s="7" t="str">
        <f>IF(H1089="","",VLOOKUP(H1089,'Hoja 9'!$A$1:$B$255,2,0))</f>
        <v>BOCA EN BOCA</v>
      </c>
      <c r="S1089" s="7">
        <f t="shared" si="1"/>
        <v>2025</v>
      </c>
      <c r="T1089" s="7">
        <f t="shared" si="2"/>
        <v>7</v>
      </c>
    </row>
    <row r="1090">
      <c r="A1090" s="4">
        <v>45854.74663819444</v>
      </c>
      <c r="B1090" s="3" t="s">
        <v>2864</v>
      </c>
      <c r="C1090" s="3" t="s">
        <v>2865</v>
      </c>
      <c r="E1090" s="5">
        <v>33761.0</v>
      </c>
      <c r="F1090" s="3">
        <v>3.6354585E7</v>
      </c>
      <c r="G1090" s="3">
        <v>3.512003727E9</v>
      </c>
      <c r="H1090" s="3" t="s">
        <v>44</v>
      </c>
      <c r="I1090" s="3" t="s">
        <v>28</v>
      </c>
      <c r="K1090" s="3" t="s">
        <v>1132</v>
      </c>
      <c r="L1090" s="3" t="s">
        <v>1300</v>
      </c>
      <c r="M1090" s="3" t="s">
        <v>1134</v>
      </c>
      <c r="R1090" s="7" t="str">
        <f>IF(H1090="","",VLOOKUP(H1090,'Hoja 9'!$A$1:$B$255,2,0))</f>
        <v>GIMNASIO</v>
      </c>
      <c r="S1090" s="7">
        <f t="shared" si="1"/>
        <v>2025</v>
      </c>
      <c r="T1090" s="7">
        <f t="shared" si="2"/>
        <v>7</v>
      </c>
    </row>
    <row r="1091">
      <c r="A1091" s="4">
        <v>45855.58263131944</v>
      </c>
      <c r="B1091" s="3" t="s">
        <v>2866</v>
      </c>
      <c r="C1091" s="3" t="s">
        <v>513</v>
      </c>
      <c r="D1091" s="3" t="s">
        <v>2867</v>
      </c>
      <c r="E1091" s="5">
        <v>28127.0</v>
      </c>
      <c r="F1091" s="3">
        <v>2.571711E7</v>
      </c>
      <c r="G1091" s="3">
        <v>3.513461244E9</v>
      </c>
      <c r="H1091" s="3" t="s">
        <v>21</v>
      </c>
      <c r="I1091" s="3" t="s">
        <v>22</v>
      </c>
      <c r="K1091" s="3" t="s">
        <v>1145</v>
      </c>
      <c r="O1091" s="3" t="s">
        <v>359</v>
      </c>
      <c r="R1091" s="7" t="str">
        <f>IF(H1091="","",VLOOKUP(H1091,'Hoja 9'!$A$1:$B$255,2,0))</f>
        <v>GOOGLE</v>
      </c>
      <c r="S1091" s="7">
        <f t="shared" si="1"/>
        <v>2025</v>
      </c>
      <c r="T1091" s="7">
        <f t="shared" si="2"/>
        <v>7</v>
      </c>
    </row>
    <row r="1092">
      <c r="A1092" s="4">
        <v>45855.664358634254</v>
      </c>
      <c r="B1092" s="3" t="s">
        <v>1036</v>
      </c>
      <c r="C1092" s="3" t="s">
        <v>710</v>
      </c>
      <c r="E1092" s="5">
        <v>40053.0</v>
      </c>
      <c r="F1092" s="3">
        <v>4.9497991E7</v>
      </c>
      <c r="G1092" s="3">
        <v>3.512434092E9</v>
      </c>
      <c r="H1092" s="3" t="s">
        <v>27</v>
      </c>
      <c r="I1092" s="3" t="s">
        <v>28</v>
      </c>
      <c r="K1092" s="3" t="s">
        <v>1132</v>
      </c>
      <c r="L1092" s="3" t="s">
        <v>1136</v>
      </c>
      <c r="M1092" s="3" t="s">
        <v>1134</v>
      </c>
      <c r="R1092" s="7" t="str">
        <f>IF(H1092="","",VLOOKUP(H1092,'Hoja 9'!$A$1:$B$255,2,0))</f>
        <v>BOCA EN BOCA</v>
      </c>
      <c r="S1092" s="7">
        <f t="shared" si="1"/>
        <v>2025</v>
      </c>
      <c r="T1092" s="7">
        <f t="shared" si="2"/>
        <v>7</v>
      </c>
    </row>
    <row r="1093">
      <c r="A1093" s="4">
        <v>45855.78050486111</v>
      </c>
      <c r="B1093" s="3" t="s">
        <v>2868</v>
      </c>
      <c r="C1093" s="3" t="s">
        <v>2869</v>
      </c>
      <c r="E1093" s="5">
        <v>28127.0</v>
      </c>
      <c r="F1093" s="3">
        <v>2.571711E7</v>
      </c>
      <c r="G1093" s="3">
        <v>3.513461244E9</v>
      </c>
      <c r="H1093" s="3" t="s">
        <v>27</v>
      </c>
      <c r="I1093" s="3" t="s">
        <v>22</v>
      </c>
      <c r="K1093" s="3" t="s">
        <v>1132</v>
      </c>
      <c r="L1093" s="3" t="s">
        <v>1300</v>
      </c>
      <c r="M1093" s="3" t="s">
        <v>1134</v>
      </c>
      <c r="O1093" s="3" t="s">
        <v>439</v>
      </c>
      <c r="R1093" s="7" t="str">
        <f>IF(H1093="","",VLOOKUP(H1093,'Hoja 9'!$A$1:$B$255,2,0))</f>
        <v>BOCA EN BOCA</v>
      </c>
      <c r="S1093" s="7">
        <f t="shared" si="1"/>
        <v>2025</v>
      </c>
      <c r="T1093" s="7">
        <f t="shared" si="2"/>
        <v>7</v>
      </c>
    </row>
    <row r="1094">
      <c r="A1094" s="4">
        <v>45856.412070439816</v>
      </c>
      <c r="B1094" s="3" t="s">
        <v>35</v>
      </c>
      <c r="C1094" s="3" t="s">
        <v>46</v>
      </c>
      <c r="D1094" s="3" t="s">
        <v>2870</v>
      </c>
      <c r="E1094" s="5">
        <v>31010.0</v>
      </c>
      <c r="F1094" s="3">
        <v>3.1219942E7</v>
      </c>
      <c r="G1094" s="3">
        <v>3.512043501E9</v>
      </c>
      <c r="H1094" s="3" t="s">
        <v>244</v>
      </c>
      <c r="I1094" s="3" t="s">
        <v>22</v>
      </c>
      <c r="K1094" s="3" t="s">
        <v>1145</v>
      </c>
      <c r="O1094" s="3" t="s">
        <v>149</v>
      </c>
      <c r="R1094" s="7" t="str">
        <f>IF(H1094="","",VLOOKUP(H1094,'Hoja 9'!$A$1:$B$255,2,0))</f>
        <v>META</v>
      </c>
      <c r="S1094" s="7">
        <f t="shared" si="1"/>
        <v>2025</v>
      </c>
      <c r="T1094" s="7">
        <f t="shared" si="2"/>
        <v>7</v>
      </c>
    </row>
    <row r="1095">
      <c r="A1095" s="4">
        <v>45859.756783854165</v>
      </c>
      <c r="B1095" s="3" t="s">
        <v>2871</v>
      </c>
      <c r="C1095" s="3" t="s">
        <v>2872</v>
      </c>
      <c r="D1095" s="3" t="s">
        <v>2873</v>
      </c>
      <c r="E1095" s="5">
        <v>31037.0</v>
      </c>
      <c r="F1095" s="3">
        <v>3.1248064E7</v>
      </c>
      <c r="G1095" s="3">
        <v>3.571561064E9</v>
      </c>
      <c r="H1095" s="3" t="s">
        <v>244</v>
      </c>
      <c r="I1095" s="3" t="s">
        <v>22</v>
      </c>
      <c r="K1095" s="3" t="s">
        <v>1132</v>
      </c>
      <c r="L1095" s="3" t="s">
        <v>1401</v>
      </c>
      <c r="M1095" s="3" t="s">
        <v>1137</v>
      </c>
      <c r="O1095" s="3" t="s">
        <v>149</v>
      </c>
      <c r="R1095" s="7" t="str">
        <f>IF(H1095="","",VLOOKUP(H1095,'Hoja 9'!$A$1:$B$255,2,0))</f>
        <v>META</v>
      </c>
      <c r="S1095" s="7">
        <f t="shared" si="1"/>
        <v>2025</v>
      </c>
      <c r="T1095" s="7">
        <f t="shared" si="2"/>
        <v>7</v>
      </c>
    </row>
    <row r="1096">
      <c r="A1096" s="4">
        <v>45859.77779296297</v>
      </c>
      <c r="B1096" s="3" t="s">
        <v>1073</v>
      </c>
      <c r="C1096" s="3" t="s">
        <v>469</v>
      </c>
      <c r="E1096" s="5">
        <v>31173.0</v>
      </c>
      <c r="F1096" s="3">
        <v>3.4694478E7</v>
      </c>
      <c r="G1096" s="3">
        <v>3.543415153E9</v>
      </c>
      <c r="H1096" s="3" t="s">
        <v>339</v>
      </c>
      <c r="I1096" s="3" t="s">
        <v>28</v>
      </c>
      <c r="K1096" s="3" t="s">
        <v>1145</v>
      </c>
      <c r="R1096" s="7" t="str">
        <f>IF(H1096="","",VLOOKUP(H1096,'Hoja 9'!$A$1:$B$255,2,0))</f>
        <v>META</v>
      </c>
      <c r="S1096" s="7">
        <f t="shared" si="1"/>
        <v>2025</v>
      </c>
      <c r="T1096" s="7">
        <f t="shared" si="2"/>
        <v>7</v>
      </c>
    </row>
    <row r="1097">
      <c r="A1097" s="4">
        <v>45860.48285612269</v>
      </c>
      <c r="B1097" s="3" t="s">
        <v>2271</v>
      </c>
      <c r="C1097" s="3" t="s">
        <v>2874</v>
      </c>
      <c r="D1097" s="3" t="s">
        <v>2875</v>
      </c>
      <c r="E1097" s="5">
        <v>27998.0</v>
      </c>
      <c r="F1097" s="3">
        <v>2.545731E7</v>
      </c>
      <c r="G1097" s="3">
        <v>3.513934702E9</v>
      </c>
      <c r="H1097" s="3" t="s">
        <v>44</v>
      </c>
      <c r="I1097" s="3" t="s">
        <v>28</v>
      </c>
      <c r="K1097" s="3" t="s">
        <v>1132</v>
      </c>
      <c r="L1097" s="3" t="s">
        <v>1133</v>
      </c>
      <c r="M1097" s="3" t="s">
        <v>1137</v>
      </c>
      <c r="R1097" s="7" t="str">
        <f>IF(H1097="","",VLOOKUP(H1097,'Hoja 9'!$A$1:$B$255,2,0))</f>
        <v>GIMNASIO</v>
      </c>
      <c r="S1097" s="7">
        <f t="shared" si="1"/>
        <v>2025</v>
      </c>
      <c r="T1097" s="7">
        <f t="shared" si="2"/>
        <v>7</v>
      </c>
    </row>
    <row r="1098">
      <c r="A1098" s="4">
        <v>45860.66487420139</v>
      </c>
      <c r="B1098" s="3" t="s">
        <v>2876</v>
      </c>
      <c r="C1098" s="3" t="s">
        <v>175</v>
      </c>
      <c r="D1098" s="3" t="s">
        <v>2877</v>
      </c>
      <c r="E1098" s="5">
        <v>45846.0</v>
      </c>
      <c r="F1098" s="3">
        <v>1.7384023E7</v>
      </c>
      <c r="G1098" s="3">
        <v>3.513840039E9</v>
      </c>
      <c r="H1098" s="3" t="s">
        <v>2878</v>
      </c>
      <c r="I1098" s="3" t="s">
        <v>22</v>
      </c>
      <c r="L1098" s="3" t="s">
        <v>2879</v>
      </c>
      <c r="M1098" s="3" t="s">
        <v>1134</v>
      </c>
      <c r="O1098" s="3" t="s">
        <v>287</v>
      </c>
      <c r="R1098" s="7" t="str">
        <f>IF(H1098="","",VLOOKUP(H1098,'Hoja 9'!$A$1:$B$255,2,0))</f>
        <v>BOCA EN BOCA</v>
      </c>
      <c r="S1098" s="7">
        <f t="shared" si="1"/>
        <v>2025</v>
      </c>
      <c r="T1098" s="7">
        <f t="shared" si="2"/>
        <v>7</v>
      </c>
    </row>
    <row r="1099">
      <c r="A1099" s="4">
        <v>45860.79663482639</v>
      </c>
      <c r="B1099" s="3" t="s">
        <v>2880</v>
      </c>
      <c r="C1099" s="3" t="s">
        <v>1606</v>
      </c>
      <c r="E1099" s="5">
        <v>24106.0</v>
      </c>
      <c r="F1099" s="3">
        <v>1.7627422E7</v>
      </c>
      <c r="G1099" s="3">
        <v>3.51240092E9</v>
      </c>
      <c r="H1099" s="3" t="s">
        <v>27</v>
      </c>
      <c r="I1099" s="3" t="s">
        <v>28</v>
      </c>
      <c r="K1099" s="3" t="s">
        <v>1132</v>
      </c>
      <c r="L1099" s="3" t="s">
        <v>1332</v>
      </c>
      <c r="M1099" s="3" t="s">
        <v>1134</v>
      </c>
      <c r="R1099" s="7" t="str">
        <f>IF(H1099="","",VLOOKUP(H1099,'Hoja 9'!$A$1:$B$255,2,0))</f>
        <v>BOCA EN BOCA</v>
      </c>
      <c r="S1099" s="7">
        <f t="shared" si="1"/>
        <v>2025</v>
      </c>
      <c r="T1099" s="7">
        <f t="shared" si="2"/>
        <v>7</v>
      </c>
    </row>
    <row r="1100">
      <c r="A1100" s="4">
        <v>45860.804377395834</v>
      </c>
      <c r="B1100" s="3" t="s">
        <v>2881</v>
      </c>
      <c r="C1100" s="3" t="s">
        <v>2882</v>
      </c>
      <c r="D1100" s="3" t="s">
        <v>2883</v>
      </c>
      <c r="E1100" s="5">
        <v>29176.0</v>
      </c>
      <c r="F1100" s="3">
        <v>2.7656189E7</v>
      </c>
      <c r="G1100" s="3">
        <v>3.5163218E9</v>
      </c>
      <c r="H1100" s="3" t="s">
        <v>21</v>
      </c>
      <c r="I1100" s="3" t="s">
        <v>28</v>
      </c>
      <c r="K1100" s="3" t="s">
        <v>1132</v>
      </c>
      <c r="L1100" s="3" t="s">
        <v>1136</v>
      </c>
      <c r="M1100" s="3" t="s">
        <v>1137</v>
      </c>
      <c r="R1100" s="7" t="str">
        <f>IF(H1100="","",VLOOKUP(H1100,'Hoja 9'!$A$1:$B$255,2,0))</f>
        <v>GOOGLE</v>
      </c>
      <c r="S1100" s="7">
        <f t="shared" si="1"/>
        <v>2025</v>
      </c>
      <c r="T1100" s="7">
        <f t="shared" si="2"/>
        <v>7</v>
      </c>
    </row>
    <row r="1101">
      <c r="A1101" s="4">
        <v>45861.50443271991</v>
      </c>
      <c r="B1101" s="3" t="s">
        <v>2884</v>
      </c>
      <c r="C1101" s="3" t="s">
        <v>212</v>
      </c>
      <c r="E1101" s="5">
        <v>38460.0</v>
      </c>
      <c r="F1101" s="3">
        <v>4.6222431E7</v>
      </c>
      <c r="G1101" s="3">
        <v>3.517057308E9</v>
      </c>
      <c r="H1101" s="3" t="s">
        <v>27</v>
      </c>
      <c r="I1101" s="3" t="s">
        <v>28</v>
      </c>
      <c r="K1101" s="3" t="s">
        <v>1132</v>
      </c>
      <c r="L1101" s="3" t="s">
        <v>1133</v>
      </c>
      <c r="M1101" s="3" t="s">
        <v>1137</v>
      </c>
      <c r="R1101" s="7" t="str">
        <f>IF(H1101="","",VLOOKUP(H1101,'Hoja 9'!$A$1:$B$255,2,0))</f>
        <v>BOCA EN BOCA</v>
      </c>
      <c r="S1101" s="7">
        <f t="shared" si="1"/>
        <v>2025</v>
      </c>
      <c r="T1101" s="7">
        <f t="shared" si="2"/>
        <v>7</v>
      </c>
    </row>
    <row r="1102">
      <c r="A1102" s="4">
        <v>45861.509317881944</v>
      </c>
      <c r="B1102" s="3" t="s">
        <v>2885</v>
      </c>
      <c r="C1102" s="3" t="s">
        <v>2886</v>
      </c>
      <c r="E1102" s="5">
        <v>18989.0</v>
      </c>
      <c r="F1102" s="3">
        <v>1.0204252E7</v>
      </c>
      <c r="G1102" s="3">
        <v>3.512521684E9</v>
      </c>
      <c r="H1102" s="3" t="s">
        <v>21</v>
      </c>
      <c r="I1102" s="3" t="s">
        <v>28</v>
      </c>
      <c r="K1102" s="3" t="s">
        <v>1132</v>
      </c>
      <c r="L1102" s="3" t="s">
        <v>2887</v>
      </c>
      <c r="M1102" s="3" t="s">
        <v>1134</v>
      </c>
      <c r="R1102" s="7" t="str">
        <f>IF(H1102="","",VLOOKUP(H1102,'Hoja 9'!$A$1:$B$255,2,0))</f>
        <v>GOOGLE</v>
      </c>
      <c r="S1102" s="7">
        <f t="shared" si="1"/>
        <v>2025</v>
      </c>
      <c r="T1102" s="7">
        <f t="shared" si="2"/>
        <v>7</v>
      </c>
    </row>
    <row r="1103">
      <c r="A1103" s="4">
        <v>45861.80217946759</v>
      </c>
      <c r="B1103" s="3" t="s">
        <v>2888</v>
      </c>
      <c r="C1103" s="3" t="s">
        <v>2889</v>
      </c>
      <c r="D1103" s="3" t="s">
        <v>2890</v>
      </c>
      <c r="E1103" s="5">
        <v>34360.0</v>
      </c>
      <c r="F1103" s="3">
        <v>3.8002106E7</v>
      </c>
      <c r="G1103" s="3">
        <v>3.517645188E9</v>
      </c>
      <c r="H1103" s="3" t="s">
        <v>27</v>
      </c>
      <c r="I1103" s="3" t="s">
        <v>28</v>
      </c>
      <c r="K1103" s="3" t="s">
        <v>1132</v>
      </c>
      <c r="L1103" s="3" t="s">
        <v>1136</v>
      </c>
      <c r="M1103" s="3" t="s">
        <v>1137</v>
      </c>
      <c r="R1103" s="7" t="str">
        <f>IF(H1103="","",VLOOKUP(H1103,'Hoja 9'!$A$1:$B$255,2,0))</f>
        <v>BOCA EN BOCA</v>
      </c>
      <c r="S1103" s="7">
        <f t="shared" si="1"/>
        <v>2025</v>
      </c>
      <c r="T1103" s="7">
        <f t="shared" si="2"/>
        <v>7</v>
      </c>
    </row>
    <row r="1104">
      <c r="A1104" s="4">
        <v>45861.830342326386</v>
      </c>
      <c r="B1104" s="3" t="s">
        <v>2891</v>
      </c>
      <c r="C1104" s="3" t="s">
        <v>2892</v>
      </c>
      <c r="D1104" s="3" t="s">
        <v>1487</v>
      </c>
      <c r="E1104" s="5">
        <v>42229.0</v>
      </c>
      <c r="F1104" s="3">
        <v>5.3735763E7</v>
      </c>
      <c r="G1104" s="3">
        <v>3.512378483E9</v>
      </c>
      <c r="H1104" s="3" t="s">
        <v>27</v>
      </c>
      <c r="I1104" s="3" t="s">
        <v>22</v>
      </c>
      <c r="K1104" s="3" t="s">
        <v>1132</v>
      </c>
      <c r="L1104" s="3" t="s">
        <v>1136</v>
      </c>
      <c r="M1104" s="3" t="s">
        <v>1134</v>
      </c>
      <c r="O1104" s="3" t="s">
        <v>72</v>
      </c>
      <c r="R1104" s="7" t="str">
        <f>IF(H1104="","",VLOOKUP(H1104,'Hoja 9'!$A$1:$B$255,2,0))</f>
        <v>BOCA EN BOCA</v>
      </c>
      <c r="S1104" s="7">
        <f t="shared" si="1"/>
        <v>2025</v>
      </c>
      <c r="T1104" s="7">
        <f t="shared" si="2"/>
        <v>7</v>
      </c>
    </row>
    <row r="1105">
      <c r="A1105" s="4">
        <v>45862.59126239583</v>
      </c>
      <c r="B1105" s="3" t="s">
        <v>2893</v>
      </c>
      <c r="C1105" s="3" t="s">
        <v>2894</v>
      </c>
      <c r="D1105" s="3" t="s">
        <v>2895</v>
      </c>
      <c r="E1105" s="5">
        <v>29361.0</v>
      </c>
      <c r="F1105" s="3">
        <v>2.8041783E7</v>
      </c>
      <c r="G1105" s="3">
        <v>3.515110589E9</v>
      </c>
      <c r="H1105" s="3" t="s">
        <v>27</v>
      </c>
      <c r="I1105" s="3" t="s">
        <v>28</v>
      </c>
      <c r="K1105" s="3" t="s">
        <v>1132</v>
      </c>
      <c r="L1105" s="3" t="s">
        <v>1133</v>
      </c>
      <c r="M1105" s="3" t="s">
        <v>1137</v>
      </c>
      <c r="R1105" s="7" t="str">
        <f>IF(H1105="","",VLOOKUP(H1105,'Hoja 9'!$A$1:$B$255,2,0))</f>
        <v>BOCA EN BOCA</v>
      </c>
      <c r="S1105" s="7">
        <f t="shared" si="1"/>
        <v>2025</v>
      </c>
      <c r="T1105" s="7">
        <f t="shared" si="2"/>
        <v>7</v>
      </c>
    </row>
    <row r="1106">
      <c r="A1106" s="4">
        <v>45862.72927196759</v>
      </c>
      <c r="B1106" s="3" t="s">
        <v>2896</v>
      </c>
      <c r="C1106" s="3" t="s">
        <v>495</v>
      </c>
      <c r="D1106" s="3" t="s">
        <v>2897</v>
      </c>
      <c r="E1106" s="5" t="s">
        <v>2898</v>
      </c>
      <c r="F1106" s="3">
        <v>1.4154508E7</v>
      </c>
      <c r="G1106" s="3">
        <v>3.513135683E9</v>
      </c>
      <c r="H1106" s="3" t="s">
        <v>27</v>
      </c>
      <c r="I1106" s="3" t="s">
        <v>22</v>
      </c>
      <c r="K1106" s="3" t="s">
        <v>1132</v>
      </c>
      <c r="L1106" s="3" t="s">
        <v>1422</v>
      </c>
      <c r="M1106" s="3" t="s">
        <v>1137</v>
      </c>
      <c r="O1106" s="3" t="s">
        <v>2899</v>
      </c>
      <c r="R1106" s="7" t="str">
        <f>IF(H1106="","",VLOOKUP(H1106,'Hoja 9'!$A$1:$B$255,2,0))</f>
        <v>BOCA EN BOCA</v>
      </c>
      <c r="S1106" s="7">
        <f t="shared" si="1"/>
        <v>2025</v>
      </c>
      <c r="T1106" s="7">
        <f t="shared" si="2"/>
        <v>7</v>
      </c>
    </row>
    <row r="1107">
      <c r="A1107" s="4">
        <v>45862.733105046296</v>
      </c>
      <c r="B1107" s="3" t="s">
        <v>2900</v>
      </c>
      <c r="C1107" s="3" t="s">
        <v>947</v>
      </c>
      <c r="D1107" s="3" t="s">
        <v>2901</v>
      </c>
      <c r="E1107" s="5">
        <v>20348.0</v>
      </c>
      <c r="F1107" s="3">
        <v>1.1974933E7</v>
      </c>
      <c r="G1107" s="3">
        <v>3.515451065E9</v>
      </c>
      <c r="H1107" s="3" t="s">
        <v>27</v>
      </c>
      <c r="I1107" s="3" t="s">
        <v>22</v>
      </c>
      <c r="K1107" s="3" t="s">
        <v>1145</v>
      </c>
      <c r="O1107" s="3" t="s">
        <v>23</v>
      </c>
      <c r="R1107" s="7" t="str">
        <f>IF(H1107="","",VLOOKUP(H1107,'Hoja 9'!$A$1:$B$255,2,0))</f>
        <v>BOCA EN BOCA</v>
      </c>
      <c r="S1107" s="7">
        <f t="shared" si="1"/>
        <v>2025</v>
      </c>
      <c r="T1107" s="7">
        <f t="shared" si="2"/>
        <v>7</v>
      </c>
    </row>
    <row r="1108">
      <c r="A1108" s="4">
        <v>45862.78234542824</v>
      </c>
      <c r="B1108" s="3" t="s">
        <v>1921</v>
      </c>
      <c r="C1108" s="3" t="s">
        <v>2902</v>
      </c>
      <c r="D1108" s="3" t="s">
        <v>2903</v>
      </c>
      <c r="E1108" s="5">
        <v>30801.0</v>
      </c>
      <c r="F1108" s="3">
        <v>3.055215E7</v>
      </c>
      <c r="G1108" s="3">
        <v>3.512390336E9</v>
      </c>
      <c r="H1108" s="3" t="s">
        <v>27</v>
      </c>
      <c r="I1108" s="3" t="s">
        <v>28</v>
      </c>
      <c r="K1108" s="3" t="s">
        <v>1132</v>
      </c>
      <c r="L1108" s="3" t="s">
        <v>1404</v>
      </c>
      <c r="M1108" s="3" t="s">
        <v>1134</v>
      </c>
      <c r="R1108" s="7" t="str">
        <f>IF(H1108="","",VLOOKUP(H1108,'Hoja 9'!$A$1:$B$255,2,0))</f>
        <v>BOCA EN BOCA</v>
      </c>
      <c r="S1108" s="7">
        <f t="shared" si="1"/>
        <v>2025</v>
      </c>
      <c r="T1108" s="7">
        <f t="shared" si="2"/>
        <v>7</v>
      </c>
    </row>
    <row r="1109">
      <c r="A1109" s="4">
        <v>45863.74732599537</v>
      </c>
      <c r="B1109" s="3" t="s">
        <v>2904</v>
      </c>
      <c r="C1109" s="3" t="s">
        <v>2905</v>
      </c>
      <c r="D1109" s="3" t="s">
        <v>2906</v>
      </c>
      <c r="E1109" s="5">
        <v>24390.0</v>
      </c>
      <c r="F1109" s="3">
        <v>1.7822869E7</v>
      </c>
      <c r="G1109" s="3">
        <v>3.515123931E9</v>
      </c>
      <c r="H1109" s="3" t="s">
        <v>27</v>
      </c>
      <c r="I1109" s="3" t="s">
        <v>22</v>
      </c>
      <c r="K1109" s="3" t="s">
        <v>1145</v>
      </c>
      <c r="O1109" s="3" t="s">
        <v>23</v>
      </c>
      <c r="R1109" s="7" t="str">
        <f>IF(H1109="","",VLOOKUP(H1109,'Hoja 9'!$A$1:$B$255,2,0))</f>
        <v>BOCA EN BOCA</v>
      </c>
      <c r="S1109" s="7">
        <f t="shared" si="1"/>
        <v>2025</v>
      </c>
      <c r="T1109" s="7">
        <f t="shared" si="2"/>
        <v>7</v>
      </c>
    </row>
    <row r="1110">
      <c r="A1110" s="4">
        <v>45863.751982037036</v>
      </c>
      <c r="B1110" s="3" t="s">
        <v>2907</v>
      </c>
      <c r="C1110" s="3" t="s">
        <v>2908</v>
      </c>
      <c r="E1110" s="5">
        <v>45857.0</v>
      </c>
      <c r="F1110" s="3">
        <v>3.4767741E7</v>
      </c>
      <c r="G1110" s="3">
        <v>3.517615305E9</v>
      </c>
      <c r="H1110" s="3" t="s">
        <v>27</v>
      </c>
      <c r="I1110" s="3" t="s">
        <v>28</v>
      </c>
      <c r="K1110" s="3" t="s">
        <v>1132</v>
      </c>
      <c r="L1110" s="3" t="s">
        <v>1136</v>
      </c>
      <c r="M1110" s="3" t="s">
        <v>1137</v>
      </c>
      <c r="R1110" s="7" t="str">
        <f>IF(H1110="","",VLOOKUP(H1110,'Hoja 9'!$A$1:$B$255,2,0))</f>
        <v>BOCA EN BOCA</v>
      </c>
      <c r="S1110" s="7">
        <f t="shared" si="1"/>
        <v>2025</v>
      </c>
      <c r="T1110" s="7">
        <f t="shared" si="2"/>
        <v>7</v>
      </c>
    </row>
    <row r="1111">
      <c r="A1111" s="4">
        <v>45866.718181435186</v>
      </c>
      <c r="B1111" s="3" t="s">
        <v>2909</v>
      </c>
      <c r="C1111" s="3" t="s">
        <v>2910</v>
      </c>
      <c r="D1111" s="3" t="s">
        <v>2911</v>
      </c>
      <c r="E1111" s="5">
        <v>30988.0</v>
      </c>
      <c r="F1111" s="3">
        <v>3.1218229E7</v>
      </c>
      <c r="G1111" s="3">
        <v>3.516275885E9</v>
      </c>
      <c r="H1111" s="3" t="s">
        <v>27</v>
      </c>
      <c r="I1111" s="3" t="s">
        <v>22</v>
      </c>
      <c r="K1111" s="3" t="s">
        <v>1132</v>
      </c>
      <c r="L1111" s="3" t="s">
        <v>1133</v>
      </c>
      <c r="M1111" s="3" t="s">
        <v>1213</v>
      </c>
      <c r="O1111" s="3" t="s">
        <v>2912</v>
      </c>
      <c r="R1111" s="7" t="str">
        <f>IF(H1111="","",VLOOKUP(H1111,'Hoja 9'!$A$1:$B$255,2,0))</f>
        <v>BOCA EN BOCA</v>
      </c>
      <c r="S1111" s="7">
        <f t="shared" si="1"/>
        <v>2025</v>
      </c>
      <c r="T1111" s="7">
        <f t="shared" si="2"/>
        <v>7</v>
      </c>
    </row>
    <row r="1112">
      <c r="A1112" s="4">
        <v>45866.78815350695</v>
      </c>
      <c r="B1112" s="3" t="s">
        <v>2913</v>
      </c>
      <c r="C1112" s="3" t="s">
        <v>78</v>
      </c>
      <c r="D1112" s="3" t="s">
        <v>2914</v>
      </c>
      <c r="E1112" s="5">
        <v>32927.0</v>
      </c>
      <c r="F1112" s="3">
        <v>3.4380348E7</v>
      </c>
      <c r="G1112" s="3">
        <v>3.51702346E9</v>
      </c>
      <c r="H1112" s="3" t="s">
        <v>44</v>
      </c>
      <c r="I1112" s="3" t="s">
        <v>22</v>
      </c>
      <c r="K1112" s="3" t="s">
        <v>1132</v>
      </c>
      <c r="L1112" s="3" t="s">
        <v>1133</v>
      </c>
      <c r="M1112" s="3" t="s">
        <v>1213</v>
      </c>
      <c r="O1112" s="3" t="s">
        <v>23</v>
      </c>
      <c r="R1112" s="7" t="str">
        <f>IF(H1112="","",VLOOKUP(H1112,'Hoja 9'!$A$1:$B$255,2,0))</f>
        <v>GIMNASIO</v>
      </c>
      <c r="S1112" s="7">
        <f t="shared" si="1"/>
        <v>2025</v>
      </c>
      <c r="T1112" s="7">
        <f t="shared" si="2"/>
        <v>7</v>
      </c>
    </row>
    <row r="1113">
      <c r="A1113" s="4">
        <v>45866.78891563657</v>
      </c>
      <c r="B1113" s="3" t="s">
        <v>2915</v>
      </c>
      <c r="C1113" s="3" t="s">
        <v>2916</v>
      </c>
      <c r="E1113" s="5">
        <v>18866.0</v>
      </c>
      <c r="F1113" s="3">
        <v>1.0048434E7</v>
      </c>
      <c r="G1113" s="3">
        <v>3.516518474E9</v>
      </c>
      <c r="H1113" s="3" t="s">
        <v>27</v>
      </c>
      <c r="I1113" s="3" t="s">
        <v>28</v>
      </c>
      <c r="K1113" s="3" t="s">
        <v>1132</v>
      </c>
      <c r="L1113" s="3" t="s">
        <v>1136</v>
      </c>
      <c r="M1113" s="3" t="s">
        <v>1137</v>
      </c>
      <c r="R1113" s="7" t="str">
        <f>IF(H1113="","",VLOOKUP(H1113,'Hoja 9'!$A$1:$B$255,2,0))</f>
        <v>BOCA EN BOCA</v>
      </c>
      <c r="S1113" s="7">
        <f t="shared" si="1"/>
        <v>2025</v>
      </c>
      <c r="T1113" s="7">
        <f t="shared" si="2"/>
        <v>7</v>
      </c>
    </row>
    <row r="1114">
      <c r="A1114" s="4">
        <v>45866.80248180556</v>
      </c>
      <c r="B1114" s="3" t="s">
        <v>2917</v>
      </c>
      <c r="C1114" s="3" t="s">
        <v>2115</v>
      </c>
      <c r="E1114" s="5">
        <v>40294.0</v>
      </c>
      <c r="F1114" s="3">
        <v>5.0328304E7</v>
      </c>
      <c r="G1114" s="3">
        <v>3.513485501E9</v>
      </c>
      <c r="H1114" s="3" t="s">
        <v>44</v>
      </c>
      <c r="I1114" s="3" t="s">
        <v>28</v>
      </c>
      <c r="K1114" s="3" t="s">
        <v>1132</v>
      </c>
      <c r="L1114" s="3" t="s">
        <v>2918</v>
      </c>
      <c r="M1114" s="3" t="s">
        <v>1134</v>
      </c>
      <c r="R1114" s="7" t="str">
        <f>IF(H1114="","",VLOOKUP(H1114,'Hoja 9'!$A$1:$B$255,2,0))</f>
        <v>GIMNASIO</v>
      </c>
      <c r="S1114" s="7">
        <f t="shared" si="1"/>
        <v>2025</v>
      </c>
      <c r="T1114" s="7">
        <f t="shared" si="2"/>
        <v>7</v>
      </c>
    </row>
    <row r="1115">
      <c r="A1115" s="4">
        <v>45867.793416053246</v>
      </c>
      <c r="B1115" s="3" t="s">
        <v>2919</v>
      </c>
      <c r="C1115" s="3" t="s">
        <v>2920</v>
      </c>
      <c r="D1115" s="3" t="s">
        <v>2921</v>
      </c>
      <c r="E1115" s="5">
        <v>41225.0</v>
      </c>
      <c r="F1115" s="3">
        <v>5.2806562E7</v>
      </c>
      <c r="G1115" s="3">
        <v>3.515554505E9</v>
      </c>
      <c r="H1115" s="3" t="s">
        <v>21</v>
      </c>
      <c r="I1115" s="3" t="s">
        <v>22</v>
      </c>
      <c r="K1115" s="3" t="s">
        <v>1132</v>
      </c>
      <c r="L1115" s="3" t="s">
        <v>1136</v>
      </c>
      <c r="M1115" s="3" t="s">
        <v>1134</v>
      </c>
      <c r="O1115" s="3" t="s">
        <v>72</v>
      </c>
      <c r="R1115" s="7" t="str">
        <f>IF(H1115="","",VLOOKUP(H1115,'Hoja 9'!$A$1:$B$255,2,0))</f>
        <v>GOOGLE</v>
      </c>
      <c r="S1115" s="7">
        <f t="shared" si="1"/>
        <v>2025</v>
      </c>
      <c r="T1115" s="7">
        <f t="shared" si="2"/>
        <v>7</v>
      </c>
    </row>
    <row r="1116">
      <c r="A1116" s="4">
        <v>45867.79347766204</v>
      </c>
      <c r="B1116" s="3" t="s">
        <v>1949</v>
      </c>
      <c r="C1116" s="3" t="s">
        <v>1950</v>
      </c>
      <c r="E1116" s="5">
        <v>35899.0</v>
      </c>
      <c r="F1116" s="3">
        <v>4.1115028E7</v>
      </c>
      <c r="G1116" s="3">
        <v>3.513434424E9</v>
      </c>
      <c r="H1116" s="3" t="s">
        <v>44</v>
      </c>
      <c r="I1116" s="3" t="s">
        <v>28</v>
      </c>
      <c r="K1116" s="3" t="s">
        <v>1132</v>
      </c>
      <c r="L1116" s="3" t="s">
        <v>1136</v>
      </c>
      <c r="M1116" s="3" t="s">
        <v>1134</v>
      </c>
      <c r="R1116" s="7" t="str">
        <f>IF(H1116="","",VLOOKUP(H1116,'Hoja 9'!$A$1:$B$255,2,0))</f>
        <v>GIMNASIO</v>
      </c>
      <c r="S1116" s="7">
        <f t="shared" si="1"/>
        <v>2025</v>
      </c>
      <c r="T1116" s="7">
        <f t="shared" si="2"/>
        <v>7</v>
      </c>
    </row>
    <row r="1117">
      <c r="A1117" s="4">
        <v>45868.37228037037</v>
      </c>
      <c r="B1117" s="3" t="s">
        <v>2922</v>
      </c>
      <c r="C1117" s="3" t="s">
        <v>681</v>
      </c>
      <c r="D1117" s="3" t="s">
        <v>2923</v>
      </c>
      <c r="E1117" s="5">
        <v>28997.0</v>
      </c>
      <c r="F1117" s="3">
        <v>2.7316683E7</v>
      </c>
      <c r="G1117" s="3">
        <v>3.516806868E9</v>
      </c>
      <c r="H1117" s="3" t="s">
        <v>244</v>
      </c>
      <c r="I1117" s="3" t="s">
        <v>28</v>
      </c>
      <c r="K1117" s="3" t="s">
        <v>1132</v>
      </c>
      <c r="L1117" s="3" t="s">
        <v>1404</v>
      </c>
      <c r="M1117" s="3" t="s">
        <v>1134</v>
      </c>
      <c r="R1117" s="7" t="str">
        <f>IF(H1117="","",VLOOKUP(H1117,'Hoja 9'!$A$1:$B$255,2,0))</f>
        <v>META</v>
      </c>
      <c r="S1117" s="7">
        <f t="shared" si="1"/>
        <v>2025</v>
      </c>
      <c r="T1117" s="7">
        <f t="shared" si="2"/>
        <v>7</v>
      </c>
    </row>
    <row r="1118">
      <c r="A1118" s="4">
        <v>45868.49437586806</v>
      </c>
      <c r="B1118" s="3" t="s">
        <v>177</v>
      </c>
      <c r="C1118" s="3" t="s">
        <v>2924</v>
      </c>
      <c r="D1118" s="3" t="s">
        <v>2925</v>
      </c>
      <c r="E1118" s="5">
        <v>26279.0</v>
      </c>
      <c r="F1118" s="3">
        <v>2.1941124E7</v>
      </c>
      <c r="G1118" s="3">
        <v>3.515528039E9</v>
      </c>
      <c r="H1118" s="3" t="s">
        <v>244</v>
      </c>
      <c r="I1118" s="3" t="s">
        <v>22</v>
      </c>
      <c r="K1118" s="3" t="s">
        <v>1145</v>
      </c>
      <c r="O1118" s="3" t="s">
        <v>23</v>
      </c>
      <c r="R1118" s="7" t="str">
        <f>IF(H1118="","",VLOOKUP(H1118,'Hoja 9'!$A$1:$B$255,2,0))</f>
        <v>META</v>
      </c>
      <c r="S1118" s="7">
        <f t="shared" si="1"/>
        <v>2025</v>
      </c>
      <c r="T1118" s="7">
        <f t="shared" si="2"/>
        <v>7</v>
      </c>
    </row>
    <row r="1119">
      <c r="A1119" s="4">
        <v>45868.49785489583</v>
      </c>
      <c r="B1119" s="3" t="s">
        <v>2926</v>
      </c>
      <c r="C1119" s="3" t="s">
        <v>1642</v>
      </c>
      <c r="D1119" s="3" t="s">
        <v>2927</v>
      </c>
      <c r="E1119" s="5">
        <v>29826.0</v>
      </c>
      <c r="F1119" s="3">
        <v>2.9029689E7</v>
      </c>
      <c r="G1119" s="3">
        <v>3.517132653E9</v>
      </c>
      <c r="H1119" s="3" t="s">
        <v>148</v>
      </c>
      <c r="I1119" s="3" t="s">
        <v>22</v>
      </c>
      <c r="K1119" s="3" t="s">
        <v>1132</v>
      </c>
      <c r="L1119" s="3" t="s">
        <v>1133</v>
      </c>
      <c r="M1119" s="3" t="s">
        <v>1134</v>
      </c>
      <c r="O1119" s="3" t="s">
        <v>149</v>
      </c>
      <c r="R1119" s="7" t="str">
        <f>IF(H1119="","",VLOOKUP(H1119,'Hoja 9'!$A$1:$B$255,2,0))</f>
        <v>OBRA SOCIAL</v>
      </c>
      <c r="S1119" s="7">
        <f t="shared" si="1"/>
        <v>2025</v>
      </c>
      <c r="T1119" s="7">
        <f t="shared" si="2"/>
        <v>7</v>
      </c>
    </row>
    <row r="1120">
      <c r="A1120" s="4">
        <v>45868.66347167824</v>
      </c>
      <c r="B1120" s="3" t="s">
        <v>2928</v>
      </c>
      <c r="C1120" s="3" t="s">
        <v>2929</v>
      </c>
      <c r="D1120" s="3" t="s">
        <v>2930</v>
      </c>
      <c r="E1120" s="5" t="s">
        <v>2931</v>
      </c>
      <c r="F1120" s="3">
        <v>2.8851649E7</v>
      </c>
      <c r="G1120" s="3">
        <v>3.516330031E9</v>
      </c>
      <c r="H1120" s="3" t="s">
        <v>27</v>
      </c>
      <c r="I1120" s="3" t="s">
        <v>28</v>
      </c>
      <c r="K1120" s="3" t="s">
        <v>1132</v>
      </c>
      <c r="L1120" s="3" t="s">
        <v>1133</v>
      </c>
      <c r="M1120" s="3" t="s">
        <v>1134</v>
      </c>
      <c r="R1120" s="7" t="str">
        <f>IF(H1120="","",VLOOKUP(H1120,'Hoja 9'!$A$1:$B$255,2,0))</f>
        <v>BOCA EN BOCA</v>
      </c>
      <c r="S1120" s="7">
        <f t="shared" si="1"/>
        <v>2025</v>
      </c>
      <c r="T1120" s="7">
        <f t="shared" si="2"/>
        <v>7</v>
      </c>
    </row>
    <row r="1121">
      <c r="A1121" s="4">
        <v>45868.73536229167</v>
      </c>
      <c r="B1121" s="3" t="s">
        <v>2932</v>
      </c>
      <c r="C1121" s="3" t="s">
        <v>78</v>
      </c>
      <c r="D1121" s="3" t="s">
        <v>2933</v>
      </c>
      <c r="E1121" s="5">
        <v>32766.0</v>
      </c>
      <c r="F1121" s="3">
        <v>3.4686243E7</v>
      </c>
      <c r="G1121" s="3">
        <v>3.53258866E9</v>
      </c>
      <c r="H1121" s="3" t="s">
        <v>44</v>
      </c>
      <c r="I1121" s="3" t="s">
        <v>22</v>
      </c>
      <c r="K1121" s="3" t="s">
        <v>1132</v>
      </c>
      <c r="L1121" s="3" t="s">
        <v>1133</v>
      </c>
      <c r="M1121" s="3" t="s">
        <v>1134</v>
      </c>
      <c r="O1121" s="3" t="s">
        <v>149</v>
      </c>
      <c r="R1121" s="7" t="str">
        <f>IF(H1121="","",VLOOKUP(H1121,'Hoja 9'!$A$1:$B$255,2,0))</f>
        <v>GIMNASIO</v>
      </c>
      <c r="S1121" s="7">
        <f t="shared" si="1"/>
        <v>2025</v>
      </c>
      <c r="T1121" s="7">
        <f t="shared" si="2"/>
        <v>7</v>
      </c>
    </row>
    <row r="1122">
      <c r="A1122" s="4">
        <v>45868.758032928235</v>
      </c>
      <c r="B1122" s="3" t="s">
        <v>2934</v>
      </c>
      <c r="C1122" s="3" t="s">
        <v>1250</v>
      </c>
      <c r="D1122" s="3" t="s">
        <v>2935</v>
      </c>
      <c r="E1122" s="5">
        <v>33659.0</v>
      </c>
      <c r="F1122" s="3">
        <v>3.622773E7</v>
      </c>
      <c r="G1122" s="3">
        <v>3.516256793E9</v>
      </c>
      <c r="H1122" s="3" t="s">
        <v>21</v>
      </c>
      <c r="I1122" s="3" t="s">
        <v>22</v>
      </c>
      <c r="K1122" s="3" t="s">
        <v>1132</v>
      </c>
      <c r="L1122" s="3" t="s">
        <v>1133</v>
      </c>
      <c r="M1122" s="3" t="s">
        <v>1134</v>
      </c>
      <c r="O1122" s="3" t="s">
        <v>359</v>
      </c>
      <c r="R1122" s="7" t="str">
        <f>IF(H1122="","",VLOOKUP(H1122,'Hoja 9'!$A$1:$B$255,2,0))</f>
        <v>GOOGLE</v>
      </c>
      <c r="S1122" s="7">
        <f t="shared" si="1"/>
        <v>2025</v>
      </c>
      <c r="T1122" s="7">
        <f t="shared" si="2"/>
        <v>7</v>
      </c>
    </row>
    <row r="1123">
      <c r="A1123" s="4">
        <v>45868.767490115744</v>
      </c>
      <c r="B1123" s="3" t="s">
        <v>2936</v>
      </c>
      <c r="C1123" s="3" t="s">
        <v>844</v>
      </c>
      <c r="D1123" s="3" t="s">
        <v>2937</v>
      </c>
      <c r="E1123" s="5">
        <v>36341.0</v>
      </c>
      <c r="F1123" s="3">
        <v>4.1962895E7</v>
      </c>
      <c r="G1123" s="3">
        <v>3.512324773E9</v>
      </c>
      <c r="H1123" s="3" t="s">
        <v>21</v>
      </c>
      <c r="I1123" s="3" t="s">
        <v>22</v>
      </c>
      <c r="K1123" s="3" t="s">
        <v>1132</v>
      </c>
      <c r="L1123" s="3" t="s">
        <v>1133</v>
      </c>
      <c r="M1123" s="3" t="s">
        <v>1134</v>
      </c>
      <c r="O1123" s="3" t="s">
        <v>928</v>
      </c>
      <c r="R1123" s="7" t="str">
        <f>IF(H1123="","",VLOOKUP(H1123,'Hoja 9'!$A$1:$B$255,2,0))</f>
        <v>GOOGLE</v>
      </c>
      <c r="S1123" s="7">
        <f t="shared" si="1"/>
        <v>2025</v>
      </c>
      <c r="T1123" s="7">
        <f t="shared" si="2"/>
        <v>7</v>
      </c>
    </row>
    <row r="1124">
      <c r="A1124" s="4">
        <v>45869.47738087963</v>
      </c>
      <c r="B1124" s="3" t="s">
        <v>1298</v>
      </c>
      <c r="C1124" s="3" t="s">
        <v>180</v>
      </c>
      <c r="D1124" s="3" t="s">
        <v>2938</v>
      </c>
      <c r="E1124" s="5">
        <v>33974.0</v>
      </c>
      <c r="F1124" s="3">
        <v>3.7135043E7</v>
      </c>
      <c r="G1124" s="3">
        <v>3.512418607E9</v>
      </c>
      <c r="H1124" s="3" t="s">
        <v>27</v>
      </c>
      <c r="I1124" s="3" t="s">
        <v>22</v>
      </c>
      <c r="K1124" s="3" t="s">
        <v>1132</v>
      </c>
      <c r="L1124" s="3" t="s">
        <v>2507</v>
      </c>
      <c r="M1124" s="3" t="s">
        <v>1134</v>
      </c>
      <c r="O1124" s="3" t="s">
        <v>149</v>
      </c>
      <c r="R1124" s="7" t="str">
        <f>IF(H1124="","",VLOOKUP(H1124,'Hoja 9'!$A$1:$B$255,2,0))</f>
        <v>BOCA EN BOCA</v>
      </c>
      <c r="S1124" s="7">
        <f t="shared" si="1"/>
        <v>2025</v>
      </c>
      <c r="T1124" s="7">
        <f t="shared" si="2"/>
        <v>7</v>
      </c>
    </row>
    <row r="1125">
      <c r="A1125" s="4">
        <v>45869.73988153935</v>
      </c>
      <c r="B1125" s="3" t="s">
        <v>1298</v>
      </c>
      <c r="C1125" s="3" t="s">
        <v>2252</v>
      </c>
      <c r="E1125" s="5">
        <v>33365.0</v>
      </c>
      <c r="F1125" s="3">
        <v>3.5580097E7</v>
      </c>
      <c r="G1125" s="3">
        <v>3.515102898E9</v>
      </c>
      <c r="H1125" s="3" t="s">
        <v>27</v>
      </c>
      <c r="I1125" s="3" t="s">
        <v>28</v>
      </c>
      <c r="K1125" s="3" t="s">
        <v>1132</v>
      </c>
      <c r="L1125" s="3" t="s">
        <v>1133</v>
      </c>
      <c r="M1125" s="3" t="s">
        <v>1134</v>
      </c>
      <c r="R1125" s="7" t="str">
        <f>IF(H1125="","",VLOOKUP(H1125,'Hoja 9'!$A$1:$B$255,2,0))</f>
        <v>BOCA EN BOCA</v>
      </c>
      <c r="S1125" s="7">
        <f t="shared" si="1"/>
        <v>2025</v>
      </c>
      <c r="T1125" s="7">
        <f t="shared" si="2"/>
        <v>7</v>
      </c>
    </row>
    <row r="1126">
      <c r="A1126" s="4">
        <v>45870.72890803241</v>
      </c>
      <c r="B1126" s="3" t="s">
        <v>2939</v>
      </c>
      <c r="C1126" s="3" t="s">
        <v>692</v>
      </c>
      <c r="E1126" s="5">
        <v>29319.0</v>
      </c>
      <c r="F1126" s="3">
        <v>2.7959578E7</v>
      </c>
      <c r="G1126" s="3">
        <v>3.512368541E9</v>
      </c>
      <c r="H1126" s="3" t="s">
        <v>244</v>
      </c>
      <c r="I1126" s="3" t="s">
        <v>28</v>
      </c>
      <c r="K1126" s="3" t="s">
        <v>1132</v>
      </c>
      <c r="L1126" s="3" t="s">
        <v>2940</v>
      </c>
      <c r="M1126" s="3" t="s">
        <v>1134</v>
      </c>
      <c r="R1126" s="7" t="str">
        <f>IF(H1126="","",VLOOKUP(H1126,'Hoja 9'!$A$1:$B$255,2,0))</f>
        <v>META</v>
      </c>
      <c r="S1126" s="7">
        <f t="shared" si="1"/>
        <v>2025</v>
      </c>
      <c r="T1126" s="7">
        <f t="shared" si="2"/>
        <v>8</v>
      </c>
    </row>
    <row r="1127">
      <c r="A1127" s="4">
        <v>45870.79488166666</v>
      </c>
      <c r="B1127" s="3" t="s">
        <v>2941</v>
      </c>
      <c r="C1127" s="3" t="s">
        <v>2942</v>
      </c>
      <c r="E1127" s="5">
        <v>20616.0</v>
      </c>
      <c r="F1127" s="3">
        <v>1.2564936E7</v>
      </c>
      <c r="G1127" s="3">
        <v>3.517046599E9</v>
      </c>
      <c r="H1127" s="3" t="s">
        <v>44</v>
      </c>
      <c r="I1127" s="3" t="s">
        <v>22</v>
      </c>
      <c r="K1127" s="3" t="s">
        <v>1145</v>
      </c>
      <c r="O1127" s="3" t="s">
        <v>1765</v>
      </c>
      <c r="R1127" s="7" t="str">
        <f>IF(H1127="","",VLOOKUP(H1127,'Hoja 9'!$A$1:$B$255,2,0))</f>
        <v>GIMNASIO</v>
      </c>
      <c r="S1127" s="7">
        <f t="shared" si="1"/>
        <v>2025</v>
      </c>
      <c r="T1127" s="7">
        <f t="shared" si="2"/>
        <v>8</v>
      </c>
    </row>
    <row r="1128">
      <c r="A1128" s="4">
        <v>45873.67645021991</v>
      </c>
      <c r="B1128" s="3" t="s">
        <v>1333</v>
      </c>
      <c r="C1128" s="3" t="s">
        <v>2943</v>
      </c>
      <c r="D1128" s="3" t="s">
        <v>2944</v>
      </c>
      <c r="E1128" s="5">
        <v>28418.0</v>
      </c>
      <c r="F1128" s="3">
        <v>2.6151729E7</v>
      </c>
      <c r="G1128" s="3">
        <v>3.51217256E9</v>
      </c>
      <c r="H1128" s="3" t="s">
        <v>148</v>
      </c>
      <c r="I1128" s="3" t="s">
        <v>22</v>
      </c>
      <c r="K1128" s="3" t="s">
        <v>1132</v>
      </c>
      <c r="L1128" s="3" t="s">
        <v>1133</v>
      </c>
      <c r="M1128" s="3" t="s">
        <v>1134</v>
      </c>
      <c r="O1128" s="3" t="s">
        <v>1772</v>
      </c>
      <c r="R1128" s="7" t="str">
        <f>IF(H1128="","",VLOOKUP(H1128,'Hoja 9'!$A$1:$B$255,2,0))</f>
        <v>OBRA SOCIAL</v>
      </c>
      <c r="S1128" s="7">
        <f t="shared" si="1"/>
        <v>2025</v>
      </c>
      <c r="T1128" s="7">
        <f t="shared" si="2"/>
        <v>8</v>
      </c>
    </row>
    <row r="1129">
      <c r="A1129" s="4">
        <v>45873.68038603009</v>
      </c>
      <c r="B1129" s="3" t="s">
        <v>2945</v>
      </c>
      <c r="C1129" s="3" t="s">
        <v>2946</v>
      </c>
      <c r="D1129" s="3" t="s">
        <v>2947</v>
      </c>
      <c r="E1129" s="5">
        <v>21252.0</v>
      </c>
      <c r="F1129" s="3">
        <v>1.2157653E7</v>
      </c>
      <c r="G1129" s="3">
        <v>3.515080648E9</v>
      </c>
      <c r="H1129" s="3" t="s">
        <v>44</v>
      </c>
      <c r="I1129" s="3" t="s">
        <v>28</v>
      </c>
      <c r="K1129" s="3" t="s">
        <v>1132</v>
      </c>
      <c r="L1129" s="3" t="s">
        <v>2948</v>
      </c>
      <c r="M1129" s="3" t="s">
        <v>1213</v>
      </c>
      <c r="R1129" s="7" t="str">
        <f>IF(H1129="","",VLOOKUP(H1129,'Hoja 9'!$A$1:$B$255,2,0))</f>
        <v>GIMNASIO</v>
      </c>
      <c r="S1129" s="7">
        <f t="shared" si="1"/>
        <v>2025</v>
      </c>
      <c r="T1129" s="7">
        <f t="shared" si="2"/>
        <v>8</v>
      </c>
    </row>
    <row r="1130">
      <c r="A1130" s="4">
        <v>45873.78139225695</v>
      </c>
      <c r="B1130" s="3" t="s">
        <v>2949</v>
      </c>
      <c r="C1130" s="3" t="s">
        <v>2950</v>
      </c>
      <c r="D1130" s="3" t="s">
        <v>2951</v>
      </c>
      <c r="E1130" s="5">
        <v>30677.0</v>
      </c>
      <c r="F1130" s="3">
        <v>3.0659367E7</v>
      </c>
      <c r="G1130" s="3">
        <v>3.517360809E9</v>
      </c>
      <c r="H1130" s="3" t="s">
        <v>21</v>
      </c>
      <c r="I1130" s="3" t="s">
        <v>22</v>
      </c>
      <c r="K1130" s="3" t="s">
        <v>1132</v>
      </c>
      <c r="L1130" s="3" t="s">
        <v>1136</v>
      </c>
      <c r="M1130" s="3" t="s">
        <v>1134</v>
      </c>
      <c r="O1130" s="3" t="s">
        <v>23</v>
      </c>
      <c r="R1130" s="7" t="str">
        <f>IF(H1130="","",VLOOKUP(H1130,'Hoja 9'!$A$1:$B$255,2,0))</f>
        <v>GOOGLE</v>
      </c>
      <c r="S1130" s="7">
        <f t="shared" si="1"/>
        <v>2025</v>
      </c>
      <c r="T1130" s="7">
        <f t="shared" si="2"/>
        <v>8</v>
      </c>
    </row>
    <row r="1131">
      <c r="A1131" s="4">
        <v>45873.85134559028</v>
      </c>
      <c r="B1131" s="3" t="s">
        <v>1258</v>
      </c>
      <c r="C1131" s="3" t="s">
        <v>159</v>
      </c>
      <c r="D1131" s="3" t="s">
        <v>2952</v>
      </c>
      <c r="E1131" s="5">
        <v>29498.0</v>
      </c>
      <c r="F1131" s="3">
        <v>2.8344467E7</v>
      </c>
      <c r="G1131" s="3">
        <v>3.515418058E9</v>
      </c>
      <c r="H1131" s="3" t="s">
        <v>244</v>
      </c>
      <c r="I1131" s="3" t="s">
        <v>22</v>
      </c>
      <c r="K1131" s="3" t="s">
        <v>1132</v>
      </c>
      <c r="L1131" s="3" t="s">
        <v>1136</v>
      </c>
      <c r="M1131" s="3" t="s">
        <v>1137</v>
      </c>
      <c r="O1131" s="3" t="s">
        <v>23</v>
      </c>
      <c r="R1131" s="7" t="str">
        <f>IF(H1131="","",VLOOKUP(H1131,'Hoja 9'!$A$1:$B$255,2,0))</f>
        <v>META</v>
      </c>
      <c r="S1131" s="7">
        <f t="shared" si="1"/>
        <v>2025</v>
      </c>
      <c r="T1131" s="7">
        <f t="shared" si="2"/>
        <v>8</v>
      </c>
    </row>
    <row r="1132">
      <c r="A1132" s="4">
        <v>45873.86236275463</v>
      </c>
      <c r="B1132" s="3" t="s">
        <v>2953</v>
      </c>
      <c r="C1132" s="3" t="s">
        <v>92</v>
      </c>
      <c r="D1132" s="3" t="s">
        <v>2954</v>
      </c>
      <c r="E1132" s="5">
        <v>29956.0</v>
      </c>
      <c r="F1132" s="3">
        <v>2.9202573E7</v>
      </c>
      <c r="G1132" s="3">
        <v>3.513997447E9</v>
      </c>
      <c r="H1132" s="3" t="s">
        <v>27</v>
      </c>
      <c r="I1132" s="3" t="s">
        <v>28</v>
      </c>
      <c r="K1132" s="3" t="s">
        <v>1132</v>
      </c>
      <c r="L1132" s="3" t="s">
        <v>1133</v>
      </c>
      <c r="M1132" s="3" t="s">
        <v>1134</v>
      </c>
      <c r="R1132" s="7" t="str">
        <f>IF(H1132="","",VLOOKUP(H1132,'Hoja 9'!$A$1:$B$255,2,0))</f>
        <v>BOCA EN BOCA</v>
      </c>
      <c r="S1132" s="7">
        <f t="shared" si="1"/>
        <v>2025</v>
      </c>
      <c r="T1132" s="7">
        <f t="shared" si="2"/>
        <v>8</v>
      </c>
    </row>
    <row r="1133">
      <c r="A1133" s="4">
        <v>45874.74606222222</v>
      </c>
      <c r="B1133" s="3" t="s">
        <v>2955</v>
      </c>
      <c r="C1133" s="3" t="s">
        <v>1820</v>
      </c>
      <c r="D1133" s="3" t="s">
        <v>2956</v>
      </c>
      <c r="E1133" s="5">
        <v>18488.0</v>
      </c>
      <c r="F1133" s="3">
        <v>8401410.0</v>
      </c>
      <c r="G1133" s="3">
        <v>3.51618401E9</v>
      </c>
      <c r="H1133" s="3" t="s">
        <v>27</v>
      </c>
      <c r="I1133" s="3" t="s">
        <v>22</v>
      </c>
      <c r="K1133" s="3" t="s">
        <v>1132</v>
      </c>
      <c r="L1133" s="3" t="s">
        <v>1404</v>
      </c>
      <c r="M1133" s="3" t="s">
        <v>1134</v>
      </c>
      <c r="O1133" s="3" t="s">
        <v>72</v>
      </c>
      <c r="R1133" s="7" t="str">
        <f>IF(H1133="","",VLOOKUP(H1133,'Hoja 9'!$A$1:$B$255,2,0))</f>
        <v>BOCA EN BOCA</v>
      </c>
      <c r="S1133" s="7">
        <f t="shared" si="1"/>
        <v>2025</v>
      </c>
      <c r="T1133" s="7">
        <f t="shared" si="2"/>
        <v>8</v>
      </c>
    </row>
    <row r="1134">
      <c r="A1134" s="4">
        <v>45874.795341296296</v>
      </c>
      <c r="B1134" s="3" t="s">
        <v>2458</v>
      </c>
      <c r="C1134" s="3" t="s">
        <v>2957</v>
      </c>
      <c r="D1134" s="3" t="s">
        <v>2944</v>
      </c>
      <c r="E1134" s="5">
        <v>28418.0</v>
      </c>
      <c r="F1134" s="3">
        <v>2.6151729E7</v>
      </c>
      <c r="G1134" s="3">
        <v>3.51217256E9</v>
      </c>
      <c r="H1134" s="3" t="s">
        <v>148</v>
      </c>
      <c r="I1134" s="3" t="s">
        <v>22</v>
      </c>
      <c r="K1134" s="3" t="s">
        <v>1132</v>
      </c>
      <c r="L1134" s="3" t="s">
        <v>2958</v>
      </c>
      <c r="M1134" s="3" t="s">
        <v>1134</v>
      </c>
      <c r="O1134" s="3" t="s">
        <v>2959</v>
      </c>
      <c r="R1134" s="7" t="str">
        <f>IF(H1134="","",VLOOKUP(H1134,'Hoja 9'!$A$1:$B$255,2,0))</f>
        <v>OBRA SOCIAL</v>
      </c>
      <c r="S1134" s="7">
        <f t="shared" si="1"/>
        <v>2025</v>
      </c>
      <c r="T1134" s="7">
        <f t="shared" si="2"/>
        <v>8</v>
      </c>
    </row>
    <row r="1135">
      <c r="A1135" s="4">
        <v>45874.802127013885</v>
      </c>
      <c r="B1135" s="3" t="s">
        <v>2960</v>
      </c>
      <c r="C1135" s="3" t="s">
        <v>2961</v>
      </c>
      <c r="D1135" s="3" t="s">
        <v>2962</v>
      </c>
      <c r="E1135" s="5">
        <v>19467.0</v>
      </c>
      <c r="F1135" s="3">
        <v>1.1050438E7</v>
      </c>
      <c r="G1135" s="3">
        <v>3.513468046E9</v>
      </c>
      <c r="H1135" s="3" t="s">
        <v>21</v>
      </c>
      <c r="I1135" s="3" t="s">
        <v>28</v>
      </c>
      <c r="K1135" s="3" t="s">
        <v>1145</v>
      </c>
      <c r="R1135" s="7" t="str">
        <f>IF(H1135="","",VLOOKUP(H1135,'Hoja 9'!$A$1:$B$255,2,0))</f>
        <v>GOOGLE</v>
      </c>
      <c r="S1135" s="7">
        <f t="shared" si="1"/>
        <v>2025</v>
      </c>
      <c r="T1135" s="7">
        <f t="shared" si="2"/>
        <v>8</v>
      </c>
    </row>
    <row r="1136">
      <c r="A1136" s="4">
        <v>45875.78796427083</v>
      </c>
      <c r="B1136" s="3" t="s">
        <v>2963</v>
      </c>
      <c r="C1136" s="3" t="s">
        <v>265</v>
      </c>
      <c r="D1136" s="3" t="s">
        <v>2964</v>
      </c>
      <c r="E1136" s="5">
        <v>33458.0</v>
      </c>
      <c r="F1136" s="3">
        <v>3.6446865E7</v>
      </c>
      <c r="G1136" s="3">
        <v>3.5145903E9</v>
      </c>
      <c r="H1136" s="3" t="s">
        <v>21</v>
      </c>
      <c r="I1136" s="3" t="s">
        <v>28</v>
      </c>
      <c r="K1136" s="3" t="s">
        <v>1145</v>
      </c>
      <c r="R1136" s="7" t="str">
        <f>IF(H1136="","",VLOOKUP(H1136,'Hoja 9'!$A$1:$B$255,2,0))</f>
        <v>GOOGLE</v>
      </c>
      <c r="S1136" s="7">
        <f t="shared" si="1"/>
        <v>2025</v>
      </c>
      <c r="T1136" s="7">
        <f t="shared" si="2"/>
        <v>8</v>
      </c>
    </row>
    <row r="1137">
      <c r="A1137" s="4">
        <v>45875.85159548611</v>
      </c>
      <c r="B1137" s="3" t="s">
        <v>2965</v>
      </c>
      <c r="C1137" s="3" t="s">
        <v>2966</v>
      </c>
      <c r="D1137" s="3" t="s">
        <v>2967</v>
      </c>
      <c r="E1137" s="5">
        <v>24984.0</v>
      </c>
      <c r="F1137" s="3">
        <v>2.0143045E7</v>
      </c>
      <c r="G1137" s="3">
        <v>3.513458582E9</v>
      </c>
      <c r="H1137" s="3" t="s">
        <v>27</v>
      </c>
      <c r="I1137" s="3" t="s">
        <v>28</v>
      </c>
      <c r="K1137" s="3" t="s">
        <v>1145</v>
      </c>
      <c r="R1137" s="7" t="str">
        <f>IF(H1137="","",VLOOKUP(H1137,'Hoja 9'!$A$1:$B$255,2,0))</f>
        <v>BOCA EN BOCA</v>
      </c>
      <c r="S1137" s="7">
        <f t="shared" si="1"/>
        <v>2025</v>
      </c>
      <c r="T1137" s="7">
        <f t="shared" si="2"/>
        <v>8</v>
      </c>
    </row>
    <row r="1138">
      <c r="A1138" s="4">
        <v>45876.67017424769</v>
      </c>
      <c r="B1138" s="3" t="s">
        <v>1036</v>
      </c>
      <c r="C1138" s="3" t="s">
        <v>1241</v>
      </c>
      <c r="D1138" s="3" t="s">
        <v>2968</v>
      </c>
      <c r="E1138" s="5">
        <v>36021.0</v>
      </c>
      <c r="F1138" s="3">
        <v>4.115865E7</v>
      </c>
      <c r="G1138" s="3">
        <v>3.513848874E9</v>
      </c>
      <c r="H1138" s="3" t="s">
        <v>21</v>
      </c>
      <c r="I1138" s="3" t="s">
        <v>28</v>
      </c>
      <c r="K1138" s="3" t="s">
        <v>1132</v>
      </c>
      <c r="L1138" s="3" t="s">
        <v>1404</v>
      </c>
      <c r="M1138" s="3" t="s">
        <v>1134</v>
      </c>
      <c r="R1138" s="7" t="str">
        <f>IF(H1138="","",VLOOKUP(H1138,'Hoja 9'!$A$1:$B$255,2,0))</f>
        <v>GOOGLE</v>
      </c>
      <c r="S1138" s="7">
        <f t="shared" si="1"/>
        <v>2025</v>
      </c>
      <c r="T1138" s="7">
        <f t="shared" si="2"/>
        <v>8</v>
      </c>
    </row>
    <row r="1139">
      <c r="A1139" s="4">
        <v>45876.67374924768</v>
      </c>
      <c r="B1139" s="3" t="s">
        <v>2969</v>
      </c>
      <c r="C1139" s="3" t="s">
        <v>2970</v>
      </c>
      <c r="D1139" s="3" t="s">
        <v>2971</v>
      </c>
      <c r="E1139" s="5">
        <v>22469.0</v>
      </c>
      <c r="F1139" s="3">
        <v>1.4838527E7</v>
      </c>
      <c r="G1139" s="3">
        <v>3.512210129E9</v>
      </c>
      <c r="H1139" s="3" t="s">
        <v>27</v>
      </c>
      <c r="I1139" s="3" t="s">
        <v>22</v>
      </c>
      <c r="K1139" s="3" t="s">
        <v>1132</v>
      </c>
      <c r="L1139" s="3" t="s">
        <v>2426</v>
      </c>
      <c r="M1139" s="3" t="s">
        <v>1134</v>
      </c>
      <c r="O1139" s="3" t="s">
        <v>23</v>
      </c>
      <c r="R1139" s="7" t="str">
        <f>IF(H1139="","",VLOOKUP(H1139,'Hoja 9'!$A$1:$B$255,2,0))</f>
        <v>BOCA EN BOCA</v>
      </c>
      <c r="S1139" s="7">
        <f t="shared" si="1"/>
        <v>2025</v>
      </c>
      <c r="T1139" s="7">
        <f t="shared" si="2"/>
        <v>8</v>
      </c>
    </row>
    <row r="1140">
      <c r="A1140" s="4">
        <v>45876.79801789352</v>
      </c>
      <c r="B1140" s="3" t="s">
        <v>1432</v>
      </c>
      <c r="C1140" s="3" t="s">
        <v>2972</v>
      </c>
      <c r="D1140" s="3" t="s">
        <v>2973</v>
      </c>
      <c r="E1140" s="5">
        <v>28307.0</v>
      </c>
      <c r="F1140" s="3">
        <v>2.5093649E7</v>
      </c>
      <c r="G1140" s="3">
        <v>3.518054744E9</v>
      </c>
      <c r="H1140" s="3" t="s">
        <v>27</v>
      </c>
      <c r="I1140" s="3" t="s">
        <v>22</v>
      </c>
      <c r="K1140" s="3" t="s">
        <v>1145</v>
      </c>
      <c r="O1140" s="3" t="s">
        <v>72</v>
      </c>
      <c r="R1140" s="7" t="str">
        <f>IF(H1140="","",VLOOKUP(H1140,'Hoja 9'!$A$1:$B$255,2,0))</f>
        <v>BOCA EN BOCA</v>
      </c>
      <c r="S1140" s="7">
        <f t="shared" si="1"/>
        <v>2025</v>
      </c>
      <c r="T1140" s="7">
        <f t="shared" si="2"/>
        <v>8</v>
      </c>
    </row>
    <row r="1141">
      <c r="A1141" s="4">
        <v>45876.80384434028</v>
      </c>
      <c r="B1141" s="3" t="s">
        <v>2974</v>
      </c>
      <c r="C1141" s="3" t="s">
        <v>500</v>
      </c>
      <c r="D1141" s="3" t="s">
        <v>2975</v>
      </c>
      <c r="E1141" s="5">
        <v>36461.0</v>
      </c>
      <c r="F1141" s="3">
        <v>4.2185297E7</v>
      </c>
      <c r="G1141" s="3">
        <v>3.51623053E9</v>
      </c>
      <c r="H1141" s="3" t="s">
        <v>44</v>
      </c>
      <c r="I1141" s="3" t="s">
        <v>22</v>
      </c>
      <c r="K1141" s="3" t="s">
        <v>1132</v>
      </c>
      <c r="L1141" s="3" t="s">
        <v>1133</v>
      </c>
      <c r="M1141" s="3" t="s">
        <v>1134</v>
      </c>
      <c r="O1141" s="3" t="s">
        <v>58</v>
      </c>
      <c r="R1141" s="7" t="str">
        <f>IF(H1141="","",VLOOKUP(H1141,'Hoja 9'!$A$1:$B$255,2,0))</f>
        <v>GIMNASIO</v>
      </c>
      <c r="S1141" s="7">
        <f t="shared" si="1"/>
        <v>2025</v>
      </c>
      <c r="T1141" s="7">
        <f t="shared" si="2"/>
        <v>8</v>
      </c>
    </row>
    <row r="1142">
      <c r="A1142" s="4">
        <v>45876.822377268516</v>
      </c>
      <c r="B1142" s="3" t="s">
        <v>2976</v>
      </c>
      <c r="C1142" s="3" t="s">
        <v>420</v>
      </c>
      <c r="D1142" s="3" t="s">
        <v>2977</v>
      </c>
      <c r="E1142" s="5">
        <v>32585.0</v>
      </c>
      <c r="F1142" s="3">
        <v>3.4290449E7</v>
      </c>
      <c r="G1142" s="3">
        <v>3.515900811E9</v>
      </c>
      <c r="H1142" s="3" t="s">
        <v>2978</v>
      </c>
      <c r="I1142" s="3" t="s">
        <v>28</v>
      </c>
      <c r="K1142" s="3" t="s">
        <v>1132</v>
      </c>
      <c r="L1142" s="3" t="s">
        <v>1868</v>
      </c>
      <c r="M1142" s="3" t="s">
        <v>1134</v>
      </c>
      <c r="R1142" s="7" t="str">
        <f>IF(H1142="","",VLOOKUP(H1142,'Hoja 9'!$A$1:$B$255,2,0))</f>
        <v>BOCA EN BOCA</v>
      </c>
      <c r="S1142" s="7">
        <f t="shared" si="1"/>
        <v>2025</v>
      </c>
      <c r="T1142" s="7">
        <f t="shared" si="2"/>
        <v>8</v>
      </c>
    </row>
    <row r="1143">
      <c r="A1143" s="4">
        <v>45877.7122338426</v>
      </c>
      <c r="B1143" s="3" t="s">
        <v>860</v>
      </c>
      <c r="C1143" s="3" t="s">
        <v>2979</v>
      </c>
      <c r="D1143" s="3" t="s">
        <v>2980</v>
      </c>
      <c r="E1143" s="5">
        <v>21901.0</v>
      </c>
      <c r="F1143" s="3">
        <v>1.3964067E7</v>
      </c>
      <c r="G1143" s="3">
        <v>3.516354614E9</v>
      </c>
      <c r="H1143" s="3" t="s">
        <v>27</v>
      </c>
      <c r="I1143" s="3" t="s">
        <v>28</v>
      </c>
      <c r="K1143" s="3" t="s">
        <v>1145</v>
      </c>
      <c r="R1143" s="7" t="str">
        <f>IF(H1143="","",VLOOKUP(H1143,'Hoja 9'!$A$1:$B$255,2,0))</f>
        <v>BOCA EN BOCA</v>
      </c>
      <c r="S1143" s="7">
        <f t="shared" si="1"/>
        <v>2025</v>
      </c>
      <c r="T1143" s="7">
        <f t="shared" si="2"/>
        <v>8</v>
      </c>
    </row>
    <row r="1144">
      <c r="A1144" s="4">
        <v>45877.71995726852</v>
      </c>
      <c r="B1144" s="3" t="s">
        <v>2981</v>
      </c>
      <c r="C1144" s="3" t="s">
        <v>996</v>
      </c>
      <c r="D1144" s="3" t="s">
        <v>2982</v>
      </c>
      <c r="E1144" s="5">
        <v>38554.0</v>
      </c>
      <c r="F1144" s="3">
        <v>4.6223505E7</v>
      </c>
      <c r="G1144" s="3">
        <v>3.513249591E9</v>
      </c>
      <c r="H1144" s="3" t="s">
        <v>44</v>
      </c>
      <c r="I1144" s="3" t="s">
        <v>22</v>
      </c>
      <c r="K1144" s="3" t="s">
        <v>1132</v>
      </c>
      <c r="L1144" s="3" t="s">
        <v>2983</v>
      </c>
      <c r="M1144" s="3" t="s">
        <v>1134</v>
      </c>
      <c r="O1144" s="3" t="s">
        <v>287</v>
      </c>
      <c r="R1144" s="7" t="str">
        <f>IF(H1144="","",VLOOKUP(H1144,'Hoja 9'!$A$1:$B$255,2,0))</f>
        <v>GIMNASIO</v>
      </c>
      <c r="S1144" s="7">
        <f t="shared" si="1"/>
        <v>2025</v>
      </c>
      <c r="T1144" s="7">
        <f t="shared" si="2"/>
        <v>8</v>
      </c>
    </row>
    <row r="1145">
      <c r="A1145" s="4">
        <v>45877.72731015046</v>
      </c>
      <c r="B1145" s="3" t="s">
        <v>1914</v>
      </c>
      <c r="C1145" s="3" t="s">
        <v>1820</v>
      </c>
      <c r="D1145" s="3" t="s">
        <v>2984</v>
      </c>
      <c r="E1145" s="5">
        <v>25209.0</v>
      </c>
      <c r="F1145" s="3">
        <v>2.0755543E7</v>
      </c>
      <c r="G1145" s="3">
        <v>3.516791675E9</v>
      </c>
      <c r="H1145" s="3" t="s">
        <v>44</v>
      </c>
      <c r="I1145" s="3" t="s">
        <v>22</v>
      </c>
      <c r="K1145" s="3" t="s">
        <v>1132</v>
      </c>
      <c r="L1145" s="3" t="s">
        <v>1136</v>
      </c>
      <c r="M1145" s="3" t="s">
        <v>1137</v>
      </c>
      <c r="O1145" s="3" t="s">
        <v>23</v>
      </c>
      <c r="R1145" s="7" t="str">
        <f>IF(H1145="","",VLOOKUP(H1145,'Hoja 9'!$A$1:$B$255,2,0))</f>
        <v>GIMNASIO</v>
      </c>
      <c r="S1145" s="7">
        <f t="shared" si="1"/>
        <v>2025</v>
      </c>
      <c r="T1145" s="7">
        <f t="shared" si="2"/>
        <v>8</v>
      </c>
    </row>
    <row r="1146">
      <c r="A1146" s="4">
        <v>45877.7394153125</v>
      </c>
      <c r="B1146" s="3" t="s">
        <v>2985</v>
      </c>
      <c r="C1146" s="3" t="s">
        <v>2986</v>
      </c>
      <c r="D1146" s="3" t="s">
        <v>2987</v>
      </c>
      <c r="E1146" s="5">
        <v>31926.0</v>
      </c>
      <c r="F1146" s="3">
        <v>3.303044E7</v>
      </c>
      <c r="G1146" s="3">
        <v>3.516362929E9</v>
      </c>
      <c r="H1146" s="3" t="s">
        <v>244</v>
      </c>
      <c r="I1146" s="3" t="s">
        <v>22</v>
      </c>
      <c r="K1146" s="3" t="s">
        <v>1132</v>
      </c>
      <c r="L1146" s="3" t="s">
        <v>1332</v>
      </c>
      <c r="M1146" s="3" t="s">
        <v>1137</v>
      </c>
      <c r="O1146" s="3" t="s">
        <v>58</v>
      </c>
      <c r="R1146" s="7" t="str">
        <f>IF(H1146="","",VLOOKUP(H1146,'Hoja 9'!$A$1:$B$255,2,0))</f>
        <v>META</v>
      </c>
      <c r="S1146" s="7">
        <f t="shared" si="1"/>
        <v>2025</v>
      </c>
      <c r="T1146" s="7">
        <f t="shared" si="2"/>
        <v>8</v>
      </c>
    </row>
    <row r="1147">
      <c r="A1147" s="4">
        <v>45877.806655092594</v>
      </c>
      <c r="B1147" s="3" t="s">
        <v>2988</v>
      </c>
      <c r="C1147" s="3" t="s">
        <v>1256</v>
      </c>
      <c r="D1147" s="3" t="s">
        <v>2989</v>
      </c>
      <c r="E1147" s="5">
        <v>30791.0</v>
      </c>
      <c r="F1147" s="3">
        <v>3.0926418E7</v>
      </c>
      <c r="G1147" s="3">
        <v>3.513954237E9</v>
      </c>
      <c r="H1147" s="3" t="s">
        <v>44</v>
      </c>
      <c r="I1147" s="3" t="s">
        <v>22</v>
      </c>
      <c r="K1147" s="3" t="s">
        <v>1132</v>
      </c>
      <c r="L1147" s="3" t="s">
        <v>1133</v>
      </c>
      <c r="M1147" s="3" t="s">
        <v>1134</v>
      </c>
      <c r="O1147" s="3" t="s">
        <v>72</v>
      </c>
      <c r="R1147" s="7" t="str">
        <f>IF(H1147="","",VLOOKUP(H1147,'Hoja 9'!$A$1:$B$255,2,0))</f>
        <v>GIMNASIO</v>
      </c>
      <c r="S1147" s="7">
        <f t="shared" si="1"/>
        <v>2025</v>
      </c>
      <c r="T1147" s="7">
        <f t="shared" si="2"/>
        <v>8</v>
      </c>
    </row>
    <row r="1148">
      <c r="A1148" s="4">
        <v>45878.989253611115</v>
      </c>
      <c r="B1148" s="3" t="s">
        <v>2990</v>
      </c>
      <c r="C1148" s="3" t="s">
        <v>2991</v>
      </c>
      <c r="D1148" s="3" t="s">
        <v>2992</v>
      </c>
      <c r="E1148" s="5">
        <v>28863.0</v>
      </c>
      <c r="F1148" s="3">
        <v>2.6759903E7</v>
      </c>
      <c r="G1148" s="3">
        <v>3.515646569E9</v>
      </c>
      <c r="H1148" s="3" t="s">
        <v>27</v>
      </c>
      <c r="I1148" s="3" t="s">
        <v>28</v>
      </c>
      <c r="K1148" s="3" t="s">
        <v>1132</v>
      </c>
      <c r="L1148" s="3" t="s">
        <v>1136</v>
      </c>
      <c r="M1148" s="3" t="s">
        <v>1134</v>
      </c>
      <c r="R1148" s="7" t="str">
        <f>IF(H1148="","",VLOOKUP(H1148,'Hoja 9'!$A$1:$B$255,2,0))</f>
        <v>BOCA EN BOCA</v>
      </c>
      <c r="S1148" s="7">
        <f t="shared" si="1"/>
        <v>2025</v>
      </c>
      <c r="T1148" s="7">
        <f t="shared" si="2"/>
        <v>8</v>
      </c>
    </row>
    <row r="1149">
      <c r="A1149" s="4">
        <v>45880.52968504629</v>
      </c>
      <c r="B1149" s="3" t="s">
        <v>896</v>
      </c>
      <c r="C1149" s="3" t="s">
        <v>2993</v>
      </c>
      <c r="D1149" s="3" t="s">
        <v>2994</v>
      </c>
      <c r="E1149" s="5">
        <v>36912.0</v>
      </c>
      <c r="F1149" s="3">
        <v>4.3091264E7</v>
      </c>
      <c r="G1149" s="3">
        <v>2.9234336E9</v>
      </c>
      <c r="H1149" s="3" t="s">
        <v>27</v>
      </c>
      <c r="I1149" s="3" t="s">
        <v>22</v>
      </c>
      <c r="K1149" s="3" t="s">
        <v>1132</v>
      </c>
      <c r="L1149" s="3" t="s">
        <v>1133</v>
      </c>
      <c r="M1149" s="3" t="s">
        <v>1134</v>
      </c>
      <c r="O1149" s="3" t="s">
        <v>287</v>
      </c>
      <c r="R1149" s="7" t="str">
        <f>IF(H1149="","",VLOOKUP(H1149,'Hoja 9'!$A$1:$B$255,2,0))</f>
        <v>BOCA EN BOCA</v>
      </c>
      <c r="S1149" s="7">
        <f t="shared" si="1"/>
        <v>2025</v>
      </c>
      <c r="T1149" s="7">
        <f t="shared" si="2"/>
        <v>8</v>
      </c>
    </row>
    <row r="1150">
      <c r="A1150" s="4">
        <v>45880.556382986106</v>
      </c>
      <c r="B1150" s="3" t="s">
        <v>2995</v>
      </c>
      <c r="C1150" s="3" t="s">
        <v>2996</v>
      </c>
      <c r="D1150" s="3" t="s">
        <v>2997</v>
      </c>
      <c r="E1150" s="5">
        <v>36174.0</v>
      </c>
      <c r="F1150" s="3">
        <v>4.2213451E7</v>
      </c>
      <c r="G1150" s="3">
        <v>3.517651646E9</v>
      </c>
      <c r="H1150" s="3" t="s">
        <v>27</v>
      </c>
      <c r="I1150" s="3" t="s">
        <v>28</v>
      </c>
      <c r="K1150" s="3" t="s">
        <v>1132</v>
      </c>
      <c r="L1150" s="3" t="s">
        <v>1136</v>
      </c>
      <c r="M1150" s="3" t="s">
        <v>1134</v>
      </c>
      <c r="R1150" s="7" t="str">
        <f>IF(H1150="","",VLOOKUP(H1150,'Hoja 9'!$A$1:$B$255,2,0))</f>
        <v>BOCA EN BOCA</v>
      </c>
      <c r="S1150" s="7">
        <f t="shared" si="1"/>
        <v>2025</v>
      </c>
      <c r="T1150" s="7">
        <f t="shared" si="2"/>
        <v>8</v>
      </c>
    </row>
    <row r="1151">
      <c r="A1151" s="4">
        <v>45881.48114575232</v>
      </c>
      <c r="B1151" s="3" t="s">
        <v>2998</v>
      </c>
      <c r="C1151" s="3" t="s">
        <v>2999</v>
      </c>
      <c r="D1151" s="3" t="s">
        <v>3000</v>
      </c>
      <c r="E1151" s="5">
        <v>39142.0</v>
      </c>
      <c r="F1151" s="3">
        <v>4.7665073E7</v>
      </c>
      <c r="G1151" s="3">
        <v>3.512376802E9</v>
      </c>
      <c r="H1151" s="3" t="s">
        <v>21</v>
      </c>
      <c r="I1151" s="3" t="s">
        <v>22</v>
      </c>
      <c r="K1151" s="3" t="s">
        <v>1132</v>
      </c>
      <c r="L1151" s="3" t="s">
        <v>1136</v>
      </c>
      <c r="M1151" s="3" t="s">
        <v>1134</v>
      </c>
      <c r="O1151" s="3" t="s">
        <v>625</v>
      </c>
      <c r="R1151" s="7" t="str">
        <f>IF(H1151="","",VLOOKUP(H1151,'Hoja 9'!$A$1:$B$255,2,0))</f>
        <v>GOOGLE</v>
      </c>
      <c r="S1151" s="7">
        <f t="shared" si="1"/>
        <v>2025</v>
      </c>
      <c r="T1151" s="7">
        <f t="shared" si="2"/>
        <v>8</v>
      </c>
    </row>
    <row r="1152">
      <c r="A1152" s="4">
        <v>45882.46049050926</v>
      </c>
      <c r="B1152" s="3" t="s">
        <v>1095</v>
      </c>
      <c r="C1152" s="3" t="s">
        <v>3001</v>
      </c>
      <c r="D1152" s="3" t="s">
        <v>3002</v>
      </c>
      <c r="E1152" s="5">
        <v>39155.0</v>
      </c>
      <c r="F1152" s="3">
        <v>4.7662786E7</v>
      </c>
      <c r="G1152" s="3">
        <v>3.51538756E9</v>
      </c>
      <c r="H1152" s="3" t="s">
        <v>21</v>
      </c>
      <c r="I1152" s="3" t="s">
        <v>22</v>
      </c>
      <c r="K1152" s="3" t="s">
        <v>1132</v>
      </c>
      <c r="L1152" s="3" t="s">
        <v>1382</v>
      </c>
      <c r="M1152" s="3" t="s">
        <v>1137</v>
      </c>
      <c r="O1152" s="3" t="s">
        <v>58</v>
      </c>
      <c r="R1152" s="7" t="str">
        <f>IF(H1152="","",VLOOKUP(H1152,'Hoja 9'!$A$1:$B$255,2,0))</f>
        <v>GOOGLE</v>
      </c>
      <c r="S1152" s="7">
        <f t="shared" si="1"/>
        <v>2025</v>
      </c>
      <c r="T1152" s="7">
        <f t="shared" si="2"/>
        <v>8</v>
      </c>
    </row>
    <row r="1153">
      <c r="A1153" s="4">
        <v>45882.71906074074</v>
      </c>
      <c r="B1153" s="3" t="s">
        <v>3003</v>
      </c>
      <c r="C1153" s="3" t="s">
        <v>3004</v>
      </c>
      <c r="D1153" s="3" t="s">
        <v>3005</v>
      </c>
      <c r="E1153" s="5">
        <v>38512.0</v>
      </c>
      <c r="F1153" s="3">
        <v>4.6452357E7</v>
      </c>
      <c r="G1153" s="3">
        <v>3.513852736E9</v>
      </c>
      <c r="H1153" s="3" t="s">
        <v>21</v>
      </c>
      <c r="I1153" s="3" t="s">
        <v>22</v>
      </c>
      <c r="K1153" s="3" t="s">
        <v>1132</v>
      </c>
      <c r="L1153" s="3" t="s">
        <v>3006</v>
      </c>
      <c r="M1153" s="3" t="s">
        <v>1134</v>
      </c>
      <c r="O1153" s="3" t="s">
        <v>1765</v>
      </c>
      <c r="R1153" s="7" t="str">
        <f>IF(H1153="","",VLOOKUP(H1153,'Hoja 9'!$A$1:$B$255,2,0))</f>
        <v>GOOGLE</v>
      </c>
      <c r="S1153" s="7">
        <f t="shared" si="1"/>
        <v>2025</v>
      </c>
      <c r="T1153" s="7">
        <f t="shared" si="2"/>
        <v>8</v>
      </c>
    </row>
    <row r="1154">
      <c r="A1154" s="4">
        <v>45882.75937056713</v>
      </c>
      <c r="B1154" s="3" t="s">
        <v>3007</v>
      </c>
      <c r="C1154" s="3" t="s">
        <v>607</v>
      </c>
      <c r="D1154" s="3" t="s">
        <v>421</v>
      </c>
      <c r="E1154" s="5">
        <v>40375.0</v>
      </c>
      <c r="F1154" s="3">
        <v>5.0418869E7</v>
      </c>
      <c r="G1154" s="3">
        <v>3.515914335E9</v>
      </c>
      <c r="H1154" s="3" t="s">
        <v>27</v>
      </c>
      <c r="I1154" s="3" t="s">
        <v>22</v>
      </c>
      <c r="K1154" s="3" t="s">
        <v>1132</v>
      </c>
      <c r="L1154" s="3" t="s">
        <v>1136</v>
      </c>
      <c r="M1154" s="3" t="s">
        <v>1134</v>
      </c>
      <c r="O1154" s="3" t="s">
        <v>68</v>
      </c>
      <c r="R1154" s="7" t="str">
        <f>IF(H1154="","",VLOOKUP(H1154,'Hoja 9'!$A$1:$B$255,2,0))</f>
        <v>BOCA EN BOCA</v>
      </c>
      <c r="S1154" s="7">
        <f t="shared" si="1"/>
        <v>2025</v>
      </c>
      <c r="T1154" s="7">
        <f t="shared" si="2"/>
        <v>8</v>
      </c>
    </row>
    <row r="1155">
      <c r="A1155" s="4">
        <v>45882.77116060186</v>
      </c>
      <c r="B1155" s="3" t="s">
        <v>3008</v>
      </c>
      <c r="C1155" s="3" t="s">
        <v>185</v>
      </c>
      <c r="D1155" s="3" t="s">
        <v>3009</v>
      </c>
      <c r="E1155" s="5">
        <v>22074.0</v>
      </c>
      <c r="F1155" s="3">
        <v>1.396727E7</v>
      </c>
      <c r="G1155" s="3">
        <v>3.455440734E9</v>
      </c>
      <c r="H1155" s="3" t="s">
        <v>27</v>
      </c>
      <c r="I1155" s="3" t="s">
        <v>28</v>
      </c>
      <c r="K1155" s="3" t="s">
        <v>1132</v>
      </c>
      <c r="L1155" s="3" t="s">
        <v>3010</v>
      </c>
      <c r="M1155" s="3" t="s">
        <v>1134</v>
      </c>
      <c r="R1155" s="7" t="str">
        <f>IF(H1155="","",VLOOKUP(H1155,'Hoja 9'!$A$1:$B$255,2,0))</f>
        <v>BOCA EN BOCA</v>
      </c>
      <c r="S1155" s="7">
        <f t="shared" si="1"/>
        <v>2025</v>
      </c>
      <c r="T1155" s="7">
        <f t="shared" si="2"/>
        <v>8</v>
      </c>
    </row>
    <row r="1156">
      <c r="A1156" s="4">
        <v>45882.796759097226</v>
      </c>
      <c r="B1156" s="3" t="s">
        <v>3011</v>
      </c>
      <c r="C1156" s="3" t="s">
        <v>458</v>
      </c>
      <c r="D1156" s="3" t="s">
        <v>3012</v>
      </c>
      <c r="E1156" s="5">
        <v>30116.0</v>
      </c>
      <c r="F1156" s="3">
        <v>2.9477698E7</v>
      </c>
      <c r="G1156" s="3">
        <v>3.515051516E9</v>
      </c>
      <c r="H1156" s="3" t="s">
        <v>21</v>
      </c>
      <c r="I1156" s="3" t="s">
        <v>22</v>
      </c>
      <c r="K1156" s="3" t="s">
        <v>1132</v>
      </c>
      <c r="L1156" s="3" t="s">
        <v>1133</v>
      </c>
      <c r="M1156" s="3" t="s">
        <v>1134</v>
      </c>
      <c r="O1156" s="3" t="s">
        <v>58</v>
      </c>
      <c r="R1156" s="7" t="str">
        <f>IF(H1156="","",VLOOKUP(H1156,'Hoja 9'!$A$1:$B$255,2,0))</f>
        <v>GOOGLE</v>
      </c>
      <c r="S1156" s="7">
        <f t="shared" si="1"/>
        <v>2025</v>
      </c>
      <c r="T1156" s="7">
        <f t="shared" si="2"/>
        <v>8</v>
      </c>
    </row>
    <row r="1157">
      <c r="A1157" s="4">
        <v>45882.83274420139</v>
      </c>
      <c r="B1157" s="3" t="s">
        <v>3013</v>
      </c>
      <c r="C1157" s="3" t="s">
        <v>3014</v>
      </c>
      <c r="E1157" s="5" t="s">
        <v>3015</v>
      </c>
      <c r="F1157" s="3">
        <v>2.7655278E7</v>
      </c>
      <c r="G1157" s="3">
        <v>3.518727668E9</v>
      </c>
      <c r="H1157" s="3" t="s">
        <v>27</v>
      </c>
      <c r="I1157" s="3" t="s">
        <v>22</v>
      </c>
      <c r="K1157" s="3" t="s">
        <v>1132</v>
      </c>
      <c r="M1157" s="3" t="s">
        <v>1134</v>
      </c>
      <c r="O1157" s="3" t="s">
        <v>72</v>
      </c>
      <c r="R1157" s="7" t="str">
        <f>IF(H1157="","",VLOOKUP(H1157,'Hoja 9'!$A$1:$B$255,2,0))</f>
        <v>BOCA EN BOCA</v>
      </c>
      <c r="S1157" s="7">
        <f t="shared" si="1"/>
        <v>2025</v>
      </c>
      <c r="T1157" s="7">
        <f t="shared" si="2"/>
        <v>8</v>
      </c>
    </row>
    <row r="1158">
      <c r="A1158" s="4">
        <v>45883.46319784722</v>
      </c>
      <c r="B1158" s="3" t="s">
        <v>1202</v>
      </c>
      <c r="C1158" s="3" t="s">
        <v>60</v>
      </c>
      <c r="D1158" s="3" t="s">
        <v>3016</v>
      </c>
      <c r="E1158" s="5">
        <v>26225.0</v>
      </c>
      <c r="F1158" s="3">
        <v>2.2374254E7</v>
      </c>
      <c r="G1158" s="3">
        <v>3.513560032E9</v>
      </c>
      <c r="H1158" s="3" t="s">
        <v>27</v>
      </c>
      <c r="I1158" s="3" t="s">
        <v>22</v>
      </c>
      <c r="K1158" s="3" t="s">
        <v>1132</v>
      </c>
      <c r="L1158" s="3" t="s">
        <v>1133</v>
      </c>
      <c r="M1158" s="3" t="s">
        <v>1137</v>
      </c>
      <c r="O1158" s="3" t="s">
        <v>149</v>
      </c>
      <c r="R1158" s="7" t="str">
        <f>IF(H1158="","",VLOOKUP(H1158,'Hoja 9'!$A$1:$B$255,2,0))</f>
        <v>BOCA EN BOCA</v>
      </c>
      <c r="S1158" s="7">
        <f t="shared" si="1"/>
        <v>2025</v>
      </c>
      <c r="T1158" s="7">
        <f t="shared" si="2"/>
        <v>8</v>
      </c>
    </row>
    <row r="1159">
      <c r="A1159" s="4">
        <v>45883.542226018515</v>
      </c>
      <c r="B1159" s="3" t="s">
        <v>3017</v>
      </c>
      <c r="C1159" s="3" t="s">
        <v>3018</v>
      </c>
      <c r="D1159" s="3" t="s">
        <v>3019</v>
      </c>
      <c r="E1159" s="5">
        <v>19831.0</v>
      </c>
      <c r="F1159" s="3">
        <v>1.1034416E7</v>
      </c>
      <c r="G1159" s="3">
        <v>3.5131191E9</v>
      </c>
      <c r="H1159" s="3" t="s">
        <v>3020</v>
      </c>
      <c r="I1159" s="3" t="s">
        <v>28</v>
      </c>
      <c r="K1159" s="3" t="s">
        <v>1145</v>
      </c>
      <c r="R1159" s="7" t="str">
        <f>IF(H1159="","",VLOOKUP(H1159,'Hoja 9'!$A$1:$B$255,2,0))</f>
        <v>BOCA EN BOCA</v>
      </c>
      <c r="S1159" s="7">
        <f t="shared" si="1"/>
        <v>2025</v>
      </c>
      <c r="T1159" s="7">
        <f t="shared" si="2"/>
        <v>8</v>
      </c>
    </row>
    <row r="1160">
      <c r="A1160" s="4">
        <v>45883.832724120366</v>
      </c>
      <c r="B1160" s="3" t="s">
        <v>193</v>
      </c>
      <c r="C1160" s="3" t="s">
        <v>3021</v>
      </c>
      <c r="D1160" s="3" t="s">
        <v>3022</v>
      </c>
      <c r="E1160" s="5">
        <v>36547.0</v>
      </c>
      <c r="F1160" s="3">
        <v>4.534723E7</v>
      </c>
      <c r="G1160" s="3">
        <v>3.512444364E9</v>
      </c>
      <c r="H1160" s="3" t="s">
        <v>44</v>
      </c>
      <c r="I1160" s="3" t="s">
        <v>28</v>
      </c>
      <c r="K1160" s="3" t="s">
        <v>1132</v>
      </c>
      <c r="L1160" s="3" t="s">
        <v>3023</v>
      </c>
      <c r="M1160" s="3" t="s">
        <v>1134</v>
      </c>
      <c r="R1160" s="7" t="str">
        <f>IF(H1160="","",VLOOKUP(H1160,'Hoja 9'!$A$1:$B$255,2,0))</f>
        <v>GIMNASIO</v>
      </c>
      <c r="S1160" s="7">
        <f t="shared" si="1"/>
        <v>2025</v>
      </c>
      <c r="T1160" s="7">
        <f t="shared" si="2"/>
        <v>8</v>
      </c>
    </row>
    <row r="1161">
      <c r="A1161" s="4">
        <v>45884.67236657407</v>
      </c>
      <c r="B1161" s="3" t="s">
        <v>3024</v>
      </c>
      <c r="C1161" s="3" t="s">
        <v>1418</v>
      </c>
      <c r="D1161" s="3" t="s">
        <v>3025</v>
      </c>
      <c r="E1161" s="5">
        <v>45899.0</v>
      </c>
      <c r="F1161" s="3">
        <v>6029900.0</v>
      </c>
      <c r="G1161" s="3">
        <v>3.518094444E9</v>
      </c>
      <c r="H1161" s="3" t="s">
        <v>27</v>
      </c>
      <c r="I1161" s="3" t="s">
        <v>28</v>
      </c>
      <c r="K1161" s="3" t="s">
        <v>1132</v>
      </c>
      <c r="L1161" s="3" t="s">
        <v>3026</v>
      </c>
      <c r="M1161" s="3" t="s">
        <v>1137</v>
      </c>
      <c r="R1161" s="7" t="str">
        <f>IF(H1161="","",VLOOKUP(H1161,'Hoja 9'!$A$1:$B$255,2,0))</f>
        <v>BOCA EN BOCA</v>
      </c>
      <c r="S1161" s="7">
        <f t="shared" si="1"/>
        <v>2025</v>
      </c>
      <c r="T1161" s="7">
        <f t="shared" si="2"/>
        <v>8</v>
      </c>
    </row>
    <row r="1162">
      <c r="A1162" s="4">
        <v>45887.807791377316</v>
      </c>
      <c r="B1162" s="3" t="s">
        <v>3027</v>
      </c>
      <c r="C1162" s="3" t="s">
        <v>1650</v>
      </c>
      <c r="D1162" s="3" t="s">
        <v>3028</v>
      </c>
      <c r="E1162" s="5">
        <v>38803.0</v>
      </c>
      <c r="F1162" s="3">
        <v>4.6507913E7</v>
      </c>
      <c r="G1162" s="3">
        <v>3.516328707E9</v>
      </c>
      <c r="H1162" s="3" t="s">
        <v>21</v>
      </c>
      <c r="I1162" s="3" t="s">
        <v>28</v>
      </c>
      <c r="K1162" s="3" t="s">
        <v>1132</v>
      </c>
      <c r="L1162" s="3" t="s">
        <v>3029</v>
      </c>
      <c r="M1162" s="3" t="s">
        <v>1213</v>
      </c>
      <c r="R1162" s="7" t="str">
        <f>IF(H1162="","",VLOOKUP(H1162,'Hoja 9'!$A$1:$B$255,2,0))</f>
        <v>GOOGLE</v>
      </c>
      <c r="S1162" s="7">
        <f t="shared" si="1"/>
        <v>2025</v>
      </c>
      <c r="T1162" s="7">
        <f t="shared" si="2"/>
        <v>8</v>
      </c>
    </row>
    <row r="1163">
      <c r="A1163" s="4">
        <v>45887.89474232639</v>
      </c>
      <c r="B1163" s="3" t="s">
        <v>3030</v>
      </c>
      <c r="C1163" s="3" t="s">
        <v>3031</v>
      </c>
      <c r="D1163" s="3" t="s">
        <v>3032</v>
      </c>
      <c r="E1163" s="5">
        <v>28800.0</v>
      </c>
      <c r="F1163" s="3">
        <v>2.6759497E7</v>
      </c>
      <c r="G1163" s="3">
        <v>3.516139244E9</v>
      </c>
      <c r="H1163" s="3" t="s">
        <v>44</v>
      </c>
      <c r="I1163" s="3" t="s">
        <v>28</v>
      </c>
      <c r="K1163" s="3" t="s">
        <v>1132</v>
      </c>
      <c r="L1163" s="3" t="s">
        <v>3033</v>
      </c>
      <c r="M1163" s="3" t="s">
        <v>1213</v>
      </c>
      <c r="R1163" s="7" t="str">
        <f>IF(H1163="","",VLOOKUP(H1163,'Hoja 9'!$A$1:$B$255,2,0))</f>
        <v>GIMNASIO</v>
      </c>
      <c r="S1163" s="7">
        <f t="shared" si="1"/>
        <v>2025</v>
      </c>
      <c r="T1163" s="7">
        <f t="shared" si="2"/>
        <v>8</v>
      </c>
    </row>
    <row r="1164">
      <c r="A1164" s="4">
        <v>45888.453139432866</v>
      </c>
      <c r="B1164" s="3" t="s">
        <v>3034</v>
      </c>
      <c r="C1164" s="3" t="s">
        <v>318</v>
      </c>
      <c r="D1164" s="3" t="s">
        <v>3035</v>
      </c>
      <c r="E1164" s="5">
        <v>38855.0</v>
      </c>
      <c r="F1164" s="3">
        <v>4.6586539E7</v>
      </c>
      <c r="G1164" s="3">
        <v>3.512304722E9</v>
      </c>
      <c r="H1164" s="3" t="s">
        <v>148</v>
      </c>
      <c r="I1164" s="3" t="s">
        <v>22</v>
      </c>
      <c r="K1164" s="3" t="s">
        <v>1145</v>
      </c>
      <c r="O1164" s="3" t="s">
        <v>3036</v>
      </c>
      <c r="R1164" s="7" t="str">
        <f>IF(H1164="","",VLOOKUP(H1164,'Hoja 9'!$A$1:$B$255,2,0))</f>
        <v>OBRA SOCIAL</v>
      </c>
      <c r="S1164" s="7">
        <f t="shared" si="1"/>
        <v>2025</v>
      </c>
      <c r="T1164" s="7">
        <f t="shared" si="2"/>
        <v>8</v>
      </c>
    </row>
    <row r="1165">
      <c r="A1165" s="4">
        <v>45888.832530196756</v>
      </c>
      <c r="B1165" s="3" t="s">
        <v>3037</v>
      </c>
      <c r="C1165" s="3" t="s">
        <v>3038</v>
      </c>
      <c r="D1165" s="3" t="s">
        <v>3039</v>
      </c>
      <c r="E1165" s="5">
        <v>29724.0</v>
      </c>
      <c r="F1165" s="3">
        <v>2.8849291E7</v>
      </c>
      <c r="G1165" s="3">
        <v>3.515938082E9</v>
      </c>
      <c r="H1165" s="3" t="s">
        <v>21</v>
      </c>
      <c r="I1165" s="3" t="s">
        <v>22</v>
      </c>
      <c r="K1165" s="3" t="s">
        <v>1132</v>
      </c>
      <c r="L1165" s="3" t="s">
        <v>1136</v>
      </c>
      <c r="M1165" s="3" t="s">
        <v>1137</v>
      </c>
      <c r="R1165" s="7" t="str">
        <f>IF(H1165="","",VLOOKUP(H1165,'Hoja 9'!$A$1:$B$255,2,0))</f>
        <v>GOOGLE</v>
      </c>
      <c r="S1165" s="7">
        <f t="shared" si="1"/>
        <v>2025</v>
      </c>
      <c r="T1165" s="7">
        <f t="shared" si="2"/>
        <v>8</v>
      </c>
    </row>
    <row r="1166">
      <c r="A1166" s="4">
        <v>45889.392774583335</v>
      </c>
      <c r="B1166" s="3" t="s">
        <v>3040</v>
      </c>
      <c r="C1166" s="3" t="s">
        <v>973</v>
      </c>
      <c r="D1166" s="14" t="s">
        <v>3041</v>
      </c>
      <c r="E1166" s="5">
        <v>28432.0</v>
      </c>
      <c r="F1166" s="3">
        <v>2.6178799E7</v>
      </c>
      <c r="G1166" s="3">
        <v>3.51156152843E11</v>
      </c>
      <c r="H1166" s="3" t="s">
        <v>44</v>
      </c>
      <c r="I1166" s="3" t="s">
        <v>22</v>
      </c>
      <c r="K1166" s="3" t="s">
        <v>1132</v>
      </c>
      <c r="L1166" s="3" t="s">
        <v>1133</v>
      </c>
      <c r="M1166" s="3" t="s">
        <v>1134</v>
      </c>
      <c r="O1166" s="3" t="s">
        <v>23</v>
      </c>
      <c r="R1166" s="7" t="str">
        <f>IF(H1166="","",VLOOKUP(H1166,'Hoja 9'!$A$1:$B$255,2,0))</f>
        <v>GIMNASIO</v>
      </c>
      <c r="S1166" s="7">
        <f t="shared" si="1"/>
        <v>2025</v>
      </c>
      <c r="T1166" s="7">
        <f t="shared" si="2"/>
        <v>8</v>
      </c>
    </row>
    <row r="1167">
      <c r="A1167" s="4">
        <v>45890.38107471065</v>
      </c>
      <c r="B1167" s="3" t="s">
        <v>3042</v>
      </c>
      <c r="C1167" s="3" t="s">
        <v>78</v>
      </c>
      <c r="D1167" s="3" t="s">
        <v>3043</v>
      </c>
      <c r="E1167" s="5">
        <v>45890.0</v>
      </c>
      <c r="F1167" s="3">
        <v>3.637255E7</v>
      </c>
      <c r="G1167" s="3">
        <v>3.535634687E9</v>
      </c>
      <c r="H1167" s="3" t="s">
        <v>27</v>
      </c>
      <c r="I1167" s="3" t="s">
        <v>28</v>
      </c>
      <c r="K1167" s="3" t="s">
        <v>1132</v>
      </c>
      <c r="L1167" s="3" t="s">
        <v>1136</v>
      </c>
      <c r="M1167" s="3" t="s">
        <v>1137</v>
      </c>
      <c r="R1167" s="7" t="str">
        <f>IF(H1167="","",VLOOKUP(H1167,'Hoja 9'!$A$1:$B$255,2,0))</f>
        <v>BOCA EN BOCA</v>
      </c>
      <c r="S1167" s="7">
        <f t="shared" si="1"/>
        <v>2025</v>
      </c>
      <c r="T1167" s="7">
        <f t="shared" si="2"/>
        <v>8</v>
      </c>
    </row>
    <row r="1168">
      <c r="A1168" s="4">
        <v>45890.4633177662</v>
      </c>
      <c r="B1168" s="3" t="s">
        <v>510</v>
      </c>
      <c r="C1168" s="3" t="s">
        <v>2606</v>
      </c>
      <c r="D1168" s="3" t="s">
        <v>3044</v>
      </c>
      <c r="E1168" s="5">
        <v>31175.0</v>
      </c>
      <c r="F1168" s="3">
        <v>3.1558578E7</v>
      </c>
      <c r="G1168" s="3">
        <v>3.512422189E9</v>
      </c>
      <c r="H1168" s="3" t="s">
        <v>44</v>
      </c>
      <c r="I1168" s="3" t="s">
        <v>22</v>
      </c>
      <c r="K1168" s="3" t="s">
        <v>1132</v>
      </c>
      <c r="L1168" s="3" t="s">
        <v>2733</v>
      </c>
      <c r="M1168" s="3" t="s">
        <v>1134</v>
      </c>
      <c r="O1168" s="3" t="s">
        <v>23</v>
      </c>
      <c r="R1168" s="7" t="str">
        <f>IF(H1168="","",VLOOKUP(H1168,'Hoja 9'!$A$1:$B$255,2,0))</f>
        <v>GIMNASIO</v>
      </c>
      <c r="S1168" s="7">
        <f t="shared" si="1"/>
        <v>2025</v>
      </c>
      <c r="T1168" s="7">
        <f t="shared" si="2"/>
        <v>8</v>
      </c>
    </row>
    <row r="1169">
      <c r="A1169" s="4">
        <v>45890.47981474537</v>
      </c>
      <c r="B1169" s="3" t="s">
        <v>3045</v>
      </c>
      <c r="C1169" s="3" t="s">
        <v>3046</v>
      </c>
      <c r="D1169" s="3" t="s">
        <v>3047</v>
      </c>
      <c r="E1169" s="5">
        <v>40939.0</v>
      </c>
      <c r="F1169" s="3">
        <v>5.2051647E7</v>
      </c>
      <c r="G1169" s="3">
        <v>3.512174808E9</v>
      </c>
      <c r="H1169" s="3" t="s">
        <v>27</v>
      </c>
      <c r="I1169" s="3" t="s">
        <v>28</v>
      </c>
      <c r="K1169" s="3" t="s">
        <v>1132</v>
      </c>
      <c r="L1169" s="3" t="s">
        <v>1422</v>
      </c>
      <c r="M1169" s="3" t="s">
        <v>1137</v>
      </c>
      <c r="R1169" s="7" t="str">
        <f>IF(H1169="","",VLOOKUP(H1169,'Hoja 9'!$A$1:$B$255,2,0))</f>
        <v>BOCA EN BOCA</v>
      </c>
      <c r="S1169" s="7">
        <f t="shared" si="1"/>
        <v>2025</v>
      </c>
      <c r="T1169" s="7">
        <f t="shared" si="2"/>
        <v>8</v>
      </c>
    </row>
    <row r="1170">
      <c r="A1170" s="4">
        <v>45890.61411084491</v>
      </c>
      <c r="B1170" s="3" t="s">
        <v>3048</v>
      </c>
      <c r="C1170" s="3" t="s">
        <v>2889</v>
      </c>
      <c r="D1170" s="3" t="s">
        <v>3049</v>
      </c>
      <c r="E1170" s="5">
        <v>34360.0</v>
      </c>
      <c r="F1170" s="3">
        <v>3.8002106E7</v>
      </c>
      <c r="G1170" s="3">
        <v>3.517645188E9</v>
      </c>
      <c r="H1170" s="3" t="s">
        <v>27</v>
      </c>
      <c r="I1170" s="3" t="s">
        <v>28</v>
      </c>
      <c r="K1170" s="3" t="s">
        <v>1132</v>
      </c>
      <c r="L1170" s="3" t="s">
        <v>1136</v>
      </c>
      <c r="M1170" s="3" t="s">
        <v>1134</v>
      </c>
      <c r="R1170" s="7" t="str">
        <f>IF(H1170="","",VLOOKUP(H1170,'Hoja 9'!$A$1:$B$255,2,0))</f>
        <v>BOCA EN BOCA</v>
      </c>
      <c r="S1170" s="7">
        <f t="shared" si="1"/>
        <v>2025</v>
      </c>
      <c r="T1170" s="7">
        <f t="shared" si="2"/>
        <v>8</v>
      </c>
    </row>
    <row r="1171">
      <c r="A1171" s="4">
        <v>45891.48678564814</v>
      </c>
      <c r="B1171" s="3" t="s">
        <v>3050</v>
      </c>
      <c r="C1171" s="3" t="s">
        <v>180</v>
      </c>
      <c r="D1171" s="3" t="s">
        <v>3051</v>
      </c>
      <c r="E1171" s="5">
        <v>35062.0</v>
      </c>
      <c r="F1171" s="3">
        <v>3.9305549E7</v>
      </c>
      <c r="G1171" s="3">
        <v>3.513569284E9</v>
      </c>
      <c r="H1171" s="3" t="s">
        <v>44</v>
      </c>
      <c r="I1171" s="3" t="s">
        <v>22</v>
      </c>
      <c r="K1171" s="3" t="s">
        <v>1132</v>
      </c>
      <c r="L1171" s="3" t="s">
        <v>1133</v>
      </c>
      <c r="M1171" s="3" t="s">
        <v>1134</v>
      </c>
      <c r="O1171" s="3" t="s">
        <v>439</v>
      </c>
      <c r="R1171" s="7" t="str">
        <f>IF(H1171="","",VLOOKUP(H1171,'Hoja 9'!$A$1:$B$255,2,0))</f>
        <v>GIMNASIO</v>
      </c>
      <c r="S1171" s="7">
        <f t="shared" si="1"/>
        <v>2025</v>
      </c>
      <c r="T1171" s="7">
        <f t="shared" si="2"/>
        <v>8</v>
      </c>
    </row>
    <row r="1172">
      <c r="A1172" s="4">
        <v>45891.74870965278</v>
      </c>
      <c r="B1172" s="3" t="s">
        <v>3052</v>
      </c>
      <c r="C1172" s="3" t="s">
        <v>996</v>
      </c>
      <c r="D1172" s="3" t="s">
        <v>3053</v>
      </c>
      <c r="E1172" s="5">
        <v>38203.0</v>
      </c>
      <c r="F1172" s="3">
        <v>4.5792693E7</v>
      </c>
      <c r="G1172" s="3">
        <v>2.966702231E9</v>
      </c>
      <c r="H1172" s="3" t="s">
        <v>44</v>
      </c>
      <c r="I1172" s="3" t="s">
        <v>28</v>
      </c>
      <c r="K1172" s="3" t="s">
        <v>1132</v>
      </c>
      <c r="L1172" s="3" t="s">
        <v>1332</v>
      </c>
      <c r="M1172" s="3" t="s">
        <v>1213</v>
      </c>
      <c r="R1172" s="7" t="str">
        <f>IF(H1172="","",VLOOKUP(H1172,'Hoja 9'!$A$1:$B$255,2,0))</f>
        <v>GIMNASIO</v>
      </c>
      <c r="S1172" s="7">
        <f t="shared" si="1"/>
        <v>2025</v>
      </c>
      <c r="T1172" s="7">
        <f t="shared" si="2"/>
        <v>8</v>
      </c>
    </row>
    <row r="1173">
      <c r="A1173" s="4">
        <v>45893.866821539355</v>
      </c>
      <c r="B1173" s="3" t="s">
        <v>3054</v>
      </c>
      <c r="C1173" s="3" t="s">
        <v>1617</v>
      </c>
      <c r="E1173" s="5">
        <v>26419.0</v>
      </c>
      <c r="F1173" s="3">
        <v>2.1999687E7</v>
      </c>
      <c r="G1173" s="3">
        <v>3.512461707E9</v>
      </c>
      <c r="H1173" s="3" t="s">
        <v>44</v>
      </c>
      <c r="I1173" s="3" t="s">
        <v>28</v>
      </c>
      <c r="K1173" s="3" t="s">
        <v>1132</v>
      </c>
      <c r="L1173" s="3" t="s">
        <v>1133</v>
      </c>
      <c r="M1173" s="3" t="s">
        <v>1134</v>
      </c>
      <c r="R1173" s="7" t="str">
        <f>IF(H1173="","",VLOOKUP(H1173,'Hoja 9'!$A$1:$B$255,2,0))</f>
        <v>GIMNASIO</v>
      </c>
      <c r="S1173" s="7">
        <f t="shared" si="1"/>
        <v>2025</v>
      </c>
      <c r="T1173" s="7">
        <f t="shared" si="2"/>
        <v>8</v>
      </c>
    </row>
    <row r="1174">
      <c r="A1174" s="4">
        <v>45894.38285763889</v>
      </c>
      <c r="B1174" s="3" t="s">
        <v>3055</v>
      </c>
      <c r="C1174" s="3" t="s">
        <v>3056</v>
      </c>
      <c r="D1174" s="3" t="s">
        <v>3057</v>
      </c>
      <c r="E1174" s="5">
        <v>29851.0</v>
      </c>
      <c r="F1174" s="3">
        <v>2.9063127E7</v>
      </c>
      <c r="G1174" s="3">
        <v>3.516279043E9</v>
      </c>
      <c r="H1174" s="3" t="s">
        <v>44</v>
      </c>
      <c r="I1174" s="3" t="s">
        <v>22</v>
      </c>
      <c r="K1174" s="3" t="s">
        <v>1132</v>
      </c>
      <c r="L1174" s="3" t="s">
        <v>1133</v>
      </c>
      <c r="M1174" s="3" t="s">
        <v>1134</v>
      </c>
      <c r="O1174" s="3" t="s">
        <v>149</v>
      </c>
      <c r="R1174" s="7" t="str">
        <f>IF(H1174="","",VLOOKUP(H1174,'Hoja 9'!$A$1:$B$255,2,0))</f>
        <v>GIMNASIO</v>
      </c>
      <c r="S1174" s="7">
        <f t="shared" si="1"/>
        <v>2025</v>
      </c>
      <c r="T1174" s="7">
        <f t="shared" si="2"/>
        <v>8</v>
      </c>
    </row>
    <row r="1175">
      <c r="A1175" s="4">
        <v>45894.473417719906</v>
      </c>
      <c r="B1175" s="3" t="s">
        <v>3058</v>
      </c>
      <c r="C1175" s="3" t="s">
        <v>3059</v>
      </c>
      <c r="D1175" s="3" t="s">
        <v>3060</v>
      </c>
      <c r="E1175" s="5">
        <v>37398.0</v>
      </c>
      <c r="F1175" s="3">
        <v>4.419189E7</v>
      </c>
      <c r="G1175" s="3">
        <v>3.515314409E9</v>
      </c>
      <c r="H1175" s="3" t="s">
        <v>27</v>
      </c>
      <c r="I1175" s="3" t="s">
        <v>22</v>
      </c>
      <c r="K1175" s="3" t="s">
        <v>1132</v>
      </c>
      <c r="L1175" s="3" t="s">
        <v>3061</v>
      </c>
      <c r="M1175" s="3" t="s">
        <v>1134</v>
      </c>
      <c r="O1175" s="3" t="s">
        <v>23</v>
      </c>
      <c r="R1175" s="7" t="str">
        <f>IF(H1175="","",VLOOKUP(H1175,'Hoja 9'!$A$1:$B$255,2,0))</f>
        <v>BOCA EN BOCA</v>
      </c>
      <c r="S1175" s="7">
        <f t="shared" si="1"/>
        <v>2025</v>
      </c>
      <c r="T1175" s="7">
        <f t="shared" si="2"/>
        <v>8</v>
      </c>
    </row>
    <row r="1176">
      <c r="A1176" s="4">
        <v>45894.50326159722</v>
      </c>
      <c r="B1176" s="3" t="s">
        <v>1146</v>
      </c>
      <c r="C1176" s="3" t="s">
        <v>2077</v>
      </c>
      <c r="D1176" s="3" t="s">
        <v>3062</v>
      </c>
      <c r="E1176" s="5">
        <v>20020.0</v>
      </c>
      <c r="F1176" s="3">
        <v>1.1195653E7</v>
      </c>
      <c r="G1176" s="3">
        <v>3.516825284E9</v>
      </c>
      <c r="H1176" s="3" t="s">
        <v>27</v>
      </c>
      <c r="I1176" s="3" t="s">
        <v>22</v>
      </c>
      <c r="K1176" s="3" t="s">
        <v>1145</v>
      </c>
      <c r="O1176" s="3" t="s">
        <v>23</v>
      </c>
      <c r="R1176" s="7" t="str">
        <f>IF(H1176="","",VLOOKUP(H1176,'Hoja 9'!$A$1:$B$255,2,0))</f>
        <v>BOCA EN BOCA</v>
      </c>
      <c r="S1176" s="7">
        <f t="shared" si="1"/>
        <v>2025</v>
      </c>
      <c r="T1176" s="7">
        <f t="shared" si="2"/>
        <v>8</v>
      </c>
    </row>
    <row r="1177">
      <c r="A1177" s="4">
        <v>45894.55519263889</v>
      </c>
      <c r="B1177" s="3" t="s">
        <v>3063</v>
      </c>
      <c r="C1177" s="3" t="s">
        <v>175</v>
      </c>
      <c r="D1177" s="3" t="s">
        <v>3064</v>
      </c>
      <c r="E1177" s="5">
        <v>29447.0</v>
      </c>
      <c r="F1177" s="3">
        <v>2.8272373E7</v>
      </c>
      <c r="G1177" s="3">
        <v>3.512030983E9</v>
      </c>
      <c r="H1177" s="3" t="s">
        <v>27</v>
      </c>
      <c r="I1177" s="3" t="s">
        <v>28</v>
      </c>
      <c r="K1177" s="3" t="s">
        <v>1132</v>
      </c>
      <c r="L1177" s="3" t="s">
        <v>1133</v>
      </c>
      <c r="M1177" s="3" t="s">
        <v>1134</v>
      </c>
      <c r="R1177" s="7" t="str">
        <f>IF(H1177="","",VLOOKUP(H1177,'Hoja 9'!$A$1:$B$255,2,0))</f>
        <v>BOCA EN BOCA</v>
      </c>
      <c r="S1177" s="7">
        <f t="shared" si="1"/>
        <v>2025</v>
      </c>
      <c r="T1177" s="7">
        <f t="shared" si="2"/>
        <v>8</v>
      </c>
    </row>
    <row r="1178">
      <c r="A1178" s="4">
        <v>45894.85984204861</v>
      </c>
      <c r="B1178" s="3" t="s">
        <v>606</v>
      </c>
      <c r="C1178" s="3" t="s">
        <v>607</v>
      </c>
      <c r="D1178" s="3" t="s">
        <v>608</v>
      </c>
      <c r="E1178" s="5">
        <v>39045.0</v>
      </c>
      <c r="F1178" s="3">
        <v>4.7351636E7</v>
      </c>
      <c r="G1178" s="3">
        <v>3.515306105E9</v>
      </c>
      <c r="H1178" s="3" t="s">
        <v>27</v>
      </c>
      <c r="I1178" s="3" t="s">
        <v>22</v>
      </c>
      <c r="K1178" s="3" t="s">
        <v>1132</v>
      </c>
      <c r="L1178" s="3" t="s">
        <v>1401</v>
      </c>
      <c r="M1178" s="3" t="s">
        <v>1134</v>
      </c>
      <c r="O1178" s="3" t="s">
        <v>23</v>
      </c>
      <c r="R1178" s="7" t="str">
        <f>IF(H1178="","",VLOOKUP(H1178,'Hoja 9'!$A$1:$B$255,2,0))</f>
        <v>BOCA EN BOCA</v>
      </c>
      <c r="S1178" s="7">
        <f t="shared" si="1"/>
        <v>2025</v>
      </c>
      <c r="T1178" s="7">
        <f t="shared" si="2"/>
        <v>8</v>
      </c>
    </row>
    <row r="1179">
      <c r="A1179" s="4">
        <v>45894.8850678125</v>
      </c>
      <c r="B1179" s="3" t="s">
        <v>3065</v>
      </c>
      <c r="C1179" s="3" t="s">
        <v>175</v>
      </c>
      <c r="D1179" s="3" t="s">
        <v>3066</v>
      </c>
      <c r="E1179" s="5">
        <v>35354.0</v>
      </c>
      <c r="F1179" s="3">
        <v>3.9693559E7</v>
      </c>
      <c r="G1179" s="3">
        <v>3.513061167E9</v>
      </c>
      <c r="H1179" s="3" t="s">
        <v>27</v>
      </c>
      <c r="I1179" s="3" t="s">
        <v>22</v>
      </c>
      <c r="K1179" s="3" t="s">
        <v>1132</v>
      </c>
      <c r="L1179" s="3" t="s">
        <v>1133</v>
      </c>
      <c r="M1179" s="3" t="s">
        <v>1134</v>
      </c>
      <c r="O1179" s="3" t="s">
        <v>149</v>
      </c>
      <c r="R1179" s="7" t="str">
        <f>IF(H1179="","",VLOOKUP(H1179,'Hoja 9'!$A$1:$B$255,2,0))</f>
        <v>BOCA EN BOCA</v>
      </c>
      <c r="S1179" s="7">
        <f t="shared" si="1"/>
        <v>2025</v>
      </c>
      <c r="T1179" s="7">
        <f t="shared" si="2"/>
        <v>8</v>
      </c>
    </row>
    <row r="1180">
      <c r="A1180" s="4">
        <v>45895.389643773146</v>
      </c>
      <c r="B1180" s="3" t="s">
        <v>3067</v>
      </c>
      <c r="C1180" s="3" t="s">
        <v>3068</v>
      </c>
      <c r="D1180" s="3" t="s">
        <v>3069</v>
      </c>
      <c r="E1180" s="5">
        <v>22469.0</v>
      </c>
      <c r="F1180" s="3">
        <v>1.4799053E7</v>
      </c>
      <c r="G1180" s="3">
        <v>3.515207437E9</v>
      </c>
      <c r="H1180" s="3" t="s">
        <v>244</v>
      </c>
      <c r="I1180" s="3" t="s">
        <v>28</v>
      </c>
      <c r="K1180" s="3" t="s">
        <v>1145</v>
      </c>
      <c r="R1180" s="7" t="str">
        <f>IF(H1180="","",VLOOKUP(H1180,'Hoja 9'!$A$1:$B$255,2,0))</f>
        <v>META</v>
      </c>
      <c r="S1180" s="7">
        <f t="shared" si="1"/>
        <v>2025</v>
      </c>
      <c r="T1180" s="7">
        <f t="shared" si="2"/>
        <v>8</v>
      </c>
    </row>
    <row r="1181">
      <c r="A1181" s="4">
        <v>45895.42391855324</v>
      </c>
      <c r="B1181" s="3" t="s">
        <v>3070</v>
      </c>
      <c r="C1181" s="3" t="s">
        <v>212</v>
      </c>
      <c r="E1181" s="5">
        <v>39379.0</v>
      </c>
      <c r="F1181" s="3">
        <v>4.7819429E7</v>
      </c>
      <c r="G1181" s="3">
        <v>3.513251811E9</v>
      </c>
      <c r="H1181" s="3" t="s">
        <v>27</v>
      </c>
      <c r="I1181" s="3" t="s">
        <v>28</v>
      </c>
      <c r="K1181" s="3" t="s">
        <v>1132</v>
      </c>
      <c r="M1181" s="3" t="s">
        <v>1134</v>
      </c>
      <c r="R1181" s="7" t="str">
        <f>IF(H1181="","",VLOOKUP(H1181,'Hoja 9'!$A$1:$B$255,2,0))</f>
        <v>BOCA EN BOCA</v>
      </c>
      <c r="S1181" s="7">
        <f t="shared" si="1"/>
        <v>2025</v>
      </c>
      <c r="T1181" s="7">
        <f t="shared" si="2"/>
        <v>8</v>
      </c>
    </row>
    <row r="1182">
      <c r="A1182" s="4">
        <v>45895.425211180554</v>
      </c>
      <c r="B1182" s="3" t="s">
        <v>3071</v>
      </c>
      <c r="C1182" s="3" t="s">
        <v>197</v>
      </c>
      <c r="D1182" s="3" t="s">
        <v>3072</v>
      </c>
      <c r="E1182" s="5">
        <v>22497.0</v>
      </c>
      <c r="F1182" s="3">
        <v>1.4579275E7</v>
      </c>
      <c r="G1182" s="3">
        <v>3.513101052E9</v>
      </c>
      <c r="H1182" s="3" t="s">
        <v>27</v>
      </c>
      <c r="I1182" s="3" t="s">
        <v>22</v>
      </c>
      <c r="K1182" s="3" t="s">
        <v>1145</v>
      </c>
      <c r="O1182" s="3" t="s">
        <v>23</v>
      </c>
      <c r="R1182" s="7" t="str">
        <f>IF(H1182="","",VLOOKUP(H1182,'Hoja 9'!$A$1:$B$255,2,0))</f>
        <v>BOCA EN BOCA</v>
      </c>
      <c r="S1182" s="7">
        <f t="shared" si="1"/>
        <v>2025</v>
      </c>
      <c r="T1182" s="7">
        <f t="shared" si="2"/>
        <v>8</v>
      </c>
    </row>
    <row r="1183">
      <c r="A1183" s="4">
        <v>45895.45617201389</v>
      </c>
      <c r="B1183" s="3" t="s">
        <v>3073</v>
      </c>
      <c r="C1183" s="3" t="s">
        <v>3074</v>
      </c>
      <c r="E1183" s="5">
        <v>19214.0</v>
      </c>
      <c r="F1183" s="3">
        <v>1.0446554E7</v>
      </c>
      <c r="G1183" s="3">
        <v>3.512070993E9</v>
      </c>
      <c r="H1183" s="3" t="s">
        <v>27</v>
      </c>
      <c r="I1183" s="3" t="s">
        <v>28</v>
      </c>
      <c r="K1183" s="3" t="s">
        <v>1132</v>
      </c>
      <c r="L1183" s="3" t="s">
        <v>1404</v>
      </c>
      <c r="M1183" s="3" t="s">
        <v>1134</v>
      </c>
      <c r="R1183" s="7" t="str">
        <f>IF(H1183="","",VLOOKUP(H1183,'Hoja 9'!$A$1:$B$255,2,0))</f>
        <v>BOCA EN BOCA</v>
      </c>
      <c r="S1183" s="7">
        <f t="shared" si="1"/>
        <v>2025</v>
      </c>
      <c r="T1183" s="7">
        <f t="shared" si="2"/>
        <v>8</v>
      </c>
    </row>
    <row r="1184">
      <c r="A1184" s="4">
        <v>45895.45979105324</v>
      </c>
      <c r="B1184" s="3" t="s">
        <v>3075</v>
      </c>
      <c r="C1184" s="3" t="s">
        <v>993</v>
      </c>
      <c r="D1184" s="3" t="s">
        <v>3076</v>
      </c>
      <c r="E1184" s="5">
        <v>25955.0</v>
      </c>
      <c r="F1184" s="3">
        <v>9.4184532E7</v>
      </c>
      <c r="G1184" s="3">
        <v>3.513412093E9</v>
      </c>
      <c r="H1184" s="3" t="s">
        <v>339</v>
      </c>
      <c r="I1184" s="3" t="s">
        <v>28</v>
      </c>
      <c r="K1184" s="3" t="s">
        <v>1132</v>
      </c>
      <c r="L1184" s="3" t="s">
        <v>1133</v>
      </c>
      <c r="M1184" s="3" t="s">
        <v>1134</v>
      </c>
      <c r="R1184" s="7" t="str">
        <f>IF(H1184="","",VLOOKUP(H1184,'Hoja 9'!$A$1:$B$255,2,0))</f>
        <v>META</v>
      </c>
      <c r="S1184" s="7">
        <f t="shared" si="1"/>
        <v>2025</v>
      </c>
      <c r="T1184" s="7">
        <f t="shared" si="2"/>
        <v>8</v>
      </c>
    </row>
    <row r="1185">
      <c r="A1185" s="4">
        <v>45895.46583539352</v>
      </c>
      <c r="B1185" s="3" t="s">
        <v>3071</v>
      </c>
      <c r="C1185" s="3" t="s">
        <v>3077</v>
      </c>
      <c r="D1185" s="3" t="s">
        <v>3072</v>
      </c>
      <c r="E1185" s="5">
        <v>22497.0</v>
      </c>
      <c r="F1185" s="3">
        <v>1.4579175E7</v>
      </c>
      <c r="G1185" s="3">
        <v>3.513101052E9</v>
      </c>
      <c r="H1185" s="3" t="s">
        <v>27</v>
      </c>
      <c r="I1185" s="3" t="s">
        <v>22</v>
      </c>
      <c r="K1185" s="3" t="s">
        <v>1145</v>
      </c>
      <c r="O1185" s="3" t="s">
        <v>23</v>
      </c>
      <c r="R1185" s="7" t="str">
        <f>IF(H1185="","",VLOOKUP(H1185,'Hoja 9'!$A$1:$B$255,2,0))</f>
        <v>BOCA EN BOCA</v>
      </c>
      <c r="S1185" s="7">
        <f t="shared" si="1"/>
        <v>2025</v>
      </c>
      <c r="T1185" s="7">
        <f t="shared" si="2"/>
        <v>8</v>
      </c>
    </row>
    <row r="1186">
      <c r="A1186" s="4">
        <v>45895.5304697338</v>
      </c>
      <c r="B1186" s="3" t="s">
        <v>100</v>
      </c>
      <c r="C1186" s="3" t="s">
        <v>3078</v>
      </c>
      <c r="D1186" s="3" t="s">
        <v>3079</v>
      </c>
      <c r="E1186" s="5">
        <v>30299.0</v>
      </c>
      <c r="F1186" s="3">
        <v>2.9585978E7</v>
      </c>
      <c r="G1186" s="3">
        <v>3.512250662E9</v>
      </c>
      <c r="H1186" s="3" t="s">
        <v>148</v>
      </c>
      <c r="I1186" s="3" t="s">
        <v>22</v>
      </c>
      <c r="K1186" s="3" t="s">
        <v>1132</v>
      </c>
      <c r="L1186" s="3" t="s">
        <v>1136</v>
      </c>
      <c r="M1186" s="3" t="s">
        <v>1134</v>
      </c>
      <c r="O1186" s="3" t="s">
        <v>149</v>
      </c>
      <c r="R1186" s="7" t="str">
        <f>IF(H1186="","",VLOOKUP(H1186,'Hoja 9'!$A$1:$B$255,2,0))</f>
        <v>OBRA SOCIAL</v>
      </c>
      <c r="S1186" s="7">
        <f t="shared" si="1"/>
        <v>2025</v>
      </c>
      <c r="T1186" s="7">
        <f t="shared" si="2"/>
        <v>8</v>
      </c>
    </row>
    <row r="1187">
      <c r="A1187" s="4">
        <v>45895.570005</v>
      </c>
      <c r="B1187" s="3" t="s">
        <v>3080</v>
      </c>
      <c r="C1187" s="3" t="s">
        <v>1083</v>
      </c>
      <c r="D1187" s="3" t="s">
        <v>3081</v>
      </c>
      <c r="E1187" s="5">
        <v>39379.0</v>
      </c>
      <c r="F1187" s="3">
        <v>4.7819429E7</v>
      </c>
      <c r="G1187" s="3">
        <v>3.513251811E9</v>
      </c>
      <c r="H1187" s="3" t="s">
        <v>27</v>
      </c>
      <c r="I1187" s="3" t="s">
        <v>28</v>
      </c>
      <c r="K1187" s="3" t="s">
        <v>1132</v>
      </c>
      <c r="L1187" s="3" t="s">
        <v>1332</v>
      </c>
      <c r="M1187" s="3" t="s">
        <v>1134</v>
      </c>
      <c r="R1187" s="7" t="str">
        <f>IF(H1187="","",VLOOKUP(H1187,'Hoja 9'!$A$1:$B$255,2,0))</f>
        <v>BOCA EN BOCA</v>
      </c>
      <c r="S1187" s="7">
        <f t="shared" si="1"/>
        <v>2025</v>
      </c>
      <c r="T1187" s="7">
        <f t="shared" si="2"/>
        <v>8</v>
      </c>
    </row>
    <row r="1188">
      <c r="A1188" s="4">
        <v>45895.63132671296</v>
      </c>
      <c r="B1188" s="3" t="s">
        <v>3082</v>
      </c>
      <c r="C1188" s="3" t="s">
        <v>3083</v>
      </c>
      <c r="D1188" s="3" t="s">
        <v>3084</v>
      </c>
      <c r="E1188" s="5">
        <v>22717.0</v>
      </c>
      <c r="F1188" s="3">
        <v>1.4839545E7</v>
      </c>
      <c r="G1188" s="3">
        <v>3.516164441E9</v>
      </c>
      <c r="H1188" s="3" t="s">
        <v>27</v>
      </c>
      <c r="I1188" s="3" t="s">
        <v>28</v>
      </c>
      <c r="K1188" s="3" t="s">
        <v>1132</v>
      </c>
      <c r="L1188" s="3" t="s">
        <v>1133</v>
      </c>
      <c r="M1188" s="3" t="s">
        <v>1134</v>
      </c>
      <c r="R1188" s="7" t="str">
        <f>IF(H1188="","",VLOOKUP(H1188,'Hoja 9'!$A$1:$B$255,2,0))</f>
        <v>BOCA EN BOCA</v>
      </c>
      <c r="S1188" s="7">
        <f t="shared" si="1"/>
        <v>2025</v>
      </c>
      <c r="T1188" s="7">
        <f t="shared" si="2"/>
        <v>8</v>
      </c>
    </row>
    <row r="1189">
      <c r="A1189" s="4">
        <v>45896.45190875</v>
      </c>
      <c r="B1189" s="3" t="s">
        <v>2739</v>
      </c>
      <c r="C1189" s="3" t="s">
        <v>3085</v>
      </c>
      <c r="D1189" s="3" t="s">
        <v>3086</v>
      </c>
      <c r="E1189" s="5">
        <v>30637.0</v>
      </c>
      <c r="F1189" s="3">
        <v>3.0657396E7</v>
      </c>
      <c r="G1189" s="3">
        <v>3.513831711E9</v>
      </c>
      <c r="H1189" s="3" t="s">
        <v>21</v>
      </c>
      <c r="I1189" s="3" t="s">
        <v>28</v>
      </c>
      <c r="K1189" s="3" t="s">
        <v>1145</v>
      </c>
      <c r="R1189" s="7" t="str">
        <f>IF(H1189="","",VLOOKUP(H1189,'Hoja 9'!$A$1:$B$255,2,0))</f>
        <v>GOOGLE</v>
      </c>
      <c r="S1189" s="7">
        <f t="shared" si="1"/>
        <v>2025</v>
      </c>
      <c r="T1189" s="7">
        <f t="shared" si="2"/>
        <v>8</v>
      </c>
    </row>
    <row r="1190">
      <c r="A1190" s="4">
        <v>45896.51124487269</v>
      </c>
      <c r="B1190" s="3" t="s">
        <v>3087</v>
      </c>
      <c r="C1190" s="3" t="s">
        <v>643</v>
      </c>
      <c r="D1190" s="3" t="s">
        <v>3088</v>
      </c>
      <c r="E1190" s="5">
        <v>20277.0</v>
      </c>
      <c r="F1190" s="3">
        <v>1.1767424E7</v>
      </c>
      <c r="G1190" s="3">
        <v>3.512082578E9</v>
      </c>
      <c r="H1190" s="3" t="s">
        <v>27</v>
      </c>
      <c r="I1190" s="3" t="s">
        <v>28</v>
      </c>
      <c r="K1190" s="3" t="s">
        <v>1132</v>
      </c>
      <c r="L1190" s="3" t="s">
        <v>1133</v>
      </c>
      <c r="M1190" s="3" t="s">
        <v>1137</v>
      </c>
      <c r="R1190" s="7" t="str">
        <f>IF(H1190="","",VLOOKUP(H1190,'Hoja 9'!$A$1:$B$255,2,0))</f>
        <v>BOCA EN BOCA</v>
      </c>
      <c r="S1190" s="7">
        <f t="shared" si="1"/>
        <v>2025</v>
      </c>
      <c r="T1190" s="7">
        <f t="shared" si="2"/>
        <v>8</v>
      </c>
    </row>
    <row r="1191">
      <c r="A1191" s="4">
        <v>45896.679321655094</v>
      </c>
      <c r="B1191" s="3" t="s">
        <v>3089</v>
      </c>
      <c r="C1191" s="3" t="s">
        <v>1642</v>
      </c>
      <c r="D1191" s="3" t="s">
        <v>3090</v>
      </c>
      <c r="E1191" s="5">
        <v>38233.0</v>
      </c>
      <c r="F1191" s="3">
        <v>4.5594379E7</v>
      </c>
      <c r="G1191" s="3">
        <v>3.512348045E9</v>
      </c>
      <c r="H1191" s="3" t="s">
        <v>21</v>
      </c>
      <c r="I1191" s="3" t="s">
        <v>22</v>
      </c>
      <c r="K1191" s="3" t="s">
        <v>1145</v>
      </c>
      <c r="O1191" s="3" t="s">
        <v>3091</v>
      </c>
      <c r="R1191" s="7" t="str">
        <f>IF(H1191="","",VLOOKUP(H1191,'Hoja 9'!$A$1:$B$255,2,0))</f>
        <v>GOOGLE</v>
      </c>
      <c r="S1191" s="7">
        <f t="shared" si="1"/>
        <v>2025</v>
      </c>
      <c r="T1191" s="7">
        <f t="shared" si="2"/>
        <v>8</v>
      </c>
    </row>
    <row r="1192">
      <c r="A1192" s="4">
        <v>45896.8165191088</v>
      </c>
      <c r="B1192" s="3" t="s">
        <v>1301</v>
      </c>
      <c r="C1192" s="3" t="s">
        <v>3092</v>
      </c>
      <c r="D1192" s="3" t="s">
        <v>3093</v>
      </c>
      <c r="E1192" s="5">
        <v>36609.0</v>
      </c>
      <c r="F1192" s="3">
        <v>4.2439911E7</v>
      </c>
      <c r="G1192" s="3">
        <v>3.513434808E9</v>
      </c>
      <c r="H1192" s="3" t="s">
        <v>21</v>
      </c>
      <c r="I1192" s="3" t="s">
        <v>22</v>
      </c>
      <c r="K1192" s="3" t="s">
        <v>1132</v>
      </c>
      <c r="L1192" s="3" t="s">
        <v>3094</v>
      </c>
      <c r="M1192" s="3" t="s">
        <v>1134</v>
      </c>
      <c r="O1192" s="3" t="s">
        <v>149</v>
      </c>
      <c r="R1192" s="7" t="str">
        <f>IF(H1192="","",VLOOKUP(H1192,'Hoja 9'!$A$1:$B$255,2,0))</f>
        <v>GOOGLE</v>
      </c>
      <c r="S1192" s="7">
        <f t="shared" si="1"/>
        <v>2025</v>
      </c>
      <c r="T1192" s="7">
        <f t="shared" si="2"/>
        <v>8</v>
      </c>
    </row>
    <row r="1193">
      <c r="A1193" s="4">
        <v>45897.46122528936</v>
      </c>
      <c r="B1193" s="3" t="s">
        <v>1266</v>
      </c>
      <c r="C1193" s="3" t="s">
        <v>3004</v>
      </c>
      <c r="D1193" s="3" t="s">
        <v>3095</v>
      </c>
      <c r="E1193" s="5">
        <v>38817.0</v>
      </c>
      <c r="F1193" s="3">
        <v>4.699994E7</v>
      </c>
      <c r="G1193" s="3">
        <v>3.518638864E9</v>
      </c>
      <c r="H1193" s="3" t="s">
        <v>27</v>
      </c>
      <c r="I1193" s="3" t="s">
        <v>28</v>
      </c>
      <c r="K1193" s="3" t="s">
        <v>1132</v>
      </c>
      <c r="L1193" s="3" t="s">
        <v>1172</v>
      </c>
      <c r="M1193" s="3" t="s">
        <v>1134</v>
      </c>
      <c r="R1193" s="7" t="str">
        <f>IF(H1193="","",VLOOKUP(H1193,'Hoja 9'!$A$1:$B$255,2,0))</f>
        <v>BOCA EN BOCA</v>
      </c>
      <c r="S1193" s="7">
        <f t="shared" si="1"/>
        <v>2025</v>
      </c>
      <c r="T1193" s="7">
        <f t="shared" si="2"/>
        <v>8</v>
      </c>
    </row>
    <row r="1194">
      <c r="A1194" s="4">
        <v>45897.524577743054</v>
      </c>
      <c r="B1194" s="3" t="s">
        <v>3096</v>
      </c>
      <c r="C1194" s="3" t="s">
        <v>1074</v>
      </c>
      <c r="D1194" s="3" t="s">
        <v>3097</v>
      </c>
      <c r="E1194" s="5">
        <v>32954.0</v>
      </c>
      <c r="F1194" s="3">
        <v>3.5054826E7</v>
      </c>
      <c r="G1194" s="3">
        <v>3.516651241E9</v>
      </c>
      <c r="H1194" s="3" t="s">
        <v>21</v>
      </c>
      <c r="I1194" s="3" t="s">
        <v>28</v>
      </c>
      <c r="K1194" s="3" t="s">
        <v>1132</v>
      </c>
      <c r="L1194" s="3" t="s">
        <v>1136</v>
      </c>
      <c r="M1194" s="3" t="s">
        <v>1134</v>
      </c>
      <c r="R1194" s="7" t="str">
        <f>IF(H1194="","",VLOOKUP(H1194,'Hoja 9'!$A$1:$B$255,2,0))</f>
        <v>GOOGLE</v>
      </c>
      <c r="S1194" s="7">
        <f t="shared" si="1"/>
        <v>2025</v>
      </c>
      <c r="T1194" s="7">
        <f t="shared" si="2"/>
        <v>8</v>
      </c>
    </row>
    <row r="1195">
      <c r="A1195" s="4">
        <v>45901.36936700231</v>
      </c>
      <c r="B1195" s="3" t="s">
        <v>3098</v>
      </c>
      <c r="C1195" s="3" t="s">
        <v>228</v>
      </c>
      <c r="D1195" s="3" t="s">
        <v>421</v>
      </c>
      <c r="E1195" s="5">
        <v>21073.0</v>
      </c>
      <c r="F1195" s="3">
        <v>1.368321E7</v>
      </c>
      <c r="G1195" s="3">
        <v>3.516517192E9</v>
      </c>
      <c r="H1195" s="3" t="s">
        <v>27</v>
      </c>
      <c r="I1195" s="3" t="s">
        <v>28</v>
      </c>
      <c r="K1195" s="3" t="s">
        <v>1132</v>
      </c>
      <c r="L1195" s="3" t="s">
        <v>1133</v>
      </c>
      <c r="M1195" s="3" t="s">
        <v>1137</v>
      </c>
      <c r="R1195" s="7" t="str">
        <f>IF(H1195="","",VLOOKUP(H1195,'Hoja 9'!$A$1:$B$255,2,0))</f>
        <v>BOCA EN BOCA</v>
      </c>
      <c r="S1195" s="7">
        <f t="shared" si="1"/>
        <v>2025</v>
      </c>
      <c r="T1195" s="7">
        <f t="shared" si="2"/>
        <v>9</v>
      </c>
    </row>
    <row r="1196">
      <c r="A1196" s="4">
        <v>45901.823886805556</v>
      </c>
      <c r="B1196" s="3" t="s">
        <v>3099</v>
      </c>
      <c r="C1196" s="3" t="s">
        <v>3100</v>
      </c>
      <c r="D1196" s="3" t="s">
        <v>3101</v>
      </c>
      <c r="E1196" s="5">
        <v>35433.0</v>
      </c>
      <c r="F1196" s="3">
        <v>4.0106664E7</v>
      </c>
      <c r="G1196" s="3">
        <v>3.512359003E9</v>
      </c>
      <c r="H1196" s="3" t="s">
        <v>21</v>
      </c>
      <c r="I1196" s="3" t="s">
        <v>22</v>
      </c>
      <c r="K1196" s="3" t="s">
        <v>1132</v>
      </c>
      <c r="L1196" s="3" t="s">
        <v>1136</v>
      </c>
      <c r="M1196" s="3" t="s">
        <v>1137</v>
      </c>
      <c r="O1196" s="3" t="s">
        <v>68</v>
      </c>
      <c r="R1196" s="7" t="str">
        <f>IF(H1196="","",VLOOKUP(H1196,'Hoja 9'!$A$1:$B$255,2,0))</f>
        <v>GOOGLE</v>
      </c>
      <c r="S1196" s="7">
        <f t="shared" si="1"/>
        <v>2025</v>
      </c>
      <c r="T1196" s="7">
        <f t="shared" si="2"/>
        <v>9</v>
      </c>
    </row>
    <row r="1197">
      <c r="A1197" s="4">
        <v>45902.58038434028</v>
      </c>
      <c r="B1197" s="3" t="s">
        <v>3102</v>
      </c>
      <c r="C1197" s="3" t="s">
        <v>3103</v>
      </c>
      <c r="D1197" s="3" t="s">
        <v>3104</v>
      </c>
      <c r="E1197" s="5">
        <v>23927.0</v>
      </c>
      <c r="F1197" s="3">
        <v>1.7157777E7</v>
      </c>
      <c r="G1197" s="3">
        <v>3.515335683E9</v>
      </c>
      <c r="H1197" s="3" t="s">
        <v>27</v>
      </c>
      <c r="I1197" s="3" t="s">
        <v>22</v>
      </c>
      <c r="K1197" s="3" t="s">
        <v>1145</v>
      </c>
      <c r="O1197" s="3" t="s">
        <v>23</v>
      </c>
      <c r="R1197" s="7" t="str">
        <f>IF(H1197="","",VLOOKUP(H1197,'Hoja 9'!$A$1:$B$255,2,0))</f>
        <v>BOCA EN BOCA</v>
      </c>
      <c r="S1197" s="7">
        <f t="shared" si="1"/>
        <v>2025</v>
      </c>
      <c r="T1197" s="7">
        <f t="shared" si="2"/>
        <v>9</v>
      </c>
    </row>
    <row r="1198">
      <c r="A1198" s="4">
        <v>45902.72117539352</v>
      </c>
      <c r="B1198" s="3" t="s">
        <v>3105</v>
      </c>
      <c r="C1198" s="3" t="s">
        <v>2106</v>
      </c>
      <c r="D1198" s="3" t="s">
        <v>3106</v>
      </c>
      <c r="E1198" s="5">
        <v>30151.0</v>
      </c>
      <c r="F1198" s="3">
        <v>2.960688E7</v>
      </c>
      <c r="G1198" s="3">
        <v>3.516833779E9</v>
      </c>
      <c r="H1198" s="3" t="s">
        <v>44</v>
      </c>
      <c r="I1198" s="3" t="s">
        <v>22</v>
      </c>
      <c r="K1198" s="3" t="s">
        <v>1132</v>
      </c>
      <c r="L1198" s="3" t="s">
        <v>1133</v>
      </c>
      <c r="M1198" s="3" t="s">
        <v>1134</v>
      </c>
      <c r="O1198" s="3" t="s">
        <v>3107</v>
      </c>
      <c r="R1198" s="7" t="str">
        <f>IF(H1198="","",VLOOKUP(H1198,'Hoja 9'!$A$1:$B$255,2,0))</f>
        <v>GIMNASIO</v>
      </c>
      <c r="S1198" s="7">
        <f t="shared" si="1"/>
        <v>2025</v>
      </c>
      <c r="T1198" s="7">
        <f t="shared" si="2"/>
        <v>9</v>
      </c>
    </row>
    <row r="1199">
      <c r="A1199" s="4">
        <v>45902.749190601855</v>
      </c>
      <c r="B1199" s="3" t="s">
        <v>3108</v>
      </c>
      <c r="C1199" s="3" t="s">
        <v>1788</v>
      </c>
      <c r="D1199" s="3" t="s">
        <v>3109</v>
      </c>
      <c r="E1199" s="5">
        <v>33719.0</v>
      </c>
      <c r="F1199" s="3">
        <v>3.6234832E7</v>
      </c>
      <c r="G1199" s="3">
        <v>3.513053233E9</v>
      </c>
      <c r="H1199" s="3" t="s">
        <v>27</v>
      </c>
      <c r="I1199" s="3" t="s">
        <v>22</v>
      </c>
      <c r="K1199" s="3" t="s">
        <v>1145</v>
      </c>
      <c r="O1199" s="3" t="s">
        <v>58</v>
      </c>
      <c r="R1199" s="7" t="str">
        <f>IF(H1199="","",VLOOKUP(H1199,'Hoja 9'!$A$1:$B$255,2,0))</f>
        <v>BOCA EN BOCA</v>
      </c>
      <c r="S1199" s="7">
        <f t="shared" si="1"/>
        <v>2025</v>
      </c>
      <c r="T1199" s="7">
        <f t="shared" si="2"/>
        <v>9</v>
      </c>
    </row>
    <row r="1200">
      <c r="A1200" s="4">
        <v>45902.852861990745</v>
      </c>
      <c r="B1200" s="3" t="s">
        <v>1686</v>
      </c>
      <c r="C1200" s="3" t="s">
        <v>2355</v>
      </c>
      <c r="D1200" s="3" t="s">
        <v>3110</v>
      </c>
      <c r="E1200" s="5">
        <v>26783.0</v>
      </c>
      <c r="F1200" s="3">
        <v>2.3125481E7</v>
      </c>
      <c r="G1200" s="3">
        <v>3.512941027E9</v>
      </c>
      <c r="H1200" s="3" t="s">
        <v>21</v>
      </c>
      <c r="I1200" s="3" t="s">
        <v>22</v>
      </c>
      <c r="K1200" s="3" t="s">
        <v>1132</v>
      </c>
      <c r="L1200" s="3" t="s">
        <v>1300</v>
      </c>
      <c r="M1200" s="3" t="s">
        <v>1134</v>
      </c>
      <c r="O1200" s="3" t="s">
        <v>58</v>
      </c>
      <c r="R1200" s="7" t="str">
        <f>IF(H1200="","",VLOOKUP(H1200,'Hoja 9'!$A$1:$B$255,2,0))</f>
        <v>GOOGLE</v>
      </c>
      <c r="S1200" s="7">
        <f t="shared" si="1"/>
        <v>2025</v>
      </c>
      <c r="T1200" s="7">
        <f t="shared" si="2"/>
        <v>9</v>
      </c>
    </row>
    <row r="1201">
      <c r="A1201" s="4">
        <v>45903.44037539352</v>
      </c>
      <c r="B1201" s="3" t="s">
        <v>3111</v>
      </c>
      <c r="C1201" s="3" t="s">
        <v>3112</v>
      </c>
      <c r="D1201" s="3" t="s">
        <v>3113</v>
      </c>
      <c r="E1201" s="5">
        <v>16598.0</v>
      </c>
      <c r="F1201" s="3">
        <v>7983539.0</v>
      </c>
      <c r="G1201" s="3">
        <v>3.516776797E9</v>
      </c>
      <c r="H1201" s="3" t="s">
        <v>21</v>
      </c>
      <c r="I1201" s="3" t="s">
        <v>28</v>
      </c>
      <c r="K1201" s="3" t="s">
        <v>1145</v>
      </c>
      <c r="R1201" s="7" t="str">
        <f>IF(H1201="","",VLOOKUP(H1201,'Hoja 9'!$A$1:$B$255,2,0))</f>
        <v>GOOGLE</v>
      </c>
      <c r="S1201" s="7">
        <f t="shared" si="1"/>
        <v>2025</v>
      </c>
      <c r="T1201" s="7">
        <f t="shared" si="2"/>
        <v>9</v>
      </c>
    </row>
    <row r="1202">
      <c r="A1202" s="4">
        <v>45903.75526484953</v>
      </c>
      <c r="B1202" s="3" t="s">
        <v>3114</v>
      </c>
      <c r="C1202" s="3" t="s">
        <v>521</v>
      </c>
      <c r="D1202" s="3" t="s">
        <v>3115</v>
      </c>
      <c r="E1202" s="5">
        <v>37329.0</v>
      </c>
      <c r="F1202" s="3">
        <v>4.3609585E7</v>
      </c>
      <c r="G1202" s="3">
        <v>3.516658263E9</v>
      </c>
      <c r="H1202" s="3" t="s">
        <v>3116</v>
      </c>
      <c r="I1202" s="3" t="s">
        <v>22</v>
      </c>
      <c r="K1202" s="3" t="s">
        <v>1132</v>
      </c>
      <c r="L1202" s="3" t="s">
        <v>1133</v>
      </c>
      <c r="M1202" s="3" t="s">
        <v>1137</v>
      </c>
      <c r="O1202" s="3" t="s">
        <v>72</v>
      </c>
      <c r="R1202" s="7" t="str">
        <f>IF(H1202="","",VLOOKUP(H1202,'Hoja 9'!$A$1:$B$255,2,0))</f>
        <v>GIMNASIO</v>
      </c>
      <c r="S1202" s="7">
        <f t="shared" si="1"/>
        <v>2025</v>
      </c>
      <c r="T1202" s="7">
        <f t="shared" si="2"/>
        <v>9</v>
      </c>
    </row>
    <row r="1203">
      <c r="A1203" s="4">
        <v>45903.7762913426</v>
      </c>
      <c r="B1203" s="3" t="s">
        <v>3117</v>
      </c>
      <c r="C1203" s="3" t="s">
        <v>2284</v>
      </c>
      <c r="E1203" s="5">
        <v>41681.0</v>
      </c>
      <c r="F1203" s="3">
        <v>5.3507666E7</v>
      </c>
      <c r="G1203" s="3">
        <v>3.512278951E9</v>
      </c>
      <c r="H1203" s="3" t="s">
        <v>27</v>
      </c>
      <c r="I1203" s="3" t="s">
        <v>22</v>
      </c>
      <c r="K1203" s="3" t="s">
        <v>1132</v>
      </c>
      <c r="L1203" s="3" t="s">
        <v>1332</v>
      </c>
      <c r="M1203" s="3" t="s">
        <v>1137</v>
      </c>
      <c r="O1203" s="3" t="s">
        <v>375</v>
      </c>
      <c r="R1203" s="7" t="str">
        <f>IF(H1203="","",VLOOKUP(H1203,'Hoja 9'!$A$1:$B$255,2,0))</f>
        <v>BOCA EN BOCA</v>
      </c>
      <c r="S1203" s="7">
        <f t="shared" si="1"/>
        <v>2025</v>
      </c>
      <c r="T1203" s="7">
        <f t="shared" si="2"/>
        <v>9</v>
      </c>
    </row>
    <row r="1204">
      <c r="A1204" s="4">
        <v>45903.788422094905</v>
      </c>
      <c r="B1204" s="3" t="s">
        <v>3118</v>
      </c>
      <c r="C1204" s="3" t="s">
        <v>3119</v>
      </c>
      <c r="D1204" s="3" t="s">
        <v>421</v>
      </c>
      <c r="E1204" s="5">
        <v>30062.0</v>
      </c>
      <c r="F1204" s="3">
        <v>2.9473077E7</v>
      </c>
      <c r="G1204" s="3">
        <v>3.516654676E9</v>
      </c>
      <c r="H1204" s="3" t="s">
        <v>27</v>
      </c>
      <c r="I1204" s="3" t="s">
        <v>28</v>
      </c>
      <c r="K1204" s="3" t="s">
        <v>1132</v>
      </c>
      <c r="L1204" s="3" t="s">
        <v>1133</v>
      </c>
      <c r="M1204" s="3" t="s">
        <v>1134</v>
      </c>
      <c r="R1204" s="7" t="str">
        <f>IF(H1204="","",VLOOKUP(H1204,'Hoja 9'!$A$1:$B$255,2,0))</f>
        <v>BOCA EN BOCA</v>
      </c>
      <c r="S1204" s="7">
        <f t="shared" si="1"/>
        <v>2025</v>
      </c>
      <c r="T1204" s="7">
        <f t="shared" si="2"/>
        <v>9</v>
      </c>
    </row>
    <row r="1205">
      <c r="A1205" s="4">
        <v>45904.46999770834</v>
      </c>
      <c r="B1205" s="3" t="s">
        <v>238</v>
      </c>
      <c r="C1205" s="3" t="s">
        <v>63</v>
      </c>
      <c r="D1205" s="3" t="s">
        <v>3120</v>
      </c>
      <c r="E1205" s="5">
        <v>32372.0</v>
      </c>
      <c r="F1205" s="3">
        <v>3.3892103E7</v>
      </c>
      <c r="G1205" s="3">
        <v>3.51243124E9</v>
      </c>
      <c r="H1205" s="3" t="s">
        <v>27</v>
      </c>
      <c r="I1205" s="3" t="s">
        <v>22</v>
      </c>
      <c r="K1205" s="3" t="s">
        <v>1132</v>
      </c>
      <c r="L1205" s="3" t="s">
        <v>1136</v>
      </c>
      <c r="M1205" s="3" t="s">
        <v>1134</v>
      </c>
      <c r="O1205" s="3" t="s">
        <v>3121</v>
      </c>
      <c r="R1205" s="7" t="str">
        <f>IF(H1205="","",VLOOKUP(H1205,'Hoja 9'!$A$1:$B$255,2,0))</f>
        <v>BOCA EN BOCA</v>
      </c>
      <c r="S1205" s="7">
        <f t="shared" si="1"/>
        <v>2025</v>
      </c>
      <c r="T1205" s="7">
        <f t="shared" si="2"/>
        <v>9</v>
      </c>
    </row>
    <row r="1206">
      <c r="A1206" s="4">
        <v>45904.57703998843</v>
      </c>
      <c r="B1206" s="3" t="s">
        <v>3122</v>
      </c>
      <c r="C1206" s="3" t="s">
        <v>727</v>
      </c>
      <c r="D1206" s="3" t="s">
        <v>3123</v>
      </c>
      <c r="E1206" s="5">
        <v>33774.0</v>
      </c>
      <c r="F1206" s="3">
        <v>3.6355717E7</v>
      </c>
      <c r="G1206" s="3">
        <v>3.517341697E9</v>
      </c>
      <c r="H1206" s="3" t="s">
        <v>44</v>
      </c>
      <c r="I1206" s="3" t="s">
        <v>28</v>
      </c>
      <c r="K1206" s="3" t="s">
        <v>1132</v>
      </c>
      <c r="L1206" s="3" t="s">
        <v>1300</v>
      </c>
      <c r="M1206" s="3" t="s">
        <v>1134</v>
      </c>
      <c r="R1206" s="7" t="str">
        <f>IF(H1206="","",VLOOKUP(H1206,'Hoja 9'!$A$1:$B$255,2,0))</f>
        <v>GIMNASIO</v>
      </c>
      <c r="S1206" s="7">
        <f t="shared" si="1"/>
        <v>2025</v>
      </c>
      <c r="T1206" s="7">
        <f t="shared" si="2"/>
        <v>9</v>
      </c>
    </row>
    <row r="1207">
      <c r="A1207" s="4">
        <v>45905.45303655093</v>
      </c>
      <c r="B1207" s="3" t="s">
        <v>360</v>
      </c>
      <c r="C1207" s="3" t="s">
        <v>915</v>
      </c>
      <c r="D1207" s="3" t="s">
        <v>3124</v>
      </c>
      <c r="E1207" s="5">
        <v>27967.0</v>
      </c>
      <c r="F1207" s="3">
        <v>2.5434048E7</v>
      </c>
      <c r="G1207" s="3">
        <v>3.516228374E9</v>
      </c>
      <c r="H1207" s="3" t="s">
        <v>44</v>
      </c>
      <c r="I1207" s="3" t="s">
        <v>28</v>
      </c>
      <c r="K1207" s="3" t="s">
        <v>1132</v>
      </c>
      <c r="L1207" s="3" t="s">
        <v>1133</v>
      </c>
      <c r="M1207" s="3" t="s">
        <v>1134</v>
      </c>
      <c r="R1207" s="7" t="str">
        <f>IF(H1207="","",VLOOKUP(H1207,'Hoja 9'!$A$1:$B$255,2,0))</f>
        <v>GIMNASIO</v>
      </c>
      <c r="S1207" s="7">
        <f t="shared" si="1"/>
        <v>2025</v>
      </c>
      <c r="T1207" s="7">
        <f t="shared" si="2"/>
        <v>9</v>
      </c>
    </row>
    <row r="1208">
      <c r="A1208" s="4">
        <v>45905.507599861114</v>
      </c>
      <c r="B1208" s="3" t="s">
        <v>3125</v>
      </c>
      <c r="C1208" s="3" t="s">
        <v>3126</v>
      </c>
      <c r="D1208" s="3" t="s">
        <v>3127</v>
      </c>
      <c r="E1208" s="5">
        <v>33098.0</v>
      </c>
      <c r="F1208" s="3">
        <v>3.5526454E7</v>
      </c>
      <c r="G1208" s="3">
        <v>3.516161934E9</v>
      </c>
      <c r="H1208" s="3" t="s">
        <v>27</v>
      </c>
      <c r="I1208" s="3" t="s">
        <v>22</v>
      </c>
      <c r="K1208" s="3" t="s">
        <v>1132</v>
      </c>
      <c r="L1208" s="3" t="s">
        <v>3128</v>
      </c>
      <c r="M1208" s="3" t="s">
        <v>1134</v>
      </c>
      <c r="O1208" s="3" t="s">
        <v>928</v>
      </c>
      <c r="R1208" s="7" t="str">
        <f>IF(H1208="","",VLOOKUP(H1208,'Hoja 9'!$A$1:$B$255,2,0))</f>
        <v>BOCA EN BOCA</v>
      </c>
      <c r="S1208" s="7">
        <f t="shared" si="1"/>
        <v>2025</v>
      </c>
      <c r="T1208" s="7">
        <f t="shared" si="2"/>
        <v>9</v>
      </c>
    </row>
    <row r="1209">
      <c r="A1209" s="4">
        <v>45908.45441965278</v>
      </c>
      <c r="B1209" s="3" t="s">
        <v>3129</v>
      </c>
      <c r="C1209" s="3" t="s">
        <v>3130</v>
      </c>
      <c r="D1209" s="3" t="s">
        <v>3131</v>
      </c>
      <c r="E1209" s="5">
        <v>28782.0</v>
      </c>
      <c r="F1209" s="3">
        <v>2.6904917E7</v>
      </c>
      <c r="G1209" s="3">
        <v>3.516501002E9</v>
      </c>
      <c r="H1209" s="3" t="s">
        <v>21</v>
      </c>
      <c r="I1209" s="3" t="s">
        <v>28</v>
      </c>
      <c r="K1209" s="3" t="s">
        <v>1132</v>
      </c>
      <c r="L1209" s="3" t="s">
        <v>3132</v>
      </c>
      <c r="M1209" s="3" t="s">
        <v>1137</v>
      </c>
      <c r="R1209" s="7" t="str">
        <f>IF(H1209="","",VLOOKUP(H1209,'Hoja 9'!$A$1:$B$255,2,0))</f>
        <v>GOOGLE</v>
      </c>
      <c r="S1209" s="7">
        <f t="shared" si="1"/>
        <v>2025</v>
      </c>
      <c r="T1209" s="7">
        <f t="shared" si="2"/>
        <v>9</v>
      </c>
    </row>
    <row r="1210">
      <c r="A1210" s="4">
        <v>45908.83651670138</v>
      </c>
      <c r="B1210" s="3" t="s">
        <v>3133</v>
      </c>
      <c r="C1210" s="3" t="s">
        <v>3134</v>
      </c>
      <c r="D1210" s="3" t="s">
        <v>3135</v>
      </c>
      <c r="E1210" s="5">
        <v>28905.0</v>
      </c>
      <c r="F1210" s="3">
        <v>2.7079963E7</v>
      </c>
      <c r="G1210" s="3">
        <v>3.513286687E9</v>
      </c>
      <c r="H1210" s="3" t="s">
        <v>3136</v>
      </c>
      <c r="I1210" s="3" t="s">
        <v>28</v>
      </c>
      <c r="K1210" s="3" t="s">
        <v>1132</v>
      </c>
      <c r="L1210" s="3" t="s">
        <v>1136</v>
      </c>
      <c r="M1210" s="3" t="s">
        <v>1137</v>
      </c>
      <c r="R1210" s="7" t="str">
        <f>IF(H1210="","",VLOOKUP(H1210,'Hoja 9'!$A$1:$B$255,2,0))</f>
        <v>GIMNASIO</v>
      </c>
      <c r="S1210" s="7">
        <f t="shared" si="1"/>
        <v>2025</v>
      </c>
      <c r="T1210" s="7">
        <f t="shared" si="2"/>
        <v>9</v>
      </c>
    </row>
    <row r="1211">
      <c r="A1211" s="4">
        <v>45908.87194414352</v>
      </c>
      <c r="B1211" s="3" t="s">
        <v>3137</v>
      </c>
      <c r="C1211" s="3" t="s">
        <v>3138</v>
      </c>
      <c r="D1211" s="3" t="s">
        <v>3139</v>
      </c>
      <c r="E1211" s="5">
        <v>22631.0</v>
      </c>
      <c r="F1211" s="3">
        <v>1.4633956E7</v>
      </c>
      <c r="G1211" s="3">
        <v>3.516961076E9</v>
      </c>
      <c r="H1211" s="3" t="s">
        <v>44</v>
      </c>
      <c r="I1211" s="3" t="s">
        <v>22</v>
      </c>
      <c r="K1211" s="3" t="s">
        <v>1132</v>
      </c>
      <c r="L1211" s="3" t="s">
        <v>1133</v>
      </c>
      <c r="M1211" s="3" t="s">
        <v>1137</v>
      </c>
      <c r="R1211" s="7" t="str">
        <f>IF(H1211="","",VLOOKUP(H1211,'Hoja 9'!$A$1:$B$255,2,0))</f>
        <v>GIMNASIO</v>
      </c>
      <c r="S1211" s="7">
        <f t="shared" si="1"/>
        <v>2025</v>
      </c>
      <c r="T1211" s="7">
        <f t="shared" si="2"/>
        <v>9</v>
      </c>
    </row>
    <row r="1212">
      <c r="A1212" s="4">
        <v>45908.92010267361</v>
      </c>
      <c r="B1212" s="3" t="s">
        <v>3140</v>
      </c>
      <c r="C1212" s="3" t="s">
        <v>3141</v>
      </c>
      <c r="D1212" s="3" t="s">
        <v>3142</v>
      </c>
      <c r="E1212" s="5">
        <v>35096.0</v>
      </c>
      <c r="F1212" s="3">
        <v>3.9494934E7</v>
      </c>
      <c r="G1212" s="3">
        <v>3.517690758E9</v>
      </c>
      <c r="H1212" s="3" t="s">
        <v>27</v>
      </c>
      <c r="I1212" s="3" t="s">
        <v>28</v>
      </c>
      <c r="K1212" s="3" t="s">
        <v>1132</v>
      </c>
      <c r="L1212" s="3" t="s">
        <v>1136</v>
      </c>
      <c r="M1212" s="3" t="s">
        <v>1137</v>
      </c>
      <c r="R1212" s="7" t="str">
        <f>IF(H1212="","",VLOOKUP(H1212,'Hoja 9'!$A$1:$B$255,2,0))</f>
        <v>BOCA EN BOCA</v>
      </c>
      <c r="S1212" s="7">
        <f t="shared" si="1"/>
        <v>2025</v>
      </c>
      <c r="T1212" s="7">
        <f t="shared" si="2"/>
        <v>9</v>
      </c>
    </row>
    <row r="1213">
      <c r="A1213" s="4">
        <v>45910.4061978588</v>
      </c>
      <c r="B1213" s="3" t="s">
        <v>3143</v>
      </c>
      <c r="C1213" s="3" t="s">
        <v>3144</v>
      </c>
      <c r="D1213" s="3" t="s">
        <v>3145</v>
      </c>
      <c r="E1213" s="5">
        <v>33733.0</v>
      </c>
      <c r="F1213" s="3">
        <v>3.6235982E7</v>
      </c>
      <c r="G1213" s="3">
        <v>3.51337693E9</v>
      </c>
      <c r="H1213" s="3" t="s">
        <v>21</v>
      </c>
      <c r="I1213" s="3" t="s">
        <v>22</v>
      </c>
      <c r="K1213" s="3" t="s">
        <v>1145</v>
      </c>
      <c r="O1213" s="3" t="s">
        <v>673</v>
      </c>
      <c r="R1213" s="7" t="str">
        <f>IF(H1213="","",VLOOKUP(H1213,'Hoja 9'!$A$1:$B$255,2,0))</f>
        <v>GOOGLE</v>
      </c>
      <c r="S1213" s="7">
        <f t="shared" si="1"/>
        <v>2025</v>
      </c>
      <c r="T1213" s="7">
        <f t="shared" si="2"/>
        <v>9</v>
      </c>
    </row>
    <row r="1214">
      <c r="A1214" s="4">
        <v>45910.468707418986</v>
      </c>
      <c r="B1214" s="3" t="s">
        <v>3146</v>
      </c>
      <c r="C1214" s="3" t="s">
        <v>3147</v>
      </c>
      <c r="D1214" s="3" t="s">
        <v>3148</v>
      </c>
      <c r="E1214" s="5">
        <v>40094.0</v>
      </c>
      <c r="F1214" s="3">
        <v>4.9587092E7</v>
      </c>
      <c r="G1214" s="3">
        <v>3.513906121E9</v>
      </c>
      <c r="H1214" s="3" t="s">
        <v>27</v>
      </c>
      <c r="I1214" s="3" t="s">
        <v>22</v>
      </c>
      <c r="K1214" s="3" t="s">
        <v>1132</v>
      </c>
      <c r="L1214" s="3" t="s">
        <v>3149</v>
      </c>
      <c r="M1214" s="3" t="s">
        <v>1134</v>
      </c>
      <c r="O1214" s="3" t="s">
        <v>3150</v>
      </c>
      <c r="R1214" s="7" t="str">
        <f>IF(H1214="","",VLOOKUP(H1214,'Hoja 9'!$A$1:$B$255,2,0))</f>
        <v>BOCA EN BOCA</v>
      </c>
      <c r="S1214" s="7">
        <f t="shared" si="1"/>
        <v>2025</v>
      </c>
      <c r="T1214" s="7">
        <f t="shared" si="2"/>
        <v>9</v>
      </c>
    </row>
    <row r="1215">
      <c r="A1215" s="4">
        <v>45910.56513337963</v>
      </c>
      <c r="B1215" s="3" t="s">
        <v>3151</v>
      </c>
      <c r="C1215" s="3" t="s">
        <v>449</v>
      </c>
      <c r="D1215" s="3" t="s">
        <v>3152</v>
      </c>
      <c r="E1215" s="5">
        <v>32872.0</v>
      </c>
      <c r="F1215" s="3">
        <v>3.4988214E7</v>
      </c>
      <c r="G1215" s="3">
        <v>3.516185307E9</v>
      </c>
      <c r="H1215" s="3" t="s">
        <v>3153</v>
      </c>
      <c r="I1215" s="3" t="s">
        <v>22</v>
      </c>
      <c r="K1215" s="3" t="s">
        <v>1132</v>
      </c>
      <c r="L1215" s="3" t="s">
        <v>1693</v>
      </c>
      <c r="M1215" s="3" t="s">
        <v>1137</v>
      </c>
      <c r="O1215" s="3" t="s">
        <v>149</v>
      </c>
      <c r="R1215" s="7" t="str">
        <f>IF(H1215="","",VLOOKUP(H1215,'Hoja 9'!$A$1:$B$255,2,0))</f>
        <v>OBRA SOCIAL</v>
      </c>
      <c r="S1215" s="7">
        <f t="shared" si="1"/>
        <v>2025</v>
      </c>
      <c r="T1215" s="7">
        <f t="shared" si="2"/>
        <v>9</v>
      </c>
    </row>
    <row r="1216">
      <c r="A1216" s="4">
        <v>45910.78968405093</v>
      </c>
      <c r="B1216" s="3" t="s">
        <v>3154</v>
      </c>
      <c r="C1216" s="3" t="s">
        <v>337</v>
      </c>
      <c r="D1216" s="3" t="s">
        <v>3155</v>
      </c>
      <c r="E1216" s="5">
        <v>28536.0</v>
      </c>
      <c r="F1216" s="3">
        <v>2.6286571E7</v>
      </c>
      <c r="G1216" s="3">
        <v>3.518097455E9</v>
      </c>
      <c r="H1216" s="3" t="s">
        <v>21</v>
      </c>
      <c r="I1216" s="3" t="s">
        <v>22</v>
      </c>
      <c r="K1216" s="3" t="s">
        <v>1132</v>
      </c>
      <c r="L1216" s="3" t="s">
        <v>1133</v>
      </c>
      <c r="M1216" s="3" t="s">
        <v>1137</v>
      </c>
      <c r="O1216" s="3" t="s">
        <v>287</v>
      </c>
      <c r="R1216" s="7" t="str">
        <f>IF(H1216="","",VLOOKUP(H1216,'Hoja 9'!$A$1:$B$255,2,0))</f>
        <v>GOOGLE</v>
      </c>
      <c r="S1216" s="7">
        <f t="shared" si="1"/>
        <v>2025</v>
      </c>
      <c r="T1216" s="7">
        <f t="shared" si="2"/>
        <v>9</v>
      </c>
    </row>
    <row r="1217">
      <c r="A1217" s="4">
        <v>45910.79231211805</v>
      </c>
      <c r="B1217" s="3" t="s">
        <v>1838</v>
      </c>
      <c r="C1217" s="3" t="s">
        <v>202</v>
      </c>
      <c r="E1217" s="5">
        <v>16472.0</v>
      </c>
      <c r="F1217" s="3">
        <v>6696399.0</v>
      </c>
      <c r="G1217" s="3">
        <v>3.516267403E9</v>
      </c>
      <c r="H1217" s="3" t="s">
        <v>27</v>
      </c>
      <c r="I1217" s="3" t="s">
        <v>22</v>
      </c>
      <c r="K1217" s="3" t="s">
        <v>1132</v>
      </c>
      <c r="L1217" s="3" t="s">
        <v>1834</v>
      </c>
      <c r="M1217" s="3" t="s">
        <v>1137</v>
      </c>
      <c r="O1217" s="3" t="s">
        <v>23</v>
      </c>
      <c r="R1217" s="7" t="str">
        <f>IF(H1217="","",VLOOKUP(H1217,'Hoja 9'!$A$1:$B$255,2,0))</f>
        <v>BOCA EN BOCA</v>
      </c>
      <c r="S1217" s="7">
        <f t="shared" si="1"/>
        <v>2025</v>
      </c>
      <c r="T1217" s="7">
        <f t="shared" si="2"/>
        <v>9</v>
      </c>
    </row>
    <row r="1218">
      <c r="A1218" s="4">
        <v>45911.47753265046</v>
      </c>
      <c r="B1218" s="3" t="s">
        <v>3156</v>
      </c>
      <c r="C1218" s="3" t="s">
        <v>1859</v>
      </c>
      <c r="D1218" s="3" t="s">
        <v>3157</v>
      </c>
      <c r="E1218" s="5">
        <v>35090.0</v>
      </c>
      <c r="F1218" s="3">
        <v>3.9445451E7</v>
      </c>
      <c r="G1218" s="3">
        <v>3.516182735E9</v>
      </c>
      <c r="H1218" s="3" t="s">
        <v>44</v>
      </c>
      <c r="I1218" s="3" t="s">
        <v>28</v>
      </c>
      <c r="K1218" s="3" t="s">
        <v>1132</v>
      </c>
      <c r="L1218" s="3" t="s">
        <v>1133</v>
      </c>
      <c r="M1218" s="3" t="s">
        <v>1134</v>
      </c>
      <c r="R1218" s="7" t="str">
        <f>IF(H1218="","",VLOOKUP(H1218,'Hoja 9'!$A$1:$B$255,2,0))</f>
        <v>GIMNASIO</v>
      </c>
      <c r="S1218" s="7">
        <f t="shared" si="1"/>
        <v>2025</v>
      </c>
      <c r="T1218" s="7">
        <f t="shared" si="2"/>
        <v>9</v>
      </c>
    </row>
    <row r="1219">
      <c r="A1219" s="4">
        <v>45911.58303572917</v>
      </c>
      <c r="B1219" s="3" t="s">
        <v>895</v>
      </c>
      <c r="C1219" s="3" t="s">
        <v>3158</v>
      </c>
      <c r="D1219" s="3" t="s">
        <v>3159</v>
      </c>
      <c r="E1219" s="5">
        <v>37190.0</v>
      </c>
      <c r="F1219" s="3">
        <v>4.349829E7</v>
      </c>
      <c r="G1219" s="3">
        <v>2.96454235E9</v>
      </c>
      <c r="H1219" s="3" t="s">
        <v>27</v>
      </c>
      <c r="I1219" s="3" t="s">
        <v>22</v>
      </c>
      <c r="K1219" s="3" t="s">
        <v>1145</v>
      </c>
      <c r="O1219" s="3" t="s">
        <v>287</v>
      </c>
      <c r="R1219" s="7" t="str">
        <f>IF(H1219="","",VLOOKUP(H1219,'Hoja 9'!$A$1:$B$255,2,0))</f>
        <v>BOCA EN BOCA</v>
      </c>
      <c r="S1219" s="7">
        <f t="shared" si="1"/>
        <v>2025</v>
      </c>
      <c r="T1219" s="7">
        <f t="shared" si="2"/>
        <v>9</v>
      </c>
    </row>
    <row r="1220">
      <c r="A1220" s="4">
        <v>45912.70158408565</v>
      </c>
      <c r="B1220" s="3" t="s">
        <v>3160</v>
      </c>
      <c r="C1220" s="3" t="s">
        <v>3161</v>
      </c>
      <c r="D1220" s="3" t="s">
        <v>3162</v>
      </c>
      <c r="E1220" s="5">
        <v>30722.0</v>
      </c>
      <c r="F1220" s="3">
        <v>3.0657072E7</v>
      </c>
      <c r="G1220" s="3">
        <v>3.512329979E9</v>
      </c>
      <c r="H1220" s="3" t="s">
        <v>148</v>
      </c>
      <c r="I1220" s="3" t="s">
        <v>22</v>
      </c>
      <c r="K1220" s="3" t="s">
        <v>1132</v>
      </c>
      <c r="L1220" s="3" t="s">
        <v>3163</v>
      </c>
      <c r="M1220" s="3" t="s">
        <v>1137</v>
      </c>
      <c r="O1220" s="3" t="s">
        <v>2959</v>
      </c>
      <c r="R1220" s="7" t="str">
        <f>IF(H1220="","",VLOOKUP(H1220,'Hoja 9'!$A$1:$B$255,2,0))</f>
        <v>OBRA SOCIAL</v>
      </c>
      <c r="S1220" s="7">
        <f t="shared" si="1"/>
        <v>2025</v>
      </c>
      <c r="T1220" s="7">
        <f t="shared" si="2"/>
        <v>9</v>
      </c>
    </row>
    <row r="1221">
      <c r="A1221" s="4">
        <v>45912.750009201394</v>
      </c>
      <c r="B1221" s="3" t="s">
        <v>3164</v>
      </c>
      <c r="C1221" s="3" t="s">
        <v>3165</v>
      </c>
      <c r="D1221" s="3" t="s">
        <v>3166</v>
      </c>
      <c r="E1221" s="5">
        <v>19049.0</v>
      </c>
      <c r="F1221" s="3">
        <v>1.0444147E7</v>
      </c>
      <c r="G1221" s="3">
        <v>3.517069576E9</v>
      </c>
      <c r="H1221" s="3" t="s">
        <v>27</v>
      </c>
      <c r="I1221" s="3" t="s">
        <v>28</v>
      </c>
      <c r="K1221" s="3" t="s">
        <v>1145</v>
      </c>
      <c r="R1221" s="7" t="str">
        <f>IF(H1221="","",VLOOKUP(H1221,'Hoja 9'!$A$1:$B$255,2,0))</f>
        <v>BOCA EN BOCA</v>
      </c>
      <c r="S1221" s="7">
        <f t="shared" si="1"/>
        <v>2025</v>
      </c>
      <c r="T1221" s="7">
        <f t="shared" si="2"/>
        <v>9</v>
      </c>
    </row>
    <row r="1222">
      <c r="A1222" s="4">
        <v>45912.772876030096</v>
      </c>
      <c r="B1222" s="3" t="s">
        <v>3167</v>
      </c>
      <c r="C1222" s="3" t="s">
        <v>3168</v>
      </c>
      <c r="D1222" s="3" t="s">
        <v>3169</v>
      </c>
      <c r="E1222" s="5">
        <v>31544.0</v>
      </c>
      <c r="F1222" s="3">
        <v>3.220305E7</v>
      </c>
      <c r="G1222" s="3">
        <v>3.516323394E9</v>
      </c>
      <c r="H1222" s="3" t="s">
        <v>27</v>
      </c>
      <c r="I1222" s="3" t="s">
        <v>28</v>
      </c>
      <c r="K1222" s="3" t="s">
        <v>1132</v>
      </c>
      <c r="L1222" s="3" t="s">
        <v>3170</v>
      </c>
      <c r="M1222" s="3" t="s">
        <v>1134</v>
      </c>
      <c r="R1222" s="7" t="str">
        <f>IF(H1222="","",VLOOKUP(H1222,'Hoja 9'!$A$1:$B$255,2,0))</f>
        <v>BOCA EN BOCA</v>
      </c>
      <c r="S1222" s="7">
        <f t="shared" si="1"/>
        <v>2025</v>
      </c>
      <c r="T1222" s="7">
        <f t="shared" si="2"/>
        <v>9</v>
      </c>
    </row>
    <row r="1223">
      <c r="A1223" s="4">
        <v>45913.485724108796</v>
      </c>
      <c r="B1223" s="3" t="s">
        <v>3171</v>
      </c>
      <c r="C1223" s="3" t="s">
        <v>3172</v>
      </c>
      <c r="D1223" s="3" t="s">
        <v>3173</v>
      </c>
      <c r="E1223" s="5">
        <v>36286.0</v>
      </c>
      <c r="F1223" s="3">
        <v>4.2384005E7</v>
      </c>
      <c r="G1223" s="3">
        <v>3.512339765E9</v>
      </c>
      <c r="H1223" s="3" t="s">
        <v>27</v>
      </c>
      <c r="I1223" s="3" t="s">
        <v>22</v>
      </c>
      <c r="K1223" s="3" t="s">
        <v>1132</v>
      </c>
      <c r="L1223" s="3" t="s">
        <v>3174</v>
      </c>
      <c r="M1223" s="3" t="s">
        <v>1134</v>
      </c>
      <c r="O1223" s="3" t="s">
        <v>23</v>
      </c>
      <c r="R1223" s="7" t="str">
        <f>IF(H1223="","",VLOOKUP(H1223,'Hoja 9'!$A$1:$B$255,2,0))</f>
        <v>BOCA EN BOCA</v>
      </c>
      <c r="S1223" s="7">
        <f t="shared" si="1"/>
        <v>2025</v>
      </c>
      <c r="T1223" s="7">
        <f t="shared" si="2"/>
        <v>9</v>
      </c>
    </row>
    <row r="1224">
      <c r="A1224" s="4">
        <v>45915.396664722226</v>
      </c>
      <c r="B1224" s="3" t="s">
        <v>3175</v>
      </c>
      <c r="C1224" s="3" t="s">
        <v>3176</v>
      </c>
      <c r="D1224" s="3" t="s">
        <v>3177</v>
      </c>
      <c r="E1224" s="5">
        <v>16832.0</v>
      </c>
      <c r="F1224" s="3">
        <v>9.6047108E7</v>
      </c>
      <c r="G1224" s="3">
        <v>3.51642734E9</v>
      </c>
      <c r="H1224" s="3" t="s">
        <v>3178</v>
      </c>
      <c r="I1224" s="3" t="s">
        <v>28</v>
      </c>
      <c r="K1224" s="3" t="s">
        <v>1145</v>
      </c>
      <c r="R1224" s="7" t="str">
        <f>IF(H1224="","",VLOOKUP(H1224,'Hoja 9'!$A$1:$B$255,2,0))</f>
        <v>BOCA EN BOCA</v>
      </c>
      <c r="S1224" s="7">
        <f t="shared" si="1"/>
        <v>2025</v>
      </c>
      <c r="T1224" s="7">
        <f t="shared" si="2"/>
        <v>9</v>
      </c>
    </row>
    <row r="1225">
      <c r="A1225" s="4">
        <v>45915.78786265047</v>
      </c>
      <c r="B1225" s="3" t="s">
        <v>488</v>
      </c>
      <c r="C1225" s="3" t="s">
        <v>406</v>
      </c>
      <c r="D1225" s="3" t="s">
        <v>3179</v>
      </c>
      <c r="E1225" s="5">
        <v>35334.0</v>
      </c>
      <c r="F1225" s="3">
        <v>3.9622848E7</v>
      </c>
      <c r="G1225" s="3">
        <v>3.512565503E9</v>
      </c>
      <c r="H1225" s="3" t="s">
        <v>244</v>
      </c>
      <c r="I1225" s="3" t="s">
        <v>28</v>
      </c>
      <c r="K1225" s="3" t="s">
        <v>1132</v>
      </c>
      <c r="L1225" s="3" t="s">
        <v>1133</v>
      </c>
      <c r="M1225" s="3" t="s">
        <v>1134</v>
      </c>
      <c r="R1225" s="7" t="str">
        <f>IF(H1225="","",VLOOKUP(H1225,'Hoja 9'!$A$1:$B$255,2,0))</f>
        <v>META</v>
      </c>
      <c r="S1225" s="7">
        <f t="shared" si="1"/>
        <v>2025</v>
      </c>
      <c r="T1225" s="7">
        <f t="shared" si="2"/>
        <v>9</v>
      </c>
    </row>
    <row r="1226">
      <c r="A1226" s="4">
        <v>45915.795436307875</v>
      </c>
      <c r="B1226" s="3" t="s">
        <v>2965</v>
      </c>
      <c r="C1226" s="3" t="s">
        <v>3180</v>
      </c>
      <c r="E1226" s="5">
        <v>33017.0</v>
      </c>
      <c r="F1226" s="3">
        <v>3.5174172E7</v>
      </c>
      <c r="G1226" s="3">
        <v>3.534209509E9</v>
      </c>
      <c r="H1226" s="3" t="s">
        <v>3181</v>
      </c>
      <c r="I1226" s="3" t="s">
        <v>28</v>
      </c>
      <c r="K1226" s="3" t="s">
        <v>1132</v>
      </c>
      <c r="L1226" s="3" t="s">
        <v>1133</v>
      </c>
      <c r="M1226" s="3" t="s">
        <v>1134</v>
      </c>
      <c r="R1226" s="7" t="str">
        <f>IF(H1226="","",VLOOKUP(H1226,'Hoja 9'!$A$1:$B$255,2,0))</f>
        <v>GIMNASIO</v>
      </c>
      <c r="S1226" s="7">
        <f t="shared" si="1"/>
        <v>2025</v>
      </c>
      <c r="T1226" s="7">
        <f t="shared" si="2"/>
        <v>9</v>
      </c>
    </row>
    <row r="1227">
      <c r="A1227" s="4">
        <v>45915.81850894676</v>
      </c>
      <c r="B1227" s="3" t="s">
        <v>950</v>
      </c>
      <c r="C1227" s="3" t="s">
        <v>3182</v>
      </c>
      <c r="D1227" s="3" t="s">
        <v>3183</v>
      </c>
      <c r="E1227" s="5">
        <v>28968.0</v>
      </c>
      <c r="F1227" s="3">
        <v>2.7247809E7</v>
      </c>
      <c r="G1227" s="3">
        <v>3.513815231E9</v>
      </c>
      <c r="H1227" s="3" t="s">
        <v>44</v>
      </c>
      <c r="I1227" s="3" t="s">
        <v>22</v>
      </c>
      <c r="K1227" s="3" t="s">
        <v>1132</v>
      </c>
      <c r="L1227" s="3" t="s">
        <v>1136</v>
      </c>
      <c r="M1227" s="3" t="s">
        <v>1134</v>
      </c>
      <c r="O1227" s="3" t="s">
        <v>23</v>
      </c>
      <c r="R1227" s="7" t="str">
        <f>IF(H1227="","",VLOOKUP(H1227,'Hoja 9'!$A$1:$B$255,2,0))</f>
        <v>GIMNASIO</v>
      </c>
      <c r="S1227" s="7">
        <f t="shared" si="1"/>
        <v>2025</v>
      </c>
      <c r="T1227" s="7">
        <f t="shared" si="2"/>
        <v>9</v>
      </c>
    </row>
    <row r="1228">
      <c r="A1228" s="4">
        <v>45916.435359247684</v>
      </c>
      <c r="B1228" s="3" t="s">
        <v>3184</v>
      </c>
      <c r="C1228" s="3" t="s">
        <v>553</v>
      </c>
      <c r="D1228" s="3" t="s">
        <v>3185</v>
      </c>
      <c r="E1228" s="5">
        <v>31758.0</v>
      </c>
      <c r="F1228" s="3">
        <v>3.2889303E7</v>
      </c>
      <c r="G1228" s="3">
        <v>3.512274687E9</v>
      </c>
      <c r="H1228" s="3" t="s">
        <v>3186</v>
      </c>
      <c r="I1228" s="3" t="s">
        <v>22</v>
      </c>
      <c r="K1228" s="3" t="s">
        <v>1132</v>
      </c>
      <c r="L1228" s="3" t="s">
        <v>1300</v>
      </c>
      <c r="M1228" s="3" t="s">
        <v>1137</v>
      </c>
      <c r="O1228" s="3" t="s">
        <v>23</v>
      </c>
      <c r="R1228" s="7" t="str">
        <f>IF(H1228="","",VLOOKUP(H1228,'Hoja 9'!$A$1:$B$255,2,0))</f>
        <v>BOCA EN BOCA</v>
      </c>
      <c r="S1228" s="7">
        <f t="shared" si="1"/>
        <v>2025</v>
      </c>
      <c r="T1228" s="7">
        <f t="shared" si="2"/>
        <v>9</v>
      </c>
    </row>
    <row r="1229">
      <c r="A1229" s="4">
        <v>45916.436312962964</v>
      </c>
      <c r="B1229" s="3" t="s">
        <v>3187</v>
      </c>
      <c r="C1229" s="3" t="s">
        <v>3188</v>
      </c>
      <c r="E1229" s="5" t="s">
        <v>3189</v>
      </c>
      <c r="F1229" s="3">
        <v>4.5693391E7</v>
      </c>
      <c r="G1229" s="3">
        <v>3.512163888E9</v>
      </c>
      <c r="H1229" s="3" t="s">
        <v>27</v>
      </c>
      <c r="I1229" s="3" t="s">
        <v>28</v>
      </c>
      <c r="K1229" s="3" t="s">
        <v>1132</v>
      </c>
      <c r="L1229" s="3" t="s">
        <v>1133</v>
      </c>
      <c r="M1229" s="3" t="s">
        <v>1137</v>
      </c>
      <c r="R1229" s="7" t="str">
        <f>IF(H1229="","",VLOOKUP(H1229,'Hoja 9'!$A$1:$B$255,2,0))</f>
        <v>BOCA EN BOCA</v>
      </c>
      <c r="S1229" s="7">
        <f t="shared" si="1"/>
        <v>2025</v>
      </c>
      <c r="T1229" s="7">
        <f t="shared" si="2"/>
        <v>9</v>
      </c>
    </row>
    <row r="1230">
      <c r="A1230" s="4">
        <v>45918.965665752316</v>
      </c>
      <c r="B1230" s="3" t="s">
        <v>3190</v>
      </c>
      <c r="C1230" s="3" t="s">
        <v>3191</v>
      </c>
      <c r="D1230" s="3" t="s">
        <v>3192</v>
      </c>
      <c r="E1230" s="5">
        <v>28549.0</v>
      </c>
      <c r="F1230" s="3">
        <v>2.6489508E7</v>
      </c>
      <c r="G1230" s="3">
        <v>3.51863917E9</v>
      </c>
      <c r="H1230" s="3" t="s">
        <v>21</v>
      </c>
      <c r="I1230" s="3" t="s">
        <v>22</v>
      </c>
      <c r="K1230" s="3" t="s">
        <v>1145</v>
      </c>
      <c r="O1230" s="3" t="s">
        <v>23</v>
      </c>
      <c r="R1230" s="7" t="str">
        <f>IF(H1230="","",VLOOKUP(H1230,'Hoja 9'!$A$1:$B$255,2,0))</f>
        <v>GOOGLE</v>
      </c>
      <c r="S1230" s="7">
        <f t="shared" si="1"/>
        <v>2025</v>
      </c>
      <c r="T1230" s="7">
        <f t="shared" si="2"/>
        <v>9</v>
      </c>
    </row>
    <row r="1231">
      <c r="A1231" s="4">
        <v>45919.661798263885</v>
      </c>
      <c r="B1231" s="3" t="s">
        <v>3193</v>
      </c>
      <c r="C1231" s="3" t="s">
        <v>242</v>
      </c>
      <c r="E1231" s="5">
        <v>36108.0</v>
      </c>
      <c r="F1231" s="3">
        <v>4.1626215E7</v>
      </c>
      <c r="G1231" s="3">
        <v>3.543575398E9</v>
      </c>
      <c r="H1231" s="3" t="s">
        <v>44</v>
      </c>
      <c r="I1231" s="3" t="s">
        <v>28</v>
      </c>
      <c r="K1231" s="3" t="s">
        <v>1132</v>
      </c>
      <c r="L1231" s="3" t="s">
        <v>1133</v>
      </c>
      <c r="M1231" s="3" t="s">
        <v>1134</v>
      </c>
      <c r="R1231" s="7" t="str">
        <f>IF(H1231="","",VLOOKUP(H1231,'Hoja 9'!$A$1:$B$255,2,0))</f>
        <v>GIMNASIO</v>
      </c>
      <c r="S1231" s="7">
        <f t="shared" si="1"/>
        <v>2025</v>
      </c>
      <c r="T1231" s="7">
        <f t="shared" si="2"/>
        <v>9</v>
      </c>
    </row>
    <row r="1232">
      <c r="A1232" s="4">
        <v>45919.79581466435</v>
      </c>
      <c r="B1232" s="3" t="s">
        <v>3194</v>
      </c>
      <c r="C1232" s="3" t="s">
        <v>3195</v>
      </c>
      <c r="D1232" s="3" t="s">
        <v>3196</v>
      </c>
      <c r="E1232" s="5">
        <v>30531.0</v>
      </c>
      <c r="F1232" s="3">
        <v>3.0331252E7</v>
      </c>
      <c r="G1232" s="3">
        <v>3.512178754E9</v>
      </c>
      <c r="H1232" s="3" t="s">
        <v>27</v>
      </c>
      <c r="I1232" s="3" t="s">
        <v>22</v>
      </c>
      <c r="K1232" s="3" t="s">
        <v>1132</v>
      </c>
      <c r="L1232" s="3" t="s">
        <v>1136</v>
      </c>
      <c r="M1232" s="3" t="s">
        <v>1137</v>
      </c>
      <c r="O1232" s="3" t="s">
        <v>314</v>
      </c>
      <c r="R1232" s="7" t="str">
        <f>IF(H1232="","",VLOOKUP(H1232,'Hoja 9'!$A$1:$B$255,2,0))</f>
        <v>BOCA EN BOCA</v>
      </c>
      <c r="S1232" s="7">
        <f t="shared" si="1"/>
        <v>2025</v>
      </c>
      <c r="T1232" s="7">
        <f t="shared" si="2"/>
        <v>9</v>
      </c>
    </row>
    <row r="1233">
      <c r="A1233" s="4">
        <v>45923.55036907407</v>
      </c>
      <c r="B1233" s="3" t="s">
        <v>3197</v>
      </c>
      <c r="C1233" s="3" t="s">
        <v>3198</v>
      </c>
      <c r="D1233" s="3" t="s">
        <v>3199</v>
      </c>
      <c r="E1233" s="5">
        <v>41107.0</v>
      </c>
      <c r="F1233" s="3">
        <v>5.2233105E7</v>
      </c>
      <c r="G1233" s="3">
        <v>3.516974759E9</v>
      </c>
      <c r="H1233" s="3" t="s">
        <v>27</v>
      </c>
      <c r="I1233" s="3" t="s">
        <v>22</v>
      </c>
      <c r="K1233" s="3" t="s">
        <v>1132</v>
      </c>
      <c r="L1233" s="3" t="s">
        <v>1136</v>
      </c>
      <c r="M1233" s="3" t="s">
        <v>1134</v>
      </c>
      <c r="O1233" s="3" t="s">
        <v>149</v>
      </c>
      <c r="R1233" s="7" t="str">
        <f>IF(H1233="","",VLOOKUP(H1233,'Hoja 9'!$A$1:$B$255,2,0))</f>
        <v>BOCA EN BOCA</v>
      </c>
      <c r="S1233" s="7">
        <f t="shared" si="1"/>
        <v>2025</v>
      </c>
      <c r="T1233" s="7">
        <f t="shared" si="2"/>
        <v>9</v>
      </c>
    </row>
    <row r="1234">
      <c r="A1234" s="4">
        <v>45924.66855667824</v>
      </c>
      <c r="B1234" s="3" t="s">
        <v>3200</v>
      </c>
      <c r="C1234" s="3" t="s">
        <v>388</v>
      </c>
      <c r="D1234" s="3" t="s">
        <v>3201</v>
      </c>
      <c r="E1234" s="5">
        <v>39382.0</v>
      </c>
      <c r="F1234" s="3">
        <v>4.8074591E7</v>
      </c>
      <c r="G1234" s="3">
        <v>3.518553356E9</v>
      </c>
      <c r="H1234" s="3" t="s">
        <v>44</v>
      </c>
      <c r="I1234" s="3" t="s">
        <v>22</v>
      </c>
      <c r="K1234" s="3" t="s">
        <v>1132</v>
      </c>
      <c r="L1234" s="3" t="s">
        <v>1332</v>
      </c>
      <c r="M1234" s="3" t="s">
        <v>1213</v>
      </c>
      <c r="O1234" s="3" t="s">
        <v>149</v>
      </c>
      <c r="R1234" s="7" t="str">
        <f>IF(H1234="","",VLOOKUP(H1234,'Hoja 9'!$A$1:$B$255,2,0))</f>
        <v>GIMNASIO</v>
      </c>
      <c r="S1234" s="7">
        <f t="shared" si="1"/>
        <v>2025</v>
      </c>
      <c r="T1234" s="7">
        <f t="shared" si="2"/>
        <v>9</v>
      </c>
    </row>
    <row r="1235">
      <c r="A1235" s="4">
        <v>45924.81352755787</v>
      </c>
      <c r="B1235" s="3" t="s">
        <v>3202</v>
      </c>
      <c r="C1235" s="3" t="s">
        <v>3203</v>
      </c>
      <c r="E1235" s="5">
        <v>18264.0</v>
      </c>
      <c r="F1235" s="3">
        <v>6029575.0</v>
      </c>
      <c r="G1235" s="3">
        <v>3.515645473E9</v>
      </c>
      <c r="H1235" s="3" t="s">
        <v>27</v>
      </c>
      <c r="I1235" s="3" t="s">
        <v>22</v>
      </c>
      <c r="K1235" s="3" t="s">
        <v>1132</v>
      </c>
      <c r="L1235" s="3" t="s">
        <v>1422</v>
      </c>
      <c r="M1235" s="3" t="s">
        <v>1137</v>
      </c>
      <c r="O1235" s="3" t="s">
        <v>23</v>
      </c>
      <c r="R1235" s="7" t="str">
        <f>IF(H1235="","",VLOOKUP(H1235,'Hoja 9'!$A$1:$B$255,2,0))</f>
        <v>BOCA EN BOCA</v>
      </c>
      <c r="S1235" s="7">
        <f t="shared" si="1"/>
        <v>2025</v>
      </c>
      <c r="T1235" s="7">
        <f t="shared" si="2"/>
        <v>9</v>
      </c>
    </row>
    <row r="1236">
      <c r="A1236" s="4">
        <v>45925.46381241898</v>
      </c>
      <c r="B1236" s="3" t="s">
        <v>1983</v>
      </c>
      <c r="C1236" s="3" t="s">
        <v>3204</v>
      </c>
      <c r="D1236" s="3" t="s">
        <v>3205</v>
      </c>
      <c r="E1236" s="5">
        <v>26217.0</v>
      </c>
      <c r="F1236" s="3">
        <v>2.2372851E7</v>
      </c>
      <c r="G1236" s="3">
        <v>3.515101501E9</v>
      </c>
      <c r="H1236" s="3" t="s">
        <v>27</v>
      </c>
      <c r="I1236" s="3" t="s">
        <v>22</v>
      </c>
      <c r="K1236" s="3" t="s">
        <v>1132</v>
      </c>
      <c r="L1236" s="3" t="s">
        <v>3174</v>
      </c>
      <c r="M1236" s="3" t="s">
        <v>1137</v>
      </c>
      <c r="O1236" s="3" t="s">
        <v>72</v>
      </c>
      <c r="R1236" s="7" t="str">
        <f>IF(H1236="","",VLOOKUP(H1236,'Hoja 9'!$A$1:$B$255,2,0))</f>
        <v>BOCA EN BOCA</v>
      </c>
      <c r="S1236" s="7">
        <f t="shared" si="1"/>
        <v>2025</v>
      </c>
      <c r="T1236" s="7">
        <f t="shared" si="2"/>
        <v>9</v>
      </c>
    </row>
    <row r="1237">
      <c r="A1237" s="4">
        <v>45925.71883729167</v>
      </c>
      <c r="B1237" s="3" t="s">
        <v>488</v>
      </c>
      <c r="C1237" s="3" t="s">
        <v>406</v>
      </c>
      <c r="D1237" s="3" t="s">
        <v>3179</v>
      </c>
      <c r="E1237" s="5">
        <v>35334.0</v>
      </c>
      <c r="F1237" s="3">
        <v>3.9622848E7</v>
      </c>
      <c r="G1237" s="3">
        <v>3.512565503E9</v>
      </c>
      <c r="H1237" s="3" t="s">
        <v>244</v>
      </c>
      <c r="I1237" s="3" t="s">
        <v>28</v>
      </c>
      <c r="K1237" s="3" t="s">
        <v>1132</v>
      </c>
      <c r="L1237" s="3" t="s">
        <v>1133</v>
      </c>
      <c r="M1237" s="3" t="s">
        <v>1134</v>
      </c>
      <c r="R1237" s="7" t="str">
        <f>IF(H1237="","",VLOOKUP(H1237,'Hoja 9'!$A$1:$B$255,2,0))</f>
        <v>META</v>
      </c>
      <c r="S1237" s="7">
        <f t="shared" si="1"/>
        <v>2025</v>
      </c>
      <c r="T1237" s="7">
        <f t="shared" si="2"/>
        <v>9</v>
      </c>
    </row>
    <row r="1238">
      <c r="A1238" s="4">
        <v>45925.75150241898</v>
      </c>
      <c r="B1238" s="3" t="s">
        <v>1244</v>
      </c>
      <c r="C1238" s="3" t="s">
        <v>867</v>
      </c>
      <c r="D1238" s="3" t="s">
        <v>3206</v>
      </c>
      <c r="E1238" s="5">
        <v>38077.0</v>
      </c>
      <c r="F1238" s="3">
        <v>4.5346579E7</v>
      </c>
      <c r="G1238" s="3">
        <v>3.518087395E9</v>
      </c>
      <c r="H1238" s="3" t="s">
        <v>148</v>
      </c>
      <c r="I1238" s="3" t="s">
        <v>22</v>
      </c>
      <c r="K1238" s="3" t="s">
        <v>1132</v>
      </c>
      <c r="L1238" s="3" t="s">
        <v>3207</v>
      </c>
      <c r="M1238" s="3" t="s">
        <v>1134</v>
      </c>
      <c r="O1238" s="3" t="s">
        <v>149</v>
      </c>
      <c r="R1238" s="7" t="str">
        <f>IF(H1238="","",VLOOKUP(H1238,'Hoja 9'!$A$1:$B$255,2,0))</f>
        <v>OBRA SOCIAL</v>
      </c>
      <c r="S1238" s="7">
        <f t="shared" si="1"/>
        <v>2025</v>
      </c>
      <c r="T1238" s="7">
        <f t="shared" si="2"/>
        <v>9</v>
      </c>
    </row>
    <row r="1239">
      <c r="A1239" s="4">
        <v>45929.4554115162</v>
      </c>
      <c r="B1239" s="3" t="s">
        <v>3208</v>
      </c>
      <c r="C1239" s="3" t="s">
        <v>3209</v>
      </c>
      <c r="D1239" s="3" t="s">
        <v>3210</v>
      </c>
      <c r="E1239" s="5">
        <v>26313.0</v>
      </c>
      <c r="F1239" s="3">
        <v>2.2562177E7</v>
      </c>
      <c r="G1239" s="3">
        <v>3.513112121E9</v>
      </c>
      <c r="H1239" s="3" t="s">
        <v>148</v>
      </c>
      <c r="I1239" s="3" t="s">
        <v>22</v>
      </c>
      <c r="K1239" s="3" t="s">
        <v>1145</v>
      </c>
      <c r="O1239" s="3" t="s">
        <v>23</v>
      </c>
      <c r="R1239" s="7" t="str">
        <f>IF(H1239="","",VLOOKUP(H1239,'Hoja 9'!$A$1:$B$255,2,0))</f>
        <v>OBRA SOCIAL</v>
      </c>
      <c r="S1239" s="7">
        <f t="shared" si="1"/>
        <v>2025</v>
      </c>
      <c r="T1239" s="7">
        <f t="shared" si="2"/>
        <v>9</v>
      </c>
    </row>
    <row r="1240">
      <c r="A1240" s="4">
        <v>45929.457046944444</v>
      </c>
      <c r="B1240" s="3" t="s">
        <v>3211</v>
      </c>
      <c r="C1240" s="3" t="s">
        <v>3212</v>
      </c>
      <c r="D1240" s="3" t="s">
        <v>3210</v>
      </c>
      <c r="E1240" s="5">
        <v>26112.0</v>
      </c>
      <c r="F1240" s="3">
        <v>2.2101698E7</v>
      </c>
      <c r="G1240" s="3">
        <v>3.513112222E9</v>
      </c>
      <c r="H1240" s="3" t="s">
        <v>148</v>
      </c>
      <c r="I1240" s="3" t="s">
        <v>22</v>
      </c>
      <c r="K1240" s="3" t="s">
        <v>1145</v>
      </c>
      <c r="O1240" s="3" t="s">
        <v>23</v>
      </c>
      <c r="R1240" s="7" t="str">
        <f>IF(H1240="","",VLOOKUP(H1240,'Hoja 9'!$A$1:$B$255,2,0))</f>
        <v>OBRA SOCIAL</v>
      </c>
      <c r="S1240" s="7">
        <f t="shared" si="1"/>
        <v>2025</v>
      </c>
      <c r="T1240" s="7">
        <f t="shared" si="2"/>
        <v>9</v>
      </c>
    </row>
    <row r="1241">
      <c r="A1241" s="4">
        <v>45929.941372754634</v>
      </c>
      <c r="B1241" s="3" t="s">
        <v>376</v>
      </c>
      <c r="C1241" s="3" t="s">
        <v>3213</v>
      </c>
      <c r="D1241" s="3" t="s">
        <v>3214</v>
      </c>
      <c r="E1241" s="5">
        <v>32655.0</v>
      </c>
      <c r="F1241" s="3">
        <v>3.445505E7</v>
      </c>
      <c r="G1241" s="3">
        <v>3.514085635E9</v>
      </c>
      <c r="H1241" s="3" t="s">
        <v>44</v>
      </c>
      <c r="I1241" s="3" t="s">
        <v>28</v>
      </c>
      <c r="K1241" s="3" t="s">
        <v>1132</v>
      </c>
      <c r="L1241" s="3" t="s">
        <v>3215</v>
      </c>
      <c r="M1241" s="3" t="s">
        <v>1134</v>
      </c>
      <c r="R1241" s="7" t="str">
        <f>IF(H1241="","",VLOOKUP(H1241,'Hoja 9'!$A$1:$B$255,2,0))</f>
        <v>GIMNASIO</v>
      </c>
      <c r="S1241" s="7">
        <f t="shared" si="1"/>
        <v>2025</v>
      </c>
      <c r="T1241" s="7">
        <f t="shared" si="2"/>
        <v>9</v>
      </c>
    </row>
    <row r="1242">
      <c r="A1242" s="4">
        <v>45930.368039884255</v>
      </c>
      <c r="B1242" s="3" t="s">
        <v>307</v>
      </c>
      <c r="C1242" s="3" t="s">
        <v>3216</v>
      </c>
      <c r="D1242" s="3" t="s">
        <v>3217</v>
      </c>
      <c r="E1242" s="5">
        <v>32440.0</v>
      </c>
      <c r="F1242" s="3">
        <v>3.397657E7</v>
      </c>
      <c r="G1242" s="3">
        <v>3.512145675E9</v>
      </c>
      <c r="H1242" s="3" t="s">
        <v>21</v>
      </c>
      <c r="I1242" s="3" t="s">
        <v>22</v>
      </c>
      <c r="K1242" s="3" t="s">
        <v>1132</v>
      </c>
      <c r="L1242" s="3" t="s">
        <v>1136</v>
      </c>
      <c r="M1242" s="3" t="s">
        <v>1134</v>
      </c>
      <c r="O1242" s="3" t="s">
        <v>23</v>
      </c>
      <c r="R1242" s="7" t="str">
        <f>IF(H1242="","",VLOOKUP(H1242,'Hoja 9'!$A$1:$B$255,2,0))</f>
        <v>GOOGLE</v>
      </c>
      <c r="S1242" s="7">
        <f t="shared" si="1"/>
        <v>2025</v>
      </c>
      <c r="T1242" s="7">
        <f t="shared" si="2"/>
        <v>9</v>
      </c>
    </row>
    <row r="1243">
      <c r="A1243" s="4">
        <v>45930.480866990736</v>
      </c>
      <c r="B1243" s="3" t="s">
        <v>3218</v>
      </c>
      <c r="C1243" s="3" t="s">
        <v>321</v>
      </c>
      <c r="D1243" s="3" t="s">
        <v>3219</v>
      </c>
      <c r="E1243" s="5">
        <v>36703.0</v>
      </c>
      <c r="F1243" s="3">
        <v>4.2693138E7</v>
      </c>
      <c r="G1243" s="3">
        <v>3.512724972E9</v>
      </c>
      <c r="H1243" s="3" t="s">
        <v>21</v>
      </c>
      <c r="I1243" s="3" t="s">
        <v>28</v>
      </c>
      <c r="K1243" s="3" t="s">
        <v>1132</v>
      </c>
      <c r="L1243" s="3" t="s">
        <v>1133</v>
      </c>
      <c r="M1243" s="3" t="s">
        <v>1134</v>
      </c>
      <c r="R1243" s="7" t="str">
        <f>IF(H1243="","",VLOOKUP(H1243,'Hoja 9'!$A$1:$B$255,2,0))</f>
        <v>GOOGLE</v>
      </c>
      <c r="S1243" s="7">
        <f t="shared" si="1"/>
        <v>2025</v>
      </c>
      <c r="T1243" s="7">
        <f t="shared" si="2"/>
        <v>9</v>
      </c>
    </row>
    <row r="1244">
      <c r="A1244" s="4">
        <v>45931.51954332176</v>
      </c>
      <c r="B1244" s="3" t="s">
        <v>3220</v>
      </c>
      <c r="C1244" s="3" t="s">
        <v>3221</v>
      </c>
      <c r="D1244" s="3" t="s">
        <v>3222</v>
      </c>
      <c r="E1244" s="5">
        <v>17473.0</v>
      </c>
      <c r="F1244" s="3">
        <v>5698670.0</v>
      </c>
      <c r="G1244" s="3">
        <v>3.51670667E9</v>
      </c>
      <c r="H1244" s="3" t="s">
        <v>27</v>
      </c>
      <c r="I1244" s="3" t="s">
        <v>22</v>
      </c>
      <c r="K1244" s="3" t="s">
        <v>1132</v>
      </c>
      <c r="L1244" s="3" t="s">
        <v>3223</v>
      </c>
      <c r="M1244" s="3" t="s">
        <v>1137</v>
      </c>
      <c r="O1244" s="3" t="s">
        <v>23</v>
      </c>
      <c r="R1244" s="7" t="str">
        <f>IF(H1244="","",VLOOKUP(H1244,'Hoja 9'!$A$1:$B$255,2,0))</f>
        <v>BOCA EN BOCA</v>
      </c>
      <c r="S1244" s="7">
        <f t="shared" si="1"/>
        <v>2025</v>
      </c>
      <c r="T1244" s="7">
        <f t="shared" si="2"/>
        <v>10</v>
      </c>
    </row>
    <row r="1245">
      <c r="A1245" s="4">
        <v>45931.72418668981</v>
      </c>
      <c r="B1245" s="3" t="s">
        <v>3224</v>
      </c>
      <c r="C1245" s="3" t="s">
        <v>420</v>
      </c>
      <c r="D1245" s="3" t="s">
        <v>3225</v>
      </c>
      <c r="E1245" s="5">
        <v>37883.0</v>
      </c>
      <c r="F1245" s="3">
        <v>4.4971986E7</v>
      </c>
      <c r="G1245" s="3">
        <v>3.512091899E9</v>
      </c>
      <c r="H1245" s="3" t="s">
        <v>3226</v>
      </c>
      <c r="I1245" s="3" t="s">
        <v>28</v>
      </c>
      <c r="K1245" s="3" t="s">
        <v>1132</v>
      </c>
      <c r="L1245" s="3" t="s">
        <v>1136</v>
      </c>
      <c r="M1245" s="3" t="s">
        <v>1134</v>
      </c>
      <c r="R1245" s="7" t="str">
        <f>IF(H1245="","",VLOOKUP(H1245,'Hoja 9'!$A$1:$B$255,2,0))</f>
        <v>GIMNASIO</v>
      </c>
      <c r="S1245" s="7">
        <f t="shared" si="1"/>
        <v>2025</v>
      </c>
      <c r="T1245" s="7">
        <f t="shared" si="2"/>
        <v>10</v>
      </c>
    </row>
    <row r="1246">
      <c r="A1246" s="4">
        <v>45931.734394074076</v>
      </c>
      <c r="B1246" s="3" t="s">
        <v>3227</v>
      </c>
      <c r="C1246" s="3" t="s">
        <v>2540</v>
      </c>
      <c r="D1246" s="3" t="s">
        <v>3228</v>
      </c>
      <c r="E1246" s="5">
        <v>27775.0</v>
      </c>
      <c r="F1246" s="3">
        <v>2.4863986E7</v>
      </c>
      <c r="G1246" s="3">
        <v>3.515914536E9</v>
      </c>
      <c r="H1246" s="3" t="s">
        <v>44</v>
      </c>
      <c r="I1246" s="3" t="s">
        <v>22</v>
      </c>
      <c r="K1246" s="3" t="s">
        <v>1132</v>
      </c>
      <c r="L1246" s="3" t="s">
        <v>1133</v>
      </c>
      <c r="M1246" s="3" t="s">
        <v>1134</v>
      </c>
      <c r="O1246" s="3" t="s">
        <v>58</v>
      </c>
      <c r="R1246" s="7" t="str">
        <f>IF(H1246="","",VLOOKUP(H1246,'Hoja 9'!$A$1:$B$255,2,0))</f>
        <v>GIMNASIO</v>
      </c>
      <c r="S1246" s="7">
        <f t="shared" si="1"/>
        <v>2025</v>
      </c>
      <c r="T1246" s="7">
        <f t="shared" si="2"/>
        <v>10</v>
      </c>
    </row>
    <row r="1247">
      <c r="A1247" s="4">
        <v>45932.67920033565</v>
      </c>
      <c r="B1247" s="3" t="s">
        <v>3229</v>
      </c>
      <c r="C1247" s="3" t="s">
        <v>420</v>
      </c>
      <c r="E1247" s="5">
        <v>30247.0</v>
      </c>
      <c r="F1247" s="3">
        <v>2.971318E7</v>
      </c>
      <c r="G1247" s="3">
        <v>3.513281374E9</v>
      </c>
      <c r="H1247" s="3" t="s">
        <v>21</v>
      </c>
      <c r="I1247" s="3" t="s">
        <v>28</v>
      </c>
      <c r="K1247" s="3" t="s">
        <v>1132</v>
      </c>
      <c r="L1247" s="3" t="s">
        <v>1136</v>
      </c>
      <c r="M1247" s="3" t="s">
        <v>1137</v>
      </c>
      <c r="R1247" s="7" t="str">
        <f>IF(H1247="","",VLOOKUP(H1247,'Hoja 9'!$A$1:$B$255,2,0))</f>
        <v>GOOGLE</v>
      </c>
      <c r="S1247" s="7">
        <f t="shared" si="1"/>
        <v>2025</v>
      </c>
      <c r="T1247" s="7">
        <f t="shared" si="2"/>
        <v>10</v>
      </c>
    </row>
    <row r="1248">
      <c r="A1248" s="4">
        <v>45932.70877751157</v>
      </c>
      <c r="B1248" s="3" t="s">
        <v>340</v>
      </c>
      <c r="C1248" s="3" t="s">
        <v>996</v>
      </c>
      <c r="E1248" s="5">
        <v>36568.0</v>
      </c>
      <c r="F1248" s="3">
        <v>4.2260483E7</v>
      </c>
      <c r="G1248" s="3">
        <v>3.51260256E9</v>
      </c>
      <c r="H1248" s="3" t="s">
        <v>244</v>
      </c>
      <c r="I1248" s="3" t="s">
        <v>28</v>
      </c>
      <c r="K1248" s="3" t="s">
        <v>1145</v>
      </c>
      <c r="R1248" s="7" t="str">
        <f>IF(H1248="","",VLOOKUP(H1248,'Hoja 9'!$A$1:$B$255,2,0))</f>
        <v>META</v>
      </c>
      <c r="S1248" s="7">
        <f t="shared" si="1"/>
        <v>2025</v>
      </c>
      <c r="T1248" s="7">
        <f t="shared" si="2"/>
        <v>10</v>
      </c>
    </row>
    <row r="1249">
      <c r="A1249" s="4">
        <v>45932.74288525463</v>
      </c>
      <c r="B1249" s="3" t="s">
        <v>3230</v>
      </c>
      <c r="C1249" s="3" t="s">
        <v>265</v>
      </c>
      <c r="D1249" s="3" t="s">
        <v>3231</v>
      </c>
      <c r="E1249" s="5">
        <v>33668.0</v>
      </c>
      <c r="F1249" s="3">
        <v>3.7134195E7</v>
      </c>
      <c r="G1249" s="3">
        <v>3.512077505E9</v>
      </c>
      <c r="H1249" s="3" t="s">
        <v>27</v>
      </c>
      <c r="I1249" s="3" t="s">
        <v>28</v>
      </c>
      <c r="K1249" s="3" t="s">
        <v>1132</v>
      </c>
      <c r="L1249" s="3" t="s">
        <v>2387</v>
      </c>
      <c r="M1249" s="3" t="s">
        <v>1213</v>
      </c>
      <c r="R1249" s="7" t="str">
        <f>IF(H1249="","",VLOOKUP(H1249,'Hoja 9'!$A$1:$B$255,2,0))</f>
        <v>BOCA EN BOCA</v>
      </c>
      <c r="S1249" s="7">
        <f t="shared" si="1"/>
        <v>2025</v>
      </c>
      <c r="T1249" s="7">
        <f t="shared" si="2"/>
        <v>10</v>
      </c>
    </row>
    <row r="1250">
      <c r="A1250" s="4">
        <v>45933.43840616898</v>
      </c>
      <c r="B1250" s="3" t="s">
        <v>3232</v>
      </c>
      <c r="C1250" s="3" t="s">
        <v>218</v>
      </c>
      <c r="E1250" s="5">
        <v>26241.0</v>
      </c>
      <c r="F1250" s="3">
        <v>2.2328369E7</v>
      </c>
      <c r="G1250" s="3">
        <v>3.51223652E9</v>
      </c>
      <c r="H1250" s="3" t="s">
        <v>148</v>
      </c>
      <c r="I1250" s="3" t="s">
        <v>22</v>
      </c>
      <c r="K1250" s="3" t="s">
        <v>1145</v>
      </c>
      <c r="O1250" s="3" t="s">
        <v>831</v>
      </c>
      <c r="R1250" s="7" t="str">
        <f>IF(H1250="","",VLOOKUP(H1250,'Hoja 9'!$A$1:$B$255,2,0))</f>
        <v>OBRA SOCIAL</v>
      </c>
      <c r="S1250" s="7">
        <f t="shared" si="1"/>
        <v>2025</v>
      </c>
      <c r="T1250" s="7">
        <f t="shared" si="2"/>
        <v>10</v>
      </c>
    </row>
    <row r="1251">
      <c r="A1251" s="4">
        <v>45933.599382534725</v>
      </c>
      <c r="B1251" s="3" t="s">
        <v>1357</v>
      </c>
      <c r="C1251" s="3" t="s">
        <v>3233</v>
      </c>
      <c r="D1251" s="3" t="s">
        <v>3234</v>
      </c>
      <c r="E1251" s="5">
        <v>40156.0</v>
      </c>
      <c r="F1251" s="3">
        <v>4.9864772E7</v>
      </c>
      <c r="G1251" s="3">
        <v>3.512893334E9</v>
      </c>
      <c r="H1251" s="3" t="s">
        <v>21</v>
      </c>
      <c r="I1251" s="3" t="s">
        <v>28</v>
      </c>
      <c r="K1251" s="3" t="s">
        <v>1132</v>
      </c>
      <c r="L1251" s="3" t="s">
        <v>3235</v>
      </c>
      <c r="M1251" s="3" t="s">
        <v>1134</v>
      </c>
      <c r="R1251" s="7" t="str">
        <f>IF(H1251="","",VLOOKUP(H1251,'Hoja 9'!$A$1:$B$255,2,0))</f>
        <v>GOOGLE</v>
      </c>
      <c r="S1251" s="7">
        <f t="shared" si="1"/>
        <v>2025</v>
      </c>
      <c r="T1251" s="7">
        <f t="shared" si="2"/>
        <v>10</v>
      </c>
    </row>
    <row r="1252">
      <c r="A1252" s="4">
        <v>45936.35929395833</v>
      </c>
      <c r="B1252" s="3" t="s">
        <v>3236</v>
      </c>
      <c r="C1252" s="3" t="s">
        <v>146</v>
      </c>
      <c r="E1252" s="5">
        <v>19902.0</v>
      </c>
      <c r="F1252" s="3">
        <v>1.1298652E7</v>
      </c>
      <c r="G1252" s="3">
        <v>3.516526794E9</v>
      </c>
      <c r="H1252" s="3" t="s">
        <v>27</v>
      </c>
      <c r="I1252" s="3" t="s">
        <v>28</v>
      </c>
      <c r="K1252" s="3" t="s">
        <v>1145</v>
      </c>
      <c r="R1252" s="7" t="str">
        <f>IF(H1252="","",VLOOKUP(H1252,'Hoja 9'!$A$1:$B$255,2,0))</f>
        <v>BOCA EN BOCA</v>
      </c>
      <c r="S1252" s="7">
        <f t="shared" si="1"/>
        <v>2025</v>
      </c>
      <c r="T1252" s="7">
        <f t="shared" si="2"/>
        <v>10</v>
      </c>
    </row>
    <row r="1253">
      <c r="A1253" s="4">
        <v>45936.49286240741</v>
      </c>
      <c r="B1253" s="3" t="s">
        <v>3237</v>
      </c>
      <c r="C1253" s="3" t="s">
        <v>3238</v>
      </c>
      <c r="D1253" s="3" t="s">
        <v>3239</v>
      </c>
      <c r="E1253" s="5">
        <v>28754.0</v>
      </c>
      <c r="F1253" s="3">
        <v>2.6896769E7</v>
      </c>
      <c r="G1253" s="3">
        <v>3.51546292E9</v>
      </c>
      <c r="H1253" s="3" t="s">
        <v>3240</v>
      </c>
      <c r="I1253" s="3" t="s">
        <v>22</v>
      </c>
      <c r="K1253" s="3" t="s">
        <v>1132</v>
      </c>
      <c r="L1253" s="3" t="s">
        <v>3241</v>
      </c>
      <c r="M1253" s="3" t="s">
        <v>1213</v>
      </c>
      <c r="O1253" s="3" t="s">
        <v>149</v>
      </c>
      <c r="R1253" s="7" t="str">
        <f>IF(H1253="","",VLOOKUP(H1253,'Hoja 9'!$A$1:$B$255,2,0))</f>
        <v>BOCA EN BOCA</v>
      </c>
      <c r="S1253" s="7">
        <f t="shared" si="1"/>
        <v>2025</v>
      </c>
      <c r="T1253" s="7">
        <f t="shared" si="2"/>
        <v>10</v>
      </c>
    </row>
    <row r="1254">
      <c r="A1254" s="4">
        <v>45936.57542390046</v>
      </c>
      <c r="B1254" s="3" t="s">
        <v>3242</v>
      </c>
      <c r="C1254" s="3" t="s">
        <v>3243</v>
      </c>
      <c r="D1254" s="3" t="s">
        <v>3244</v>
      </c>
      <c r="E1254" s="5">
        <v>32801.0</v>
      </c>
      <c r="F1254" s="3">
        <v>9.6382577E7</v>
      </c>
      <c r="G1254" s="3">
        <v>3.512303183E9</v>
      </c>
      <c r="H1254" s="3" t="s">
        <v>27</v>
      </c>
      <c r="I1254" s="3" t="s">
        <v>22</v>
      </c>
      <c r="K1254" s="3" t="s">
        <v>1145</v>
      </c>
      <c r="O1254" s="3" t="s">
        <v>58</v>
      </c>
      <c r="R1254" s="7" t="str">
        <f>IF(H1254="","",VLOOKUP(H1254,'Hoja 9'!$A$1:$B$255,2,0))</f>
        <v>BOCA EN BOCA</v>
      </c>
      <c r="S1254" s="7">
        <f t="shared" si="1"/>
        <v>2025</v>
      </c>
      <c r="T1254" s="7">
        <f t="shared" si="2"/>
        <v>10</v>
      </c>
    </row>
    <row r="1255">
      <c r="A1255" s="4">
        <v>45937.44215471065</v>
      </c>
      <c r="B1255" s="3" t="s">
        <v>3245</v>
      </c>
      <c r="C1255" s="3" t="s">
        <v>3246</v>
      </c>
      <c r="D1255" s="3" t="s">
        <v>3247</v>
      </c>
      <c r="E1255" s="5">
        <v>34876.0</v>
      </c>
      <c r="F1255" s="3">
        <v>3.9057505E7</v>
      </c>
      <c r="G1255" s="3">
        <v>3.513609564E9</v>
      </c>
      <c r="H1255" s="3" t="s">
        <v>21</v>
      </c>
      <c r="I1255" s="3" t="s">
        <v>22</v>
      </c>
      <c r="K1255" s="3" t="s">
        <v>1132</v>
      </c>
      <c r="L1255" s="3" t="s">
        <v>1345</v>
      </c>
      <c r="M1255" s="3" t="s">
        <v>1137</v>
      </c>
      <c r="O1255" s="3" t="s">
        <v>149</v>
      </c>
      <c r="R1255" s="7" t="str">
        <f>IF(H1255="","",VLOOKUP(H1255,'Hoja 9'!$A$1:$B$255,2,0))</f>
        <v>GOOGLE</v>
      </c>
      <c r="S1255" s="7">
        <f t="shared" si="1"/>
        <v>2025</v>
      </c>
      <c r="T1255" s="7">
        <f t="shared" si="2"/>
        <v>10</v>
      </c>
    </row>
    <row r="1256">
      <c r="A1256" s="4">
        <v>45937.47743741898</v>
      </c>
      <c r="B1256" s="3" t="s">
        <v>3248</v>
      </c>
      <c r="C1256" s="3" t="s">
        <v>3249</v>
      </c>
      <c r="D1256" s="3" t="s">
        <v>3250</v>
      </c>
      <c r="E1256" s="5">
        <v>32933.0</v>
      </c>
      <c r="F1256" s="3">
        <v>3.4881951E7</v>
      </c>
      <c r="G1256" s="3">
        <v>1.137665104E9</v>
      </c>
      <c r="H1256" s="3" t="s">
        <v>21</v>
      </c>
      <c r="I1256" s="3" t="s">
        <v>28</v>
      </c>
      <c r="K1256" s="3" t="s">
        <v>1132</v>
      </c>
      <c r="L1256" s="3" t="s">
        <v>3251</v>
      </c>
      <c r="M1256" s="3" t="s">
        <v>1134</v>
      </c>
      <c r="R1256" s="7" t="str">
        <f>IF(H1256="","",VLOOKUP(H1256,'Hoja 9'!$A$1:$B$255,2,0))</f>
        <v>GOOGLE</v>
      </c>
      <c r="S1256" s="7">
        <f t="shared" si="1"/>
        <v>2025</v>
      </c>
      <c r="T1256" s="7">
        <f t="shared" si="2"/>
        <v>10</v>
      </c>
    </row>
    <row r="1257">
      <c r="A1257" s="4">
        <v>45938.79432782407</v>
      </c>
      <c r="B1257" s="3" t="s">
        <v>3252</v>
      </c>
      <c r="C1257" s="3" t="s">
        <v>1887</v>
      </c>
      <c r="D1257" s="3" t="s">
        <v>3253</v>
      </c>
      <c r="E1257" s="5">
        <v>27514.0</v>
      </c>
      <c r="F1257" s="3">
        <v>2.4769013E7</v>
      </c>
      <c r="G1257" s="3">
        <v>3.513091827E9</v>
      </c>
      <c r="H1257" s="3" t="s">
        <v>27</v>
      </c>
      <c r="I1257" s="3" t="s">
        <v>28</v>
      </c>
      <c r="K1257" s="3" t="s">
        <v>1132</v>
      </c>
      <c r="L1257" s="3" t="s">
        <v>1492</v>
      </c>
      <c r="M1257" s="3" t="s">
        <v>1137</v>
      </c>
      <c r="R1257" s="7" t="str">
        <f>IF(H1257="","",VLOOKUP(H1257,'Hoja 9'!$A$1:$B$255,2,0))</f>
        <v>BOCA EN BOCA</v>
      </c>
      <c r="S1257" s="7">
        <f t="shared" si="1"/>
        <v>2025</v>
      </c>
      <c r="T1257" s="7">
        <f t="shared" si="2"/>
        <v>10</v>
      </c>
    </row>
    <row r="1258">
      <c r="A1258" s="4">
        <v>45938.82308714121</v>
      </c>
      <c r="B1258" s="3" t="s">
        <v>3254</v>
      </c>
      <c r="C1258" s="3" t="s">
        <v>3255</v>
      </c>
      <c r="D1258" s="3" t="s">
        <v>3256</v>
      </c>
      <c r="E1258" s="5">
        <v>34047.0</v>
      </c>
      <c r="F1258" s="3">
        <v>3.7232728E7</v>
      </c>
      <c r="G1258" s="3">
        <v>3.537316068E9</v>
      </c>
      <c r="H1258" s="3" t="s">
        <v>27</v>
      </c>
      <c r="I1258" s="3" t="s">
        <v>22</v>
      </c>
      <c r="K1258" s="3" t="s">
        <v>1145</v>
      </c>
      <c r="O1258" s="3" t="s">
        <v>58</v>
      </c>
      <c r="R1258" s="7" t="str">
        <f>IF(H1258="","",VLOOKUP(H1258,'Hoja 9'!$A$1:$B$255,2,0))</f>
        <v>BOCA EN BOCA</v>
      </c>
      <c r="S1258" s="7">
        <f t="shared" si="1"/>
        <v>2025</v>
      </c>
      <c r="T1258" s="7">
        <f t="shared" si="2"/>
        <v>10</v>
      </c>
    </row>
    <row r="1259">
      <c r="A1259" s="4">
        <v>45939.697019513886</v>
      </c>
      <c r="B1259" s="3" t="s">
        <v>3257</v>
      </c>
      <c r="C1259" s="3" t="s">
        <v>3258</v>
      </c>
      <c r="D1259" s="3" t="s">
        <v>3259</v>
      </c>
      <c r="E1259" s="5">
        <v>25358.0</v>
      </c>
      <c r="F1259" s="3">
        <v>2.0870278E7</v>
      </c>
      <c r="G1259" s="3">
        <v>3.513911009E9</v>
      </c>
      <c r="H1259" s="3" t="s">
        <v>44</v>
      </c>
      <c r="I1259" s="3" t="s">
        <v>28</v>
      </c>
      <c r="K1259" s="3" t="s">
        <v>1132</v>
      </c>
      <c r="L1259" s="3" t="s">
        <v>1133</v>
      </c>
      <c r="M1259" s="3" t="s">
        <v>1134</v>
      </c>
      <c r="R1259" s="7" t="str">
        <f>IF(H1259="","",VLOOKUP(H1259,'Hoja 9'!$A$1:$B$255,2,0))</f>
        <v>GIMNASIO</v>
      </c>
      <c r="S1259" s="7">
        <f t="shared" si="1"/>
        <v>2025</v>
      </c>
      <c r="T1259" s="7">
        <f t="shared" si="2"/>
        <v>10</v>
      </c>
    </row>
    <row r="1260">
      <c r="A1260" s="4">
        <v>45939.77081775463</v>
      </c>
      <c r="B1260" s="3" t="s">
        <v>1050</v>
      </c>
      <c r="C1260" s="3" t="s">
        <v>2658</v>
      </c>
      <c r="D1260" s="3" t="s">
        <v>2659</v>
      </c>
      <c r="E1260" s="5">
        <v>28332.0</v>
      </c>
      <c r="F1260" s="3">
        <v>2.5858494E7</v>
      </c>
      <c r="G1260" s="3">
        <v>3.516379967E9</v>
      </c>
      <c r="H1260" s="3" t="s">
        <v>21</v>
      </c>
      <c r="I1260" s="3" t="s">
        <v>22</v>
      </c>
      <c r="K1260" s="3" t="s">
        <v>1132</v>
      </c>
      <c r="L1260" s="3" t="s">
        <v>1422</v>
      </c>
      <c r="M1260" s="3" t="s">
        <v>1137</v>
      </c>
      <c r="O1260" s="3" t="s">
        <v>23</v>
      </c>
      <c r="R1260" s="7" t="str">
        <f>IF(H1260="","",VLOOKUP(H1260,'Hoja 9'!$A$1:$B$255,2,0))</f>
        <v>GOOGLE</v>
      </c>
      <c r="S1260" s="7">
        <f t="shared" si="1"/>
        <v>2025</v>
      </c>
      <c r="T1260" s="7">
        <f t="shared" si="2"/>
        <v>10</v>
      </c>
    </row>
    <row r="1261">
      <c r="A1261" s="4">
        <v>45939.780174768515</v>
      </c>
      <c r="B1261" s="3" t="s">
        <v>100</v>
      </c>
      <c r="C1261" s="3" t="s">
        <v>433</v>
      </c>
      <c r="D1261" s="3" t="s">
        <v>3260</v>
      </c>
      <c r="E1261" s="5">
        <v>19219.0</v>
      </c>
      <c r="F1261" s="3">
        <v>1.0545785E7</v>
      </c>
      <c r="G1261" s="3">
        <v>3.515203179E9</v>
      </c>
      <c r="H1261" s="3" t="s">
        <v>27</v>
      </c>
      <c r="I1261" s="3" t="s">
        <v>22</v>
      </c>
      <c r="K1261" s="3" t="s">
        <v>1132</v>
      </c>
      <c r="L1261" s="3" t="s">
        <v>1282</v>
      </c>
      <c r="M1261" s="3" t="s">
        <v>1137</v>
      </c>
      <c r="O1261" s="3" t="s">
        <v>957</v>
      </c>
      <c r="R1261" s="7" t="str">
        <f>IF(H1261="","",VLOOKUP(H1261,'Hoja 9'!$A$1:$B$255,2,0))</f>
        <v>BOCA EN BOCA</v>
      </c>
      <c r="S1261" s="7">
        <f t="shared" si="1"/>
        <v>2025</v>
      </c>
      <c r="T1261" s="7">
        <f t="shared" si="2"/>
        <v>10</v>
      </c>
    </row>
    <row r="1262">
      <c r="A1262" s="4">
        <v>45939.80833137731</v>
      </c>
      <c r="B1262" s="3" t="s">
        <v>3261</v>
      </c>
      <c r="C1262" s="3" t="s">
        <v>3262</v>
      </c>
      <c r="E1262" s="5">
        <v>40156.0</v>
      </c>
      <c r="F1262" s="3">
        <v>4.9864772E7</v>
      </c>
      <c r="G1262" s="3">
        <v>3.512848425E9</v>
      </c>
      <c r="H1262" s="3" t="s">
        <v>44</v>
      </c>
      <c r="I1262" s="3" t="s">
        <v>22</v>
      </c>
      <c r="K1262" s="3" t="s">
        <v>1132</v>
      </c>
      <c r="L1262" s="3" t="s">
        <v>1133</v>
      </c>
      <c r="M1262" s="3" t="s">
        <v>1213</v>
      </c>
      <c r="R1262" s="7" t="str">
        <f>IF(H1262="","",VLOOKUP(H1262,'Hoja 9'!$A$1:$B$255,2,0))</f>
        <v>GIMNASIO</v>
      </c>
      <c r="S1262" s="7">
        <f t="shared" si="1"/>
        <v>2025</v>
      </c>
      <c r="T1262" s="7">
        <f t="shared" si="2"/>
        <v>10</v>
      </c>
    </row>
    <row r="1263">
      <c r="A1263" s="4">
        <v>45943.48002827546</v>
      </c>
      <c r="B1263" s="3" t="s">
        <v>726</v>
      </c>
      <c r="C1263" s="3" t="s">
        <v>3263</v>
      </c>
      <c r="D1263" s="3" t="s">
        <v>3264</v>
      </c>
      <c r="E1263" s="5">
        <v>41489.0</v>
      </c>
      <c r="F1263" s="3">
        <v>5.3262359E7</v>
      </c>
      <c r="G1263" s="3">
        <v>3.513242223E9</v>
      </c>
      <c r="H1263" s="3" t="s">
        <v>27</v>
      </c>
      <c r="I1263" s="3" t="s">
        <v>22</v>
      </c>
      <c r="K1263" s="3" t="s">
        <v>1132</v>
      </c>
      <c r="L1263" s="3" t="s">
        <v>1136</v>
      </c>
      <c r="M1263" s="3" t="s">
        <v>1134</v>
      </c>
      <c r="O1263" s="3" t="s">
        <v>58</v>
      </c>
      <c r="R1263" s="7" t="str">
        <f>IF(H1263="","",VLOOKUP(H1263,'Hoja 9'!$A$1:$B$255,2,0))</f>
        <v>BOCA EN BOCA</v>
      </c>
      <c r="S1263" s="7">
        <f t="shared" si="1"/>
        <v>2025</v>
      </c>
      <c r="T1263" s="7">
        <f t="shared" si="2"/>
        <v>10</v>
      </c>
    </row>
    <row r="1264">
      <c r="A1264" s="4">
        <v>45943.60278869213</v>
      </c>
      <c r="B1264" s="3" t="s">
        <v>3265</v>
      </c>
      <c r="C1264" s="3" t="s">
        <v>3266</v>
      </c>
      <c r="D1264" s="3" t="s">
        <v>3267</v>
      </c>
      <c r="E1264" s="5">
        <v>21529.0</v>
      </c>
      <c r="F1264" s="3">
        <v>1.2670862E7</v>
      </c>
      <c r="G1264" s="3">
        <v>3.51531421E9</v>
      </c>
      <c r="H1264" s="3" t="s">
        <v>27</v>
      </c>
      <c r="I1264" s="3" t="s">
        <v>22</v>
      </c>
      <c r="K1264" s="3" t="s">
        <v>1145</v>
      </c>
      <c r="O1264" s="3" t="s">
        <v>23</v>
      </c>
      <c r="R1264" s="7" t="str">
        <f>IF(H1264="","",VLOOKUP(H1264,'Hoja 9'!$A$1:$B$255,2,0))</f>
        <v>BOCA EN BOCA</v>
      </c>
      <c r="S1264" s="7">
        <f t="shared" si="1"/>
        <v>2025</v>
      </c>
      <c r="T1264" s="7">
        <f t="shared" si="2"/>
        <v>10</v>
      </c>
    </row>
    <row r="1265">
      <c r="A1265" s="4">
        <v>45943.72266510417</v>
      </c>
      <c r="B1265" s="3" t="s">
        <v>3268</v>
      </c>
      <c r="C1265" s="3" t="s">
        <v>3269</v>
      </c>
      <c r="D1265" s="3" t="s">
        <v>3270</v>
      </c>
      <c r="E1265" s="5">
        <v>27444.0</v>
      </c>
      <c r="F1265" s="3">
        <v>2.4463781E7</v>
      </c>
      <c r="G1265" s="3">
        <v>3.516828401E9</v>
      </c>
      <c r="H1265" s="3" t="s">
        <v>244</v>
      </c>
      <c r="I1265" s="3" t="s">
        <v>22</v>
      </c>
      <c r="K1265" s="3" t="s">
        <v>1145</v>
      </c>
      <c r="O1265" s="3" t="s">
        <v>23</v>
      </c>
      <c r="R1265" s="7" t="str">
        <f>IF(H1265="","",VLOOKUP(H1265,'Hoja 9'!$A$1:$B$255,2,0))</f>
        <v>META</v>
      </c>
      <c r="S1265" s="7">
        <f t="shared" si="1"/>
        <v>2025</v>
      </c>
      <c r="T1265" s="7">
        <f t="shared" si="2"/>
        <v>10</v>
      </c>
    </row>
    <row r="1266">
      <c r="A1266" s="4">
        <v>45943.74044424768</v>
      </c>
      <c r="B1266" s="3" t="s">
        <v>171</v>
      </c>
      <c r="C1266" s="3" t="s">
        <v>3271</v>
      </c>
      <c r="D1266" s="3" t="s">
        <v>3272</v>
      </c>
      <c r="E1266" s="5">
        <v>18704.0</v>
      </c>
      <c r="F1266" s="3">
        <v>8598383.0</v>
      </c>
      <c r="G1266" s="3">
        <v>3.515433121E9</v>
      </c>
      <c r="H1266" s="3" t="s">
        <v>27</v>
      </c>
      <c r="I1266" s="3" t="s">
        <v>28</v>
      </c>
      <c r="K1266" s="3" t="s">
        <v>1132</v>
      </c>
      <c r="L1266" s="3" t="s">
        <v>3273</v>
      </c>
      <c r="M1266" s="3" t="s">
        <v>1137</v>
      </c>
      <c r="R1266" s="7" t="str">
        <f>IF(H1266="","",VLOOKUP(H1266,'Hoja 9'!$A$1:$B$255,2,0))</f>
        <v>BOCA EN BOCA</v>
      </c>
      <c r="S1266" s="7">
        <f t="shared" si="1"/>
        <v>2025</v>
      </c>
      <c r="T1266" s="7">
        <f t="shared" si="2"/>
        <v>10</v>
      </c>
    </row>
    <row r="1267">
      <c r="A1267" s="4">
        <v>45943.75852633102</v>
      </c>
      <c r="B1267" s="3" t="s">
        <v>3274</v>
      </c>
      <c r="C1267" s="3" t="s">
        <v>996</v>
      </c>
      <c r="D1267" s="3" t="s">
        <v>3275</v>
      </c>
      <c r="E1267" s="5">
        <v>33928.0</v>
      </c>
      <c r="F1267" s="3">
        <v>3.7095567E7</v>
      </c>
      <c r="G1267" s="3">
        <v>3.564602453E9</v>
      </c>
      <c r="H1267" s="3" t="s">
        <v>21</v>
      </c>
      <c r="I1267" s="3" t="s">
        <v>22</v>
      </c>
      <c r="K1267" s="3" t="s">
        <v>1132</v>
      </c>
      <c r="L1267" s="3" t="s">
        <v>3276</v>
      </c>
      <c r="M1267" s="3" t="s">
        <v>1213</v>
      </c>
      <c r="O1267" s="3" t="s">
        <v>58</v>
      </c>
      <c r="R1267" s="7" t="str">
        <f>IF(H1267="","",VLOOKUP(H1267,'Hoja 9'!$A$1:$B$255,2,0))</f>
        <v>GOOGLE</v>
      </c>
      <c r="S1267" s="7">
        <f t="shared" si="1"/>
        <v>2025</v>
      </c>
      <c r="T1267" s="7">
        <f t="shared" si="2"/>
        <v>10</v>
      </c>
    </row>
    <row r="1268">
      <c r="A1268" s="4">
        <v>45944.445317245365</v>
      </c>
      <c r="B1268" s="3" t="s">
        <v>3277</v>
      </c>
      <c r="C1268" s="3" t="s">
        <v>3278</v>
      </c>
      <c r="D1268" s="3" t="s">
        <v>2664</v>
      </c>
      <c r="E1268" s="5">
        <v>17840.0</v>
      </c>
      <c r="F1268" s="3">
        <v>5869655.0</v>
      </c>
      <c r="G1268" s="3">
        <v>3.513239274E9</v>
      </c>
      <c r="H1268" s="3" t="s">
        <v>44</v>
      </c>
      <c r="I1268" s="3" t="s">
        <v>28</v>
      </c>
      <c r="K1268" s="3" t="s">
        <v>1132</v>
      </c>
      <c r="L1268" s="3" t="s">
        <v>1133</v>
      </c>
      <c r="M1268" s="3" t="s">
        <v>1134</v>
      </c>
      <c r="R1268" s="7" t="str">
        <f>IF(H1268="","",VLOOKUP(H1268,'Hoja 9'!$A$1:$B$255,2,0))</f>
        <v>GIMNASIO</v>
      </c>
      <c r="S1268" s="7">
        <f t="shared" si="1"/>
        <v>2025</v>
      </c>
      <c r="T1268" s="7">
        <f t="shared" si="2"/>
        <v>10</v>
      </c>
    </row>
    <row r="1269">
      <c r="A1269" s="4">
        <v>45944.81633239583</v>
      </c>
      <c r="B1269" s="3" t="s">
        <v>3279</v>
      </c>
      <c r="C1269" s="3" t="s">
        <v>991</v>
      </c>
      <c r="D1269" s="3" t="s">
        <v>3280</v>
      </c>
      <c r="E1269" s="5">
        <v>34460.0</v>
      </c>
      <c r="F1269" s="3">
        <v>3.8183134E7</v>
      </c>
      <c r="G1269" s="3">
        <v>3.51533772E9</v>
      </c>
      <c r="H1269" s="3" t="s">
        <v>3281</v>
      </c>
      <c r="I1269" s="3" t="s">
        <v>22</v>
      </c>
      <c r="K1269" s="3" t="s">
        <v>1132</v>
      </c>
      <c r="L1269" s="3" t="s">
        <v>1136</v>
      </c>
      <c r="M1269" s="3" t="s">
        <v>1137</v>
      </c>
      <c r="O1269" s="3" t="s">
        <v>149</v>
      </c>
      <c r="R1269" s="7" t="str">
        <f>IF(H1269="","",VLOOKUP(H1269,'Hoja 9'!$A$1:$B$255,2,0))</f>
        <v>BOCA EN BOCA</v>
      </c>
      <c r="S1269" s="7">
        <f t="shared" si="1"/>
        <v>2025</v>
      </c>
      <c r="T1269" s="7">
        <f t="shared" si="2"/>
        <v>10</v>
      </c>
    </row>
    <row r="1270">
      <c r="A1270" s="4">
        <v>45945.46915319444</v>
      </c>
      <c r="B1270" s="3" t="s">
        <v>3282</v>
      </c>
      <c r="C1270" s="3" t="s">
        <v>1617</v>
      </c>
      <c r="D1270" s="3" t="s">
        <v>3283</v>
      </c>
      <c r="E1270" s="5">
        <v>33557.0</v>
      </c>
      <c r="F1270" s="3">
        <v>3.6143364E7</v>
      </c>
      <c r="G1270" s="3">
        <v>3.512338939E9</v>
      </c>
      <c r="H1270" s="3" t="s">
        <v>148</v>
      </c>
      <c r="I1270" s="3" t="s">
        <v>28</v>
      </c>
      <c r="K1270" s="3" t="s">
        <v>1132</v>
      </c>
      <c r="L1270" s="3" t="s">
        <v>1133</v>
      </c>
      <c r="M1270" s="3" t="s">
        <v>1137</v>
      </c>
      <c r="R1270" s="7" t="str">
        <f>IF(H1270="","",VLOOKUP(H1270,'Hoja 9'!$A$1:$B$255,2,0))</f>
        <v>OBRA SOCIAL</v>
      </c>
      <c r="S1270" s="7">
        <f t="shared" si="1"/>
        <v>2025</v>
      </c>
      <c r="T1270" s="7">
        <f t="shared" si="2"/>
        <v>10</v>
      </c>
    </row>
    <row r="1271">
      <c r="A1271" s="4">
        <v>45945.83503652777</v>
      </c>
      <c r="B1271" s="3" t="s">
        <v>3284</v>
      </c>
      <c r="C1271" s="3" t="s">
        <v>2106</v>
      </c>
      <c r="D1271" s="3" t="s">
        <v>3285</v>
      </c>
      <c r="E1271" s="5">
        <v>45899.0</v>
      </c>
      <c r="F1271" s="3">
        <v>2.8639686E7</v>
      </c>
      <c r="G1271" s="3">
        <v>3.51514702E9</v>
      </c>
      <c r="H1271" s="3" t="s">
        <v>21</v>
      </c>
      <c r="I1271" s="3" t="s">
        <v>28</v>
      </c>
      <c r="K1271" s="3" t="s">
        <v>1132</v>
      </c>
      <c r="L1271" s="3" t="s">
        <v>3286</v>
      </c>
      <c r="M1271" s="3" t="s">
        <v>1137</v>
      </c>
      <c r="R1271" s="7" t="str">
        <f>IF(H1271="","",VLOOKUP(H1271,'Hoja 9'!$A$1:$B$255,2,0))</f>
        <v>GOOGLE</v>
      </c>
      <c r="S1271" s="7">
        <f t="shared" si="1"/>
        <v>2025</v>
      </c>
      <c r="T1271" s="7">
        <f t="shared" si="2"/>
        <v>10</v>
      </c>
    </row>
    <row r="1272">
      <c r="A1272" s="4">
        <v>45950.48960732639</v>
      </c>
      <c r="B1272" s="3" t="s">
        <v>3287</v>
      </c>
      <c r="C1272" s="3" t="s">
        <v>3288</v>
      </c>
      <c r="D1272" s="3" t="s">
        <v>3289</v>
      </c>
      <c r="E1272" s="5">
        <v>24172.0</v>
      </c>
      <c r="F1272" s="3">
        <v>1.7533411E7</v>
      </c>
      <c r="G1272" s="3">
        <v>3.51788706E9</v>
      </c>
      <c r="H1272" s="3" t="s">
        <v>44</v>
      </c>
      <c r="I1272" s="3" t="s">
        <v>28</v>
      </c>
      <c r="K1272" s="3" t="s">
        <v>1132</v>
      </c>
      <c r="L1272" s="3" t="s">
        <v>1133</v>
      </c>
      <c r="M1272" s="3" t="s">
        <v>1134</v>
      </c>
      <c r="R1272" s="7" t="str">
        <f>IF(H1272="","",VLOOKUP(H1272,'Hoja 9'!$A$1:$B$255,2,0))</f>
        <v>GIMNASIO</v>
      </c>
      <c r="S1272" s="7">
        <f t="shared" si="1"/>
        <v>2025</v>
      </c>
      <c r="T1272" s="7">
        <f t="shared" si="2"/>
        <v>10</v>
      </c>
    </row>
    <row r="1273">
      <c r="A1273" s="4">
        <v>45950.68423171296</v>
      </c>
      <c r="B1273" s="3" t="s">
        <v>3290</v>
      </c>
      <c r="C1273" s="3" t="s">
        <v>3291</v>
      </c>
      <c r="D1273" s="3" t="s">
        <v>3292</v>
      </c>
      <c r="E1273" s="5">
        <v>19386.0</v>
      </c>
      <c r="F1273" s="3">
        <v>1.0544522E7</v>
      </c>
      <c r="G1273" s="3">
        <v>3.516504916E9</v>
      </c>
      <c r="H1273" s="3" t="s">
        <v>3293</v>
      </c>
      <c r="I1273" s="3" t="s">
        <v>22</v>
      </c>
      <c r="K1273" s="3" t="s">
        <v>1132</v>
      </c>
      <c r="L1273" s="3" t="s">
        <v>3294</v>
      </c>
      <c r="M1273" s="3" t="s">
        <v>1134</v>
      </c>
      <c r="O1273" s="3" t="s">
        <v>23</v>
      </c>
      <c r="R1273" s="7" t="str">
        <f>IF(H1273="","",VLOOKUP(H1273,'Hoja 9'!$A$1:$B$255,2,0))</f>
        <v>BOCA EN BOCA</v>
      </c>
      <c r="S1273" s="7">
        <f t="shared" si="1"/>
        <v>2025</v>
      </c>
      <c r="T1273" s="7">
        <f t="shared" si="2"/>
        <v>10</v>
      </c>
    </row>
    <row r="1274">
      <c r="A1274" s="4">
        <v>45950.7498078125</v>
      </c>
      <c r="B1274" s="3" t="s">
        <v>3295</v>
      </c>
      <c r="C1274" s="3" t="s">
        <v>3296</v>
      </c>
      <c r="D1274" s="3" t="s">
        <v>1976</v>
      </c>
      <c r="E1274" s="5">
        <v>32899.0</v>
      </c>
      <c r="F1274" s="3">
        <v>3.4839685E7</v>
      </c>
      <c r="G1274" s="3">
        <v>5.515436185E9</v>
      </c>
      <c r="H1274" s="3" t="s">
        <v>3297</v>
      </c>
      <c r="I1274" s="3" t="s">
        <v>28</v>
      </c>
      <c r="K1274" s="3" t="s">
        <v>1132</v>
      </c>
      <c r="L1274" s="3" t="s">
        <v>1136</v>
      </c>
      <c r="M1274" s="3" t="s">
        <v>1134</v>
      </c>
      <c r="R1274" s="7" t="str">
        <f>IF(H1274="","",VLOOKUP(H1274,'Hoja 9'!$A$1:$B$255,2,0))</f>
        <v>BOCA EN BOCA</v>
      </c>
      <c r="S1274" s="7">
        <f t="shared" si="1"/>
        <v>2025</v>
      </c>
      <c r="T1274" s="7">
        <f t="shared" si="2"/>
        <v>10</v>
      </c>
    </row>
    <row r="1275">
      <c r="A1275" s="4">
        <v>45951.41597457176</v>
      </c>
      <c r="B1275" s="3" t="s">
        <v>1036</v>
      </c>
      <c r="C1275" s="3" t="s">
        <v>3298</v>
      </c>
      <c r="E1275" s="5">
        <v>19406.0</v>
      </c>
      <c r="F1275" s="3">
        <v>1.0771585E7</v>
      </c>
      <c r="G1275" s="3">
        <v>3.516506388E9</v>
      </c>
      <c r="H1275" s="3" t="s">
        <v>21</v>
      </c>
      <c r="I1275" s="3" t="s">
        <v>28</v>
      </c>
      <c r="K1275" s="3" t="s">
        <v>1132</v>
      </c>
      <c r="M1275" s="3" t="s">
        <v>1137</v>
      </c>
      <c r="R1275" s="7" t="str">
        <f>IF(H1275="","",VLOOKUP(H1275,'Hoja 9'!$A$1:$B$255,2,0))</f>
        <v>GOOGLE</v>
      </c>
      <c r="S1275" s="7">
        <f t="shared" si="1"/>
        <v>2025</v>
      </c>
      <c r="T1275" s="7">
        <f t="shared" si="2"/>
        <v>10</v>
      </c>
    </row>
    <row r="1276">
      <c r="A1276" s="4">
        <v>45952.4470272801</v>
      </c>
      <c r="B1276" s="3" t="s">
        <v>264</v>
      </c>
      <c r="C1276" s="3" t="s">
        <v>2643</v>
      </c>
      <c r="D1276" s="3" t="s">
        <v>3299</v>
      </c>
      <c r="E1276" s="5">
        <v>23116.0</v>
      </c>
      <c r="F1276" s="3">
        <v>1.629292E7</v>
      </c>
      <c r="G1276" s="3">
        <v>3.515901383E9</v>
      </c>
      <c r="H1276" s="3" t="s">
        <v>27</v>
      </c>
      <c r="I1276" s="3" t="s">
        <v>22</v>
      </c>
      <c r="K1276" s="3" t="s">
        <v>1132</v>
      </c>
      <c r="L1276" s="3" t="s">
        <v>3300</v>
      </c>
      <c r="M1276" s="3" t="s">
        <v>1137</v>
      </c>
      <c r="O1276" s="3" t="s">
        <v>23</v>
      </c>
      <c r="R1276" s="7" t="str">
        <f>IF(H1276="","",VLOOKUP(H1276,'Hoja 9'!$A$1:$B$255,2,0))</f>
        <v>BOCA EN BOCA</v>
      </c>
      <c r="S1276" s="7">
        <f t="shared" si="1"/>
        <v>2025</v>
      </c>
      <c r="T1276" s="7">
        <f t="shared" si="2"/>
        <v>10</v>
      </c>
    </row>
    <row r="1277">
      <c r="A1277" s="4">
        <v>45952.50535131944</v>
      </c>
      <c r="B1277" s="3" t="s">
        <v>890</v>
      </c>
      <c r="C1277" s="3" t="s">
        <v>406</v>
      </c>
      <c r="E1277" s="5">
        <v>36054.0</v>
      </c>
      <c r="F1277" s="3">
        <v>4.1810143E7</v>
      </c>
      <c r="G1277" s="3">
        <v>3.513539903E9</v>
      </c>
      <c r="H1277" s="3" t="s">
        <v>44</v>
      </c>
      <c r="I1277" s="3" t="s">
        <v>28</v>
      </c>
      <c r="K1277" s="3" t="s">
        <v>1132</v>
      </c>
      <c r="L1277" s="3" t="s">
        <v>1133</v>
      </c>
      <c r="M1277" s="3" t="s">
        <v>1134</v>
      </c>
      <c r="R1277" s="7" t="str">
        <f>IF(H1277="","",VLOOKUP(H1277,'Hoja 9'!$A$1:$B$255,2,0))</f>
        <v>GIMNASIO</v>
      </c>
      <c r="S1277" s="7">
        <f t="shared" si="1"/>
        <v>2025</v>
      </c>
      <c r="T1277" s="7">
        <f t="shared" si="2"/>
        <v>10</v>
      </c>
    </row>
    <row r="1278">
      <c r="A1278" s="4">
        <v>45952.57313481481</v>
      </c>
      <c r="B1278" s="3" t="s">
        <v>2871</v>
      </c>
      <c r="C1278" s="3" t="s">
        <v>1312</v>
      </c>
      <c r="D1278" s="3" t="s">
        <v>3301</v>
      </c>
      <c r="E1278" s="5">
        <v>35671.0</v>
      </c>
      <c r="F1278" s="3">
        <v>4.0682711E7</v>
      </c>
      <c r="G1278" s="3">
        <v>3.518107151E9</v>
      </c>
      <c r="H1278" s="3" t="s">
        <v>21</v>
      </c>
      <c r="I1278" s="3" t="s">
        <v>28</v>
      </c>
      <c r="K1278" s="3" t="s">
        <v>1132</v>
      </c>
      <c r="L1278" s="3" t="s">
        <v>1133</v>
      </c>
      <c r="M1278" s="3" t="s">
        <v>1134</v>
      </c>
      <c r="R1278" s="7" t="str">
        <f>IF(H1278="","",VLOOKUP(H1278,'Hoja 9'!$A$1:$B$255,2,0))</f>
        <v>GOOGLE</v>
      </c>
      <c r="S1278" s="7">
        <f t="shared" si="1"/>
        <v>2025</v>
      </c>
      <c r="T1278" s="7">
        <f t="shared" si="2"/>
        <v>10</v>
      </c>
    </row>
    <row r="1279">
      <c r="A1279" s="4">
        <v>45952.669494999995</v>
      </c>
      <c r="B1279" s="3" t="s">
        <v>3302</v>
      </c>
      <c r="C1279" s="3" t="s">
        <v>3303</v>
      </c>
      <c r="D1279" s="3" t="s">
        <v>3304</v>
      </c>
      <c r="E1279" s="5">
        <v>35376.0</v>
      </c>
      <c r="F1279" s="3">
        <v>3.9937362E7</v>
      </c>
      <c r="G1279" s="3">
        <v>3.513892836E9</v>
      </c>
      <c r="H1279" s="3" t="s">
        <v>27</v>
      </c>
      <c r="I1279" s="3" t="s">
        <v>28</v>
      </c>
      <c r="K1279" s="3" t="s">
        <v>1132</v>
      </c>
      <c r="L1279" s="3" t="s">
        <v>1133</v>
      </c>
      <c r="M1279" s="3" t="s">
        <v>1134</v>
      </c>
      <c r="R1279" s="7" t="str">
        <f>IF(H1279="","",VLOOKUP(H1279,'Hoja 9'!$A$1:$B$255,2,0))</f>
        <v>BOCA EN BOCA</v>
      </c>
      <c r="S1279" s="7">
        <f t="shared" si="1"/>
        <v>2025</v>
      </c>
      <c r="T1279" s="7">
        <f t="shared" si="2"/>
        <v>10</v>
      </c>
    </row>
    <row r="1280">
      <c r="A1280" s="4">
        <v>45952.716512280094</v>
      </c>
      <c r="B1280" s="3" t="s">
        <v>3305</v>
      </c>
      <c r="C1280" s="3" t="s">
        <v>276</v>
      </c>
      <c r="D1280" s="3" t="s">
        <v>3306</v>
      </c>
      <c r="E1280" s="5">
        <v>40445.0</v>
      </c>
      <c r="F1280" s="3">
        <v>5.0421924E7</v>
      </c>
      <c r="G1280" s="3">
        <v>3.516123681E9</v>
      </c>
      <c r="H1280" s="3" t="s">
        <v>27</v>
      </c>
      <c r="I1280" s="3" t="s">
        <v>22</v>
      </c>
      <c r="K1280" s="3" t="s">
        <v>1132</v>
      </c>
      <c r="L1280" s="3" t="s">
        <v>1136</v>
      </c>
      <c r="M1280" s="3" t="s">
        <v>1134</v>
      </c>
      <c r="O1280" s="3" t="s">
        <v>149</v>
      </c>
      <c r="R1280" s="7" t="str">
        <f>IF(H1280="","",VLOOKUP(H1280,'Hoja 9'!$A$1:$B$255,2,0))</f>
        <v>BOCA EN BOCA</v>
      </c>
      <c r="S1280" s="7">
        <f t="shared" si="1"/>
        <v>2025</v>
      </c>
      <c r="T1280" s="7">
        <f t="shared" si="2"/>
        <v>10</v>
      </c>
    </row>
    <row r="1281">
      <c r="A1281" s="4">
        <v>45953.51665133102</v>
      </c>
      <c r="B1281" s="3" t="s">
        <v>3307</v>
      </c>
      <c r="C1281" s="3" t="s">
        <v>3078</v>
      </c>
      <c r="D1281" s="3" t="s">
        <v>3308</v>
      </c>
      <c r="E1281" s="5">
        <v>29432.0</v>
      </c>
      <c r="F1281" s="3">
        <v>2.8270188E7</v>
      </c>
      <c r="G1281" s="3">
        <v>3.516786167E9</v>
      </c>
      <c r="H1281" s="3" t="s">
        <v>3309</v>
      </c>
      <c r="I1281" s="3" t="s">
        <v>28</v>
      </c>
      <c r="K1281" s="3" t="s">
        <v>1132</v>
      </c>
      <c r="L1281" s="3" t="s">
        <v>1133</v>
      </c>
      <c r="M1281" s="3" t="s">
        <v>1134</v>
      </c>
      <c r="R1281" s="7" t="str">
        <f>IF(H1281="","",VLOOKUP(H1281,'Hoja 9'!$A$1:$B$255,2,0))</f>
        <v>BOCA EN BOCA</v>
      </c>
      <c r="S1281" s="7">
        <f t="shared" si="1"/>
        <v>2025</v>
      </c>
      <c r="T1281" s="7">
        <f t="shared" si="2"/>
        <v>10</v>
      </c>
    </row>
    <row r="1282">
      <c r="A1282" s="4">
        <v>45954.49563721065</v>
      </c>
      <c r="B1282" s="3" t="s">
        <v>1921</v>
      </c>
      <c r="C1282" s="3" t="s">
        <v>1823</v>
      </c>
      <c r="D1282" s="3" t="s">
        <v>3310</v>
      </c>
      <c r="E1282" s="5">
        <v>16429.0</v>
      </c>
      <c r="F1282" s="3">
        <v>5097687.0</v>
      </c>
      <c r="G1282" s="3">
        <v>3.515925146E9</v>
      </c>
      <c r="H1282" s="3" t="s">
        <v>27</v>
      </c>
      <c r="I1282" s="3" t="s">
        <v>28</v>
      </c>
      <c r="K1282" s="3" t="s">
        <v>1145</v>
      </c>
      <c r="R1282" s="7" t="str">
        <f>IF(H1282="","",VLOOKUP(H1282,'Hoja 9'!$A$1:$B$255,2,0))</f>
        <v>BOCA EN BOCA</v>
      </c>
      <c r="S1282" s="7">
        <f t="shared" si="1"/>
        <v>2025</v>
      </c>
      <c r="T1282" s="7">
        <f t="shared" si="2"/>
        <v>10</v>
      </c>
    </row>
    <row r="1283">
      <c r="A1283" s="4">
        <v>45954.65977179398</v>
      </c>
      <c r="B1283" s="3" t="s">
        <v>3311</v>
      </c>
      <c r="C1283" s="3" t="s">
        <v>469</v>
      </c>
      <c r="D1283" s="3" t="s">
        <v>3312</v>
      </c>
      <c r="E1283" s="5">
        <v>32409.0</v>
      </c>
      <c r="F1283" s="3">
        <v>3.3893071E7</v>
      </c>
      <c r="G1283" s="3">
        <v>3.516692219E9</v>
      </c>
      <c r="H1283" s="3" t="s">
        <v>21</v>
      </c>
      <c r="I1283" s="3" t="s">
        <v>22</v>
      </c>
      <c r="K1283" s="3" t="s">
        <v>1145</v>
      </c>
      <c r="O1283" s="3" t="s">
        <v>23</v>
      </c>
      <c r="R1283" s="7" t="str">
        <f>IF(H1283="","",VLOOKUP(H1283,'Hoja 9'!$A$1:$B$255,2,0))</f>
        <v>GOOGLE</v>
      </c>
      <c r="S1283" s="7">
        <f t="shared" si="1"/>
        <v>2025</v>
      </c>
      <c r="T1283" s="7">
        <f t="shared" si="2"/>
        <v>10</v>
      </c>
    </row>
    <row r="1284">
      <c r="A1284" s="4">
        <v>45954.81886489583</v>
      </c>
      <c r="B1284" s="3" t="s">
        <v>3313</v>
      </c>
      <c r="C1284" s="3" t="s">
        <v>3314</v>
      </c>
      <c r="D1284" s="3" t="s">
        <v>3315</v>
      </c>
      <c r="E1284" s="5">
        <v>42310.0</v>
      </c>
      <c r="F1284" s="3">
        <v>5.5009127E7</v>
      </c>
      <c r="G1284" s="3">
        <v>3.516314075E9</v>
      </c>
      <c r="H1284" s="3" t="s">
        <v>27</v>
      </c>
      <c r="I1284" s="3" t="s">
        <v>22</v>
      </c>
      <c r="K1284" s="3" t="s">
        <v>1132</v>
      </c>
      <c r="L1284" s="3" t="s">
        <v>1136</v>
      </c>
      <c r="M1284" s="3" t="s">
        <v>1134</v>
      </c>
      <c r="O1284" s="3" t="s">
        <v>58</v>
      </c>
      <c r="R1284" s="7" t="str">
        <f>IF(H1284="","",VLOOKUP(H1284,'Hoja 9'!$A$1:$B$255,2,0))</f>
        <v>BOCA EN BOCA</v>
      </c>
      <c r="S1284" s="7">
        <f t="shared" si="1"/>
        <v>2025</v>
      </c>
      <c r="T1284" s="7">
        <f t="shared" si="2"/>
        <v>10</v>
      </c>
    </row>
    <row r="1285">
      <c r="A1285" s="4">
        <v>45957.41538543982</v>
      </c>
      <c r="B1285" s="3" t="s">
        <v>3316</v>
      </c>
      <c r="C1285" s="3" t="s">
        <v>205</v>
      </c>
      <c r="E1285" s="5">
        <v>27373.0</v>
      </c>
      <c r="F1285" s="3">
        <v>2.4357842E7</v>
      </c>
      <c r="G1285" s="3">
        <v>3.513923622E9</v>
      </c>
      <c r="H1285" s="3" t="s">
        <v>44</v>
      </c>
      <c r="I1285" s="3" t="s">
        <v>22</v>
      </c>
      <c r="K1285" s="3" t="s">
        <v>1132</v>
      </c>
      <c r="L1285" s="3" t="s">
        <v>1133</v>
      </c>
      <c r="M1285" s="3" t="s">
        <v>1134</v>
      </c>
      <c r="O1285" s="3" t="s">
        <v>149</v>
      </c>
      <c r="R1285" s="7" t="str">
        <f>IF(H1285="","",VLOOKUP(H1285,'Hoja 9'!$A$1:$B$255,2,0))</f>
        <v>GIMNASIO</v>
      </c>
      <c r="S1285" s="7">
        <f t="shared" si="1"/>
        <v>2025</v>
      </c>
      <c r="T1285" s="7">
        <f t="shared" si="2"/>
        <v>10</v>
      </c>
    </row>
    <row r="1286">
      <c r="A1286" s="4">
        <v>45958.723696307876</v>
      </c>
      <c r="B1286" s="3" t="s">
        <v>3317</v>
      </c>
      <c r="C1286" s="3" t="s">
        <v>299</v>
      </c>
      <c r="E1286" s="5">
        <v>34716.0</v>
      </c>
      <c r="F1286" s="3">
        <v>3.8278969E7</v>
      </c>
      <c r="G1286" s="3">
        <v>3.564679665E9</v>
      </c>
      <c r="H1286" s="3" t="s">
        <v>21</v>
      </c>
      <c r="I1286" s="3" t="s">
        <v>28</v>
      </c>
      <c r="K1286" s="3" t="s">
        <v>1145</v>
      </c>
      <c r="R1286" s="7" t="str">
        <f>IF(H1286="","",VLOOKUP(H1286,'Hoja 9'!$A$1:$B$255,2,0))</f>
        <v>GOOGLE</v>
      </c>
      <c r="S1286" s="7">
        <f t="shared" si="1"/>
        <v>2025</v>
      </c>
      <c r="T1286" s="7">
        <f t="shared" si="2"/>
        <v>10</v>
      </c>
    </row>
    <row r="1287">
      <c r="A1287" s="4">
        <v>45958.76442773148</v>
      </c>
      <c r="B1287" s="3" t="s">
        <v>2465</v>
      </c>
      <c r="C1287" s="3" t="s">
        <v>1231</v>
      </c>
      <c r="E1287" s="5">
        <v>35188.0</v>
      </c>
      <c r="F1287" s="3">
        <v>3.949859E7</v>
      </c>
      <c r="G1287" s="3">
        <v>3.513908643E9</v>
      </c>
      <c r="H1287" s="3" t="s">
        <v>27</v>
      </c>
      <c r="I1287" s="3" t="s">
        <v>22</v>
      </c>
      <c r="K1287" s="3" t="s">
        <v>1132</v>
      </c>
      <c r="L1287" s="3" t="s">
        <v>1136</v>
      </c>
      <c r="M1287" s="3" t="s">
        <v>1134</v>
      </c>
      <c r="O1287" s="3" t="s">
        <v>23</v>
      </c>
      <c r="R1287" s="7" t="str">
        <f>IF(H1287="","",VLOOKUP(H1287,'Hoja 9'!$A$1:$B$255,2,0))</f>
        <v>BOCA EN BOCA</v>
      </c>
      <c r="S1287" s="7">
        <f t="shared" si="1"/>
        <v>2025</v>
      </c>
      <c r="T1287" s="7">
        <f t="shared" si="2"/>
        <v>10</v>
      </c>
    </row>
    <row r="1288">
      <c r="A1288" s="4">
        <v>45959.55686627315</v>
      </c>
      <c r="B1288" s="3" t="s">
        <v>2004</v>
      </c>
      <c r="C1288" s="3" t="s">
        <v>3318</v>
      </c>
      <c r="D1288" s="3" t="s">
        <v>3319</v>
      </c>
      <c r="E1288" s="5">
        <v>39637.0</v>
      </c>
      <c r="F1288" s="3">
        <v>4.8069265E7</v>
      </c>
      <c r="G1288" s="3">
        <v>3.518556947E9</v>
      </c>
      <c r="H1288" s="3" t="s">
        <v>44</v>
      </c>
      <c r="I1288" s="3" t="s">
        <v>22</v>
      </c>
      <c r="K1288" s="3" t="s">
        <v>1132</v>
      </c>
      <c r="L1288" s="3" t="s">
        <v>3320</v>
      </c>
      <c r="M1288" s="3" t="s">
        <v>1213</v>
      </c>
      <c r="O1288" s="3" t="s">
        <v>3321</v>
      </c>
      <c r="R1288" s="7" t="str">
        <f>IF(H1288="","",VLOOKUP(H1288,'Hoja 9'!$A$1:$B$255,2,0))</f>
        <v>GIMNASIO</v>
      </c>
      <c r="S1288" s="7">
        <f t="shared" si="1"/>
        <v>2025</v>
      </c>
      <c r="T1288" s="7">
        <f t="shared" si="2"/>
        <v>10</v>
      </c>
    </row>
    <row r="1289">
      <c r="A1289" s="4">
        <v>45959.70288201389</v>
      </c>
      <c r="B1289" s="3" t="s">
        <v>758</v>
      </c>
      <c r="C1289" s="3" t="s">
        <v>1395</v>
      </c>
      <c r="D1289" s="3" t="s">
        <v>3322</v>
      </c>
      <c r="E1289" s="5">
        <v>35449.0</v>
      </c>
      <c r="F1289" s="3">
        <v>3.9825065E7</v>
      </c>
      <c r="G1289" s="3">
        <v>3.513515126E9</v>
      </c>
      <c r="H1289" s="3" t="s">
        <v>27</v>
      </c>
      <c r="I1289" s="3" t="s">
        <v>28</v>
      </c>
      <c r="K1289" s="3" t="s">
        <v>1132</v>
      </c>
      <c r="L1289" s="3" t="s">
        <v>1422</v>
      </c>
      <c r="M1289" s="3" t="s">
        <v>1213</v>
      </c>
      <c r="R1289" s="7" t="str">
        <f>IF(H1289="","",VLOOKUP(H1289,'Hoja 9'!$A$1:$B$255,2,0))</f>
        <v>BOCA EN BOCA</v>
      </c>
      <c r="S1289" s="7">
        <f t="shared" si="1"/>
        <v>2025</v>
      </c>
      <c r="T1289" s="7">
        <f t="shared" si="2"/>
        <v>10</v>
      </c>
    </row>
    <row r="1290">
      <c r="A1290" s="4">
        <v>45959.78411090278</v>
      </c>
      <c r="B1290" s="3" t="s">
        <v>3323</v>
      </c>
      <c r="C1290" s="3" t="s">
        <v>3324</v>
      </c>
      <c r="D1290" s="3" t="s">
        <v>3325</v>
      </c>
      <c r="E1290" s="5">
        <v>36775.0</v>
      </c>
      <c r="F1290" s="3">
        <v>4.2853921E7</v>
      </c>
      <c r="G1290" s="3">
        <v>3.51244664E9</v>
      </c>
      <c r="H1290" s="3" t="s">
        <v>27</v>
      </c>
      <c r="I1290" s="3" t="s">
        <v>22</v>
      </c>
      <c r="K1290" s="3" t="s">
        <v>1132</v>
      </c>
      <c r="L1290" s="3" t="s">
        <v>1401</v>
      </c>
      <c r="M1290" s="3" t="s">
        <v>1137</v>
      </c>
      <c r="O1290" s="3" t="s">
        <v>72</v>
      </c>
      <c r="R1290" s="7" t="str">
        <f>IF(H1290="","",VLOOKUP(H1290,'Hoja 9'!$A$1:$B$255,2,0))</f>
        <v>BOCA EN BOCA</v>
      </c>
      <c r="S1290" s="7">
        <f t="shared" si="1"/>
        <v>2025</v>
      </c>
      <c r="T1290" s="7">
        <f t="shared" si="2"/>
        <v>10</v>
      </c>
    </row>
    <row r="1291">
      <c r="A1291" s="4">
        <v>45959.82311228009</v>
      </c>
      <c r="B1291" s="3" t="s">
        <v>624</v>
      </c>
      <c r="C1291" s="3" t="s">
        <v>3326</v>
      </c>
      <c r="D1291" s="3" t="s">
        <v>3327</v>
      </c>
      <c r="E1291" s="5">
        <v>32286.0</v>
      </c>
      <c r="F1291" s="3">
        <v>3.3752175E7</v>
      </c>
      <c r="G1291" s="3">
        <v>3.513471684E9</v>
      </c>
      <c r="H1291" s="3" t="s">
        <v>27</v>
      </c>
      <c r="I1291" s="3" t="s">
        <v>28</v>
      </c>
      <c r="K1291" s="3" t="s">
        <v>1132</v>
      </c>
      <c r="L1291" s="3" t="s">
        <v>1136</v>
      </c>
      <c r="M1291" s="3" t="s">
        <v>1137</v>
      </c>
      <c r="R1291" s="7" t="str">
        <f>IF(H1291="","",VLOOKUP(H1291,'Hoja 9'!$A$1:$B$255,2,0))</f>
        <v>BOCA EN BOCA</v>
      </c>
      <c r="S1291" s="7">
        <f t="shared" si="1"/>
        <v>2025</v>
      </c>
      <c r="T1291" s="7">
        <f t="shared" si="2"/>
        <v>10</v>
      </c>
    </row>
    <row r="1292">
      <c r="A1292" s="4">
        <v>45961.38194943287</v>
      </c>
      <c r="B1292" s="3" t="s">
        <v>1095</v>
      </c>
      <c r="C1292" s="3" t="s">
        <v>1093</v>
      </c>
      <c r="D1292" s="3" t="s">
        <v>3328</v>
      </c>
      <c r="E1292" s="5">
        <v>29787.0</v>
      </c>
      <c r="F1292" s="3">
        <v>2.3057964E7</v>
      </c>
      <c r="G1292" s="3">
        <v>3.534196421E9</v>
      </c>
      <c r="H1292" s="3" t="s">
        <v>244</v>
      </c>
      <c r="I1292" s="3" t="s">
        <v>22</v>
      </c>
      <c r="K1292" s="3" t="s">
        <v>1132</v>
      </c>
      <c r="L1292" s="3" t="s">
        <v>1136</v>
      </c>
      <c r="M1292" s="3" t="s">
        <v>1134</v>
      </c>
      <c r="O1292" s="3" t="s">
        <v>149</v>
      </c>
      <c r="R1292" s="7" t="str">
        <f>IF(H1292="","",VLOOKUP(H1292,'Hoja 9'!$A$1:$B$255,2,0))</f>
        <v>META</v>
      </c>
      <c r="S1292" s="7">
        <f t="shared" si="1"/>
        <v>2025</v>
      </c>
      <c r="T1292" s="7">
        <f t="shared" si="2"/>
        <v>10</v>
      </c>
    </row>
    <row r="1293">
      <c r="A1293" s="4">
        <v>45961.4517045949</v>
      </c>
      <c r="B1293" s="3" t="s">
        <v>2753</v>
      </c>
      <c r="C1293" s="3" t="s">
        <v>3329</v>
      </c>
      <c r="E1293" s="5">
        <v>17388.0</v>
      </c>
      <c r="F1293" s="3">
        <v>7957602.0</v>
      </c>
      <c r="G1293" s="3">
        <v>3.515097791E9</v>
      </c>
      <c r="H1293" s="3" t="s">
        <v>21</v>
      </c>
      <c r="I1293" s="3" t="s">
        <v>22</v>
      </c>
      <c r="K1293" s="3" t="s">
        <v>1145</v>
      </c>
      <c r="O1293" s="3" t="s">
        <v>68</v>
      </c>
      <c r="R1293" s="7" t="str">
        <f>IF(H1293="","",VLOOKUP(H1293,'Hoja 9'!$A$1:$B$255,2,0))</f>
        <v>GOOGLE</v>
      </c>
      <c r="S1293" s="7">
        <f t="shared" si="1"/>
        <v>2025</v>
      </c>
      <c r="T1293" s="7">
        <f t="shared" si="2"/>
        <v>10</v>
      </c>
    </row>
    <row r="1294">
      <c r="A1294" s="4">
        <v>45961.50166822917</v>
      </c>
      <c r="B1294" s="3" t="s">
        <v>3330</v>
      </c>
      <c r="C1294" s="3" t="s">
        <v>3331</v>
      </c>
      <c r="D1294" s="3" t="s">
        <v>3332</v>
      </c>
      <c r="E1294" s="5">
        <v>38391.0</v>
      </c>
      <c r="F1294" s="3">
        <v>4.612642E7</v>
      </c>
      <c r="G1294" s="3">
        <v>3.513450103E9</v>
      </c>
      <c r="H1294" s="3" t="s">
        <v>148</v>
      </c>
      <c r="I1294" s="3" t="s">
        <v>22</v>
      </c>
      <c r="K1294" s="3" t="s">
        <v>1132</v>
      </c>
      <c r="L1294" s="3" t="s">
        <v>1300</v>
      </c>
      <c r="M1294" s="3" t="s">
        <v>1213</v>
      </c>
      <c r="O1294" s="3" t="s">
        <v>287</v>
      </c>
      <c r="R1294" s="7" t="str">
        <f>IF(H1294="","",VLOOKUP(H1294,'Hoja 9'!$A$1:$B$255,2,0))</f>
        <v>OBRA SOCIAL</v>
      </c>
      <c r="S1294" s="7">
        <f t="shared" si="1"/>
        <v>2025</v>
      </c>
      <c r="T1294" s="7">
        <f t="shared" si="2"/>
        <v>10</v>
      </c>
    </row>
    <row r="1295">
      <c r="A1295" s="4">
        <v>45961.631148078704</v>
      </c>
      <c r="B1295" s="3" t="s">
        <v>3333</v>
      </c>
      <c r="C1295" s="3" t="s">
        <v>3334</v>
      </c>
      <c r="E1295" s="5">
        <v>20080.0</v>
      </c>
      <c r="F1295" s="3">
        <v>1.1559325E7</v>
      </c>
      <c r="G1295" s="3">
        <v>3.512224052E9</v>
      </c>
      <c r="H1295" s="3" t="s">
        <v>3335</v>
      </c>
      <c r="I1295" s="3" t="s">
        <v>22</v>
      </c>
      <c r="K1295" s="3" t="s">
        <v>1145</v>
      </c>
      <c r="O1295" s="3" t="s">
        <v>23</v>
      </c>
      <c r="R1295" s="7" t="str">
        <f>IF(H1295="","",VLOOKUP(H1295,'Hoja 9'!$A$1:$B$255,2,0))</f>
        <v>BOCA EN BOCA</v>
      </c>
      <c r="S1295" s="7">
        <f t="shared" si="1"/>
        <v>2025</v>
      </c>
      <c r="T1295" s="7">
        <f t="shared" si="2"/>
        <v>10</v>
      </c>
    </row>
    <row r="1296">
      <c r="A1296" s="4">
        <v>45961.68339122685</v>
      </c>
      <c r="B1296" s="3" t="s">
        <v>758</v>
      </c>
      <c r="C1296" s="3" t="s">
        <v>3336</v>
      </c>
      <c r="E1296" s="5">
        <v>27761.0</v>
      </c>
      <c r="F1296" s="3">
        <v>2.4615497E7</v>
      </c>
      <c r="G1296" s="3">
        <v>3.51551847E9</v>
      </c>
      <c r="H1296" s="3" t="s">
        <v>27</v>
      </c>
      <c r="I1296" s="3" t="s">
        <v>22</v>
      </c>
      <c r="K1296" s="3" t="s">
        <v>1132</v>
      </c>
      <c r="L1296" s="3" t="s">
        <v>1422</v>
      </c>
      <c r="M1296" s="3" t="s">
        <v>1134</v>
      </c>
      <c r="O1296" s="3" t="s">
        <v>422</v>
      </c>
      <c r="R1296" s="7" t="str">
        <f>IF(H1296="","",VLOOKUP(H1296,'Hoja 9'!$A$1:$B$255,2,0))</f>
        <v>BOCA EN BOCA</v>
      </c>
      <c r="S1296" s="7">
        <f t="shared" si="1"/>
        <v>2025</v>
      </c>
      <c r="T1296" s="7">
        <f t="shared" si="2"/>
        <v>10</v>
      </c>
    </row>
    <row r="1297">
      <c r="A1297" s="4">
        <v>45961.69991763889</v>
      </c>
      <c r="B1297" s="3" t="s">
        <v>3337</v>
      </c>
      <c r="C1297" s="3" t="s">
        <v>3338</v>
      </c>
      <c r="D1297" s="3" t="s">
        <v>3339</v>
      </c>
      <c r="E1297" s="5">
        <v>25957.0</v>
      </c>
      <c r="F1297" s="3">
        <v>2.1966177E7</v>
      </c>
      <c r="G1297" s="3">
        <v>3.513947342E9</v>
      </c>
      <c r="H1297" s="3" t="s">
        <v>27</v>
      </c>
      <c r="I1297" s="3" t="s">
        <v>22</v>
      </c>
      <c r="K1297" s="3" t="s">
        <v>1132</v>
      </c>
      <c r="M1297" s="3" t="s">
        <v>1137</v>
      </c>
      <c r="O1297" s="3" t="s">
        <v>23</v>
      </c>
      <c r="R1297" s="7" t="str">
        <f>IF(H1297="","",VLOOKUP(H1297,'Hoja 9'!$A$1:$B$255,2,0))</f>
        <v>BOCA EN BOCA</v>
      </c>
      <c r="S1297" s="7">
        <f t="shared" si="1"/>
        <v>2025</v>
      </c>
      <c r="T1297" s="7">
        <f t="shared" si="2"/>
        <v>10</v>
      </c>
    </row>
    <row r="1298">
      <c r="A1298" s="4">
        <v>45962.80974986111</v>
      </c>
      <c r="B1298" s="3" t="s">
        <v>3340</v>
      </c>
      <c r="C1298" s="3" t="s">
        <v>3341</v>
      </c>
      <c r="D1298" s="3" t="s">
        <v>3342</v>
      </c>
      <c r="E1298" s="5">
        <v>28790.0</v>
      </c>
      <c r="F1298" s="3">
        <v>2.6954398E7</v>
      </c>
      <c r="G1298" s="3">
        <v>3.5162474E9</v>
      </c>
      <c r="H1298" s="3" t="s">
        <v>244</v>
      </c>
      <c r="I1298" s="3" t="s">
        <v>28</v>
      </c>
      <c r="K1298" s="3" t="s">
        <v>1145</v>
      </c>
      <c r="R1298" s="7" t="str">
        <f>IF(H1298="","",VLOOKUP(H1298,'Hoja 9'!$A$1:$B$255,2,0))</f>
        <v>META</v>
      </c>
      <c r="S1298" s="7">
        <f t="shared" si="1"/>
        <v>2025</v>
      </c>
      <c r="T1298" s="7">
        <f t="shared" si="2"/>
        <v>11</v>
      </c>
    </row>
    <row r="1299">
      <c r="A1299" s="4">
        <v>45964.34845767361</v>
      </c>
      <c r="B1299" s="3" t="s">
        <v>518</v>
      </c>
      <c r="C1299" s="3" t="s">
        <v>3343</v>
      </c>
      <c r="D1299" s="3" t="s">
        <v>3344</v>
      </c>
      <c r="E1299" s="5">
        <v>26281.0</v>
      </c>
      <c r="F1299" s="3">
        <v>2.2426935E7</v>
      </c>
      <c r="G1299" s="3">
        <v>3.515189222E9</v>
      </c>
      <c r="H1299" s="3" t="s">
        <v>44</v>
      </c>
      <c r="I1299" s="3" t="s">
        <v>22</v>
      </c>
      <c r="K1299" s="3" t="s">
        <v>1132</v>
      </c>
      <c r="L1299" s="3" t="s">
        <v>1133</v>
      </c>
      <c r="M1299" s="3" t="s">
        <v>1137</v>
      </c>
      <c r="O1299" s="3" t="s">
        <v>68</v>
      </c>
      <c r="R1299" s="7" t="str">
        <f>IF(H1299="","",VLOOKUP(H1299,'Hoja 9'!$A$1:$B$255,2,0))</f>
        <v>GIMNASIO</v>
      </c>
      <c r="S1299" s="7">
        <f t="shared" si="1"/>
        <v>2025</v>
      </c>
      <c r="T1299" s="7">
        <f t="shared" si="2"/>
        <v>11</v>
      </c>
    </row>
    <row r="1300">
      <c r="A1300" s="4">
        <v>45964.450003958336</v>
      </c>
      <c r="B1300" s="3" t="s">
        <v>3345</v>
      </c>
      <c r="C1300" s="3" t="s">
        <v>3346</v>
      </c>
      <c r="D1300" s="3" t="s">
        <v>3347</v>
      </c>
      <c r="E1300" s="5">
        <v>40176.0</v>
      </c>
      <c r="F1300" s="3">
        <v>4.9998223E7</v>
      </c>
      <c r="G1300" s="3">
        <v>3.515518569E9</v>
      </c>
      <c r="H1300" s="3" t="s">
        <v>27</v>
      </c>
      <c r="I1300" s="3" t="s">
        <v>22</v>
      </c>
      <c r="K1300" s="3" t="s">
        <v>1132</v>
      </c>
      <c r="L1300" s="3" t="s">
        <v>3348</v>
      </c>
      <c r="M1300" s="3" t="s">
        <v>1137</v>
      </c>
      <c r="O1300" s="3" t="s">
        <v>72</v>
      </c>
      <c r="R1300" s="7" t="str">
        <f>IF(H1300="","",VLOOKUP(H1300,'Hoja 9'!$A$1:$B$255,2,0))</f>
        <v>BOCA EN BOCA</v>
      </c>
      <c r="S1300" s="7">
        <f t="shared" si="1"/>
        <v>2025</v>
      </c>
      <c r="T1300" s="7">
        <f t="shared" si="2"/>
        <v>11</v>
      </c>
    </row>
    <row r="1301">
      <c r="A1301" s="4">
        <v>45965.75020784722</v>
      </c>
      <c r="B1301" s="3" t="s">
        <v>3349</v>
      </c>
      <c r="C1301" s="3" t="s">
        <v>3350</v>
      </c>
      <c r="D1301" s="3" t="s">
        <v>3351</v>
      </c>
      <c r="E1301" s="5">
        <v>20306.0</v>
      </c>
      <c r="F1301" s="3">
        <v>1.1971749E7</v>
      </c>
      <c r="G1301" s="3">
        <v>3.516668355E9</v>
      </c>
      <c r="H1301" s="3" t="s">
        <v>27</v>
      </c>
      <c r="I1301" s="3" t="s">
        <v>28</v>
      </c>
      <c r="K1301" s="3" t="s">
        <v>1132</v>
      </c>
      <c r="L1301" s="3" t="s">
        <v>3352</v>
      </c>
      <c r="M1301" s="3" t="s">
        <v>1137</v>
      </c>
      <c r="R1301" s="7" t="str">
        <f>IF(H1301="","",VLOOKUP(H1301,'Hoja 9'!$A$1:$B$255,2,0))</f>
        <v>BOCA EN BOCA</v>
      </c>
      <c r="S1301" s="7">
        <f t="shared" si="1"/>
        <v>2025</v>
      </c>
      <c r="T1301" s="7">
        <f t="shared" si="2"/>
        <v>11</v>
      </c>
    </row>
    <row r="1302">
      <c r="A1302" s="4">
        <v>45965.788452939814</v>
      </c>
      <c r="B1302" s="3" t="s">
        <v>3353</v>
      </c>
      <c r="C1302" s="3" t="s">
        <v>3074</v>
      </c>
      <c r="D1302" s="3" t="s">
        <v>421</v>
      </c>
      <c r="E1302" s="5">
        <v>20368.0</v>
      </c>
      <c r="F1302" s="3">
        <v>1.0251478E7</v>
      </c>
      <c r="G1302" s="3">
        <v>3.51366797E9</v>
      </c>
      <c r="H1302" s="3" t="s">
        <v>244</v>
      </c>
      <c r="I1302" s="3" t="s">
        <v>22</v>
      </c>
      <c r="K1302" s="3" t="s">
        <v>1132</v>
      </c>
      <c r="L1302" s="3" t="s">
        <v>1133</v>
      </c>
      <c r="M1302" s="3" t="s">
        <v>1134</v>
      </c>
      <c r="O1302" s="3" t="s">
        <v>23</v>
      </c>
      <c r="R1302" s="7" t="str">
        <f>IF(H1302="","",VLOOKUP(H1302,'Hoja 9'!$A$1:$B$255,2,0))</f>
        <v>META</v>
      </c>
      <c r="S1302" s="7">
        <f t="shared" si="1"/>
        <v>2025</v>
      </c>
      <c r="T1302" s="7">
        <f t="shared" si="2"/>
        <v>11</v>
      </c>
    </row>
    <row r="1303">
      <c r="A1303" s="4">
        <v>45965.82688439815</v>
      </c>
      <c r="B1303" s="3" t="s">
        <v>3354</v>
      </c>
      <c r="C1303" s="3" t="s">
        <v>3355</v>
      </c>
      <c r="D1303" s="3" t="s">
        <v>3356</v>
      </c>
      <c r="E1303" s="5">
        <v>26878.0</v>
      </c>
      <c r="F1303" s="3">
        <v>2.3309944E7</v>
      </c>
      <c r="G1303" s="3">
        <v>3.516370033E9</v>
      </c>
      <c r="H1303" s="3" t="s">
        <v>27</v>
      </c>
      <c r="I1303" s="3" t="s">
        <v>28</v>
      </c>
      <c r="K1303" s="3" t="s">
        <v>1132</v>
      </c>
      <c r="L1303" s="3" t="s">
        <v>1133</v>
      </c>
      <c r="M1303" s="3" t="s">
        <v>1134</v>
      </c>
      <c r="R1303" s="7" t="str">
        <f>IF(H1303="","",VLOOKUP(H1303,'Hoja 9'!$A$1:$B$255,2,0))</f>
        <v>BOCA EN BOCA</v>
      </c>
      <c r="S1303" s="7">
        <f t="shared" si="1"/>
        <v>2025</v>
      </c>
      <c r="T1303" s="7">
        <f t="shared" si="2"/>
        <v>11</v>
      </c>
    </row>
    <row r="1304">
      <c r="A1304" s="4">
        <v>45966.48962916667</v>
      </c>
      <c r="B1304" s="3" t="s">
        <v>3357</v>
      </c>
      <c r="C1304" s="3" t="s">
        <v>139</v>
      </c>
      <c r="D1304" s="12" t="s">
        <v>3358</v>
      </c>
      <c r="E1304" s="5" t="s">
        <v>3359</v>
      </c>
      <c r="F1304" s="3">
        <v>3.8853231E7</v>
      </c>
      <c r="G1304" s="3">
        <v>3.512805035E9</v>
      </c>
      <c r="H1304" s="3" t="s">
        <v>44</v>
      </c>
      <c r="I1304" s="3" t="s">
        <v>28</v>
      </c>
      <c r="K1304" s="3" t="s">
        <v>1132</v>
      </c>
      <c r="L1304" s="3" t="s">
        <v>1133</v>
      </c>
      <c r="M1304" s="3" t="s">
        <v>1134</v>
      </c>
      <c r="R1304" s="7" t="str">
        <f>IF(H1304="","",VLOOKUP(H1304,'Hoja 9'!$A$1:$B$255,2,0))</f>
        <v>GIMNASIO</v>
      </c>
      <c r="S1304" s="7">
        <f t="shared" si="1"/>
        <v>2025</v>
      </c>
      <c r="T1304" s="7">
        <f t="shared" si="2"/>
        <v>11</v>
      </c>
    </row>
    <row r="1305">
      <c r="A1305" s="4">
        <v>45966.66924116898</v>
      </c>
      <c r="B1305" s="3" t="s">
        <v>3360</v>
      </c>
      <c r="C1305" s="3" t="s">
        <v>1124</v>
      </c>
      <c r="D1305" s="3" t="s">
        <v>3361</v>
      </c>
      <c r="E1305" s="5">
        <v>33395.0</v>
      </c>
      <c r="F1305" s="3">
        <v>3.5963305E7</v>
      </c>
      <c r="G1305" s="15" t="s">
        <v>3362</v>
      </c>
      <c r="H1305" s="3" t="s">
        <v>44</v>
      </c>
      <c r="I1305" s="3" t="s">
        <v>28</v>
      </c>
      <c r="K1305" s="3" t="s">
        <v>1132</v>
      </c>
      <c r="L1305" s="3" t="s">
        <v>1133</v>
      </c>
      <c r="M1305" s="3" t="s">
        <v>1137</v>
      </c>
      <c r="R1305" s="7" t="str">
        <f>IF(H1305="","",VLOOKUP(H1305,'Hoja 9'!$A$1:$B$255,2,0))</f>
        <v>GIMNASIO</v>
      </c>
      <c r="S1305" s="7">
        <f t="shared" si="1"/>
        <v>2025</v>
      </c>
      <c r="T1305" s="7">
        <f t="shared" si="2"/>
        <v>11</v>
      </c>
    </row>
    <row r="1306">
      <c r="A1306" s="4">
        <v>45966.78666055556</v>
      </c>
      <c r="B1306" s="3" t="s">
        <v>3363</v>
      </c>
      <c r="C1306" s="3" t="s">
        <v>3364</v>
      </c>
      <c r="D1306" s="3" t="s">
        <v>3365</v>
      </c>
      <c r="E1306" s="5">
        <v>40393.0</v>
      </c>
      <c r="F1306" s="3">
        <v>5.0419054E7</v>
      </c>
      <c r="G1306" s="3">
        <v>3.515161612E9</v>
      </c>
      <c r="H1306" s="3" t="s">
        <v>21</v>
      </c>
      <c r="I1306" s="3" t="s">
        <v>22</v>
      </c>
      <c r="K1306" s="3" t="s">
        <v>1145</v>
      </c>
      <c r="O1306" s="3" t="s">
        <v>287</v>
      </c>
      <c r="R1306" s="7" t="str">
        <f>IF(H1306="","",VLOOKUP(H1306,'Hoja 9'!$A$1:$B$255,2,0))</f>
        <v>GOOGLE</v>
      </c>
      <c r="S1306" s="7">
        <f t="shared" si="1"/>
        <v>2025</v>
      </c>
      <c r="T1306" s="7">
        <f t="shared" si="2"/>
        <v>11</v>
      </c>
    </row>
    <row r="1307">
      <c r="A1307" s="4">
        <v>45968.50024862269</v>
      </c>
      <c r="B1307" s="3" t="s">
        <v>3366</v>
      </c>
      <c r="C1307" s="3" t="s">
        <v>3367</v>
      </c>
      <c r="D1307" s="3" t="s">
        <v>3368</v>
      </c>
      <c r="E1307" s="5">
        <v>39184.0</v>
      </c>
      <c r="F1307" s="3">
        <v>4.6847044E7</v>
      </c>
      <c r="G1307" s="3">
        <v>3.513107877E9</v>
      </c>
      <c r="H1307" s="3" t="s">
        <v>44</v>
      </c>
      <c r="I1307" s="3" t="s">
        <v>22</v>
      </c>
      <c r="K1307" s="3" t="s">
        <v>1132</v>
      </c>
      <c r="L1307" s="3" t="s">
        <v>1133</v>
      </c>
      <c r="M1307" s="3" t="s">
        <v>1134</v>
      </c>
      <c r="O1307" s="3" t="s">
        <v>23</v>
      </c>
      <c r="R1307" s="7" t="str">
        <f>IF(H1307="","",VLOOKUP(H1307,'Hoja 9'!$A$1:$B$255,2,0))</f>
        <v>GIMNASIO</v>
      </c>
      <c r="S1307" s="7">
        <f t="shared" si="1"/>
        <v>2025</v>
      </c>
      <c r="T1307" s="7">
        <f t="shared" si="2"/>
        <v>11</v>
      </c>
    </row>
    <row r="1308">
      <c r="A1308" s="4">
        <v>45968.54646945602</v>
      </c>
      <c r="B1308" s="3" t="s">
        <v>3369</v>
      </c>
      <c r="C1308" s="3" t="s">
        <v>3370</v>
      </c>
      <c r="D1308" s="3" t="s">
        <v>3371</v>
      </c>
      <c r="E1308" s="5">
        <v>41608.0</v>
      </c>
      <c r="F1308" s="3">
        <v>5.3505523E7</v>
      </c>
      <c r="G1308" s="3">
        <v>3.513664238E9</v>
      </c>
      <c r="H1308" s="3" t="s">
        <v>148</v>
      </c>
      <c r="I1308" s="3" t="s">
        <v>22</v>
      </c>
      <c r="K1308" s="3" t="s">
        <v>1132</v>
      </c>
      <c r="L1308" s="3" t="s">
        <v>1136</v>
      </c>
      <c r="M1308" s="3" t="s">
        <v>1134</v>
      </c>
      <c r="O1308" s="3" t="s">
        <v>831</v>
      </c>
      <c r="R1308" s="7" t="str">
        <f>IF(H1308="","",VLOOKUP(H1308,'Hoja 9'!$A$1:$B$255,2,0))</f>
        <v>OBRA SOCIAL</v>
      </c>
      <c r="S1308" s="7">
        <f t="shared" si="1"/>
        <v>2025</v>
      </c>
      <c r="T1308" s="7">
        <f t="shared" si="2"/>
        <v>11</v>
      </c>
    </row>
    <row r="1309">
      <c r="A1309" s="4">
        <v>45968.733269108794</v>
      </c>
      <c r="B1309" s="3" t="s">
        <v>3372</v>
      </c>
      <c r="C1309" s="3" t="s">
        <v>1674</v>
      </c>
      <c r="D1309" s="3" t="s">
        <v>3373</v>
      </c>
      <c r="E1309" s="5">
        <v>34790.0</v>
      </c>
      <c r="F1309" s="3">
        <v>3.9056915E7</v>
      </c>
      <c r="G1309" s="3">
        <v>3.517583909E9</v>
      </c>
      <c r="H1309" s="3" t="s">
        <v>21</v>
      </c>
      <c r="I1309" s="3" t="s">
        <v>28</v>
      </c>
      <c r="K1309" s="3" t="s">
        <v>1145</v>
      </c>
      <c r="R1309" s="7" t="str">
        <f>IF(H1309="","",VLOOKUP(H1309,'Hoja 9'!$A$1:$B$255,2,0))</f>
        <v>GOOGLE</v>
      </c>
      <c r="S1309" s="7">
        <f t="shared" si="1"/>
        <v>2025</v>
      </c>
      <c r="T1309" s="7">
        <f t="shared" si="2"/>
        <v>11</v>
      </c>
    </row>
    <row r="1310">
      <c r="A1310" s="4">
        <v>45969.52534222222</v>
      </c>
      <c r="B1310" s="3" t="s">
        <v>3374</v>
      </c>
      <c r="C1310" s="3" t="s">
        <v>3375</v>
      </c>
      <c r="D1310" s="3" t="s">
        <v>3376</v>
      </c>
      <c r="E1310" s="5">
        <v>37476.0</v>
      </c>
      <c r="F1310" s="3">
        <v>4.4245278E7</v>
      </c>
      <c r="G1310" s="3">
        <v>3.585133951E9</v>
      </c>
      <c r="H1310" s="3" t="s">
        <v>21</v>
      </c>
      <c r="I1310" s="3" t="s">
        <v>22</v>
      </c>
      <c r="K1310" s="3" t="s">
        <v>1132</v>
      </c>
      <c r="L1310" s="3" t="s">
        <v>3377</v>
      </c>
      <c r="M1310" s="3" t="s">
        <v>1213</v>
      </c>
      <c r="O1310" s="3" t="s">
        <v>58</v>
      </c>
      <c r="R1310" s="7" t="str">
        <f>IF(H1310="","",VLOOKUP(H1310,'Hoja 9'!$A$1:$B$255,2,0))</f>
        <v>GOOGLE</v>
      </c>
      <c r="S1310" s="7">
        <f t="shared" si="1"/>
        <v>2025</v>
      </c>
      <c r="T1310" s="7">
        <f t="shared" si="2"/>
        <v>11</v>
      </c>
    </row>
    <row r="1311">
      <c r="A1311" s="4">
        <v>45971.47377459491</v>
      </c>
      <c r="B1311" s="3" t="s">
        <v>2179</v>
      </c>
      <c r="C1311" s="3" t="s">
        <v>2614</v>
      </c>
      <c r="D1311" s="3" t="s">
        <v>3378</v>
      </c>
      <c r="E1311" s="5">
        <v>18023.0</v>
      </c>
      <c r="F1311" s="3">
        <v>7645601.0</v>
      </c>
      <c r="G1311" s="3">
        <v>3.515511293E9</v>
      </c>
      <c r="H1311" s="3" t="s">
        <v>27</v>
      </c>
      <c r="I1311" s="3" t="s">
        <v>22</v>
      </c>
      <c r="K1311" s="3" t="s">
        <v>1132</v>
      </c>
      <c r="L1311" s="3" t="s">
        <v>1133</v>
      </c>
      <c r="M1311" s="3" t="s">
        <v>1134</v>
      </c>
      <c r="O1311" s="3" t="s">
        <v>68</v>
      </c>
      <c r="R1311" s="7" t="str">
        <f>IF(H1311="","",VLOOKUP(H1311,'Hoja 9'!$A$1:$B$255,2,0))</f>
        <v>BOCA EN BOCA</v>
      </c>
      <c r="S1311" s="7">
        <f t="shared" si="1"/>
        <v>2025</v>
      </c>
      <c r="T1311" s="7">
        <f t="shared" si="2"/>
        <v>11</v>
      </c>
    </row>
    <row r="1312">
      <c r="A1312" s="4">
        <v>45971.74975552083</v>
      </c>
      <c r="B1312" s="3" t="s">
        <v>3379</v>
      </c>
      <c r="C1312" s="3" t="s">
        <v>1413</v>
      </c>
      <c r="E1312" s="5">
        <v>34078.0</v>
      </c>
      <c r="F1312" s="3">
        <v>3.7476222E7</v>
      </c>
      <c r="G1312" s="3">
        <v>3.515293085E9</v>
      </c>
      <c r="H1312" s="3" t="s">
        <v>27</v>
      </c>
      <c r="I1312" s="3" t="s">
        <v>28</v>
      </c>
      <c r="K1312" s="3" t="s">
        <v>1132</v>
      </c>
      <c r="L1312" s="3" t="s">
        <v>1693</v>
      </c>
      <c r="M1312" s="3" t="s">
        <v>1137</v>
      </c>
      <c r="R1312" s="7" t="str">
        <f>IF(H1312="","",VLOOKUP(H1312,'Hoja 9'!$A$1:$B$255,2,0))</f>
        <v>BOCA EN BOCA</v>
      </c>
      <c r="S1312" s="7">
        <f t="shared" si="1"/>
        <v>2025</v>
      </c>
      <c r="T1312" s="7">
        <f t="shared" si="2"/>
        <v>11</v>
      </c>
    </row>
    <row r="1313">
      <c r="A1313" s="4">
        <v>45971.78967304398</v>
      </c>
      <c r="B1313" s="3" t="s">
        <v>3380</v>
      </c>
      <c r="C1313" s="3" t="s">
        <v>3381</v>
      </c>
      <c r="D1313" s="3" t="s">
        <v>3382</v>
      </c>
      <c r="E1313" s="5">
        <v>26574.0</v>
      </c>
      <c r="F1313" s="3">
        <v>2.3243683E7</v>
      </c>
      <c r="G1313" s="3">
        <v>3.512683884E9</v>
      </c>
      <c r="H1313" s="3" t="s">
        <v>44</v>
      </c>
      <c r="I1313" s="3" t="s">
        <v>22</v>
      </c>
      <c r="K1313" s="3" t="s">
        <v>1132</v>
      </c>
      <c r="L1313" s="3" t="s">
        <v>1133</v>
      </c>
      <c r="M1313" s="3" t="s">
        <v>1134</v>
      </c>
      <c r="O1313" s="3" t="s">
        <v>23</v>
      </c>
      <c r="R1313" s="7" t="str">
        <f>IF(H1313="","",VLOOKUP(H1313,'Hoja 9'!$A$1:$B$255,2,0))</f>
        <v>GIMNASIO</v>
      </c>
      <c r="S1313" s="7">
        <f t="shared" si="1"/>
        <v>2025</v>
      </c>
      <c r="T1313" s="7">
        <f t="shared" si="2"/>
        <v>11</v>
      </c>
    </row>
    <row r="1314">
      <c r="A1314" s="4">
        <v>45972.42288090278</v>
      </c>
      <c r="B1314" s="3" t="s">
        <v>2922</v>
      </c>
      <c r="C1314" s="3" t="s">
        <v>3383</v>
      </c>
      <c r="D1314" s="3" t="s">
        <v>3384</v>
      </c>
      <c r="E1314" s="5">
        <v>26574.0</v>
      </c>
      <c r="F1314" s="3">
        <v>6396882.0</v>
      </c>
      <c r="G1314" s="3">
        <v>3.513650973E9</v>
      </c>
      <c r="H1314" s="3" t="s">
        <v>27</v>
      </c>
      <c r="I1314" s="3" t="s">
        <v>28</v>
      </c>
      <c r="K1314" s="3" t="s">
        <v>1145</v>
      </c>
      <c r="R1314" s="7" t="str">
        <f>IF(H1314="","",VLOOKUP(H1314,'Hoja 9'!$A$1:$B$255,2,0))</f>
        <v>BOCA EN BOCA</v>
      </c>
      <c r="S1314" s="7">
        <f t="shared" si="1"/>
        <v>2025</v>
      </c>
      <c r="T1314" s="7">
        <f t="shared" si="2"/>
        <v>11</v>
      </c>
    </row>
    <row r="1315">
      <c r="A1315" s="4">
        <v>45972.80774537037</v>
      </c>
      <c r="B1315" s="3" t="s">
        <v>3385</v>
      </c>
      <c r="C1315" s="3" t="s">
        <v>3386</v>
      </c>
      <c r="D1315" s="3" t="s">
        <v>3387</v>
      </c>
      <c r="E1315" s="5">
        <v>26484.0</v>
      </c>
      <c r="F1315" s="3">
        <v>2.17578E7</v>
      </c>
      <c r="G1315" s="3">
        <v>3.512456704E9</v>
      </c>
      <c r="H1315" s="3" t="s">
        <v>44</v>
      </c>
      <c r="I1315" s="3" t="s">
        <v>22</v>
      </c>
      <c r="K1315" s="3" t="s">
        <v>1132</v>
      </c>
      <c r="L1315" s="3" t="s">
        <v>1133</v>
      </c>
      <c r="M1315" s="3" t="s">
        <v>1134</v>
      </c>
      <c r="O1315" s="3" t="s">
        <v>149</v>
      </c>
      <c r="R1315" s="7" t="str">
        <f>IF(H1315="","",VLOOKUP(H1315,'Hoja 9'!$A$1:$B$255,2,0))</f>
        <v>GIMNASIO</v>
      </c>
      <c r="S1315" s="7">
        <f t="shared" si="1"/>
        <v>2025</v>
      </c>
      <c r="T1315" s="7">
        <f t="shared" si="2"/>
        <v>11</v>
      </c>
    </row>
    <row r="1316">
      <c r="A1316" s="4">
        <v>45973.500732581015</v>
      </c>
      <c r="B1316" s="3" t="s">
        <v>3388</v>
      </c>
      <c r="C1316" s="3" t="s">
        <v>3389</v>
      </c>
      <c r="D1316" s="3" t="s">
        <v>3390</v>
      </c>
      <c r="E1316" s="5">
        <v>37951.0</v>
      </c>
      <c r="F1316" s="3">
        <v>4.5082822E7</v>
      </c>
      <c r="G1316" s="3">
        <v>3.513986828E9</v>
      </c>
      <c r="H1316" s="3" t="s">
        <v>27</v>
      </c>
      <c r="I1316" s="3" t="s">
        <v>22</v>
      </c>
      <c r="K1316" s="3" t="s">
        <v>1132</v>
      </c>
      <c r="L1316" s="3" t="s">
        <v>3391</v>
      </c>
      <c r="M1316" s="3" t="s">
        <v>1134</v>
      </c>
      <c r="O1316" s="3" t="s">
        <v>72</v>
      </c>
      <c r="R1316" s="7" t="str">
        <f>IF(H1316="","",VLOOKUP(H1316,'Hoja 9'!$A$1:$B$255,2,0))</f>
        <v>BOCA EN BOCA</v>
      </c>
      <c r="S1316" s="7">
        <f t="shared" si="1"/>
        <v>2025</v>
      </c>
      <c r="T1316" s="7">
        <f t="shared" si="2"/>
        <v>11</v>
      </c>
    </row>
    <row r="1317">
      <c r="A1317" s="4">
        <v>45973.772608252315</v>
      </c>
      <c r="B1317" s="3" t="s">
        <v>3392</v>
      </c>
      <c r="C1317" s="3" t="s">
        <v>1915</v>
      </c>
      <c r="E1317" s="5">
        <v>34480.0</v>
      </c>
      <c r="F1317" s="3">
        <v>3.8328512E7</v>
      </c>
      <c r="G1317" s="3">
        <v>3.513852743E9</v>
      </c>
      <c r="H1317" s="3" t="s">
        <v>27</v>
      </c>
      <c r="I1317" s="3" t="s">
        <v>28</v>
      </c>
      <c r="K1317" s="3" t="s">
        <v>1132</v>
      </c>
      <c r="L1317" s="3" t="s">
        <v>1136</v>
      </c>
      <c r="M1317" s="3" t="s">
        <v>1137</v>
      </c>
      <c r="R1317" s="7" t="str">
        <f>IF(H1317="","",VLOOKUP(H1317,'Hoja 9'!$A$1:$B$255,2,0))</f>
        <v>BOCA EN BOCA</v>
      </c>
      <c r="S1317" s="7">
        <f t="shared" si="1"/>
        <v>2025</v>
      </c>
      <c r="T1317" s="7">
        <f t="shared" si="2"/>
        <v>11</v>
      </c>
    </row>
    <row r="1318">
      <c r="A1318" s="4">
        <v>45973.82021076389</v>
      </c>
      <c r="B1318" s="3" t="s">
        <v>3393</v>
      </c>
      <c r="C1318" s="3" t="s">
        <v>1177</v>
      </c>
      <c r="D1318" s="3" t="s">
        <v>3394</v>
      </c>
      <c r="E1318" s="5">
        <v>20040.0</v>
      </c>
      <c r="F1318" s="3">
        <v>1.128774E7</v>
      </c>
      <c r="G1318" s="3">
        <v>3.515290136E9</v>
      </c>
      <c r="H1318" s="3" t="s">
        <v>44</v>
      </c>
      <c r="I1318" s="3" t="s">
        <v>22</v>
      </c>
      <c r="K1318" s="3" t="s">
        <v>1132</v>
      </c>
      <c r="L1318" s="3" t="s">
        <v>3395</v>
      </c>
      <c r="M1318" s="3" t="s">
        <v>1134</v>
      </c>
      <c r="O1318" s="3" t="s">
        <v>260</v>
      </c>
      <c r="R1318" s="7" t="str">
        <f>IF(H1318="","",VLOOKUP(H1318,'Hoja 9'!$A$1:$B$255,2,0))</f>
        <v>GIMNASIO</v>
      </c>
      <c r="S1318" s="7">
        <f t="shared" si="1"/>
        <v>2025</v>
      </c>
      <c r="T1318" s="7">
        <f t="shared" si="2"/>
        <v>11</v>
      </c>
    </row>
    <row r="1319">
      <c r="A1319" s="4">
        <v>45974.43905143518</v>
      </c>
      <c r="B1319" s="3" t="s">
        <v>3396</v>
      </c>
      <c r="C1319" s="3" t="s">
        <v>1788</v>
      </c>
      <c r="D1319" s="3" t="s">
        <v>3397</v>
      </c>
      <c r="E1319" s="5">
        <v>35108.0</v>
      </c>
      <c r="F1319" s="3">
        <v>3.9445517E7</v>
      </c>
      <c r="G1319" s="3">
        <v>3.512579303E9</v>
      </c>
      <c r="H1319" s="3" t="s">
        <v>21</v>
      </c>
      <c r="I1319" s="3" t="s">
        <v>28</v>
      </c>
      <c r="K1319" s="3" t="s">
        <v>1132</v>
      </c>
      <c r="L1319" s="3" t="s">
        <v>3398</v>
      </c>
      <c r="M1319" s="3" t="s">
        <v>1134</v>
      </c>
      <c r="R1319" s="7" t="str">
        <f>IF(H1319="","",VLOOKUP(H1319,'Hoja 9'!$A$1:$B$255,2,0))</f>
        <v>GOOGLE</v>
      </c>
      <c r="S1319" s="7">
        <f t="shared" si="1"/>
        <v>2025</v>
      </c>
      <c r="T1319" s="7">
        <f t="shared" si="2"/>
        <v>11</v>
      </c>
    </row>
    <row r="1320">
      <c r="A1320" s="4">
        <v>45974.64642895834</v>
      </c>
      <c r="B1320" s="3" t="s">
        <v>230</v>
      </c>
      <c r="C1320" s="3" t="s">
        <v>503</v>
      </c>
      <c r="D1320" s="3" t="s">
        <v>3399</v>
      </c>
      <c r="E1320" s="5">
        <v>26226.0</v>
      </c>
      <c r="F1320" s="3">
        <v>2.2373152E7</v>
      </c>
      <c r="G1320" s="3">
        <v>3.516111699E9</v>
      </c>
      <c r="H1320" s="3" t="s">
        <v>44</v>
      </c>
      <c r="I1320" s="3" t="s">
        <v>22</v>
      </c>
      <c r="K1320" s="3" t="s">
        <v>1132</v>
      </c>
      <c r="L1320" s="3" t="s">
        <v>1136</v>
      </c>
      <c r="M1320" s="3" t="s">
        <v>1137</v>
      </c>
      <c r="O1320" s="3" t="s">
        <v>23</v>
      </c>
      <c r="R1320" s="7" t="str">
        <f>IF(H1320="","",VLOOKUP(H1320,'Hoja 9'!$A$1:$B$255,2,0))</f>
        <v>GIMNASIO</v>
      </c>
      <c r="S1320" s="7">
        <f t="shared" si="1"/>
        <v>2025</v>
      </c>
      <c r="T1320" s="7">
        <f t="shared" si="2"/>
        <v>11</v>
      </c>
    </row>
    <row r="1321">
      <c r="A1321" s="4">
        <v>45974.75981765046</v>
      </c>
      <c r="B1321" s="3" t="s">
        <v>1838</v>
      </c>
      <c r="C1321" s="3" t="s">
        <v>357</v>
      </c>
      <c r="E1321" s="5">
        <v>36526.0</v>
      </c>
      <c r="F1321" s="3">
        <v>4.2642717E7</v>
      </c>
      <c r="G1321" s="3">
        <v>3.518035147E9</v>
      </c>
      <c r="H1321" s="3" t="s">
        <v>27</v>
      </c>
      <c r="I1321" s="3" t="s">
        <v>28</v>
      </c>
      <c r="K1321" s="3" t="s">
        <v>1132</v>
      </c>
      <c r="L1321" s="3" t="s">
        <v>1136</v>
      </c>
      <c r="M1321" s="3" t="s">
        <v>1137</v>
      </c>
      <c r="R1321" s="7" t="str">
        <f>IF(H1321="","",VLOOKUP(H1321,'Hoja 9'!$A$1:$B$255,2,0))</f>
        <v>BOCA EN BOCA</v>
      </c>
      <c r="S1321" s="7">
        <f t="shared" si="1"/>
        <v>2025</v>
      </c>
      <c r="T1321" s="7">
        <f t="shared" si="2"/>
        <v>11</v>
      </c>
    </row>
    <row r="1322">
      <c r="A1322" s="4">
        <v>45974.77079969908</v>
      </c>
      <c r="B1322" s="3" t="s">
        <v>1432</v>
      </c>
      <c r="C1322" s="3" t="s">
        <v>3400</v>
      </c>
      <c r="D1322" s="3" t="s">
        <v>3401</v>
      </c>
      <c r="E1322" s="5">
        <v>39129.0</v>
      </c>
      <c r="F1322" s="3">
        <v>4.6765868E7</v>
      </c>
      <c r="G1322" s="3">
        <v>3.512252164E9</v>
      </c>
      <c r="H1322" s="3" t="s">
        <v>27</v>
      </c>
      <c r="I1322" s="3" t="s">
        <v>22</v>
      </c>
      <c r="K1322" s="3" t="s">
        <v>1132</v>
      </c>
      <c r="L1322" s="3" t="s">
        <v>3402</v>
      </c>
      <c r="M1322" s="3" t="s">
        <v>1213</v>
      </c>
      <c r="O1322" s="3" t="s">
        <v>72</v>
      </c>
      <c r="R1322" s="7" t="str">
        <f>IF(H1322="","",VLOOKUP(H1322,'Hoja 9'!$A$1:$B$255,2,0))</f>
        <v>BOCA EN BOCA</v>
      </c>
      <c r="S1322" s="7">
        <f t="shared" si="1"/>
        <v>2025</v>
      </c>
      <c r="T1322" s="7">
        <f t="shared" si="2"/>
        <v>11</v>
      </c>
    </row>
    <row r="1323">
      <c r="A1323" s="4">
        <v>45974.80466252315</v>
      </c>
      <c r="B1323" s="3" t="s">
        <v>3403</v>
      </c>
      <c r="C1323" s="3" t="s">
        <v>3404</v>
      </c>
      <c r="D1323" s="3" t="s">
        <v>3405</v>
      </c>
      <c r="E1323" s="5">
        <v>20877.0</v>
      </c>
      <c r="F1323" s="3">
        <v>1.2901784E7</v>
      </c>
      <c r="G1323" s="3">
        <v>3.515516046E9</v>
      </c>
      <c r="H1323" s="3" t="s">
        <v>21</v>
      </c>
      <c r="I1323" s="3" t="s">
        <v>22</v>
      </c>
      <c r="K1323" s="3" t="s">
        <v>1132</v>
      </c>
      <c r="M1323" s="3" t="s">
        <v>1134</v>
      </c>
      <c r="O1323" s="3" t="s">
        <v>287</v>
      </c>
      <c r="R1323" s="7" t="str">
        <f>IF(H1323="","",VLOOKUP(H1323,'Hoja 9'!$A$1:$B$255,2,0))</f>
        <v>GOOGLE</v>
      </c>
      <c r="S1323" s="7">
        <f t="shared" si="1"/>
        <v>2025</v>
      </c>
      <c r="T1323" s="7">
        <f t="shared" si="2"/>
        <v>11</v>
      </c>
    </row>
    <row r="1324">
      <c r="A1324" s="4">
        <v>45974.8074866088</v>
      </c>
      <c r="B1324" s="3" t="s">
        <v>3403</v>
      </c>
      <c r="C1324" s="3" t="s">
        <v>3404</v>
      </c>
      <c r="D1324" s="3" t="s">
        <v>3405</v>
      </c>
      <c r="E1324" s="5">
        <v>20877.0</v>
      </c>
      <c r="F1324" s="3">
        <v>1.2901784E7</v>
      </c>
      <c r="G1324" s="3">
        <v>3.515516046E9</v>
      </c>
      <c r="H1324" s="3" t="s">
        <v>21</v>
      </c>
      <c r="I1324" s="3" t="s">
        <v>22</v>
      </c>
      <c r="K1324" s="3" t="s">
        <v>1132</v>
      </c>
      <c r="L1324" s="3" t="s">
        <v>3406</v>
      </c>
      <c r="M1324" s="3" t="s">
        <v>1134</v>
      </c>
      <c r="O1324" s="3" t="s">
        <v>287</v>
      </c>
      <c r="R1324" s="7" t="str">
        <f>IF(H1324="","",VLOOKUP(H1324,'Hoja 9'!$A$1:$B$255,2,0))</f>
        <v>GOOGLE</v>
      </c>
      <c r="S1324" s="7">
        <f t="shared" si="1"/>
        <v>2025</v>
      </c>
      <c r="T1324" s="7">
        <f t="shared" si="2"/>
        <v>11</v>
      </c>
    </row>
    <row r="1325">
      <c r="A1325" s="4">
        <v>45977.64238237268</v>
      </c>
      <c r="B1325" s="3" t="s">
        <v>618</v>
      </c>
      <c r="C1325" s="3" t="s">
        <v>3407</v>
      </c>
      <c r="D1325" s="3" t="s">
        <v>3408</v>
      </c>
      <c r="E1325" s="5">
        <v>31777.0</v>
      </c>
      <c r="F1325" s="3">
        <v>3.2705074E7</v>
      </c>
      <c r="G1325" s="3">
        <v>3.525562751E9</v>
      </c>
      <c r="H1325" s="3" t="s">
        <v>244</v>
      </c>
      <c r="I1325" s="3" t="s">
        <v>22</v>
      </c>
      <c r="K1325" s="3" t="s">
        <v>1132</v>
      </c>
      <c r="L1325" s="3" t="s">
        <v>1133</v>
      </c>
      <c r="M1325" s="3" t="s">
        <v>1134</v>
      </c>
      <c r="O1325" s="3" t="s">
        <v>58</v>
      </c>
      <c r="R1325" s="7" t="str">
        <f>IF(H1325="","",VLOOKUP(H1325,'Hoja 9'!$A$1:$B$255,2,0))</f>
        <v>META</v>
      </c>
      <c r="S1325" s="7">
        <f t="shared" si="1"/>
        <v>2025</v>
      </c>
      <c r="T1325" s="7">
        <f t="shared" si="2"/>
        <v>11</v>
      </c>
    </row>
    <row r="1326">
      <c r="A1326" s="4">
        <v>45978.44485373843</v>
      </c>
      <c r="B1326" s="3" t="s">
        <v>3409</v>
      </c>
      <c r="C1326" s="3" t="s">
        <v>3410</v>
      </c>
      <c r="D1326" s="3" t="s">
        <v>3411</v>
      </c>
      <c r="E1326" s="5">
        <v>28777.0</v>
      </c>
      <c r="F1326" s="3">
        <v>2.6954299E7</v>
      </c>
      <c r="G1326" s="3">
        <v>3.513108786E9</v>
      </c>
      <c r="H1326" s="3" t="s">
        <v>148</v>
      </c>
      <c r="I1326" s="3" t="s">
        <v>22</v>
      </c>
      <c r="K1326" s="3" t="s">
        <v>1132</v>
      </c>
      <c r="L1326" s="3" t="s">
        <v>1332</v>
      </c>
      <c r="M1326" s="3" t="s">
        <v>1137</v>
      </c>
      <c r="O1326" s="3" t="s">
        <v>58</v>
      </c>
      <c r="R1326" s="7" t="str">
        <f>IF(H1326="","",VLOOKUP(H1326,'Hoja 9'!$A$1:$B$255,2,0))</f>
        <v>OBRA SOCIAL</v>
      </c>
      <c r="S1326" s="7">
        <f t="shared" si="1"/>
        <v>2025</v>
      </c>
      <c r="T1326" s="7">
        <f t="shared" si="2"/>
        <v>11</v>
      </c>
    </row>
    <row r="1327">
      <c r="A1327" s="4">
        <v>45978.46438949074</v>
      </c>
      <c r="B1327" s="3" t="s">
        <v>3412</v>
      </c>
      <c r="C1327" s="3" t="s">
        <v>2158</v>
      </c>
      <c r="D1327" s="3" t="s">
        <v>3413</v>
      </c>
      <c r="E1327" s="5">
        <v>18265.0</v>
      </c>
      <c r="F1327" s="3">
        <v>8009344.0</v>
      </c>
      <c r="G1327" s="3">
        <v>3.512473443E9</v>
      </c>
      <c r="H1327" s="3" t="s">
        <v>21</v>
      </c>
      <c r="I1327" s="3" t="s">
        <v>22</v>
      </c>
      <c r="K1327" s="3" t="s">
        <v>1145</v>
      </c>
      <c r="O1327" s="3" t="s">
        <v>68</v>
      </c>
      <c r="R1327" s="7" t="str">
        <f>IF(H1327="","",VLOOKUP(H1327,'Hoja 9'!$A$1:$B$255,2,0))</f>
        <v>GOOGLE</v>
      </c>
      <c r="S1327" s="7">
        <f t="shared" si="1"/>
        <v>2025</v>
      </c>
      <c r="T1327" s="7">
        <f t="shared" si="2"/>
        <v>11</v>
      </c>
    </row>
    <row r="1328">
      <c r="A1328" s="4">
        <v>45978.51102777778</v>
      </c>
      <c r="B1328" s="3" t="s">
        <v>1619</v>
      </c>
      <c r="C1328" s="3" t="s">
        <v>2929</v>
      </c>
      <c r="D1328" s="3" t="s">
        <v>3414</v>
      </c>
      <c r="E1328" s="5">
        <v>29555.0</v>
      </c>
      <c r="F1328" s="3">
        <v>2.8430117E7</v>
      </c>
      <c r="G1328" s="3">
        <v>3.513258815E9</v>
      </c>
      <c r="H1328" s="3" t="s">
        <v>44</v>
      </c>
      <c r="I1328" s="3" t="s">
        <v>28</v>
      </c>
      <c r="K1328" s="3" t="s">
        <v>1132</v>
      </c>
      <c r="L1328" s="3" t="s">
        <v>1133</v>
      </c>
      <c r="M1328" s="3" t="s">
        <v>1213</v>
      </c>
      <c r="R1328" s="7" t="str">
        <f>IF(H1328="","",VLOOKUP(H1328,'Hoja 9'!$A$1:$B$255,2,0))</f>
        <v>GIMNASIO</v>
      </c>
      <c r="S1328" s="7">
        <f t="shared" si="1"/>
        <v>2025</v>
      </c>
      <c r="T1328" s="7">
        <f t="shared" si="2"/>
        <v>11</v>
      </c>
    </row>
    <row r="1329">
      <c r="A1329" s="4">
        <v>45978.61062866898</v>
      </c>
      <c r="B1329" s="3" t="s">
        <v>3415</v>
      </c>
      <c r="C1329" s="3" t="s">
        <v>2602</v>
      </c>
      <c r="D1329" s="3" t="s">
        <v>3416</v>
      </c>
      <c r="E1329" s="5">
        <v>32306.0</v>
      </c>
      <c r="F1329" s="3">
        <v>3.3809029E7</v>
      </c>
      <c r="G1329" s="3">
        <v>3.512674286E9</v>
      </c>
      <c r="H1329" s="3" t="s">
        <v>21</v>
      </c>
      <c r="I1329" s="3" t="s">
        <v>22</v>
      </c>
      <c r="K1329" s="3" t="s">
        <v>1132</v>
      </c>
      <c r="L1329" s="3" t="s">
        <v>2426</v>
      </c>
      <c r="M1329" s="3" t="s">
        <v>1137</v>
      </c>
      <c r="O1329" s="3" t="s">
        <v>149</v>
      </c>
      <c r="R1329" s="7" t="str">
        <f>IF(H1329="","",VLOOKUP(H1329,'Hoja 9'!$A$1:$B$255,2,0))</f>
        <v>GOOGLE</v>
      </c>
      <c r="S1329" s="7">
        <f t="shared" si="1"/>
        <v>2025</v>
      </c>
      <c r="T1329" s="7">
        <f t="shared" si="2"/>
        <v>11</v>
      </c>
    </row>
    <row r="1330">
      <c r="A1330" s="4">
        <v>45978.75083023148</v>
      </c>
      <c r="B1330" s="3" t="s">
        <v>3417</v>
      </c>
      <c r="C1330" s="3" t="s">
        <v>983</v>
      </c>
      <c r="D1330" s="3" t="s">
        <v>3418</v>
      </c>
      <c r="E1330" s="5">
        <v>21512.0</v>
      </c>
      <c r="F1330" s="3">
        <v>1.304417E7</v>
      </c>
      <c r="G1330" s="3">
        <v>3.564691199E9</v>
      </c>
      <c r="H1330" s="3" t="s">
        <v>27</v>
      </c>
      <c r="I1330" s="3" t="s">
        <v>22</v>
      </c>
      <c r="K1330" s="3" t="s">
        <v>1132</v>
      </c>
      <c r="L1330" s="3" t="s">
        <v>3419</v>
      </c>
      <c r="O1330" s="3" t="s">
        <v>23</v>
      </c>
      <c r="R1330" s="7" t="str">
        <f>IF(H1330="","",VLOOKUP(H1330,'Hoja 9'!$A$1:$B$255,2,0))</f>
        <v>BOCA EN BOCA</v>
      </c>
      <c r="S1330" s="7">
        <f t="shared" si="1"/>
        <v>2025</v>
      </c>
      <c r="T1330" s="7">
        <f t="shared" si="2"/>
        <v>11</v>
      </c>
    </row>
    <row r="1331">
      <c r="A1331" s="4">
        <v>45978.788720833334</v>
      </c>
      <c r="B1331" s="3" t="s">
        <v>3420</v>
      </c>
      <c r="C1331" s="3" t="s">
        <v>1253</v>
      </c>
      <c r="E1331" s="5">
        <v>27193.0</v>
      </c>
      <c r="F1331" s="3">
        <v>2.4016347E7</v>
      </c>
      <c r="G1331" s="3">
        <v>3.516963578E9</v>
      </c>
      <c r="H1331" s="3" t="s">
        <v>244</v>
      </c>
      <c r="I1331" s="3" t="s">
        <v>28</v>
      </c>
      <c r="K1331" s="3" t="s">
        <v>1132</v>
      </c>
      <c r="M1331" s="3" t="s">
        <v>1137</v>
      </c>
      <c r="R1331" s="7" t="str">
        <f>IF(H1331="","",VLOOKUP(H1331,'Hoja 9'!$A$1:$B$255,2,0))</f>
        <v>META</v>
      </c>
      <c r="S1331" s="7">
        <f t="shared" si="1"/>
        <v>2025</v>
      </c>
      <c r="T1331" s="7">
        <f t="shared" si="2"/>
        <v>11</v>
      </c>
    </row>
    <row r="1332">
      <c r="A1332" s="4">
        <v>45979.372353009254</v>
      </c>
      <c r="B1332" s="3" t="s">
        <v>182</v>
      </c>
      <c r="C1332" s="3" t="s">
        <v>60</v>
      </c>
      <c r="D1332" s="3" t="s">
        <v>421</v>
      </c>
      <c r="E1332" s="5">
        <v>36245.0</v>
      </c>
      <c r="F1332" s="3">
        <v>4.1809969E7</v>
      </c>
      <c r="G1332" s="3">
        <v>3.516619221E9</v>
      </c>
      <c r="H1332" s="3" t="s">
        <v>27</v>
      </c>
      <c r="I1332" s="3" t="s">
        <v>28</v>
      </c>
      <c r="K1332" s="3" t="s">
        <v>1132</v>
      </c>
      <c r="L1332" s="3" t="s">
        <v>3421</v>
      </c>
      <c r="M1332" s="3" t="s">
        <v>1213</v>
      </c>
      <c r="R1332" s="7" t="str">
        <f>IF(H1332="","",VLOOKUP(H1332,'Hoja 9'!$A$1:$B$255,2,0))</f>
        <v>BOCA EN BOCA</v>
      </c>
      <c r="S1332" s="7">
        <f t="shared" si="1"/>
        <v>2025</v>
      </c>
      <c r="T1332" s="7">
        <f t="shared" si="2"/>
        <v>11</v>
      </c>
    </row>
    <row r="1333">
      <c r="A1333" s="4">
        <v>45979.373400219905</v>
      </c>
      <c r="B1333" s="3" t="s">
        <v>3422</v>
      </c>
      <c r="C1333" s="3" t="s">
        <v>3423</v>
      </c>
      <c r="D1333" s="3" t="s">
        <v>3315</v>
      </c>
      <c r="E1333" s="5">
        <v>29787.0</v>
      </c>
      <c r="F1333" s="3">
        <v>2.8853317E7</v>
      </c>
      <c r="G1333" s="3">
        <v>3.516314075E9</v>
      </c>
      <c r="H1333" s="3" t="s">
        <v>27</v>
      </c>
      <c r="I1333" s="3" t="s">
        <v>22</v>
      </c>
      <c r="K1333" s="3" t="s">
        <v>1132</v>
      </c>
      <c r="L1333" s="3" t="s">
        <v>1133</v>
      </c>
      <c r="M1333" s="3" t="s">
        <v>1137</v>
      </c>
      <c r="O1333" s="3" t="s">
        <v>58</v>
      </c>
      <c r="R1333" s="7" t="str">
        <f>IF(H1333="","",VLOOKUP(H1333,'Hoja 9'!$A$1:$B$255,2,0))</f>
        <v>BOCA EN BOCA</v>
      </c>
      <c r="S1333" s="7">
        <f t="shared" si="1"/>
        <v>2025</v>
      </c>
      <c r="T1333" s="7">
        <f t="shared" si="2"/>
        <v>11</v>
      </c>
    </row>
    <row r="1334">
      <c r="A1334" s="4">
        <v>45980.466728287036</v>
      </c>
      <c r="B1334" s="3" t="s">
        <v>3424</v>
      </c>
      <c r="C1334" s="3" t="s">
        <v>202</v>
      </c>
      <c r="D1334" s="3" t="s">
        <v>3425</v>
      </c>
      <c r="E1334" s="5">
        <v>21232.0</v>
      </c>
      <c r="F1334" s="3">
        <v>1.2245314E7</v>
      </c>
      <c r="G1334" s="3">
        <v>3.515512914E9</v>
      </c>
      <c r="H1334" s="3" t="s">
        <v>27</v>
      </c>
      <c r="I1334" s="3" t="s">
        <v>22</v>
      </c>
      <c r="K1334" s="3" t="s">
        <v>1132</v>
      </c>
      <c r="L1334" s="3" t="s">
        <v>3426</v>
      </c>
      <c r="M1334" s="3" t="s">
        <v>1137</v>
      </c>
      <c r="O1334" s="3" t="s">
        <v>23</v>
      </c>
      <c r="R1334" s="7" t="str">
        <f>IF(H1334="","",VLOOKUP(H1334,'Hoja 9'!$A$1:$B$255,2,0))</f>
        <v>BOCA EN BOCA</v>
      </c>
      <c r="S1334" s="7">
        <f t="shared" si="1"/>
        <v>2025</v>
      </c>
      <c r="T1334" s="7">
        <f t="shared" si="2"/>
        <v>11</v>
      </c>
    </row>
    <row r="1335">
      <c r="A1335" s="4">
        <v>45980.51241935186</v>
      </c>
      <c r="B1335" s="3" t="s">
        <v>3427</v>
      </c>
      <c r="C1335" s="3" t="s">
        <v>3428</v>
      </c>
      <c r="D1335" s="3" t="s">
        <v>3429</v>
      </c>
      <c r="E1335" s="5">
        <v>22058.0</v>
      </c>
      <c r="F1335" s="3">
        <v>1.4175381E7</v>
      </c>
      <c r="G1335" s="3">
        <v>3.514088604E9</v>
      </c>
      <c r="H1335" s="3" t="s">
        <v>27</v>
      </c>
      <c r="I1335" s="3" t="s">
        <v>22</v>
      </c>
      <c r="K1335" s="3" t="s">
        <v>1132</v>
      </c>
      <c r="L1335" s="3" t="s">
        <v>3430</v>
      </c>
      <c r="M1335" s="3" t="s">
        <v>1134</v>
      </c>
      <c r="O1335" s="3" t="s">
        <v>23</v>
      </c>
      <c r="R1335" s="7" t="str">
        <f>IF(H1335="","",VLOOKUP(H1335,'Hoja 9'!$A$1:$B$255,2,0))</f>
        <v>BOCA EN BOCA</v>
      </c>
      <c r="S1335" s="7">
        <f t="shared" si="1"/>
        <v>2025</v>
      </c>
      <c r="T1335" s="7">
        <f t="shared" si="2"/>
        <v>11</v>
      </c>
    </row>
    <row r="1336">
      <c r="A1336" s="4">
        <v>45980.66958255787</v>
      </c>
      <c r="B1336" s="3" t="s">
        <v>3431</v>
      </c>
      <c r="C1336" s="3" t="s">
        <v>3074</v>
      </c>
      <c r="E1336" s="5">
        <v>16601.0</v>
      </c>
      <c r="F1336" s="3">
        <v>5099952.0</v>
      </c>
      <c r="G1336" s="3">
        <v>3.51613127E9</v>
      </c>
      <c r="H1336" s="3" t="s">
        <v>27</v>
      </c>
      <c r="I1336" s="3" t="s">
        <v>28</v>
      </c>
      <c r="K1336" s="3" t="s">
        <v>1145</v>
      </c>
      <c r="R1336" s="7" t="str">
        <f>IF(H1336="","",VLOOKUP(H1336,'Hoja 9'!$A$1:$B$255,2,0))</f>
        <v>BOCA EN BOCA</v>
      </c>
      <c r="S1336" s="7">
        <f t="shared" si="1"/>
        <v>2025</v>
      </c>
      <c r="T1336" s="7">
        <f t="shared" si="2"/>
        <v>11</v>
      </c>
    </row>
    <row r="1337">
      <c r="A1337" s="4">
        <v>45980.7753302662</v>
      </c>
      <c r="B1337" s="3" t="s">
        <v>3432</v>
      </c>
      <c r="C1337" s="3" t="s">
        <v>175</v>
      </c>
      <c r="E1337" s="5">
        <v>23205.0</v>
      </c>
      <c r="F1337" s="3">
        <v>1.6508095E7</v>
      </c>
      <c r="G1337" s="3">
        <v>3.513051899E9</v>
      </c>
      <c r="H1337" s="3" t="s">
        <v>21</v>
      </c>
      <c r="I1337" s="3" t="s">
        <v>22</v>
      </c>
      <c r="K1337" s="3" t="s">
        <v>1132</v>
      </c>
      <c r="L1337" s="3" t="s">
        <v>1568</v>
      </c>
      <c r="M1337" s="3" t="s">
        <v>1137</v>
      </c>
      <c r="O1337" s="3" t="s">
        <v>23</v>
      </c>
      <c r="R1337" s="7" t="str">
        <f>IF(H1337="","",VLOOKUP(H1337,'Hoja 9'!$A$1:$B$255,2,0))</f>
        <v>GOOGLE</v>
      </c>
      <c r="S1337" s="7">
        <f t="shared" si="1"/>
        <v>2025</v>
      </c>
      <c r="T1337" s="7">
        <f t="shared" si="2"/>
        <v>11</v>
      </c>
    </row>
    <row r="1338">
      <c r="A1338" s="4">
        <v>45981.41291505787</v>
      </c>
      <c r="B1338" s="3" t="s">
        <v>3433</v>
      </c>
      <c r="C1338" s="3" t="s">
        <v>1093</v>
      </c>
      <c r="E1338" s="5">
        <v>28882.0</v>
      </c>
      <c r="F1338" s="3">
        <v>2.7079074E7</v>
      </c>
      <c r="G1338" s="3">
        <v>3.515109442E9</v>
      </c>
      <c r="H1338" s="3" t="s">
        <v>44</v>
      </c>
      <c r="I1338" s="3" t="s">
        <v>28</v>
      </c>
      <c r="K1338" s="3" t="s">
        <v>1132</v>
      </c>
      <c r="L1338" s="3" t="s">
        <v>3434</v>
      </c>
      <c r="M1338" s="3" t="s">
        <v>1213</v>
      </c>
      <c r="R1338" s="7" t="str">
        <f>IF(H1338="","",VLOOKUP(H1338,'Hoja 9'!$A$1:$B$255,2,0))</f>
        <v>GIMNASIO</v>
      </c>
      <c r="S1338" s="7">
        <f t="shared" si="1"/>
        <v>2025</v>
      </c>
      <c r="T1338" s="7">
        <f t="shared" si="2"/>
        <v>11</v>
      </c>
    </row>
    <row r="1339">
      <c r="A1339" s="4">
        <v>45981.728075046296</v>
      </c>
      <c r="B1339" s="3" t="s">
        <v>3435</v>
      </c>
      <c r="C1339" s="3" t="s">
        <v>567</v>
      </c>
      <c r="D1339" s="3" t="s">
        <v>3436</v>
      </c>
      <c r="E1339" s="5">
        <v>30518.0</v>
      </c>
      <c r="F1339" s="3">
        <v>3.0330043E7</v>
      </c>
      <c r="G1339" s="3">
        <v>3.516359611E9</v>
      </c>
      <c r="H1339" s="3" t="s">
        <v>27</v>
      </c>
      <c r="I1339" s="3" t="s">
        <v>28</v>
      </c>
      <c r="K1339" s="3" t="s">
        <v>1132</v>
      </c>
      <c r="L1339" s="3" t="s">
        <v>1133</v>
      </c>
      <c r="M1339" s="3" t="s">
        <v>1134</v>
      </c>
      <c r="R1339" s="7" t="str">
        <f>IF(H1339="","",VLOOKUP(H1339,'Hoja 9'!$A$1:$B$255,2,0))</f>
        <v>BOCA EN BOCA</v>
      </c>
      <c r="S1339" s="7">
        <f t="shared" si="1"/>
        <v>2025</v>
      </c>
      <c r="T1339" s="7">
        <f t="shared" si="2"/>
        <v>11</v>
      </c>
    </row>
    <row r="1340">
      <c r="A1340" s="4">
        <v>45986.39372758102</v>
      </c>
      <c r="B1340" s="3" t="s">
        <v>3437</v>
      </c>
      <c r="C1340" s="3" t="s">
        <v>157</v>
      </c>
      <c r="D1340" s="3" t="s">
        <v>3438</v>
      </c>
      <c r="E1340" s="5">
        <v>38299.0</v>
      </c>
      <c r="F1340" s="3">
        <v>4.5833803E7</v>
      </c>
      <c r="G1340" s="3">
        <v>3.512025644E9</v>
      </c>
      <c r="H1340" s="3" t="s">
        <v>27</v>
      </c>
      <c r="I1340" s="3" t="s">
        <v>22</v>
      </c>
      <c r="K1340" s="3" t="s">
        <v>1132</v>
      </c>
      <c r="L1340" s="3" t="s">
        <v>2660</v>
      </c>
      <c r="M1340" s="3" t="s">
        <v>1137</v>
      </c>
      <c r="O1340" s="3" t="s">
        <v>23</v>
      </c>
      <c r="R1340" s="7" t="str">
        <f>IF(H1340="","",VLOOKUP(H1340,'Hoja 9'!$A$1:$B$255,2,0))</f>
        <v>BOCA EN BOCA</v>
      </c>
      <c r="S1340" s="7">
        <f t="shared" si="1"/>
        <v>2025</v>
      </c>
      <c r="T1340" s="7">
        <f t="shared" si="2"/>
        <v>11</v>
      </c>
    </row>
    <row r="1341">
      <c r="A1341" s="4">
        <v>45986.4514159838</v>
      </c>
      <c r="B1341" s="3" t="s">
        <v>264</v>
      </c>
      <c r="C1341" s="3" t="s">
        <v>3439</v>
      </c>
      <c r="D1341" s="3" t="s">
        <v>3440</v>
      </c>
      <c r="E1341" s="5">
        <v>16294.0</v>
      </c>
      <c r="F1341" s="3">
        <v>5008104.0</v>
      </c>
      <c r="G1341" s="3">
        <v>3.51631571E9</v>
      </c>
      <c r="H1341" s="3" t="s">
        <v>27</v>
      </c>
      <c r="I1341" s="3" t="s">
        <v>22</v>
      </c>
      <c r="K1341" s="3" t="s">
        <v>1132</v>
      </c>
      <c r="L1341" s="3" t="s">
        <v>3441</v>
      </c>
      <c r="M1341" s="3" t="s">
        <v>1137</v>
      </c>
      <c r="O1341" s="3" t="s">
        <v>23</v>
      </c>
      <c r="R1341" s="7" t="str">
        <f>IF(H1341="","",VLOOKUP(H1341,'Hoja 9'!$A$1:$B$255,2,0))</f>
        <v>BOCA EN BOCA</v>
      </c>
      <c r="S1341" s="7">
        <f t="shared" si="1"/>
        <v>2025</v>
      </c>
      <c r="T1341" s="7">
        <f t="shared" si="2"/>
        <v>11</v>
      </c>
    </row>
    <row r="1342">
      <c r="A1342" s="4">
        <v>45986.48137613426</v>
      </c>
      <c r="B1342" s="3" t="s">
        <v>3442</v>
      </c>
      <c r="C1342" s="3" t="s">
        <v>139</v>
      </c>
      <c r="D1342" s="3" t="s">
        <v>3443</v>
      </c>
      <c r="E1342" s="5">
        <v>23284.0</v>
      </c>
      <c r="F1342" s="3">
        <v>1.762815E7</v>
      </c>
      <c r="G1342" s="3">
        <v>3.516313459E9</v>
      </c>
      <c r="H1342" s="3" t="s">
        <v>27</v>
      </c>
      <c r="I1342" s="3" t="s">
        <v>22</v>
      </c>
      <c r="K1342" s="3" t="s">
        <v>1132</v>
      </c>
      <c r="L1342" s="3" t="s">
        <v>2660</v>
      </c>
      <c r="M1342" s="3" t="s">
        <v>1137</v>
      </c>
      <c r="O1342" s="3" t="s">
        <v>23</v>
      </c>
      <c r="R1342" s="7" t="str">
        <f>IF(H1342="","",VLOOKUP(H1342,'Hoja 9'!$A$1:$B$255,2,0))</f>
        <v>BOCA EN BOCA</v>
      </c>
      <c r="S1342" s="7">
        <f t="shared" si="1"/>
        <v>2025</v>
      </c>
      <c r="T1342" s="7">
        <f t="shared" si="2"/>
        <v>11</v>
      </c>
    </row>
    <row r="1343">
      <c r="A1343" s="4">
        <v>45986.60187356481</v>
      </c>
      <c r="B1343" s="3" t="s">
        <v>3444</v>
      </c>
      <c r="C1343" s="3" t="s">
        <v>3445</v>
      </c>
      <c r="D1343" s="3" t="s">
        <v>3446</v>
      </c>
      <c r="E1343" s="5">
        <v>34633.0</v>
      </c>
      <c r="F1343" s="3">
        <v>3.8500953E7</v>
      </c>
      <c r="G1343" s="3">
        <v>3.512596818E9</v>
      </c>
      <c r="H1343" s="3" t="s">
        <v>244</v>
      </c>
      <c r="I1343" s="3" t="s">
        <v>22</v>
      </c>
      <c r="K1343" s="3" t="s">
        <v>1132</v>
      </c>
      <c r="L1343" s="3" t="s">
        <v>1332</v>
      </c>
      <c r="M1343" s="3" t="s">
        <v>1137</v>
      </c>
      <c r="O1343" s="3" t="s">
        <v>287</v>
      </c>
      <c r="R1343" s="7" t="str">
        <f>IF(H1343="","",VLOOKUP(H1343,'Hoja 9'!$A$1:$B$255,2,0))</f>
        <v>META</v>
      </c>
      <c r="S1343" s="7">
        <f t="shared" si="1"/>
        <v>2025</v>
      </c>
      <c r="T1343" s="7">
        <f t="shared" si="2"/>
        <v>11</v>
      </c>
    </row>
    <row r="1344">
      <c r="A1344" s="4">
        <v>45987.73951857639</v>
      </c>
      <c r="B1344" s="3" t="s">
        <v>3447</v>
      </c>
      <c r="C1344" s="3" t="s">
        <v>3448</v>
      </c>
      <c r="D1344" s="3" t="s">
        <v>3449</v>
      </c>
      <c r="E1344" s="5">
        <v>36901.0</v>
      </c>
      <c r="F1344" s="3">
        <v>4.3231404E7</v>
      </c>
      <c r="G1344" s="3">
        <v>3.513274171E9</v>
      </c>
      <c r="H1344" s="3" t="s">
        <v>44</v>
      </c>
      <c r="I1344" s="3" t="s">
        <v>22</v>
      </c>
      <c r="K1344" s="3" t="s">
        <v>1132</v>
      </c>
      <c r="L1344" s="3" t="s">
        <v>1133</v>
      </c>
      <c r="M1344" s="3" t="s">
        <v>1134</v>
      </c>
      <c r="O1344" s="3" t="s">
        <v>68</v>
      </c>
      <c r="R1344" s="7" t="str">
        <f>IF(H1344="","",VLOOKUP(H1344,'Hoja 9'!$A$1:$B$255,2,0))</f>
        <v>GIMNASIO</v>
      </c>
      <c r="S1344" s="7">
        <f t="shared" si="1"/>
        <v>2025</v>
      </c>
      <c r="T1344" s="7">
        <f t="shared" si="2"/>
        <v>11</v>
      </c>
    </row>
    <row r="1345">
      <c r="A1345" s="4">
        <v>45987.77649037037</v>
      </c>
      <c r="B1345" s="3" t="s">
        <v>3450</v>
      </c>
      <c r="C1345" s="3" t="s">
        <v>505</v>
      </c>
      <c r="D1345" s="3" t="s">
        <v>3451</v>
      </c>
      <c r="E1345" s="5">
        <v>17170.0</v>
      </c>
      <c r="F1345" s="3">
        <v>5587884.0</v>
      </c>
      <c r="G1345" s="3">
        <v>3.516420132E9</v>
      </c>
      <c r="H1345" s="3" t="s">
        <v>27</v>
      </c>
      <c r="I1345" s="3" t="s">
        <v>22</v>
      </c>
      <c r="K1345" s="3" t="s">
        <v>1132</v>
      </c>
      <c r="L1345" s="3" t="s">
        <v>3452</v>
      </c>
      <c r="M1345" s="3" t="s">
        <v>1134</v>
      </c>
      <c r="O1345" s="3" t="s">
        <v>23</v>
      </c>
      <c r="R1345" s="7" t="str">
        <f>IF(H1345="","",VLOOKUP(H1345,'Hoja 9'!$A$1:$B$255,2,0))</f>
        <v>BOCA EN BOCA</v>
      </c>
      <c r="S1345" s="7">
        <f t="shared" si="1"/>
        <v>2025</v>
      </c>
      <c r="T1345" s="7">
        <f t="shared" si="2"/>
        <v>11</v>
      </c>
    </row>
    <row r="1346">
      <c r="A1346" s="4">
        <v>45988.396926828704</v>
      </c>
      <c r="B1346" s="3" t="s">
        <v>3453</v>
      </c>
      <c r="C1346" s="3" t="s">
        <v>265</v>
      </c>
      <c r="D1346" s="3" t="s">
        <v>3454</v>
      </c>
      <c r="E1346" s="5">
        <v>41255.0</v>
      </c>
      <c r="F1346" s="3">
        <v>5.2466851E7</v>
      </c>
      <c r="G1346" s="3">
        <v>3.512454625E9</v>
      </c>
      <c r="H1346" s="3" t="s">
        <v>27</v>
      </c>
      <c r="I1346" s="3" t="s">
        <v>22</v>
      </c>
      <c r="K1346" s="3" t="s">
        <v>1132</v>
      </c>
      <c r="L1346" s="3" t="s">
        <v>1136</v>
      </c>
      <c r="M1346" s="3" t="s">
        <v>1134</v>
      </c>
      <c r="O1346" s="3" t="s">
        <v>3455</v>
      </c>
      <c r="R1346" s="7" t="str">
        <f>IF(H1346="","",VLOOKUP(H1346,'Hoja 9'!$A$1:$B$255,2,0))</f>
        <v>BOCA EN BOCA</v>
      </c>
      <c r="S1346" s="7">
        <f t="shared" si="1"/>
        <v>2025</v>
      </c>
      <c r="T1346" s="7">
        <f t="shared" si="2"/>
        <v>11</v>
      </c>
    </row>
    <row r="1347">
      <c r="A1347" s="4">
        <v>45988.41570778935</v>
      </c>
      <c r="B1347" s="3" t="s">
        <v>3456</v>
      </c>
      <c r="C1347" s="3" t="s">
        <v>3457</v>
      </c>
      <c r="E1347" s="5">
        <v>23205.0</v>
      </c>
      <c r="F1347" s="3">
        <v>1.6508095E7</v>
      </c>
      <c r="G1347" s="3">
        <v>3.513051899E9</v>
      </c>
      <c r="H1347" s="3" t="s">
        <v>244</v>
      </c>
      <c r="I1347" s="3" t="s">
        <v>28</v>
      </c>
      <c r="K1347" s="3" t="s">
        <v>1145</v>
      </c>
      <c r="R1347" s="7" t="str">
        <f>IF(H1347="","",VLOOKUP(H1347,'Hoja 9'!$A$1:$B$255,2,0))</f>
        <v>META</v>
      </c>
      <c r="S1347" s="7">
        <f t="shared" si="1"/>
        <v>2025</v>
      </c>
      <c r="T1347" s="7">
        <f t="shared" si="2"/>
        <v>11</v>
      </c>
    </row>
    <row r="1348">
      <c r="A1348" s="4">
        <v>45989.50419535879</v>
      </c>
      <c r="B1348" s="3" t="s">
        <v>2949</v>
      </c>
      <c r="C1348" s="3" t="s">
        <v>1642</v>
      </c>
      <c r="D1348" s="3" t="s">
        <v>3458</v>
      </c>
      <c r="E1348" s="5">
        <v>33414.0</v>
      </c>
      <c r="F1348" s="3">
        <v>3.5964601E7</v>
      </c>
      <c r="G1348" s="3">
        <v>3.512347011E9</v>
      </c>
      <c r="H1348" s="3" t="s">
        <v>27</v>
      </c>
      <c r="I1348" s="3" t="s">
        <v>22</v>
      </c>
      <c r="K1348" s="3" t="s">
        <v>1145</v>
      </c>
      <c r="O1348" s="3" t="s">
        <v>58</v>
      </c>
      <c r="R1348" s="7" t="str">
        <f>IF(H1348="","",VLOOKUP(H1348,'Hoja 9'!$A$1:$B$255,2,0))</f>
        <v>BOCA EN BOCA</v>
      </c>
      <c r="S1348" s="7">
        <f t="shared" si="1"/>
        <v>2025</v>
      </c>
      <c r="T1348" s="7">
        <f t="shared" si="2"/>
        <v>11</v>
      </c>
    </row>
    <row r="1349">
      <c r="A1349" s="4">
        <v>45989.56094146991</v>
      </c>
      <c r="B1349" s="3" t="s">
        <v>2802</v>
      </c>
      <c r="C1349" s="3" t="s">
        <v>996</v>
      </c>
      <c r="D1349" s="3" t="s">
        <v>3459</v>
      </c>
      <c r="E1349" s="5">
        <v>34346.0</v>
      </c>
      <c r="F1349" s="3">
        <v>3.8002836E7</v>
      </c>
      <c r="G1349" s="3">
        <v>3.512474703E9</v>
      </c>
      <c r="H1349" s="3" t="s">
        <v>27</v>
      </c>
      <c r="I1349" s="3" t="s">
        <v>28</v>
      </c>
      <c r="K1349" s="3" t="s">
        <v>1132</v>
      </c>
      <c r="L1349" s="3" t="s">
        <v>1133</v>
      </c>
      <c r="M1349" s="3" t="s">
        <v>1137</v>
      </c>
      <c r="R1349" s="7" t="str">
        <f>IF(H1349="","",VLOOKUP(H1349,'Hoja 9'!$A$1:$B$255,2,0))</f>
        <v>BOCA EN BOCA</v>
      </c>
      <c r="S1349" s="7">
        <f t="shared" si="1"/>
        <v>2025</v>
      </c>
      <c r="T1349" s="7">
        <f t="shared" si="2"/>
        <v>11</v>
      </c>
    </row>
    <row r="1350">
      <c r="A1350" s="4">
        <v>45989.63501190972</v>
      </c>
      <c r="B1350" s="3" t="s">
        <v>1348</v>
      </c>
      <c r="C1350" s="3" t="s">
        <v>844</v>
      </c>
      <c r="D1350" s="3" t="s">
        <v>3460</v>
      </c>
      <c r="E1350" s="5">
        <v>39069.0</v>
      </c>
      <c r="F1350" s="3">
        <v>4.7579917E7</v>
      </c>
      <c r="G1350" s="3">
        <v>3.512140716E9</v>
      </c>
      <c r="H1350" s="3" t="s">
        <v>27</v>
      </c>
      <c r="I1350" s="3" t="s">
        <v>22</v>
      </c>
      <c r="K1350" s="3" t="s">
        <v>1132</v>
      </c>
      <c r="L1350" s="3" t="s">
        <v>3461</v>
      </c>
      <c r="M1350" s="3" t="s">
        <v>1134</v>
      </c>
      <c r="O1350" s="3" t="s">
        <v>58</v>
      </c>
      <c r="R1350" s="7" t="str">
        <f>IF(H1350="","",VLOOKUP(H1350,'Hoja 9'!$A$1:$B$255,2,0))</f>
        <v>BOCA EN BOCA</v>
      </c>
      <c r="S1350" s="7">
        <f t="shared" si="1"/>
        <v>2025</v>
      </c>
      <c r="T1350" s="7">
        <f t="shared" si="2"/>
        <v>11</v>
      </c>
    </row>
    <row r="1351">
      <c r="A1351" s="4">
        <v>45991.93039903935</v>
      </c>
      <c r="B1351" s="3" t="s">
        <v>1301</v>
      </c>
      <c r="C1351" s="3" t="s">
        <v>3462</v>
      </c>
      <c r="D1351" s="3" t="s">
        <v>3463</v>
      </c>
      <c r="E1351" s="5">
        <v>32984.0</v>
      </c>
      <c r="F1351" s="3">
        <v>3.4958254E7</v>
      </c>
      <c r="G1351" s="3">
        <v>3.517507774E9</v>
      </c>
      <c r="H1351" s="3" t="s">
        <v>27</v>
      </c>
      <c r="I1351" s="3" t="s">
        <v>22</v>
      </c>
      <c r="K1351" s="3" t="s">
        <v>1132</v>
      </c>
      <c r="L1351" s="3" t="s">
        <v>1136</v>
      </c>
      <c r="M1351" s="3" t="s">
        <v>1137</v>
      </c>
      <c r="O1351" s="3" t="s">
        <v>58</v>
      </c>
      <c r="R1351" s="7" t="str">
        <f>IF(H1351="","",VLOOKUP(H1351,'Hoja 9'!$A$1:$B$255,2,0))</f>
        <v>BOCA EN BOCA</v>
      </c>
      <c r="S1351" s="7">
        <f t="shared" si="1"/>
        <v>2025</v>
      </c>
      <c r="T1351" s="7">
        <f t="shared" si="2"/>
        <v>11</v>
      </c>
    </row>
    <row r="1352">
      <c r="A1352" s="4">
        <v>45992.38548442129</v>
      </c>
      <c r="B1352" s="3" t="s">
        <v>733</v>
      </c>
      <c r="C1352" s="3" t="s">
        <v>1886</v>
      </c>
      <c r="D1352" s="3" t="s">
        <v>3464</v>
      </c>
      <c r="E1352" s="5">
        <v>20344.0</v>
      </c>
      <c r="F1352" s="3">
        <v>1.1972572E7</v>
      </c>
      <c r="G1352" s="3">
        <v>3.516014683E9</v>
      </c>
      <c r="H1352" s="3" t="s">
        <v>27</v>
      </c>
      <c r="I1352" s="3" t="s">
        <v>22</v>
      </c>
      <c r="K1352" s="3" t="s">
        <v>1132</v>
      </c>
      <c r="L1352" s="3" t="s">
        <v>2660</v>
      </c>
      <c r="M1352" s="3" t="s">
        <v>1137</v>
      </c>
      <c r="O1352" s="3" t="s">
        <v>23</v>
      </c>
      <c r="R1352" s="7" t="str">
        <f>IF(H1352="","",VLOOKUP(H1352,'Hoja 9'!$A$1:$B$255,2,0))</f>
        <v>BOCA EN BOCA</v>
      </c>
      <c r="S1352" s="7">
        <f t="shared" si="1"/>
        <v>2025</v>
      </c>
      <c r="T1352" s="7">
        <f t="shared" si="2"/>
        <v>12</v>
      </c>
    </row>
    <row r="1353">
      <c r="A1353" s="4">
        <v>45992.48645626157</v>
      </c>
      <c r="B1353" s="3" t="s">
        <v>370</v>
      </c>
      <c r="C1353" s="3" t="s">
        <v>46</v>
      </c>
      <c r="D1353" s="3" t="s">
        <v>3465</v>
      </c>
      <c r="E1353" s="5">
        <v>27955.0</v>
      </c>
      <c r="F1353" s="3">
        <v>2.5286386E7</v>
      </c>
      <c r="G1353" s="3">
        <v>3.515941171E9</v>
      </c>
      <c r="H1353" s="3" t="s">
        <v>44</v>
      </c>
      <c r="I1353" s="3" t="s">
        <v>22</v>
      </c>
      <c r="K1353" s="3" t="s">
        <v>1132</v>
      </c>
      <c r="L1353" s="3" t="s">
        <v>3466</v>
      </c>
      <c r="M1353" s="3" t="s">
        <v>1134</v>
      </c>
      <c r="O1353" s="3" t="s">
        <v>68</v>
      </c>
      <c r="R1353" s="7" t="str">
        <f>IF(H1353="","",VLOOKUP(H1353,'Hoja 9'!$A$1:$B$255,2,0))</f>
        <v>GIMNASIO</v>
      </c>
      <c r="S1353" s="7">
        <f t="shared" si="1"/>
        <v>2025</v>
      </c>
      <c r="T1353" s="7">
        <f t="shared" si="2"/>
        <v>12</v>
      </c>
    </row>
    <row r="1354">
      <c r="A1354" s="4">
        <v>45993.388170555554</v>
      </c>
      <c r="B1354" s="3" t="s">
        <v>3467</v>
      </c>
      <c r="C1354" s="3" t="s">
        <v>3318</v>
      </c>
      <c r="D1354" s="3" t="s">
        <v>3468</v>
      </c>
      <c r="E1354" s="5">
        <v>36280.0</v>
      </c>
      <c r="F1354" s="3">
        <v>4.1847446E7</v>
      </c>
      <c r="G1354" s="3">
        <f>4591986572</f>
        <v>4591986572</v>
      </c>
      <c r="H1354" s="3" t="s">
        <v>44</v>
      </c>
      <c r="I1354" s="3" t="s">
        <v>28</v>
      </c>
      <c r="K1354" s="3" t="s">
        <v>1132</v>
      </c>
      <c r="L1354" s="3" t="s">
        <v>1332</v>
      </c>
      <c r="M1354" s="3" t="s">
        <v>1213</v>
      </c>
      <c r="R1354" s="7" t="str">
        <f>IF(H1354="","",VLOOKUP(H1354,'Hoja 9'!$A$1:$B$255,2,0))</f>
        <v>GIMNASIO</v>
      </c>
      <c r="S1354" s="7">
        <f t="shared" si="1"/>
        <v>2025</v>
      </c>
      <c r="T1354" s="7">
        <f t="shared" si="2"/>
        <v>12</v>
      </c>
    </row>
    <row r="1355">
      <c r="A1355" s="4">
        <v>45993.47161439815</v>
      </c>
      <c r="B1355" s="3" t="s">
        <v>3469</v>
      </c>
      <c r="C1355" s="3" t="s">
        <v>1650</v>
      </c>
      <c r="D1355" s="3" t="s">
        <v>3470</v>
      </c>
      <c r="E1355" s="5">
        <v>35040.0</v>
      </c>
      <c r="F1355" s="3">
        <v>4.0245709E7</v>
      </c>
      <c r="G1355" s="3">
        <v>3.512108497E9</v>
      </c>
      <c r="H1355" s="3" t="s">
        <v>44</v>
      </c>
      <c r="I1355" s="3" t="s">
        <v>22</v>
      </c>
      <c r="K1355" s="3" t="s">
        <v>1132</v>
      </c>
      <c r="L1355" s="3" t="s">
        <v>1133</v>
      </c>
      <c r="M1355" s="3" t="s">
        <v>1134</v>
      </c>
      <c r="O1355" s="3" t="s">
        <v>58</v>
      </c>
      <c r="R1355" s="7" t="str">
        <f>IF(H1355="","",VLOOKUP(H1355,'Hoja 9'!$A$1:$B$255,2,0))</f>
        <v>GIMNASIO</v>
      </c>
      <c r="S1355" s="7">
        <f t="shared" si="1"/>
        <v>2025</v>
      </c>
      <c r="T1355" s="7">
        <f t="shared" si="2"/>
        <v>12</v>
      </c>
    </row>
    <row r="1356">
      <c r="A1356" s="4">
        <v>45994.47267310185</v>
      </c>
      <c r="B1356" s="3" t="s">
        <v>2390</v>
      </c>
      <c r="C1356" s="3" t="s">
        <v>3471</v>
      </c>
      <c r="D1356" s="3" t="s">
        <v>3472</v>
      </c>
      <c r="E1356" s="5">
        <v>34242.0</v>
      </c>
      <c r="F1356" s="3">
        <v>3.7821176E7</v>
      </c>
      <c r="G1356" s="3">
        <v>3.516693994E9</v>
      </c>
      <c r="H1356" s="3" t="s">
        <v>21</v>
      </c>
      <c r="I1356" s="3" t="s">
        <v>22</v>
      </c>
      <c r="K1356" s="3" t="s">
        <v>1132</v>
      </c>
      <c r="L1356" s="3" t="s">
        <v>1133</v>
      </c>
      <c r="M1356" s="3" t="s">
        <v>1134</v>
      </c>
      <c r="O1356" s="3" t="s">
        <v>3091</v>
      </c>
      <c r="R1356" s="7" t="str">
        <f>IF(H1356="","",VLOOKUP(H1356,'Hoja 9'!$A$1:$B$255,2,0))</f>
        <v>GOOGLE</v>
      </c>
      <c r="S1356" s="7">
        <f t="shared" si="1"/>
        <v>2025</v>
      </c>
      <c r="T1356" s="7">
        <f t="shared" si="2"/>
        <v>12</v>
      </c>
    </row>
    <row r="1357">
      <c r="A1357" s="4">
        <v>45995.453349166666</v>
      </c>
      <c r="B1357" s="3" t="s">
        <v>3473</v>
      </c>
      <c r="C1357" s="3" t="s">
        <v>2355</v>
      </c>
      <c r="D1357" s="3" t="s">
        <v>3474</v>
      </c>
      <c r="E1357" s="5">
        <v>19065.0</v>
      </c>
      <c r="F1357" s="3">
        <v>1.0174335E7</v>
      </c>
      <c r="G1357" s="3">
        <v>3.513482139E9</v>
      </c>
      <c r="H1357" s="3" t="s">
        <v>44</v>
      </c>
      <c r="I1357" s="3" t="s">
        <v>28</v>
      </c>
      <c r="K1357" s="3" t="s">
        <v>1145</v>
      </c>
      <c r="R1357" s="7" t="str">
        <f>IF(H1357="","",VLOOKUP(H1357,'Hoja 9'!$A$1:$B$255,2,0))</f>
        <v>GIMNASIO</v>
      </c>
      <c r="S1357" s="7">
        <f t="shared" si="1"/>
        <v>2025</v>
      </c>
      <c r="T1357" s="7">
        <f t="shared" si="2"/>
        <v>12</v>
      </c>
    </row>
    <row r="1358">
      <c r="A1358" s="4">
        <v>45995.69096425926</v>
      </c>
      <c r="B1358" s="3" t="s">
        <v>2357</v>
      </c>
      <c r="C1358" s="3" t="s">
        <v>3475</v>
      </c>
      <c r="E1358" s="5">
        <v>24456.0</v>
      </c>
      <c r="F1358" s="3">
        <v>1.7845675E7</v>
      </c>
      <c r="G1358" s="3">
        <v>3.513138566E9</v>
      </c>
      <c r="H1358" s="3" t="s">
        <v>27</v>
      </c>
      <c r="I1358" s="3" t="s">
        <v>28</v>
      </c>
      <c r="K1358" s="3" t="s">
        <v>1145</v>
      </c>
      <c r="R1358" s="7" t="str">
        <f>IF(H1358="","",VLOOKUP(H1358,'Hoja 9'!$A$1:$B$255,2,0))</f>
        <v>BOCA EN BOCA</v>
      </c>
      <c r="S1358" s="7">
        <f t="shared" si="1"/>
        <v>2025</v>
      </c>
      <c r="T1358" s="7">
        <f t="shared" si="2"/>
        <v>12</v>
      </c>
    </row>
    <row r="1359">
      <c r="A1359" s="4">
        <v>45995.8074453588</v>
      </c>
      <c r="B1359" s="3" t="s">
        <v>3476</v>
      </c>
      <c r="C1359" s="3" t="s">
        <v>727</v>
      </c>
      <c r="D1359" s="3" t="s">
        <v>3477</v>
      </c>
      <c r="E1359" s="5">
        <v>41520.0</v>
      </c>
      <c r="F1359" s="3">
        <v>5.3264049E7</v>
      </c>
      <c r="G1359" s="3">
        <v>3.515941182E9</v>
      </c>
      <c r="H1359" s="3" t="s">
        <v>21</v>
      </c>
      <c r="I1359" s="3" t="s">
        <v>22</v>
      </c>
      <c r="K1359" s="3" t="s">
        <v>1145</v>
      </c>
      <c r="O1359" s="3" t="s">
        <v>149</v>
      </c>
      <c r="R1359" s="7" t="str">
        <f>IF(H1359="","",VLOOKUP(H1359,'Hoja 9'!$A$1:$B$255,2,0))</f>
        <v>GOOGLE</v>
      </c>
      <c r="S1359" s="7">
        <f t="shared" si="1"/>
        <v>2025</v>
      </c>
      <c r="T1359" s="7">
        <f t="shared" si="2"/>
        <v>12</v>
      </c>
    </row>
    <row r="1360">
      <c r="A1360" s="4">
        <v>45996.44645564815</v>
      </c>
      <c r="B1360" s="3" t="s">
        <v>3478</v>
      </c>
      <c r="C1360" s="3" t="s">
        <v>3479</v>
      </c>
      <c r="D1360" s="3" t="s">
        <v>3480</v>
      </c>
      <c r="E1360" s="5">
        <v>34507.0</v>
      </c>
      <c r="F1360" s="3">
        <v>3.8332076E7</v>
      </c>
      <c r="G1360" s="3">
        <v>3.513064087E9</v>
      </c>
      <c r="H1360" s="3" t="s">
        <v>21</v>
      </c>
      <c r="I1360" s="3" t="s">
        <v>22</v>
      </c>
      <c r="K1360" s="3" t="s">
        <v>1132</v>
      </c>
      <c r="L1360" s="3" t="s">
        <v>1133</v>
      </c>
      <c r="M1360" s="3" t="s">
        <v>1134</v>
      </c>
      <c r="O1360" s="3" t="s">
        <v>23</v>
      </c>
      <c r="R1360" s="7" t="str">
        <f>IF(H1360="","",VLOOKUP(H1360,'Hoja 9'!$A$1:$B$255,2,0))</f>
        <v>GOOGLE</v>
      </c>
      <c r="S1360" s="7">
        <f t="shared" si="1"/>
        <v>2025</v>
      </c>
      <c r="T1360" s="7">
        <f t="shared" si="2"/>
        <v>12</v>
      </c>
    </row>
    <row r="1361">
      <c r="A1361" s="4">
        <v>45996.455979583334</v>
      </c>
      <c r="B1361" s="3" t="s">
        <v>3481</v>
      </c>
      <c r="C1361" s="3" t="s">
        <v>60</v>
      </c>
      <c r="D1361" s="3" t="s">
        <v>3482</v>
      </c>
      <c r="E1361" s="5">
        <v>31506.0</v>
      </c>
      <c r="F1361" s="3">
        <v>3.2239186E7</v>
      </c>
      <c r="G1361" s="3">
        <v>3.515573241E9</v>
      </c>
      <c r="H1361" s="3" t="s">
        <v>27</v>
      </c>
      <c r="I1361" s="3" t="s">
        <v>22</v>
      </c>
      <c r="K1361" s="3" t="s">
        <v>1132</v>
      </c>
      <c r="L1361" s="3" t="s">
        <v>1133</v>
      </c>
      <c r="M1361" s="3" t="s">
        <v>1134</v>
      </c>
      <c r="O1361" s="3" t="s">
        <v>149</v>
      </c>
      <c r="R1361" s="7" t="str">
        <f>IF(H1361="","",VLOOKUP(H1361,'Hoja 9'!$A$1:$B$255,2,0))</f>
        <v>BOCA EN BOCA</v>
      </c>
      <c r="S1361" s="7">
        <f t="shared" si="1"/>
        <v>2025</v>
      </c>
      <c r="T1361" s="7">
        <f t="shared" si="2"/>
        <v>12</v>
      </c>
    </row>
    <row r="1362">
      <c r="A1362" s="4">
        <v>46000.51494944445</v>
      </c>
      <c r="B1362" s="3" t="s">
        <v>3483</v>
      </c>
      <c r="C1362" s="3" t="s">
        <v>3484</v>
      </c>
      <c r="D1362" s="3" t="s">
        <v>3485</v>
      </c>
      <c r="E1362" s="5">
        <v>37501.0</v>
      </c>
      <c r="F1362" s="3">
        <v>4.4274951E7</v>
      </c>
      <c r="G1362" s="3">
        <v>3.516888396E9</v>
      </c>
      <c r="H1362" s="3" t="s">
        <v>44</v>
      </c>
      <c r="I1362" s="3" t="s">
        <v>28</v>
      </c>
      <c r="K1362" s="3" t="s">
        <v>1132</v>
      </c>
      <c r="L1362" s="3" t="s">
        <v>3486</v>
      </c>
      <c r="M1362" s="3" t="s">
        <v>1213</v>
      </c>
      <c r="R1362" s="7" t="str">
        <f>IF(H1362="","",VLOOKUP(H1362,'Hoja 9'!$A$1:$B$255,2,0))</f>
        <v>GIMNASIO</v>
      </c>
      <c r="S1362" s="7">
        <f t="shared" si="1"/>
        <v>2025</v>
      </c>
      <c r="T1362" s="7">
        <f t="shared" si="2"/>
        <v>12</v>
      </c>
    </row>
    <row r="1363">
      <c r="A1363" s="4">
        <v>46000.70059337963</v>
      </c>
      <c r="B1363" s="3" t="s">
        <v>3487</v>
      </c>
      <c r="C1363" s="3" t="s">
        <v>3488</v>
      </c>
      <c r="D1363" s="3" t="s">
        <v>3489</v>
      </c>
      <c r="E1363" s="5">
        <v>39963.0</v>
      </c>
      <c r="F1363" s="3">
        <v>4.9439276E7</v>
      </c>
      <c r="G1363" s="3">
        <v>3.513867695E9</v>
      </c>
      <c r="H1363" s="3" t="s">
        <v>148</v>
      </c>
      <c r="I1363" s="3" t="s">
        <v>22</v>
      </c>
      <c r="K1363" s="3" t="s">
        <v>1132</v>
      </c>
      <c r="L1363" s="3" t="s">
        <v>1140</v>
      </c>
      <c r="M1363" s="3" t="s">
        <v>1213</v>
      </c>
      <c r="O1363" s="3" t="s">
        <v>3490</v>
      </c>
      <c r="R1363" s="7" t="str">
        <f>IF(H1363="","",VLOOKUP(H1363,'Hoja 9'!$A$1:$B$255,2,0))</f>
        <v>OBRA SOCIAL</v>
      </c>
      <c r="S1363" s="7">
        <f t="shared" si="1"/>
        <v>2025</v>
      </c>
      <c r="T1363" s="7">
        <f t="shared" si="2"/>
        <v>12</v>
      </c>
    </row>
    <row r="1364">
      <c r="A1364" s="4">
        <v>46000.72095768519</v>
      </c>
      <c r="B1364" s="3" t="s">
        <v>3491</v>
      </c>
      <c r="C1364" s="3" t="s">
        <v>584</v>
      </c>
      <c r="D1364" s="3" t="s">
        <v>3492</v>
      </c>
      <c r="E1364" s="5">
        <v>33799.0</v>
      </c>
      <c r="F1364" s="3">
        <v>3.8106084E7</v>
      </c>
      <c r="G1364" s="3">
        <v>3.513490859E9</v>
      </c>
      <c r="H1364" s="3" t="s">
        <v>21</v>
      </c>
      <c r="I1364" s="3" t="s">
        <v>28</v>
      </c>
      <c r="K1364" s="3" t="s">
        <v>1145</v>
      </c>
      <c r="R1364" s="7" t="str">
        <f>IF(H1364="","",VLOOKUP(H1364,'Hoja 9'!$A$1:$B$255,2,0))</f>
        <v>GOOGLE</v>
      </c>
      <c r="S1364" s="7">
        <f t="shared" si="1"/>
        <v>2025</v>
      </c>
      <c r="T1364" s="7">
        <f t="shared" si="2"/>
        <v>12</v>
      </c>
    </row>
    <row r="1365">
      <c r="A1365" s="4">
        <v>46000.75605439815</v>
      </c>
      <c r="B1365" s="3" t="s">
        <v>3493</v>
      </c>
      <c r="C1365" s="3" t="s">
        <v>3494</v>
      </c>
      <c r="D1365" s="3" t="s">
        <v>3495</v>
      </c>
      <c r="E1365" s="5">
        <v>34989.0</v>
      </c>
      <c r="F1365" s="3">
        <v>3.8768976E7</v>
      </c>
      <c r="G1365" s="3">
        <v>3.43645495E9</v>
      </c>
      <c r="H1365" s="3" t="s">
        <v>27</v>
      </c>
      <c r="I1365" s="3" t="s">
        <v>28</v>
      </c>
      <c r="K1365" s="3" t="s">
        <v>1132</v>
      </c>
      <c r="L1365" s="3" t="s">
        <v>1133</v>
      </c>
      <c r="M1365" s="3" t="s">
        <v>1134</v>
      </c>
      <c r="R1365" s="7" t="str">
        <f>IF(H1365="","",VLOOKUP(H1365,'Hoja 9'!$A$1:$B$255,2,0))</f>
        <v>BOCA EN BOCA</v>
      </c>
      <c r="S1365" s="7">
        <f t="shared" si="1"/>
        <v>2025</v>
      </c>
      <c r="T1365" s="7">
        <f t="shared" si="2"/>
        <v>12</v>
      </c>
    </row>
    <row r="1366">
      <c r="A1366" s="4">
        <v>46000.7573065162</v>
      </c>
      <c r="B1366" s="3" t="s">
        <v>100</v>
      </c>
      <c r="C1366" s="3" t="s">
        <v>212</v>
      </c>
      <c r="D1366" s="3" t="s">
        <v>3496</v>
      </c>
      <c r="E1366" s="5">
        <v>36842.0</v>
      </c>
      <c r="F1366" s="3">
        <v>4.3134802E7</v>
      </c>
      <c r="G1366" s="3">
        <v>3.571327775E9</v>
      </c>
      <c r="H1366" s="3" t="s">
        <v>27</v>
      </c>
      <c r="I1366" s="3" t="s">
        <v>22</v>
      </c>
      <c r="K1366" s="3" t="s">
        <v>1132</v>
      </c>
      <c r="L1366" s="3" t="s">
        <v>3497</v>
      </c>
      <c r="M1366" s="3" t="s">
        <v>1134</v>
      </c>
      <c r="O1366" s="3" t="s">
        <v>23</v>
      </c>
      <c r="R1366" s="7" t="str">
        <f>IF(H1366="","",VLOOKUP(H1366,'Hoja 9'!$A$1:$B$255,2,0))</f>
        <v>BOCA EN BOCA</v>
      </c>
      <c r="S1366" s="7">
        <f t="shared" si="1"/>
        <v>2025</v>
      </c>
      <c r="T1366" s="7">
        <f t="shared" si="2"/>
        <v>12</v>
      </c>
    </row>
    <row r="1367">
      <c r="A1367" s="4">
        <v>46002.67977726852</v>
      </c>
      <c r="B1367" s="3" t="s">
        <v>3498</v>
      </c>
      <c r="C1367" s="3" t="s">
        <v>3499</v>
      </c>
      <c r="D1367" s="3" t="s">
        <v>3500</v>
      </c>
      <c r="E1367" s="5">
        <v>27129.0</v>
      </c>
      <c r="F1367" s="8">
        <v>2.3909096E7</v>
      </c>
      <c r="G1367" s="3">
        <v>3.515919629E9</v>
      </c>
      <c r="H1367" s="3" t="s">
        <v>21</v>
      </c>
      <c r="I1367" s="3" t="s">
        <v>22</v>
      </c>
      <c r="K1367" s="3" t="s">
        <v>1132</v>
      </c>
      <c r="L1367" s="3" t="s">
        <v>3501</v>
      </c>
      <c r="M1367" s="3" t="s">
        <v>1134</v>
      </c>
      <c r="O1367" s="3" t="s">
        <v>149</v>
      </c>
      <c r="R1367" s="7" t="str">
        <f>IF(H1367="","",VLOOKUP(H1367,'Hoja 9'!$A$1:$B$255,2,0))</f>
        <v>GOOGLE</v>
      </c>
      <c r="S1367" s="7">
        <f t="shared" si="1"/>
        <v>2025</v>
      </c>
      <c r="T1367" s="7">
        <f t="shared" si="2"/>
        <v>12</v>
      </c>
    </row>
    <row r="1368">
      <c r="A1368" s="4">
        <v>46002.72460984954</v>
      </c>
      <c r="B1368" s="3" t="s">
        <v>3502</v>
      </c>
      <c r="C1368" s="3" t="s">
        <v>645</v>
      </c>
      <c r="D1368" s="3" t="s">
        <v>3503</v>
      </c>
      <c r="E1368" s="5">
        <v>33509.0</v>
      </c>
      <c r="F1368" s="3">
        <v>1.9070296E7</v>
      </c>
      <c r="G1368" s="3">
        <v>3.513845132E9</v>
      </c>
      <c r="H1368" s="3" t="s">
        <v>44</v>
      </c>
      <c r="I1368" s="3" t="s">
        <v>22</v>
      </c>
      <c r="K1368" s="3" t="s">
        <v>1132</v>
      </c>
      <c r="L1368" s="3" t="s">
        <v>1133</v>
      </c>
      <c r="M1368" s="3" t="s">
        <v>1134</v>
      </c>
      <c r="O1368" s="3" t="s">
        <v>58</v>
      </c>
      <c r="R1368" s="7" t="str">
        <f>IF(H1368="","",VLOOKUP(H1368,'Hoja 9'!$A$1:$B$255,2,0))</f>
        <v>GIMNASIO</v>
      </c>
      <c r="S1368" s="7">
        <f t="shared" si="1"/>
        <v>2025</v>
      </c>
      <c r="T1368" s="7">
        <f t="shared" si="2"/>
        <v>12</v>
      </c>
    </row>
    <row r="1369">
      <c r="A1369" s="4">
        <v>46003.46015486111</v>
      </c>
      <c r="B1369" s="3" t="s">
        <v>3504</v>
      </c>
      <c r="C1369" s="3" t="s">
        <v>867</v>
      </c>
      <c r="D1369" s="3" t="s">
        <v>3505</v>
      </c>
      <c r="E1369" s="5">
        <v>38581.0</v>
      </c>
      <c r="F1369" s="3">
        <v>4.6505649E7</v>
      </c>
      <c r="G1369" s="3">
        <v>3.512623147E9</v>
      </c>
      <c r="H1369" s="3" t="s">
        <v>27</v>
      </c>
      <c r="I1369" s="3" t="s">
        <v>28</v>
      </c>
      <c r="K1369" s="3" t="s">
        <v>1132</v>
      </c>
      <c r="L1369" s="3" t="s">
        <v>1136</v>
      </c>
      <c r="M1369" s="3" t="s">
        <v>1213</v>
      </c>
      <c r="R1369" s="7" t="str">
        <f>IF(H1369="","",VLOOKUP(H1369,'Hoja 9'!$A$1:$B$255,2,0))</f>
        <v>BOCA EN BOCA</v>
      </c>
      <c r="S1369" s="7">
        <f t="shared" si="1"/>
        <v>2025</v>
      </c>
      <c r="T1369" s="7">
        <f t="shared" si="2"/>
        <v>12</v>
      </c>
    </row>
    <row r="1370">
      <c r="A1370" s="4">
        <v>46006.472018506945</v>
      </c>
      <c r="B1370" s="3" t="s">
        <v>3506</v>
      </c>
      <c r="C1370" s="3" t="s">
        <v>2767</v>
      </c>
      <c r="D1370" s="3" t="s">
        <v>3507</v>
      </c>
      <c r="E1370" s="5">
        <v>30541.0</v>
      </c>
      <c r="F1370" s="3">
        <v>3.0407071E7</v>
      </c>
      <c r="G1370" s="3">
        <v>3.516063713E9</v>
      </c>
      <c r="H1370" s="3" t="s">
        <v>148</v>
      </c>
      <c r="I1370" s="3" t="s">
        <v>22</v>
      </c>
      <c r="K1370" s="3" t="s">
        <v>1132</v>
      </c>
      <c r="L1370" s="3" t="s">
        <v>1422</v>
      </c>
      <c r="M1370" s="3" t="s">
        <v>1137</v>
      </c>
      <c r="O1370" s="3" t="s">
        <v>149</v>
      </c>
      <c r="R1370" s="7" t="str">
        <f>IF(H1370="","",VLOOKUP(H1370,'Hoja 9'!$A$1:$B$255,2,0))</f>
        <v>OBRA SOCIAL</v>
      </c>
      <c r="S1370" s="7">
        <f t="shared" si="1"/>
        <v>2025</v>
      </c>
      <c r="T1370" s="7">
        <f t="shared" si="2"/>
        <v>12</v>
      </c>
    </row>
    <row r="1371">
      <c r="A1371" s="4">
        <v>46006.814658958334</v>
      </c>
      <c r="B1371" s="3" t="s">
        <v>1065</v>
      </c>
      <c r="C1371" s="3" t="s">
        <v>60</v>
      </c>
      <c r="D1371" s="3" t="s">
        <v>1067</v>
      </c>
      <c r="E1371" s="5">
        <v>28796.0</v>
      </c>
      <c r="F1371" s="3">
        <v>2.7013264E7</v>
      </c>
      <c r="G1371" s="3">
        <v>3.512503228E9</v>
      </c>
      <c r="H1371" s="3" t="s">
        <v>44</v>
      </c>
      <c r="I1371" s="3" t="s">
        <v>22</v>
      </c>
      <c r="K1371" s="3" t="s">
        <v>1132</v>
      </c>
      <c r="L1371" s="3" t="s">
        <v>2387</v>
      </c>
      <c r="M1371" s="3" t="s">
        <v>1134</v>
      </c>
      <c r="O1371" s="3" t="s">
        <v>359</v>
      </c>
      <c r="R1371" s="7" t="str">
        <f>IF(H1371="","",VLOOKUP(H1371,'Hoja 9'!$A$1:$B$255,2,0))</f>
        <v>GIMNASIO</v>
      </c>
      <c r="S1371" s="7">
        <f t="shared" si="1"/>
        <v>2025</v>
      </c>
      <c r="T1371" s="7">
        <f t="shared" si="2"/>
        <v>12</v>
      </c>
    </row>
    <row r="1372">
      <c r="A1372" s="4">
        <v>46007.43429651621</v>
      </c>
      <c r="B1372" s="3" t="s">
        <v>3508</v>
      </c>
      <c r="C1372" s="3" t="s">
        <v>1093</v>
      </c>
      <c r="D1372" s="3" t="s">
        <v>3509</v>
      </c>
      <c r="E1372" s="5">
        <v>28478.0</v>
      </c>
      <c r="F1372" s="3">
        <v>2.6180609E7</v>
      </c>
      <c r="G1372" s="3">
        <v>3.512170609E9</v>
      </c>
      <c r="H1372" s="3" t="s">
        <v>27</v>
      </c>
      <c r="I1372" s="3" t="s">
        <v>22</v>
      </c>
      <c r="K1372" s="3" t="s">
        <v>1132</v>
      </c>
      <c r="L1372" s="3" t="s">
        <v>1133</v>
      </c>
      <c r="M1372" s="3" t="s">
        <v>1137</v>
      </c>
      <c r="O1372" s="3" t="s">
        <v>464</v>
      </c>
      <c r="R1372" s="7" t="str">
        <f>IF(H1372="","",VLOOKUP(H1372,'Hoja 9'!$A$1:$B$255,2,0))</f>
        <v>BOCA EN BOCA</v>
      </c>
      <c r="S1372" s="7">
        <f t="shared" si="1"/>
        <v>2025</v>
      </c>
      <c r="T1372" s="7">
        <f t="shared" si="2"/>
        <v>12</v>
      </c>
    </row>
    <row r="1373">
      <c r="A1373" s="4">
        <v>46007.438922395835</v>
      </c>
      <c r="B1373" s="3" t="s">
        <v>790</v>
      </c>
      <c r="C1373" s="3" t="s">
        <v>60</v>
      </c>
      <c r="D1373" s="3" t="s">
        <v>3510</v>
      </c>
      <c r="E1373" s="5">
        <v>27557.0</v>
      </c>
      <c r="F1373" s="3">
        <v>2.4629108E7</v>
      </c>
      <c r="G1373" s="3">
        <v>3.51718008E9</v>
      </c>
      <c r="H1373" s="3" t="s">
        <v>44</v>
      </c>
      <c r="I1373" s="3" t="s">
        <v>22</v>
      </c>
      <c r="K1373" s="3" t="s">
        <v>1132</v>
      </c>
      <c r="L1373" s="3" t="s">
        <v>1133</v>
      </c>
      <c r="M1373" s="3" t="s">
        <v>1134</v>
      </c>
      <c r="O1373" s="3" t="s">
        <v>957</v>
      </c>
      <c r="R1373" s="7" t="str">
        <f>IF(H1373="","",VLOOKUP(H1373,'Hoja 9'!$A$1:$B$255,2,0))</f>
        <v>GIMNASIO</v>
      </c>
      <c r="S1373" s="7">
        <f t="shared" si="1"/>
        <v>2025</v>
      </c>
      <c r="T1373" s="7">
        <f t="shared" si="2"/>
        <v>12</v>
      </c>
    </row>
    <row r="1374">
      <c r="A1374" s="4">
        <v>46007.67630788195</v>
      </c>
      <c r="B1374" s="3" t="s">
        <v>3511</v>
      </c>
      <c r="C1374" s="3" t="s">
        <v>3512</v>
      </c>
      <c r="D1374" s="3" t="s">
        <v>3513</v>
      </c>
      <c r="E1374" s="5">
        <v>19507.0</v>
      </c>
      <c r="F1374" s="3">
        <v>1.0902256E7</v>
      </c>
      <c r="G1374" s="3">
        <v>3.513936568E9</v>
      </c>
      <c r="H1374" s="3" t="s">
        <v>27</v>
      </c>
      <c r="I1374" s="3" t="s">
        <v>22</v>
      </c>
      <c r="K1374" s="3" t="s">
        <v>1132</v>
      </c>
      <c r="L1374" s="3" t="s">
        <v>3514</v>
      </c>
      <c r="M1374" s="3" t="s">
        <v>1134</v>
      </c>
      <c r="O1374" s="3" t="s">
        <v>68</v>
      </c>
      <c r="R1374" s="7" t="str">
        <f>IF(H1374="","",VLOOKUP(H1374,'Hoja 9'!$A$1:$B$255,2,0))</f>
        <v>BOCA EN BOCA</v>
      </c>
      <c r="S1374" s="7">
        <f t="shared" si="1"/>
        <v>2025</v>
      </c>
      <c r="T1374" s="7">
        <f t="shared" si="2"/>
        <v>12</v>
      </c>
    </row>
    <row r="1375">
      <c r="A1375" s="4">
        <v>46007.69767902778</v>
      </c>
      <c r="B1375" s="3" t="s">
        <v>3453</v>
      </c>
      <c r="C1375" s="3" t="s">
        <v>3515</v>
      </c>
      <c r="D1375" s="3" t="s">
        <v>3454</v>
      </c>
      <c r="E1375" s="5">
        <v>41255.0</v>
      </c>
      <c r="F1375" s="3">
        <v>5.2466852E7</v>
      </c>
      <c r="G1375" s="3">
        <v>3.512454625E9</v>
      </c>
      <c r="H1375" s="3" t="s">
        <v>27</v>
      </c>
      <c r="I1375" s="3" t="s">
        <v>22</v>
      </c>
      <c r="K1375" s="3" t="s">
        <v>1132</v>
      </c>
      <c r="L1375" s="3" t="s">
        <v>1140</v>
      </c>
      <c r="M1375" s="3" t="s">
        <v>1134</v>
      </c>
      <c r="O1375" s="3" t="s">
        <v>76</v>
      </c>
      <c r="R1375" s="7" t="str">
        <f>IF(H1375="","",VLOOKUP(H1375,'Hoja 9'!$A$1:$B$255,2,0))</f>
        <v>BOCA EN BOCA</v>
      </c>
      <c r="S1375" s="7">
        <f t="shared" si="1"/>
        <v>2025</v>
      </c>
      <c r="T1375" s="7">
        <f t="shared" si="2"/>
        <v>12</v>
      </c>
    </row>
    <row r="1376">
      <c r="A1376" s="4">
        <v>46007.76160146991</v>
      </c>
      <c r="B1376" s="3" t="s">
        <v>3516</v>
      </c>
      <c r="C1376" s="3" t="s">
        <v>2832</v>
      </c>
      <c r="E1376" s="5">
        <v>19561.0</v>
      </c>
      <c r="F1376" s="3">
        <v>1.073876E7</v>
      </c>
      <c r="G1376" s="3">
        <v>3.515464496E9</v>
      </c>
      <c r="H1376" s="3" t="s">
        <v>27</v>
      </c>
      <c r="I1376" s="3" t="s">
        <v>22</v>
      </c>
      <c r="K1376" s="3" t="s">
        <v>1132</v>
      </c>
      <c r="L1376" s="3" t="s">
        <v>3517</v>
      </c>
      <c r="M1376" s="3" t="s">
        <v>1134</v>
      </c>
      <c r="O1376" s="3" t="s">
        <v>68</v>
      </c>
      <c r="R1376" s="7" t="str">
        <f>IF(H1376="","",VLOOKUP(H1376,'Hoja 9'!$A$1:$B$255,2,0))</f>
        <v>BOCA EN BOCA</v>
      </c>
      <c r="S1376" s="7">
        <f t="shared" si="1"/>
        <v>2025</v>
      </c>
      <c r="T1376" s="7">
        <f t="shared" si="2"/>
        <v>12</v>
      </c>
    </row>
    <row r="1377">
      <c r="A1377" s="4">
        <v>46007.77280734954</v>
      </c>
      <c r="B1377" s="3" t="s">
        <v>3518</v>
      </c>
      <c r="C1377" s="3" t="s">
        <v>3519</v>
      </c>
      <c r="D1377" s="3" t="s">
        <v>3520</v>
      </c>
      <c r="E1377" s="5">
        <v>29115.0</v>
      </c>
      <c r="F1377" s="3">
        <v>2.7654702E7</v>
      </c>
      <c r="G1377" s="3">
        <v>1.56351558E8</v>
      </c>
      <c r="H1377" s="3" t="s">
        <v>21</v>
      </c>
      <c r="I1377" s="3" t="s">
        <v>28</v>
      </c>
      <c r="K1377" s="3" t="s">
        <v>1132</v>
      </c>
      <c r="L1377" s="3" t="s">
        <v>3521</v>
      </c>
      <c r="M1377" s="3" t="s">
        <v>1137</v>
      </c>
      <c r="R1377" s="7" t="str">
        <f>IF(H1377="","",VLOOKUP(H1377,'Hoja 9'!$A$1:$B$255,2,0))</f>
        <v>GOOGLE</v>
      </c>
      <c r="S1377" s="7">
        <f t="shared" si="1"/>
        <v>2025</v>
      </c>
      <c r="T1377" s="7">
        <f t="shared" si="2"/>
        <v>12</v>
      </c>
    </row>
    <row r="1378">
      <c r="A1378" s="4">
        <v>46007.80585348379</v>
      </c>
      <c r="B1378" s="3" t="s">
        <v>910</v>
      </c>
      <c r="C1378" s="3" t="s">
        <v>3522</v>
      </c>
      <c r="D1378" s="3" t="s">
        <v>3523</v>
      </c>
      <c r="E1378" s="5">
        <v>39170.0</v>
      </c>
      <c r="F1378" s="3">
        <v>4.766238E7</v>
      </c>
      <c r="G1378" s="3">
        <v>3.51791262E9</v>
      </c>
      <c r="H1378" s="3" t="s">
        <v>44</v>
      </c>
      <c r="I1378" s="3" t="s">
        <v>22</v>
      </c>
      <c r="K1378" s="3" t="s">
        <v>1132</v>
      </c>
      <c r="L1378" s="3" t="s">
        <v>1401</v>
      </c>
      <c r="M1378" s="3" t="s">
        <v>1213</v>
      </c>
      <c r="O1378" s="3" t="s">
        <v>673</v>
      </c>
      <c r="R1378" s="7" t="str">
        <f>IF(H1378="","",VLOOKUP(H1378,'Hoja 9'!$A$1:$B$255,2,0))</f>
        <v>GIMNASIO</v>
      </c>
      <c r="S1378" s="7">
        <f t="shared" si="1"/>
        <v>2025</v>
      </c>
      <c r="T1378" s="7">
        <f t="shared" si="2"/>
        <v>12</v>
      </c>
    </row>
    <row r="1379">
      <c r="A1379" s="4">
        <v>46010.65817196759</v>
      </c>
      <c r="B1379" s="3" t="s">
        <v>3524</v>
      </c>
      <c r="C1379" s="3" t="s">
        <v>2832</v>
      </c>
      <c r="E1379" s="5">
        <v>16694.0</v>
      </c>
      <c r="F1379" s="3">
        <v>7984666.0</v>
      </c>
      <c r="G1379" s="3">
        <v>3.513033804E9</v>
      </c>
      <c r="H1379" s="3" t="s">
        <v>44</v>
      </c>
      <c r="I1379" s="3" t="s">
        <v>22</v>
      </c>
      <c r="K1379" s="3" t="s">
        <v>1132</v>
      </c>
      <c r="L1379" s="3" t="s">
        <v>3525</v>
      </c>
      <c r="M1379" s="3" t="s">
        <v>1134</v>
      </c>
      <c r="O1379" s="3" t="s">
        <v>68</v>
      </c>
      <c r="R1379" s="7" t="str">
        <f>IF(H1379="","",VLOOKUP(H1379,'Hoja 9'!$A$1:$B$255,2,0))</f>
        <v>GIMNASIO</v>
      </c>
      <c r="S1379" s="7">
        <f t="shared" si="1"/>
        <v>2025</v>
      </c>
      <c r="T1379" s="7">
        <f t="shared" si="2"/>
        <v>12</v>
      </c>
    </row>
    <row r="1380">
      <c r="A1380" s="4">
        <v>46013.44193563657</v>
      </c>
      <c r="B1380" s="3" t="s">
        <v>3526</v>
      </c>
      <c r="C1380" s="3" t="s">
        <v>3527</v>
      </c>
      <c r="D1380" s="3" t="s">
        <v>3528</v>
      </c>
      <c r="E1380" s="5">
        <v>29637.0</v>
      </c>
      <c r="F1380" s="3">
        <v>2.8652582E7</v>
      </c>
      <c r="G1380" s="3">
        <v>3.516848849E9</v>
      </c>
      <c r="H1380" s="3" t="s">
        <v>148</v>
      </c>
      <c r="I1380" s="3" t="s">
        <v>28</v>
      </c>
      <c r="K1380" s="3" t="s">
        <v>1132</v>
      </c>
      <c r="L1380" s="3" t="s">
        <v>1404</v>
      </c>
      <c r="M1380" s="3" t="s">
        <v>1137</v>
      </c>
      <c r="R1380" s="7" t="str">
        <f>IF(H1380="","",VLOOKUP(H1380,'Hoja 9'!$A$1:$B$255,2,0))</f>
        <v>OBRA SOCIAL</v>
      </c>
      <c r="S1380" s="7">
        <f t="shared" si="1"/>
        <v>2025</v>
      </c>
      <c r="T1380" s="7">
        <f t="shared" si="2"/>
        <v>12</v>
      </c>
    </row>
    <row r="1381">
      <c r="A1381" s="4">
        <v>46015.57662403936</v>
      </c>
      <c r="B1381" s="3" t="s">
        <v>3529</v>
      </c>
      <c r="C1381" s="3" t="s">
        <v>3530</v>
      </c>
      <c r="D1381" s="3" t="s">
        <v>3531</v>
      </c>
      <c r="E1381" s="5">
        <v>30530.0</v>
      </c>
      <c r="F1381" s="3">
        <v>3.0330837E7</v>
      </c>
      <c r="G1381" s="3">
        <v>3.512138278E9</v>
      </c>
      <c r="H1381" s="3" t="s">
        <v>27</v>
      </c>
      <c r="I1381" s="3" t="s">
        <v>22</v>
      </c>
      <c r="K1381" s="3" t="s">
        <v>1132</v>
      </c>
      <c r="L1381" s="3" t="s">
        <v>3532</v>
      </c>
      <c r="M1381" s="3" t="s">
        <v>1134</v>
      </c>
      <c r="O1381" s="3" t="s">
        <v>3091</v>
      </c>
      <c r="R1381" s="7" t="str">
        <f>IF(H1381="","",VLOOKUP(H1381,'Hoja 9'!$A$1:$B$255,2,0))</f>
        <v>BOCA EN BOCA</v>
      </c>
      <c r="S1381" s="7">
        <f t="shared" si="1"/>
        <v>2025</v>
      </c>
      <c r="T1381" s="7">
        <f t="shared" si="2"/>
        <v>12</v>
      </c>
    </row>
    <row r="1382">
      <c r="A1382" s="4">
        <v>46020.48922771991</v>
      </c>
      <c r="B1382" s="3" t="s">
        <v>3533</v>
      </c>
      <c r="C1382" s="3" t="s">
        <v>3534</v>
      </c>
      <c r="D1382" s="3" t="s">
        <v>3535</v>
      </c>
      <c r="E1382" s="5">
        <v>41064.0</v>
      </c>
      <c r="F1382" s="8">
        <v>5.2227153E7</v>
      </c>
      <c r="G1382" s="3">
        <v>3.517546042E9</v>
      </c>
      <c r="H1382" s="3" t="s">
        <v>27</v>
      </c>
      <c r="I1382" s="3" t="s">
        <v>22</v>
      </c>
      <c r="K1382" s="3" t="s">
        <v>1132</v>
      </c>
      <c r="L1382" s="3" t="s">
        <v>1136</v>
      </c>
      <c r="M1382" s="3" t="s">
        <v>1134</v>
      </c>
      <c r="O1382" s="3" t="s">
        <v>58</v>
      </c>
      <c r="R1382" s="7" t="str">
        <f>IF(H1382="","",VLOOKUP(H1382,'Hoja 9'!$A$1:$B$255,2,0))</f>
        <v>BOCA EN BOCA</v>
      </c>
      <c r="S1382" s="7">
        <f t="shared" si="1"/>
        <v>2025</v>
      </c>
      <c r="T1382" s="7">
        <f t="shared" si="2"/>
        <v>12</v>
      </c>
    </row>
    <row r="1383">
      <c r="A1383" s="4">
        <v>46020.726322268514</v>
      </c>
      <c r="B1383" s="3" t="s">
        <v>1664</v>
      </c>
      <c r="C1383" s="3" t="s">
        <v>3536</v>
      </c>
      <c r="D1383" s="3" t="s">
        <v>3537</v>
      </c>
      <c r="E1383" s="5">
        <v>36354.0</v>
      </c>
      <c r="F1383" s="3">
        <v>4.1993497E7</v>
      </c>
      <c r="G1383" s="3">
        <v>3.513627069E9</v>
      </c>
      <c r="H1383" s="3" t="s">
        <v>3538</v>
      </c>
      <c r="I1383" s="3" t="s">
        <v>28</v>
      </c>
      <c r="K1383" s="3" t="s">
        <v>1145</v>
      </c>
      <c r="R1383" s="7" t="str">
        <f>IF(H1383="","",VLOOKUP(H1383,'Hoja 9'!$A$1:$B$255,2,0))</f>
        <v>GIMNASIO</v>
      </c>
      <c r="S1383" s="7">
        <f t="shared" si="1"/>
        <v>2025</v>
      </c>
      <c r="T1383" s="7">
        <f t="shared" si="2"/>
        <v>12</v>
      </c>
    </row>
    <row r="1384">
      <c r="A1384" s="4">
        <v>46021.398070995376</v>
      </c>
      <c r="B1384" s="3" t="s">
        <v>3539</v>
      </c>
      <c r="C1384" s="3" t="s">
        <v>108</v>
      </c>
      <c r="D1384" s="3" t="s">
        <v>3540</v>
      </c>
      <c r="E1384" s="5">
        <v>29557.0</v>
      </c>
      <c r="F1384" s="3">
        <v>2.8428874E7</v>
      </c>
      <c r="G1384" s="3">
        <v>3.512676241E9</v>
      </c>
      <c r="H1384" s="3" t="s">
        <v>44</v>
      </c>
      <c r="I1384" s="3" t="s">
        <v>28</v>
      </c>
      <c r="K1384" s="3" t="s">
        <v>1132</v>
      </c>
      <c r="L1384" s="3" t="s">
        <v>1133</v>
      </c>
      <c r="M1384" s="3" t="s">
        <v>1134</v>
      </c>
      <c r="R1384" s="7" t="str">
        <f>IF(H1384="","",VLOOKUP(H1384,'Hoja 9'!$A$1:$B$255,2,0))</f>
        <v>GIMNASIO</v>
      </c>
      <c r="S1384" s="7">
        <f t="shared" si="1"/>
        <v>2025</v>
      </c>
      <c r="T1384" s="7">
        <f t="shared" si="2"/>
        <v>12</v>
      </c>
    </row>
    <row r="1385">
      <c r="A1385" s="4">
        <v>46021.50515865741</v>
      </c>
      <c r="B1385" s="3" t="s">
        <v>3541</v>
      </c>
      <c r="C1385" s="3" t="s">
        <v>3542</v>
      </c>
      <c r="D1385" s="3" t="s">
        <v>3543</v>
      </c>
      <c r="E1385" s="5">
        <v>45993.0</v>
      </c>
      <c r="F1385" s="3">
        <v>2.0621958E7</v>
      </c>
      <c r="G1385" s="3">
        <v>3.512083686E9</v>
      </c>
      <c r="H1385" s="3" t="s">
        <v>21</v>
      </c>
      <c r="I1385" s="3" t="s">
        <v>22</v>
      </c>
      <c r="K1385" s="3" t="s">
        <v>1132</v>
      </c>
      <c r="L1385" s="3" t="s">
        <v>1133</v>
      </c>
      <c r="M1385" s="3" t="s">
        <v>1137</v>
      </c>
      <c r="O1385" s="3" t="s">
        <v>23</v>
      </c>
      <c r="R1385" s="7" t="str">
        <f>IF(H1385="","",VLOOKUP(H1385,'Hoja 9'!$A$1:$B$255,2,0))</f>
        <v>GOOGLE</v>
      </c>
      <c r="S1385" s="7">
        <f t="shared" si="1"/>
        <v>2025</v>
      </c>
      <c r="T1385" s="7">
        <f t="shared" si="2"/>
        <v>12</v>
      </c>
    </row>
    <row r="1386">
      <c r="A1386" s="4">
        <v>46021.7123890625</v>
      </c>
      <c r="B1386" s="3" t="s">
        <v>3544</v>
      </c>
      <c r="C1386" s="3" t="s">
        <v>180</v>
      </c>
      <c r="D1386" s="3" t="s">
        <v>3545</v>
      </c>
      <c r="E1386" s="5">
        <v>30538.0</v>
      </c>
      <c r="F1386" s="3">
        <v>3.0290259E7</v>
      </c>
      <c r="G1386" s="3">
        <v>3.516222035E9</v>
      </c>
      <c r="H1386" s="3" t="s">
        <v>44</v>
      </c>
      <c r="I1386" s="3" t="s">
        <v>28</v>
      </c>
      <c r="K1386" s="3" t="s">
        <v>1132</v>
      </c>
      <c r="L1386" s="3" t="s">
        <v>3546</v>
      </c>
      <c r="M1386" s="3" t="s">
        <v>1134</v>
      </c>
      <c r="R1386" s="7" t="str">
        <f>IF(H1386="","",VLOOKUP(H1386,'Hoja 9'!$A$1:$B$255,2,0))</f>
        <v>GIMNASIO</v>
      </c>
      <c r="S1386" s="7">
        <f t="shared" si="1"/>
        <v>2025</v>
      </c>
      <c r="T1386" s="7">
        <f t="shared" si="2"/>
        <v>12</v>
      </c>
    </row>
    <row r="1387">
      <c r="A1387" s="4">
        <v>46021.80105574074</v>
      </c>
      <c r="B1387" s="3" t="s">
        <v>3547</v>
      </c>
      <c r="C1387" s="3" t="s">
        <v>3548</v>
      </c>
      <c r="D1387" s="3" t="s">
        <v>3549</v>
      </c>
      <c r="E1387" s="5">
        <v>29392.0</v>
      </c>
      <c r="F1387" s="3">
        <v>2.8270389E7</v>
      </c>
      <c r="G1387" s="3">
        <v>3.516310817E9</v>
      </c>
      <c r="H1387" s="3" t="s">
        <v>148</v>
      </c>
      <c r="I1387" s="3" t="s">
        <v>22</v>
      </c>
      <c r="K1387" s="3" t="s">
        <v>1145</v>
      </c>
      <c r="O1387" s="3" t="s">
        <v>149</v>
      </c>
      <c r="R1387" s="7" t="str">
        <f>IF(H1387="","",VLOOKUP(H1387,'Hoja 9'!$A$1:$B$255,2,0))</f>
        <v>OBRA SOCIAL</v>
      </c>
      <c r="S1387" s="7">
        <f t="shared" si="1"/>
        <v>2025</v>
      </c>
      <c r="T1387" s="7">
        <f t="shared" si="2"/>
        <v>12</v>
      </c>
    </row>
    <row r="1388">
      <c r="A1388" s="4">
        <v>46024.476677604165</v>
      </c>
      <c r="B1388" s="3" t="s">
        <v>3550</v>
      </c>
      <c r="C1388" s="3" t="s">
        <v>1340</v>
      </c>
      <c r="D1388" s="3" t="s">
        <v>3551</v>
      </c>
      <c r="E1388" s="5">
        <v>22856.0</v>
      </c>
      <c r="F1388" s="3">
        <v>1.4847085E7</v>
      </c>
      <c r="G1388" s="3">
        <v>3.516622771E9</v>
      </c>
      <c r="H1388" s="3" t="s">
        <v>27</v>
      </c>
      <c r="I1388" s="3" t="s">
        <v>22</v>
      </c>
      <c r="K1388" s="3" t="s">
        <v>1132</v>
      </c>
      <c r="L1388" s="3" t="s">
        <v>3552</v>
      </c>
      <c r="M1388" s="3" t="s">
        <v>1134</v>
      </c>
      <c r="O1388" s="3" t="s">
        <v>58</v>
      </c>
      <c r="R1388" s="7" t="str">
        <f>IF(H1388="","",VLOOKUP(H1388,'Hoja 9'!$A$1:$B$255,2,0))</f>
        <v>BOCA EN BOCA</v>
      </c>
      <c r="S1388" s="7">
        <f t="shared" si="1"/>
        <v>2026</v>
      </c>
      <c r="T1388" s="7">
        <f t="shared" si="2"/>
        <v>1</v>
      </c>
    </row>
    <row r="1389">
      <c r="A1389" s="4">
        <v>46027.42637751157</v>
      </c>
      <c r="B1389" s="3" t="s">
        <v>91</v>
      </c>
      <c r="C1389" s="3" t="s">
        <v>2158</v>
      </c>
      <c r="D1389" s="3" t="s">
        <v>3553</v>
      </c>
      <c r="E1389" s="5">
        <v>31903.0</v>
      </c>
      <c r="F1389" s="3">
        <v>3.29258E7</v>
      </c>
      <c r="G1389" s="3">
        <v>3.518145527E9</v>
      </c>
      <c r="H1389" s="3" t="s">
        <v>27</v>
      </c>
      <c r="I1389" s="3" t="s">
        <v>22</v>
      </c>
      <c r="K1389" s="3" t="s">
        <v>1132</v>
      </c>
      <c r="L1389" s="3" t="s">
        <v>1133</v>
      </c>
      <c r="M1389" s="3" t="s">
        <v>1134</v>
      </c>
      <c r="O1389" s="3" t="s">
        <v>3554</v>
      </c>
      <c r="R1389" s="7" t="str">
        <f>IF(H1389="","",VLOOKUP(H1389,'Hoja 9'!$A$1:$B$255,2,0))</f>
        <v>BOCA EN BOCA</v>
      </c>
      <c r="S1389" s="7">
        <f t="shared" si="1"/>
        <v>2026</v>
      </c>
      <c r="T1389" s="7">
        <f t="shared" si="2"/>
        <v>1</v>
      </c>
    </row>
    <row r="1390">
      <c r="A1390" s="4">
        <v>46027.43184561342</v>
      </c>
      <c r="B1390" s="3" t="s">
        <v>3555</v>
      </c>
      <c r="C1390" s="3" t="s">
        <v>3556</v>
      </c>
      <c r="D1390" s="3" t="s">
        <v>3557</v>
      </c>
      <c r="E1390" s="5">
        <v>24081.0</v>
      </c>
      <c r="F1390" s="3">
        <v>1.7628496E7</v>
      </c>
      <c r="G1390" s="3">
        <v>3.517680726E9</v>
      </c>
      <c r="H1390" s="3" t="s">
        <v>27</v>
      </c>
      <c r="I1390" s="3" t="s">
        <v>28</v>
      </c>
      <c r="K1390" s="3" t="s">
        <v>1132</v>
      </c>
      <c r="L1390" s="3" t="s">
        <v>3558</v>
      </c>
      <c r="M1390" s="3" t="s">
        <v>1213</v>
      </c>
      <c r="R1390" s="7" t="str">
        <f>IF(H1390="","",VLOOKUP(H1390,'Hoja 9'!$A$1:$B$255,2,0))</f>
        <v>BOCA EN BOCA</v>
      </c>
      <c r="S1390" s="7">
        <f t="shared" si="1"/>
        <v>2026</v>
      </c>
      <c r="T1390" s="7">
        <f t="shared" si="2"/>
        <v>1</v>
      </c>
    </row>
    <row r="1391">
      <c r="A1391" s="4">
        <v>46027.841146481485</v>
      </c>
      <c r="B1391" s="3" t="s">
        <v>3559</v>
      </c>
      <c r="C1391" s="3" t="s">
        <v>162</v>
      </c>
      <c r="D1391" s="3" t="s">
        <v>3560</v>
      </c>
      <c r="E1391" s="5">
        <v>25537.0</v>
      </c>
      <c r="F1391" s="3">
        <v>2.1392007E7</v>
      </c>
      <c r="G1391" s="3">
        <v>3.516702023E9</v>
      </c>
      <c r="H1391" s="3" t="s">
        <v>27</v>
      </c>
      <c r="I1391" s="3" t="s">
        <v>28</v>
      </c>
      <c r="K1391" s="3" t="s">
        <v>1132</v>
      </c>
      <c r="L1391" s="3" t="s">
        <v>1726</v>
      </c>
      <c r="M1391" s="3" t="s">
        <v>1137</v>
      </c>
      <c r="R1391" s="7" t="str">
        <f>IF(H1391="","",VLOOKUP(H1391,'Hoja 9'!$A$1:$B$255,2,0))</f>
        <v>BOCA EN BOCA</v>
      </c>
      <c r="S1391" s="7">
        <f t="shared" si="1"/>
        <v>2026</v>
      </c>
      <c r="T1391" s="7">
        <f t="shared" si="2"/>
        <v>1</v>
      </c>
    </row>
    <row r="1392">
      <c r="A1392" s="4">
        <v>46027.873302569446</v>
      </c>
      <c r="B1392" s="3" t="s">
        <v>2864</v>
      </c>
      <c r="C1392" s="3" t="s">
        <v>357</v>
      </c>
      <c r="D1392" s="3" t="s">
        <v>3561</v>
      </c>
      <c r="E1392" s="5">
        <v>36416.0</v>
      </c>
      <c r="F1392" s="3">
        <v>4.2159912E7</v>
      </c>
      <c r="G1392" s="3">
        <v>3.517663054E9</v>
      </c>
      <c r="H1392" s="3" t="s">
        <v>27</v>
      </c>
      <c r="I1392" s="3" t="s">
        <v>28</v>
      </c>
      <c r="K1392" s="3" t="s">
        <v>1132</v>
      </c>
      <c r="L1392" s="3" t="s">
        <v>3562</v>
      </c>
      <c r="M1392" s="3" t="s">
        <v>1213</v>
      </c>
      <c r="R1392" s="7" t="str">
        <f>IF(H1392="","",VLOOKUP(H1392,'Hoja 9'!$A$1:$B$255,2,0))</f>
        <v>BOCA EN BOCA</v>
      </c>
      <c r="S1392" s="7">
        <f t="shared" si="1"/>
        <v>2026</v>
      </c>
      <c r="T1392" s="7">
        <f t="shared" si="2"/>
        <v>1</v>
      </c>
    </row>
    <row r="1393">
      <c r="A1393" s="4">
        <v>46029.49555516204</v>
      </c>
      <c r="B1393" s="3" t="s">
        <v>3563</v>
      </c>
      <c r="C1393" s="3" t="s">
        <v>3564</v>
      </c>
      <c r="D1393" s="3" t="s">
        <v>3565</v>
      </c>
      <c r="E1393" s="5">
        <v>46029.0</v>
      </c>
      <c r="F1393" s="3">
        <v>3.0332168E7</v>
      </c>
      <c r="G1393" s="3">
        <v>3.512023475E9</v>
      </c>
      <c r="H1393" s="3" t="s">
        <v>27</v>
      </c>
      <c r="I1393" s="3" t="s">
        <v>22</v>
      </c>
      <c r="K1393" s="3" t="s">
        <v>1132</v>
      </c>
      <c r="L1393" s="3" t="s">
        <v>1136</v>
      </c>
      <c r="M1393" s="3" t="s">
        <v>1137</v>
      </c>
      <c r="O1393" s="3" t="s">
        <v>23</v>
      </c>
      <c r="R1393" s="7" t="str">
        <f>IF(H1393="","",VLOOKUP(H1393,'Hoja 9'!$A$1:$B$255,2,0))</f>
        <v>BOCA EN BOCA</v>
      </c>
      <c r="S1393" s="7">
        <f t="shared" si="1"/>
        <v>2026</v>
      </c>
      <c r="T1393" s="7">
        <f t="shared" si="2"/>
        <v>1</v>
      </c>
    </row>
    <row r="1394">
      <c r="A1394" s="4">
        <v>46029.73116545139</v>
      </c>
      <c r="B1394" s="3" t="s">
        <v>3566</v>
      </c>
      <c r="C1394" s="3" t="s">
        <v>406</v>
      </c>
      <c r="D1394" s="3" t="s">
        <v>3567</v>
      </c>
      <c r="E1394" s="5">
        <v>36300.0</v>
      </c>
      <c r="F1394" s="3">
        <v>4.1887486E7</v>
      </c>
      <c r="G1394" s="3">
        <v>3.515299725E9</v>
      </c>
      <c r="H1394" s="3" t="s">
        <v>44</v>
      </c>
      <c r="I1394" s="3" t="s">
        <v>22</v>
      </c>
      <c r="K1394" s="3" t="s">
        <v>1132</v>
      </c>
      <c r="L1394" s="3" t="s">
        <v>2387</v>
      </c>
      <c r="M1394" s="3" t="s">
        <v>1134</v>
      </c>
      <c r="O1394" s="3" t="s">
        <v>1126</v>
      </c>
      <c r="R1394" s="7" t="str">
        <f>IF(H1394="","",VLOOKUP(H1394,'Hoja 9'!$A$1:$B$255,2,0))</f>
        <v>GIMNASIO</v>
      </c>
      <c r="S1394" s="7">
        <f t="shared" si="1"/>
        <v>2026</v>
      </c>
      <c r="T1394" s="7">
        <f t="shared" si="2"/>
        <v>1</v>
      </c>
    </row>
    <row r="1395">
      <c r="A1395" s="4">
        <v>46030.54028771991</v>
      </c>
      <c r="B1395" s="3" t="s">
        <v>437</v>
      </c>
      <c r="C1395" s="3" t="s">
        <v>643</v>
      </c>
      <c r="D1395" s="3" t="s">
        <v>3568</v>
      </c>
      <c r="E1395" s="5">
        <v>28746.0</v>
      </c>
      <c r="F1395" s="3">
        <v>2.6896603E7</v>
      </c>
      <c r="G1395" s="3">
        <v>3.515911903E9</v>
      </c>
      <c r="H1395" s="3" t="s">
        <v>27</v>
      </c>
      <c r="I1395" s="3" t="s">
        <v>28</v>
      </c>
      <c r="K1395" s="3" t="s">
        <v>1132</v>
      </c>
      <c r="L1395" s="3" t="s">
        <v>1404</v>
      </c>
      <c r="M1395" s="3" t="s">
        <v>1134</v>
      </c>
      <c r="R1395" s="7" t="str">
        <f>IF(H1395="","",VLOOKUP(H1395,'Hoja 9'!$A$1:$B$255,2,0))</f>
        <v>BOCA EN BOCA</v>
      </c>
      <c r="S1395" s="7">
        <f t="shared" si="1"/>
        <v>2026</v>
      </c>
      <c r="T1395" s="7">
        <f t="shared" si="2"/>
        <v>1</v>
      </c>
    </row>
    <row r="1396">
      <c r="A1396" s="4">
        <v>46030.771335150464</v>
      </c>
      <c r="B1396" s="3" t="s">
        <v>3569</v>
      </c>
      <c r="C1396" s="3" t="s">
        <v>3570</v>
      </c>
      <c r="D1396" s="3" t="s">
        <v>3571</v>
      </c>
      <c r="E1396" s="5">
        <v>13928.0</v>
      </c>
      <c r="F1396" s="3">
        <v>3692293.0</v>
      </c>
      <c r="G1396" s="3">
        <v>3.515133677E9</v>
      </c>
      <c r="H1396" s="3" t="s">
        <v>27</v>
      </c>
      <c r="I1396" s="3" t="s">
        <v>22</v>
      </c>
      <c r="K1396" s="3" t="s">
        <v>1145</v>
      </c>
      <c r="O1396" s="3" t="s">
        <v>3572</v>
      </c>
      <c r="R1396" s="7" t="str">
        <f>IF(H1396="","",VLOOKUP(H1396,'Hoja 9'!$A$1:$B$255,2,0))</f>
        <v>BOCA EN BOCA</v>
      </c>
      <c r="S1396" s="7">
        <f t="shared" si="1"/>
        <v>2026</v>
      </c>
      <c r="T1396" s="7">
        <f t="shared" si="2"/>
        <v>1</v>
      </c>
    </row>
    <row r="1397">
      <c r="A1397" s="4">
        <v>46031.47735864583</v>
      </c>
      <c r="B1397" s="3" t="s">
        <v>3573</v>
      </c>
      <c r="C1397" s="3" t="s">
        <v>3574</v>
      </c>
      <c r="D1397" s="3" t="s">
        <v>3575</v>
      </c>
      <c r="E1397" s="5">
        <v>19632.0</v>
      </c>
      <c r="F1397" s="3">
        <v>1.0902834E7</v>
      </c>
      <c r="G1397" s="3">
        <v>3.516654677E9</v>
      </c>
      <c r="H1397" s="3" t="s">
        <v>27</v>
      </c>
      <c r="I1397" s="3" t="s">
        <v>28</v>
      </c>
      <c r="K1397" s="3" t="s">
        <v>1145</v>
      </c>
      <c r="R1397" s="7" t="str">
        <f>IF(H1397="","",VLOOKUP(H1397,'Hoja 9'!$A$1:$B$255,2,0))</f>
        <v>BOCA EN BOCA</v>
      </c>
      <c r="S1397" s="7">
        <f t="shared" si="1"/>
        <v>2026</v>
      </c>
      <c r="T1397" s="7">
        <f t="shared" si="2"/>
        <v>1</v>
      </c>
    </row>
    <row r="1398">
      <c r="A1398" s="4">
        <v>46034.49067155093</v>
      </c>
      <c r="B1398" s="3" t="s">
        <v>3576</v>
      </c>
      <c r="C1398" s="3" t="s">
        <v>3577</v>
      </c>
      <c r="D1398" s="3" t="s">
        <v>3578</v>
      </c>
      <c r="E1398" s="5">
        <v>34898.0</v>
      </c>
      <c r="F1398" s="3">
        <v>3.907247E7</v>
      </c>
      <c r="G1398" s="3">
        <v>3.515519765E9</v>
      </c>
      <c r="H1398" s="3" t="s">
        <v>21</v>
      </c>
      <c r="I1398" s="3" t="s">
        <v>28</v>
      </c>
      <c r="K1398" s="3" t="s">
        <v>1132</v>
      </c>
      <c r="L1398" s="3" t="s">
        <v>1133</v>
      </c>
      <c r="M1398" s="3" t="s">
        <v>1134</v>
      </c>
      <c r="R1398" s="7" t="str">
        <f>IF(H1398="","",VLOOKUP(H1398,'Hoja 9'!$A$1:$B$255,2,0))</f>
        <v>GOOGLE</v>
      </c>
      <c r="S1398" s="7">
        <f t="shared" si="1"/>
        <v>2026</v>
      </c>
      <c r="T1398" s="7">
        <f t="shared" si="2"/>
        <v>1</v>
      </c>
    </row>
    <row r="1399">
      <c r="A1399" s="4">
        <v>46034.514316608795</v>
      </c>
      <c r="B1399" s="3" t="s">
        <v>3579</v>
      </c>
      <c r="C1399" s="3" t="s">
        <v>3580</v>
      </c>
      <c r="E1399" s="5">
        <v>31146.0</v>
      </c>
      <c r="F1399" s="3">
        <v>3.1557558E7</v>
      </c>
      <c r="G1399" s="3">
        <v>3.516571418E9</v>
      </c>
      <c r="H1399" s="3" t="s">
        <v>44</v>
      </c>
      <c r="I1399" s="3" t="s">
        <v>22</v>
      </c>
      <c r="K1399" s="3" t="s">
        <v>1132</v>
      </c>
      <c r="L1399" s="3" t="s">
        <v>3581</v>
      </c>
      <c r="M1399" s="3" t="s">
        <v>1134</v>
      </c>
      <c r="O1399" s="3" t="s">
        <v>72</v>
      </c>
      <c r="R1399" s="7" t="str">
        <f>IF(H1399="","",VLOOKUP(H1399,'Hoja 9'!$A$1:$B$255,2,0))</f>
        <v>GIMNASIO</v>
      </c>
      <c r="S1399" s="7">
        <f t="shared" si="1"/>
        <v>2026</v>
      </c>
      <c r="T1399" s="7">
        <f t="shared" si="2"/>
        <v>1</v>
      </c>
    </row>
    <row r="1400">
      <c r="A1400" s="4">
        <v>46034.55153788194</v>
      </c>
      <c r="B1400" s="3" t="s">
        <v>3582</v>
      </c>
      <c r="C1400" s="3" t="s">
        <v>3583</v>
      </c>
      <c r="D1400" s="3" t="s">
        <v>3584</v>
      </c>
      <c r="E1400" s="5">
        <v>40567.0</v>
      </c>
      <c r="F1400" s="3">
        <v>5.0629284E7</v>
      </c>
      <c r="G1400" s="3">
        <v>3.518583078E9</v>
      </c>
      <c r="H1400" s="3" t="s">
        <v>27</v>
      </c>
      <c r="I1400" s="3" t="s">
        <v>28</v>
      </c>
      <c r="K1400" s="3" t="s">
        <v>1132</v>
      </c>
      <c r="L1400" s="3" t="s">
        <v>1382</v>
      </c>
      <c r="M1400" s="3" t="s">
        <v>1134</v>
      </c>
      <c r="R1400" s="7" t="str">
        <f>IF(H1400="","",VLOOKUP(H1400,'Hoja 9'!$A$1:$B$255,2,0))</f>
        <v>BOCA EN BOCA</v>
      </c>
      <c r="S1400" s="7">
        <f t="shared" si="1"/>
        <v>2026</v>
      </c>
      <c r="T1400" s="7">
        <f t="shared" si="2"/>
        <v>1</v>
      </c>
    </row>
    <row r="1401">
      <c r="A1401" s="4">
        <v>46034.79293765046</v>
      </c>
      <c r="B1401" s="3" t="s">
        <v>3585</v>
      </c>
      <c r="C1401" s="3" t="s">
        <v>1121</v>
      </c>
      <c r="D1401" s="3" t="s">
        <v>3586</v>
      </c>
      <c r="E1401" s="5">
        <v>35923.0</v>
      </c>
      <c r="F1401" s="3">
        <v>4.1265088E7</v>
      </c>
      <c r="G1401" s="3">
        <v>3.512008851E9</v>
      </c>
      <c r="H1401" s="3" t="s">
        <v>148</v>
      </c>
      <c r="I1401" s="3" t="s">
        <v>22</v>
      </c>
      <c r="K1401" s="3" t="s">
        <v>1132</v>
      </c>
      <c r="L1401" s="3" t="s">
        <v>1133</v>
      </c>
      <c r="M1401" s="3" t="s">
        <v>1137</v>
      </c>
      <c r="O1401" s="3" t="s">
        <v>149</v>
      </c>
      <c r="R1401" s="7" t="str">
        <f>IF(H1401="","",VLOOKUP(H1401,'Hoja 9'!$A$1:$B$255,2,0))</f>
        <v>OBRA SOCIAL</v>
      </c>
      <c r="S1401" s="7">
        <f t="shared" si="1"/>
        <v>2026</v>
      </c>
      <c r="T1401" s="7">
        <f t="shared" si="2"/>
        <v>1</v>
      </c>
    </row>
    <row r="1402">
      <c r="A1402" s="4">
        <v>46035.44125081018</v>
      </c>
      <c r="B1402" s="3" t="s">
        <v>3587</v>
      </c>
      <c r="C1402" s="3" t="s">
        <v>321</v>
      </c>
      <c r="D1402" s="3" t="s">
        <v>3588</v>
      </c>
      <c r="E1402" s="5">
        <v>38963.0</v>
      </c>
      <c r="F1402" s="3">
        <v>4.7173465E7</v>
      </c>
      <c r="G1402" s="3">
        <v>3.513235567E9</v>
      </c>
      <c r="H1402" s="3" t="s">
        <v>44</v>
      </c>
      <c r="I1402" s="3" t="s">
        <v>22</v>
      </c>
      <c r="K1402" s="3" t="s">
        <v>1132</v>
      </c>
      <c r="L1402" s="3" t="s">
        <v>1133</v>
      </c>
      <c r="M1402" s="3" t="s">
        <v>1134</v>
      </c>
      <c r="O1402" s="3" t="s">
        <v>287</v>
      </c>
      <c r="R1402" s="7" t="str">
        <f>IF(H1402="","",VLOOKUP(H1402,'Hoja 9'!$A$1:$B$255,2,0))</f>
        <v>GIMNASIO</v>
      </c>
      <c r="S1402" s="7">
        <f t="shared" si="1"/>
        <v>2026</v>
      </c>
      <c r="T1402" s="7">
        <f t="shared" si="2"/>
        <v>1</v>
      </c>
    </row>
    <row r="1403">
      <c r="A1403" s="4">
        <v>46035.48568238426</v>
      </c>
      <c r="B1403" s="3" t="s">
        <v>3589</v>
      </c>
      <c r="C1403" s="3" t="s">
        <v>738</v>
      </c>
      <c r="D1403" s="3" t="s">
        <v>3590</v>
      </c>
      <c r="E1403" s="5">
        <v>29685.0</v>
      </c>
      <c r="F1403" s="3">
        <v>2.8656682E7</v>
      </c>
      <c r="G1403" s="3">
        <v>3.516231959E9</v>
      </c>
      <c r="H1403" s="3" t="s">
        <v>21</v>
      </c>
      <c r="I1403" s="3" t="s">
        <v>28</v>
      </c>
      <c r="K1403" s="3" t="s">
        <v>1132</v>
      </c>
      <c r="L1403" s="3" t="s">
        <v>1133</v>
      </c>
      <c r="M1403" s="3" t="s">
        <v>1134</v>
      </c>
      <c r="R1403" s="7" t="str">
        <f>IF(H1403="","",VLOOKUP(H1403,'Hoja 9'!$A$1:$B$255,2,0))</f>
        <v>GOOGLE</v>
      </c>
      <c r="S1403" s="7">
        <f t="shared" si="1"/>
        <v>2026</v>
      </c>
      <c r="T1403" s="7">
        <f t="shared" si="2"/>
        <v>1</v>
      </c>
    </row>
    <row r="1404">
      <c r="A1404" s="4">
        <v>46035.50264846065</v>
      </c>
      <c r="B1404" s="3" t="s">
        <v>3591</v>
      </c>
      <c r="C1404" s="3" t="s">
        <v>3592</v>
      </c>
      <c r="D1404" s="3" t="s">
        <v>3593</v>
      </c>
      <c r="E1404" s="5">
        <v>25587.0</v>
      </c>
      <c r="F1404" s="3">
        <v>2.1394934E7</v>
      </c>
      <c r="G1404" s="3">
        <v>3.513130333E9</v>
      </c>
      <c r="H1404" s="3" t="s">
        <v>244</v>
      </c>
      <c r="I1404" s="3" t="s">
        <v>22</v>
      </c>
      <c r="K1404" s="3" t="s">
        <v>1132</v>
      </c>
      <c r="L1404" s="3" t="s">
        <v>1133</v>
      </c>
      <c r="M1404" s="3" t="s">
        <v>1134</v>
      </c>
      <c r="O1404" s="3" t="s">
        <v>23</v>
      </c>
      <c r="R1404" s="7" t="str">
        <f>IF(H1404="","",VLOOKUP(H1404,'Hoja 9'!$A$1:$B$255,2,0))</f>
        <v>META</v>
      </c>
      <c r="S1404" s="7">
        <f t="shared" si="1"/>
        <v>2026</v>
      </c>
      <c r="T1404" s="7">
        <f t="shared" si="2"/>
        <v>1</v>
      </c>
    </row>
    <row r="1405">
      <c r="A1405" s="4">
        <v>46035.68261125</v>
      </c>
      <c r="B1405" s="3" t="s">
        <v>3594</v>
      </c>
      <c r="C1405" s="3" t="s">
        <v>3595</v>
      </c>
      <c r="D1405" s="3" t="s">
        <v>1518</v>
      </c>
      <c r="E1405" s="5">
        <v>30940.0</v>
      </c>
      <c r="F1405" s="3">
        <v>3.1056377E7</v>
      </c>
      <c r="G1405" s="3">
        <v>3.517674577E9</v>
      </c>
      <c r="H1405" s="3" t="s">
        <v>27</v>
      </c>
      <c r="I1405" s="3" t="s">
        <v>28</v>
      </c>
      <c r="K1405" s="3" t="s">
        <v>1132</v>
      </c>
      <c r="L1405" s="3" t="s">
        <v>1133</v>
      </c>
      <c r="M1405" s="3" t="s">
        <v>1134</v>
      </c>
      <c r="R1405" s="7" t="str">
        <f>IF(H1405="","",VLOOKUP(H1405,'Hoja 9'!$A$1:$B$255,2,0))</f>
        <v>BOCA EN BOCA</v>
      </c>
      <c r="S1405" s="7">
        <f t="shared" si="1"/>
        <v>2026</v>
      </c>
      <c r="T1405" s="7">
        <f t="shared" si="2"/>
        <v>1</v>
      </c>
    </row>
    <row r="1406">
      <c r="A1406" s="4">
        <v>46035.81318875</v>
      </c>
      <c r="B1406" s="3" t="s">
        <v>3596</v>
      </c>
      <c r="C1406" s="3" t="s">
        <v>1241</v>
      </c>
      <c r="D1406" s="3" t="s">
        <v>3597</v>
      </c>
      <c r="E1406" s="5">
        <v>23920.0</v>
      </c>
      <c r="F1406" s="3">
        <v>1.7158131E7</v>
      </c>
      <c r="G1406" s="3">
        <v>3.516140969E9</v>
      </c>
      <c r="H1406" s="3" t="s">
        <v>21</v>
      </c>
      <c r="I1406" s="3" t="s">
        <v>28</v>
      </c>
      <c r="K1406" s="3" t="s">
        <v>1132</v>
      </c>
      <c r="L1406" s="3" t="s">
        <v>1404</v>
      </c>
      <c r="M1406" s="3" t="s">
        <v>1134</v>
      </c>
      <c r="R1406" s="7" t="str">
        <f>IF(H1406="","",VLOOKUP(H1406,'Hoja 9'!$A$1:$B$255,2,0))</f>
        <v>GOOGLE</v>
      </c>
      <c r="S1406" s="7">
        <f t="shared" si="1"/>
        <v>2026</v>
      </c>
      <c r="T1406" s="7">
        <f t="shared" si="2"/>
        <v>1</v>
      </c>
    </row>
    <row r="1407">
      <c r="A1407" s="4">
        <v>46035.927854884256</v>
      </c>
      <c r="B1407" s="3" t="s">
        <v>2904</v>
      </c>
      <c r="C1407" s="3" t="s">
        <v>745</v>
      </c>
      <c r="D1407" s="3" t="s">
        <v>3598</v>
      </c>
      <c r="E1407" s="5">
        <v>22737.0</v>
      </c>
      <c r="F1407" s="3">
        <v>1.4892657E7</v>
      </c>
      <c r="G1407" s="3">
        <v>3.51529982E9</v>
      </c>
      <c r="H1407" s="3" t="s">
        <v>27</v>
      </c>
      <c r="I1407" s="3" t="s">
        <v>28</v>
      </c>
      <c r="K1407" s="3" t="s">
        <v>1132</v>
      </c>
      <c r="L1407" s="3" t="s">
        <v>1133</v>
      </c>
      <c r="M1407" s="3" t="s">
        <v>1134</v>
      </c>
      <c r="R1407" s="7" t="str">
        <f>IF(H1407="","",VLOOKUP(H1407,'Hoja 9'!$A$1:$B$255,2,0))</f>
        <v>BOCA EN BOCA</v>
      </c>
      <c r="S1407" s="7">
        <f t="shared" si="1"/>
        <v>2026</v>
      </c>
      <c r="T1407" s="7">
        <f t="shared" si="2"/>
        <v>1</v>
      </c>
    </row>
    <row r="1408">
      <c r="A1408" s="4">
        <v>46036.47610609954</v>
      </c>
      <c r="B1408" s="3" t="s">
        <v>3599</v>
      </c>
      <c r="C1408" s="3" t="s">
        <v>3600</v>
      </c>
      <c r="D1408" s="3" t="s">
        <v>3601</v>
      </c>
      <c r="E1408" s="5">
        <v>35941.0</v>
      </c>
      <c r="F1408" s="3">
        <v>4.1264844E7</v>
      </c>
      <c r="G1408" s="3">
        <v>3.517043411E9</v>
      </c>
      <c r="H1408" s="3" t="s">
        <v>44</v>
      </c>
      <c r="I1408" s="3" t="s">
        <v>22</v>
      </c>
      <c r="K1408" s="3" t="s">
        <v>1132</v>
      </c>
      <c r="L1408" s="3" t="s">
        <v>1133</v>
      </c>
      <c r="M1408" s="3" t="s">
        <v>1134</v>
      </c>
      <c r="O1408" s="3" t="s">
        <v>1765</v>
      </c>
      <c r="R1408" s="7" t="str">
        <f>IF(H1408="","",VLOOKUP(H1408,'Hoja 9'!$A$1:$B$255,2,0))</f>
        <v>GIMNASIO</v>
      </c>
      <c r="S1408" s="7">
        <f t="shared" si="1"/>
        <v>2026</v>
      </c>
      <c r="T1408" s="7">
        <f t="shared" si="2"/>
        <v>1</v>
      </c>
    </row>
    <row r="1409">
      <c r="A1409" s="4">
        <v>46036.87567202546</v>
      </c>
      <c r="B1409" s="3" t="s">
        <v>3602</v>
      </c>
      <c r="C1409" s="3" t="s">
        <v>3603</v>
      </c>
      <c r="D1409" s="3" t="s">
        <v>3604</v>
      </c>
      <c r="E1409" s="5">
        <v>28097.0</v>
      </c>
      <c r="F1409" s="3">
        <v>2.5609854E7</v>
      </c>
      <c r="G1409" s="3">
        <v>3.512313955E9</v>
      </c>
      <c r="H1409" s="3" t="s">
        <v>27</v>
      </c>
      <c r="I1409" s="3" t="s">
        <v>28</v>
      </c>
      <c r="K1409" s="3" t="s">
        <v>1132</v>
      </c>
      <c r="L1409" s="3" t="s">
        <v>1345</v>
      </c>
      <c r="M1409" s="3" t="s">
        <v>1134</v>
      </c>
      <c r="R1409" s="7" t="str">
        <f>IF(H1409="","",VLOOKUP(H1409,'Hoja 9'!$A$1:$B$255,2,0))</f>
        <v>BOCA EN BOCA</v>
      </c>
      <c r="S1409" s="7">
        <f t="shared" si="1"/>
        <v>2026</v>
      </c>
      <c r="T1409" s="7">
        <f t="shared" si="2"/>
        <v>1</v>
      </c>
    </row>
    <row r="1410">
      <c r="A1410" s="4">
        <v>46037.759557337966</v>
      </c>
      <c r="B1410" s="3" t="s">
        <v>2223</v>
      </c>
      <c r="C1410" s="3" t="s">
        <v>844</v>
      </c>
      <c r="D1410" s="3" t="s">
        <v>3605</v>
      </c>
      <c r="E1410" s="5">
        <v>36654.0</v>
      </c>
      <c r="F1410" s="3">
        <v>4.2641218E7</v>
      </c>
      <c r="G1410" s="3">
        <v>3.513432536E9</v>
      </c>
      <c r="H1410" s="3" t="s">
        <v>3606</v>
      </c>
      <c r="I1410" s="3" t="s">
        <v>28</v>
      </c>
      <c r="K1410" s="3" t="s">
        <v>1132</v>
      </c>
      <c r="L1410" s="3" t="s">
        <v>3607</v>
      </c>
      <c r="M1410" s="3" t="s">
        <v>1213</v>
      </c>
      <c r="R1410" s="7" t="str">
        <f>IF(H1410="","",VLOOKUP(H1410,'Hoja 9'!$A$1:$B$255,2,0))</f>
        <v>GIMNASIO</v>
      </c>
      <c r="S1410" s="7">
        <f t="shared" si="1"/>
        <v>2026</v>
      </c>
      <c r="T1410" s="7">
        <f t="shared" si="2"/>
        <v>1</v>
      </c>
    </row>
    <row r="1411">
      <c r="A1411" s="4">
        <v>46038.66627287037</v>
      </c>
      <c r="B1411" s="3" t="s">
        <v>593</v>
      </c>
      <c r="C1411" s="3" t="s">
        <v>1256</v>
      </c>
      <c r="D1411" s="3" t="s">
        <v>3608</v>
      </c>
      <c r="E1411" s="5">
        <v>15253.0</v>
      </c>
      <c r="F1411" s="3">
        <v>7964691.0</v>
      </c>
      <c r="G1411" s="3">
        <v>3.515443912E9</v>
      </c>
      <c r="H1411" s="3" t="s">
        <v>27</v>
      </c>
      <c r="I1411" s="3" t="s">
        <v>22</v>
      </c>
      <c r="K1411" s="3" t="s">
        <v>1132</v>
      </c>
      <c r="O1411" s="3" t="s">
        <v>23</v>
      </c>
      <c r="R1411" s="7" t="str">
        <f>IF(H1411="","",VLOOKUP(H1411,'Hoja 9'!$A$1:$B$255,2,0))</f>
        <v>BOCA EN BOCA</v>
      </c>
      <c r="S1411" s="7">
        <f t="shared" si="1"/>
        <v>2026</v>
      </c>
      <c r="T1411" s="7">
        <f t="shared" si="2"/>
        <v>1</v>
      </c>
    </row>
    <row r="1412">
      <c r="A1412" s="4">
        <v>46038.697432615736</v>
      </c>
      <c r="B1412" s="3" t="s">
        <v>3609</v>
      </c>
      <c r="C1412" s="3" t="s">
        <v>930</v>
      </c>
      <c r="D1412" s="3" t="s">
        <v>3610</v>
      </c>
      <c r="E1412" s="5">
        <v>34044.0</v>
      </c>
      <c r="F1412" s="3">
        <v>3.7318241E7</v>
      </c>
      <c r="G1412" s="3">
        <v>3.513460114E9</v>
      </c>
      <c r="H1412" s="3" t="s">
        <v>21</v>
      </c>
      <c r="I1412" s="3" t="s">
        <v>22</v>
      </c>
      <c r="K1412" s="3" t="s">
        <v>1132</v>
      </c>
      <c r="L1412" s="3" t="s">
        <v>1133</v>
      </c>
      <c r="M1412" s="3" t="s">
        <v>1134</v>
      </c>
      <c r="O1412" s="3" t="s">
        <v>23</v>
      </c>
      <c r="R1412" s="7" t="str">
        <f>IF(H1412="","",VLOOKUP(H1412,'Hoja 9'!$A$1:$B$255,2,0))</f>
        <v>GOOGLE</v>
      </c>
      <c r="S1412" s="7">
        <f t="shared" si="1"/>
        <v>2026</v>
      </c>
      <c r="T1412" s="7">
        <f t="shared" si="2"/>
        <v>1</v>
      </c>
    </row>
    <row r="1413">
      <c r="A1413" s="4">
        <v>46038.70119421296</v>
      </c>
      <c r="B1413" s="3" t="s">
        <v>3611</v>
      </c>
      <c r="C1413" s="3" t="s">
        <v>3612</v>
      </c>
      <c r="D1413" s="3" t="s">
        <v>3613</v>
      </c>
      <c r="E1413" s="5">
        <v>26440.0</v>
      </c>
      <c r="F1413" s="3">
        <v>2.2862449E7</v>
      </c>
      <c r="G1413" s="3">
        <v>3.515741814E9</v>
      </c>
      <c r="H1413" s="3" t="s">
        <v>21</v>
      </c>
      <c r="I1413" s="3" t="s">
        <v>22</v>
      </c>
      <c r="K1413" s="3" t="s">
        <v>1132</v>
      </c>
      <c r="L1413" s="3" t="s">
        <v>1133</v>
      </c>
      <c r="M1413" s="3" t="s">
        <v>1137</v>
      </c>
      <c r="O1413" s="3" t="s">
        <v>673</v>
      </c>
      <c r="R1413" s="7" t="str">
        <f>IF(H1413="","",VLOOKUP(H1413,'Hoja 9'!$A$1:$B$255,2,0))</f>
        <v>GOOGLE</v>
      </c>
      <c r="S1413" s="7">
        <f t="shared" si="1"/>
        <v>2026</v>
      </c>
      <c r="T1413" s="7">
        <f t="shared" si="2"/>
        <v>1</v>
      </c>
    </row>
    <row r="1414">
      <c r="A1414" s="4">
        <v>46039.39593684028</v>
      </c>
      <c r="B1414" s="3" t="s">
        <v>3614</v>
      </c>
      <c r="C1414" s="3" t="s">
        <v>3615</v>
      </c>
      <c r="D1414" s="3" t="s">
        <v>3616</v>
      </c>
      <c r="E1414" s="5">
        <v>29922.0</v>
      </c>
      <c r="F1414" s="3">
        <v>2.9180186E7</v>
      </c>
      <c r="G1414" s="3">
        <v>3.51613146E9</v>
      </c>
      <c r="H1414" s="3" t="s">
        <v>21</v>
      </c>
      <c r="I1414" s="3" t="s">
        <v>22</v>
      </c>
      <c r="K1414" s="3" t="s">
        <v>1132</v>
      </c>
      <c r="L1414" s="3" t="s">
        <v>1136</v>
      </c>
      <c r="M1414" s="3" t="s">
        <v>1134</v>
      </c>
      <c r="O1414" s="3" t="s">
        <v>23</v>
      </c>
      <c r="R1414" s="7" t="str">
        <f>IF(H1414="","",VLOOKUP(H1414,'Hoja 9'!$A$1:$B$255,2,0))</f>
        <v>GOOGLE</v>
      </c>
      <c r="S1414" s="7">
        <f t="shared" si="1"/>
        <v>2026</v>
      </c>
      <c r="T1414" s="7">
        <f t="shared" si="2"/>
        <v>1</v>
      </c>
    </row>
    <row r="1415">
      <c r="A1415" s="4">
        <v>46040.80683511574</v>
      </c>
      <c r="B1415" s="3" t="s">
        <v>3617</v>
      </c>
      <c r="C1415" s="3" t="s">
        <v>1259</v>
      </c>
      <c r="D1415" s="3" t="s">
        <v>3618</v>
      </c>
      <c r="E1415" s="5">
        <v>29372.0</v>
      </c>
      <c r="F1415" s="3">
        <v>2.8064405E7</v>
      </c>
      <c r="G1415" s="3">
        <v>3.512339912E9</v>
      </c>
      <c r="H1415" s="3" t="s">
        <v>27</v>
      </c>
      <c r="I1415" s="3" t="s">
        <v>22</v>
      </c>
      <c r="K1415" s="3" t="s">
        <v>1132</v>
      </c>
      <c r="L1415" s="3" t="s">
        <v>3619</v>
      </c>
      <c r="M1415" s="3" t="s">
        <v>1134</v>
      </c>
      <c r="O1415" s="3" t="s">
        <v>287</v>
      </c>
      <c r="R1415" s="7" t="str">
        <f>IF(H1415="","",VLOOKUP(H1415,'Hoja 9'!$A$1:$B$255,2,0))</f>
        <v>BOCA EN BOCA</v>
      </c>
      <c r="S1415" s="7">
        <f t="shared" si="1"/>
        <v>2026</v>
      </c>
      <c r="T1415" s="7">
        <f t="shared" si="2"/>
        <v>1</v>
      </c>
    </row>
    <row r="1416">
      <c r="A1416" s="4">
        <v>46040.905869375</v>
      </c>
      <c r="B1416" s="3" t="s">
        <v>775</v>
      </c>
      <c r="C1416" s="3" t="s">
        <v>1486</v>
      </c>
      <c r="D1416" s="3" t="s">
        <v>3620</v>
      </c>
      <c r="E1416" s="5">
        <v>32374.0</v>
      </c>
      <c r="F1416" s="3">
        <v>3.3831945E7</v>
      </c>
      <c r="G1416" s="3">
        <v>3.512039666E9</v>
      </c>
      <c r="H1416" s="3" t="s">
        <v>27</v>
      </c>
      <c r="I1416" s="3" t="s">
        <v>22</v>
      </c>
      <c r="K1416" s="3" t="s">
        <v>1132</v>
      </c>
      <c r="L1416" s="3" t="s">
        <v>3621</v>
      </c>
      <c r="M1416" s="3" t="s">
        <v>1134</v>
      </c>
      <c r="O1416" s="3" t="s">
        <v>58</v>
      </c>
      <c r="R1416" s="7" t="str">
        <f>IF(H1416="","",VLOOKUP(H1416,'Hoja 9'!$A$1:$B$255,2,0))</f>
        <v>BOCA EN BOCA</v>
      </c>
      <c r="S1416" s="7">
        <f t="shared" si="1"/>
        <v>2026</v>
      </c>
      <c r="T1416" s="7">
        <f t="shared" si="2"/>
        <v>1</v>
      </c>
    </row>
    <row r="1417">
      <c r="A1417" s="4">
        <v>46041.37102131944</v>
      </c>
      <c r="B1417" s="3" t="s">
        <v>3622</v>
      </c>
      <c r="C1417" s="3" t="s">
        <v>3623</v>
      </c>
      <c r="D1417" s="3" t="s">
        <v>3624</v>
      </c>
      <c r="E1417" s="5">
        <v>33338.0</v>
      </c>
      <c r="F1417" s="3">
        <v>3.5883146E7</v>
      </c>
      <c r="G1417" s="3">
        <v>3.512377419E9</v>
      </c>
      <c r="H1417" s="3" t="s">
        <v>21</v>
      </c>
      <c r="I1417" s="3" t="s">
        <v>22</v>
      </c>
      <c r="K1417" s="3" t="s">
        <v>1145</v>
      </c>
      <c r="O1417" s="3" t="s">
        <v>58</v>
      </c>
      <c r="R1417" s="7" t="str">
        <f>IF(H1417="","",VLOOKUP(H1417,'Hoja 9'!$A$1:$B$255,2,0))</f>
        <v>GOOGLE</v>
      </c>
      <c r="S1417" s="7">
        <f t="shared" si="1"/>
        <v>2026</v>
      </c>
      <c r="T1417" s="7">
        <f t="shared" si="2"/>
        <v>1</v>
      </c>
    </row>
    <row r="1418">
      <c r="A1418" s="4">
        <v>46041.40701929398</v>
      </c>
      <c r="B1418" s="3" t="s">
        <v>405</v>
      </c>
      <c r="C1418" s="3" t="s">
        <v>839</v>
      </c>
      <c r="D1418" s="3" t="s">
        <v>3625</v>
      </c>
      <c r="E1418" s="5">
        <v>39735.0</v>
      </c>
      <c r="F1418" s="3">
        <v>5.0635799E7</v>
      </c>
      <c r="G1418" s="3">
        <v>3.512584587E9</v>
      </c>
      <c r="H1418" s="3" t="s">
        <v>21</v>
      </c>
      <c r="I1418" s="3" t="s">
        <v>22</v>
      </c>
      <c r="K1418" s="3" t="s">
        <v>1132</v>
      </c>
      <c r="L1418" s="3" t="s">
        <v>1136</v>
      </c>
      <c r="M1418" s="3" t="s">
        <v>1137</v>
      </c>
      <c r="O1418" s="3" t="s">
        <v>2281</v>
      </c>
      <c r="R1418" s="7" t="str">
        <f>IF(H1418="","",VLOOKUP(H1418,'Hoja 9'!$A$1:$B$255,2,0))</f>
        <v>GOOGLE</v>
      </c>
      <c r="S1418" s="7">
        <f t="shared" si="1"/>
        <v>2026</v>
      </c>
      <c r="T1418" s="7">
        <f t="shared" si="2"/>
        <v>1</v>
      </c>
    </row>
    <row r="1419">
      <c r="A1419" s="4">
        <v>46041.44854253472</v>
      </c>
      <c r="B1419" s="3" t="s">
        <v>3626</v>
      </c>
      <c r="C1419" s="3" t="s">
        <v>2009</v>
      </c>
      <c r="D1419" s="3" t="s">
        <v>3627</v>
      </c>
      <c r="E1419" s="5">
        <v>30852.0</v>
      </c>
      <c r="F1419" s="3">
        <v>3.1041617E7</v>
      </c>
      <c r="G1419" s="3">
        <v>3.513141166E9</v>
      </c>
      <c r="H1419" s="3" t="s">
        <v>44</v>
      </c>
      <c r="I1419" s="3" t="s">
        <v>22</v>
      </c>
      <c r="K1419" s="3" t="s">
        <v>1132</v>
      </c>
      <c r="L1419" s="3" t="s">
        <v>1133</v>
      </c>
      <c r="M1419" s="3" t="s">
        <v>1134</v>
      </c>
      <c r="O1419" s="3" t="s">
        <v>23</v>
      </c>
      <c r="R1419" s="7" t="str">
        <f>IF(H1419="","",VLOOKUP(H1419,'Hoja 9'!$A$1:$B$255,2,0))</f>
        <v>GIMNASIO</v>
      </c>
      <c r="S1419" s="7">
        <f t="shared" si="1"/>
        <v>2026</v>
      </c>
      <c r="T1419" s="7">
        <f t="shared" si="2"/>
        <v>1</v>
      </c>
    </row>
    <row r="1420">
      <c r="A1420" s="4">
        <v>46041.977526608796</v>
      </c>
      <c r="B1420" s="3" t="s">
        <v>3628</v>
      </c>
      <c r="C1420" s="3" t="s">
        <v>2459</v>
      </c>
      <c r="D1420" s="3" t="s">
        <v>3629</v>
      </c>
      <c r="E1420" s="5">
        <v>16299.0</v>
      </c>
      <c r="F1420" s="3">
        <v>4855585.0</v>
      </c>
      <c r="G1420" s="3">
        <v>3.512839398E9</v>
      </c>
      <c r="H1420" s="3" t="s">
        <v>21</v>
      </c>
      <c r="I1420" s="3" t="s">
        <v>28</v>
      </c>
      <c r="K1420" s="3" t="s">
        <v>1145</v>
      </c>
      <c r="R1420" s="7" t="str">
        <f>IF(H1420="","",VLOOKUP(H1420,'Hoja 9'!$A$1:$B$255,2,0))</f>
        <v>GOOGLE</v>
      </c>
      <c r="S1420" s="7">
        <f t="shared" si="1"/>
        <v>2026</v>
      </c>
      <c r="T1420" s="7">
        <f t="shared" si="2"/>
        <v>1</v>
      </c>
    </row>
    <row r="1421">
      <c r="A1421" s="4">
        <v>46045.744317523146</v>
      </c>
      <c r="B1421" s="3" t="s">
        <v>3630</v>
      </c>
      <c r="C1421" s="3" t="s">
        <v>844</v>
      </c>
      <c r="D1421" s="3" t="s">
        <v>3631</v>
      </c>
      <c r="E1421" s="5">
        <v>35804.0</v>
      </c>
      <c r="F1421" s="3">
        <v>4.0783228E7</v>
      </c>
      <c r="G1421" s="3">
        <v>3.815972112E9</v>
      </c>
      <c r="H1421" s="3" t="s">
        <v>21</v>
      </c>
      <c r="I1421" s="3" t="s">
        <v>22</v>
      </c>
      <c r="K1421" s="3" t="s">
        <v>1132</v>
      </c>
      <c r="L1421" s="3" t="s">
        <v>1136</v>
      </c>
      <c r="M1421" s="3" t="s">
        <v>1134</v>
      </c>
      <c r="O1421" s="3" t="s">
        <v>58</v>
      </c>
      <c r="R1421" s="7" t="str">
        <f>IF(H1421="","",VLOOKUP(H1421,'Hoja 9'!$A$1:$B$255,2,0))</f>
        <v>GOOGLE</v>
      </c>
      <c r="S1421" s="7">
        <f t="shared" si="1"/>
        <v>2026</v>
      </c>
      <c r="T1421" s="7">
        <f t="shared" si="2"/>
        <v>1</v>
      </c>
    </row>
    <row r="1422">
      <c r="A1422" s="4">
        <v>46045.75071008102</v>
      </c>
      <c r="B1422" s="3" t="s">
        <v>1073</v>
      </c>
      <c r="C1422" s="3" t="s">
        <v>3632</v>
      </c>
      <c r="D1422" s="3" t="s">
        <v>3633</v>
      </c>
      <c r="E1422" s="5">
        <v>31224.0</v>
      </c>
      <c r="F1422" s="3">
        <v>3.1401166E7</v>
      </c>
      <c r="G1422" s="3">
        <v>3.516171363E9</v>
      </c>
      <c r="H1422" s="3" t="s">
        <v>44</v>
      </c>
      <c r="I1422" s="3" t="s">
        <v>28</v>
      </c>
      <c r="K1422" s="3" t="s">
        <v>1132</v>
      </c>
      <c r="L1422" s="3" t="s">
        <v>1133</v>
      </c>
      <c r="M1422" s="3" t="s">
        <v>1134</v>
      </c>
      <c r="R1422" s="7" t="str">
        <f>IF(H1422="","",VLOOKUP(H1422,'Hoja 9'!$A$1:$B$255,2,0))</f>
        <v>GIMNASIO</v>
      </c>
      <c r="S1422" s="7">
        <f t="shared" si="1"/>
        <v>2026</v>
      </c>
      <c r="T1422" s="7">
        <f t="shared" si="2"/>
        <v>1</v>
      </c>
    </row>
    <row r="1423">
      <c r="A1423" s="4">
        <v>46045.75343626157</v>
      </c>
      <c r="B1423" s="3" t="s">
        <v>3634</v>
      </c>
      <c r="C1423" s="3" t="s">
        <v>3635</v>
      </c>
      <c r="D1423" s="3" t="s">
        <v>3636</v>
      </c>
      <c r="E1423" s="5">
        <v>24063.0</v>
      </c>
      <c r="F1423" s="3">
        <v>1.7534139E7</v>
      </c>
      <c r="G1423" s="3">
        <v>3.51631816E9</v>
      </c>
      <c r="H1423" s="3" t="s">
        <v>27</v>
      </c>
      <c r="I1423" s="3" t="s">
        <v>22</v>
      </c>
      <c r="K1423" s="3" t="s">
        <v>1132</v>
      </c>
      <c r="L1423" s="3" t="s">
        <v>1422</v>
      </c>
      <c r="M1423" s="3" t="s">
        <v>1137</v>
      </c>
      <c r="O1423" s="3" t="s">
        <v>58</v>
      </c>
      <c r="R1423" s="7" t="str">
        <f>IF(H1423="","",VLOOKUP(H1423,'Hoja 9'!$A$1:$B$255,2,0))</f>
        <v>BOCA EN BOCA</v>
      </c>
      <c r="S1423" s="7">
        <f t="shared" si="1"/>
        <v>2026</v>
      </c>
      <c r="T1423" s="7">
        <f t="shared" si="2"/>
        <v>1</v>
      </c>
    </row>
    <row r="1424">
      <c r="A1424" s="4">
        <v>46046.60105752315</v>
      </c>
      <c r="B1424" s="3" t="s">
        <v>3637</v>
      </c>
      <c r="C1424" s="3" t="s">
        <v>3638</v>
      </c>
      <c r="D1424" s="3" t="s">
        <v>3639</v>
      </c>
      <c r="E1424" s="5">
        <v>33191.0</v>
      </c>
      <c r="F1424" s="3">
        <v>3.5572874E7</v>
      </c>
      <c r="G1424" s="3">
        <v>3.516437373E9</v>
      </c>
      <c r="H1424" s="3" t="s">
        <v>27</v>
      </c>
      <c r="I1424" s="3" t="s">
        <v>28</v>
      </c>
      <c r="K1424" s="3" t="s">
        <v>1132</v>
      </c>
      <c r="L1424" s="3" t="s">
        <v>2307</v>
      </c>
      <c r="M1424" s="3" t="s">
        <v>1137</v>
      </c>
      <c r="R1424" s="7" t="str">
        <f>IF(H1424="","",VLOOKUP(H1424,'Hoja 9'!$A$1:$B$255,2,0))</f>
        <v>BOCA EN BOCA</v>
      </c>
      <c r="S1424" s="7">
        <f t="shared" si="1"/>
        <v>2026</v>
      </c>
      <c r="T1424" s="7">
        <f t="shared" si="2"/>
        <v>1</v>
      </c>
    </row>
    <row r="1425">
      <c r="A1425" s="4">
        <v>46048.58545940972</v>
      </c>
      <c r="B1425" s="3" t="s">
        <v>3640</v>
      </c>
      <c r="C1425" s="3" t="s">
        <v>388</v>
      </c>
      <c r="D1425" s="3" t="s">
        <v>3641</v>
      </c>
      <c r="E1425" s="5">
        <v>31886.0</v>
      </c>
      <c r="F1425" s="3">
        <v>3.2844647E7</v>
      </c>
      <c r="G1425" s="3">
        <v>3.515483746E9</v>
      </c>
      <c r="H1425" s="3" t="s">
        <v>44</v>
      </c>
      <c r="I1425" s="3" t="s">
        <v>28</v>
      </c>
      <c r="K1425" s="3" t="s">
        <v>1132</v>
      </c>
      <c r="L1425" s="3" t="s">
        <v>1136</v>
      </c>
      <c r="M1425" s="3" t="s">
        <v>1137</v>
      </c>
      <c r="R1425" s="7" t="str">
        <f>IF(H1425="","",VLOOKUP(H1425,'Hoja 9'!$A$1:$B$255,2,0))</f>
        <v>GIMNASIO</v>
      </c>
      <c r="S1425" s="7">
        <f t="shared" si="1"/>
        <v>2026</v>
      </c>
      <c r="T1425" s="7">
        <f t="shared" si="2"/>
        <v>1</v>
      </c>
    </row>
    <row r="1426">
      <c r="A1426" s="4">
        <v>46049.52055447917</v>
      </c>
      <c r="B1426" s="3" t="s">
        <v>3642</v>
      </c>
      <c r="C1426" s="3" t="s">
        <v>3643</v>
      </c>
      <c r="D1426" s="3" t="s">
        <v>3644</v>
      </c>
      <c r="E1426" s="5">
        <v>36173.0</v>
      </c>
      <c r="F1426" s="3">
        <v>4.1665492E7</v>
      </c>
      <c r="G1426" s="3">
        <v>3.517501568E9</v>
      </c>
      <c r="H1426" s="3" t="s">
        <v>27</v>
      </c>
      <c r="I1426" s="3" t="s">
        <v>28</v>
      </c>
      <c r="K1426" s="3" t="s">
        <v>1132</v>
      </c>
      <c r="L1426" s="3" t="s">
        <v>1136</v>
      </c>
      <c r="M1426" s="3" t="s">
        <v>1134</v>
      </c>
      <c r="R1426" s="7" t="str">
        <f>IF(H1426="","",VLOOKUP(H1426,'Hoja 9'!$A$1:$B$255,2,0))</f>
        <v>BOCA EN BOCA</v>
      </c>
      <c r="S1426" s="7">
        <f t="shared" si="1"/>
        <v>2026</v>
      </c>
      <c r="T1426" s="7">
        <f t="shared" si="2"/>
        <v>1</v>
      </c>
    </row>
    <row r="1427">
      <c r="A1427" s="4">
        <v>46049.86046222222</v>
      </c>
      <c r="B1427" s="3" t="s">
        <v>3645</v>
      </c>
      <c r="C1427" s="3" t="s">
        <v>3646</v>
      </c>
      <c r="D1427" s="3" t="s">
        <v>3647</v>
      </c>
      <c r="E1427" s="5">
        <v>29383.0</v>
      </c>
      <c r="F1427" s="3">
        <v>2.8268658E7</v>
      </c>
      <c r="G1427" s="3">
        <v>3.512364641E9</v>
      </c>
      <c r="H1427" s="3" t="s">
        <v>27</v>
      </c>
      <c r="I1427" s="3" t="s">
        <v>28</v>
      </c>
      <c r="K1427" s="3" t="s">
        <v>1132</v>
      </c>
      <c r="L1427" s="3" t="s">
        <v>3648</v>
      </c>
      <c r="M1427" s="3" t="s">
        <v>1137</v>
      </c>
      <c r="R1427" s="7" t="str">
        <f>IF(H1427="","",VLOOKUP(H1427,'Hoja 9'!$A$1:$B$255,2,0))</f>
        <v>BOCA EN BOCA</v>
      </c>
      <c r="S1427" s="7">
        <f t="shared" si="1"/>
        <v>2026</v>
      </c>
      <c r="T1427" s="7">
        <f t="shared" si="2"/>
        <v>1</v>
      </c>
    </row>
    <row r="1428">
      <c r="A1428" s="4">
        <v>46050.5064684838</v>
      </c>
      <c r="B1428" s="3" t="s">
        <v>3649</v>
      </c>
      <c r="C1428" s="3" t="s">
        <v>202</v>
      </c>
      <c r="D1428" s="3" t="s">
        <v>3650</v>
      </c>
      <c r="E1428" s="5">
        <v>21244.0</v>
      </c>
      <c r="F1428" s="3">
        <v>1.2334802E7</v>
      </c>
      <c r="G1428" s="3">
        <v>3.516214577E9</v>
      </c>
      <c r="H1428" s="3" t="s">
        <v>44</v>
      </c>
      <c r="I1428" s="3" t="s">
        <v>22</v>
      </c>
      <c r="K1428" s="3" t="s">
        <v>1132</v>
      </c>
      <c r="L1428" s="3" t="s">
        <v>3651</v>
      </c>
      <c r="M1428" s="3" t="s">
        <v>1134</v>
      </c>
      <c r="O1428" s="3" t="s">
        <v>3652</v>
      </c>
      <c r="R1428" s="7" t="str">
        <f>IF(H1428="","",VLOOKUP(H1428,'Hoja 9'!$A$1:$B$255,2,0))</f>
        <v>GIMNASIO</v>
      </c>
      <c r="S1428" s="7">
        <f t="shared" si="1"/>
        <v>2026</v>
      </c>
      <c r="T1428" s="7">
        <f t="shared" si="2"/>
        <v>1</v>
      </c>
    </row>
    <row r="1429">
      <c r="A1429" s="4">
        <v>46051.37787696759</v>
      </c>
      <c r="B1429" s="3" t="s">
        <v>3653</v>
      </c>
      <c r="C1429" s="3" t="s">
        <v>3654</v>
      </c>
      <c r="D1429" s="3" t="s">
        <v>3655</v>
      </c>
      <c r="E1429" s="5">
        <v>33550.0</v>
      </c>
      <c r="F1429" s="3">
        <v>3.6706708E7</v>
      </c>
      <c r="G1429" s="3">
        <v>3.517529092E9</v>
      </c>
      <c r="H1429" s="3" t="s">
        <v>21</v>
      </c>
      <c r="I1429" s="3" t="s">
        <v>28</v>
      </c>
      <c r="K1429" s="3" t="s">
        <v>1132</v>
      </c>
      <c r="L1429" s="3" t="s">
        <v>3656</v>
      </c>
      <c r="M1429" s="3" t="s">
        <v>1134</v>
      </c>
      <c r="R1429" s="7" t="str">
        <f>IF(H1429="","",VLOOKUP(H1429,'Hoja 9'!$A$1:$B$255,2,0))</f>
        <v>GOOGLE</v>
      </c>
      <c r="S1429" s="7">
        <f t="shared" si="1"/>
        <v>2026</v>
      </c>
      <c r="T1429" s="7">
        <f t="shared" si="2"/>
        <v>1</v>
      </c>
    </row>
    <row r="1430">
      <c r="A1430" s="4">
        <v>46052.4667724537</v>
      </c>
      <c r="B1430" s="3" t="s">
        <v>1432</v>
      </c>
      <c r="C1430" s="3" t="s">
        <v>778</v>
      </c>
      <c r="D1430" s="3" t="s">
        <v>3657</v>
      </c>
      <c r="E1430" s="5">
        <v>39083.0</v>
      </c>
      <c r="F1430" s="3">
        <v>4.7662038E7</v>
      </c>
      <c r="G1430" s="3">
        <v>3.516848615E9</v>
      </c>
      <c r="H1430" s="3" t="s">
        <v>44</v>
      </c>
      <c r="I1430" s="3" t="s">
        <v>22</v>
      </c>
      <c r="K1430" s="3" t="s">
        <v>1132</v>
      </c>
      <c r="L1430" s="3" t="s">
        <v>1382</v>
      </c>
      <c r="M1430" s="3" t="s">
        <v>1134</v>
      </c>
      <c r="O1430" s="3" t="s">
        <v>72</v>
      </c>
      <c r="R1430" s="7" t="str">
        <f>IF(H1430="","",VLOOKUP(H1430,'Hoja 9'!$A$1:$B$255,2,0))</f>
        <v>GIMNASIO</v>
      </c>
      <c r="S1430" s="7">
        <f t="shared" si="1"/>
        <v>2026</v>
      </c>
      <c r="T1430" s="7">
        <f t="shared" si="2"/>
        <v>1</v>
      </c>
    </row>
    <row r="1431">
      <c r="A1431" s="4">
        <v>46052.57834313657</v>
      </c>
      <c r="B1431" s="3" t="s">
        <v>3658</v>
      </c>
      <c r="C1431" s="3" t="s">
        <v>3659</v>
      </c>
      <c r="D1431" s="3" t="s">
        <v>3660</v>
      </c>
      <c r="E1431" s="5">
        <v>39490.0</v>
      </c>
      <c r="F1431" s="3">
        <v>4.7819713E7</v>
      </c>
      <c r="G1431" s="3">
        <v>3.518656799E9</v>
      </c>
      <c r="H1431" s="3" t="s">
        <v>21</v>
      </c>
      <c r="I1431" s="3" t="s">
        <v>28</v>
      </c>
      <c r="K1431" s="3" t="s">
        <v>1132</v>
      </c>
      <c r="L1431" s="3" t="s">
        <v>1136</v>
      </c>
      <c r="M1431" s="3" t="s">
        <v>1213</v>
      </c>
      <c r="R1431" s="7" t="str">
        <f>IF(H1431="","",VLOOKUP(H1431,'Hoja 9'!$A$1:$B$255,2,0))</f>
        <v>GOOGLE</v>
      </c>
      <c r="S1431" s="7">
        <f t="shared" si="1"/>
        <v>2026</v>
      </c>
      <c r="T1431" s="7">
        <f t="shared" si="2"/>
        <v>1</v>
      </c>
    </row>
    <row r="1432">
      <c r="A1432" s="4">
        <v>46052.80698064815</v>
      </c>
      <c r="B1432" s="3" t="s">
        <v>3661</v>
      </c>
      <c r="C1432" s="3" t="s">
        <v>218</v>
      </c>
      <c r="D1432" s="3" t="s">
        <v>3662</v>
      </c>
      <c r="E1432" s="5">
        <v>32529.0</v>
      </c>
      <c r="F1432" s="3">
        <v>3.4246174E7</v>
      </c>
      <c r="G1432" s="3">
        <v>3.513028589E9</v>
      </c>
      <c r="H1432" s="3" t="s">
        <v>3663</v>
      </c>
      <c r="I1432" s="3" t="s">
        <v>22</v>
      </c>
      <c r="K1432" s="3" t="s">
        <v>1132</v>
      </c>
      <c r="L1432" s="3" t="s">
        <v>1404</v>
      </c>
      <c r="M1432" s="3" t="s">
        <v>1134</v>
      </c>
      <c r="O1432" s="3" t="s">
        <v>3664</v>
      </c>
      <c r="R1432" s="7" t="str">
        <f>IF(H1432="","",VLOOKUP(H1432,'Hoja 9'!$A$1:$B$255,2,0))</f>
        <v>GIMNASIO</v>
      </c>
      <c r="S1432" s="7">
        <f t="shared" si="1"/>
        <v>2026</v>
      </c>
      <c r="T1432" s="7">
        <f t="shared" si="2"/>
        <v>1</v>
      </c>
    </row>
    <row r="1433">
      <c r="A1433" s="4">
        <v>46055.57379998843</v>
      </c>
      <c r="B1433" s="3" t="s">
        <v>3337</v>
      </c>
      <c r="C1433" s="3" t="s">
        <v>3338</v>
      </c>
      <c r="D1433" s="3" t="s">
        <v>3339</v>
      </c>
      <c r="E1433" s="5">
        <v>25957.0</v>
      </c>
      <c r="F1433" s="3">
        <v>2.1966177E7</v>
      </c>
      <c r="G1433" s="3">
        <v>3.513947342E9</v>
      </c>
      <c r="H1433" s="3" t="s">
        <v>27</v>
      </c>
      <c r="I1433" s="3" t="s">
        <v>22</v>
      </c>
      <c r="K1433" s="3" t="s">
        <v>1145</v>
      </c>
      <c r="O1433" s="3" t="s">
        <v>23</v>
      </c>
      <c r="R1433" s="7" t="str">
        <f>IF(H1433="","",VLOOKUP(H1433,'Hoja 9'!$A$1:$B$255,2,0))</f>
        <v>BOCA EN BOCA</v>
      </c>
      <c r="S1433" s="7">
        <f t="shared" si="1"/>
        <v>2026</v>
      </c>
      <c r="T1433" s="7">
        <f t="shared" si="2"/>
        <v>2</v>
      </c>
    </row>
    <row r="1434">
      <c r="A1434" s="4">
        <v>46055.58215652777</v>
      </c>
      <c r="B1434" s="3" t="s">
        <v>3665</v>
      </c>
      <c r="C1434" s="3" t="s">
        <v>3666</v>
      </c>
      <c r="D1434" s="3" t="s">
        <v>3339</v>
      </c>
      <c r="E1434" s="5">
        <v>17036.0</v>
      </c>
      <c r="F1434" s="3">
        <v>5455636.0</v>
      </c>
      <c r="G1434" s="3">
        <v>3.513947342E9</v>
      </c>
      <c r="H1434" s="3" t="s">
        <v>27</v>
      </c>
      <c r="I1434" s="3" t="s">
        <v>22</v>
      </c>
      <c r="K1434" s="3" t="s">
        <v>1145</v>
      </c>
      <c r="O1434" s="3" t="s">
        <v>3667</v>
      </c>
      <c r="R1434" s="7" t="str">
        <f>IF(H1434="","",VLOOKUP(H1434,'Hoja 9'!$A$1:$B$255,2,0))</f>
        <v>BOCA EN BOCA</v>
      </c>
      <c r="S1434" s="7">
        <f t="shared" si="1"/>
        <v>2026</v>
      </c>
      <c r="T1434" s="7">
        <f t="shared" si="2"/>
        <v>2</v>
      </c>
    </row>
    <row r="1435">
      <c r="A1435" s="4">
        <v>46056.47340087963</v>
      </c>
      <c r="B1435" s="3" t="s">
        <v>3668</v>
      </c>
      <c r="C1435" s="3" t="s">
        <v>3669</v>
      </c>
      <c r="D1435" s="3" t="s">
        <v>3670</v>
      </c>
      <c r="E1435" s="5">
        <v>20306.0</v>
      </c>
      <c r="F1435" s="3">
        <v>1.1744302E7</v>
      </c>
      <c r="G1435" s="3">
        <v>3.51590324E9</v>
      </c>
      <c r="H1435" s="3" t="s">
        <v>44</v>
      </c>
      <c r="I1435" s="3" t="s">
        <v>22</v>
      </c>
      <c r="K1435" s="3" t="s">
        <v>1132</v>
      </c>
      <c r="L1435" s="3" t="s">
        <v>1133</v>
      </c>
      <c r="M1435" s="3" t="s">
        <v>1134</v>
      </c>
      <c r="O1435" s="3" t="s">
        <v>68</v>
      </c>
      <c r="R1435" s="7" t="str">
        <f>IF(H1435="","",VLOOKUP(H1435,'Hoja 9'!$A$1:$B$255,2,0))</f>
        <v>GIMNASIO</v>
      </c>
      <c r="S1435" s="7">
        <f t="shared" si="1"/>
        <v>2026</v>
      </c>
      <c r="T1435" s="7">
        <f t="shared" si="2"/>
        <v>2</v>
      </c>
    </row>
    <row r="1436">
      <c r="A1436" s="4">
        <v>46056.49368142361</v>
      </c>
      <c r="B1436" s="3" t="s">
        <v>3671</v>
      </c>
      <c r="C1436" s="3" t="s">
        <v>3672</v>
      </c>
      <c r="E1436" s="5">
        <v>29218.0</v>
      </c>
      <c r="F1436" s="3">
        <v>2.7671884E7</v>
      </c>
      <c r="G1436" s="3">
        <v>3.518579518E9</v>
      </c>
      <c r="H1436" s="3" t="s">
        <v>21</v>
      </c>
      <c r="I1436" s="3" t="s">
        <v>22</v>
      </c>
      <c r="K1436" s="3" t="s">
        <v>1132</v>
      </c>
      <c r="L1436" s="3" t="s">
        <v>1133</v>
      </c>
      <c r="M1436" s="3" t="s">
        <v>1134</v>
      </c>
      <c r="O1436" s="3" t="s">
        <v>58</v>
      </c>
      <c r="R1436" s="7" t="str">
        <f>IF(H1436="","",VLOOKUP(H1436,'Hoja 9'!$A$1:$B$255,2,0))</f>
        <v>GOOGLE</v>
      </c>
      <c r="S1436" s="7">
        <f t="shared" si="1"/>
        <v>2026</v>
      </c>
      <c r="T1436" s="7">
        <f t="shared" si="2"/>
        <v>2</v>
      </c>
    </row>
    <row r="1437">
      <c r="A1437" s="4">
        <v>46056.71940180556</v>
      </c>
      <c r="B1437" s="3" t="s">
        <v>3420</v>
      </c>
      <c r="C1437" s="3" t="s">
        <v>3673</v>
      </c>
      <c r="D1437" s="3" t="s">
        <v>3674</v>
      </c>
      <c r="E1437" s="5">
        <v>35688.0</v>
      </c>
      <c r="F1437" s="3">
        <v>4.0683106E7</v>
      </c>
      <c r="G1437" s="3">
        <v>3.51645483E9</v>
      </c>
      <c r="H1437" s="3" t="s">
        <v>244</v>
      </c>
      <c r="I1437" s="3" t="s">
        <v>22</v>
      </c>
      <c r="K1437" s="3" t="s">
        <v>1132</v>
      </c>
      <c r="L1437" s="3" t="s">
        <v>1136</v>
      </c>
      <c r="M1437" s="3" t="s">
        <v>1134</v>
      </c>
      <c r="O1437" s="3" t="s">
        <v>58</v>
      </c>
      <c r="R1437" s="7" t="str">
        <f>IF(H1437="","",VLOOKUP(H1437,'Hoja 9'!$A$1:$B$255,2,0))</f>
        <v>META</v>
      </c>
      <c r="S1437" s="7">
        <f t="shared" si="1"/>
        <v>2026</v>
      </c>
      <c r="T1437" s="7">
        <f t="shared" si="2"/>
        <v>2</v>
      </c>
    </row>
    <row r="1438">
      <c r="A1438" s="4">
        <v>46056.80515461805</v>
      </c>
      <c r="B1438" s="3" t="s">
        <v>3675</v>
      </c>
      <c r="C1438" s="3" t="s">
        <v>3676</v>
      </c>
      <c r="D1438" s="3" t="s">
        <v>3677</v>
      </c>
      <c r="E1438" s="5">
        <v>24995.0</v>
      </c>
      <c r="F1438" s="3">
        <v>2.0380547E7</v>
      </c>
      <c r="G1438" s="3">
        <v>3.517193999E9</v>
      </c>
      <c r="H1438" s="3" t="s">
        <v>27</v>
      </c>
      <c r="I1438" s="3" t="s">
        <v>28</v>
      </c>
      <c r="K1438" s="3" t="s">
        <v>1132</v>
      </c>
      <c r="L1438" s="3" t="s">
        <v>3678</v>
      </c>
      <c r="M1438" s="3" t="s">
        <v>1213</v>
      </c>
      <c r="R1438" s="7" t="str">
        <f>IF(H1438="","",VLOOKUP(H1438,'Hoja 9'!$A$1:$B$255,2,0))</f>
        <v>BOCA EN BOCA</v>
      </c>
      <c r="S1438" s="7">
        <f t="shared" si="1"/>
        <v>2026</v>
      </c>
      <c r="T1438" s="7">
        <f t="shared" si="2"/>
        <v>2</v>
      </c>
    </row>
    <row r="1439">
      <c r="A1439" s="4">
        <v>46057.40728738426</v>
      </c>
      <c r="B1439" s="3" t="s">
        <v>488</v>
      </c>
      <c r="C1439" s="3" t="s">
        <v>344</v>
      </c>
      <c r="D1439" s="3" t="s">
        <v>3679</v>
      </c>
      <c r="E1439" s="5">
        <v>38784.0</v>
      </c>
      <c r="F1439" s="3">
        <v>4.7304143E7</v>
      </c>
      <c r="G1439" s="3">
        <v>3.517078942E9</v>
      </c>
      <c r="H1439" s="3" t="s">
        <v>21</v>
      </c>
      <c r="I1439" s="3" t="s">
        <v>28</v>
      </c>
      <c r="K1439" s="3" t="s">
        <v>1145</v>
      </c>
      <c r="R1439" s="7" t="str">
        <f>IF(H1439="","",VLOOKUP(H1439,'Hoja 9'!$A$1:$B$255,2,0))</f>
        <v>GOOGLE</v>
      </c>
      <c r="S1439" s="7">
        <f t="shared" si="1"/>
        <v>2026</v>
      </c>
      <c r="T1439" s="7">
        <f t="shared" si="2"/>
        <v>2</v>
      </c>
    </row>
    <row r="1440">
      <c r="A1440" s="4">
        <v>46057.49768</v>
      </c>
      <c r="B1440" s="3" t="s">
        <v>3680</v>
      </c>
      <c r="C1440" s="3" t="s">
        <v>2359</v>
      </c>
      <c r="E1440" s="5">
        <v>30516.0</v>
      </c>
      <c r="F1440" s="3">
        <v>3.4289721E7</v>
      </c>
      <c r="G1440" s="3">
        <v>3.515516778E9</v>
      </c>
      <c r="H1440" s="3" t="s">
        <v>27</v>
      </c>
      <c r="I1440" s="3" t="s">
        <v>28</v>
      </c>
      <c r="K1440" s="3" t="s">
        <v>1132</v>
      </c>
      <c r="L1440" s="3" t="s">
        <v>1133</v>
      </c>
      <c r="M1440" s="3" t="s">
        <v>1134</v>
      </c>
      <c r="R1440" s="7" t="str">
        <f>IF(H1440="","",VLOOKUP(H1440,'Hoja 9'!$A$1:$B$255,2,0))</f>
        <v>BOCA EN BOCA</v>
      </c>
      <c r="S1440" s="7">
        <f t="shared" si="1"/>
        <v>2026</v>
      </c>
      <c r="T1440" s="7">
        <f t="shared" si="2"/>
        <v>2</v>
      </c>
    </row>
    <row r="1441">
      <c r="A1441" s="4">
        <v>46058.50689597223</v>
      </c>
      <c r="B1441" s="3" t="s">
        <v>3681</v>
      </c>
      <c r="C1441" s="3" t="s">
        <v>3682</v>
      </c>
      <c r="D1441" s="3" t="s">
        <v>3683</v>
      </c>
      <c r="E1441" s="5">
        <v>39871.0</v>
      </c>
      <c r="F1441" s="3">
        <v>4.9405623E7</v>
      </c>
      <c r="G1441" s="3">
        <v>3.51518568E9</v>
      </c>
      <c r="H1441" s="3" t="s">
        <v>21</v>
      </c>
      <c r="I1441" s="3" t="s">
        <v>28</v>
      </c>
      <c r="K1441" s="3" t="s">
        <v>1132</v>
      </c>
      <c r="L1441" s="3" t="s">
        <v>3684</v>
      </c>
      <c r="M1441" s="3" t="s">
        <v>1213</v>
      </c>
      <c r="R1441" s="7" t="str">
        <f>IF(H1441="","",VLOOKUP(H1441,'Hoja 9'!$A$1:$B$255,2,0))</f>
        <v>GOOGLE</v>
      </c>
      <c r="S1441" s="7">
        <f t="shared" si="1"/>
        <v>2026</v>
      </c>
      <c r="T1441" s="7">
        <f t="shared" si="2"/>
        <v>2</v>
      </c>
    </row>
    <row r="1442">
      <c r="A1442" s="4">
        <v>46062.39026505787</v>
      </c>
      <c r="B1442" s="3" t="s">
        <v>1686</v>
      </c>
      <c r="C1442" s="3" t="s">
        <v>3188</v>
      </c>
      <c r="D1442" s="3" t="s">
        <v>3685</v>
      </c>
      <c r="E1442" s="5">
        <v>37539.0</v>
      </c>
      <c r="F1442" s="3">
        <v>4.4192461E7</v>
      </c>
      <c r="G1442" s="3">
        <v>3.516362556E9</v>
      </c>
      <c r="H1442" s="3" t="s">
        <v>44</v>
      </c>
      <c r="I1442" s="3" t="s">
        <v>28</v>
      </c>
      <c r="K1442" s="3" t="s">
        <v>1132</v>
      </c>
      <c r="L1442" s="3" t="s">
        <v>1133</v>
      </c>
      <c r="M1442" s="3" t="s">
        <v>1134</v>
      </c>
      <c r="R1442" s="7" t="str">
        <f>IF(H1442="","",VLOOKUP(H1442,'Hoja 9'!$A$1:$B$255,2,0))</f>
        <v>GIMNASIO</v>
      </c>
      <c r="S1442" s="7">
        <f t="shared" si="1"/>
        <v>2026</v>
      </c>
      <c r="T1442" s="7">
        <f t="shared" si="2"/>
        <v>2</v>
      </c>
    </row>
    <row r="1443">
      <c r="A1443" s="4">
        <v>46063.51658793981</v>
      </c>
      <c r="B1443" s="3" t="s">
        <v>3686</v>
      </c>
      <c r="C1443" s="3" t="s">
        <v>3687</v>
      </c>
      <c r="D1443" s="3" t="s">
        <v>3688</v>
      </c>
      <c r="E1443" s="5" t="s">
        <v>3689</v>
      </c>
      <c r="F1443" s="3">
        <v>1.3951769E7</v>
      </c>
      <c r="G1443" s="3">
        <v>3.513019701E9</v>
      </c>
      <c r="H1443" s="3" t="s">
        <v>27</v>
      </c>
      <c r="I1443" s="3" t="s">
        <v>22</v>
      </c>
      <c r="K1443" s="3" t="s">
        <v>1132</v>
      </c>
      <c r="L1443" s="3" t="s">
        <v>1133</v>
      </c>
      <c r="M1443" s="3" t="s">
        <v>1134</v>
      </c>
      <c r="R1443" s="7" t="str">
        <f>IF(H1443="","",VLOOKUP(H1443,'Hoja 9'!$A$1:$B$255,2,0))</f>
        <v>BOCA EN BOCA</v>
      </c>
      <c r="S1443" s="7">
        <f t="shared" si="1"/>
        <v>2026</v>
      </c>
      <c r="T1443" s="7">
        <f t="shared" si="2"/>
        <v>2</v>
      </c>
    </row>
    <row r="1444">
      <c r="A1444" s="4">
        <v>46063.629218159724</v>
      </c>
      <c r="B1444" s="3" t="s">
        <v>3690</v>
      </c>
      <c r="C1444" s="3" t="s">
        <v>3691</v>
      </c>
      <c r="D1444" s="3" t="s">
        <v>3692</v>
      </c>
      <c r="E1444" s="5">
        <v>21115.0</v>
      </c>
      <c r="F1444" s="3">
        <v>1.3820097E7</v>
      </c>
      <c r="G1444" s="3">
        <v>3.513682073E9</v>
      </c>
      <c r="H1444" s="3" t="s">
        <v>27</v>
      </c>
      <c r="I1444" s="3" t="s">
        <v>22</v>
      </c>
      <c r="K1444" s="3" t="s">
        <v>1132</v>
      </c>
      <c r="L1444" s="3" t="s">
        <v>3693</v>
      </c>
      <c r="M1444" s="3" t="s">
        <v>1137</v>
      </c>
      <c r="O1444" s="3" t="s">
        <v>23</v>
      </c>
      <c r="R1444" s="7" t="str">
        <f>IF(H1444="","",VLOOKUP(H1444,'Hoja 9'!$A$1:$B$255,2,0))</f>
        <v>BOCA EN BOCA</v>
      </c>
      <c r="S1444" s="7">
        <f t="shared" si="1"/>
        <v>2026</v>
      </c>
      <c r="T1444" s="7">
        <f t="shared" si="2"/>
        <v>2</v>
      </c>
    </row>
    <row r="1445">
      <c r="A1445" s="4">
        <v>46063.726023379626</v>
      </c>
      <c r="B1445" s="3" t="s">
        <v>3694</v>
      </c>
      <c r="C1445" s="3" t="s">
        <v>745</v>
      </c>
      <c r="D1445" s="3" t="s">
        <v>3695</v>
      </c>
      <c r="E1445" s="5">
        <v>21487.0</v>
      </c>
      <c r="F1445" s="3">
        <v>1.2811915E7</v>
      </c>
      <c r="G1445" s="3">
        <v>3.516842615E9</v>
      </c>
      <c r="H1445" s="3" t="s">
        <v>27</v>
      </c>
      <c r="I1445" s="3" t="s">
        <v>22</v>
      </c>
      <c r="K1445" s="3" t="s">
        <v>1132</v>
      </c>
      <c r="L1445" s="3" t="s">
        <v>1282</v>
      </c>
      <c r="M1445" s="3" t="s">
        <v>1137</v>
      </c>
      <c r="O1445" s="3" t="s">
        <v>23</v>
      </c>
      <c r="R1445" s="7" t="str">
        <f>IF(H1445="","",VLOOKUP(H1445,'Hoja 9'!$A$1:$B$255,2,0))</f>
        <v>BOCA EN BOCA</v>
      </c>
      <c r="S1445" s="7">
        <f t="shared" si="1"/>
        <v>2026</v>
      </c>
      <c r="T1445" s="7">
        <f t="shared" si="2"/>
        <v>2</v>
      </c>
    </row>
    <row r="1446">
      <c r="A1446" s="4">
        <v>46064.73681248842</v>
      </c>
      <c r="B1446" s="3" t="s">
        <v>3696</v>
      </c>
      <c r="C1446" s="3" t="s">
        <v>727</v>
      </c>
      <c r="D1446" s="3" t="s">
        <v>3697</v>
      </c>
      <c r="E1446" s="5">
        <v>35460.0</v>
      </c>
      <c r="F1446" s="3">
        <v>4.0109375E7</v>
      </c>
      <c r="G1446" s="3">
        <v>3.516592467E9</v>
      </c>
      <c r="H1446" s="3" t="s">
        <v>27</v>
      </c>
      <c r="I1446" s="3" t="s">
        <v>28</v>
      </c>
      <c r="K1446" s="3" t="s">
        <v>1145</v>
      </c>
      <c r="R1446" s="7" t="str">
        <f>IF(H1446="","",VLOOKUP(H1446,'Hoja 9'!$A$1:$B$255,2,0))</f>
        <v>BOCA EN BOCA</v>
      </c>
      <c r="S1446" s="7">
        <f t="shared" si="1"/>
        <v>2026</v>
      </c>
      <c r="T1446" s="7">
        <f t="shared" si="2"/>
        <v>2</v>
      </c>
    </row>
    <row r="1447">
      <c r="A1447" s="4">
        <v>46064.76241693287</v>
      </c>
      <c r="B1447" s="3" t="s">
        <v>3698</v>
      </c>
      <c r="C1447" s="3" t="s">
        <v>3699</v>
      </c>
      <c r="D1447" s="3" t="s">
        <v>3700</v>
      </c>
      <c r="E1447" s="5">
        <v>40878.0</v>
      </c>
      <c r="F1447" s="3">
        <v>5.1277078E7</v>
      </c>
      <c r="G1447" s="3">
        <v>3.515903053E9</v>
      </c>
      <c r="H1447" s="3" t="s">
        <v>44</v>
      </c>
      <c r="I1447" s="3" t="s">
        <v>28</v>
      </c>
      <c r="K1447" s="3" t="s">
        <v>1132</v>
      </c>
      <c r="L1447" s="3" t="s">
        <v>1401</v>
      </c>
      <c r="M1447" s="3" t="s">
        <v>1213</v>
      </c>
      <c r="R1447" s="7" t="str">
        <f>IF(H1447="","",VLOOKUP(H1447,'Hoja 9'!$A$1:$B$255,2,0))</f>
        <v>GIMNASIO</v>
      </c>
      <c r="S1447" s="7">
        <f t="shared" si="1"/>
        <v>2026</v>
      </c>
      <c r="T1447" s="7">
        <f t="shared" si="2"/>
        <v>2</v>
      </c>
    </row>
    <row r="1448">
      <c r="A1448" s="4">
        <v>46064.77052027777</v>
      </c>
      <c r="B1448" s="3" t="s">
        <v>3701</v>
      </c>
      <c r="C1448" s="3" t="s">
        <v>3702</v>
      </c>
      <c r="D1448" s="3" t="s">
        <v>3703</v>
      </c>
      <c r="E1448" s="5">
        <v>25033.0</v>
      </c>
      <c r="F1448" s="3">
        <v>9.2491518E7</v>
      </c>
      <c r="G1448" s="3">
        <v>3.51540082E9</v>
      </c>
      <c r="H1448" s="3" t="s">
        <v>244</v>
      </c>
      <c r="I1448" s="3" t="s">
        <v>28</v>
      </c>
      <c r="K1448" s="3" t="s">
        <v>1132</v>
      </c>
      <c r="L1448" s="3" t="s">
        <v>3398</v>
      </c>
      <c r="M1448" s="3" t="s">
        <v>1134</v>
      </c>
      <c r="R1448" s="7" t="str">
        <f>IF(H1448="","",VLOOKUP(H1448,'Hoja 9'!$A$1:$B$255,2,0))</f>
        <v>META</v>
      </c>
      <c r="S1448" s="7">
        <f t="shared" si="1"/>
        <v>2026</v>
      </c>
      <c r="T1448" s="7">
        <f t="shared" si="2"/>
        <v>2</v>
      </c>
    </row>
    <row r="1449">
      <c r="A1449" s="4">
        <v>46064.8163802662</v>
      </c>
      <c r="B1449" s="3" t="s">
        <v>3704</v>
      </c>
      <c r="C1449" s="3" t="s">
        <v>996</v>
      </c>
      <c r="D1449" s="3" t="s">
        <v>3705</v>
      </c>
      <c r="E1449" s="5">
        <v>37888.0</v>
      </c>
      <c r="F1449" s="3">
        <v>4.4970157E7</v>
      </c>
      <c r="G1449" s="3">
        <v>3.516886729E9</v>
      </c>
      <c r="H1449" s="3" t="s">
        <v>44</v>
      </c>
      <c r="I1449" s="3" t="s">
        <v>28</v>
      </c>
      <c r="K1449" s="3" t="s">
        <v>1132</v>
      </c>
      <c r="L1449" s="3" t="s">
        <v>1136</v>
      </c>
      <c r="M1449" s="3" t="s">
        <v>1137</v>
      </c>
      <c r="R1449" s="7" t="str">
        <f>IF(H1449="","",VLOOKUP(H1449,'Hoja 9'!$A$1:$B$255,2,0))</f>
        <v>GIMNASIO</v>
      </c>
      <c r="S1449" s="7">
        <f t="shared" si="1"/>
        <v>2026</v>
      </c>
      <c r="T1449" s="7">
        <f t="shared" si="2"/>
        <v>2</v>
      </c>
    </row>
    <row r="1450">
      <c r="A1450" s="4">
        <v>46064.82044928241</v>
      </c>
      <c r="B1450" s="3" t="s">
        <v>1095</v>
      </c>
      <c r="C1450" s="3" t="s">
        <v>449</v>
      </c>
      <c r="D1450" s="3" t="s">
        <v>3706</v>
      </c>
      <c r="E1450" s="5">
        <v>34768.0</v>
      </c>
      <c r="F1450" s="3">
        <v>3.8478548E7</v>
      </c>
      <c r="G1450" s="3">
        <v>3.521416877E9</v>
      </c>
      <c r="H1450" s="3" t="s">
        <v>44</v>
      </c>
      <c r="I1450" s="3" t="s">
        <v>28</v>
      </c>
      <c r="K1450" s="3" t="s">
        <v>1132</v>
      </c>
      <c r="L1450" s="3" t="s">
        <v>3707</v>
      </c>
      <c r="M1450" s="3" t="s">
        <v>1134</v>
      </c>
      <c r="R1450" s="7" t="str">
        <f>IF(H1450="","",VLOOKUP(H1450,'Hoja 9'!$A$1:$B$255,2,0))</f>
        <v>GIMNASIO</v>
      </c>
      <c r="S1450" s="7">
        <f t="shared" si="1"/>
        <v>2026</v>
      </c>
      <c r="T1450" s="7">
        <f t="shared" si="2"/>
        <v>2</v>
      </c>
    </row>
    <row r="1451">
      <c r="A1451" s="4">
        <v>46065.41984368056</v>
      </c>
      <c r="B1451" s="3" t="s">
        <v>91</v>
      </c>
      <c r="C1451" s="3" t="s">
        <v>1523</v>
      </c>
      <c r="D1451" s="3" t="s">
        <v>3708</v>
      </c>
      <c r="E1451" s="5">
        <v>37544.0</v>
      </c>
      <c r="F1451" s="3">
        <v>4.42742E7</v>
      </c>
      <c r="G1451" s="3">
        <v>3.512036748E9</v>
      </c>
      <c r="H1451" s="3" t="s">
        <v>27</v>
      </c>
      <c r="I1451" s="3" t="s">
        <v>22</v>
      </c>
      <c r="K1451" s="3" t="s">
        <v>1145</v>
      </c>
      <c r="O1451" s="3" t="s">
        <v>928</v>
      </c>
      <c r="R1451" s="7" t="str">
        <f>IF(H1451="","",VLOOKUP(H1451,'Hoja 9'!$A$1:$B$255,2,0))</f>
        <v>BOCA EN BOCA</v>
      </c>
      <c r="S1451" s="7">
        <f t="shared" si="1"/>
        <v>2026</v>
      </c>
      <c r="T1451" s="7">
        <f t="shared" si="2"/>
        <v>2</v>
      </c>
    </row>
    <row r="1452">
      <c r="A1452" s="4">
        <v>46065.76878012731</v>
      </c>
      <c r="B1452" s="3" t="s">
        <v>1715</v>
      </c>
      <c r="C1452" s="3" t="s">
        <v>1687</v>
      </c>
      <c r="D1452" s="3" t="s">
        <v>3709</v>
      </c>
      <c r="E1452" s="5">
        <v>31751.0</v>
      </c>
      <c r="F1452" s="3">
        <v>3.2682826E7</v>
      </c>
      <c r="G1452" s="3">
        <v>3.513980187E9</v>
      </c>
      <c r="H1452" s="3" t="s">
        <v>27</v>
      </c>
      <c r="I1452" s="3" t="s">
        <v>22</v>
      </c>
      <c r="K1452" s="3" t="s">
        <v>1132</v>
      </c>
      <c r="L1452" s="3" t="s">
        <v>1133</v>
      </c>
      <c r="M1452" s="3" t="s">
        <v>1134</v>
      </c>
      <c r="O1452" s="3" t="s">
        <v>58</v>
      </c>
      <c r="R1452" s="7" t="str">
        <f>IF(H1452="","",VLOOKUP(H1452,'Hoja 9'!$A$1:$B$255,2,0))</f>
        <v>BOCA EN BOCA</v>
      </c>
      <c r="S1452" s="7">
        <f t="shared" si="1"/>
        <v>2026</v>
      </c>
      <c r="T1452" s="7">
        <f t="shared" si="2"/>
        <v>2</v>
      </c>
    </row>
    <row r="1453">
      <c r="A1453" s="4">
        <v>46065.771411469905</v>
      </c>
      <c r="B1453" s="3" t="s">
        <v>3710</v>
      </c>
      <c r="C1453" s="3" t="s">
        <v>3711</v>
      </c>
      <c r="D1453" s="3" t="s">
        <v>3712</v>
      </c>
      <c r="E1453" s="5">
        <v>34768.0</v>
      </c>
      <c r="F1453" s="3">
        <v>3.8478548E7</v>
      </c>
      <c r="G1453" s="3">
        <v>3.521416877E9</v>
      </c>
      <c r="H1453" s="3" t="s">
        <v>44</v>
      </c>
      <c r="I1453" s="3" t="s">
        <v>28</v>
      </c>
      <c r="K1453" s="3" t="s">
        <v>1132</v>
      </c>
      <c r="L1453" s="3" t="s">
        <v>3713</v>
      </c>
      <c r="M1453" s="3" t="s">
        <v>1134</v>
      </c>
      <c r="R1453" s="7" t="str">
        <f>IF(H1453="","",VLOOKUP(H1453,'Hoja 9'!$A$1:$B$255,2,0))</f>
        <v>GIMNASIO</v>
      </c>
      <c r="S1453" s="7">
        <f t="shared" si="1"/>
        <v>2026</v>
      </c>
      <c r="T1453" s="7">
        <f t="shared" si="2"/>
        <v>2</v>
      </c>
    </row>
    <row r="1454">
      <c r="A1454" s="4">
        <v>46065.79110430555</v>
      </c>
      <c r="B1454" s="3" t="s">
        <v>3714</v>
      </c>
      <c r="C1454" s="3" t="s">
        <v>49</v>
      </c>
      <c r="D1454" s="3" t="s">
        <v>3715</v>
      </c>
      <c r="E1454" s="5">
        <v>28099.0</v>
      </c>
      <c r="F1454" s="3">
        <v>2.524714E7</v>
      </c>
      <c r="G1454" s="3">
        <v>3.515730089E9</v>
      </c>
      <c r="H1454" s="3" t="s">
        <v>27</v>
      </c>
      <c r="I1454" s="3" t="s">
        <v>22</v>
      </c>
      <c r="K1454" s="3" t="s">
        <v>1145</v>
      </c>
      <c r="O1454" s="3" t="s">
        <v>68</v>
      </c>
      <c r="R1454" s="7" t="str">
        <f>IF(H1454="","",VLOOKUP(H1454,'Hoja 9'!$A$1:$B$255,2,0))</f>
        <v>BOCA EN BOCA</v>
      </c>
      <c r="S1454" s="7">
        <f t="shared" si="1"/>
        <v>2026</v>
      </c>
      <c r="T1454" s="7">
        <f t="shared" si="2"/>
        <v>2</v>
      </c>
    </row>
    <row r="1455">
      <c r="A1455" s="4">
        <v>46066.69090608796</v>
      </c>
      <c r="B1455" s="3" t="s">
        <v>3716</v>
      </c>
      <c r="C1455" s="3" t="s">
        <v>503</v>
      </c>
      <c r="D1455" s="3" t="s">
        <v>3717</v>
      </c>
      <c r="E1455" s="5">
        <v>20945.0</v>
      </c>
      <c r="F1455" s="3">
        <v>1.3044074E7</v>
      </c>
      <c r="G1455" s="3">
        <v>3.515642894E9</v>
      </c>
      <c r="H1455" s="3" t="s">
        <v>21</v>
      </c>
      <c r="I1455" s="3" t="s">
        <v>22</v>
      </c>
      <c r="K1455" s="3" t="s">
        <v>1132</v>
      </c>
      <c r="L1455" s="3" t="s">
        <v>1568</v>
      </c>
      <c r="M1455" s="3" t="s">
        <v>1134</v>
      </c>
      <c r="O1455" s="3" t="s">
        <v>23</v>
      </c>
      <c r="R1455" s="7" t="str">
        <f>IF(H1455="","",VLOOKUP(H1455,'Hoja 9'!$A$1:$B$255,2,0))</f>
        <v>GOOGLE</v>
      </c>
      <c r="S1455" s="7">
        <f t="shared" si="1"/>
        <v>2026</v>
      </c>
      <c r="T1455" s="7">
        <f t="shared" si="2"/>
        <v>2</v>
      </c>
    </row>
    <row r="1456">
      <c r="A1456" s="4">
        <v>46070.78799571759</v>
      </c>
      <c r="B1456" s="3" t="s">
        <v>3718</v>
      </c>
      <c r="C1456" s="3" t="s">
        <v>2252</v>
      </c>
      <c r="D1456" s="3" t="s">
        <v>3719</v>
      </c>
      <c r="E1456" s="5">
        <v>28756.0</v>
      </c>
      <c r="F1456" s="3">
        <v>2.6903058E7</v>
      </c>
      <c r="G1456" s="3">
        <v>3.516807354E9</v>
      </c>
      <c r="H1456" s="3" t="s">
        <v>27</v>
      </c>
      <c r="I1456" s="3" t="s">
        <v>28</v>
      </c>
      <c r="K1456" s="3" t="s">
        <v>1132</v>
      </c>
      <c r="L1456" s="3" t="s">
        <v>1404</v>
      </c>
      <c r="M1456" s="3" t="s">
        <v>1134</v>
      </c>
      <c r="R1456" s="7" t="str">
        <f>IF(H1456="","",VLOOKUP(H1456,'Hoja 9'!$A$1:$B$255,2,0))</f>
        <v>BOCA EN BOCA</v>
      </c>
      <c r="S1456" s="7">
        <f t="shared" si="1"/>
        <v>2026</v>
      </c>
      <c r="T1456" s="7">
        <f t="shared" si="2"/>
        <v>2</v>
      </c>
    </row>
    <row r="1457">
      <c r="A1457" s="4">
        <v>46071.446492731484</v>
      </c>
      <c r="B1457" s="3" t="s">
        <v>3720</v>
      </c>
      <c r="C1457" s="3" t="s">
        <v>3721</v>
      </c>
      <c r="D1457" s="3" t="s">
        <v>3722</v>
      </c>
      <c r="E1457" s="5">
        <v>38776.0</v>
      </c>
      <c r="F1457" s="3">
        <v>4.6999528E7</v>
      </c>
      <c r="G1457" s="3">
        <v>3.512183905E9</v>
      </c>
      <c r="H1457" s="3" t="s">
        <v>21</v>
      </c>
      <c r="I1457" s="3" t="s">
        <v>22</v>
      </c>
      <c r="K1457" s="3" t="s">
        <v>1145</v>
      </c>
      <c r="O1457" s="3" t="s">
        <v>3723</v>
      </c>
      <c r="R1457" s="7" t="str">
        <f>IF(H1457="","",VLOOKUP(H1457,'Hoja 9'!$A$1:$B$255,2,0))</f>
        <v>GOOGLE</v>
      </c>
      <c r="S1457" s="7">
        <f t="shared" si="1"/>
        <v>2026</v>
      </c>
      <c r="T1457" s="7">
        <f t="shared" si="2"/>
        <v>2</v>
      </c>
    </row>
    <row r="1458">
      <c r="A1458" s="4">
        <v>46071.51920630787</v>
      </c>
      <c r="B1458" s="3" t="s">
        <v>343</v>
      </c>
      <c r="C1458" s="3" t="s">
        <v>3188</v>
      </c>
      <c r="E1458" s="5">
        <v>40921.0</v>
      </c>
      <c r="F1458" s="3">
        <v>5.2052413E7</v>
      </c>
      <c r="G1458" s="3">
        <v>3.513484249E9</v>
      </c>
      <c r="H1458" s="3" t="s">
        <v>27</v>
      </c>
      <c r="I1458" s="3" t="s">
        <v>22</v>
      </c>
      <c r="K1458" s="3" t="s">
        <v>1132</v>
      </c>
      <c r="L1458" s="3" t="s">
        <v>1136</v>
      </c>
      <c r="M1458" s="3" t="s">
        <v>1137</v>
      </c>
      <c r="O1458" s="3" t="s">
        <v>23</v>
      </c>
      <c r="R1458" s="7" t="str">
        <f>IF(H1458="","",VLOOKUP(H1458,'Hoja 9'!$A$1:$B$255,2,0))</f>
        <v>BOCA EN BOCA</v>
      </c>
      <c r="S1458" s="7">
        <f t="shared" si="1"/>
        <v>2026</v>
      </c>
      <c r="T1458" s="7">
        <f t="shared" si="2"/>
        <v>2</v>
      </c>
    </row>
    <row r="1459">
      <c r="A1459" s="4">
        <v>46071.70150792824</v>
      </c>
      <c r="B1459" s="3" t="s">
        <v>3724</v>
      </c>
      <c r="C1459" s="3" t="s">
        <v>3078</v>
      </c>
      <c r="D1459" s="3" t="s">
        <v>3725</v>
      </c>
      <c r="E1459" s="5">
        <v>28703.0</v>
      </c>
      <c r="F1459" s="3">
        <v>2.6744212E7</v>
      </c>
      <c r="G1459" s="3">
        <v>3.517628428E9</v>
      </c>
      <c r="H1459" s="3" t="s">
        <v>27</v>
      </c>
      <c r="I1459" s="3" t="s">
        <v>22</v>
      </c>
      <c r="K1459" s="3" t="s">
        <v>1145</v>
      </c>
      <c r="O1459" s="3" t="s">
        <v>149</v>
      </c>
      <c r="R1459" s="7" t="str">
        <f>IF(H1459="","",VLOOKUP(H1459,'Hoja 9'!$A$1:$B$255,2,0))</f>
        <v>BOCA EN BOCA</v>
      </c>
      <c r="S1459" s="7">
        <f t="shared" si="1"/>
        <v>2026</v>
      </c>
      <c r="T1459" s="7">
        <f t="shared" si="2"/>
        <v>2</v>
      </c>
    </row>
    <row r="1460">
      <c r="A1460" s="4">
        <v>46071.72086945602</v>
      </c>
      <c r="B1460" s="3" t="s">
        <v>596</v>
      </c>
      <c r="C1460" s="3" t="s">
        <v>337</v>
      </c>
      <c r="D1460" s="3" t="s">
        <v>3726</v>
      </c>
      <c r="E1460" s="5">
        <v>34564.0</v>
      </c>
      <c r="F1460" s="3">
        <v>3.9074006E7</v>
      </c>
      <c r="G1460" s="3">
        <v>3.513465689E9</v>
      </c>
      <c r="H1460" s="3" t="s">
        <v>27</v>
      </c>
      <c r="I1460" s="3" t="s">
        <v>28</v>
      </c>
      <c r="K1460" s="3" t="s">
        <v>1145</v>
      </c>
      <c r="R1460" s="7" t="str">
        <f>IF(H1460="","",VLOOKUP(H1460,'Hoja 9'!$A$1:$B$255,2,0))</f>
        <v>BOCA EN BOCA</v>
      </c>
      <c r="S1460" s="7">
        <f t="shared" si="1"/>
        <v>2026</v>
      </c>
      <c r="T1460" s="7">
        <f t="shared" si="2"/>
        <v>2</v>
      </c>
    </row>
    <row r="1461">
      <c r="A1461" s="4">
        <v>46072.68095253472</v>
      </c>
      <c r="B1461" s="3" t="s">
        <v>3727</v>
      </c>
      <c r="C1461" s="3" t="s">
        <v>3728</v>
      </c>
      <c r="E1461" s="5">
        <v>19072.0</v>
      </c>
      <c r="F1461" s="3">
        <v>1.0445353E7</v>
      </c>
      <c r="G1461" s="3">
        <v>3.516631581E9</v>
      </c>
      <c r="H1461" s="3" t="s">
        <v>27</v>
      </c>
      <c r="I1461" s="3" t="s">
        <v>28</v>
      </c>
      <c r="K1461" s="3" t="s">
        <v>1132</v>
      </c>
      <c r="L1461" s="3" t="s">
        <v>1133</v>
      </c>
      <c r="M1461" s="3" t="s">
        <v>1134</v>
      </c>
      <c r="R1461" s="7" t="str">
        <f>IF(H1461="","",VLOOKUP(H1461,'Hoja 9'!$A$1:$B$255,2,0))</f>
        <v>BOCA EN BOCA</v>
      </c>
      <c r="S1461" s="7">
        <f t="shared" si="1"/>
        <v>2026</v>
      </c>
      <c r="T1461" s="7">
        <f t="shared" si="2"/>
        <v>2</v>
      </c>
    </row>
    <row r="1462">
      <c r="A1462" s="4">
        <v>46072.70218743055</v>
      </c>
      <c r="B1462" s="3" t="s">
        <v>3160</v>
      </c>
      <c r="C1462" s="3" t="s">
        <v>3729</v>
      </c>
      <c r="D1462" s="3" t="s">
        <v>3730</v>
      </c>
      <c r="E1462" s="5">
        <v>21548.0</v>
      </c>
      <c r="F1462" s="3">
        <v>1.2996505E7</v>
      </c>
      <c r="G1462" s="3">
        <v>3.512082991E9</v>
      </c>
      <c r="H1462" s="3" t="s">
        <v>3731</v>
      </c>
      <c r="I1462" s="3" t="s">
        <v>22</v>
      </c>
      <c r="K1462" s="3" t="s">
        <v>1132</v>
      </c>
      <c r="L1462" s="3" t="s">
        <v>3732</v>
      </c>
      <c r="M1462" s="3" t="s">
        <v>1134</v>
      </c>
      <c r="O1462" s="3" t="s">
        <v>72</v>
      </c>
      <c r="R1462" s="7" t="str">
        <f>IF(H1462="","",VLOOKUP(H1462,'Hoja 9'!$A$1:$B$255,2,0))</f>
        <v>GIMNASIO</v>
      </c>
      <c r="S1462" s="7">
        <f t="shared" si="1"/>
        <v>2026</v>
      </c>
      <c r="T1462" s="7">
        <f t="shared" si="2"/>
        <v>2</v>
      </c>
    </row>
    <row r="1463">
      <c r="A1463" s="4">
        <v>46073.540152581016</v>
      </c>
      <c r="B1463" s="3" t="s">
        <v>860</v>
      </c>
      <c r="C1463" s="3" t="s">
        <v>770</v>
      </c>
      <c r="D1463" s="3" t="s">
        <v>3733</v>
      </c>
      <c r="E1463" s="5">
        <v>37871.0</v>
      </c>
      <c r="F1463" s="3">
        <v>4.5082742E7</v>
      </c>
      <c r="G1463" s="3">
        <v>3.512042844E9</v>
      </c>
      <c r="H1463" s="3" t="s">
        <v>148</v>
      </c>
      <c r="I1463" s="3" t="s">
        <v>22</v>
      </c>
      <c r="K1463" s="3" t="s">
        <v>1145</v>
      </c>
      <c r="O1463" s="3" t="s">
        <v>149</v>
      </c>
      <c r="R1463" s="7" t="str">
        <f>IF(H1463="","",VLOOKUP(H1463,'Hoja 9'!$A$1:$B$255,2,0))</f>
        <v>OBRA SOCIAL</v>
      </c>
      <c r="S1463" s="7">
        <f t="shared" si="1"/>
        <v>2026</v>
      </c>
      <c r="T1463" s="7">
        <f t="shared" si="2"/>
        <v>2</v>
      </c>
    </row>
    <row r="1464">
      <c r="A1464" s="4">
        <v>46073.57104166667</v>
      </c>
      <c r="B1464" s="3" t="s">
        <v>3734</v>
      </c>
      <c r="C1464" s="3" t="s">
        <v>3735</v>
      </c>
      <c r="D1464" s="3" t="s">
        <v>3736</v>
      </c>
      <c r="E1464" s="5">
        <v>31024.0</v>
      </c>
      <c r="F1464" s="3">
        <v>3.1314235E7</v>
      </c>
      <c r="G1464" s="3">
        <v>3.517577317E9</v>
      </c>
      <c r="H1464" s="3" t="s">
        <v>27</v>
      </c>
      <c r="I1464" s="3" t="s">
        <v>22</v>
      </c>
      <c r="K1464" s="3" t="s">
        <v>1132</v>
      </c>
      <c r="L1464" s="3" t="s">
        <v>3737</v>
      </c>
      <c r="M1464" s="3" t="s">
        <v>1137</v>
      </c>
      <c r="O1464" s="3" t="s">
        <v>3738</v>
      </c>
      <c r="R1464" s="7" t="str">
        <f>IF(H1464="","",VLOOKUP(H1464,'Hoja 9'!$A$1:$B$255,2,0))</f>
        <v>BOCA EN BOCA</v>
      </c>
      <c r="S1464" s="7">
        <f t="shared" si="1"/>
        <v>2026</v>
      </c>
      <c r="T1464" s="7">
        <f t="shared" si="2"/>
        <v>2</v>
      </c>
    </row>
    <row r="1465">
      <c r="A1465" s="4">
        <v>46073.70404524305</v>
      </c>
      <c r="B1465" s="3" t="s">
        <v>3710</v>
      </c>
      <c r="C1465" s="3" t="s">
        <v>3739</v>
      </c>
      <c r="D1465" s="3" t="s">
        <v>3740</v>
      </c>
      <c r="E1465" s="5">
        <v>39155.0</v>
      </c>
      <c r="F1465" s="3">
        <v>4.7662786E7</v>
      </c>
      <c r="G1465" s="3">
        <v>3.513325725E9</v>
      </c>
      <c r="H1465" s="3" t="s">
        <v>44</v>
      </c>
      <c r="I1465" s="3" t="s">
        <v>22</v>
      </c>
      <c r="K1465" s="3" t="s">
        <v>1132</v>
      </c>
      <c r="L1465" s="3" t="s">
        <v>1435</v>
      </c>
      <c r="M1465" s="3" t="s">
        <v>1134</v>
      </c>
      <c r="O1465" s="3" t="s">
        <v>58</v>
      </c>
      <c r="R1465" s="7" t="str">
        <f>IF(H1465="","",VLOOKUP(H1465,'Hoja 9'!$A$1:$B$255,2,0))</f>
        <v>GIMNASIO</v>
      </c>
      <c r="S1465" s="7">
        <f t="shared" si="1"/>
        <v>2026</v>
      </c>
      <c r="T1465" s="7">
        <f t="shared" si="2"/>
        <v>2</v>
      </c>
    </row>
    <row r="1466">
      <c r="A1466" s="4">
        <v>46074.53616988426</v>
      </c>
      <c r="B1466" s="3" t="s">
        <v>558</v>
      </c>
      <c r="C1466" s="3" t="s">
        <v>3741</v>
      </c>
      <c r="D1466" s="3" t="s">
        <v>3742</v>
      </c>
      <c r="E1466" s="5">
        <v>34764.0</v>
      </c>
      <c r="F1466" s="3">
        <v>3.8648464E7</v>
      </c>
      <c r="G1466" s="3">
        <v>3.516188386E9</v>
      </c>
      <c r="H1466" s="3" t="s">
        <v>27</v>
      </c>
      <c r="I1466" s="3" t="s">
        <v>22</v>
      </c>
      <c r="K1466" s="3" t="s">
        <v>1132</v>
      </c>
      <c r="L1466" s="3" t="s">
        <v>3743</v>
      </c>
      <c r="M1466" s="3" t="s">
        <v>1137</v>
      </c>
      <c r="O1466" s="3" t="s">
        <v>1828</v>
      </c>
      <c r="R1466" s="7" t="str">
        <f>IF(H1466="","",VLOOKUP(H1466,'Hoja 9'!$A$1:$B$255,2,0))</f>
        <v>BOCA EN BOCA</v>
      </c>
      <c r="S1466" s="7">
        <f t="shared" si="1"/>
        <v>2026</v>
      </c>
      <c r="T1466" s="7">
        <f t="shared" si="2"/>
        <v>2</v>
      </c>
    </row>
    <row r="1467">
      <c r="A1467" s="4">
        <v>46076.70825009259</v>
      </c>
      <c r="B1467" s="3" t="s">
        <v>3744</v>
      </c>
      <c r="C1467" s="3" t="s">
        <v>3745</v>
      </c>
      <c r="D1467" s="3" t="s">
        <v>3746</v>
      </c>
      <c r="E1467" s="5">
        <v>46054.0</v>
      </c>
      <c r="F1467" s="3">
        <v>1.3822705E7</v>
      </c>
      <c r="G1467" s="3">
        <v>3.515126599E9</v>
      </c>
      <c r="H1467" s="3" t="s">
        <v>3667</v>
      </c>
      <c r="I1467" s="3" t="s">
        <v>28</v>
      </c>
      <c r="K1467" s="3" t="s">
        <v>1132</v>
      </c>
      <c r="L1467" s="3" t="s">
        <v>3747</v>
      </c>
      <c r="M1467" s="3" t="s">
        <v>1137</v>
      </c>
      <c r="R1467" s="7" t="str">
        <f>IF(H1467="","",VLOOKUP(H1467,'Hoja 9'!$A$1:$B$255,2,0))</f>
        <v>BOCA EN BOCA</v>
      </c>
      <c r="S1467" s="7">
        <f t="shared" si="1"/>
        <v>2026</v>
      </c>
      <c r="T1467" s="7">
        <f t="shared" si="2"/>
        <v>2</v>
      </c>
    </row>
    <row r="1468">
      <c r="A1468" s="4">
        <v>46077.3858490162</v>
      </c>
      <c r="B1468" s="3" t="s">
        <v>3748</v>
      </c>
      <c r="C1468" s="3" t="s">
        <v>3749</v>
      </c>
      <c r="D1468" s="3" t="s">
        <v>3750</v>
      </c>
      <c r="E1468" s="5">
        <v>34018.0</v>
      </c>
      <c r="F1468" s="3">
        <v>3.7315733E7</v>
      </c>
      <c r="G1468" s="3">
        <v>3.518035483E9</v>
      </c>
      <c r="H1468" s="3" t="s">
        <v>21</v>
      </c>
      <c r="I1468" s="3" t="s">
        <v>22</v>
      </c>
      <c r="K1468" s="3" t="s">
        <v>1132</v>
      </c>
      <c r="L1468" s="3" t="s">
        <v>3751</v>
      </c>
      <c r="M1468" s="3" t="s">
        <v>1137</v>
      </c>
      <c r="O1468" s="3" t="s">
        <v>58</v>
      </c>
      <c r="R1468" s="7" t="str">
        <f>IF(H1468="","",VLOOKUP(H1468,'Hoja 9'!$A$1:$B$255,2,0))</f>
        <v>GOOGLE</v>
      </c>
      <c r="S1468" s="7">
        <f t="shared" si="1"/>
        <v>2026</v>
      </c>
      <c r="T1468" s="7">
        <f t="shared" si="2"/>
        <v>2</v>
      </c>
    </row>
    <row r="1469">
      <c r="A1469" s="4">
        <v>46077.42405288194</v>
      </c>
      <c r="B1469" s="3" t="s">
        <v>3752</v>
      </c>
      <c r="C1469" s="3" t="s">
        <v>88</v>
      </c>
      <c r="D1469" s="3" t="s">
        <v>3753</v>
      </c>
      <c r="E1469" s="5">
        <v>35766.0</v>
      </c>
      <c r="F1469" s="3">
        <v>4.0802517E7</v>
      </c>
      <c r="G1469" s="3">
        <v>3.517404946E9</v>
      </c>
      <c r="H1469" s="3" t="s">
        <v>27</v>
      </c>
      <c r="I1469" s="3" t="s">
        <v>22</v>
      </c>
      <c r="K1469" s="3" t="s">
        <v>1132</v>
      </c>
      <c r="L1469" s="3" t="s">
        <v>3754</v>
      </c>
      <c r="M1469" s="3" t="s">
        <v>1213</v>
      </c>
      <c r="O1469" s="3" t="s">
        <v>58</v>
      </c>
      <c r="R1469" s="7" t="str">
        <f>IF(H1469="","",VLOOKUP(H1469,'Hoja 9'!$A$1:$B$255,2,0))</f>
        <v>BOCA EN BOCA</v>
      </c>
      <c r="S1469" s="7">
        <f t="shared" si="1"/>
        <v>2026</v>
      </c>
      <c r="T1469" s="7">
        <f t="shared" si="2"/>
        <v>2</v>
      </c>
    </row>
    <row r="1470" ht="13.5" customHeight="1">
      <c r="A1470" s="4">
        <v>46077.64329049768</v>
      </c>
      <c r="B1470" s="3" t="s">
        <v>3755</v>
      </c>
      <c r="C1470" s="3" t="s">
        <v>3756</v>
      </c>
      <c r="D1470" s="3" t="s">
        <v>3757</v>
      </c>
      <c r="E1470" s="5">
        <v>36132.0</v>
      </c>
      <c r="F1470" s="3">
        <v>4.1680993E7</v>
      </c>
      <c r="G1470" s="3">
        <v>3.517643209E9</v>
      </c>
      <c r="H1470" s="3" t="s">
        <v>44</v>
      </c>
      <c r="I1470" s="3" t="s">
        <v>22</v>
      </c>
      <c r="K1470" s="3" t="s">
        <v>1145</v>
      </c>
      <c r="O1470" s="3" t="s">
        <v>58</v>
      </c>
      <c r="R1470" s="7" t="str">
        <f>IF(H1470="","",VLOOKUP(H1470,'Hoja 9'!$A$1:$B$255,2,0))</f>
        <v>GIMNASIO</v>
      </c>
      <c r="S1470" s="7">
        <f t="shared" si="1"/>
        <v>2026</v>
      </c>
      <c r="T1470" s="7">
        <f t="shared" si="2"/>
        <v>2</v>
      </c>
    </row>
    <row r="1471">
      <c r="A1471" s="4">
        <v>46077.65299673611</v>
      </c>
      <c r="B1471" s="3" t="s">
        <v>340</v>
      </c>
      <c r="C1471" s="3" t="s">
        <v>3758</v>
      </c>
      <c r="D1471" s="3" t="s">
        <v>3759</v>
      </c>
      <c r="E1471" s="5">
        <v>33435.0</v>
      </c>
      <c r="F1471" s="3">
        <v>3.5673168E7</v>
      </c>
      <c r="G1471" s="3">
        <v>3.549435259E9</v>
      </c>
      <c r="H1471" s="3" t="s">
        <v>21</v>
      </c>
      <c r="I1471" s="3" t="s">
        <v>22</v>
      </c>
      <c r="K1471" s="3" t="s">
        <v>1132</v>
      </c>
      <c r="L1471" s="3" t="s">
        <v>1133</v>
      </c>
      <c r="M1471" s="3" t="s">
        <v>1134</v>
      </c>
      <c r="O1471" s="3" t="s">
        <v>58</v>
      </c>
      <c r="R1471" s="7" t="str">
        <f>IF(H1471="","",VLOOKUP(H1471,'Hoja 9'!$A$1:$B$255,2,0))</f>
        <v>GOOGLE</v>
      </c>
      <c r="S1471" s="7">
        <f t="shared" si="1"/>
        <v>2026</v>
      </c>
      <c r="T1471" s="7">
        <f t="shared" si="2"/>
        <v>2</v>
      </c>
    </row>
    <row r="1472">
      <c r="A1472" s="4">
        <v>46077.813080127315</v>
      </c>
      <c r="B1472" s="3" t="s">
        <v>2581</v>
      </c>
      <c r="C1472" s="3" t="s">
        <v>3760</v>
      </c>
      <c r="D1472" s="3" t="s">
        <v>3761</v>
      </c>
      <c r="E1472" s="5">
        <v>40998.0</v>
      </c>
      <c r="F1472" s="3">
        <v>5.215705E7</v>
      </c>
      <c r="G1472" s="3">
        <v>3.513115361E9</v>
      </c>
      <c r="H1472" s="3" t="s">
        <v>27</v>
      </c>
      <c r="I1472" s="3" t="s">
        <v>28</v>
      </c>
      <c r="K1472" s="3" t="s">
        <v>1145</v>
      </c>
      <c r="R1472" s="7" t="str">
        <f>IF(H1472="","",VLOOKUP(H1472,'Hoja 9'!$A$1:$B$255,2,0))</f>
        <v>BOCA EN BOCA</v>
      </c>
      <c r="S1472" s="7">
        <f t="shared" si="1"/>
        <v>2026</v>
      </c>
      <c r="T1472" s="7">
        <f t="shared" si="2"/>
        <v>2</v>
      </c>
    </row>
    <row r="1473">
      <c r="A1473" s="4">
        <v>46078.72855193287</v>
      </c>
      <c r="B1473" s="3" t="s">
        <v>3762</v>
      </c>
      <c r="C1473" s="3" t="s">
        <v>3763</v>
      </c>
      <c r="E1473" s="5">
        <v>33822.0</v>
      </c>
      <c r="F1473" s="3">
        <v>3.6358699E7</v>
      </c>
      <c r="G1473" s="3">
        <v>3.512695588E9</v>
      </c>
      <c r="H1473" s="3" t="s">
        <v>1133</v>
      </c>
      <c r="I1473" s="3" t="s">
        <v>22</v>
      </c>
      <c r="K1473" s="3" t="s">
        <v>1132</v>
      </c>
      <c r="L1473" s="3" t="s">
        <v>1133</v>
      </c>
      <c r="M1473" s="3" t="s">
        <v>1134</v>
      </c>
      <c r="R1473" s="7" t="str">
        <f>IF(H1473="","",VLOOKUP(H1473,'Hoja 9'!$A$1:$B$255,2,0))</f>
        <v>GIMNASIO</v>
      </c>
      <c r="S1473" s="7">
        <f t="shared" si="1"/>
        <v>2026</v>
      </c>
      <c r="T1473" s="7">
        <f t="shared" si="2"/>
        <v>2</v>
      </c>
    </row>
    <row r="1474">
      <c r="A1474" s="4">
        <v>46078.84733372685</v>
      </c>
      <c r="B1474" s="3" t="s">
        <v>3764</v>
      </c>
      <c r="C1474" s="3" t="s">
        <v>3765</v>
      </c>
      <c r="D1474" s="3" t="s">
        <v>3766</v>
      </c>
      <c r="E1474" s="5">
        <v>36206.0</v>
      </c>
      <c r="F1474" s="3">
        <v>4.1962137E7</v>
      </c>
      <c r="G1474" s="3">
        <v>3.513066864E9</v>
      </c>
      <c r="H1474" s="3" t="s">
        <v>3767</v>
      </c>
      <c r="I1474" s="3" t="s">
        <v>28</v>
      </c>
      <c r="K1474" s="3" t="s">
        <v>1132</v>
      </c>
      <c r="L1474" s="3" t="s">
        <v>1140</v>
      </c>
      <c r="M1474" s="3" t="s">
        <v>1213</v>
      </c>
      <c r="R1474" s="7" t="str">
        <f>IF(H1474="","",VLOOKUP(H1474,'Hoja 9'!$A$1:$B$255,2,0))</f>
        <v>BOCA EN BOCA</v>
      </c>
      <c r="S1474" s="7">
        <f t="shared" si="1"/>
        <v>2026</v>
      </c>
      <c r="T1474" s="7">
        <f t="shared" si="2"/>
        <v>2</v>
      </c>
    </row>
    <row r="1475">
      <c r="A1475" s="4">
        <v>46079.41570099537</v>
      </c>
      <c r="B1475" s="3" t="s">
        <v>3768</v>
      </c>
      <c r="C1475" s="3" t="s">
        <v>521</v>
      </c>
      <c r="D1475" s="3" t="s">
        <v>3769</v>
      </c>
      <c r="E1475" s="5">
        <v>22158.0</v>
      </c>
      <c r="F1475" s="3">
        <v>1.4154021E7</v>
      </c>
      <c r="G1475" s="3">
        <v>3.515162502E9</v>
      </c>
      <c r="H1475" s="3" t="s">
        <v>1133</v>
      </c>
      <c r="I1475" s="3" t="s">
        <v>28</v>
      </c>
      <c r="K1475" s="3" t="s">
        <v>1132</v>
      </c>
      <c r="L1475" s="3" t="s">
        <v>1133</v>
      </c>
      <c r="M1475" s="3" t="s">
        <v>1134</v>
      </c>
      <c r="R1475" s="7" t="str">
        <f>IF(H1475="","",VLOOKUP(H1475,'Hoja 9'!$A$1:$B$255,2,0))</f>
        <v>GIMNASIO</v>
      </c>
      <c r="S1475" s="7">
        <f t="shared" si="1"/>
        <v>2026</v>
      </c>
      <c r="T1475" s="7">
        <f t="shared" si="2"/>
        <v>2</v>
      </c>
    </row>
    <row r="1476">
      <c r="A1476" s="4">
        <v>46079.719060393516</v>
      </c>
      <c r="B1476" s="3" t="s">
        <v>3770</v>
      </c>
      <c r="C1476" s="3" t="s">
        <v>3771</v>
      </c>
      <c r="D1476" s="3" t="s">
        <v>3772</v>
      </c>
      <c r="E1476" s="5">
        <v>34931.0</v>
      </c>
      <c r="F1476" s="3">
        <v>3.9068231E7</v>
      </c>
      <c r="G1476" s="3">
        <v>3.516882098E9</v>
      </c>
      <c r="H1476" s="3" t="s">
        <v>21</v>
      </c>
      <c r="I1476" s="3" t="s">
        <v>22</v>
      </c>
      <c r="K1476" s="3" t="s">
        <v>1132</v>
      </c>
      <c r="L1476" s="3" t="s">
        <v>3773</v>
      </c>
      <c r="M1476" s="3" t="s">
        <v>1137</v>
      </c>
      <c r="O1476" s="3" t="s">
        <v>1126</v>
      </c>
      <c r="R1476" s="7" t="str">
        <f>IF(H1476="","",VLOOKUP(H1476,'Hoja 9'!$A$1:$B$255,2,0))</f>
        <v>GOOGLE</v>
      </c>
      <c r="S1476" s="7">
        <f t="shared" si="1"/>
        <v>2026</v>
      </c>
      <c r="T1476" s="7">
        <f t="shared" si="2"/>
        <v>2</v>
      </c>
    </row>
    <row r="1477">
      <c r="A1477" s="4">
        <v>46080.58597458333</v>
      </c>
      <c r="B1477" s="3" t="s">
        <v>3774</v>
      </c>
      <c r="C1477" s="3" t="s">
        <v>3775</v>
      </c>
      <c r="D1477" s="3" t="s">
        <v>3776</v>
      </c>
      <c r="E1477" s="5">
        <v>46080.0</v>
      </c>
      <c r="F1477" s="3">
        <v>6523776.0</v>
      </c>
      <c r="G1477" s="3">
        <v>3.516850952E9</v>
      </c>
      <c r="H1477" s="3" t="s">
        <v>148</v>
      </c>
      <c r="I1477" s="3" t="s">
        <v>22</v>
      </c>
      <c r="K1477" s="3" t="s">
        <v>1145</v>
      </c>
      <c r="O1477" s="3" t="s">
        <v>23</v>
      </c>
      <c r="R1477" s="7" t="str">
        <f>IF(H1477="","",VLOOKUP(H1477,'Hoja 9'!$A$1:$B$255,2,0))</f>
        <v>OBRA SOCIAL</v>
      </c>
      <c r="S1477" s="7">
        <f t="shared" si="1"/>
        <v>2026</v>
      </c>
      <c r="T1477" s="7">
        <f t="shared" si="2"/>
        <v>2</v>
      </c>
    </row>
    <row r="1478">
      <c r="A1478" s="4">
        <v>46085.64901706019</v>
      </c>
      <c r="B1478" s="3" t="s">
        <v>3777</v>
      </c>
      <c r="C1478" s="3" t="s">
        <v>3778</v>
      </c>
      <c r="D1478" s="3" t="s">
        <v>3779</v>
      </c>
      <c r="E1478" s="5">
        <v>33236.0</v>
      </c>
      <c r="F1478" s="3">
        <v>3.5574057E7</v>
      </c>
      <c r="G1478" s="3">
        <v>3.515439463E9</v>
      </c>
      <c r="H1478" s="3" t="s">
        <v>27</v>
      </c>
      <c r="I1478" s="3" t="s">
        <v>22</v>
      </c>
      <c r="K1478" s="3" t="s">
        <v>1145</v>
      </c>
      <c r="O1478" s="3" t="s">
        <v>1765</v>
      </c>
    </row>
    <row r="1479">
      <c r="A1479" s="4">
        <v>46085.665301354165</v>
      </c>
      <c r="B1479" s="3" t="s">
        <v>1497</v>
      </c>
      <c r="C1479" s="3" t="s">
        <v>3780</v>
      </c>
      <c r="D1479" s="3" t="s">
        <v>3781</v>
      </c>
      <c r="E1479" s="5">
        <v>27767.0</v>
      </c>
      <c r="F1479" s="3">
        <v>2.5080793E7</v>
      </c>
      <c r="G1479" s="3">
        <v>3.513821363E9</v>
      </c>
      <c r="H1479" s="3" t="s">
        <v>148</v>
      </c>
      <c r="I1479" s="3" t="s">
        <v>22</v>
      </c>
      <c r="K1479" s="3" t="s">
        <v>1145</v>
      </c>
      <c r="O1479" s="3" t="s">
        <v>23</v>
      </c>
    </row>
    <row r="1480">
      <c r="A1480" s="4">
        <v>46085.7971153588</v>
      </c>
      <c r="B1480" s="3" t="s">
        <v>3782</v>
      </c>
      <c r="C1480" s="3" t="s">
        <v>3783</v>
      </c>
      <c r="D1480" s="3" t="s">
        <v>3784</v>
      </c>
      <c r="E1480" s="5">
        <v>23057.0</v>
      </c>
      <c r="F1480" s="8">
        <v>1.6508261E7</v>
      </c>
      <c r="G1480" s="3">
        <v>3.517573231E9</v>
      </c>
      <c r="H1480" s="3" t="s">
        <v>27</v>
      </c>
      <c r="I1480" s="3" t="s">
        <v>22</v>
      </c>
      <c r="K1480" s="3" t="s">
        <v>1132</v>
      </c>
      <c r="L1480" s="3" t="s">
        <v>1345</v>
      </c>
      <c r="M1480" s="3" t="s">
        <v>1134</v>
      </c>
      <c r="O1480" s="3" t="s">
        <v>3785</v>
      </c>
    </row>
    <row r="1481">
      <c r="A1481" s="4">
        <v>46085.81366296296</v>
      </c>
      <c r="B1481" s="3" t="s">
        <v>3786</v>
      </c>
      <c r="C1481" s="3" t="s">
        <v>3787</v>
      </c>
      <c r="D1481" s="3" t="s">
        <v>3788</v>
      </c>
      <c r="E1481" s="5">
        <v>32147.0</v>
      </c>
      <c r="F1481" s="3">
        <v>3.3389276E7</v>
      </c>
      <c r="G1481" s="3">
        <v>3.512192023E9</v>
      </c>
      <c r="H1481" s="3" t="s">
        <v>1133</v>
      </c>
      <c r="I1481" s="3" t="s">
        <v>28</v>
      </c>
      <c r="K1481" s="3" t="s">
        <v>1132</v>
      </c>
      <c r="L1481" s="3" t="s">
        <v>1133</v>
      </c>
      <c r="M1481" s="3" t="s">
        <v>1134</v>
      </c>
    </row>
    <row r="1482">
      <c r="A1482" s="4">
        <v>46086.714829108794</v>
      </c>
      <c r="B1482" s="3" t="s">
        <v>3789</v>
      </c>
      <c r="C1482" s="3" t="s">
        <v>3790</v>
      </c>
      <c r="D1482" s="3" t="s">
        <v>3791</v>
      </c>
      <c r="E1482" s="5">
        <v>23607.0</v>
      </c>
      <c r="F1482" s="3">
        <v>1.7011812E7</v>
      </c>
      <c r="G1482" s="3">
        <v>3.51628895E9</v>
      </c>
      <c r="H1482" s="3" t="s">
        <v>27</v>
      </c>
      <c r="I1482" s="3" t="s">
        <v>22</v>
      </c>
      <c r="K1482" s="3" t="s">
        <v>1132</v>
      </c>
      <c r="L1482" s="3" t="s">
        <v>3792</v>
      </c>
      <c r="M1482" s="3" t="s">
        <v>1134</v>
      </c>
      <c r="O1482" s="3" t="s">
        <v>23</v>
      </c>
    </row>
    <row r="1483">
      <c r="A1483" s="4">
        <v>46086.810159953704</v>
      </c>
      <c r="B1483" s="3" t="s">
        <v>3793</v>
      </c>
      <c r="C1483" s="3" t="s">
        <v>1001</v>
      </c>
      <c r="D1483" s="3" t="s">
        <v>3794</v>
      </c>
      <c r="E1483" s="5">
        <v>27871.0</v>
      </c>
      <c r="F1483" s="3">
        <v>2.5267194E7</v>
      </c>
      <c r="G1483" s="3">
        <v>3.512383839E9</v>
      </c>
      <c r="H1483" s="3" t="s">
        <v>1133</v>
      </c>
      <c r="I1483" s="3" t="s">
        <v>28</v>
      </c>
      <c r="K1483" s="3" t="s">
        <v>1132</v>
      </c>
      <c r="L1483" s="3" t="s">
        <v>3795</v>
      </c>
      <c r="M1483" s="3" t="s">
        <v>1134</v>
      </c>
    </row>
    <row r="1484">
      <c r="A1484" s="4">
        <v>46087.36979327546</v>
      </c>
      <c r="B1484" s="3" t="s">
        <v>3796</v>
      </c>
      <c r="C1484" s="3" t="s">
        <v>1231</v>
      </c>
      <c r="D1484" s="3" t="s">
        <v>3797</v>
      </c>
      <c r="E1484" s="5">
        <v>37282.0</v>
      </c>
      <c r="F1484" s="3">
        <v>4.3812763E7</v>
      </c>
      <c r="G1484" s="3">
        <v>3.516750888E9</v>
      </c>
      <c r="H1484" s="3" t="s">
        <v>27</v>
      </c>
      <c r="I1484" s="3" t="s">
        <v>22</v>
      </c>
      <c r="K1484" s="3" t="s">
        <v>1132</v>
      </c>
      <c r="L1484" s="3" t="s">
        <v>1136</v>
      </c>
      <c r="M1484" s="3" t="s">
        <v>1134</v>
      </c>
      <c r="O1484" s="3" t="s">
        <v>149</v>
      </c>
    </row>
    <row r="1485">
      <c r="A1485" s="4">
        <v>46087.64092837963</v>
      </c>
      <c r="B1485" s="3" t="s">
        <v>35</v>
      </c>
      <c r="C1485" s="3" t="s">
        <v>727</v>
      </c>
      <c r="D1485" s="3" t="s">
        <v>3798</v>
      </c>
      <c r="E1485" s="5">
        <v>35571.0</v>
      </c>
      <c r="F1485" s="3">
        <v>4.0662539E7</v>
      </c>
      <c r="G1485" s="3">
        <v>3.515915468E9</v>
      </c>
      <c r="H1485" s="3" t="s">
        <v>27</v>
      </c>
      <c r="I1485" s="3" t="s">
        <v>28</v>
      </c>
      <c r="K1485" s="3" t="s">
        <v>1132</v>
      </c>
      <c r="L1485" s="3" t="s">
        <v>1136</v>
      </c>
      <c r="M1485" s="3" t="s">
        <v>1134</v>
      </c>
    </row>
    <row r="1486">
      <c r="A1486" s="4">
        <v>46091.41964953704</v>
      </c>
      <c r="B1486" s="3" t="s">
        <v>3799</v>
      </c>
      <c r="C1486" s="3" t="s">
        <v>3800</v>
      </c>
      <c r="D1486" s="3" t="s">
        <v>3801</v>
      </c>
      <c r="E1486" s="5">
        <v>32707.0</v>
      </c>
      <c r="F1486" s="3">
        <v>3.4601511E7</v>
      </c>
      <c r="G1486" s="3">
        <v>3.513064473E9</v>
      </c>
      <c r="H1486" s="3" t="s">
        <v>21</v>
      </c>
      <c r="I1486" s="3" t="s">
        <v>22</v>
      </c>
      <c r="K1486" s="3" t="s">
        <v>1132</v>
      </c>
      <c r="L1486" s="3" t="s">
        <v>1404</v>
      </c>
      <c r="M1486" s="3" t="s">
        <v>1213</v>
      </c>
      <c r="O1486" s="3" t="s">
        <v>68</v>
      </c>
    </row>
    <row r="1487">
      <c r="A1487" s="4">
        <v>46091.747058090274</v>
      </c>
      <c r="B1487" s="3" t="s">
        <v>3802</v>
      </c>
      <c r="C1487" s="3" t="s">
        <v>3803</v>
      </c>
      <c r="D1487" s="3" t="s">
        <v>3804</v>
      </c>
      <c r="E1487" s="5">
        <v>27927.0</v>
      </c>
      <c r="F1487" s="3">
        <v>2.524633E7</v>
      </c>
      <c r="G1487" s="3">
        <v>3.515554897E9</v>
      </c>
      <c r="H1487" s="3" t="s">
        <v>1133</v>
      </c>
      <c r="I1487" s="3" t="s">
        <v>22</v>
      </c>
      <c r="K1487" s="3" t="s">
        <v>1132</v>
      </c>
      <c r="L1487" s="3" t="s">
        <v>1133</v>
      </c>
      <c r="M1487" s="3" t="s">
        <v>1134</v>
      </c>
      <c r="O1487" s="3" t="s">
        <v>68</v>
      </c>
    </row>
    <row r="1488">
      <c r="A1488" s="4">
        <v>46092.41949655092</v>
      </c>
      <c r="B1488" s="3" t="s">
        <v>3805</v>
      </c>
      <c r="C1488" s="3" t="s">
        <v>3806</v>
      </c>
      <c r="D1488" s="3" t="s">
        <v>3807</v>
      </c>
      <c r="E1488" s="5">
        <v>30439.0</v>
      </c>
      <c r="F1488" s="3">
        <v>1.8804092E7</v>
      </c>
      <c r="G1488" s="3">
        <v>3.516152531E9</v>
      </c>
      <c r="H1488" s="3" t="s">
        <v>27</v>
      </c>
      <c r="I1488" s="3" t="s">
        <v>22</v>
      </c>
      <c r="K1488" s="3" t="s">
        <v>1132</v>
      </c>
      <c r="L1488" s="3" t="s">
        <v>3398</v>
      </c>
      <c r="M1488" s="3" t="s">
        <v>1134</v>
      </c>
      <c r="O1488" s="3" t="s">
        <v>149</v>
      </c>
    </row>
    <row r="1489">
      <c r="A1489" s="4">
        <v>46092.490179189816</v>
      </c>
      <c r="B1489" s="3" t="s">
        <v>171</v>
      </c>
      <c r="C1489" s="3" t="s">
        <v>3126</v>
      </c>
      <c r="D1489" s="3" t="s">
        <v>3808</v>
      </c>
      <c r="E1489" s="5">
        <v>38551.0</v>
      </c>
      <c r="F1489" s="3">
        <v>4.665794E7</v>
      </c>
      <c r="G1489" s="3">
        <v>3.513254453E9</v>
      </c>
      <c r="H1489" s="3" t="s">
        <v>1133</v>
      </c>
      <c r="I1489" s="3" t="s">
        <v>22</v>
      </c>
      <c r="K1489" s="3" t="s">
        <v>1132</v>
      </c>
      <c r="L1489" s="3" t="s">
        <v>1133</v>
      </c>
      <c r="M1489" s="3" t="s">
        <v>1134</v>
      </c>
      <c r="O1489" s="3" t="s">
        <v>58</v>
      </c>
    </row>
    <row r="1490">
      <c r="A1490" s="4">
        <v>46092.69646334491</v>
      </c>
      <c r="B1490" s="3" t="s">
        <v>3809</v>
      </c>
      <c r="C1490" s="3" t="s">
        <v>3810</v>
      </c>
      <c r="D1490" s="3" t="s">
        <v>3811</v>
      </c>
      <c r="E1490" s="5">
        <v>32687.0</v>
      </c>
      <c r="F1490" s="3">
        <v>3.43456E7</v>
      </c>
      <c r="G1490" s="3">
        <v>3.513793456E9</v>
      </c>
      <c r="H1490" s="3" t="s">
        <v>27</v>
      </c>
      <c r="I1490" s="3" t="s">
        <v>22</v>
      </c>
      <c r="K1490" s="3" t="s">
        <v>1145</v>
      </c>
      <c r="O1490" s="3" t="s">
        <v>23</v>
      </c>
    </row>
    <row r="1491">
      <c r="A1491" s="4">
        <v>46092.71588451389</v>
      </c>
      <c r="B1491" s="3" t="s">
        <v>3812</v>
      </c>
      <c r="C1491" s="3" t="s">
        <v>3813</v>
      </c>
      <c r="D1491" s="3" t="s">
        <v>3814</v>
      </c>
      <c r="E1491" s="5">
        <v>28342.0</v>
      </c>
      <c r="F1491" s="3">
        <v>1.8777513E7</v>
      </c>
      <c r="G1491" s="3">
        <v>3.516204567E9</v>
      </c>
      <c r="H1491" s="3" t="s">
        <v>1133</v>
      </c>
      <c r="I1491" s="3" t="s">
        <v>22</v>
      </c>
      <c r="K1491" s="3" t="s">
        <v>1132</v>
      </c>
      <c r="L1491" s="3" t="s">
        <v>1133</v>
      </c>
      <c r="M1491" s="3" t="s">
        <v>1134</v>
      </c>
      <c r="O1491" s="3" t="s">
        <v>287</v>
      </c>
    </row>
    <row r="1492">
      <c r="A1492" s="4">
        <v>46092.82257201389</v>
      </c>
      <c r="B1492" s="3" t="s">
        <v>3815</v>
      </c>
      <c r="C1492" s="3" t="s">
        <v>265</v>
      </c>
      <c r="D1492" s="3" t="s">
        <v>3816</v>
      </c>
      <c r="E1492" s="5">
        <v>18092.0</v>
      </c>
      <c r="F1492" s="3">
        <v>5534784.0</v>
      </c>
      <c r="G1492" s="3">
        <v>3.515052553E9</v>
      </c>
      <c r="H1492" s="3" t="s">
        <v>3817</v>
      </c>
      <c r="I1492" s="3" t="s">
        <v>22</v>
      </c>
      <c r="K1492" s="3" t="s">
        <v>1132</v>
      </c>
      <c r="L1492" s="3" t="s">
        <v>1693</v>
      </c>
      <c r="M1492" s="3" t="s">
        <v>1137</v>
      </c>
      <c r="O1492" s="3" t="s">
        <v>23</v>
      </c>
    </row>
    <row r="1493">
      <c r="A1493" s="4">
        <v>46093.448049756946</v>
      </c>
      <c r="B1493" s="3" t="s">
        <v>3818</v>
      </c>
      <c r="C1493" s="3" t="s">
        <v>2614</v>
      </c>
      <c r="E1493" s="5">
        <v>19934.0</v>
      </c>
      <c r="F1493" s="3">
        <v>1.1188474E7</v>
      </c>
      <c r="G1493" s="3">
        <v>3.513289569E9</v>
      </c>
      <c r="H1493" s="3" t="s">
        <v>27</v>
      </c>
      <c r="I1493" s="3" t="s">
        <v>28</v>
      </c>
      <c r="K1493" s="3" t="s">
        <v>1145</v>
      </c>
    </row>
    <row r="1494">
      <c r="A1494" s="4">
        <v>46093.477837025464</v>
      </c>
      <c r="B1494" s="3" t="s">
        <v>1056</v>
      </c>
      <c r="C1494" s="3" t="s">
        <v>2368</v>
      </c>
      <c r="D1494" s="3" t="s">
        <v>3819</v>
      </c>
      <c r="E1494" s="5">
        <v>23983.0</v>
      </c>
      <c r="F1494" s="3">
        <v>1.8176234E7</v>
      </c>
      <c r="G1494" s="3">
        <v>3.515948982E9</v>
      </c>
      <c r="H1494" s="3" t="s">
        <v>27</v>
      </c>
      <c r="I1494" s="3" t="s">
        <v>22</v>
      </c>
      <c r="K1494" s="3" t="s">
        <v>1132</v>
      </c>
      <c r="L1494" s="3" t="s">
        <v>1133</v>
      </c>
      <c r="M1494" s="3" t="s">
        <v>1134</v>
      </c>
      <c r="O1494" s="3" t="s">
        <v>287</v>
      </c>
    </row>
    <row r="1495">
      <c r="A1495" s="4">
        <v>46093.72621853009</v>
      </c>
      <c r="B1495" s="3" t="s">
        <v>3820</v>
      </c>
      <c r="C1495" s="3" t="s">
        <v>1820</v>
      </c>
      <c r="D1495" s="3" t="s">
        <v>3821</v>
      </c>
      <c r="E1495" s="5">
        <v>20270.0</v>
      </c>
      <c r="F1495" s="3">
        <v>1.1748826E7</v>
      </c>
      <c r="G1495" s="3">
        <v>3.512216193E9</v>
      </c>
      <c r="H1495" s="3" t="s">
        <v>21</v>
      </c>
      <c r="I1495" s="3" t="s">
        <v>28</v>
      </c>
      <c r="K1495" s="3" t="s">
        <v>1145</v>
      </c>
    </row>
    <row r="1496">
      <c r="A1496" s="4">
        <v>46093.787385601856</v>
      </c>
      <c r="B1496" s="3" t="s">
        <v>3822</v>
      </c>
      <c r="C1496" s="3" t="s">
        <v>3823</v>
      </c>
      <c r="D1496" s="3" t="s">
        <v>3824</v>
      </c>
      <c r="E1496" s="5">
        <v>27196.0</v>
      </c>
      <c r="F1496" s="3">
        <v>2.3935261E7</v>
      </c>
      <c r="G1496" s="3">
        <v>3.516850005E9</v>
      </c>
      <c r="H1496" s="3" t="s">
        <v>1133</v>
      </c>
      <c r="I1496" s="3" t="s">
        <v>22</v>
      </c>
      <c r="K1496" s="3" t="s">
        <v>1132</v>
      </c>
      <c r="L1496" s="3" t="s">
        <v>1133</v>
      </c>
      <c r="M1496" s="3" t="s">
        <v>1134</v>
      </c>
      <c r="O1496" s="3" t="s">
        <v>23</v>
      </c>
    </row>
    <row r="1497">
      <c r="A1497" s="4">
        <v>46094.49715216435</v>
      </c>
      <c r="B1497" s="3" t="s">
        <v>932</v>
      </c>
      <c r="C1497" s="3" t="s">
        <v>212</v>
      </c>
      <c r="D1497" s="3" t="s">
        <v>3825</v>
      </c>
      <c r="E1497" s="5">
        <v>38070.0</v>
      </c>
      <c r="F1497" s="3">
        <v>4.540936E7</v>
      </c>
      <c r="G1497" s="3">
        <v>3.51232474E9</v>
      </c>
      <c r="H1497" s="3" t="s">
        <v>27</v>
      </c>
      <c r="I1497" s="3" t="s">
        <v>22</v>
      </c>
      <c r="K1497" s="3" t="s">
        <v>1132</v>
      </c>
      <c r="L1497" s="3" t="s">
        <v>1140</v>
      </c>
      <c r="M1497" s="3" t="s">
        <v>1137</v>
      </c>
      <c r="O1497" s="3" t="s">
        <v>1126</v>
      </c>
    </row>
    <row r="1498">
      <c r="A1498" s="4">
        <v>46097.45182290509</v>
      </c>
      <c r="B1498" s="3" t="s">
        <v>3826</v>
      </c>
      <c r="C1498" s="3" t="s">
        <v>3827</v>
      </c>
      <c r="D1498" s="3" t="s">
        <v>3828</v>
      </c>
      <c r="E1498" s="5">
        <v>18768.0</v>
      </c>
      <c r="F1498" s="3">
        <v>6680299.0</v>
      </c>
      <c r="G1498" s="3">
        <v>3.516064044E9</v>
      </c>
      <c r="H1498" s="3" t="s">
        <v>27</v>
      </c>
      <c r="I1498" s="3" t="s">
        <v>28</v>
      </c>
      <c r="K1498" s="3" t="s">
        <v>1132</v>
      </c>
      <c r="L1498" s="3" t="s">
        <v>1172</v>
      </c>
      <c r="M1498" s="3" t="s">
        <v>1137</v>
      </c>
    </row>
    <row r="1499">
      <c r="A1499" s="4">
        <v>46097.459993854165</v>
      </c>
      <c r="B1499" s="3" t="s">
        <v>3829</v>
      </c>
      <c r="C1499" s="3" t="s">
        <v>3830</v>
      </c>
      <c r="D1499" s="3" t="s">
        <v>3831</v>
      </c>
      <c r="E1499" s="5">
        <v>18768.0</v>
      </c>
      <c r="F1499" s="3">
        <v>3.3381435E7</v>
      </c>
      <c r="G1499" s="3">
        <v>3.516064044E9</v>
      </c>
      <c r="H1499" s="3" t="s">
        <v>27</v>
      </c>
      <c r="I1499" s="3" t="s">
        <v>28</v>
      </c>
      <c r="K1499" s="3" t="s">
        <v>1132</v>
      </c>
      <c r="L1499" s="3" t="s">
        <v>2178</v>
      </c>
      <c r="M1499" s="3" t="s">
        <v>1137</v>
      </c>
    </row>
    <row r="1500">
      <c r="A1500" s="4">
        <v>46097.64107626157</v>
      </c>
      <c r="B1500" s="3" t="s">
        <v>437</v>
      </c>
      <c r="C1500" s="3" t="s">
        <v>202</v>
      </c>
      <c r="D1500" s="3" t="s">
        <v>3832</v>
      </c>
      <c r="E1500" s="5">
        <v>20159.0</v>
      </c>
      <c r="F1500" s="3">
        <v>1.1558008E7</v>
      </c>
      <c r="G1500" s="3">
        <v>3.5159119E9</v>
      </c>
      <c r="H1500" s="3" t="s">
        <v>27</v>
      </c>
      <c r="I1500" s="3" t="s">
        <v>28</v>
      </c>
      <c r="K1500" s="3" t="s">
        <v>1145</v>
      </c>
    </row>
    <row r="1501">
      <c r="A1501" s="4">
        <v>46097.85608814815</v>
      </c>
      <c r="B1501" s="3" t="s">
        <v>2004</v>
      </c>
      <c r="C1501" s="3" t="s">
        <v>3833</v>
      </c>
      <c r="D1501" s="3" t="s">
        <v>3834</v>
      </c>
      <c r="E1501" s="5">
        <v>23896.0</v>
      </c>
      <c r="F1501" s="3">
        <v>1.8329936E7</v>
      </c>
      <c r="G1501" s="3">
        <v>3.518058246E9</v>
      </c>
      <c r="H1501" s="3" t="s">
        <v>244</v>
      </c>
      <c r="I1501" s="3" t="s">
        <v>22</v>
      </c>
      <c r="K1501" s="3" t="s">
        <v>1132</v>
      </c>
      <c r="L1501" s="3" t="s">
        <v>3835</v>
      </c>
      <c r="M1501" s="3" t="s">
        <v>1134</v>
      </c>
      <c r="O1501" s="3" t="s">
        <v>23</v>
      </c>
    </row>
    <row r="1502">
      <c r="A1502" s="4">
        <v>46098.456354849535</v>
      </c>
      <c r="B1502" s="3" t="s">
        <v>3836</v>
      </c>
      <c r="C1502" s="3" t="s">
        <v>3837</v>
      </c>
      <c r="D1502" s="3" t="s">
        <v>3838</v>
      </c>
      <c r="E1502" s="5">
        <v>38477.0</v>
      </c>
      <c r="F1502" s="3">
        <v>4.6452257E7</v>
      </c>
      <c r="G1502" s="3">
        <v>3.513250822E9</v>
      </c>
      <c r="H1502" s="3" t="s">
        <v>1133</v>
      </c>
      <c r="I1502" s="3" t="s">
        <v>22</v>
      </c>
      <c r="K1502" s="3" t="s">
        <v>1132</v>
      </c>
      <c r="L1502" s="3" t="s">
        <v>1136</v>
      </c>
      <c r="M1502" s="3" t="s">
        <v>1134</v>
      </c>
      <c r="O1502" s="3" t="s">
        <v>23</v>
      </c>
    </row>
    <row r="1503">
      <c r="A1503" s="4">
        <v>46098.5319918287</v>
      </c>
      <c r="B1503" s="3" t="s">
        <v>3839</v>
      </c>
      <c r="C1503" s="3" t="s">
        <v>3840</v>
      </c>
      <c r="D1503" s="3" t="s">
        <v>3841</v>
      </c>
      <c r="E1503" s="5">
        <v>30098.0</v>
      </c>
      <c r="F1503" s="3">
        <v>2.9402494E7</v>
      </c>
      <c r="G1503" s="3">
        <v>3.516864279E9</v>
      </c>
      <c r="H1503" s="3" t="s">
        <v>27</v>
      </c>
      <c r="I1503" s="3" t="s">
        <v>28</v>
      </c>
      <c r="K1503" s="3" t="s">
        <v>1132</v>
      </c>
      <c r="L1503" s="3" t="s">
        <v>1136</v>
      </c>
      <c r="M1503" s="3" t="s">
        <v>1137</v>
      </c>
    </row>
    <row r="1504">
      <c r="A1504" s="4">
        <v>46098.76140282408</v>
      </c>
      <c r="B1504" s="3" t="s">
        <v>3842</v>
      </c>
      <c r="C1504" s="3" t="s">
        <v>1259</v>
      </c>
      <c r="E1504" s="5">
        <v>40194.0</v>
      </c>
      <c r="F1504" s="3">
        <v>9.6464205E7</v>
      </c>
      <c r="G1504" s="3">
        <v>1.171897196E9</v>
      </c>
      <c r="H1504" s="3" t="s">
        <v>21</v>
      </c>
      <c r="I1504" s="3" t="s">
        <v>28</v>
      </c>
      <c r="K1504" s="3" t="s">
        <v>1132</v>
      </c>
      <c r="L1504" s="3" t="s">
        <v>1422</v>
      </c>
      <c r="M1504" s="3" t="s">
        <v>1213</v>
      </c>
    </row>
    <row r="1505">
      <c r="A1505" s="4">
        <v>46099.40749027778</v>
      </c>
      <c r="B1505" s="3" t="s">
        <v>3843</v>
      </c>
      <c r="C1505" s="3" t="s">
        <v>3844</v>
      </c>
      <c r="D1505" s="3" t="s">
        <v>3845</v>
      </c>
      <c r="E1505" s="5">
        <v>20320.0</v>
      </c>
      <c r="F1505" s="3">
        <v>1.1865742E7</v>
      </c>
      <c r="G1505" s="3">
        <v>3.51537156E9</v>
      </c>
      <c r="H1505" s="3" t="s">
        <v>21</v>
      </c>
      <c r="I1505" s="3" t="s">
        <v>28</v>
      </c>
      <c r="K1505" s="3" t="s">
        <v>1132</v>
      </c>
      <c r="L1505" s="3" t="s">
        <v>1568</v>
      </c>
      <c r="M1505" s="3" t="s">
        <v>1213</v>
      </c>
    </row>
    <row r="1506">
      <c r="A1506" s="4">
        <v>46099.423862662035</v>
      </c>
      <c r="B1506" s="3" t="s">
        <v>3846</v>
      </c>
      <c r="C1506" s="3" t="s">
        <v>1732</v>
      </c>
      <c r="D1506" s="3" t="s">
        <v>3847</v>
      </c>
      <c r="E1506" s="5">
        <v>21405.0</v>
      </c>
      <c r="F1506" s="3">
        <v>1.2613553E7</v>
      </c>
      <c r="G1506" s="3">
        <v>3.513420761E9</v>
      </c>
      <c r="H1506" s="3" t="s">
        <v>27</v>
      </c>
      <c r="I1506" s="3" t="s">
        <v>28</v>
      </c>
      <c r="K1506" s="3" t="s">
        <v>1132</v>
      </c>
      <c r="L1506" s="3" t="s">
        <v>3848</v>
      </c>
      <c r="M1506" s="3" t="s">
        <v>1134</v>
      </c>
    </row>
    <row r="1507">
      <c r="A1507" s="4">
        <v>46099.460923819446</v>
      </c>
      <c r="B1507" s="3" t="s">
        <v>3849</v>
      </c>
      <c r="C1507" s="3" t="s">
        <v>2302</v>
      </c>
      <c r="D1507" s="3" t="s">
        <v>3850</v>
      </c>
      <c r="E1507" s="5">
        <v>41312.0</v>
      </c>
      <c r="F1507" s="3">
        <v>3.2121298E7</v>
      </c>
      <c r="G1507" s="3">
        <v>3.513073325E9</v>
      </c>
      <c r="H1507" s="3" t="s">
        <v>27</v>
      </c>
      <c r="I1507" s="3" t="s">
        <v>28</v>
      </c>
      <c r="K1507" s="3" t="s">
        <v>1132</v>
      </c>
      <c r="L1507" s="3" t="s">
        <v>1136</v>
      </c>
      <c r="M1507" s="3" t="s">
        <v>1134</v>
      </c>
    </row>
    <row r="1508">
      <c r="A1508" s="4">
        <v>46099.49455670139</v>
      </c>
      <c r="B1508" s="3" t="s">
        <v>3851</v>
      </c>
      <c r="C1508" s="3" t="s">
        <v>3852</v>
      </c>
      <c r="D1508" s="3" t="s">
        <v>3853</v>
      </c>
      <c r="E1508" s="5">
        <v>31695.0</v>
      </c>
      <c r="F1508" s="3">
        <v>3.2494799E7</v>
      </c>
      <c r="G1508" s="3">
        <v>3.515296065E9</v>
      </c>
      <c r="H1508" s="3" t="s">
        <v>27</v>
      </c>
      <c r="I1508" s="3" t="s">
        <v>22</v>
      </c>
      <c r="K1508" s="3" t="s">
        <v>1132</v>
      </c>
      <c r="L1508" s="3" t="s">
        <v>1133</v>
      </c>
      <c r="M1508" s="3" t="s">
        <v>1134</v>
      </c>
      <c r="O1508" s="3" t="s">
        <v>3854</v>
      </c>
    </row>
    <row r="1509">
      <c r="A1509" s="4">
        <v>46099.71037710649</v>
      </c>
      <c r="B1509" s="3" t="s">
        <v>3855</v>
      </c>
      <c r="C1509" s="3" t="s">
        <v>3856</v>
      </c>
      <c r="D1509" s="3" t="s">
        <v>3857</v>
      </c>
      <c r="E1509" s="5">
        <v>14117.0</v>
      </c>
      <c r="F1509" s="3">
        <v>4383840.0</v>
      </c>
      <c r="G1509" s="3">
        <v>3.516697179E9</v>
      </c>
      <c r="H1509" s="3" t="s">
        <v>339</v>
      </c>
      <c r="I1509" s="3" t="s">
        <v>28</v>
      </c>
      <c r="K1509" s="3" t="s">
        <v>1145</v>
      </c>
    </row>
    <row r="1510">
      <c r="A1510" s="4">
        <v>46100.431917939815</v>
      </c>
      <c r="B1510" s="3" t="s">
        <v>3858</v>
      </c>
      <c r="C1510" s="3" t="s">
        <v>3859</v>
      </c>
      <c r="D1510" s="3" t="s">
        <v>3860</v>
      </c>
      <c r="E1510" s="5">
        <v>22023.0</v>
      </c>
      <c r="F1510" s="3">
        <v>1.4293712E7</v>
      </c>
      <c r="G1510" s="3">
        <v>3.515941872E9</v>
      </c>
      <c r="H1510" s="3" t="s">
        <v>27</v>
      </c>
      <c r="I1510" s="3" t="s">
        <v>22</v>
      </c>
      <c r="K1510" s="3" t="s">
        <v>1132</v>
      </c>
      <c r="L1510" s="3" t="s">
        <v>1568</v>
      </c>
      <c r="M1510" s="3" t="s">
        <v>1134</v>
      </c>
      <c r="O1510" s="3" t="s">
        <v>72</v>
      </c>
    </row>
    <row r="1511">
      <c r="A1511" s="4">
        <v>46100.73645789352</v>
      </c>
      <c r="B1511" s="3" t="s">
        <v>2818</v>
      </c>
      <c r="C1511" s="3" t="s">
        <v>920</v>
      </c>
      <c r="D1511" s="3" t="s">
        <v>3861</v>
      </c>
      <c r="E1511" s="5">
        <v>34127.0</v>
      </c>
      <c r="F1511" s="3">
        <v>3.7733022E7</v>
      </c>
      <c r="G1511" s="3">
        <v>3.518679766E9</v>
      </c>
      <c r="H1511" s="3" t="s">
        <v>27</v>
      </c>
      <c r="I1511" s="3" t="s">
        <v>22</v>
      </c>
      <c r="K1511" s="3" t="s">
        <v>1132</v>
      </c>
      <c r="L1511" s="3" t="s">
        <v>3862</v>
      </c>
      <c r="M1511" s="3" t="s">
        <v>1134</v>
      </c>
      <c r="O1511" s="3" t="s">
        <v>287</v>
      </c>
    </row>
    <row r="1512">
      <c r="A1512" s="4">
        <v>46100.75372001158</v>
      </c>
      <c r="B1512" s="3" t="s">
        <v>1027</v>
      </c>
      <c r="C1512" s="3" t="s">
        <v>1453</v>
      </c>
      <c r="D1512" s="3" t="s">
        <v>3863</v>
      </c>
      <c r="E1512" s="5">
        <v>32945.0</v>
      </c>
      <c r="F1512" s="3">
        <v>3.5089424E7</v>
      </c>
      <c r="G1512" s="3">
        <v>3.513905826E9</v>
      </c>
      <c r="H1512" s="3" t="s">
        <v>27</v>
      </c>
      <c r="I1512" s="3" t="s">
        <v>22</v>
      </c>
      <c r="K1512" s="3" t="s">
        <v>1132</v>
      </c>
      <c r="L1512" s="3" t="s">
        <v>1404</v>
      </c>
      <c r="M1512" s="3" t="s">
        <v>1134</v>
      </c>
      <c r="O1512" s="3" t="s">
        <v>58</v>
      </c>
    </row>
    <row r="1513">
      <c r="A1513" s="4">
        <v>46101.425765277774</v>
      </c>
      <c r="B1513" s="3" t="s">
        <v>3864</v>
      </c>
      <c r="C1513" s="3" t="s">
        <v>2548</v>
      </c>
      <c r="E1513" s="5">
        <v>34785.0</v>
      </c>
      <c r="F1513" s="3">
        <v>9.474605E7</v>
      </c>
      <c r="G1513" s="3">
        <v>3.517629788E9</v>
      </c>
      <c r="H1513" s="3" t="s">
        <v>1133</v>
      </c>
      <c r="I1513" s="3" t="s">
        <v>22</v>
      </c>
      <c r="K1513" s="3" t="s">
        <v>1132</v>
      </c>
      <c r="L1513" s="3" t="s">
        <v>1133</v>
      </c>
      <c r="M1513" s="3" t="s">
        <v>1134</v>
      </c>
      <c r="O1513" s="3" t="s">
        <v>149</v>
      </c>
    </row>
    <row r="1514">
      <c r="A1514" s="4">
        <v>46101.464362824074</v>
      </c>
      <c r="B1514" s="3" t="s">
        <v>1493</v>
      </c>
      <c r="C1514" s="3" t="s">
        <v>3865</v>
      </c>
      <c r="D1514" s="3" t="s">
        <v>3866</v>
      </c>
      <c r="E1514" s="5">
        <v>40660.0</v>
      </c>
      <c r="F1514" s="3">
        <v>5.0936222E7</v>
      </c>
      <c r="G1514" s="3">
        <v>3.515641903E9</v>
      </c>
      <c r="H1514" s="3" t="s">
        <v>27</v>
      </c>
      <c r="I1514" s="3" t="s">
        <v>22</v>
      </c>
      <c r="K1514" s="3" t="s">
        <v>1132</v>
      </c>
      <c r="L1514" s="3" t="s">
        <v>3867</v>
      </c>
      <c r="M1514" s="3" t="s">
        <v>1134</v>
      </c>
      <c r="O1514" s="3" t="s">
        <v>149</v>
      </c>
    </row>
    <row r="1515">
      <c r="A1515" s="4">
        <v>46103.57559555555</v>
      </c>
      <c r="B1515" s="3" t="s">
        <v>3868</v>
      </c>
      <c r="C1515" s="3" t="s">
        <v>3869</v>
      </c>
      <c r="D1515" s="3" t="s">
        <v>3870</v>
      </c>
      <c r="E1515" s="5">
        <v>39487.0</v>
      </c>
      <c r="F1515" s="3">
        <v>4.7819675E7</v>
      </c>
      <c r="G1515" s="3">
        <v>3.512023299E9</v>
      </c>
      <c r="H1515" s="3" t="s">
        <v>1133</v>
      </c>
      <c r="I1515" s="3" t="s">
        <v>28</v>
      </c>
      <c r="K1515" s="3" t="s">
        <v>1132</v>
      </c>
      <c r="L1515" s="3" t="s">
        <v>1133</v>
      </c>
      <c r="M1515" s="3" t="s">
        <v>1134</v>
      </c>
    </row>
    <row r="1516">
      <c r="A1516" s="4">
        <v>46103.748613738426</v>
      </c>
      <c r="B1516" s="3" t="s">
        <v>2038</v>
      </c>
      <c r="C1516" s="3" t="s">
        <v>2602</v>
      </c>
      <c r="D1516" s="3" t="s">
        <v>3871</v>
      </c>
      <c r="E1516" s="5">
        <v>32244.0</v>
      </c>
      <c r="F1516" s="3">
        <v>3.3700013E7</v>
      </c>
      <c r="G1516" s="3">
        <v>3.518725353E9</v>
      </c>
      <c r="H1516" s="3" t="s">
        <v>27</v>
      </c>
      <c r="I1516" s="3" t="s">
        <v>28</v>
      </c>
      <c r="K1516" s="3" t="s">
        <v>1132</v>
      </c>
      <c r="L1516" s="3" t="s">
        <v>1401</v>
      </c>
      <c r="M1516" s="3" t="s">
        <v>1134</v>
      </c>
    </row>
    <row r="1517">
      <c r="A1517" s="4">
        <v>46106.460447199075</v>
      </c>
      <c r="B1517" s="3" t="s">
        <v>3330</v>
      </c>
      <c r="C1517" s="3" t="s">
        <v>2284</v>
      </c>
      <c r="D1517" s="3" t="s">
        <v>3872</v>
      </c>
      <c r="E1517" s="5">
        <v>37866.0</v>
      </c>
      <c r="F1517" s="3">
        <v>4.4970035E7</v>
      </c>
      <c r="G1517" s="3">
        <v>3.517531042E9</v>
      </c>
      <c r="H1517" s="3" t="s">
        <v>244</v>
      </c>
      <c r="I1517" s="3" t="s">
        <v>22</v>
      </c>
      <c r="K1517" s="3" t="s">
        <v>1132</v>
      </c>
      <c r="L1517" s="3" t="s">
        <v>1136</v>
      </c>
      <c r="M1517" s="3" t="s">
        <v>1134</v>
      </c>
      <c r="O1517" s="3" t="s">
        <v>72</v>
      </c>
    </row>
    <row r="1518">
      <c r="A1518" s="4">
        <v>46106.65065260416</v>
      </c>
      <c r="B1518" s="3" t="s">
        <v>3224</v>
      </c>
      <c r="C1518" s="3" t="s">
        <v>3873</v>
      </c>
      <c r="D1518" s="3" t="s">
        <v>3874</v>
      </c>
      <c r="E1518" s="5">
        <v>41270.0</v>
      </c>
      <c r="F1518" s="3">
        <v>5.2469084E7</v>
      </c>
      <c r="G1518" s="3">
        <v>3.516134808E9</v>
      </c>
      <c r="H1518" s="3" t="s">
        <v>21</v>
      </c>
      <c r="I1518" s="3" t="s">
        <v>28</v>
      </c>
      <c r="K1518" s="3" t="s">
        <v>1132</v>
      </c>
      <c r="L1518" s="3" t="s">
        <v>1401</v>
      </c>
      <c r="M1518" s="3" t="s">
        <v>1134</v>
      </c>
    </row>
    <row r="1519">
      <c r="A1519" s="4">
        <v>46106.71766380787</v>
      </c>
      <c r="B1519" s="3" t="s">
        <v>298</v>
      </c>
      <c r="C1519" s="3" t="s">
        <v>3875</v>
      </c>
      <c r="D1519" s="3" t="s">
        <v>3876</v>
      </c>
      <c r="E1519" s="5">
        <v>35222.0</v>
      </c>
      <c r="F1519" s="3">
        <v>3.968953E7</v>
      </c>
      <c r="G1519" s="3">
        <v>3.517680759E9</v>
      </c>
      <c r="H1519" s="3" t="s">
        <v>27</v>
      </c>
      <c r="I1519" s="3" t="s">
        <v>22</v>
      </c>
      <c r="K1519" s="3" t="s">
        <v>1132</v>
      </c>
      <c r="L1519" s="3" t="s">
        <v>3877</v>
      </c>
      <c r="M1519" s="3" t="s">
        <v>1134</v>
      </c>
      <c r="O1519" s="3" t="s">
        <v>58</v>
      </c>
    </row>
    <row r="1520">
      <c r="A1520" s="4">
        <v>46107.40406202547</v>
      </c>
      <c r="B1520" s="3" t="s">
        <v>3878</v>
      </c>
      <c r="C1520" s="3" t="s">
        <v>3879</v>
      </c>
      <c r="D1520" s="3" t="s">
        <v>3880</v>
      </c>
      <c r="E1520" s="5">
        <v>23340.0</v>
      </c>
      <c r="F1520" s="11" t="s">
        <v>3881</v>
      </c>
      <c r="G1520" s="3">
        <v>6.1418622508E10</v>
      </c>
      <c r="H1520" s="3" t="s">
        <v>1133</v>
      </c>
      <c r="I1520" s="3" t="s">
        <v>28</v>
      </c>
      <c r="K1520" s="3" t="s">
        <v>1132</v>
      </c>
      <c r="M1520" s="3" t="s">
        <v>1137</v>
      </c>
    </row>
    <row r="1521">
      <c r="A1521" s="4">
        <v>46107.70205537037</v>
      </c>
      <c r="B1521" s="3" t="s">
        <v>3882</v>
      </c>
      <c r="C1521" s="3" t="s">
        <v>3833</v>
      </c>
      <c r="D1521" s="3" t="s">
        <v>3883</v>
      </c>
      <c r="E1521" s="5" t="s">
        <v>3884</v>
      </c>
      <c r="F1521" s="3">
        <v>1.729297E7</v>
      </c>
      <c r="G1521" s="3">
        <v>3.515922386E9</v>
      </c>
      <c r="H1521" s="3" t="s">
        <v>244</v>
      </c>
      <c r="I1521" s="3" t="s">
        <v>22</v>
      </c>
      <c r="K1521" s="3" t="s">
        <v>1132</v>
      </c>
      <c r="L1521" s="3" t="s">
        <v>3773</v>
      </c>
      <c r="M1521" s="3" t="s">
        <v>1134</v>
      </c>
      <c r="O1521" s="3" t="s">
        <v>23</v>
      </c>
    </row>
    <row r="1522">
      <c r="A1522" s="4">
        <v>46107.82112175926</v>
      </c>
      <c r="B1522" s="3" t="s">
        <v>3885</v>
      </c>
      <c r="C1522" s="3" t="s">
        <v>2391</v>
      </c>
      <c r="D1522" s="3" t="s">
        <v>3886</v>
      </c>
      <c r="E1522" s="5">
        <v>27896.0</v>
      </c>
      <c r="F1522" s="3">
        <v>2.5268139E7</v>
      </c>
      <c r="G1522" s="3">
        <v>3.512375274E9</v>
      </c>
      <c r="H1522" s="3" t="s">
        <v>27</v>
      </c>
      <c r="I1522" s="3" t="s">
        <v>22</v>
      </c>
      <c r="K1522" s="3" t="s">
        <v>1132</v>
      </c>
      <c r="L1522" s="3" t="s">
        <v>3887</v>
      </c>
      <c r="M1522" s="3" t="s">
        <v>1134</v>
      </c>
      <c r="O1522" s="3" t="s">
        <v>149</v>
      </c>
    </row>
    <row r="1523">
      <c r="A1523" s="4">
        <v>46108.72320422454</v>
      </c>
      <c r="B1523" s="3" t="s">
        <v>3888</v>
      </c>
      <c r="C1523" s="3" t="s">
        <v>893</v>
      </c>
      <c r="D1523" s="3" t="s">
        <v>3889</v>
      </c>
      <c r="E1523" s="5">
        <v>29704.0</v>
      </c>
      <c r="F1523" s="3">
        <v>2.8502657E7</v>
      </c>
      <c r="G1523" s="3">
        <v>3.516985602E9</v>
      </c>
      <c r="H1523" s="3" t="s">
        <v>21</v>
      </c>
      <c r="I1523" s="3" t="s">
        <v>22</v>
      </c>
      <c r="K1523" s="3" t="s">
        <v>1132</v>
      </c>
      <c r="L1523" s="3" t="s">
        <v>1404</v>
      </c>
      <c r="M1523" s="3" t="s">
        <v>1134</v>
      </c>
      <c r="O1523" s="3" t="s">
        <v>23</v>
      </c>
    </row>
    <row r="1524">
      <c r="A1524" s="4">
        <v>46108.77819686342</v>
      </c>
      <c r="B1524" s="3" t="s">
        <v>2251</v>
      </c>
      <c r="C1524" s="3" t="s">
        <v>242</v>
      </c>
      <c r="E1524" s="5">
        <v>37673.0</v>
      </c>
      <c r="F1524" s="3">
        <v>5.3075923E7</v>
      </c>
      <c r="G1524" s="3">
        <v>3.515087821E9</v>
      </c>
      <c r="H1524" s="3" t="s">
        <v>27</v>
      </c>
      <c r="I1524" s="3" t="s">
        <v>28</v>
      </c>
      <c r="K1524" s="3" t="s">
        <v>1132</v>
      </c>
      <c r="L1524" s="3" t="s">
        <v>1136</v>
      </c>
      <c r="M1524" s="3" t="s">
        <v>1134</v>
      </c>
    </row>
    <row r="1525">
      <c r="A1525" s="4">
        <v>46110.90652037037</v>
      </c>
      <c r="B1525" s="3" t="s">
        <v>3890</v>
      </c>
      <c r="C1525" s="3" t="s">
        <v>3891</v>
      </c>
      <c r="D1525" s="3" t="s">
        <v>3892</v>
      </c>
      <c r="E1525" s="5">
        <v>29460.0</v>
      </c>
      <c r="F1525" s="3">
        <v>2.7695691E7</v>
      </c>
      <c r="G1525" s="3">
        <v>3.512121366E9</v>
      </c>
      <c r="H1525" s="3" t="s">
        <v>27</v>
      </c>
      <c r="I1525" s="3" t="s">
        <v>22</v>
      </c>
      <c r="K1525" s="3" t="s">
        <v>1132</v>
      </c>
      <c r="L1525" s="3" t="s">
        <v>1133</v>
      </c>
      <c r="M1525" s="3" t="s">
        <v>1137</v>
      </c>
      <c r="O1525" s="3" t="s">
        <v>23</v>
      </c>
    </row>
    <row r="1526">
      <c r="A1526" s="4">
        <v>46111.38020482639</v>
      </c>
      <c r="B1526" s="3" t="s">
        <v>1073</v>
      </c>
      <c r="C1526" s="3" t="s">
        <v>3893</v>
      </c>
      <c r="D1526" s="3" t="s">
        <v>3894</v>
      </c>
      <c r="E1526" s="5">
        <v>28788.0</v>
      </c>
      <c r="F1526" s="3">
        <v>2.6905125E7</v>
      </c>
      <c r="G1526" s="3">
        <v>3.51106577E8</v>
      </c>
      <c r="H1526" s="3" t="s">
        <v>3895</v>
      </c>
      <c r="I1526" s="3" t="s">
        <v>28</v>
      </c>
      <c r="K1526" s="3" t="s">
        <v>1132</v>
      </c>
      <c r="L1526" s="3" t="s">
        <v>1300</v>
      </c>
      <c r="M1526" s="3" t="s">
        <v>1134</v>
      </c>
    </row>
    <row r="1527">
      <c r="A1527" s="4">
        <v>46111.54800556713</v>
      </c>
      <c r="B1527" s="3" t="s">
        <v>3896</v>
      </c>
      <c r="C1527" s="3" t="s">
        <v>584</v>
      </c>
      <c r="D1527" s="3" t="s">
        <v>3897</v>
      </c>
      <c r="E1527" s="5">
        <v>34103.0</v>
      </c>
      <c r="F1527" s="3">
        <v>3.7475354E7</v>
      </c>
      <c r="G1527" s="3">
        <v>3.512169653E9</v>
      </c>
      <c r="H1527" s="3" t="s">
        <v>27</v>
      </c>
      <c r="I1527" s="3" t="s">
        <v>22</v>
      </c>
      <c r="K1527" s="3" t="s">
        <v>1132</v>
      </c>
      <c r="L1527" s="3" t="s">
        <v>1136</v>
      </c>
      <c r="M1527" s="3" t="s">
        <v>1134</v>
      </c>
      <c r="O1527" s="3" t="s">
        <v>23</v>
      </c>
    </row>
    <row r="1528">
      <c r="A1528" s="4">
        <v>46111.67540972222</v>
      </c>
      <c r="B1528" s="3" t="s">
        <v>3898</v>
      </c>
      <c r="C1528" s="3" t="s">
        <v>3899</v>
      </c>
      <c r="E1528" s="5">
        <v>19486.0</v>
      </c>
      <c r="F1528" s="3">
        <v>9.2353839E7</v>
      </c>
      <c r="G1528" s="3">
        <v>3.512456257E9</v>
      </c>
      <c r="H1528" s="3" t="s">
        <v>27</v>
      </c>
      <c r="I1528" s="3" t="s">
        <v>28</v>
      </c>
      <c r="K1528" s="3" t="s">
        <v>1132</v>
      </c>
      <c r="L1528" s="3" t="s">
        <v>1136</v>
      </c>
      <c r="M1528" s="3" t="s">
        <v>1137</v>
      </c>
    </row>
    <row r="1529">
      <c r="A1529" s="4">
        <v>46111.81267680555</v>
      </c>
      <c r="B1529" s="3" t="s">
        <v>3900</v>
      </c>
      <c r="C1529" s="3" t="s">
        <v>3901</v>
      </c>
      <c r="D1529" s="3" t="s">
        <v>3902</v>
      </c>
      <c r="E1529" s="5">
        <v>32852.0</v>
      </c>
      <c r="F1529" s="3">
        <v>3.4908496E7</v>
      </c>
      <c r="G1529" s="3">
        <v>3.516596058E9</v>
      </c>
      <c r="H1529" s="3" t="s">
        <v>1133</v>
      </c>
      <c r="I1529" s="3" t="s">
        <v>22</v>
      </c>
      <c r="K1529" s="3" t="s">
        <v>1132</v>
      </c>
      <c r="L1529" s="3" t="s">
        <v>1133</v>
      </c>
      <c r="M1529" s="3" t="s">
        <v>1134</v>
      </c>
      <c r="O1529" s="3" t="s">
        <v>287</v>
      </c>
    </row>
    <row r="1530">
      <c r="A1530" s="4">
        <v>46112.433403877316</v>
      </c>
      <c r="B1530" s="3" t="s">
        <v>3903</v>
      </c>
      <c r="C1530" s="3" t="s">
        <v>3904</v>
      </c>
      <c r="D1530" s="3" t="s">
        <v>3905</v>
      </c>
      <c r="E1530" s="5">
        <v>19818.0</v>
      </c>
      <c r="F1530" s="3">
        <v>1.166311E7</v>
      </c>
      <c r="G1530" s="3">
        <v>3.513721994E9</v>
      </c>
      <c r="H1530" s="3" t="s">
        <v>21</v>
      </c>
      <c r="I1530" s="3" t="s">
        <v>28</v>
      </c>
      <c r="K1530" s="3" t="s">
        <v>1132</v>
      </c>
      <c r="L1530" s="3" t="s">
        <v>1282</v>
      </c>
      <c r="M1530" s="3" t="s">
        <v>1137</v>
      </c>
    </row>
    <row r="1531">
      <c r="A1531" s="4">
        <v>46113.38407226852</v>
      </c>
      <c r="B1531" s="3" t="s">
        <v>3906</v>
      </c>
      <c r="C1531" s="3" t="s">
        <v>3907</v>
      </c>
      <c r="E1531" s="5">
        <v>30109.0</v>
      </c>
      <c r="F1531" s="3">
        <v>2.9456495E7</v>
      </c>
      <c r="G1531" s="3">
        <v>3.513085985E9</v>
      </c>
      <c r="H1531" s="3" t="s">
        <v>1133</v>
      </c>
      <c r="I1531" s="3" t="s">
        <v>28</v>
      </c>
      <c r="K1531" s="3" t="s">
        <v>1132</v>
      </c>
      <c r="L1531" s="3" t="s">
        <v>1133</v>
      </c>
      <c r="M1531" s="3" t="s">
        <v>1134</v>
      </c>
    </row>
    <row r="1532">
      <c r="A1532" s="4">
        <v>46113.51009951389</v>
      </c>
      <c r="B1532" s="3" t="s">
        <v>3908</v>
      </c>
      <c r="C1532" s="3" t="s">
        <v>1090</v>
      </c>
      <c r="D1532" s="3" t="s">
        <v>3909</v>
      </c>
      <c r="E1532" s="5">
        <v>36998.0</v>
      </c>
      <c r="F1532" s="3">
        <v>4.3277648E7</v>
      </c>
      <c r="G1532" s="3">
        <v>3.827400958E9</v>
      </c>
      <c r="H1532" s="3" t="s">
        <v>244</v>
      </c>
      <c r="I1532" s="3" t="s">
        <v>28</v>
      </c>
      <c r="K1532" s="3" t="s">
        <v>1145</v>
      </c>
    </row>
    <row r="1533">
      <c r="A1533" s="4">
        <v>46113.658639409725</v>
      </c>
      <c r="B1533" s="3" t="s">
        <v>3910</v>
      </c>
      <c r="C1533" s="3" t="s">
        <v>252</v>
      </c>
      <c r="D1533" s="3" t="s">
        <v>3911</v>
      </c>
      <c r="E1533" s="5">
        <v>34554.0</v>
      </c>
      <c r="F1533" s="3">
        <v>3.8409904E7</v>
      </c>
      <c r="G1533" s="3">
        <v>3.516814748E9</v>
      </c>
      <c r="H1533" s="3" t="s">
        <v>21</v>
      </c>
      <c r="I1533" s="3" t="s">
        <v>28</v>
      </c>
      <c r="K1533" s="3" t="s">
        <v>1132</v>
      </c>
      <c r="L1533" s="3" t="s">
        <v>1133</v>
      </c>
      <c r="M1533" s="3" t="s">
        <v>1137</v>
      </c>
    </row>
    <row r="1534">
      <c r="A1534" s="4">
        <v>46113.66550087963</v>
      </c>
      <c r="B1534" s="3" t="s">
        <v>488</v>
      </c>
      <c r="C1534" s="3" t="s">
        <v>567</v>
      </c>
      <c r="D1534" s="3" t="s">
        <v>3679</v>
      </c>
      <c r="E1534" s="5">
        <v>29395.0</v>
      </c>
      <c r="F1534" s="3">
        <v>2.8118402E7</v>
      </c>
      <c r="G1534" s="3">
        <v>3.543607392E9</v>
      </c>
      <c r="H1534" s="3" t="s">
        <v>21</v>
      </c>
      <c r="I1534" s="3" t="s">
        <v>28</v>
      </c>
      <c r="K1534" s="3" t="s">
        <v>1145</v>
      </c>
    </row>
    <row r="1535">
      <c r="A1535" s="4">
        <v>46113.70142709491</v>
      </c>
      <c r="B1535" s="3" t="s">
        <v>2856</v>
      </c>
      <c r="C1535" s="3" t="s">
        <v>3912</v>
      </c>
      <c r="D1535" s="3" t="s">
        <v>3913</v>
      </c>
      <c r="E1535" s="5">
        <v>30231.0</v>
      </c>
      <c r="F1535" s="3">
        <v>2.9712331E7</v>
      </c>
      <c r="G1535" s="3">
        <v>3.516427743E9</v>
      </c>
      <c r="H1535" s="3" t="s">
        <v>1133</v>
      </c>
      <c r="I1535" s="3" t="s">
        <v>28</v>
      </c>
      <c r="K1535" s="3" t="s">
        <v>1132</v>
      </c>
      <c r="L1535" s="3" t="s">
        <v>2387</v>
      </c>
      <c r="M1535" s="3" t="s">
        <v>1134</v>
      </c>
    </row>
    <row r="1536">
      <c r="A1536" s="4">
        <v>46113.73431450232</v>
      </c>
      <c r="B1536" s="3" t="s">
        <v>515</v>
      </c>
      <c r="C1536" s="3" t="s">
        <v>3914</v>
      </c>
      <c r="D1536" s="3" t="s">
        <v>3915</v>
      </c>
      <c r="E1536" s="5">
        <v>46136.0</v>
      </c>
      <c r="F1536" s="3">
        <v>5748270.0</v>
      </c>
      <c r="G1536" s="3">
        <v>3.541573138E9</v>
      </c>
      <c r="H1536" s="3" t="s">
        <v>339</v>
      </c>
      <c r="I1536" s="3" t="s">
        <v>28</v>
      </c>
      <c r="K1536" s="3" t="s">
        <v>1132</v>
      </c>
      <c r="M1536" s="3" t="s">
        <v>1137</v>
      </c>
    </row>
    <row r="1537">
      <c r="A1537" s="4">
        <v>46113.82396648148</v>
      </c>
      <c r="B1537" s="3" t="s">
        <v>3916</v>
      </c>
      <c r="C1537" s="3" t="s">
        <v>3917</v>
      </c>
      <c r="D1537" s="3" t="s">
        <v>3918</v>
      </c>
      <c r="E1537" s="5">
        <v>33917.0</v>
      </c>
      <c r="F1537" s="3">
        <v>3.6431649E7</v>
      </c>
      <c r="G1537" s="3">
        <v>3.513781992E9</v>
      </c>
      <c r="H1537" s="3" t="s">
        <v>21</v>
      </c>
      <c r="I1537" s="3" t="s">
        <v>22</v>
      </c>
      <c r="K1537" s="3" t="s">
        <v>1132</v>
      </c>
      <c r="L1537" s="3" t="s">
        <v>1404</v>
      </c>
      <c r="M1537" s="3" t="s">
        <v>1134</v>
      </c>
      <c r="O1537" s="3" t="s">
        <v>58</v>
      </c>
    </row>
    <row r="1538">
      <c r="A1538" s="4">
        <v>46118.669995613425</v>
      </c>
      <c r="B1538" s="3" t="s">
        <v>3919</v>
      </c>
      <c r="C1538" s="3" t="s">
        <v>567</v>
      </c>
      <c r="E1538" s="5">
        <v>28856.0</v>
      </c>
      <c r="F1538" s="3">
        <v>2.8118402E7</v>
      </c>
      <c r="G1538" s="3">
        <v>3.543607392E9</v>
      </c>
      <c r="H1538" s="3" t="s">
        <v>27</v>
      </c>
      <c r="I1538" s="3" t="s">
        <v>28</v>
      </c>
      <c r="K1538" s="3" t="s">
        <v>1145</v>
      </c>
    </row>
    <row r="1539">
      <c r="A1539" s="4">
        <v>46118.827896319446</v>
      </c>
      <c r="B1539" s="3" t="s">
        <v>2871</v>
      </c>
      <c r="C1539" s="3" t="s">
        <v>1273</v>
      </c>
      <c r="D1539" s="3" t="s">
        <v>3920</v>
      </c>
      <c r="E1539" s="5">
        <v>32965.0</v>
      </c>
      <c r="F1539" s="3">
        <v>3.5179255E7</v>
      </c>
      <c r="G1539" s="3">
        <v>3.512245384E9</v>
      </c>
      <c r="H1539" s="3" t="s">
        <v>27</v>
      </c>
      <c r="I1539" s="3" t="s">
        <v>28</v>
      </c>
      <c r="K1539" s="3" t="s">
        <v>1132</v>
      </c>
      <c r="L1539" s="3" t="s">
        <v>3921</v>
      </c>
      <c r="M1539" s="3" t="s">
        <v>1134</v>
      </c>
    </row>
    <row r="1540">
      <c r="A1540" s="4">
        <v>46119.432365347224</v>
      </c>
      <c r="B1540" s="3" t="s">
        <v>3922</v>
      </c>
      <c r="C1540" s="3" t="s">
        <v>1611</v>
      </c>
      <c r="E1540" s="5">
        <v>32777.0</v>
      </c>
      <c r="F1540" s="3">
        <v>3.4768768E7</v>
      </c>
      <c r="G1540" s="3">
        <v>3.516426757E9</v>
      </c>
      <c r="H1540" s="3" t="s">
        <v>27</v>
      </c>
      <c r="I1540" s="3" t="s">
        <v>28</v>
      </c>
      <c r="K1540" s="3" t="s">
        <v>1132</v>
      </c>
      <c r="M1540" s="3" t="s">
        <v>1137</v>
      </c>
    </row>
    <row r="1541">
      <c r="A1541" s="4">
        <v>46119.676428217594</v>
      </c>
      <c r="B1541" s="3" t="s">
        <v>3923</v>
      </c>
      <c r="C1541" s="3" t="s">
        <v>3924</v>
      </c>
      <c r="D1541" s="3" t="s">
        <v>3925</v>
      </c>
      <c r="E1541" s="5">
        <v>30541.0</v>
      </c>
      <c r="F1541" s="3">
        <v>3.0331816E7</v>
      </c>
      <c r="G1541" s="3">
        <v>3.51299758E8</v>
      </c>
      <c r="H1541" s="3" t="s">
        <v>1133</v>
      </c>
      <c r="I1541" s="3" t="s">
        <v>28</v>
      </c>
      <c r="K1541" s="3" t="s">
        <v>1145</v>
      </c>
    </row>
    <row r="1542">
      <c r="A1542" s="4">
        <v>46119.69934232639</v>
      </c>
      <c r="B1542" s="3" t="s">
        <v>3926</v>
      </c>
      <c r="C1542" s="3" t="s">
        <v>3927</v>
      </c>
      <c r="D1542" s="3" t="s">
        <v>3928</v>
      </c>
      <c r="E1542" s="5">
        <v>38535.0</v>
      </c>
      <c r="F1542" s="3">
        <v>4.6127485E7</v>
      </c>
      <c r="G1542" s="3">
        <v>3.512036872E9</v>
      </c>
      <c r="H1542" s="3" t="s">
        <v>27</v>
      </c>
      <c r="I1542" s="3" t="s">
        <v>22</v>
      </c>
      <c r="K1542" s="3" t="s">
        <v>1132</v>
      </c>
      <c r="L1542" s="3" t="s">
        <v>1136</v>
      </c>
      <c r="M1542" s="3" t="s">
        <v>1134</v>
      </c>
      <c r="O1542" s="3" t="s">
        <v>68</v>
      </c>
    </row>
    <row r="1543">
      <c r="A1543" s="4">
        <v>46121.55307552083</v>
      </c>
      <c r="B1543" s="3" t="s">
        <v>3929</v>
      </c>
      <c r="C1543" s="3" t="s">
        <v>3930</v>
      </c>
      <c r="D1543" s="3" t="s">
        <v>3931</v>
      </c>
      <c r="E1543" s="5">
        <v>25777.0</v>
      </c>
      <c r="F1543" s="3">
        <v>2.1629318E7</v>
      </c>
      <c r="G1543" s="3">
        <v>3.515224541E9</v>
      </c>
      <c r="H1543" s="3" t="s">
        <v>27</v>
      </c>
      <c r="I1543" s="3" t="s">
        <v>28</v>
      </c>
      <c r="K1543" s="3" t="s">
        <v>1132</v>
      </c>
      <c r="L1543" s="3" t="s">
        <v>1133</v>
      </c>
      <c r="M1543" s="3" t="s">
        <v>1134</v>
      </c>
    </row>
    <row r="1544">
      <c r="A1544" s="4">
        <v>46121.59708502315</v>
      </c>
      <c r="B1544" s="3" t="s">
        <v>3932</v>
      </c>
      <c r="C1544" s="3" t="s">
        <v>3933</v>
      </c>
      <c r="D1544" s="3" t="s">
        <v>3934</v>
      </c>
      <c r="E1544" s="5">
        <v>24925.0</v>
      </c>
      <c r="F1544" s="3">
        <v>2.0345212E7</v>
      </c>
      <c r="G1544" s="3">
        <v>3.516841508E9</v>
      </c>
      <c r="H1544" s="3" t="s">
        <v>244</v>
      </c>
      <c r="I1544" s="3" t="s">
        <v>28</v>
      </c>
      <c r="K1544" s="3" t="s">
        <v>1145</v>
      </c>
    </row>
    <row r="1545">
      <c r="A1545" s="4">
        <v>46121.82777200232</v>
      </c>
      <c r="B1545" s="3" t="s">
        <v>3935</v>
      </c>
      <c r="C1545" s="3" t="s">
        <v>377</v>
      </c>
      <c r="D1545" s="3" t="s">
        <v>3936</v>
      </c>
      <c r="E1545" s="5">
        <v>38594.0</v>
      </c>
      <c r="F1545" s="3">
        <v>4.6127662E7</v>
      </c>
      <c r="G1545" s="3">
        <v>3.517357423E9</v>
      </c>
      <c r="H1545" s="3" t="s">
        <v>3297</v>
      </c>
      <c r="I1545" s="3" t="s">
        <v>22</v>
      </c>
      <c r="K1545" s="3" t="s">
        <v>1132</v>
      </c>
      <c r="L1545" s="3" t="s">
        <v>3937</v>
      </c>
      <c r="M1545" s="3" t="s">
        <v>1134</v>
      </c>
      <c r="O1545" s="3" t="s">
        <v>23</v>
      </c>
    </row>
    <row r="1546">
      <c r="A1546" s="4">
        <v>46121.9003353125</v>
      </c>
      <c r="B1546" s="3" t="s">
        <v>3938</v>
      </c>
      <c r="C1546" s="3" t="s">
        <v>1642</v>
      </c>
      <c r="D1546" s="3" t="s">
        <v>3939</v>
      </c>
      <c r="E1546" s="5">
        <v>28651.0</v>
      </c>
      <c r="F1546" s="3">
        <v>2.6484892E7</v>
      </c>
      <c r="G1546" s="3">
        <v>3.51247092E9</v>
      </c>
      <c r="H1546" s="3" t="s">
        <v>27</v>
      </c>
      <c r="I1546" s="3" t="s">
        <v>22</v>
      </c>
      <c r="K1546" s="3" t="s">
        <v>1132</v>
      </c>
      <c r="L1546" s="3" t="s">
        <v>1133</v>
      </c>
      <c r="M1546" s="3" t="s">
        <v>1137</v>
      </c>
      <c r="O1546" s="3" t="s">
        <v>72</v>
      </c>
    </row>
    <row r="1547">
      <c r="A1547" s="4">
        <v>46122.47198476852</v>
      </c>
      <c r="B1547" s="3" t="s">
        <v>1497</v>
      </c>
      <c r="C1547" s="3" t="s">
        <v>78</v>
      </c>
      <c r="D1547" s="3" t="s">
        <v>3940</v>
      </c>
      <c r="E1547" s="5">
        <v>34770.0</v>
      </c>
      <c r="F1547" s="3">
        <v>3.8009408E7</v>
      </c>
      <c r="G1547" s="3">
        <v>2.364222018E9</v>
      </c>
      <c r="H1547" s="3" t="s">
        <v>27</v>
      </c>
      <c r="I1547" s="3" t="s">
        <v>28</v>
      </c>
      <c r="K1547" s="3" t="s">
        <v>1132</v>
      </c>
      <c r="L1547" s="3" t="s">
        <v>1136</v>
      </c>
      <c r="M1547" s="3" t="s">
        <v>1213</v>
      </c>
    </row>
    <row r="1548">
      <c r="A1548" s="4">
        <v>46122.73249119213</v>
      </c>
      <c r="B1548" s="3" t="s">
        <v>3941</v>
      </c>
      <c r="C1548" s="3" t="s">
        <v>3763</v>
      </c>
      <c r="E1548" s="5">
        <v>28317.0</v>
      </c>
      <c r="F1548" s="3">
        <v>9.6437093E7</v>
      </c>
      <c r="G1548" s="3">
        <v>3.51218254E9</v>
      </c>
      <c r="H1548" s="3" t="s">
        <v>21</v>
      </c>
      <c r="I1548" s="3" t="s">
        <v>28</v>
      </c>
      <c r="K1548" s="3" t="s">
        <v>1132</v>
      </c>
      <c r="L1548" s="3" t="s">
        <v>1136</v>
      </c>
      <c r="M1548" s="3" t="s">
        <v>1137</v>
      </c>
    </row>
    <row r="1549">
      <c r="A1549" s="4">
        <v>46125.54914700231</v>
      </c>
      <c r="B1549" s="3" t="s">
        <v>3942</v>
      </c>
      <c r="C1549" s="3" t="s">
        <v>410</v>
      </c>
      <c r="D1549" s="3" t="s">
        <v>3943</v>
      </c>
      <c r="E1549" s="5">
        <v>28711.0</v>
      </c>
      <c r="F1549" s="8">
        <v>2.681422E7</v>
      </c>
      <c r="G1549" s="3">
        <v>3.513873607E9</v>
      </c>
      <c r="H1549" s="3" t="s">
        <v>1133</v>
      </c>
      <c r="I1549" s="3" t="s">
        <v>22</v>
      </c>
      <c r="K1549" s="3" t="s">
        <v>1132</v>
      </c>
      <c r="L1549" s="3" t="s">
        <v>1133</v>
      </c>
      <c r="M1549" s="3" t="s">
        <v>1134</v>
      </c>
    </row>
    <row r="1550">
      <c r="A1550" s="4">
        <v>46125.6978540625</v>
      </c>
      <c r="B1550" s="3" t="s">
        <v>3944</v>
      </c>
      <c r="C1550" s="3" t="s">
        <v>3813</v>
      </c>
      <c r="D1550" s="3" t="s">
        <v>3945</v>
      </c>
      <c r="E1550" s="5">
        <v>29539.0</v>
      </c>
      <c r="F1550" s="3">
        <v>2.827149E7</v>
      </c>
      <c r="G1550" s="3">
        <v>3.51388329E9</v>
      </c>
      <c r="H1550" s="3" t="s">
        <v>1133</v>
      </c>
      <c r="I1550" s="3" t="s">
        <v>28</v>
      </c>
      <c r="K1550" s="3" t="s">
        <v>1132</v>
      </c>
      <c r="L1550" s="3" t="s">
        <v>3946</v>
      </c>
      <c r="M1550" s="3" t="s">
        <v>1134</v>
      </c>
    </row>
    <row r="1551">
      <c r="A1551" s="4">
        <v>46127.4330438426</v>
      </c>
      <c r="B1551" s="3" t="s">
        <v>3947</v>
      </c>
      <c r="C1551" s="3" t="s">
        <v>3948</v>
      </c>
      <c r="D1551" s="3" t="s">
        <v>3949</v>
      </c>
      <c r="E1551" s="5">
        <v>30596.0</v>
      </c>
      <c r="F1551" s="3">
        <v>3.0472062E7</v>
      </c>
      <c r="G1551" s="3">
        <v>3.515557773E9</v>
      </c>
      <c r="H1551" s="3" t="s">
        <v>1133</v>
      </c>
      <c r="I1551" s="3" t="s">
        <v>28</v>
      </c>
      <c r="K1551" s="3" t="s">
        <v>1132</v>
      </c>
      <c r="L1551" s="3" t="s">
        <v>1133</v>
      </c>
      <c r="M1551" s="3" t="s">
        <v>1134</v>
      </c>
    </row>
    <row r="1552">
      <c r="A1552" s="4">
        <v>46127.48048846065</v>
      </c>
      <c r="B1552" s="3" t="s">
        <v>264</v>
      </c>
      <c r="C1552" s="3" t="s">
        <v>3950</v>
      </c>
      <c r="D1552" s="3" t="s">
        <v>3951</v>
      </c>
      <c r="E1552" s="5">
        <v>28992.0</v>
      </c>
      <c r="F1552" s="3">
        <v>2.7360369E7</v>
      </c>
      <c r="G1552" s="3">
        <v>3.513984687E9</v>
      </c>
      <c r="H1552" s="3" t="s">
        <v>21</v>
      </c>
      <c r="I1552" s="3" t="s">
        <v>22</v>
      </c>
      <c r="K1552" s="3" t="s">
        <v>1132</v>
      </c>
      <c r="L1552" s="3" t="s">
        <v>1422</v>
      </c>
      <c r="M1552" s="3" t="s">
        <v>1137</v>
      </c>
      <c r="O1552" s="3" t="s">
        <v>23</v>
      </c>
    </row>
    <row r="1553">
      <c r="A1553" s="4">
        <v>46127.481610138886</v>
      </c>
      <c r="B1553" s="3" t="s">
        <v>3952</v>
      </c>
      <c r="C1553" s="3" t="s">
        <v>3953</v>
      </c>
      <c r="D1553" s="3" t="s">
        <v>3954</v>
      </c>
      <c r="E1553" s="5">
        <v>35391.0</v>
      </c>
      <c r="F1553" s="3">
        <v>3.9937188E7</v>
      </c>
      <c r="G1553" s="3">
        <v>3.515512472E9</v>
      </c>
      <c r="H1553" s="3" t="s">
        <v>244</v>
      </c>
      <c r="I1553" s="3" t="s">
        <v>22</v>
      </c>
      <c r="K1553" s="3" t="s">
        <v>1132</v>
      </c>
      <c r="L1553" s="3" t="s">
        <v>1136</v>
      </c>
      <c r="M1553" s="3" t="s">
        <v>1137</v>
      </c>
      <c r="O1553" s="3" t="s">
        <v>58</v>
      </c>
    </row>
    <row r="1554">
      <c r="A1554" s="4">
        <v>46127.49526974537</v>
      </c>
      <c r="B1554" s="3" t="s">
        <v>3955</v>
      </c>
      <c r="C1554" s="3" t="s">
        <v>258</v>
      </c>
      <c r="D1554" s="3" t="s">
        <v>3956</v>
      </c>
      <c r="E1554" s="5">
        <v>21087.0</v>
      </c>
      <c r="F1554" s="3">
        <v>1.3510267E7</v>
      </c>
      <c r="G1554" s="3">
        <v>3.512376701E9</v>
      </c>
      <c r="H1554" s="3" t="s">
        <v>148</v>
      </c>
      <c r="I1554" s="3" t="s">
        <v>22</v>
      </c>
      <c r="K1554" s="3" t="s">
        <v>1145</v>
      </c>
      <c r="O1554" s="3" t="s">
        <v>23</v>
      </c>
    </row>
    <row r="1555">
      <c r="A1555" s="4">
        <v>46127.699130127316</v>
      </c>
      <c r="B1555" s="3" t="s">
        <v>360</v>
      </c>
      <c r="C1555" s="3" t="s">
        <v>2039</v>
      </c>
      <c r="D1555" s="3" t="s">
        <v>3957</v>
      </c>
      <c r="E1555" s="5">
        <v>29497.0</v>
      </c>
      <c r="F1555" s="3">
        <v>2.8344979E7</v>
      </c>
      <c r="G1555" s="3">
        <v>3.512061634E9</v>
      </c>
      <c r="H1555" s="3" t="s">
        <v>244</v>
      </c>
      <c r="I1555" s="3" t="s">
        <v>28</v>
      </c>
      <c r="K1555" s="3" t="s">
        <v>1132</v>
      </c>
      <c r="L1555" s="3" t="s">
        <v>1435</v>
      </c>
      <c r="M1555" s="3" t="s">
        <v>1137</v>
      </c>
    </row>
    <row r="1556">
      <c r="A1556" s="4">
        <v>46128.55127314815</v>
      </c>
      <c r="B1556" s="3" t="s">
        <v>3958</v>
      </c>
      <c r="C1556" s="3" t="s">
        <v>848</v>
      </c>
      <c r="D1556" s="3" t="s">
        <v>3959</v>
      </c>
      <c r="E1556" s="5">
        <v>23048.0</v>
      </c>
      <c r="F1556" s="3">
        <v>1.6334764E7</v>
      </c>
      <c r="G1556" s="3">
        <v>3.513470096E9</v>
      </c>
      <c r="H1556" s="3" t="s">
        <v>21</v>
      </c>
      <c r="I1556" s="3" t="s">
        <v>28</v>
      </c>
      <c r="K1556" s="3" t="s">
        <v>1145</v>
      </c>
    </row>
    <row r="1557">
      <c r="A1557" s="4">
        <v>46128.65691009259</v>
      </c>
      <c r="B1557" s="3" t="s">
        <v>3960</v>
      </c>
      <c r="C1557" s="3" t="s">
        <v>113</v>
      </c>
      <c r="D1557" s="3" t="s">
        <v>3961</v>
      </c>
      <c r="E1557" s="5">
        <v>39804.0</v>
      </c>
      <c r="F1557" s="3">
        <v>4.8720547E7</v>
      </c>
      <c r="G1557" s="3">
        <v>3.51659482E9</v>
      </c>
      <c r="H1557" s="3" t="s">
        <v>244</v>
      </c>
      <c r="I1557" s="3" t="s">
        <v>22</v>
      </c>
      <c r="K1557" s="3" t="s">
        <v>1145</v>
      </c>
      <c r="O1557" s="3" t="s">
        <v>23</v>
      </c>
    </row>
    <row r="1558">
      <c r="A1558" s="4">
        <v>46129.45179717593</v>
      </c>
      <c r="B1558" s="3" t="s">
        <v>3958</v>
      </c>
      <c r="C1558" s="3" t="s">
        <v>3962</v>
      </c>
      <c r="E1558" s="5">
        <v>23048.0</v>
      </c>
      <c r="F1558" s="3">
        <v>1.6334764E7</v>
      </c>
      <c r="G1558" s="3">
        <v>3.513470096E9</v>
      </c>
      <c r="H1558" s="3" t="s">
        <v>27</v>
      </c>
      <c r="I1558" s="3" t="s">
        <v>22</v>
      </c>
      <c r="K1558" s="3" t="s">
        <v>1132</v>
      </c>
      <c r="L1558" s="3" t="s">
        <v>1133</v>
      </c>
      <c r="M1558" s="3" t="s">
        <v>1137</v>
      </c>
      <c r="O1558" s="3" t="s">
        <v>3652</v>
      </c>
    </row>
    <row r="1559">
      <c r="A1559" s="4">
        <v>46129.50698068287</v>
      </c>
      <c r="B1559" s="3" t="s">
        <v>3963</v>
      </c>
      <c r="C1559" s="3" t="s">
        <v>3964</v>
      </c>
      <c r="D1559" s="3" t="s">
        <v>3965</v>
      </c>
      <c r="E1559" s="5">
        <v>29251.0</v>
      </c>
      <c r="F1559" s="3">
        <v>2.8064266E7</v>
      </c>
      <c r="G1559" s="3">
        <v>3.518019469E9</v>
      </c>
      <c r="H1559" s="3" t="s">
        <v>1133</v>
      </c>
      <c r="I1559" s="3" t="s">
        <v>28</v>
      </c>
      <c r="K1559" s="3" t="s">
        <v>1132</v>
      </c>
      <c r="L1559" s="3" t="s">
        <v>1133</v>
      </c>
      <c r="M1559" s="3" t="s">
        <v>1134</v>
      </c>
    </row>
    <row r="1560">
      <c r="A1560" s="4">
        <v>46129.71871829861</v>
      </c>
      <c r="B1560" s="3" t="s">
        <v>3966</v>
      </c>
      <c r="C1560" s="3" t="s">
        <v>344</v>
      </c>
      <c r="D1560" s="3" t="s">
        <v>3967</v>
      </c>
      <c r="E1560" s="5">
        <v>28493.0</v>
      </c>
      <c r="F1560" s="3">
        <v>2.618109E7</v>
      </c>
      <c r="G1560" s="3">
        <v>3.51609882E9</v>
      </c>
      <c r="H1560" s="3" t="s">
        <v>1133</v>
      </c>
      <c r="I1560" s="3" t="s">
        <v>28</v>
      </c>
      <c r="K1560" s="3" t="s">
        <v>1132</v>
      </c>
      <c r="L1560" s="3" t="s">
        <v>1136</v>
      </c>
      <c r="M1560" s="3" t="s">
        <v>1134</v>
      </c>
    </row>
    <row r="1561">
      <c r="A1561" s="4">
        <v>46132.4807028588</v>
      </c>
      <c r="B1561" s="3" t="s">
        <v>3968</v>
      </c>
      <c r="C1561" s="3" t="s">
        <v>3969</v>
      </c>
      <c r="D1561" s="3" t="s">
        <v>3970</v>
      </c>
      <c r="E1561" s="5">
        <v>38846.0</v>
      </c>
      <c r="F1561" s="3">
        <v>4.7265027E7</v>
      </c>
      <c r="G1561" s="3">
        <v>3.51209591E9</v>
      </c>
      <c r="H1561" s="3" t="s">
        <v>21</v>
      </c>
      <c r="I1561" s="3" t="s">
        <v>22</v>
      </c>
      <c r="K1561" s="3" t="s">
        <v>1145</v>
      </c>
      <c r="O1561" s="3" t="s">
        <v>23</v>
      </c>
    </row>
    <row r="1562">
      <c r="A1562" s="4">
        <v>46132.50029403935</v>
      </c>
      <c r="B1562" s="3" t="s">
        <v>1034</v>
      </c>
      <c r="C1562" s="3" t="s">
        <v>337</v>
      </c>
      <c r="D1562" s="3" t="s">
        <v>3971</v>
      </c>
      <c r="E1562" s="5">
        <v>27822.0</v>
      </c>
      <c r="F1562" s="3">
        <v>2.5203029E7</v>
      </c>
      <c r="G1562" s="3">
        <v>3.5132156E9</v>
      </c>
      <c r="H1562" s="3" t="s">
        <v>1133</v>
      </c>
      <c r="I1562" s="3" t="s">
        <v>22</v>
      </c>
      <c r="K1562" s="3" t="s">
        <v>1132</v>
      </c>
      <c r="L1562" s="3" t="s">
        <v>1133</v>
      </c>
      <c r="M1562" s="3" t="s">
        <v>1134</v>
      </c>
      <c r="O1562" s="3" t="s">
        <v>3321</v>
      </c>
    </row>
    <row r="1563">
      <c r="A1563" s="4">
        <v>46132.79344188658</v>
      </c>
      <c r="B1563" s="3" t="s">
        <v>3972</v>
      </c>
      <c r="C1563" s="3" t="s">
        <v>3973</v>
      </c>
      <c r="D1563" s="3" t="s">
        <v>3974</v>
      </c>
      <c r="E1563" s="5">
        <v>38096.0</v>
      </c>
      <c r="F1563" s="3">
        <v>4.5488271E7</v>
      </c>
      <c r="G1563" s="3">
        <v>3.51522336E9</v>
      </c>
      <c r="H1563" s="3" t="s">
        <v>1133</v>
      </c>
      <c r="I1563" s="3" t="s">
        <v>28</v>
      </c>
      <c r="K1563" s="3" t="s">
        <v>1132</v>
      </c>
      <c r="L1563" s="3" t="s">
        <v>1136</v>
      </c>
      <c r="M1563" s="3" t="s">
        <v>1134</v>
      </c>
    </row>
    <row r="1564">
      <c r="A1564" s="4">
        <v>46133.00090049769</v>
      </c>
      <c r="B1564" s="3" t="s">
        <v>3975</v>
      </c>
      <c r="C1564" s="3" t="s">
        <v>1650</v>
      </c>
      <c r="D1564" s="3" t="s">
        <v>3976</v>
      </c>
      <c r="E1564" s="5">
        <v>33304.0</v>
      </c>
      <c r="F1564" s="3">
        <v>3.5577094E7</v>
      </c>
      <c r="G1564" s="3">
        <v>3.516324164E9</v>
      </c>
      <c r="H1564" s="3" t="s">
        <v>21</v>
      </c>
      <c r="I1564" s="3" t="s">
        <v>22</v>
      </c>
      <c r="K1564" s="3" t="s">
        <v>1132</v>
      </c>
      <c r="L1564" s="3" t="s">
        <v>1404</v>
      </c>
      <c r="M1564" s="3" t="s">
        <v>1134</v>
      </c>
      <c r="O1564" s="3" t="s">
        <v>673</v>
      </c>
    </row>
    <row r="1565">
      <c r="A1565" s="4">
        <v>46133.44159416667</v>
      </c>
      <c r="B1565" s="3" t="s">
        <v>376</v>
      </c>
      <c r="C1565" s="3" t="s">
        <v>3977</v>
      </c>
      <c r="D1565" s="3" t="s">
        <v>3978</v>
      </c>
      <c r="E1565" s="5">
        <v>19073.0</v>
      </c>
      <c r="F1565" s="3">
        <v>1.0402809E7</v>
      </c>
      <c r="G1565" s="3">
        <v>3.815019455E9</v>
      </c>
      <c r="H1565" s="3" t="s">
        <v>21</v>
      </c>
      <c r="I1565" s="3" t="s">
        <v>22</v>
      </c>
      <c r="K1565" s="3" t="s">
        <v>1145</v>
      </c>
      <c r="O1565" s="3" t="s">
        <v>3979</v>
      </c>
    </row>
    <row r="1566">
      <c r="A1566" s="4">
        <v>46133.48528584491</v>
      </c>
      <c r="B1566" s="3" t="s">
        <v>3980</v>
      </c>
      <c r="C1566" s="3" t="s">
        <v>3981</v>
      </c>
      <c r="D1566" s="3" t="s">
        <v>3982</v>
      </c>
      <c r="E1566" s="5">
        <v>13929.0</v>
      </c>
      <c r="F1566" s="3">
        <v>6503558.0</v>
      </c>
      <c r="G1566" s="3">
        <v>3.515054694E9</v>
      </c>
      <c r="H1566" s="3" t="s">
        <v>339</v>
      </c>
      <c r="I1566" s="3" t="s">
        <v>28</v>
      </c>
      <c r="K1566" s="3" t="s">
        <v>1145</v>
      </c>
    </row>
    <row r="1567">
      <c r="A1567" s="4">
        <v>46133.49660293982</v>
      </c>
      <c r="B1567" s="3" t="s">
        <v>3983</v>
      </c>
      <c r="C1567" s="3" t="s">
        <v>1256</v>
      </c>
      <c r="D1567" s="3" t="s">
        <v>3984</v>
      </c>
      <c r="E1567" s="5">
        <v>35617.0</v>
      </c>
      <c r="F1567" s="3">
        <v>4.0028419E7</v>
      </c>
      <c r="G1567" s="3">
        <v>3.51506687E9</v>
      </c>
      <c r="H1567" s="3" t="s">
        <v>21</v>
      </c>
      <c r="I1567" s="3" t="s">
        <v>28</v>
      </c>
      <c r="K1567" s="3" t="s">
        <v>1132</v>
      </c>
      <c r="L1567" s="3" t="s">
        <v>1133</v>
      </c>
      <c r="M1567" s="3" t="s">
        <v>1137</v>
      </c>
    </row>
    <row r="1568">
      <c r="A1568" s="4">
        <v>46133.722965243054</v>
      </c>
      <c r="B1568" s="3" t="s">
        <v>1034</v>
      </c>
      <c r="C1568" s="3" t="s">
        <v>337</v>
      </c>
      <c r="E1568" s="5">
        <v>27822.0</v>
      </c>
      <c r="F1568" s="3">
        <v>2.5203029E7</v>
      </c>
      <c r="G1568" s="3">
        <v>3.5132156E9</v>
      </c>
      <c r="H1568" s="3" t="s">
        <v>1133</v>
      </c>
      <c r="I1568" s="3" t="s">
        <v>22</v>
      </c>
      <c r="K1568" s="3" t="s">
        <v>1132</v>
      </c>
      <c r="L1568" s="3" t="s">
        <v>1133</v>
      </c>
      <c r="M1568" s="3" t="s">
        <v>1137</v>
      </c>
    </row>
    <row r="1569">
      <c r="A1569" s="4">
        <v>46133.76345721065</v>
      </c>
      <c r="B1569" s="3" t="s">
        <v>3985</v>
      </c>
      <c r="C1569" s="3" t="s">
        <v>3986</v>
      </c>
      <c r="D1569" s="3" t="s">
        <v>3987</v>
      </c>
      <c r="E1569" s="5">
        <v>28978.0</v>
      </c>
      <c r="F1569" s="3">
        <v>2.7390999E7</v>
      </c>
      <c r="G1569" s="3">
        <v>3.5150738E9</v>
      </c>
      <c r="H1569" s="3" t="s">
        <v>21</v>
      </c>
      <c r="I1569" s="3" t="s">
        <v>22</v>
      </c>
      <c r="K1569" s="3" t="s">
        <v>1132</v>
      </c>
      <c r="L1569" s="3" t="s">
        <v>1568</v>
      </c>
      <c r="M1569" s="3" t="s">
        <v>1134</v>
      </c>
      <c r="O1569" s="3" t="s">
        <v>72</v>
      </c>
    </row>
    <row r="1570">
      <c r="A1570" s="4">
        <v>46134.47162377315</v>
      </c>
      <c r="B1570" s="3" t="s">
        <v>3988</v>
      </c>
      <c r="C1570" s="3" t="s">
        <v>3989</v>
      </c>
      <c r="D1570" s="3" t="s">
        <v>3990</v>
      </c>
      <c r="E1570" s="5">
        <v>34394.0</v>
      </c>
      <c r="F1570" s="3">
        <v>3.8106906E7</v>
      </c>
      <c r="G1570" s="3">
        <v>3.51234008E9</v>
      </c>
      <c r="H1570" s="3" t="s">
        <v>3991</v>
      </c>
      <c r="I1570" s="3" t="s">
        <v>22</v>
      </c>
      <c r="K1570" s="3" t="s">
        <v>1132</v>
      </c>
      <c r="L1570" s="3" t="s">
        <v>3992</v>
      </c>
      <c r="M1570" s="3" t="s">
        <v>1137</v>
      </c>
      <c r="O1570" s="3" t="s">
        <v>149</v>
      </c>
    </row>
    <row r="1571">
      <c r="A1571" s="4">
        <v>46134.69236744213</v>
      </c>
      <c r="B1571" s="3" t="s">
        <v>3137</v>
      </c>
      <c r="C1571" s="3" t="s">
        <v>2355</v>
      </c>
      <c r="E1571" s="5">
        <v>18900.0</v>
      </c>
      <c r="F1571" s="3">
        <v>1.0012138E7</v>
      </c>
      <c r="G1571" s="3">
        <v>3.516557277E9</v>
      </c>
      <c r="H1571" s="3" t="s">
        <v>27</v>
      </c>
      <c r="I1571" s="3" t="s">
        <v>22</v>
      </c>
      <c r="K1571" s="3" t="s">
        <v>1145</v>
      </c>
      <c r="O1571" s="3" t="s">
        <v>3993</v>
      </c>
    </row>
    <row r="1572">
      <c r="A1572" s="4">
        <v>46134.77231596065</v>
      </c>
      <c r="B1572" s="3" t="s">
        <v>3994</v>
      </c>
      <c r="C1572" s="3" t="s">
        <v>3995</v>
      </c>
      <c r="E1572" s="5">
        <v>27991.0</v>
      </c>
      <c r="F1572" s="3">
        <v>2.5471325E7</v>
      </c>
      <c r="G1572" s="3">
        <v>3.512340362E9</v>
      </c>
      <c r="H1572" s="3" t="s">
        <v>1133</v>
      </c>
      <c r="I1572" s="3" t="s">
        <v>28</v>
      </c>
      <c r="K1572" s="3" t="s">
        <v>1132</v>
      </c>
      <c r="L1572" s="3" t="s">
        <v>1133</v>
      </c>
      <c r="M1572" s="3" t="s">
        <v>1137</v>
      </c>
    </row>
    <row r="1573">
      <c r="A1573" s="4">
        <v>46135.509083310186</v>
      </c>
      <c r="B1573" s="3" t="s">
        <v>3996</v>
      </c>
      <c r="C1573" s="3" t="s">
        <v>3997</v>
      </c>
      <c r="D1573" s="3" t="s">
        <v>3998</v>
      </c>
      <c r="E1573" s="5">
        <v>46177.0</v>
      </c>
      <c r="F1573" s="3">
        <v>3.5257885E7</v>
      </c>
      <c r="G1573" s="3">
        <v>3.516479408E9</v>
      </c>
      <c r="H1573" s="3" t="s">
        <v>27</v>
      </c>
      <c r="I1573" s="3" t="s">
        <v>28</v>
      </c>
      <c r="K1573" s="3" t="s">
        <v>1132</v>
      </c>
      <c r="L1573" s="3" t="s">
        <v>1133</v>
      </c>
      <c r="M1573" s="3" t="s">
        <v>1134</v>
      </c>
    </row>
    <row r="1574">
      <c r="A1574" s="4">
        <v>46135.5845421875</v>
      </c>
      <c r="B1574" s="3" t="s">
        <v>3999</v>
      </c>
      <c r="C1574" s="3" t="s">
        <v>544</v>
      </c>
      <c r="D1574" s="3" t="s">
        <v>4000</v>
      </c>
      <c r="E1574" s="5">
        <v>40654.0</v>
      </c>
      <c r="F1574" s="8">
        <v>5.093914E7</v>
      </c>
      <c r="G1574" s="3">
        <v>3.513424965E9</v>
      </c>
      <c r="H1574" s="3" t="s">
        <v>21</v>
      </c>
      <c r="I1574" s="3" t="s">
        <v>22</v>
      </c>
      <c r="K1574" s="3" t="s">
        <v>1132</v>
      </c>
      <c r="L1574" s="3" t="s">
        <v>3235</v>
      </c>
      <c r="M1574" s="3" t="s">
        <v>1134</v>
      </c>
      <c r="O1574" s="3" t="s">
        <v>906</v>
      </c>
    </row>
    <row r="1575">
      <c r="A1575" s="4">
        <v>46135.75939731482</v>
      </c>
      <c r="B1575" s="3" t="s">
        <v>1923</v>
      </c>
      <c r="C1575" s="3" t="s">
        <v>4001</v>
      </c>
      <c r="D1575" s="3" t="s">
        <v>4002</v>
      </c>
      <c r="E1575" s="5">
        <v>35793.0</v>
      </c>
      <c r="F1575" s="3">
        <v>4.0835434E7</v>
      </c>
      <c r="G1575" s="3">
        <v>3.517640021E9</v>
      </c>
      <c r="H1575" s="3" t="s">
        <v>27</v>
      </c>
      <c r="I1575" s="3" t="s">
        <v>28</v>
      </c>
      <c r="K1575" s="3" t="s">
        <v>1132</v>
      </c>
      <c r="L1575" s="3" t="s">
        <v>1136</v>
      </c>
      <c r="M1575" s="3" t="s">
        <v>1134</v>
      </c>
    </row>
    <row r="1576">
      <c r="A1576" s="4">
        <v>46135.781591226856</v>
      </c>
      <c r="B1576" s="3" t="s">
        <v>985</v>
      </c>
      <c r="C1576" s="3" t="s">
        <v>4003</v>
      </c>
      <c r="D1576" s="3" t="s">
        <v>4004</v>
      </c>
      <c r="E1576" s="5">
        <v>16478.0</v>
      </c>
      <c r="F1576" s="3">
        <v>7754593.0</v>
      </c>
      <c r="G1576" s="3">
        <v>3.515443823E9</v>
      </c>
      <c r="H1576" s="3" t="s">
        <v>27</v>
      </c>
      <c r="I1576" s="3" t="s">
        <v>28</v>
      </c>
      <c r="K1576" s="3" t="s">
        <v>1132</v>
      </c>
      <c r="L1576" s="3" t="s">
        <v>4005</v>
      </c>
      <c r="M1576" s="3" t="s">
        <v>1137</v>
      </c>
    </row>
    <row r="1577">
      <c r="A1577" s="4">
        <v>46135.82879384259</v>
      </c>
      <c r="B1577" s="3" t="s">
        <v>2137</v>
      </c>
      <c r="C1577" s="3" t="s">
        <v>2548</v>
      </c>
      <c r="D1577" s="3" t="s">
        <v>2138</v>
      </c>
      <c r="E1577" s="5">
        <v>37497.0</v>
      </c>
      <c r="F1577" s="3">
        <v>4.434615E7</v>
      </c>
      <c r="G1577" s="3">
        <v>3.517570132E9</v>
      </c>
      <c r="H1577" s="3" t="s">
        <v>1133</v>
      </c>
      <c r="I1577" s="3" t="s">
        <v>22</v>
      </c>
      <c r="K1577" s="3" t="s">
        <v>1132</v>
      </c>
      <c r="L1577" s="3" t="s">
        <v>4006</v>
      </c>
      <c r="M1577" s="3" t="s">
        <v>1134</v>
      </c>
      <c r="O1577" s="3" t="s">
        <v>149</v>
      </c>
    </row>
    <row r="1578">
      <c r="A1578" s="4">
        <v>46136.42291283565</v>
      </c>
      <c r="B1578" s="3" t="s">
        <v>4007</v>
      </c>
      <c r="C1578" s="3" t="s">
        <v>4008</v>
      </c>
      <c r="D1578" s="3" t="s">
        <v>4009</v>
      </c>
      <c r="E1578" s="5">
        <v>23511.0</v>
      </c>
      <c r="F1578" s="3">
        <v>1.6742696E7</v>
      </c>
      <c r="G1578" s="3">
        <v>3.517632848E9</v>
      </c>
      <c r="H1578" s="3" t="s">
        <v>1133</v>
      </c>
      <c r="I1578" s="3" t="s">
        <v>28</v>
      </c>
      <c r="K1578" s="3" t="s">
        <v>1132</v>
      </c>
      <c r="L1578" s="3" t="s">
        <v>1133</v>
      </c>
      <c r="M1578" s="3" t="s">
        <v>1134</v>
      </c>
    </row>
    <row r="1579">
      <c r="A1579" s="4">
        <v>46136.68065019676</v>
      </c>
      <c r="B1579" s="3" t="s">
        <v>4010</v>
      </c>
      <c r="C1579" s="3" t="s">
        <v>1606</v>
      </c>
      <c r="D1579" s="3" t="s">
        <v>4011</v>
      </c>
      <c r="E1579" s="5">
        <v>25648.0</v>
      </c>
      <c r="F1579" s="3">
        <v>2.1398363E7</v>
      </c>
      <c r="G1579" s="3">
        <v>3.515606974E9</v>
      </c>
      <c r="H1579" s="3" t="s">
        <v>244</v>
      </c>
      <c r="I1579" s="3" t="s">
        <v>28</v>
      </c>
      <c r="K1579" s="3" t="s">
        <v>1145</v>
      </c>
    </row>
    <row r="1580">
      <c r="A1580" s="4">
        <v>46136.79525701389</v>
      </c>
      <c r="B1580" s="3" t="s">
        <v>196</v>
      </c>
      <c r="C1580" s="3" t="s">
        <v>4012</v>
      </c>
      <c r="D1580" s="3" t="s">
        <v>4013</v>
      </c>
      <c r="E1580" s="5">
        <v>46137.0</v>
      </c>
      <c r="F1580" s="3">
        <v>1.1562566E7</v>
      </c>
      <c r="G1580" s="3">
        <v>3.512567775E9</v>
      </c>
      <c r="H1580" s="3" t="s">
        <v>27</v>
      </c>
      <c r="I1580" s="3" t="s">
        <v>28</v>
      </c>
      <c r="K1580" s="3" t="s">
        <v>1132</v>
      </c>
      <c r="L1580" s="3" t="s">
        <v>4014</v>
      </c>
      <c r="M1580" s="3" t="s">
        <v>1137</v>
      </c>
    </row>
    <row r="1581">
      <c r="A1581" s="4">
        <v>46140.535276932875</v>
      </c>
      <c r="B1581" s="3" t="s">
        <v>950</v>
      </c>
      <c r="C1581" s="3" t="s">
        <v>4015</v>
      </c>
      <c r="D1581" s="3" t="s">
        <v>4016</v>
      </c>
      <c r="E1581" s="5">
        <v>22464.0</v>
      </c>
      <c r="F1581" s="3">
        <v>1.4488091E7</v>
      </c>
      <c r="G1581" s="3">
        <v>3.51633103E9</v>
      </c>
      <c r="H1581" s="3" t="s">
        <v>27</v>
      </c>
      <c r="I1581" s="3" t="s">
        <v>22</v>
      </c>
      <c r="K1581" s="3" t="s">
        <v>1132</v>
      </c>
      <c r="L1581" s="3" t="s">
        <v>1133</v>
      </c>
      <c r="M1581" s="3" t="s">
        <v>1134</v>
      </c>
      <c r="O1581" s="3" t="s">
        <v>23</v>
      </c>
    </row>
    <row r="1582">
      <c r="A1582" s="4">
        <v>46140.77991982639</v>
      </c>
      <c r="B1582" s="3" t="s">
        <v>4017</v>
      </c>
      <c r="C1582" s="3" t="s">
        <v>4018</v>
      </c>
      <c r="D1582" s="3" t="s">
        <v>4019</v>
      </c>
      <c r="E1582" s="5">
        <v>39118.0</v>
      </c>
      <c r="F1582" s="3">
        <v>4.730351E7</v>
      </c>
      <c r="G1582" s="3">
        <v>3.513925491E9</v>
      </c>
      <c r="H1582" s="3" t="s">
        <v>1133</v>
      </c>
      <c r="I1582" s="3" t="s">
        <v>22</v>
      </c>
      <c r="K1582" s="3" t="s">
        <v>1132</v>
      </c>
      <c r="L1582" s="3" t="s">
        <v>4020</v>
      </c>
      <c r="M1582" s="3" t="s">
        <v>1134</v>
      </c>
      <c r="O1582" s="3" t="s">
        <v>23</v>
      </c>
    </row>
    <row r="1583">
      <c r="A1583" s="4">
        <v>46141.40454263889</v>
      </c>
      <c r="B1583" s="3" t="s">
        <v>4021</v>
      </c>
      <c r="C1583" s="3" t="s">
        <v>162</v>
      </c>
      <c r="D1583" s="3" t="s">
        <v>4022</v>
      </c>
      <c r="E1583" s="5">
        <v>30816.0</v>
      </c>
      <c r="F1583" s="3">
        <v>3.096918E7</v>
      </c>
      <c r="G1583" s="3">
        <v>3.516425777E9</v>
      </c>
      <c r="H1583" s="3" t="s">
        <v>1133</v>
      </c>
      <c r="I1583" s="3" t="s">
        <v>22</v>
      </c>
      <c r="K1583" s="3" t="s">
        <v>1132</v>
      </c>
      <c r="L1583" s="3" t="s">
        <v>1133</v>
      </c>
      <c r="M1583" s="3" t="s">
        <v>1134</v>
      </c>
      <c r="O1583" s="3" t="s">
        <v>58</v>
      </c>
    </row>
    <row r="1584">
      <c r="A1584" s="4">
        <v>46141.491789293985</v>
      </c>
      <c r="B1584" s="3" t="s">
        <v>2128</v>
      </c>
      <c r="C1584" s="3" t="s">
        <v>1655</v>
      </c>
      <c r="E1584" s="5">
        <v>22464.0</v>
      </c>
      <c r="F1584" s="3">
        <v>1.4488091E7</v>
      </c>
      <c r="G1584" s="3">
        <v>3.51633103E9</v>
      </c>
      <c r="H1584" s="3" t="s">
        <v>27</v>
      </c>
      <c r="I1584" s="3" t="s">
        <v>22</v>
      </c>
      <c r="K1584" s="3" t="s">
        <v>1132</v>
      </c>
      <c r="L1584" s="3" t="s">
        <v>1133</v>
      </c>
      <c r="M1584" s="3" t="s">
        <v>1134</v>
      </c>
      <c r="O1584" s="3" t="s">
        <v>23</v>
      </c>
    </row>
    <row r="1585">
      <c r="A1585" s="4">
        <v>46141.79337342593</v>
      </c>
      <c r="B1585" s="3" t="s">
        <v>780</v>
      </c>
      <c r="C1585" s="3" t="s">
        <v>4023</v>
      </c>
      <c r="D1585" s="3" t="s">
        <v>3961</v>
      </c>
      <c r="E1585" s="5">
        <v>31053.0</v>
      </c>
      <c r="F1585" s="3">
        <v>3.1356213E7</v>
      </c>
      <c r="G1585" s="3">
        <v>3.51659482E9</v>
      </c>
      <c r="H1585" s="3" t="s">
        <v>27</v>
      </c>
      <c r="I1585" s="3" t="s">
        <v>22</v>
      </c>
      <c r="K1585" s="3" t="s">
        <v>1145</v>
      </c>
      <c r="O1585" s="3" t="s">
        <v>23</v>
      </c>
    </row>
    <row r="1586">
      <c r="A1586" s="4">
        <v>46141.83716439815</v>
      </c>
      <c r="B1586" s="3" t="s">
        <v>4024</v>
      </c>
      <c r="C1586" s="3" t="s">
        <v>4025</v>
      </c>
      <c r="D1586" s="3" t="s">
        <v>4026</v>
      </c>
      <c r="E1586" s="5">
        <v>25776.0</v>
      </c>
      <c r="F1586" s="3">
        <v>2.1755112E7</v>
      </c>
      <c r="G1586" s="3">
        <v>3.513402324E9</v>
      </c>
      <c r="H1586" s="3" t="s">
        <v>27</v>
      </c>
      <c r="I1586" s="3" t="s">
        <v>28</v>
      </c>
      <c r="K1586" s="3" t="s">
        <v>1145</v>
      </c>
    </row>
    <row r="1587">
      <c r="A1587" s="4">
        <v>46142.46504758102</v>
      </c>
      <c r="B1587" s="3" t="s">
        <v>1686</v>
      </c>
      <c r="C1587" s="3" t="s">
        <v>4027</v>
      </c>
      <c r="D1587" s="3" t="s">
        <v>421</v>
      </c>
      <c r="E1587" s="5">
        <v>20006.0</v>
      </c>
      <c r="F1587" s="3">
        <v>1.1359142E7</v>
      </c>
      <c r="G1587" s="3">
        <v>3.513039836E9</v>
      </c>
      <c r="H1587" s="3" t="s">
        <v>1133</v>
      </c>
      <c r="I1587" s="3" t="s">
        <v>22</v>
      </c>
      <c r="K1587" s="3" t="s">
        <v>1145</v>
      </c>
      <c r="O1587" s="3" t="s">
        <v>23</v>
      </c>
    </row>
    <row r="1588">
      <c r="A1588" s="4">
        <v>46142.50983577546</v>
      </c>
      <c r="B1588" s="3" t="s">
        <v>4028</v>
      </c>
      <c r="C1588" s="3" t="s">
        <v>4029</v>
      </c>
      <c r="D1588" s="3" t="s">
        <v>4030</v>
      </c>
      <c r="E1588" s="5">
        <v>15801.0</v>
      </c>
      <c r="F1588" s="3">
        <v>4736714.0</v>
      </c>
      <c r="G1588" s="3">
        <v>3.513569813E9</v>
      </c>
      <c r="H1588" s="3" t="s">
        <v>27</v>
      </c>
      <c r="I1588" s="3" t="s">
        <v>22</v>
      </c>
      <c r="K1588" s="3" t="s">
        <v>1145</v>
      </c>
      <c r="O1588" s="3" t="s">
        <v>23</v>
      </c>
    </row>
    <row r="1589">
      <c r="A1589" s="4">
        <v>46142.72129976852</v>
      </c>
      <c r="B1589" s="3" t="s">
        <v>4031</v>
      </c>
      <c r="C1589" s="3" t="s">
        <v>4032</v>
      </c>
      <c r="D1589" s="3" t="s">
        <v>4033</v>
      </c>
      <c r="E1589" s="5">
        <v>29913.0</v>
      </c>
      <c r="F1589" s="3">
        <v>2.8207047E7</v>
      </c>
      <c r="G1589" s="3">
        <v>3.516542005E9</v>
      </c>
      <c r="H1589" s="3" t="s">
        <v>1133</v>
      </c>
      <c r="I1589" s="3" t="s">
        <v>22</v>
      </c>
      <c r="K1589" s="3" t="s">
        <v>1132</v>
      </c>
      <c r="L1589" s="3" t="s">
        <v>3377</v>
      </c>
      <c r="M1589" s="3" t="s">
        <v>1134</v>
      </c>
      <c r="O1589" s="3" t="s">
        <v>149</v>
      </c>
    </row>
    <row r="1590">
      <c r="A1590" s="4">
        <v>46144.712053125</v>
      </c>
      <c r="B1590" s="3" t="s">
        <v>4034</v>
      </c>
      <c r="C1590" s="3" t="s">
        <v>1803</v>
      </c>
      <c r="D1590" s="3" t="s">
        <v>4035</v>
      </c>
      <c r="E1590" s="5">
        <v>33269.0</v>
      </c>
      <c r="F1590" s="3">
        <v>3.5576224E7</v>
      </c>
      <c r="G1590" s="3">
        <v>3.512388048E9</v>
      </c>
      <c r="H1590" s="3" t="s">
        <v>244</v>
      </c>
      <c r="I1590" s="3" t="s">
        <v>28</v>
      </c>
      <c r="K1590" s="3" t="s">
        <v>1145</v>
      </c>
    </row>
    <row r="1591">
      <c r="A1591" s="4">
        <v>46146.394023009256</v>
      </c>
      <c r="B1591" s="3" t="s">
        <v>4036</v>
      </c>
      <c r="C1591" s="3" t="s">
        <v>759</v>
      </c>
      <c r="D1591" s="3" t="s">
        <v>4037</v>
      </c>
      <c r="E1591" s="5">
        <v>41085.0</v>
      </c>
      <c r="F1591" s="3">
        <v>5.2229267E7</v>
      </c>
      <c r="G1591" s="3">
        <v>3.516599994E9</v>
      </c>
      <c r="H1591" s="3" t="s">
        <v>4038</v>
      </c>
      <c r="I1591" s="3" t="s">
        <v>22</v>
      </c>
      <c r="K1591" s="3" t="s">
        <v>1132</v>
      </c>
      <c r="L1591" s="3" t="s">
        <v>4039</v>
      </c>
      <c r="M1591" s="3" t="s">
        <v>1137</v>
      </c>
      <c r="O1591" s="3" t="s">
        <v>23</v>
      </c>
    </row>
    <row r="1592">
      <c r="A1592" s="4">
        <v>46146.42056642361</v>
      </c>
      <c r="B1592" s="3" t="s">
        <v>4040</v>
      </c>
      <c r="C1592" s="3" t="s">
        <v>4041</v>
      </c>
      <c r="D1592" s="3" t="s">
        <v>4042</v>
      </c>
      <c r="E1592" s="5">
        <v>28572.0</v>
      </c>
      <c r="F1592" s="3">
        <v>2.6896505E7</v>
      </c>
      <c r="G1592" s="3">
        <v>3.516543636E9</v>
      </c>
      <c r="H1592" s="3" t="s">
        <v>21</v>
      </c>
      <c r="I1592" s="3" t="s">
        <v>22</v>
      </c>
      <c r="K1592" s="3" t="s">
        <v>1145</v>
      </c>
      <c r="O1592" s="3" t="s">
        <v>58</v>
      </c>
    </row>
    <row r="1593">
      <c r="A1593" s="4">
        <v>46146.47356832176</v>
      </c>
      <c r="B1593" s="3" t="s">
        <v>4043</v>
      </c>
      <c r="C1593" s="3" t="s">
        <v>908</v>
      </c>
      <c r="D1593" s="3" t="s">
        <v>4044</v>
      </c>
      <c r="E1593" s="5">
        <v>27271.0</v>
      </c>
      <c r="F1593" s="3">
        <v>2.2371209E7</v>
      </c>
      <c r="G1593" s="3">
        <v>3.513944088E9</v>
      </c>
      <c r="H1593" s="3" t="s">
        <v>4045</v>
      </c>
      <c r="I1593" s="3" t="s">
        <v>22</v>
      </c>
      <c r="K1593" s="3" t="s">
        <v>1132</v>
      </c>
      <c r="L1593" s="3" t="s">
        <v>1345</v>
      </c>
      <c r="M1593" s="3" t="s">
        <v>1137</v>
      </c>
      <c r="O1593" s="3" t="s">
        <v>23</v>
      </c>
    </row>
    <row r="1594">
      <c r="A1594" s="4">
        <v>46146.51287532407</v>
      </c>
      <c r="B1594" s="3" t="s">
        <v>860</v>
      </c>
      <c r="C1594" s="3" t="s">
        <v>756</v>
      </c>
      <c r="D1594" s="3" t="s">
        <v>4046</v>
      </c>
      <c r="E1594" s="5">
        <v>32952.0</v>
      </c>
      <c r="F1594" s="3">
        <v>3.5570214E7</v>
      </c>
      <c r="G1594" s="3">
        <v>2.966612677E9</v>
      </c>
      <c r="H1594" s="3" t="s">
        <v>21</v>
      </c>
      <c r="I1594" s="3" t="s">
        <v>22</v>
      </c>
      <c r="K1594" s="3" t="s">
        <v>1132</v>
      </c>
      <c r="L1594" s="3" t="s">
        <v>3348</v>
      </c>
      <c r="M1594" s="3" t="s">
        <v>1137</v>
      </c>
      <c r="O1594" s="3" t="s">
        <v>3723</v>
      </c>
    </row>
    <row r="1595">
      <c r="A1595" s="4">
        <v>46146.58744752315</v>
      </c>
      <c r="B1595" s="3" t="s">
        <v>4047</v>
      </c>
      <c r="C1595" s="3" t="s">
        <v>4048</v>
      </c>
      <c r="D1595" s="3" t="s">
        <v>4049</v>
      </c>
      <c r="E1595" s="5">
        <v>37950.0</v>
      </c>
      <c r="F1595" s="3">
        <v>4.5083188E7</v>
      </c>
      <c r="G1595" s="3">
        <v>3.512809382E9</v>
      </c>
      <c r="H1595" s="3" t="s">
        <v>21</v>
      </c>
      <c r="I1595" s="3" t="s">
        <v>28</v>
      </c>
      <c r="K1595" s="3" t="s">
        <v>1132</v>
      </c>
      <c r="L1595" s="3" t="s">
        <v>4050</v>
      </c>
      <c r="M1595" s="3" t="s">
        <v>1134</v>
      </c>
    </row>
    <row r="1596">
      <c r="A1596" s="4">
        <v>46146.593601863424</v>
      </c>
      <c r="B1596" s="3" t="s">
        <v>4051</v>
      </c>
      <c r="C1596" s="3" t="s">
        <v>296</v>
      </c>
      <c r="D1596" s="3" t="s">
        <v>4052</v>
      </c>
      <c r="E1596" s="5">
        <v>35641.0</v>
      </c>
      <c r="F1596" s="3">
        <v>9.4763973E7</v>
      </c>
      <c r="G1596" s="3">
        <v>3.51511268E9</v>
      </c>
      <c r="H1596" s="3" t="s">
        <v>21</v>
      </c>
      <c r="I1596" s="3" t="s">
        <v>22</v>
      </c>
      <c r="K1596" s="3" t="s">
        <v>1132</v>
      </c>
      <c r="L1596" s="3" t="s">
        <v>1404</v>
      </c>
      <c r="M1596" s="3" t="s">
        <v>1134</v>
      </c>
      <c r="O1596" s="3" t="s">
        <v>2161</v>
      </c>
    </row>
    <row r="1597">
      <c r="A1597" s="4">
        <v>46146.61156380787</v>
      </c>
      <c r="B1597" s="3" t="s">
        <v>4053</v>
      </c>
      <c r="C1597" s="3" t="s">
        <v>4054</v>
      </c>
      <c r="D1597" s="3" t="s">
        <v>4055</v>
      </c>
      <c r="E1597" s="5">
        <v>25503.0</v>
      </c>
      <c r="F1597" s="3">
        <v>2.0997773E7</v>
      </c>
      <c r="G1597" s="3">
        <v>3.512196006E9</v>
      </c>
      <c r="H1597" s="3" t="s">
        <v>27</v>
      </c>
      <c r="I1597" s="3" t="s">
        <v>28</v>
      </c>
      <c r="K1597" s="3" t="s">
        <v>1145</v>
      </c>
    </row>
    <row r="1598">
      <c r="A1598" s="4">
        <v>46147.386067604166</v>
      </c>
      <c r="B1598" s="3" t="s">
        <v>4056</v>
      </c>
      <c r="C1598" s="3" t="s">
        <v>4057</v>
      </c>
      <c r="D1598" s="3" t="s">
        <v>4058</v>
      </c>
      <c r="E1598" s="5">
        <v>31791.0</v>
      </c>
      <c r="F1598" s="3">
        <v>3.2863739E7</v>
      </c>
      <c r="G1598" s="3">
        <v>3.516481398E9</v>
      </c>
      <c r="H1598" s="3" t="s">
        <v>1133</v>
      </c>
      <c r="I1598" s="3" t="s">
        <v>22</v>
      </c>
      <c r="K1598" s="3" t="s">
        <v>1132</v>
      </c>
      <c r="L1598" s="3" t="s">
        <v>1133</v>
      </c>
      <c r="M1598" s="3" t="s">
        <v>1137</v>
      </c>
      <c r="O1598" s="3" t="s">
        <v>1765</v>
      </c>
    </row>
    <row r="1599">
      <c r="A1599" s="4">
        <v>46147.515678090276</v>
      </c>
      <c r="B1599" s="3" t="s">
        <v>1040</v>
      </c>
      <c r="C1599" s="3" t="s">
        <v>4059</v>
      </c>
      <c r="D1599" s="3" t="s">
        <v>4060</v>
      </c>
      <c r="E1599" s="5">
        <v>35312.0</v>
      </c>
      <c r="F1599" s="3">
        <v>3.9230594E7</v>
      </c>
      <c r="G1599" s="3">
        <v>3.884795436E9</v>
      </c>
      <c r="H1599" s="3" t="s">
        <v>148</v>
      </c>
      <c r="I1599" s="3" t="s">
        <v>22</v>
      </c>
      <c r="K1599" s="3" t="s">
        <v>1132</v>
      </c>
      <c r="L1599" s="3" t="s">
        <v>1133</v>
      </c>
      <c r="M1599" s="3" t="s">
        <v>1134</v>
      </c>
      <c r="O1599" s="3" t="s">
        <v>4061</v>
      </c>
    </row>
    <row r="1600">
      <c r="A1600" s="4">
        <v>46147.81768092593</v>
      </c>
      <c r="B1600" s="3" t="s">
        <v>1923</v>
      </c>
      <c r="C1600" s="3" t="s">
        <v>1753</v>
      </c>
      <c r="D1600" s="3" t="s">
        <v>1925</v>
      </c>
      <c r="E1600" s="5">
        <v>41338.0</v>
      </c>
      <c r="F1600" s="3">
        <v>5.3098626E7</v>
      </c>
      <c r="G1600" s="3">
        <v>3.512458679E9</v>
      </c>
      <c r="H1600" s="3" t="s">
        <v>27</v>
      </c>
      <c r="I1600" s="3" t="s">
        <v>28</v>
      </c>
      <c r="K1600" s="3" t="s">
        <v>1132</v>
      </c>
      <c r="L1600" s="3" t="s">
        <v>1140</v>
      </c>
      <c r="M1600" s="3" t="s">
        <v>1134</v>
      </c>
    </row>
    <row r="1601">
      <c r="A1601" s="4">
        <v>46147.81916643518</v>
      </c>
      <c r="B1601" s="3" t="s">
        <v>4062</v>
      </c>
      <c r="C1601" s="3" t="s">
        <v>2672</v>
      </c>
      <c r="D1601" s="3" t="s">
        <v>4063</v>
      </c>
      <c r="E1601" s="5">
        <v>26802.0</v>
      </c>
      <c r="F1601" s="3">
        <v>2.3459965E7</v>
      </c>
      <c r="G1601" s="3">
        <v>3.516377067E9</v>
      </c>
      <c r="H1601" s="3" t="s">
        <v>244</v>
      </c>
      <c r="I1601" s="3" t="s">
        <v>22</v>
      </c>
      <c r="K1601" s="3" t="s">
        <v>1145</v>
      </c>
      <c r="O1601" s="3" t="s">
        <v>2281</v>
      </c>
    </row>
    <row r="1602">
      <c r="A1602" s="4">
        <v>46148.37793336806</v>
      </c>
      <c r="B1602" s="3" t="s">
        <v>4064</v>
      </c>
      <c r="C1602" s="3" t="s">
        <v>4027</v>
      </c>
      <c r="D1602" s="3" t="s">
        <v>4065</v>
      </c>
      <c r="E1602" s="5">
        <v>15984.0</v>
      </c>
      <c r="F1602" s="3">
        <v>4788687.0</v>
      </c>
      <c r="G1602" s="3">
        <v>3.513448011E9</v>
      </c>
      <c r="H1602" s="3" t="s">
        <v>27</v>
      </c>
      <c r="I1602" s="3" t="s">
        <v>28</v>
      </c>
      <c r="K1602" s="3" t="s">
        <v>1145</v>
      </c>
    </row>
    <row r="1603">
      <c r="A1603" s="4">
        <v>46148.426650995374</v>
      </c>
      <c r="B1603" s="3" t="s">
        <v>4066</v>
      </c>
      <c r="C1603" s="3" t="s">
        <v>162</v>
      </c>
      <c r="D1603" s="3" t="s">
        <v>4067</v>
      </c>
      <c r="E1603" s="5">
        <v>24264.0</v>
      </c>
      <c r="F1603" s="3">
        <v>1.7628135E7</v>
      </c>
      <c r="G1603" s="3">
        <v>3.515636325E9</v>
      </c>
      <c r="H1603" s="3" t="s">
        <v>4068</v>
      </c>
      <c r="I1603" s="3" t="s">
        <v>28</v>
      </c>
      <c r="K1603" s="3" t="s">
        <v>1145</v>
      </c>
    </row>
    <row r="1604">
      <c r="A1604" s="4">
        <v>46148.43533940973</v>
      </c>
      <c r="B1604" s="3" t="s">
        <v>4069</v>
      </c>
      <c r="C1604" s="3" t="s">
        <v>1190</v>
      </c>
      <c r="D1604" s="3" t="s">
        <v>4070</v>
      </c>
      <c r="E1604" s="5">
        <v>26507.0</v>
      </c>
      <c r="F1604" s="3">
        <v>2.4172823E7</v>
      </c>
      <c r="G1604" s="3">
        <v>3.512500689E9</v>
      </c>
      <c r="H1604" s="3" t="s">
        <v>244</v>
      </c>
      <c r="I1604" s="3" t="s">
        <v>28</v>
      </c>
      <c r="K1604" s="3" t="s">
        <v>1145</v>
      </c>
    </row>
    <row r="1605">
      <c r="A1605" s="4">
        <v>46148.599365173606</v>
      </c>
      <c r="B1605" s="3" t="s">
        <v>4071</v>
      </c>
      <c r="C1605" s="3" t="s">
        <v>4072</v>
      </c>
      <c r="D1605" s="3" t="s">
        <v>4073</v>
      </c>
      <c r="E1605" s="5">
        <v>29245.0</v>
      </c>
      <c r="F1605" s="3">
        <v>7.69015062E8</v>
      </c>
      <c r="G1605" s="3">
        <v>1.137975791E9</v>
      </c>
      <c r="H1605" s="3" t="s">
        <v>21</v>
      </c>
      <c r="I1605" s="3" t="s">
        <v>28</v>
      </c>
      <c r="K1605" s="3" t="s">
        <v>1145</v>
      </c>
    </row>
    <row r="1606">
      <c r="A1606" s="4">
        <v>46148.71465127315</v>
      </c>
      <c r="B1606" s="3" t="s">
        <v>1043</v>
      </c>
      <c r="C1606" s="3" t="s">
        <v>791</v>
      </c>
      <c r="D1606" s="3" t="s">
        <v>4074</v>
      </c>
      <c r="E1606" s="5">
        <v>18082.0</v>
      </c>
      <c r="F1606" s="3">
        <v>5995286.0</v>
      </c>
      <c r="G1606" s="3">
        <v>3.518050049E9</v>
      </c>
      <c r="H1606" s="3" t="s">
        <v>21</v>
      </c>
      <c r="I1606" s="3" t="s">
        <v>22</v>
      </c>
      <c r="K1606" s="3" t="s">
        <v>1132</v>
      </c>
      <c r="M1606" s="3" t="s">
        <v>1137</v>
      </c>
      <c r="O1606" s="3" t="s">
        <v>23</v>
      </c>
    </row>
    <row r="1607">
      <c r="A1607" s="4">
        <v>46148.767464652774</v>
      </c>
      <c r="B1607" s="3" t="s">
        <v>4075</v>
      </c>
      <c r="C1607" s="3" t="s">
        <v>4076</v>
      </c>
      <c r="D1607" s="3" t="s">
        <v>4077</v>
      </c>
      <c r="E1607" s="5">
        <v>22364.0</v>
      </c>
      <c r="F1607" s="3">
        <v>1.4537205E7</v>
      </c>
      <c r="G1607" s="3">
        <v>3.512594757E9</v>
      </c>
      <c r="H1607" s="3" t="s">
        <v>244</v>
      </c>
      <c r="I1607" s="3" t="s">
        <v>28</v>
      </c>
      <c r="K1607" s="3" t="s">
        <v>1132</v>
      </c>
      <c r="L1607" s="3" t="s">
        <v>1282</v>
      </c>
      <c r="M1607" s="3" t="s">
        <v>1137</v>
      </c>
    </row>
    <row r="1608">
      <c r="A1608" s="4">
        <v>46148.796254456014</v>
      </c>
      <c r="B1608" s="3" t="s">
        <v>1619</v>
      </c>
      <c r="C1608" s="3" t="s">
        <v>4078</v>
      </c>
      <c r="D1608" s="3" t="s">
        <v>4079</v>
      </c>
      <c r="E1608" s="5">
        <v>29602.0</v>
      </c>
      <c r="F1608" s="3">
        <v>2.843222E7</v>
      </c>
      <c r="G1608" s="3">
        <v>3.515902406E9</v>
      </c>
      <c r="H1608" s="3" t="s">
        <v>21</v>
      </c>
      <c r="I1608" s="3" t="s">
        <v>22</v>
      </c>
      <c r="K1608" s="3" t="s">
        <v>1132</v>
      </c>
      <c r="L1608" s="3" t="s">
        <v>1404</v>
      </c>
      <c r="M1608" s="3" t="s">
        <v>1134</v>
      </c>
      <c r="O1608" s="3" t="s">
        <v>72</v>
      </c>
    </row>
    <row r="1609">
      <c r="A1609" s="4">
        <v>46149.45519653935</v>
      </c>
      <c r="B1609" s="3" t="s">
        <v>4080</v>
      </c>
      <c r="C1609" s="3" t="s">
        <v>78</v>
      </c>
      <c r="D1609" s="3" t="s">
        <v>4081</v>
      </c>
      <c r="E1609" s="5">
        <v>34847.0</v>
      </c>
      <c r="F1609" s="3">
        <v>3.9071927E7</v>
      </c>
      <c r="G1609" s="3">
        <v>3.512517952E9</v>
      </c>
      <c r="H1609" s="3" t="s">
        <v>1133</v>
      </c>
      <c r="I1609" s="3" t="s">
        <v>22</v>
      </c>
      <c r="K1609" s="3" t="s">
        <v>1132</v>
      </c>
      <c r="L1609" s="3" t="s">
        <v>4082</v>
      </c>
      <c r="M1609" s="3" t="s">
        <v>1213</v>
      </c>
      <c r="O1609" s="3" t="s">
        <v>68</v>
      </c>
    </row>
    <row r="1610">
      <c r="A1610" s="4">
        <v>46149.52122002315</v>
      </c>
      <c r="B1610" s="3" t="s">
        <v>4083</v>
      </c>
      <c r="C1610" s="3" t="s">
        <v>750</v>
      </c>
      <c r="D1610" s="3" t="s">
        <v>4084</v>
      </c>
      <c r="E1610" s="5">
        <v>31781.0</v>
      </c>
      <c r="F1610" s="3">
        <v>3.2683995E7</v>
      </c>
      <c r="G1610" s="3">
        <v>3.512300992E9</v>
      </c>
      <c r="H1610" s="3" t="s">
        <v>1133</v>
      </c>
      <c r="I1610" s="3" t="s">
        <v>22</v>
      </c>
      <c r="K1610" s="3" t="s">
        <v>1132</v>
      </c>
      <c r="L1610" s="3" t="s">
        <v>3521</v>
      </c>
      <c r="M1610" s="3" t="s">
        <v>1137</v>
      </c>
      <c r="O1610" s="3" t="s">
        <v>149</v>
      </c>
    </row>
    <row r="1611">
      <c r="A1611" s="4">
        <v>46150.573169814816</v>
      </c>
      <c r="B1611" s="3" t="s">
        <v>340</v>
      </c>
      <c r="C1611" s="3" t="s">
        <v>4085</v>
      </c>
      <c r="D1611" s="3" t="s">
        <v>4086</v>
      </c>
      <c r="E1611" s="5">
        <v>28696.0</v>
      </c>
      <c r="F1611" s="3">
        <v>2.6673486E7</v>
      </c>
      <c r="G1611" s="3">
        <v>3.516008011E9</v>
      </c>
      <c r="H1611" s="3" t="s">
        <v>1133</v>
      </c>
      <c r="I1611" s="3" t="s">
        <v>22</v>
      </c>
      <c r="K1611" s="3" t="s">
        <v>1132</v>
      </c>
      <c r="L1611" s="3" t="s">
        <v>1133</v>
      </c>
      <c r="M1611" s="3" t="s">
        <v>1137</v>
      </c>
      <c r="O1611" s="3" t="s">
        <v>58</v>
      </c>
    </row>
    <row r="1612">
      <c r="A1612" s="4">
        <v>46150.68242256944</v>
      </c>
      <c r="B1612" s="3" t="s">
        <v>4087</v>
      </c>
      <c r="C1612" s="3" t="s">
        <v>848</v>
      </c>
      <c r="D1612" s="3" t="s">
        <v>4088</v>
      </c>
      <c r="E1612" s="5">
        <v>21369.0</v>
      </c>
      <c r="F1612" s="3">
        <v>1.2612197E7</v>
      </c>
      <c r="G1612" s="3">
        <v>3.512204663E9</v>
      </c>
      <c r="H1612" s="3" t="s">
        <v>1133</v>
      </c>
      <c r="I1612" s="3" t="s">
        <v>28</v>
      </c>
      <c r="K1612" s="3" t="s">
        <v>1132</v>
      </c>
      <c r="L1612" s="3" t="s">
        <v>1133</v>
      </c>
      <c r="M1612" s="3" t="s">
        <v>1134</v>
      </c>
    </row>
    <row r="1613">
      <c r="A1613" s="4">
        <v>46150.77214774306</v>
      </c>
      <c r="B1613" s="3" t="s">
        <v>4089</v>
      </c>
      <c r="C1613" s="3" t="s">
        <v>4090</v>
      </c>
      <c r="E1613" s="5">
        <v>18320.0</v>
      </c>
      <c r="F1613" s="3">
        <v>8277611.0</v>
      </c>
      <c r="G1613" s="3">
        <v>3.514599777E9</v>
      </c>
      <c r="H1613" s="3" t="s">
        <v>27</v>
      </c>
      <c r="I1613" s="3" t="s">
        <v>22</v>
      </c>
      <c r="O1613" s="3" t="s">
        <v>4091</v>
      </c>
    </row>
    <row r="1614">
      <c r="A1614" s="4">
        <v>46150.79184327547</v>
      </c>
      <c r="B1614" s="3" t="s">
        <v>4092</v>
      </c>
      <c r="C1614" s="3" t="s">
        <v>1395</v>
      </c>
      <c r="D1614" s="3" t="s">
        <v>4093</v>
      </c>
      <c r="E1614" s="5">
        <v>40144.0</v>
      </c>
      <c r="F1614" s="3">
        <v>4.9619103E7</v>
      </c>
      <c r="G1614" s="3">
        <v>3.472622432E9</v>
      </c>
      <c r="H1614" s="3" t="s">
        <v>27</v>
      </c>
      <c r="I1614" s="3" t="s">
        <v>28</v>
      </c>
      <c r="K1614" s="3" t="s">
        <v>1132</v>
      </c>
      <c r="L1614" s="3" t="s">
        <v>4094</v>
      </c>
      <c r="M1614" s="3" t="s">
        <v>1213</v>
      </c>
    </row>
    <row r="1615">
      <c r="A1615" s="4">
        <v>46153.42252194445</v>
      </c>
      <c r="B1615" s="3" t="s">
        <v>2297</v>
      </c>
      <c r="C1615" s="3" t="s">
        <v>4095</v>
      </c>
      <c r="D1615" s="3" t="s">
        <v>4096</v>
      </c>
      <c r="E1615" s="5" t="s">
        <v>4097</v>
      </c>
      <c r="F1615" s="3">
        <v>4.240187E7</v>
      </c>
      <c r="G1615" s="3">
        <v>3.516528281E9</v>
      </c>
      <c r="H1615" s="3" t="s">
        <v>244</v>
      </c>
      <c r="I1615" s="3" t="s">
        <v>28</v>
      </c>
      <c r="K1615" s="3" t="s">
        <v>1145</v>
      </c>
    </row>
    <row r="1616">
      <c r="A1616" s="4">
        <v>46153.44174429398</v>
      </c>
      <c r="B1616" s="3" t="s">
        <v>4098</v>
      </c>
      <c r="C1616" s="3" t="s">
        <v>4099</v>
      </c>
      <c r="D1616" s="3" t="s">
        <v>4100</v>
      </c>
      <c r="E1616" s="5">
        <v>28834.0</v>
      </c>
      <c r="F1616" s="3">
        <v>2.7013814E7</v>
      </c>
      <c r="G1616" s="3">
        <v>3.513565201E9</v>
      </c>
      <c r="H1616" s="3" t="s">
        <v>1133</v>
      </c>
      <c r="I1616" s="3" t="s">
        <v>28</v>
      </c>
      <c r="K1616" s="3" t="s">
        <v>1132</v>
      </c>
      <c r="L1616" s="3" t="s">
        <v>1136</v>
      </c>
      <c r="M1616" s="3" t="s">
        <v>1134</v>
      </c>
    </row>
    <row r="1617">
      <c r="A1617" s="4">
        <v>46154.47161078703</v>
      </c>
      <c r="B1617" s="3" t="s">
        <v>4101</v>
      </c>
      <c r="C1617" s="3" t="s">
        <v>139</v>
      </c>
      <c r="D1617" s="3" t="s">
        <v>4102</v>
      </c>
      <c r="E1617" s="5">
        <v>23641.0</v>
      </c>
      <c r="F1617" s="3">
        <v>1.7001279E7</v>
      </c>
      <c r="G1617" s="3">
        <v>3.513158967E9</v>
      </c>
      <c r="H1617" s="3" t="s">
        <v>27</v>
      </c>
      <c r="I1617" s="3" t="s">
        <v>28</v>
      </c>
      <c r="K1617" s="3" t="s">
        <v>1132</v>
      </c>
      <c r="L1617" s="3" t="s">
        <v>1345</v>
      </c>
      <c r="M1617" s="3" t="s">
        <v>1137</v>
      </c>
    </row>
    <row r="1618">
      <c r="A1618" s="4">
        <v>46154.58805140047</v>
      </c>
      <c r="B1618" s="3" t="s">
        <v>4103</v>
      </c>
      <c r="C1618" s="3" t="s">
        <v>4104</v>
      </c>
      <c r="D1618" s="3" t="s">
        <v>4105</v>
      </c>
      <c r="E1618" s="5">
        <v>25885.0</v>
      </c>
      <c r="F1618" s="3">
        <v>2.1966276E7</v>
      </c>
      <c r="G1618" s="3">
        <v>3.516338409E9</v>
      </c>
      <c r="H1618" s="3" t="s">
        <v>339</v>
      </c>
      <c r="I1618" s="3" t="s">
        <v>28</v>
      </c>
      <c r="K1618" s="3" t="s">
        <v>1145</v>
      </c>
    </row>
    <row r="1619">
      <c r="A1619" s="4">
        <v>46154.77840539352</v>
      </c>
      <c r="B1619" s="3" t="s">
        <v>3550</v>
      </c>
      <c r="C1619" s="3" t="s">
        <v>4106</v>
      </c>
      <c r="E1619" s="5">
        <v>18300.0</v>
      </c>
      <c r="F1619" s="3">
        <v>7891111.0</v>
      </c>
      <c r="G1619" s="3">
        <v>3.56241703E9</v>
      </c>
      <c r="H1619" s="3" t="s">
        <v>27</v>
      </c>
      <c r="I1619" s="3" t="s">
        <v>28</v>
      </c>
      <c r="K1619" s="3" t="s">
        <v>1145</v>
      </c>
    </row>
    <row r="1620">
      <c r="A1620" s="4">
        <v>46155.42581768519</v>
      </c>
      <c r="B1620" s="3" t="s">
        <v>4107</v>
      </c>
      <c r="C1620" s="3" t="s">
        <v>4108</v>
      </c>
      <c r="D1620" s="3" t="s">
        <v>4109</v>
      </c>
      <c r="E1620" s="5">
        <v>32407.0</v>
      </c>
      <c r="F1620" s="3">
        <v>3.38926E7</v>
      </c>
      <c r="G1620" s="3">
        <v>3.518576794E9</v>
      </c>
      <c r="H1620" s="3" t="s">
        <v>1133</v>
      </c>
      <c r="I1620" s="3" t="s">
        <v>22</v>
      </c>
      <c r="K1620" s="3" t="s">
        <v>1132</v>
      </c>
      <c r="L1620" s="3" t="s">
        <v>1133</v>
      </c>
      <c r="M1620" s="3" t="s">
        <v>1134</v>
      </c>
      <c r="O1620" s="3" t="s">
        <v>1126</v>
      </c>
    </row>
    <row r="1621">
      <c r="A1621" s="4">
        <v>46155.47521640046</v>
      </c>
      <c r="B1621" s="3" t="s">
        <v>4110</v>
      </c>
      <c r="C1621" s="3" t="s">
        <v>1177</v>
      </c>
      <c r="D1621" s="3" t="s">
        <v>4111</v>
      </c>
      <c r="E1621" s="5">
        <v>22278.0</v>
      </c>
      <c r="F1621" s="3">
        <v>1.4273177E7</v>
      </c>
      <c r="G1621" s="3">
        <v>3.51634291E9</v>
      </c>
      <c r="H1621" s="3" t="s">
        <v>27</v>
      </c>
      <c r="I1621" s="3" t="s">
        <v>22</v>
      </c>
      <c r="K1621" s="3" t="s">
        <v>1145</v>
      </c>
      <c r="O1621" s="3" t="s">
        <v>673</v>
      </c>
    </row>
    <row r="1622">
      <c r="A1622" s="4">
        <v>46155.647484120374</v>
      </c>
      <c r="B1622" s="3" t="s">
        <v>2128</v>
      </c>
      <c r="C1622" s="3" t="s">
        <v>4112</v>
      </c>
      <c r="E1622" s="5">
        <v>17960.0</v>
      </c>
      <c r="F1622" s="3">
        <v>8.6065818E7</v>
      </c>
      <c r="G1622" s="3">
        <v>3.562417029E9</v>
      </c>
      <c r="H1622" s="3" t="s">
        <v>27</v>
      </c>
      <c r="I1622" s="3" t="s">
        <v>28</v>
      </c>
      <c r="K1622" s="3" t="s">
        <v>1145</v>
      </c>
    </row>
    <row r="1623">
      <c r="A1623" s="4">
        <v>46155.75372788194</v>
      </c>
      <c r="B1623" s="3" t="s">
        <v>3305</v>
      </c>
      <c r="C1623" s="3" t="s">
        <v>727</v>
      </c>
      <c r="D1623" s="3" t="s">
        <v>3306</v>
      </c>
      <c r="E1623" s="5">
        <v>41687.0</v>
      </c>
      <c r="F1623" s="3">
        <v>5.350971E7</v>
      </c>
      <c r="G1623" s="3">
        <v>3.516123681E9</v>
      </c>
      <c r="H1623" s="3" t="s">
        <v>27</v>
      </c>
      <c r="I1623" s="3" t="s">
        <v>22</v>
      </c>
      <c r="K1623" s="3" t="s">
        <v>1132</v>
      </c>
      <c r="L1623" s="3" t="s">
        <v>4113</v>
      </c>
      <c r="M1623" s="3" t="s">
        <v>1134</v>
      </c>
      <c r="O1623" s="3" t="s">
        <v>149</v>
      </c>
    </row>
    <row r="1624">
      <c r="A1624" s="4">
        <v>46156.49166612269</v>
      </c>
      <c r="B1624" s="3" t="s">
        <v>4114</v>
      </c>
      <c r="C1624" s="3" t="s">
        <v>4115</v>
      </c>
      <c r="D1624" s="3" t="s">
        <v>4116</v>
      </c>
      <c r="E1624" s="5">
        <v>27758.0</v>
      </c>
      <c r="F1624" s="3">
        <v>2.491927E7</v>
      </c>
      <c r="G1624" s="3">
        <v>3.512585157E9</v>
      </c>
      <c r="H1624" s="3" t="s">
        <v>244</v>
      </c>
      <c r="I1624" s="3" t="s">
        <v>28</v>
      </c>
      <c r="K1624" s="3" t="s">
        <v>1132</v>
      </c>
      <c r="L1624" s="3" t="s">
        <v>1300</v>
      </c>
      <c r="M1624" s="3" t="s">
        <v>1134</v>
      </c>
    </row>
    <row r="1625">
      <c r="A1625" s="4">
        <v>46156.76690616898</v>
      </c>
      <c r="B1625" s="3" t="s">
        <v>4117</v>
      </c>
      <c r="C1625" s="3" t="s">
        <v>157</v>
      </c>
      <c r="D1625" s="3" t="s">
        <v>4118</v>
      </c>
      <c r="E1625" s="5">
        <v>16443.0</v>
      </c>
      <c r="F1625" s="3">
        <v>9.3522875E7</v>
      </c>
      <c r="G1625" s="3">
        <v>3.513243743E9</v>
      </c>
      <c r="H1625" s="3" t="s">
        <v>27</v>
      </c>
      <c r="I1625" s="3" t="s">
        <v>28</v>
      </c>
      <c r="K1625" s="3" t="s">
        <v>1145</v>
      </c>
    </row>
    <row r="1626">
      <c r="A1626" s="4">
        <v>46157.65515925926</v>
      </c>
      <c r="B1626" s="3" t="s">
        <v>4119</v>
      </c>
      <c r="C1626" s="3" t="s">
        <v>4120</v>
      </c>
      <c r="D1626" s="3" t="s">
        <v>4121</v>
      </c>
      <c r="E1626" s="5">
        <v>29621.0</v>
      </c>
      <c r="F1626" s="3">
        <v>2.8651234E7</v>
      </c>
      <c r="G1626" s="3">
        <v>3.513925956E9</v>
      </c>
      <c r="H1626" s="3" t="s">
        <v>27</v>
      </c>
      <c r="I1626" s="3" t="s">
        <v>22</v>
      </c>
      <c r="K1626" s="3" t="s">
        <v>1132</v>
      </c>
      <c r="L1626" s="3" t="s">
        <v>1401</v>
      </c>
      <c r="M1626" s="3" t="s">
        <v>1134</v>
      </c>
      <c r="O1626" s="3" t="s">
        <v>23</v>
      </c>
    </row>
    <row r="1627">
      <c r="A1627" s="4">
        <v>46157.75717803241</v>
      </c>
      <c r="B1627" s="3" t="s">
        <v>3349</v>
      </c>
      <c r="C1627" s="3" t="s">
        <v>1270</v>
      </c>
      <c r="E1627" s="5">
        <v>20916.0</v>
      </c>
      <c r="F1627" s="3">
        <v>1.3152211E7</v>
      </c>
      <c r="G1627" s="3">
        <v>3.512017286E9</v>
      </c>
      <c r="H1627" s="3" t="s">
        <v>27</v>
      </c>
      <c r="I1627" s="3" t="s">
        <v>28</v>
      </c>
      <c r="K1627" s="3" t="s">
        <v>1145</v>
      </c>
    </row>
    <row r="1628">
      <c r="A1628" s="4">
        <v>46157.7869927662</v>
      </c>
      <c r="B1628" s="3" t="s">
        <v>4122</v>
      </c>
      <c r="C1628" s="3" t="s">
        <v>4123</v>
      </c>
      <c r="D1628" s="3" t="s">
        <v>4124</v>
      </c>
      <c r="E1628" s="5">
        <v>29541.0</v>
      </c>
      <c r="F1628" s="3">
        <v>2.8442042E7</v>
      </c>
      <c r="G1628" s="3">
        <v>3.513904956E9</v>
      </c>
      <c r="H1628" s="3" t="s">
        <v>27</v>
      </c>
      <c r="I1628" s="3" t="s">
        <v>28</v>
      </c>
      <c r="K1628" s="3" t="s">
        <v>1132</v>
      </c>
      <c r="L1628" s="3" t="s">
        <v>4125</v>
      </c>
      <c r="M1628" s="3" t="s">
        <v>1134</v>
      </c>
    </row>
    <row r="1629">
      <c r="A1629" s="4">
        <v>46160.47313237269</v>
      </c>
      <c r="B1629" s="3" t="s">
        <v>4126</v>
      </c>
      <c r="C1629" s="3" t="s">
        <v>4127</v>
      </c>
      <c r="D1629" s="3" t="s">
        <v>4128</v>
      </c>
      <c r="E1629" s="5">
        <v>19631.0</v>
      </c>
      <c r="F1629" s="3">
        <v>1.1425834E7</v>
      </c>
      <c r="G1629" s="3">
        <v>3.513117477E9</v>
      </c>
      <c r="H1629" s="3" t="s">
        <v>148</v>
      </c>
      <c r="I1629" s="3" t="s">
        <v>22</v>
      </c>
      <c r="K1629" s="3" t="s">
        <v>1145</v>
      </c>
      <c r="O1629" s="3" t="s">
        <v>72</v>
      </c>
    </row>
    <row r="1630">
      <c r="A1630" s="4">
        <v>46160.48110684028</v>
      </c>
      <c r="B1630" s="3" t="s">
        <v>1202</v>
      </c>
      <c r="C1630" s="3" t="s">
        <v>856</v>
      </c>
      <c r="D1630" s="3" t="s">
        <v>421</v>
      </c>
      <c r="E1630" s="5">
        <v>26694.0</v>
      </c>
      <c r="F1630" s="3">
        <v>2.3195523E7</v>
      </c>
      <c r="G1630" s="3">
        <v>3.516297253E9</v>
      </c>
      <c r="H1630" s="3" t="s">
        <v>339</v>
      </c>
      <c r="I1630" s="3" t="s">
        <v>28</v>
      </c>
      <c r="K1630" s="3" t="s">
        <v>1145</v>
      </c>
    </row>
    <row r="1631">
      <c r="A1631" s="4">
        <v>46160.61805331019</v>
      </c>
      <c r="B1631" s="3" t="s">
        <v>4129</v>
      </c>
      <c r="C1631" s="3" t="s">
        <v>1090</v>
      </c>
      <c r="D1631" s="3" t="s">
        <v>4130</v>
      </c>
      <c r="E1631" s="5">
        <v>33326.0</v>
      </c>
      <c r="F1631" s="3">
        <v>3.5579396E7</v>
      </c>
      <c r="G1631" s="3">
        <v>3.512340314E9</v>
      </c>
      <c r="H1631" s="3" t="s">
        <v>27</v>
      </c>
      <c r="I1631" s="3" t="s">
        <v>22</v>
      </c>
      <c r="K1631" s="3" t="s">
        <v>1132</v>
      </c>
      <c r="L1631" s="3" t="s">
        <v>1136</v>
      </c>
      <c r="M1631" s="3" t="s">
        <v>1137</v>
      </c>
      <c r="O1631" s="3" t="s">
        <v>287</v>
      </c>
    </row>
    <row r="1632">
      <c r="A1632" s="4">
        <v>46160.675060381946</v>
      </c>
      <c r="B1632" s="3" t="s">
        <v>3960</v>
      </c>
      <c r="C1632" s="3" t="s">
        <v>4131</v>
      </c>
      <c r="D1632" s="3" t="s">
        <v>4132</v>
      </c>
      <c r="E1632" s="5">
        <v>19984.0</v>
      </c>
      <c r="F1632" s="8">
        <v>1.1588684E7</v>
      </c>
      <c r="G1632" s="3">
        <v>3.51322603E9</v>
      </c>
      <c r="H1632" s="3" t="s">
        <v>27</v>
      </c>
      <c r="I1632" s="3" t="s">
        <v>22</v>
      </c>
      <c r="K1632" s="3" t="s">
        <v>1132</v>
      </c>
      <c r="L1632" s="3" t="s">
        <v>4133</v>
      </c>
      <c r="M1632" s="3" t="s">
        <v>1137</v>
      </c>
      <c r="O1632" s="3" t="s">
        <v>23</v>
      </c>
    </row>
    <row r="1633">
      <c r="A1633" s="4">
        <v>46160.77869489584</v>
      </c>
      <c r="B1633" s="3" t="s">
        <v>4134</v>
      </c>
      <c r="C1633" s="3" t="s">
        <v>344</v>
      </c>
      <c r="D1633" s="3" t="s">
        <v>4135</v>
      </c>
      <c r="E1633" s="5">
        <v>35203.0</v>
      </c>
      <c r="F1633" s="3">
        <v>3.962063E7</v>
      </c>
      <c r="G1633" s="3">
        <v>3.515932175E9</v>
      </c>
      <c r="H1633" s="3" t="s">
        <v>27</v>
      </c>
      <c r="I1633" s="3" t="s">
        <v>28</v>
      </c>
      <c r="K1633" s="3" t="s">
        <v>1132</v>
      </c>
      <c r="L1633" s="3" t="s">
        <v>4136</v>
      </c>
      <c r="M1633" s="3" t="s">
        <v>1134</v>
      </c>
    </row>
    <row r="1634">
      <c r="A1634" s="4">
        <v>46161.50617775463</v>
      </c>
      <c r="B1634" s="3" t="s">
        <v>1050</v>
      </c>
      <c r="C1634" s="3" t="s">
        <v>4137</v>
      </c>
      <c r="D1634" s="3" t="s">
        <v>4138</v>
      </c>
      <c r="E1634" s="5">
        <v>20520.0</v>
      </c>
      <c r="F1634" s="3">
        <v>1.2745123E7</v>
      </c>
      <c r="G1634" s="3">
        <v>3.516536519E9</v>
      </c>
      <c r="H1634" s="3" t="s">
        <v>244</v>
      </c>
      <c r="I1634" s="3" t="s">
        <v>22</v>
      </c>
      <c r="K1634" s="3" t="s">
        <v>1132</v>
      </c>
      <c r="L1634" s="3" t="s">
        <v>1133</v>
      </c>
      <c r="M1634" s="3" t="s">
        <v>1134</v>
      </c>
      <c r="O1634" s="3" t="s">
        <v>68</v>
      </c>
    </row>
    <row r="1635">
      <c r="A1635" s="4">
        <v>46161.60710350695</v>
      </c>
      <c r="B1635" s="3" t="s">
        <v>4139</v>
      </c>
      <c r="C1635" s="3" t="s">
        <v>4140</v>
      </c>
      <c r="D1635" s="3" t="s">
        <v>4141</v>
      </c>
      <c r="E1635" s="5">
        <v>29266.0</v>
      </c>
      <c r="F1635" s="3">
        <v>2.7103321E7</v>
      </c>
      <c r="G1635" s="3">
        <v>3.517402905E9</v>
      </c>
      <c r="H1635" s="3" t="s">
        <v>1133</v>
      </c>
      <c r="I1635" s="3" t="s">
        <v>22</v>
      </c>
      <c r="K1635" s="3" t="s">
        <v>1132</v>
      </c>
      <c r="L1635" s="3" t="s">
        <v>4142</v>
      </c>
      <c r="M1635" s="3" t="s">
        <v>1134</v>
      </c>
      <c r="O1635" s="3" t="s">
        <v>23</v>
      </c>
    </row>
    <row r="1636">
      <c r="A1636" s="4">
        <v>46161.884675486115</v>
      </c>
      <c r="B1636" s="3" t="s">
        <v>1036</v>
      </c>
      <c r="C1636" s="3" t="s">
        <v>4143</v>
      </c>
      <c r="D1636" s="3" t="s">
        <v>4144</v>
      </c>
      <c r="E1636" s="5">
        <v>18525.0</v>
      </c>
      <c r="F1636" s="3">
        <v>6383194.0</v>
      </c>
      <c r="G1636" s="3">
        <v>3.513112961E9</v>
      </c>
      <c r="H1636" s="3" t="s">
        <v>339</v>
      </c>
      <c r="I1636" s="3" t="s">
        <v>28</v>
      </c>
      <c r="K1636" s="3" t="s">
        <v>1145</v>
      </c>
    </row>
    <row r="1637">
      <c r="A1637" s="4">
        <v>46162.43748175926</v>
      </c>
      <c r="B1637" s="3" t="s">
        <v>3302</v>
      </c>
      <c r="C1637" s="3" t="s">
        <v>4145</v>
      </c>
      <c r="D1637" s="3" t="s">
        <v>4146</v>
      </c>
      <c r="E1637" s="5">
        <v>32800.0</v>
      </c>
      <c r="F1637" s="3">
        <v>3.4838492E7</v>
      </c>
      <c r="G1637" s="3">
        <v>3.517415591E9</v>
      </c>
      <c r="H1637" s="3" t="s">
        <v>27</v>
      </c>
      <c r="I1637" s="3" t="s">
        <v>22</v>
      </c>
      <c r="K1637" s="3" t="s">
        <v>1132</v>
      </c>
      <c r="L1637" s="3" t="s">
        <v>1136</v>
      </c>
      <c r="M1637" s="3" t="s">
        <v>1137</v>
      </c>
      <c r="O1637" s="3" t="s">
        <v>287</v>
      </c>
    </row>
    <row r="1638">
      <c r="A1638" s="4">
        <v>46162.46086871528</v>
      </c>
      <c r="B1638" s="3" t="s">
        <v>4147</v>
      </c>
      <c r="C1638" s="3" t="s">
        <v>4148</v>
      </c>
      <c r="D1638" s="3" t="s">
        <v>4149</v>
      </c>
      <c r="E1638" s="5">
        <v>31712.0</v>
      </c>
      <c r="F1638" s="3">
        <v>3.2540151E7</v>
      </c>
      <c r="G1638" s="3">
        <v>3.516113939E9</v>
      </c>
      <c r="H1638" s="3" t="s">
        <v>27</v>
      </c>
      <c r="I1638" s="3" t="s">
        <v>22</v>
      </c>
      <c r="K1638" s="3" t="s">
        <v>1132</v>
      </c>
      <c r="L1638" s="3" t="s">
        <v>1300</v>
      </c>
      <c r="M1638" s="3" t="s">
        <v>1134</v>
      </c>
      <c r="O1638" s="3" t="s">
        <v>4150</v>
      </c>
    </row>
    <row r="1639">
      <c r="A1639" s="4">
        <v>46164.46399362269</v>
      </c>
      <c r="B1639" s="3" t="s">
        <v>4151</v>
      </c>
      <c r="C1639" s="3" t="s">
        <v>4152</v>
      </c>
      <c r="D1639" s="3" t="s">
        <v>4153</v>
      </c>
      <c r="E1639" s="5">
        <v>18236.0</v>
      </c>
      <c r="F1639" s="3">
        <v>8277101.0</v>
      </c>
      <c r="G1639" s="3">
        <v>3.513394228E9</v>
      </c>
      <c r="H1639" s="3" t="s">
        <v>27</v>
      </c>
      <c r="I1639" s="3" t="s">
        <v>22</v>
      </c>
      <c r="K1639" s="3" t="s">
        <v>1132</v>
      </c>
      <c r="L1639" s="3" t="s">
        <v>1133</v>
      </c>
      <c r="M1639" s="3" t="s">
        <v>1134</v>
      </c>
      <c r="O1639" s="3" t="s">
        <v>68</v>
      </c>
    </row>
    <row r="1640">
      <c r="A1640" s="4">
        <v>46168.44420336805</v>
      </c>
      <c r="B1640" s="3" t="s">
        <v>4154</v>
      </c>
      <c r="C1640" s="3" t="s">
        <v>3428</v>
      </c>
      <c r="D1640" s="3" t="s">
        <v>4155</v>
      </c>
      <c r="E1640" s="5">
        <v>19063.0</v>
      </c>
      <c r="F1640" s="3">
        <v>1.016837E7</v>
      </c>
      <c r="G1640" s="3">
        <v>3.512424969E9</v>
      </c>
      <c r="H1640" s="3" t="s">
        <v>21</v>
      </c>
      <c r="I1640" s="3" t="s">
        <v>22</v>
      </c>
      <c r="K1640" s="3" t="s">
        <v>1145</v>
      </c>
      <c r="O1640" s="3" t="s">
        <v>68</v>
      </c>
    </row>
    <row r="1641">
      <c r="A1641" s="4">
        <v>46169.42838287037</v>
      </c>
      <c r="B1641" s="3" t="s">
        <v>1619</v>
      </c>
      <c r="C1641" s="3" t="s">
        <v>1981</v>
      </c>
      <c r="D1641" s="3" t="s">
        <v>4156</v>
      </c>
      <c r="E1641" s="5">
        <v>33432.0</v>
      </c>
      <c r="F1641" s="3">
        <v>3.6447745E7</v>
      </c>
      <c r="G1641" s="3">
        <v>3.516318103E9</v>
      </c>
      <c r="H1641" s="3" t="s">
        <v>27</v>
      </c>
      <c r="I1641" s="3" t="s">
        <v>28</v>
      </c>
      <c r="K1641" s="3" t="s">
        <v>1132</v>
      </c>
      <c r="L1641" s="3" t="s">
        <v>1133</v>
      </c>
      <c r="M1641" s="3" t="s">
        <v>1134</v>
      </c>
    </row>
    <row r="1642">
      <c r="A1642" s="4">
        <v>46169.43895869213</v>
      </c>
      <c r="B1642" s="3" t="s">
        <v>2179</v>
      </c>
      <c r="C1642" s="3" t="s">
        <v>1121</v>
      </c>
      <c r="D1642" s="3" t="s">
        <v>4157</v>
      </c>
      <c r="E1642" s="5">
        <v>32441.0</v>
      </c>
      <c r="F1642" s="3">
        <v>3.4094396E7</v>
      </c>
      <c r="G1642" s="3">
        <v>3.513862188E9</v>
      </c>
      <c r="H1642" s="3" t="s">
        <v>27</v>
      </c>
      <c r="I1642" s="3" t="s">
        <v>28</v>
      </c>
      <c r="K1642" s="3" t="s">
        <v>1132</v>
      </c>
      <c r="L1642" s="3" t="s">
        <v>1136</v>
      </c>
      <c r="M1642" s="3" t="s">
        <v>1134</v>
      </c>
    </row>
    <row r="1643">
      <c r="A1643" s="4">
        <v>46169.60749332176</v>
      </c>
      <c r="B1643" s="3" t="s">
        <v>4158</v>
      </c>
      <c r="C1643" s="3" t="s">
        <v>4159</v>
      </c>
      <c r="D1643" s="3" t="s">
        <v>4160</v>
      </c>
      <c r="E1643" s="5">
        <v>40388.0</v>
      </c>
      <c r="F1643" s="3">
        <v>5.0331297E7</v>
      </c>
      <c r="G1643" s="3">
        <v>3.541631179E9</v>
      </c>
      <c r="H1643" s="3" t="s">
        <v>21</v>
      </c>
      <c r="I1643" s="3" t="s">
        <v>28</v>
      </c>
      <c r="K1643" s="3" t="s">
        <v>1132</v>
      </c>
      <c r="L1643" s="3" t="s">
        <v>3466</v>
      </c>
      <c r="M1643" s="3" t="s">
        <v>1134</v>
      </c>
    </row>
    <row r="1644">
      <c r="A1644" s="4">
        <v>46169.747561006945</v>
      </c>
      <c r="B1644" s="3" t="s">
        <v>4161</v>
      </c>
      <c r="C1644" s="3" t="s">
        <v>4162</v>
      </c>
      <c r="D1644" s="3" t="s">
        <v>4163</v>
      </c>
      <c r="E1644" s="5">
        <v>22452.0</v>
      </c>
      <c r="F1644" s="3">
        <v>1.4578769E7</v>
      </c>
      <c r="G1644" s="3">
        <v>3.515632327E9</v>
      </c>
      <c r="H1644" s="3" t="s">
        <v>27</v>
      </c>
      <c r="I1644" s="3" t="s">
        <v>22</v>
      </c>
      <c r="K1644" s="3" t="s">
        <v>1145</v>
      </c>
      <c r="O1644" s="3" t="s">
        <v>1765</v>
      </c>
    </row>
    <row r="1645">
      <c r="A1645" s="4">
        <v>46169.77466767361</v>
      </c>
      <c r="B1645" s="3" t="s">
        <v>4164</v>
      </c>
      <c r="C1645" s="3" t="s">
        <v>1820</v>
      </c>
      <c r="D1645" s="3" t="s">
        <v>4165</v>
      </c>
      <c r="E1645" s="5" t="s">
        <v>4166</v>
      </c>
      <c r="F1645" s="3">
        <v>1.8082408E7</v>
      </c>
      <c r="G1645" s="3">
        <v>3.515209248E9</v>
      </c>
      <c r="H1645" s="3" t="s">
        <v>21</v>
      </c>
      <c r="I1645" s="3" t="s">
        <v>22</v>
      </c>
      <c r="K1645" s="3" t="s">
        <v>1132</v>
      </c>
      <c r="L1645" s="3" t="s">
        <v>1133</v>
      </c>
      <c r="M1645" s="3" t="s">
        <v>1137</v>
      </c>
      <c r="O1645" s="3" t="s">
        <v>23</v>
      </c>
    </row>
    <row r="1646">
      <c r="A1646" s="4">
        <v>46170.51586167824</v>
      </c>
      <c r="B1646" s="3" t="s">
        <v>2581</v>
      </c>
      <c r="C1646" s="3" t="s">
        <v>3763</v>
      </c>
      <c r="D1646" s="3" t="s">
        <v>4167</v>
      </c>
      <c r="E1646" s="5">
        <v>33886.0</v>
      </c>
      <c r="F1646" s="3">
        <v>3.6984247E7</v>
      </c>
      <c r="G1646" s="3">
        <v>3.516415421E9</v>
      </c>
      <c r="H1646" s="3" t="s">
        <v>21</v>
      </c>
      <c r="I1646" s="3" t="s">
        <v>22</v>
      </c>
      <c r="K1646" s="3" t="s">
        <v>1132</v>
      </c>
      <c r="L1646" s="3" t="s">
        <v>1404</v>
      </c>
      <c r="M1646" s="3" t="s">
        <v>1134</v>
      </c>
      <c r="O1646" s="3" t="s">
        <v>58</v>
      </c>
    </row>
    <row r="1647">
      <c r="A1647" s="4">
        <v>46170.66092815972</v>
      </c>
      <c r="B1647" s="3" t="s">
        <v>4168</v>
      </c>
      <c r="C1647" s="3" t="s">
        <v>2828</v>
      </c>
      <c r="E1647" s="5">
        <v>20835.0</v>
      </c>
      <c r="F1647" s="3">
        <v>1.2595061E7</v>
      </c>
      <c r="G1647" s="3">
        <v>3.515638687E9</v>
      </c>
      <c r="H1647" s="3" t="s">
        <v>27</v>
      </c>
      <c r="I1647" s="3" t="s">
        <v>28</v>
      </c>
      <c r="K1647" s="3" t="s">
        <v>1145</v>
      </c>
    </row>
    <row r="1648">
      <c r="A1648" s="4">
        <v>46170.72324743056</v>
      </c>
      <c r="B1648" s="3" t="s">
        <v>4169</v>
      </c>
      <c r="C1648" s="3" t="s">
        <v>727</v>
      </c>
      <c r="D1648" s="3" t="s">
        <v>4170</v>
      </c>
      <c r="E1648" s="5">
        <v>35964.0</v>
      </c>
      <c r="F1648" s="3">
        <v>4.1322569E7</v>
      </c>
      <c r="G1648" s="3">
        <v>3.512115516E9</v>
      </c>
      <c r="H1648" s="3" t="s">
        <v>21</v>
      </c>
      <c r="I1648" s="3" t="s">
        <v>28</v>
      </c>
      <c r="K1648" s="3" t="s">
        <v>1132</v>
      </c>
      <c r="L1648" s="3" t="s">
        <v>1404</v>
      </c>
      <c r="M1648" s="3" t="s">
        <v>1134</v>
      </c>
    </row>
    <row r="1649">
      <c r="A1649" s="4">
        <v>46170.74402104167</v>
      </c>
      <c r="B1649" s="3" t="s">
        <v>4171</v>
      </c>
      <c r="C1649" s="3" t="s">
        <v>4172</v>
      </c>
      <c r="D1649" s="3" t="s">
        <v>4173</v>
      </c>
      <c r="E1649" s="5">
        <v>17490.0</v>
      </c>
      <c r="F1649" s="3">
        <v>4707669.0</v>
      </c>
      <c r="G1649" s="3" t="s">
        <v>4174</v>
      </c>
      <c r="H1649" s="3" t="s">
        <v>27</v>
      </c>
      <c r="I1649" s="3" t="s">
        <v>22</v>
      </c>
      <c r="K1649" s="3" t="s">
        <v>1132</v>
      </c>
      <c r="L1649" s="3" t="s">
        <v>4175</v>
      </c>
      <c r="M1649" s="3" t="s">
        <v>1134</v>
      </c>
      <c r="O1649" s="3" t="s">
        <v>23</v>
      </c>
    </row>
    <row r="1650">
      <c r="A1650" s="4">
        <v>46171.50296583334</v>
      </c>
      <c r="B1650" s="3" t="s">
        <v>4176</v>
      </c>
      <c r="C1650" s="3" t="s">
        <v>420</v>
      </c>
      <c r="D1650" s="3" t="s">
        <v>4177</v>
      </c>
      <c r="E1650" s="5">
        <v>31208.0</v>
      </c>
      <c r="F1650" s="3">
        <v>3.1667747E7</v>
      </c>
      <c r="G1650" s="3">
        <v>3.515451956E9</v>
      </c>
      <c r="H1650" s="3" t="s">
        <v>244</v>
      </c>
      <c r="I1650" s="3" t="s">
        <v>28</v>
      </c>
      <c r="K1650" s="3" t="s">
        <v>1132</v>
      </c>
      <c r="L1650" s="3" t="s">
        <v>1136</v>
      </c>
      <c r="M1650" s="3" t="s">
        <v>1137</v>
      </c>
    </row>
    <row r="1651">
      <c r="A1651" s="4">
        <v>46174.40913994213</v>
      </c>
      <c r="B1651" s="3" t="s">
        <v>903</v>
      </c>
      <c r="C1651" s="3" t="s">
        <v>344</v>
      </c>
      <c r="D1651" s="3" t="s">
        <v>4178</v>
      </c>
      <c r="E1651" s="5">
        <v>29856.0</v>
      </c>
      <c r="F1651" s="3">
        <v>2.9110758E7</v>
      </c>
      <c r="G1651" s="3">
        <v>3.513323434E9</v>
      </c>
      <c r="H1651" s="3" t="s">
        <v>244</v>
      </c>
      <c r="I1651" s="3" t="s">
        <v>28</v>
      </c>
      <c r="K1651" s="3" t="s">
        <v>1132</v>
      </c>
      <c r="L1651" s="3" t="s">
        <v>4179</v>
      </c>
      <c r="M1651" s="3" t="s">
        <v>1134</v>
      </c>
    </row>
    <row r="1652">
      <c r="A1652" s="4">
        <v>46174.42656266203</v>
      </c>
      <c r="B1652" s="3" t="s">
        <v>1202</v>
      </c>
      <c r="C1652" s="3" t="s">
        <v>1001</v>
      </c>
      <c r="D1652" s="3" t="s">
        <v>4180</v>
      </c>
      <c r="E1652" s="5">
        <v>30533.0</v>
      </c>
      <c r="F1652" s="3">
        <v>3.0331885E7</v>
      </c>
      <c r="G1652" s="3">
        <v>3.513045143E9</v>
      </c>
      <c r="H1652" s="3" t="s">
        <v>4181</v>
      </c>
      <c r="I1652" s="3" t="s">
        <v>28</v>
      </c>
      <c r="K1652" s="3" t="s">
        <v>1132</v>
      </c>
      <c r="L1652" s="3" t="s">
        <v>4182</v>
      </c>
      <c r="M1652" s="3" t="s">
        <v>1134</v>
      </c>
    </row>
    <row r="1653">
      <c r="A1653" s="4">
        <v>46175.46871003472</v>
      </c>
      <c r="B1653" s="3" t="s">
        <v>4183</v>
      </c>
      <c r="C1653" s="3" t="s">
        <v>4184</v>
      </c>
      <c r="D1653" s="3" t="s">
        <v>4185</v>
      </c>
      <c r="E1653" s="5">
        <v>37719.0</v>
      </c>
      <c r="F1653" s="3">
        <v>4.4767506E7</v>
      </c>
      <c r="G1653" s="3">
        <v>3.51212767E9</v>
      </c>
      <c r="H1653" s="3" t="s">
        <v>27</v>
      </c>
      <c r="I1653" s="3" t="s">
        <v>22</v>
      </c>
      <c r="K1653" s="3" t="s">
        <v>1145</v>
      </c>
      <c r="O1653" s="3" t="s">
        <v>23</v>
      </c>
    </row>
    <row r="1654">
      <c r="A1654" s="4">
        <v>46175.71662979167</v>
      </c>
      <c r="B1654" s="3" t="s">
        <v>4186</v>
      </c>
      <c r="C1654" s="3" t="s">
        <v>770</v>
      </c>
      <c r="D1654" s="3" t="s">
        <v>4187</v>
      </c>
      <c r="E1654" s="5">
        <v>34502.0</v>
      </c>
      <c r="F1654" s="3">
        <v>3.832912E7</v>
      </c>
      <c r="G1654" s="3">
        <v>3.518009075E9</v>
      </c>
      <c r="H1654" s="3" t="s">
        <v>27</v>
      </c>
      <c r="I1654" s="3" t="s">
        <v>22</v>
      </c>
      <c r="K1654" s="3" t="s">
        <v>1132</v>
      </c>
      <c r="L1654" s="3" t="s">
        <v>4188</v>
      </c>
      <c r="M1654" s="3" t="s">
        <v>1134</v>
      </c>
      <c r="O1654" s="3" t="s">
        <v>287</v>
      </c>
    </row>
    <row r="1655">
      <c r="A1655" s="4">
        <v>46175.77998961805</v>
      </c>
      <c r="B1655" s="3" t="s">
        <v>1230</v>
      </c>
      <c r="C1655" s="3" t="s">
        <v>1769</v>
      </c>
      <c r="D1655" s="3" t="s">
        <v>4189</v>
      </c>
      <c r="E1655" s="5">
        <v>27478.0</v>
      </c>
      <c r="F1655" s="3">
        <v>2.4455938E7</v>
      </c>
      <c r="G1655" s="16" t="s">
        <v>4190</v>
      </c>
      <c r="H1655" s="3" t="s">
        <v>21</v>
      </c>
      <c r="I1655" s="3" t="s">
        <v>28</v>
      </c>
      <c r="K1655" s="3" t="s">
        <v>1145</v>
      </c>
    </row>
    <row r="1656">
      <c r="A1656" s="4">
        <v>46176.45391283565</v>
      </c>
      <c r="B1656" s="3" t="s">
        <v>4191</v>
      </c>
      <c r="C1656" s="3" t="s">
        <v>4192</v>
      </c>
      <c r="E1656" s="5">
        <v>25269.0</v>
      </c>
      <c r="F1656" s="3">
        <v>2.0784734E7</v>
      </c>
      <c r="G1656" s="3">
        <v>3.512313365E9</v>
      </c>
      <c r="H1656" s="3" t="s">
        <v>27</v>
      </c>
      <c r="I1656" s="3" t="s">
        <v>28</v>
      </c>
      <c r="K1656" s="3" t="s">
        <v>1145</v>
      </c>
    </row>
    <row r="1657">
      <c r="A1657" s="4">
        <v>46176.65928315972</v>
      </c>
      <c r="B1657" s="3" t="s">
        <v>4193</v>
      </c>
      <c r="C1657" s="3" t="s">
        <v>4194</v>
      </c>
      <c r="D1657" s="3" t="s">
        <v>4195</v>
      </c>
      <c r="E1657" s="5">
        <v>40483.0</v>
      </c>
      <c r="F1657" s="3">
        <v>5.0626601E7</v>
      </c>
      <c r="G1657" s="3">
        <v>3.51547274E9</v>
      </c>
      <c r="H1657" s="3" t="s">
        <v>1133</v>
      </c>
      <c r="I1657" s="3" t="s">
        <v>22</v>
      </c>
      <c r="K1657" s="3" t="s">
        <v>1132</v>
      </c>
      <c r="L1657" s="3" t="s">
        <v>4196</v>
      </c>
      <c r="M1657" s="3" t="s">
        <v>1134</v>
      </c>
      <c r="O1657" s="3" t="s">
        <v>58</v>
      </c>
    </row>
    <row r="1658">
      <c r="A1658" s="4">
        <v>46176.70342627315</v>
      </c>
      <c r="B1658" s="3" t="s">
        <v>4197</v>
      </c>
      <c r="C1658" s="3" t="s">
        <v>1057</v>
      </c>
      <c r="D1658" s="3" t="s">
        <v>4198</v>
      </c>
      <c r="E1658" s="5">
        <v>39980.0</v>
      </c>
      <c r="F1658" s="3">
        <v>9.4906072E7</v>
      </c>
      <c r="G1658" s="3">
        <v>3.512339877E9</v>
      </c>
      <c r="H1658" s="3" t="s">
        <v>27</v>
      </c>
      <c r="I1658" s="3" t="s">
        <v>28</v>
      </c>
      <c r="K1658" s="3" t="s">
        <v>1132</v>
      </c>
      <c r="L1658" s="3" t="s">
        <v>3128</v>
      </c>
      <c r="M1658" s="3" t="s">
        <v>1134</v>
      </c>
    </row>
    <row r="1659">
      <c r="A1659" s="4">
        <v>46178.47920195602</v>
      </c>
      <c r="B1659" s="3" t="s">
        <v>4199</v>
      </c>
      <c r="C1659" s="3" t="s">
        <v>4200</v>
      </c>
      <c r="D1659" s="3" t="s">
        <v>4201</v>
      </c>
      <c r="E1659" s="5">
        <v>18631.0</v>
      </c>
      <c r="F1659" s="3">
        <v>6712751.0</v>
      </c>
      <c r="G1659" s="3">
        <v>3.516876882E9</v>
      </c>
      <c r="H1659" s="3" t="s">
        <v>27</v>
      </c>
      <c r="I1659" s="3" t="s">
        <v>22</v>
      </c>
      <c r="K1659" s="3" t="s">
        <v>1145</v>
      </c>
      <c r="O1659" s="3" t="s">
        <v>23</v>
      </c>
    </row>
    <row r="1660">
      <c r="A1660" s="4">
        <v>46178.74487625</v>
      </c>
      <c r="B1660" s="3" t="s">
        <v>4202</v>
      </c>
      <c r="C1660" s="3" t="s">
        <v>4203</v>
      </c>
      <c r="D1660" s="3" t="s">
        <v>4204</v>
      </c>
      <c r="E1660" s="5">
        <v>39352.0</v>
      </c>
      <c r="F1660" s="3">
        <v>4.8361193E7</v>
      </c>
      <c r="G1660" s="3" t="s">
        <v>4205</v>
      </c>
      <c r="H1660" s="3" t="s">
        <v>1133</v>
      </c>
      <c r="I1660" s="3" t="s">
        <v>28</v>
      </c>
      <c r="K1660" s="3" t="s">
        <v>1132</v>
      </c>
      <c r="L1660" s="3" t="s">
        <v>1133</v>
      </c>
      <c r="M1660" s="3" t="s">
        <v>1137</v>
      </c>
    </row>
    <row r="1661">
      <c r="R1661" s="7" t="str">
        <f>IF(H1661="","",VLOOKUP(H1661,'Hoja 9'!$A$1:$B$255,2,0))</f>
        <v/>
      </c>
      <c r="S1661" s="7" t="str">
        <f t="shared" ref="S1661:S2759" si="3">IF(A1661="","",YEAR(A1661))</f>
        <v/>
      </c>
      <c r="T1661" s="7" t="str">
        <f t="shared" ref="T1661:T2759" si="4">IF(A1661="","",MONTH(A1661))</f>
        <v/>
      </c>
    </row>
    <row r="1662">
      <c r="R1662" s="7" t="str">
        <f>IF(H1662="","",VLOOKUP(H1662,'Hoja 9'!$A$1:$B$255,2,0))</f>
        <v/>
      </c>
      <c r="S1662" s="7" t="str">
        <f t="shared" si="3"/>
        <v/>
      </c>
      <c r="T1662" s="7" t="str">
        <f t="shared" si="4"/>
        <v/>
      </c>
    </row>
    <row r="1663">
      <c r="R1663" s="7" t="str">
        <f>IF(H1663="","",VLOOKUP(H1663,'Hoja 9'!$A$1:$B$255,2,0))</f>
        <v/>
      </c>
      <c r="S1663" s="7" t="str">
        <f t="shared" si="3"/>
        <v/>
      </c>
      <c r="T1663" s="7" t="str">
        <f t="shared" si="4"/>
        <v/>
      </c>
    </row>
    <row r="1664">
      <c r="R1664" s="7" t="str">
        <f>IF(H1664="","",VLOOKUP(H1664,'Hoja 9'!$A$1:$B$255,2,0))</f>
        <v/>
      </c>
      <c r="S1664" s="7" t="str">
        <f t="shared" si="3"/>
        <v/>
      </c>
      <c r="T1664" s="7" t="str">
        <f t="shared" si="4"/>
        <v/>
      </c>
    </row>
    <row r="1665">
      <c r="R1665" s="7" t="str">
        <f>IF(H1665="","",VLOOKUP(H1665,'Hoja 9'!$A$1:$B$255,2,0))</f>
        <v/>
      </c>
      <c r="S1665" s="7" t="str">
        <f t="shared" si="3"/>
        <v/>
      </c>
      <c r="T1665" s="7" t="str">
        <f t="shared" si="4"/>
        <v/>
      </c>
    </row>
    <row r="1666">
      <c r="R1666" s="7" t="str">
        <f>IF(H1666="","",VLOOKUP(H1666,'Hoja 9'!$A$1:$B$255,2,0))</f>
        <v/>
      </c>
      <c r="S1666" s="7" t="str">
        <f t="shared" si="3"/>
        <v/>
      </c>
      <c r="T1666" s="7" t="str">
        <f t="shared" si="4"/>
        <v/>
      </c>
    </row>
    <row r="1667">
      <c r="R1667" s="7" t="str">
        <f>IF(H1667="","",VLOOKUP(H1667,'Hoja 9'!$A$1:$B$255,2,0))</f>
        <v/>
      </c>
      <c r="S1667" s="7" t="str">
        <f t="shared" si="3"/>
        <v/>
      </c>
      <c r="T1667" s="7" t="str">
        <f t="shared" si="4"/>
        <v/>
      </c>
    </row>
    <row r="1668">
      <c r="R1668" s="7" t="str">
        <f>IF(H1668="","",VLOOKUP(H1668,'Hoja 9'!$A$1:$B$255,2,0))</f>
        <v/>
      </c>
      <c r="S1668" s="7" t="str">
        <f t="shared" si="3"/>
        <v/>
      </c>
      <c r="T1668" s="7" t="str">
        <f t="shared" si="4"/>
        <v/>
      </c>
    </row>
    <row r="1669">
      <c r="R1669" s="7" t="str">
        <f>IF(H1669="","",VLOOKUP(H1669,'Hoja 9'!$A$1:$B$255,2,0))</f>
        <v/>
      </c>
      <c r="S1669" s="7" t="str">
        <f t="shared" si="3"/>
        <v/>
      </c>
      <c r="T1669" s="7" t="str">
        <f t="shared" si="4"/>
        <v/>
      </c>
    </row>
    <row r="1670">
      <c r="R1670" s="7" t="str">
        <f>IF(H1670="","",VLOOKUP(H1670,'Hoja 9'!$A$1:$B$255,2,0))</f>
        <v/>
      </c>
      <c r="S1670" s="7" t="str">
        <f t="shared" si="3"/>
        <v/>
      </c>
      <c r="T1670" s="7" t="str">
        <f t="shared" si="4"/>
        <v/>
      </c>
    </row>
    <row r="1671">
      <c r="R1671" s="7" t="str">
        <f>IF(H1671="","",VLOOKUP(H1671,'Hoja 9'!$A$1:$B$255,2,0))</f>
        <v/>
      </c>
      <c r="S1671" s="7" t="str">
        <f t="shared" si="3"/>
        <v/>
      </c>
      <c r="T1671" s="7" t="str">
        <f t="shared" si="4"/>
        <v/>
      </c>
    </row>
    <row r="1672">
      <c r="R1672" s="7" t="str">
        <f>IF(H1672="","",VLOOKUP(H1672,'Hoja 9'!$A$1:$B$255,2,0))</f>
        <v/>
      </c>
      <c r="S1672" s="7" t="str">
        <f t="shared" si="3"/>
        <v/>
      </c>
      <c r="T1672" s="7" t="str">
        <f t="shared" si="4"/>
        <v/>
      </c>
    </row>
    <row r="1673">
      <c r="R1673" s="7" t="str">
        <f>IF(H1673="","",VLOOKUP(H1673,'Hoja 9'!$A$1:$B$255,2,0))</f>
        <v/>
      </c>
      <c r="S1673" s="7" t="str">
        <f t="shared" si="3"/>
        <v/>
      </c>
      <c r="T1673" s="7" t="str">
        <f t="shared" si="4"/>
        <v/>
      </c>
    </row>
    <row r="1674">
      <c r="R1674" s="7" t="str">
        <f>IF(H1674="","",VLOOKUP(H1674,'Hoja 9'!$A$1:$B$255,2,0))</f>
        <v/>
      </c>
      <c r="S1674" s="7" t="str">
        <f t="shared" si="3"/>
        <v/>
      </c>
      <c r="T1674" s="7" t="str">
        <f t="shared" si="4"/>
        <v/>
      </c>
    </row>
    <row r="1675">
      <c r="R1675" s="7" t="str">
        <f>IF(H1675="","",VLOOKUP(H1675,'Hoja 9'!$A$1:$B$255,2,0))</f>
        <v/>
      </c>
      <c r="S1675" s="7" t="str">
        <f t="shared" si="3"/>
        <v/>
      </c>
      <c r="T1675" s="7" t="str">
        <f t="shared" si="4"/>
        <v/>
      </c>
    </row>
    <row r="1676">
      <c r="R1676" s="7" t="str">
        <f>IF(H1676="","",VLOOKUP(H1676,'Hoja 9'!$A$1:$B$255,2,0))</f>
        <v/>
      </c>
      <c r="S1676" s="7" t="str">
        <f t="shared" si="3"/>
        <v/>
      </c>
      <c r="T1676" s="7" t="str">
        <f t="shared" si="4"/>
        <v/>
      </c>
    </row>
    <row r="1677">
      <c r="R1677" s="7" t="str">
        <f>IF(H1677="","",VLOOKUP(H1677,'Hoja 9'!$A$1:$B$255,2,0))</f>
        <v/>
      </c>
      <c r="S1677" s="7" t="str">
        <f t="shared" si="3"/>
        <v/>
      </c>
      <c r="T1677" s="7" t="str">
        <f t="shared" si="4"/>
        <v/>
      </c>
    </row>
    <row r="1678">
      <c r="R1678" s="7" t="str">
        <f>IF(H1678="","",VLOOKUP(H1678,'Hoja 9'!$A$1:$B$255,2,0))</f>
        <v/>
      </c>
      <c r="S1678" s="7" t="str">
        <f t="shared" si="3"/>
        <v/>
      </c>
      <c r="T1678" s="7" t="str">
        <f t="shared" si="4"/>
        <v/>
      </c>
    </row>
    <row r="1679">
      <c r="R1679" s="7" t="str">
        <f>IF(H1679="","",VLOOKUP(H1679,'Hoja 9'!$A$1:$B$255,2,0))</f>
        <v/>
      </c>
      <c r="S1679" s="7" t="str">
        <f t="shared" si="3"/>
        <v/>
      </c>
      <c r="T1679" s="7" t="str">
        <f t="shared" si="4"/>
        <v/>
      </c>
    </row>
    <row r="1680">
      <c r="R1680" s="7" t="str">
        <f>IF(H1680="","",VLOOKUP(H1680,'Hoja 9'!$A$1:$B$255,2,0))</f>
        <v/>
      </c>
      <c r="S1680" s="7" t="str">
        <f t="shared" si="3"/>
        <v/>
      </c>
      <c r="T1680" s="7" t="str">
        <f t="shared" si="4"/>
        <v/>
      </c>
    </row>
    <row r="1681">
      <c r="R1681" s="7" t="str">
        <f>IF(H1681="","",VLOOKUP(H1681,'Hoja 9'!$A$1:$B$255,2,0))</f>
        <v/>
      </c>
      <c r="S1681" s="7" t="str">
        <f t="shared" si="3"/>
        <v/>
      </c>
      <c r="T1681" s="7" t="str">
        <f t="shared" si="4"/>
        <v/>
      </c>
    </row>
    <row r="1682">
      <c r="R1682" s="7" t="str">
        <f>IF(H1682="","",VLOOKUP(H1682,'Hoja 9'!$A$1:$B$255,2,0))</f>
        <v/>
      </c>
      <c r="S1682" s="7" t="str">
        <f t="shared" si="3"/>
        <v/>
      </c>
      <c r="T1682" s="7" t="str">
        <f t="shared" si="4"/>
        <v/>
      </c>
    </row>
    <row r="1683">
      <c r="R1683" s="7" t="str">
        <f>IF(H1683="","",VLOOKUP(H1683,'Hoja 9'!$A$1:$B$255,2,0))</f>
        <v/>
      </c>
      <c r="S1683" s="7" t="str">
        <f t="shared" si="3"/>
        <v/>
      </c>
      <c r="T1683" s="7" t="str">
        <f t="shared" si="4"/>
        <v/>
      </c>
    </row>
    <row r="1684">
      <c r="R1684" s="7" t="str">
        <f>IF(H1684="","",VLOOKUP(H1684,'Hoja 9'!$A$1:$B$255,2,0))</f>
        <v/>
      </c>
      <c r="S1684" s="7" t="str">
        <f t="shared" si="3"/>
        <v/>
      </c>
      <c r="T1684" s="7" t="str">
        <f t="shared" si="4"/>
        <v/>
      </c>
    </row>
    <row r="1685">
      <c r="R1685" s="7" t="str">
        <f>IF(H1685="","",VLOOKUP(H1685,'Hoja 9'!$A$1:$B$255,2,0))</f>
        <v/>
      </c>
      <c r="S1685" s="7" t="str">
        <f t="shared" si="3"/>
        <v/>
      </c>
      <c r="T1685" s="7" t="str">
        <f t="shared" si="4"/>
        <v/>
      </c>
    </row>
    <row r="1686">
      <c r="R1686" s="7" t="str">
        <f>IF(H1686="","",VLOOKUP(H1686,'Hoja 9'!$A$1:$B$255,2,0))</f>
        <v/>
      </c>
      <c r="S1686" s="7" t="str">
        <f t="shared" si="3"/>
        <v/>
      </c>
      <c r="T1686" s="7" t="str">
        <f t="shared" si="4"/>
        <v/>
      </c>
    </row>
    <row r="1687">
      <c r="R1687" s="7" t="str">
        <f>IF(H1687="","",VLOOKUP(H1687,'Hoja 9'!$A$1:$B$255,2,0))</f>
        <v/>
      </c>
      <c r="S1687" s="7" t="str">
        <f t="shared" si="3"/>
        <v/>
      </c>
      <c r="T1687" s="7" t="str">
        <f t="shared" si="4"/>
        <v/>
      </c>
    </row>
    <row r="1688">
      <c r="R1688" s="7" t="str">
        <f>IF(H1688="","",VLOOKUP(H1688,'Hoja 9'!$A$1:$B$255,2,0))</f>
        <v/>
      </c>
      <c r="S1688" s="7" t="str">
        <f t="shared" si="3"/>
        <v/>
      </c>
      <c r="T1688" s="7" t="str">
        <f t="shared" si="4"/>
        <v/>
      </c>
    </row>
    <row r="1689">
      <c r="R1689" s="7" t="str">
        <f>IF(H1689="","",VLOOKUP(H1689,'Hoja 9'!$A$1:$B$255,2,0))</f>
        <v/>
      </c>
      <c r="S1689" s="7" t="str">
        <f t="shared" si="3"/>
        <v/>
      </c>
      <c r="T1689" s="7" t="str">
        <f t="shared" si="4"/>
        <v/>
      </c>
    </row>
    <row r="1690">
      <c r="R1690" s="7" t="str">
        <f>IF(H1690="","",VLOOKUP(H1690,'Hoja 9'!$A$1:$B$255,2,0))</f>
        <v/>
      </c>
      <c r="S1690" s="7" t="str">
        <f t="shared" si="3"/>
        <v/>
      </c>
      <c r="T1690" s="7" t="str">
        <f t="shared" si="4"/>
        <v/>
      </c>
    </row>
    <row r="1691">
      <c r="R1691" s="7" t="str">
        <f>IF(H1691="","",VLOOKUP(H1691,'Hoja 9'!$A$1:$B$255,2,0))</f>
        <v/>
      </c>
      <c r="S1691" s="7" t="str">
        <f t="shared" si="3"/>
        <v/>
      </c>
      <c r="T1691" s="7" t="str">
        <f t="shared" si="4"/>
        <v/>
      </c>
    </row>
    <row r="1692">
      <c r="R1692" s="7" t="str">
        <f>IF(H1692="","",VLOOKUP(H1692,'Hoja 9'!$A$1:$B$255,2,0))</f>
        <v/>
      </c>
      <c r="S1692" s="7" t="str">
        <f t="shared" si="3"/>
        <v/>
      </c>
      <c r="T1692" s="7" t="str">
        <f t="shared" si="4"/>
        <v/>
      </c>
    </row>
    <row r="1693">
      <c r="R1693" s="7" t="str">
        <f>IF(H1693="","",VLOOKUP(H1693,'Hoja 9'!$A$1:$B$255,2,0))</f>
        <v/>
      </c>
      <c r="S1693" s="7" t="str">
        <f t="shared" si="3"/>
        <v/>
      </c>
      <c r="T1693" s="7" t="str">
        <f t="shared" si="4"/>
        <v/>
      </c>
    </row>
    <row r="1694">
      <c r="R1694" s="7" t="str">
        <f>IF(H1694="","",VLOOKUP(H1694,'Hoja 9'!$A$1:$B$255,2,0))</f>
        <v/>
      </c>
      <c r="S1694" s="7" t="str">
        <f t="shared" si="3"/>
        <v/>
      </c>
      <c r="T1694" s="7" t="str">
        <f t="shared" si="4"/>
        <v/>
      </c>
    </row>
    <row r="1695">
      <c r="R1695" s="7" t="str">
        <f>IF(H1695="","",VLOOKUP(H1695,'Hoja 9'!$A$1:$B$255,2,0))</f>
        <v/>
      </c>
      <c r="S1695" s="7" t="str">
        <f t="shared" si="3"/>
        <v/>
      </c>
      <c r="T1695" s="7" t="str">
        <f t="shared" si="4"/>
        <v/>
      </c>
    </row>
    <row r="1696">
      <c r="R1696" s="7" t="str">
        <f>IF(H1696="","",VLOOKUP(H1696,'Hoja 9'!$A$1:$B$255,2,0))</f>
        <v/>
      </c>
      <c r="S1696" s="7" t="str">
        <f t="shared" si="3"/>
        <v/>
      </c>
      <c r="T1696" s="7" t="str">
        <f t="shared" si="4"/>
        <v/>
      </c>
    </row>
    <row r="1697">
      <c r="R1697" s="7" t="str">
        <f>IF(H1697="","",VLOOKUP(H1697,'Hoja 9'!$A$1:$B$255,2,0))</f>
        <v/>
      </c>
      <c r="S1697" s="7" t="str">
        <f t="shared" si="3"/>
        <v/>
      </c>
      <c r="T1697" s="7" t="str">
        <f t="shared" si="4"/>
        <v/>
      </c>
    </row>
    <row r="1698">
      <c r="R1698" s="7" t="str">
        <f>IF(H1698="","",VLOOKUP(H1698,'Hoja 9'!$A$1:$B$255,2,0))</f>
        <v/>
      </c>
      <c r="S1698" s="7" t="str">
        <f t="shared" si="3"/>
        <v/>
      </c>
      <c r="T1698" s="7" t="str">
        <f t="shared" si="4"/>
        <v/>
      </c>
    </row>
    <row r="1699">
      <c r="R1699" s="7" t="str">
        <f>IF(H1699="","",VLOOKUP(H1699,'Hoja 9'!$A$1:$B$255,2,0))</f>
        <v/>
      </c>
      <c r="S1699" s="7" t="str">
        <f t="shared" si="3"/>
        <v/>
      </c>
      <c r="T1699" s="7" t="str">
        <f t="shared" si="4"/>
        <v/>
      </c>
    </row>
    <row r="1700">
      <c r="R1700" s="7" t="str">
        <f>IF(H1700="","",VLOOKUP(H1700,'Hoja 9'!$A$1:$B$255,2,0))</f>
        <v/>
      </c>
      <c r="S1700" s="7" t="str">
        <f t="shared" si="3"/>
        <v/>
      </c>
      <c r="T1700" s="7" t="str">
        <f t="shared" si="4"/>
        <v/>
      </c>
    </row>
    <row r="1701">
      <c r="R1701" s="7" t="str">
        <f>IF(H1701="","",VLOOKUP(H1701,'Hoja 9'!$A$1:$B$255,2,0))</f>
        <v/>
      </c>
      <c r="S1701" s="7" t="str">
        <f t="shared" si="3"/>
        <v/>
      </c>
      <c r="T1701" s="7" t="str">
        <f t="shared" si="4"/>
        <v/>
      </c>
    </row>
    <row r="1702">
      <c r="R1702" s="7" t="str">
        <f>IF(H1702="","",VLOOKUP(H1702,'Hoja 9'!$A$1:$B$255,2,0))</f>
        <v/>
      </c>
      <c r="S1702" s="7" t="str">
        <f t="shared" si="3"/>
        <v/>
      </c>
      <c r="T1702" s="7" t="str">
        <f t="shared" si="4"/>
        <v/>
      </c>
    </row>
    <row r="1703">
      <c r="R1703" s="7" t="str">
        <f>IF(H1703="","",VLOOKUP(H1703,'Hoja 9'!$A$1:$B$255,2,0))</f>
        <v/>
      </c>
      <c r="S1703" s="7" t="str">
        <f t="shared" si="3"/>
        <v/>
      </c>
      <c r="T1703" s="7" t="str">
        <f t="shared" si="4"/>
        <v/>
      </c>
    </row>
    <row r="1704">
      <c r="R1704" s="7" t="str">
        <f>IF(H1704="","",VLOOKUP(H1704,'Hoja 9'!$A$1:$B$255,2,0))</f>
        <v/>
      </c>
      <c r="S1704" s="7" t="str">
        <f t="shared" si="3"/>
        <v/>
      </c>
      <c r="T1704" s="7" t="str">
        <f t="shared" si="4"/>
        <v/>
      </c>
    </row>
    <row r="1705">
      <c r="R1705" s="7" t="str">
        <f>IF(H1705="","",VLOOKUP(H1705,'Hoja 9'!$A$1:$B$255,2,0))</f>
        <v/>
      </c>
      <c r="S1705" s="7" t="str">
        <f t="shared" si="3"/>
        <v/>
      </c>
      <c r="T1705" s="7" t="str">
        <f t="shared" si="4"/>
        <v/>
      </c>
    </row>
    <row r="1706">
      <c r="R1706" s="7" t="str">
        <f>IF(H1706="","",VLOOKUP(H1706,'Hoja 9'!$A$1:$B$255,2,0))</f>
        <v/>
      </c>
      <c r="S1706" s="7" t="str">
        <f t="shared" si="3"/>
        <v/>
      </c>
      <c r="T1706" s="7" t="str">
        <f t="shared" si="4"/>
        <v/>
      </c>
    </row>
    <row r="1707">
      <c r="R1707" s="7" t="str">
        <f>IF(H1707="","",VLOOKUP(H1707,'Hoja 9'!$A$1:$B$255,2,0))</f>
        <v/>
      </c>
      <c r="S1707" s="7" t="str">
        <f t="shared" si="3"/>
        <v/>
      </c>
      <c r="T1707" s="7" t="str">
        <f t="shared" si="4"/>
        <v/>
      </c>
    </row>
    <row r="1708">
      <c r="R1708" s="7" t="str">
        <f>IF(H1708="","",VLOOKUP(H1708,'Hoja 9'!$A$1:$B$255,2,0))</f>
        <v/>
      </c>
      <c r="S1708" s="7" t="str">
        <f t="shared" si="3"/>
        <v/>
      </c>
      <c r="T1708" s="7" t="str">
        <f t="shared" si="4"/>
        <v/>
      </c>
    </row>
    <row r="1709">
      <c r="R1709" s="7" t="str">
        <f>IF(H1709="","",VLOOKUP(H1709,'Hoja 9'!$A$1:$B$255,2,0))</f>
        <v/>
      </c>
      <c r="S1709" s="7" t="str">
        <f t="shared" si="3"/>
        <v/>
      </c>
      <c r="T1709" s="7" t="str">
        <f t="shared" si="4"/>
        <v/>
      </c>
    </row>
    <row r="1710">
      <c r="R1710" s="7" t="str">
        <f>IF(H1710="","",VLOOKUP(H1710,'Hoja 9'!$A$1:$B$255,2,0))</f>
        <v/>
      </c>
      <c r="S1710" s="7" t="str">
        <f t="shared" si="3"/>
        <v/>
      </c>
      <c r="T1710" s="7" t="str">
        <f t="shared" si="4"/>
        <v/>
      </c>
    </row>
    <row r="1711">
      <c r="R1711" s="7" t="str">
        <f>IF(H1711="","",VLOOKUP(H1711,'Hoja 9'!$A$1:$B$255,2,0))</f>
        <v/>
      </c>
      <c r="S1711" s="7" t="str">
        <f t="shared" si="3"/>
        <v/>
      </c>
      <c r="T1711" s="7" t="str">
        <f t="shared" si="4"/>
        <v/>
      </c>
    </row>
    <row r="1712">
      <c r="R1712" s="7" t="str">
        <f>IF(H1712="","",VLOOKUP(H1712,'Hoja 9'!$A$1:$B$255,2,0))</f>
        <v/>
      </c>
      <c r="S1712" s="7" t="str">
        <f t="shared" si="3"/>
        <v/>
      </c>
      <c r="T1712" s="7" t="str">
        <f t="shared" si="4"/>
        <v/>
      </c>
    </row>
    <row r="1713">
      <c r="R1713" s="7" t="str">
        <f>IF(H1713="","",VLOOKUP(H1713,'Hoja 9'!$A$1:$B$255,2,0))</f>
        <v/>
      </c>
      <c r="S1713" s="7" t="str">
        <f t="shared" si="3"/>
        <v/>
      </c>
      <c r="T1713" s="7" t="str">
        <f t="shared" si="4"/>
        <v/>
      </c>
    </row>
    <row r="1714">
      <c r="R1714" s="7" t="str">
        <f>IF(H1714="","",VLOOKUP(H1714,'Hoja 9'!$A$1:$B$255,2,0))</f>
        <v/>
      </c>
      <c r="S1714" s="7" t="str">
        <f t="shared" si="3"/>
        <v/>
      </c>
      <c r="T1714" s="7" t="str">
        <f t="shared" si="4"/>
        <v/>
      </c>
    </row>
    <row r="1715">
      <c r="R1715" s="7" t="str">
        <f>IF(H1715="","",VLOOKUP(H1715,'Hoja 9'!$A$1:$B$255,2,0))</f>
        <v/>
      </c>
      <c r="S1715" s="7" t="str">
        <f t="shared" si="3"/>
        <v/>
      </c>
      <c r="T1715" s="7" t="str">
        <f t="shared" si="4"/>
        <v/>
      </c>
    </row>
    <row r="1716">
      <c r="R1716" s="7" t="str">
        <f>IF(H1716="","",VLOOKUP(H1716,'Hoja 9'!$A$1:$B$255,2,0))</f>
        <v/>
      </c>
      <c r="S1716" s="7" t="str">
        <f t="shared" si="3"/>
        <v/>
      </c>
      <c r="T1716" s="7" t="str">
        <f t="shared" si="4"/>
        <v/>
      </c>
    </row>
    <row r="1717">
      <c r="R1717" s="7" t="str">
        <f>IF(H1717="","",VLOOKUP(H1717,'Hoja 9'!$A$1:$B$255,2,0))</f>
        <v/>
      </c>
      <c r="S1717" s="7" t="str">
        <f t="shared" si="3"/>
        <v/>
      </c>
      <c r="T1717" s="7" t="str">
        <f t="shared" si="4"/>
        <v/>
      </c>
    </row>
    <row r="1718">
      <c r="R1718" s="7" t="str">
        <f>IF(H1718="","",VLOOKUP(H1718,'Hoja 9'!$A$1:$B$255,2,0))</f>
        <v/>
      </c>
      <c r="S1718" s="7" t="str">
        <f t="shared" si="3"/>
        <v/>
      </c>
      <c r="T1718" s="7" t="str">
        <f t="shared" si="4"/>
        <v/>
      </c>
    </row>
    <row r="1719">
      <c r="R1719" s="7" t="str">
        <f>IF(H1719="","",VLOOKUP(H1719,'Hoja 9'!$A$1:$B$255,2,0))</f>
        <v/>
      </c>
      <c r="S1719" s="7" t="str">
        <f t="shared" si="3"/>
        <v/>
      </c>
      <c r="T1719" s="7" t="str">
        <f t="shared" si="4"/>
        <v/>
      </c>
    </row>
    <row r="1720">
      <c r="R1720" s="7" t="str">
        <f>IF(H1720="","",VLOOKUP(H1720,'Hoja 9'!$A$1:$B$255,2,0))</f>
        <v/>
      </c>
      <c r="S1720" s="7" t="str">
        <f t="shared" si="3"/>
        <v/>
      </c>
      <c r="T1720" s="7" t="str">
        <f t="shared" si="4"/>
        <v/>
      </c>
    </row>
    <row r="1721">
      <c r="R1721" s="7" t="str">
        <f>IF(H1721="","",VLOOKUP(H1721,'Hoja 9'!$A$1:$B$255,2,0))</f>
        <v/>
      </c>
      <c r="S1721" s="7" t="str">
        <f t="shared" si="3"/>
        <v/>
      </c>
      <c r="T1721" s="7" t="str">
        <f t="shared" si="4"/>
        <v/>
      </c>
    </row>
    <row r="1722">
      <c r="R1722" s="7" t="str">
        <f>IF(H1722="","",VLOOKUP(H1722,'Hoja 9'!$A$1:$B$255,2,0))</f>
        <v/>
      </c>
      <c r="S1722" s="7" t="str">
        <f t="shared" si="3"/>
        <v/>
      </c>
      <c r="T1722" s="7" t="str">
        <f t="shared" si="4"/>
        <v/>
      </c>
    </row>
    <row r="1723">
      <c r="R1723" s="7" t="str">
        <f>IF(H1723="","",VLOOKUP(H1723,'Hoja 9'!$A$1:$B$255,2,0))</f>
        <v/>
      </c>
      <c r="S1723" s="7" t="str">
        <f t="shared" si="3"/>
        <v/>
      </c>
      <c r="T1723" s="7" t="str">
        <f t="shared" si="4"/>
        <v/>
      </c>
    </row>
    <row r="1724">
      <c r="R1724" s="7" t="str">
        <f>IF(H1724="","",VLOOKUP(H1724,'Hoja 9'!$A$1:$B$255,2,0))</f>
        <v/>
      </c>
      <c r="S1724" s="7" t="str">
        <f t="shared" si="3"/>
        <v/>
      </c>
      <c r="T1724" s="7" t="str">
        <f t="shared" si="4"/>
        <v/>
      </c>
    </row>
    <row r="1725">
      <c r="R1725" s="7" t="str">
        <f>IF(H1725="","",VLOOKUP(H1725,'Hoja 9'!$A$1:$B$255,2,0))</f>
        <v/>
      </c>
      <c r="S1725" s="7" t="str">
        <f t="shared" si="3"/>
        <v/>
      </c>
      <c r="T1725" s="7" t="str">
        <f t="shared" si="4"/>
        <v/>
      </c>
    </row>
    <row r="1726">
      <c r="R1726" s="7" t="str">
        <f>IF(H1726="","",VLOOKUP(H1726,'Hoja 9'!$A$1:$B$255,2,0))</f>
        <v/>
      </c>
      <c r="S1726" s="7" t="str">
        <f t="shared" si="3"/>
        <v/>
      </c>
      <c r="T1726" s="7" t="str">
        <f t="shared" si="4"/>
        <v/>
      </c>
    </row>
    <row r="1727">
      <c r="R1727" s="7" t="str">
        <f>IF(H1727="","",VLOOKUP(H1727,'Hoja 9'!$A$1:$B$255,2,0))</f>
        <v/>
      </c>
      <c r="S1727" s="7" t="str">
        <f t="shared" si="3"/>
        <v/>
      </c>
      <c r="T1727" s="7" t="str">
        <f t="shared" si="4"/>
        <v/>
      </c>
    </row>
    <row r="1728">
      <c r="R1728" s="7" t="str">
        <f>IF(H1728="","",VLOOKUP(H1728,'Hoja 9'!$A$1:$B$255,2,0))</f>
        <v/>
      </c>
      <c r="S1728" s="7" t="str">
        <f t="shared" si="3"/>
        <v/>
      </c>
      <c r="T1728" s="7" t="str">
        <f t="shared" si="4"/>
        <v/>
      </c>
    </row>
    <row r="1729">
      <c r="R1729" s="7" t="str">
        <f>IF(H1729="","",VLOOKUP(H1729,'Hoja 9'!$A$1:$B$255,2,0))</f>
        <v/>
      </c>
      <c r="S1729" s="7" t="str">
        <f t="shared" si="3"/>
        <v/>
      </c>
      <c r="T1729" s="7" t="str">
        <f t="shared" si="4"/>
        <v/>
      </c>
    </row>
    <row r="1730">
      <c r="R1730" s="7" t="str">
        <f>IF(H1730="","",VLOOKUP(H1730,'Hoja 9'!$A$1:$B$255,2,0))</f>
        <v/>
      </c>
      <c r="S1730" s="7" t="str">
        <f t="shared" si="3"/>
        <v/>
      </c>
      <c r="T1730" s="7" t="str">
        <f t="shared" si="4"/>
        <v/>
      </c>
    </row>
    <row r="1731">
      <c r="R1731" s="7" t="str">
        <f>IF(H1731="","",VLOOKUP(H1731,'Hoja 9'!$A$1:$B$255,2,0))</f>
        <v/>
      </c>
      <c r="S1731" s="7" t="str">
        <f t="shared" si="3"/>
        <v/>
      </c>
      <c r="T1731" s="7" t="str">
        <f t="shared" si="4"/>
        <v/>
      </c>
    </row>
    <row r="1732">
      <c r="R1732" s="7" t="str">
        <f>IF(H1732="","",VLOOKUP(H1732,'Hoja 9'!$A$1:$B$255,2,0))</f>
        <v/>
      </c>
      <c r="S1732" s="7" t="str">
        <f t="shared" si="3"/>
        <v/>
      </c>
      <c r="T1732" s="7" t="str">
        <f t="shared" si="4"/>
        <v/>
      </c>
    </row>
    <row r="1733">
      <c r="R1733" s="7" t="str">
        <f>IF(H1733="","",VLOOKUP(H1733,'Hoja 9'!$A$1:$B$255,2,0))</f>
        <v/>
      </c>
      <c r="S1733" s="7" t="str">
        <f t="shared" si="3"/>
        <v/>
      </c>
      <c r="T1733" s="7" t="str">
        <f t="shared" si="4"/>
        <v/>
      </c>
    </row>
    <row r="1734">
      <c r="R1734" s="7" t="str">
        <f>IF(H1734="","",VLOOKUP(H1734,'Hoja 9'!$A$1:$B$255,2,0))</f>
        <v/>
      </c>
      <c r="S1734" s="7" t="str">
        <f t="shared" si="3"/>
        <v/>
      </c>
      <c r="T1734" s="7" t="str">
        <f t="shared" si="4"/>
        <v/>
      </c>
    </row>
    <row r="1735">
      <c r="R1735" s="7" t="str">
        <f>IF(H1735="","",VLOOKUP(H1735,'Hoja 9'!$A$1:$B$255,2,0))</f>
        <v/>
      </c>
      <c r="S1735" s="7" t="str">
        <f t="shared" si="3"/>
        <v/>
      </c>
      <c r="T1735" s="7" t="str">
        <f t="shared" si="4"/>
        <v/>
      </c>
    </row>
    <row r="1736">
      <c r="R1736" s="7" t="str">
        <f>IF(H1736="","",VLOOKUP(H1736,'Hoja 9'!$A$1:$B$255,2,0))</f>
        <v/>
      </c>
      <c r="S1736" s="7" t="str">
        <f t="shared" si="3"/>
        <v/>
      </c>
      <c r="T1736" s="7" t="str">
        <f t="shared" si="4"/>
        <v/>
      </c>
    </row>
    <row r="1737">
      <c r="R1737" s="7" t="str">
        <f>IF(H1737="","",VLOOKUP(H1737,'Hoja 9'!$A$1:$B$255,2,0))</f>
        <v/>
      </c>
      <c r="S1737" s="7" t="str">
        <f t="shared" si="3"/>
        <v/>
      </c>
      <c r="T1737" s="7" t="str">
        <f t="shared" si="4"/>
        <v/>
      </c>
    </row>
    <row r="1738">
      <c r="R1738" s="7" t="str">
        <f>IF(H1738="","",VLOOKUP(H1738,'Hoja 9'!$A$1:$B$255,2,0))</f>
        <v/>
      </c>
      <c r="S1738" s="7" t="str">
        <f t="shared" si="3"/>
        <v/>
      </c>
      <c r="T1738" s="7" t="str">
        <f t="shared" si="4"/>
        <v/>
      </c>
    </row>
    <row r="1739">
      <c r="R1739" s="7" t="str">
        <f>IF(H1739="","",VLOOKUP(H1739,'Hoja 9'!$A$1:$B$255,2,0))</f>
        <v/>
      </c>
      <c r="S1739" s="7" t="str">
        <f t="shared" si="3"/>
        <v/>
      </c>
      <c r="T1739" s="7" t="str">
        <f t="shared" si="4"/>
        <v/>
      </c>
    </row>
    <row r="1740">
      <c r="R1740" s="7" t="str">
        <f>IF(H1740="","",VLOOKUP(H1740,'Hoja 9'!$A$1:$B$255,2,0))</f>
        <v/>
      </c>
      <c r="S1740" s="7" t="str">
        <f t="shared" si="3"/>
        <v/>
      </c>
      <c r="T1740" s="7" t="str">
        <f t="shared" si="4"/>
        <v/>
      </c>
    </row>
    <row r="1741">
      <c r="R1741" s="7" t="str">
        <f>IF(H1741="","",VLOOKUP(H1741,'Hoja 9'!$A$1:$B$255,2,0))</f>
        <v/>
      </c>
      <c r="S1741" s="7" t="str">
        <f t="shared" si="3"/>
        <v/>
      </c>
      <c r="T1741" s="7" t="str">
        <f t="shared" si="4"/>
        <v/>
      </c>
    </row>
    <row r="1742">
      <c r="R1742" s="7" t="str">
        <f>IF(H1742="","",VLOOKUP(H1742,'Hoja 9'!$A$1:$B$255,2,0))</f>
        <v/>
      </c>
      <c r="S1742" s="7" t="str">
        <f t="shared" si="3"/>
        <v/>
      </c>
      <c r="T1742" s="7" t="str">
        <f t="shared" si="4"/>
        <v/>
      </c>
    </row>
    <row r="1743">
      <c r="R1743" s="7" t="str">
        <f>IF(H1743="","",VLOOKUP(H1743,'Hoja 9'!$A$1:$B$255,2,0))</f>
        <v/>
      </c>
      <c r="S1743" s="7" t="str">
        <f t="shared" si="3"/>
        <v/>
      </c>
      <c r="T1743" s="7" t="str">
        <f t="shared" si="4"/>
        <v/>
      </c>
    </row>
    <row r="1744">
      <c r="R1744" s="7" t="str">
        <f>IF(H1744="","",VLOOKUP(H1744,'Hoja 9'!$A$1:$B$255,2,0))</f>
        <v/>
      </c>
      <c r="S1744" s="7" t="str">
        <f t="shared" si="3"/>
        <v/>
      </c>
      <c r="T1744" s="7" t="str">
        <f t="shared" si="4"/>
        <v/>
      </c>
    </row>
    <row r="1745">
      <c r="R1745" s="7" t="str">
        <f>IF(H1745="","",VLOOKUP(H1745,'Hoja 9'!$A$1:$B$255,2,0))</f>
        <v/>
      </c>
      <c r="S1745" s="7" t="str">
        <f t="shared" si="3"/>
        <v/>
      </c>
      <c r="T1745" s="7" t="str">
        <f t="shared" si="4"/>
        <v/>
      </c>
    </row>
    <row r="1746">
      <c r="R1746" s="7" t="str">
        <f>IF(H1746="","",VLOOKUP(H1746,'Hoja 9'!$A$1:$B$255,2,0))</f>
        <v/>
      </c>
      <c r="S1746" s="7" t="str">
        <f t="shared" si="3"/>
        <v/>
      </c>
      <c r="T1746" s="7" t="str">
        <f t="shared" si="4"/>
        <v/>
      </c>
    </row>
    <row r="1747">
      <c r="R1747" s="7" t="str">
        <f>IF(H1747="","",VLOOKUP(H1747,'Hoja 9'!$A$1:$B$255,2,0))</f>
        <v/>
      </c>
      <c r="S1747" s="7" t="str">
        <f t="shared" si="3"/>
        <v/>
      </c>
      <c r="T1747" s="7" t="str">
        <f t="shared" si="4"/>
        <v/>
      </c>
    </row>
    <row r="1748">
      <c r="R1748" s="7" t="str">
        <f>IF(H1748="","",VLOOKUP(H1748,'Hoja 9'!$A$1:$B$255,2,0))</f>
        <v/>
      </c>
      <c r="S1748" s="7" t="str">
        <f t="shared" si="3"/>
        <v/>
      </c>
      <c r="T1748" s="7" t="str">
        <f t="shared" si="4"/>
        <v/>
      </c>
    </row>
    <row r="1749">
      <c r="R1749" s="7" t="str">
        <f>IF(H1749="","",VLOOKUP(H1749,'Hoja 9'!$A$1:$B$255,2,0))</f>
        <v/>
      </c>
      <c r="S1749" s="7" t="str">
        <f t="shared" si="3"/>
        <v/>
      </c>
      <c r="T1749" s="7" t="str">
        <f t="shared" si="4"/>
        <v/>
      </c>
    </row>
    <row r="1750">
      <c r="R1750" s="7" t="str">
        <f>IF(H1750="","",VLOOKUP(H1750,'Hoja 9'!$A$1:$B$255,2,0))</f>
        <v/>
      </c>
      <c r="S1750" s="7" t="str">
        <f t="shared" si="3"/>
        <v/>
      </c>
      <c r="T1750" s="7" t="str">
        <f t="shared" si="4"/>
        <v/>
      </c>
    </row>
    <row r="1751">
      <c r="R1751" s="7" t="str">
        <f>IF(H1751="","",VLOOKUP(H1751,'Hoja 9'!$A$1:$B$255,2,0))</f>
        <v/>
      </c>
      <c r="S1751" s="7" t="str">
        <f t="shared" si="3"/>
        <v/>
      </c>
      <c r="T1751" s="7" t="str">
        <f t="shared" si="4"/>
        <v/>
      </c>
    </row>
    <row r="1752">
      <c r="R1752" s="7" t="str">
        <f>IF(H1752="","",VLOOKUP(H1752,'Hoja 9'!$A$1:$B$255,2,0))</f>
        <v/>
      </c>
      <c r="S1752" s="7" t="str">
        <f t="shared" si="3"/>
        <v/>
      </c>
      <c r="T1752" s="7" t="str">
        <f t="shared" si="4"/>
        <v/>
      </c>
    </row>
    <row r="1753">
      <c r="R1753" s="7" t="str">
        <f>IF(H1753="","",VLOOKUP(H1753,'Hoja 9'!$A$1:$B$255,2,0))</f>
        <v/>
      </c>
      <c r="S1753" s="7" t="str">
        <f t="shared" si="3"/>
        <v/>
      </c>
      <c r="T1753" s="7" t="str">
        <f t="shared" si="4"/>
        <v/>
      </c>
    </row>
    <row r="1754">
      <c r="R1754" s="7" t="str">
        <f>IF(H1754="","",VLOOKUP(H1754,'Hoja 9'!$A$1:$B$255,2,0))</f>
        <v/>
      </c>
      <c r="S1754" s="7" t="str">
        <f t="shared" si="3"/>
        <v/>
      </c>
      <c r="T1754" s="7" t="str">
        <f t="shared" si="4"/>
        <v/>
      </c>
    </row>
    <row r="1755">
      <c r="R1755" s="7" t="str">
        <f>IF(H1755="","",VLOOKUP(H1755,'Hoja 9'!$A$1:$B$255,2,0))</f>
        <v/>
      </c>
      <c r="S1755" s="7" t="str">
        <f t="shared" si="3"/>
        <v/>
      </c>
      <c r="T1755" s="7" t="str">
        <f t="shared" si="4"/>
        <v/>
      </c>
    </row>
    <row r="1756">
      <c r="R1756" s="7" t="str">
        <f>IF(H1756="","",VLOOKUP(H1756,'Hoja 9'!$A$1:$B$255,2,0))</f>
        <v/>
      </c>
      <c r="S1756" s="7" t="str">
        <f t="shared" si="3"/>
        <v/>
      </c>
      <c r="T1756" s="7" t="str">
        <f t="shared" si="4"/>
        <v/>
      </c>
    </row>
    <row r="1757">
      <c r="R1757" s="7" t="str">
        <f>IF(H1757="","",VLOOKUP(H1757,'Hoja 9'!$A$1:$B$255,2,0))</f>
        <v/>
      </c>
      <c r="S1757" s="7" t="str">
        <f t="shared" si="3"/>
        <v/>
      </c>
      <c r="T1757" s="7" t="str">
        <f t="shared" si="4"/>
        <v/>
      </c>
    </row>
    <row r="1758">
      <c r="R1758" s="7" t="str">
        <f>IF(H1758="","",VLOOKUP(H1758,'Hoja 9'!$A$1:$B$255,2,0))</f>
        <v/>
      </c>
      <c r="S1758" s="7" t="str">
        <f t="shared" si="3"/>
        <v/>
      </c>
      <c r="T1758" s="7" t="str">
        <f t="shared" si="4"/>
        <v/>
      </c>
    </row>
    <row r="1759">
      <c r="R1759" s="7" t="str">
        <f>IF(H1759="","",VLOOKUP(H1759,'Hoja 9'!$A$1:$B$255,2,0))</f>
        <v/>
      </c>
      <c r="S1759" s="7" t="str">
        <f t="shared" si="3"/>
        <v/>
      </c>
      <c r="T1759" s="7" t="str">
        <f t="shared" si="4"/>
        <v/>
      </c>
    </row>
    <row r="1760">
      <c r="R1760" s="7" t="str">
        <f>IF(H1760="","",VLOOKUP(H1760,'Hoja 9'!$A$1:$B$255,2,0))</f>
        <v/>
      </c>
      <c r="S1760" s="7" t="str">
        <f t="shared" si="3"/>
        <v/>
      </c>
      <c r="T1760" s="7" t="str">
        <f t="shared" si="4"/>
        <v/>
      </c>
    </row>
    <row r="1761">
      <c r="R1761" s="7" t="str">
        <f>IF(H1761="","",VLOOKUP(H1761,'Hoja 9'!$A$1:$B$255,2,0))</f>
        <v/>
      </c>
      <c r="S1761" s="7" t="str">
        <f t="shared" si="3"/>
        <v/>
      </c>
      <c r="T1761" s="7" t="str">
        <f t="shared" si="4"/>
        <v/>
      </c>
    </row>
    <row r="1762">
      <c r="R1762" s="7" t="str">
        <f>IF(H1762="","",VLOOKUP(H1762,'Hoja 9'!$A$1:$B$255,2,0))</f>
        <v/>
      </c>
      <c r="S1762" s="7" t="str">
        <f t="shared" si="3"/>
        <v/>
      </c>
      <c r="T1762" s="7" t="str">
        <f t="shared" si="4"/>
        <v/>
      </c>
    </row>
    <row r="1763">
      <c r="R1763" s="7" t="str">
        <f>IF(H1763="","",VLOOKUP(H1763,'Hoja 9'!$A$1:$B$255,2,0))</f>
        <v/>
      </c>
      <c r="S1763" s="7" t="str">
        <f t="shared" si="3"/>
        <v/>
      </c>
      <c r="T1763" s="7" t="str">
        <f t="shared" si="4"/>
        <v/>
      </c>
    </row>
    <row r="1764">
      <c r="R1764" s="7" t="str">
        <f>IF(H1764="","",VLOOKUP(H1764,'Hoja 9'!$A$1:$B$255,2,0))</f>
        <v/>
      </c>
      <c r="S1764" s="7" t="str">
        <f t="shared" si="3"/>
        <v/>
      </c>
      <c r="T1764" s="7" t="str">
        <f t="shared" si="4"/>
        <v/>
      </c>
    </row>
    <row r="1765">
      <c r="R1765" s="7" t="str">
        <f>IF(H1765="","",VLOOKUP(H1765,'Hoja 9'!$A$1:$B$255,2,0))</f>
        <v/>
      </c>
      <c r="S1765" s="7" t="str">
        <f t="shared" si="3"/>
        <v/>
      </c>
      <c r="T1765" s="7" t="str">
        <f t="shared" si="4"/>
        <v/>
      </c>
    </row>
    <row r="1766">
      <c r="R1766" s="7" t="str">
        <f>IF(H1766="","",VLOOKUP(H1766,'Hoja 9'!$A$1:$B$255,2,0))</f>
        <v/>
      </c>
      <c r="S1766" s="7" t="str">
        <f t="shared" si="3"/>
        <v/>
      </c>
      <c r="T1766" s="7" t="str">
        <f t="shared" si="4"/>
        <v/>
      </c>
    </row>
    <row r="1767">
      <c r="R1767" s="7" t="str">
        <f>IF(H1767="","",VLOOKUP(H1767,'Hoja 9'!$A$1:$B$255,2,0))</f>
        <v/>
      </c>
      <c r="S1767" s="7" t="str">
        <f t="shared" si="3"/>
        <v/>
      </c>
      <c r="T1767" s="7" t="str">
        <f t="shared" si="4"/>
        <v/>
      </c>
    </row>
    <row r="1768">
      <c r="R1768" s="7" t="str">
        <f>IF(H1768="","",VLOOKUP(H1768,'Hoja 9'!$A$1:$B$255,2,0))</f>
        <v/>
      </c>
      <c r="S1768" s="7" t="str">
        <f t="shared" si="3"/>
        <v/>
      </c>
      <c r="T1768" s="7" t="str">
        <f t="shared" si="4"/>
        <v/>
      </c>
    </row>
    <row r="1769">
      <c r="R1769" s="7" t="str">
        <f>IF(H1769="","",VLOOKUP(H1769,'Hoja 9'!$A$1:$B$255,2,0))</f>
        <v/>
      </c>
      <c r="S1769" s="7" t="str">
        <f t="shared" si="3"/>
        <v/>
      </c>
      <c r="T1769" s="7" t="str">
        <f t="shared" si="4"/>
        <v/>
      </c>
    </row>
    <row r="1770">
      <c r="R1770" s="7" t="str">
        <f>IF(H1770="","",VLOOKUP(H1770,'Hoja 9'!$A$1:$B$255,2,0))</f>
        <v/>
      </c>
      <c r="S1770" s="7" t="str">
        <f t="shared" si="3"/>
        <v/>
      </c>
      <c r="T1770" s="7" t="str">
        <f t="shared" si="4"/>
        <v/>
      </c>
    </row>
    <row r="1771">
      <c r="R1771" s="7" t="str">
        <f>IF(H1771="","",VLOOKUP(H1771,'Hoja 9'!$A$1:$B$255,2,0))</f>
        <v/>
      </c>
      <c r="S1771" s="7" t="str">
        <f t="shared" si="3"/>
        <v/>
      </c>
      <c r="T1771" s="7" t="str">
        <f t="shared" si="4"/>
        <v/>
      </c>
    </row>
    <row r="1772">
      <c r="R1772" s="7" t="str">
        <f>IF(H1772="","",VLOOKUP(H1772,'Hoja 9'!$A$1:$B$255,2,0))</f>
        <v/>
      </c>
      <c r="S1772" s="7" t="str">
        <f t="shared" si="3"/>
        <v/>
      </c>
      <c r="T1772" s="7" t="str">
        <f t="shared" si="4"/>
        <v/>
      </c>
    </row>
    <row r="1773">
      <c r="R1773" s="7" t="str">
        <f>IF(H1773="","",VLOOKUP(H1773,'Hoja 9'!$A$1:$B$255,2,0))</f>
        <v/>
      </c>
      <c r="S1773" s="7" t="str">
        <f t="shared" si="3"/>
        <v/>
      </c>
      <c r="T1773" s="7" t="str">
        <f t="shared" si="4"/>
        <v/>
      </c>
    </row>
    <row r="1774">
      <c r="R1774" s="7" t="str">
        <f>IF(H1774="","",VLOOKUP(H1774,'Hoja 9'!$A$1:$B$255,2,0))</f>
        <v/>
      </c>
      <c r="S1774" s="7" t="str">
        <f t="shared" si="3"/>
        <v/>
      </c>
      <c r="T1774" s="7" t="str">
        <f t="shared" si="4"/>
        <v/>
      </c>
    </row>
    <row r="1775">
      <c r="R1775" s="7" t="str">
        <f>IF(H1775="","",VLOOKUP(H1775,'Hoja 9'!$A$1:$B$255,2,0))</f>
        <v/>
      </c>
      <c r="S1775" s="7" t="str">
        <f t="shared" si="3"/>
        <v/>
      </c>
      <c r="T1775" s="7" t="str">
        <f t="shared" si="4"/>
        <v/>
      </c>
    </row>
    <row r="1776">
      <c r="R1776" s="7" t="str">
        <f>IF(H1776="","",VLOOKUP(H1776,'Hoja 9'!$A$1:$B$255,2,0))</f>
        <v/>
      </c>
      <c r="S1776" s="7" t="str">
        <f t="shared" si="3"/>
        <v/>
      </c>
      <c r="T1776" s="7" t="str">
        <f t="shared" si="4"/>
        <v/>
      </c>
    </row>
    <row r="1777">
      <c r="R1777" s="7" t="str">
        <f>IF(H1777="","",VLOOKUP(H1777,'Hoja 9'!$A$1:$B$255,2,0))</f>
        <v/>
      </c>
      <c r="S1777" s="7" t="str">
        <f t="shared" si="3"/>
        <v/>
      </c>
      <c r="T1777" s="7" t="str">
        <f t="shared" si="4"/>
        <v/>
      </c>
    </row>
    <row r="1778">
      <c r="R1778" s="7" t="str">
        <f>IF(H1778="","",VLOOKUP(H1778,'Hoja 9'!$A$1:$B$255,2,0))</f>
        <v/>
      </c>
      <c r="S1778" s="7" t="str">
        <f t="shared" si="3"/>
        <v/>
      </c>
      <c r="T1778" s="7" t="str">
        <f t="shared" si="4"/>
        <v/>
      </c>
    </row>
    <row r="1779">
      <c r="R1779" s="7" t="str">
        <f>IF(H1779="","",VLOOKUP(H1779,'Hoja 9'!$A$1:$B$255,2,0))</f>
        <v/>
      </c>
      <c r="S1779" s="7" t="str">
        <f t="shared" si="3"/>
        <v/>
      </c>
      <c r="T1779" s="7" t="str">
        <f t="shared" si="4"/>
        <v/>
      </c>
    </row>
    <row r="1780">
      <c r="R1780" s="7" t="str">
        <f>IF(H1780="","",VLOOKUP(H1780,'Hoja 9'!$A$1:$B$255,2,0))</f>
        <v/>
      </c>
      <c r="S1780" s="7" t="str">
        <f t="shared" si="3"/>
        <v/>
      </c>
      <c r="T1780" s="7" t="str">
        <f t="shared" si="4"/>
        <v/>
      </c>
    </row>
    <row r="1781">
      <c r="R1781" s="7" t="str">
        <f>IF(H1781="","",VLOOKUP(H1781,'Hoja 9'!$A$1:$B$255,2,0))</f>
        <v/>
      </c>
      <c r="S1781" s="7" t="str">
        <f t="shared" si="3"/>
        <v/>
      </c>
      <c r="T1781" s="7" t="str">
        <f t="shared" si="4"/>
        <v/>
      </c>
    </row>
    <row r="1782">
      <c r="R1782" s="7" t="str">
        <f>IF(H1782="","",VLOOKUP(H1782,'Hoja 9'!$A$1:$B$255,2,0))</f>
        <v/>
      </c>
      <c r="S1782" s="7" t="str">
        <f t="shared" si="3"/>
        <v/>
      </c>
      <c r="T1782" s="7" t="str">
        <f t="shared" si="4"/>
        <v/>
      </c>
    </row>
    <row r="1783">
      <c r="R1783" s="7" t="str">
        <f>IF(H1783="","",VLOOKUP(H1783,'Hoja 9'!$A$1:$B$255,2,0))</f>
        <v/>
      </c>
      <c r="S1783" s="7" t="str">
        <f t="shared" si="3"/>
        <v/>
      </c>
      <c r="T1783" s="7" t="str">
        <f t="shared" si="4"/>
        <v/>
      </c>
    </row>
    <row r="1784">
      <c r="R1784" s="7" t="str">
        <f>IF(H1784="","",VLOOKUP(H1784,'Hoja 9'!$A$1:$B$255,2,0))</f>
        <v/>
      </c>
      <c r="S1784" s="7" t="str">
        <f t="shared" si="3"/>
        <v/>
      </c>
      <c r="T1784" s="7" t="str">
        <f t="shared" si="4"/>
        <v/>
      </c>
    </row>
    <row r="1785">
      <c r="R1785" s="7" t="str">
        <f>IF(H1785="","",VLOOKUP(H1785,'Hoja 9'!$A$1:$B$255,2,0))</f>
        <v/>
      </c>
      <c r="S1785" s="7" t="str">
        <f t="shared" si="3"/>
        <v/>
      </c>
      <c r="T1785" s="7" t="str">
        <f t="shared" si="4"/>
        <v/>
      </c>
    </row>
    <row r="1786">
      <c r="R1786" s="7" t="str">
        <f>IF(H1786="","",VLOOKUP(H1786,'Hoja 9'!$A$1:$B$255,2,0))</f>
        <v/>
      </c>
      <c r="S1786" s="7" t="str">
        <f t="shared" si="3"/>
        <v/>
      </c>
      <c r="T1786" s="7" t="str">
        <f t="shared" si="4"/>
        <v/>
      </c>
    </row>
    <row r="1787">
      <c r="R1787" s="7" t="str">
        <f>IF(H1787="","",VLOOKUP(H1787,'Hoja 9'!$A$1:$B$255,2,0))</f>
        <v/>
      </c>
      <c r="S1787" s="7" t="str">
        <f t="shared" si="3"/>
        <v/>
      </c>
      <c r="T1787" s="7" t="str">
        <f t="shared" si="4"/>
        <v/>
      </c>
    </row>
    <row r="1788">
      <c r="R1788" s="7" t="str">
        <f>IF(H1788="","",VLOOKUP(H1788,'Hoja 9'!$A$1:$B$255,2,0))</f>
        <v/>
      </c>
      <c r="S1788" s="7" t="str">
        <f t="shared" si="3"/>
        <v/>
      </c>
      <c r="T1788" s="7" t="str">
        <f t="shared" si="4"/>
        <v/>
      </c>
    </row>
    <row r="1789">
      <c r="R1789" s="7" t="str">
        <f>IF(H1789="","",VLOOKUP(H1789,'Hoja 9'!$A$1:$B$255,2,0))</f>
        <v/>
      </c>
      <c r="S1789" s="7" t="str">
        <f t="shared" si="3"/>
        <v/>
      </c>
      <c r="T1789" s="7" t="str">
        <f t="shared" si="4"/>
        <v/>
      </c>
    </row>
    <row r="1790">
      <c r="R1790" s="7" t="str">
        <f>IF(H1790="","",VLOOKUP(H1790,'Hoja 9'!$A$1:$B$255,2,0))</f>
        <v/>
      </c>
      <c r="S1790" s="7" t="str">
        <f t="shared" si="3"/>
        <v/>
      </c>
      <c r="T1790" s="7" t="str">
        <f t="shared" si="4"/>
        <v/>
      </c>
    </row>
    <row r="1791">
      <c r="R1791" s="7" t="str">
        <f>IF(H1791="","",VLOOKUP(H1791,'Hoja 9'!$A$1:$B$255,2,0))</f>
        <v/>
      </c>
      <c r="S1791" s="7" t="str">
        <f t="shared" si="3"/>
        <v/>
      </c>
      <c r="T1791" s="7" t="str">
        <f t="shared" si="4"/>
        <v/>
      </c>
    </row>
    <row r="1792">
      <c r="R1792" s="7" t="str">
        <f>IF(H1792="","",VLOOKUP(H1792,'Hoja 9'!$A$1:$B$255,2,0))</f>
        <v/>
      </c>
      <c r="S1792" s="7" t="str">
        <f t="shared" si="3"/>
        <v/>
      </c>
      <c r="T1792" s="7" t="str">
        <f t="shared" si="4"/>
        <v/>
      </c>
    </row>
    <row r="1793">
      <c r="R1793" s="7" t="str">
        <f>IF(H1793="","",VLOOKUP(H1793,'Hoja 9'!$A$1:$B$255,2,0))</f>
        <v/>
      </c>
      <c r="S1793" s="7" t="str">
        <f t="shared" si="3"/>
        <v/>
      </c>
      <c r="T1793" s="7" t="str">
        <f t="shared" si="4"/>
        <v/>
      </c>
    </row>
    <row r="1794">
      <c r="R1794" s="7" t="str">
        <f>IF(H1794="","",VLOOKUP(H1794,'Hoja 9'!$A$1:$B$255,2,0))</f>
        <v/>
      </c>
      <c r="S1794" s="7" t="str">
        <f t="shared" si="3"/>
        <v/>
      </c>
      <c r="T1794" s="7" t="str">
        <f t="shared" si="4"/>
        <v/>
      </c>
    </row>
    <row r="1795">
      <c r="R1795" s="7" t="str">
        <f>IF(H1795="","",VLOOKUP(H1795,'Hoja 9'!$A$1:$B$255,2,0))</f>
        <v/>
      </c>
      <c r="S1795" s="7" t="str">
        <f t="shared" si="3"/>
        <v/>
      </c>
      <c r="T1795" s="7" t="str">
        <f t="shared" si="4"/>
        <v/>
      </c>
    </row>
    <row r="1796">
      <c r="R1796" s="7" t="str">
        <f>IF(H1796="","",VLOOKUP(H1796,'Hoja 9'!$A$1:$B$255,2,0))</f>
        <v/>
      </c>
      <c r="S1796" s="7" t="str">
        <f t="shared" si="3"/>
        <v/>
      </c>
      <c r="T1796" s="7" t="str">
        <f t="shared" si="4"/>
        <v/>
      </c>
    </row>
    <row r="1797">
      <c r="R1797" s="7" t="str">
        <f>IF(H1797="","",VLOOKUP(H1797,'Hoja 9'!$A$1:$B$255,2,0))</f>
        <v/>
      </c>
      <c r="S1797" s="7" t="str">
        <f t="shared" si="3"/>
        <v/>
      </c>
      <c r="T1797" s="7" t="str">
        <f t="shared" si="4"/>
        <v/>
      </c>
    </row>
    <row r="1798">
      <c r="R1798" s="7" t="str">
        <f>IF(H1798="","",VLOOKUP(H1798,'Hoja 9'!$A$1:$B$255,2,0))</f>
        <v/>
      </c>
      <c r="S1798" s="7" t="str">
        <f t="shared" si="3"/>
        <v/>
      </c>
      <c r="T1798" s="7" t="str">
        <f t="shared" si="4"/>
        <v/>
      </c>
    </row>
    <row r="1799">
      <c r="R1799" s="7" t="str">
        <f>IF(H1799="","",VLOOKUP(H1799,'Hoja 9'!$A$1:$B$255,2,0))</f>
        <v/>
      </c>
      <c r="S1799" s="7" t="str">
        <f t="shared" si="3"/>
        <v/>
      </c>
      <c r="T1799" s="7" t="str">
        <f t="shared" si="4"/>
        <v/>
      </c>
    </row>
    <row r="1800">
      <c r="R1800" s="7" t="str">
        <f>IF(H1800="","",VLOOKUP(H1800,'Hoja 9'!$A$1:$B$255,2,0))</f>
        <v/>
      </c>
      <c r="S1800" s="7" t="str">
        <f t="shared" si="3"/>
        <v/>
      </c>
      <c r="T1800" s="7" t="str">
        <f t="shared" si="4"/>
        <v/>
      </c>
    </row>
    <row r="1801">
      <c r="R1801" s="7" t="str">
        <f>IF(H1801="","",VLOOKUP(H1801,'Hoja 9'!$A$1:$B$255,2,0))</f>
        <v/>
      </c>
      <c r="S1801" s="7" t="str">
        <f t="shared" si="3"/>
        <v/>
      </c>
      <c r="T1801" s="7" t="str">
        <f t="shared" si="4"/>
        <v/>
      </c>
    </row>
    <row r="1802">
      <c r="R1802" s="7" t="str">
        <f>IF(H1802="","",VLOOKUP(H1802,'Hoja 9'!$A$1:$B$255,2,0))</f>
        <v/>
      </c>
      <c r="S1802" s="7" t="str">
        <f t="shared" si="3"/>
        <v/>
      </c>
      <c r="T1802" s="7" t="str">
        <f t="shared" si="4"/>
        <v/>
      </c>
    </row>
    <row r="1803">
      <c r="R1803" s="7" t="str">
        <f>IF(H1803="","",VLOOKUP(H1803,'Hoja 9'!$A$1:$B$255,2,0))</f>
        <v/>
      </c>
      <c r="S1803" s="7" t="str">
        <f t="shared" si="3"/>
        <v/>
      </c>
      <c r="T1803" s="7" t="str">
        <f t="shared" si="4"/>
        <v/>
      </c>
    </row>
    <row r="1804">
      <c r="R1804" s="7" t="str">
        <f>IF(H1804="","",VLOOKUP(H1804,'Hoja 9'!$A$1:$B$255,2,0))</f>
        <v/>
      </c>
      <c r="S1804" s="7" t="str">
        <f t="shared" si="3"/>
        <v/>
      </c>
      <c r="T1804" s="7" t="str">
        <f t="shared" si="4"/>
        <v/>
      </c>
    </row>
    <row r="1805">
      <c r="R1805" s="7" t="str">
        <f>IF(H1805="","",VLOOKUP(H1805,'Hoja 9'!$A$1:$B$255,2,0))</f>
        <v/>
      </c>
      <c r="S1805" s="7" t="str">
        <f t="shared" si="3"/>
        <v/>
      </c>
      <c r="T1805" s="7" t="str">
        <f t="shared" si="4"/>
        <v/>
      </c>
    </row>
    <row r="1806">
      <c r="R1806" s="7" t="str">
        <f>IF(H1806="","",VLOOKUP(H1806,'Hoja 9'!$A$1:$B$255,2,0))</f>
        <v/>
      </c>
      <c r="S1806" s="7" t="str">
        <f t="shared" si="3"/>
        <v/>
      </c>
      <c r="T1806" s="7" t="str">
        <f t="shared" si="4"/>
        <v/>
      </c>
    </row>
    <row r="1807">
      <c r="R1807" s="7" t="str">
        <f>IF(H1807="","",VLOOKUP(H1807,'Hoja 9'!$A$1:$B$255,2,0))</f>
        <v/>
      </c>
      <c r="S1807" s="7" t="str">
        <f t="shared" si="3"/>
        <v/>
      </c>
      <c r="T1807" s="7" t="str">
        <f t="shared" si="4"/>
        <v/>
      </c>
    </row>
    <row r="1808">
      <c r="R1808" s="7" t="str">
        <f>IF(H1808="","",VLOOKUP(H1808,'Hoja 9'!$A$1:$B$255,2,0))</f>
        <v/>
      </c>
      <c r="S1808" s="7" t="str">
        <f t="shared" si="3"/>
        <v/>
      </c>
      <c r="T1808" s="7" t="str">
        <f t="shared" si="4"/>
        <v/>
      </c>
    </row>
    <row r="1809">
      <c r="R1809" s="7" t="str">
        <f>IF(H1809="","",VLOOKUP(H1809,'Hoja 9'!$A$1:$B$255,2,0))</f>
        <v/>
      </c>
      <c r="S1809" s="7" t="str">
        <f t="shared" si="3"/>
        <v/>
      </c>
      <c r="T1809" s="7" t="str">
        <f t="shared" si="4"/>
        <v/>
      </c>
    </row>
    <row r="1810">
      <c r="R1810" s="7" t="str">
        <f>IF(H1810="","",VLOOKUP(H1810,'Hoja 9'!$A$1:$B$255,2,0))</f>
        <v/>
      </c>
      <c r="S1810" s="7" t="str">
        <f t="shared" si="3"/>
        <v/>
      </c>
      <c r="T1810" s="7" t="str">
        <f t="shared" si="4"/>
        <v/>
      </c>
    </row>
    <row r="1811">
      <c r="R1811" s="7" t="str">
        <f>IF(H1811="","",VLOOKUP(H1811,'Hoja 9'!$A$1:$B$255,2,0))</f>
        <v/>
      </c>
      <c r="S1811" s="7" t="str">
        <f t="shared" si="3"/>
        <v/>
      </c>
      <c r="T1811" s="7" t="str">
        <f t="shared" si="4"/>
        <v/>
      </c>
    </row>
    <row r="1812">
      <c r="R1812" s="7" t="str">
        <f>IF(H1812="","",VLOOKUP(H1812,'Hoja 9'!$A$1:$B$255,2,0))</f>
        <v/>
      </c>
      <c r="S1812" s="7" t="str">
        <f t="shared" si="3"/>
        <v/>
      </c>
      <c r="T1812" s="7" t="str">
        <f t="shared" si="4"/>
        <v/>
      </c>
    </row>
    <row r="1813">
      <c r="R1813" s="7" t="str">
        <f>IF(H1813="","",VLOOKUP(H1813,'Hoja 9'!$A$1:$B$255,2,0))</f>
        <v/>
      </c>
      <c r="S1813" s="7" t="str">
        <f t="shared" si="3"/>
        <v/>
      </c>
      <c r="T1813" s="7" t="str">
        <f t="shared" si="4"/>
        <v/>
      </c>
    </row>
    <row r="1814">
      <c r="R1814" s="7" t="str">
        <f>IF(H1814="","",VLOOKUP(H1814,'Hoja 9'!$A$1:$B$255,2,0))</f>
        <v/>
      </c>
      <c r="S1814" s="7" t="str">
        <f t="shared" si="3"/>
        <v/>
      </c>
      <c r="T1814" s="7" t="str">
        <f t="shared" si="4"/>
        <v/>
      </c>
    </row>
    <row r="1815">
      <c r="R1815" s="7" t="str">
        <f>IF(H1815="","",VLOOKUP(H1815,'Hoja 9'!$A$1:$B$255,2,0))</f>
        <v/>
      </c>
      <c r="S1815" s="7" t="str">
        <f t="shared" si="3"/>
        <v/>
      </c>
      <c r="T1815" s="7" t="str">
        <f t="shared" si="4"/>
        <v/>
      </c>
    </row>
    <row r="1816">
      <c r="R1816" s="7" t="str">
        <f>IF(H1816="","",VLOOKUP(H1816,'Hoja 9'!$A$1:$B$255,2,0))</f>
        <v/>
      </c>
      <c r="S1816" s="7" t="str">
        <f t="shared" si="3"/>
        <v/>
      </c>
      <c r="T1816" s="7" t="str">
        <f t="shared" si="4"/>
        <v/>
      </c>
    </row>
    <row r="1817">
      <c r="R1817" s="7" t="str">
        <f>IF(H1817="","",VLOOKUP(H1817,'Hoja 9'!$A$1:$B$255,2,0))</f>
        <v/>
      </c>
      <c r="S1817" s="7" t="str">
        <f t="shared" si="3"/>
        <v/>
      </c>
      <c r="T1817" s="7" t="str">
        <f t="shared" si="4"/>
        <v/>
      </c>
    </row>
    <row r="1818">
      <c r="R1818" s="7" t="str">
        <f>IF(H1818="","",VLOOKUP(H1818,'Hoja 9'!$A$1:$B$255,2,0))</f>
        <v/>
      </c>
      <c r="S1818" s="7" t="str">
        <f t="shared" si="3"/>
        <v/>
      </c>
      <c r="T1818" s="7" t="str">
        <f t="shared" si="4"/>
        <v/>
      </c>
    </row>
    <row r="1819">
      <c r="R1819" s="7" t="str">
        <f>IF(H1819="","",VLOOKUP(H1819,'Hoja 9'!$A$1:$B$255,2,0))</f>
        <v/>
      </c>
      <c r="S1819" s="7" t="str">
        <f t="shared" si="3"/>
        <v/>
      </c>
      <c r="T1819" s="7" t="str">
        <f t="shared" si="4"/>
        <v/>
      </c>
    </row>
    <row r="1820">
      <c r="R1820" s="7" t="str">
        <f>IF(H1820="","",VLOOKUP(H1820,'Hoja 9'!$A$1:$B$255,2,0))</f>
        <v/>
      </c>
      <c r="S1820" s="7" t="str">
        <f t="shared" si="3"/>
        <v/>
      </c>
      <c r="T1820" s="7" t="str">
        <f t="shared" si="4"/>
        <v/>
      </c>
    </row>
    <row r="1821">
      <c r="R1821" s="7" t="str">
        <f>IF(H1821="","",VLOOKUP(H1821,'Hoja 9'!$A$1:$B$255,2,0))</f>
        <v/>
      </c>
      <c r="S1821" s="7" t="str">
        <f t="shared" si="3"/>
        <v/>
      </c>
      <c r="T1821" s="7" t="str">
        <f t="shared" si="4"/>
        <v/>
      </c>
    </row>
    <row r="1822">
      <c r="R1822" s="7" t="str">
        <f>IF(H1822="","",VLOOKUP(H1822,'Hoja 9'!$A$1:$B$255,2,0))</f>
        <v/>
      </c>
      <c r="S1822" s="7" t="str">
        <f t="shared" si="3"/>
        <v/>
      </c>
      <c r="T1822" s="7" t="str">
        <f t="shared" si="4"/>
        <v/>
      </c>
    </row>
    <row r="1823">
      <c r="R1823" s="7" t="str">
        <f>IF(H1823="","",VLOOKUP(H1823,'Hoja 9'!$A$1:$B$255,2,0))</f>
        <v/>
      </c>
      <c r="S1823" s="7" t="str">
        <f t="shared" si="3"/>
        <v/>
      </c>
      <c r="T1823" s="7" t="str">
        <f t="shared" si="4"/>
        <v/>
      </c>
    </row>
    <row r="1824">
      <c r="R1824" s="7" t="str">
        <f>IF(H1824="","",VLOOKUP(H1824,'Hoja 9'!$A$1:$B$255,2,0))</f>
        <v/>
      </c>
      <c r="S1824" s="7" t="str">
        <f t="shared" si="3"/>
        <v/>
      </c>
      <c r="T1824" s="7" t="str">
        <f t="shared" si="4"/>
        <v/>
      </c>
    </row>
    <row r="1825">
      <c r="R1825" s="7" t="str">
        <f>IF(H1825="","",VLOOKUP(H1825,'Hoja 9'!$A$1:$B$255,2,0))</f>
        <v/>
      </c>
      <c r="S1825" s="7" t="str">
        <f t="shared" si="3"/>
        <v/>
      </c>
      <c r="T1825" s="7" t="str">
        <f t="shared" si="4"/>
        <v/>
      </c>
    </row>
    <row r="1826">
      <c r="R1826" s="7" t="str">
        <f>IF(H1826="","",VLOOKUP(H1826,'Hoja 9'!$A$1:$B$255,2,0))</f>
        <v/>
      </c>
      <c r="S1826" s="7" t="str">
        <f t="shared" si="3"/>
        <v/>
      </c>
      <c r="T1826" s="7" t="str">
        <f t="shared" si="4"/>
        <v/>
      </c>
    </row>
    <row r="1827">
      <c r="R1827" s="7" t="str">
        <f>IF(H1827="","",VLOOKUP(H1827,'Hoja 9'!$A$1:$B$255,2,0))</f>
        <v/>
      </c>
      <c r="S1827" s="7" t="str">
        <f t="shared" si="3"/>
        <v/>
      </c>
      <c r="T1827" s="7" t="str">
        <f t="shared" si="4"/>
        <v/>
      </c>
    </row>
    <row r="1828">
      <c r="R1828" s="7" t="str">
        <f>IF(H1828="","",VLOOKUP(H1828,'Hoja 9'!$A$1:$B$255,2,0))</f>
        <v/>
      </c>
      <c r="S1828" s="7" t="str">
        <f t="shared" si="3"/>
        <v/>
      </c>
      <c r="T1828" s="7" t="str">
        <f t="shared" si="4"/>
        <v/>
      </c>
    </row>
    <row r="1829">
      <c r="R1829" s="7" t="str">
        <f>IF(H1829="","",VLOOKUP(H1829,'Hoja 9'!$A$1:$B$255,2,0))</f>
        <v/>
      </c>
      <c r="S1829" s="7" t="str">
        <f t="shared" si="3"/>
        <v/>
      </c>
      <c r="T1829" s="7" t="str">
        <f t="shared" si="4"/>
        <v/>
      </c>
    </row>
    <row r="1830">
      <c r="R1830" s="7" t="str">
        <f>IF(H1830="","",VLOOKUP(H1830,'Hoja 9'!$A$1:$B$255,2,0))</f>
        <v/>
      </c>
      <c r="S1830" s="7" t="str">
        <f t="shared" si="3"/>
        <v/>
      </c>
      <c r="T1830" s="7" t="str">
        <f t="shared" si="4"/>
        <v/>
      </c>
    </row>
    <row r="1831">
      <c r="R1831" s="7" t="str">
        <f>IF(H1831="","",VLOOKUP(H1831,'Hoja 9'!$A$1:$B$255,2,0))</f>
        <v/>
      </c>
      <c r="S1831" s="7" t="str">
        <f t="shared" si="3"/>
        <v/>
      </c>
      <c r="T1831" s="7" t="str">
        <f t="shared" si="4"/>
        <v/>
      </c>
    </row>
    <row r="1832">
      <c r="R1832" s="7" t="str">
        <f>IF(H1832="","",VLOOKUP(H1832,'Hoja 9'!$A$1:$B$255,2,0))</f>
        <v/>
      </c>
      <c r="S1832" s="7" t="str">
        <f t="shared" si="3"/>
        <v/>
      </c>
      <c r="T1832" s="7" t="str">
        <f t="shared" si="4"/>
        <v/>
      </c>
    </row>
    <row r="1833">
      <c r="R1833" s="7" t="str">
        <f>IF(H1833="","",VLOOKUP(H1833,'Hoja 9'!$A$1:$B$255,2,0))</f>
        <v/>
      </c>
      <c r="S1833" s="7" t="str">
        <f t="shared" si="3"/>
        <v/>
      </c>
      <c r="T1833" s="7" t="str">
        <f t="shared" si="4"/>
        <v/>
      </c>
    </row>
    <row r="1834">
      <c r="R1834" s="7" t="str">
        <f>IF(H1834="","",VLOOKUP(H1834,'Hoja 9'!$A$1:$B$255,2,0))</f>
        <v/>
      </c>
      <c r="S1834" s="7" t="str">
        <f t="shared" si="3"/>
        <v/>
      </c>
      <c r="T1834" s="7" t="str">
        <f t="shared" si="4"/>
        <v/>
      </c>
    </row>
    <row r="1835">
      <c r="R1835" s="7" t="str">
        <f>IF(H1835="","",VLOOKUP(H1835,'Hoja 9'!$A$1:$B$255,2,0))</f>
        <v/>
      </c>
      <c r="S1835" s="7" t="str">
        <f t="shared" si="3"/>
        <v/>
      </c>
      <c r="T1835" s="7" t="str">
        <f t="shared" si="4"/>
        <v/>
      </c>
    </row>
    <row r="1836">
      <c r="R1836" s="7" t="str">
        <f>IF(H1836="","",VLOOKUP(H1836,'Hoja 9'!$A$1:$B$255,2,0))</f>
        <v/>
      </c>
      <c r="S1836" s="7" t="str">
        <f t="shared" si="3"/>
        <v/>
      </c>
      <c r="T1836" s="7" t="str">
        <f t="shared" si="4"/>
        <v/>
      </c>
    </row>
    <row r="1837">
      <c r="R1837" s="7" t="str">
        <f>IF(H1837="","",VLOOKUP(H1837,'Hoja 9'!$A$1:$B$255,2,0))</f>
        <v/>
      </c>
      <c r="S1837" s="7" t="str">
        <f t="shared" si="3"/>
        <v/>
      </c>
      <c r="T1837" s="7" t="str">
        <f t="shared" si="4"/>
        <v/>
      </c>
    </row>
    <row r="1838">
      <c r="R1838" s="7" t="str">
        <f>IF(H1838="","",VLOOKUP(H1838,'Hoja 9'!$A$1:$B$255,2,0))</f>
        <v/>
      </c>
      <c r="S1838" s="7" t="str">
        <f t="shared" si="3"/>
        <v/>
      </c>
      <c r="T1838" s="7" t="str">
        <f t="shared" si="4"/>
        <v/>
      </c>
    </row>
    <row r="1839">
      <c r="R1839" s="7" t="str">
        <f>IF(H1839="","",VLOOKUP(H1839,'Hoja 9'!$A$1:$B$255,2,0))</f>
        <v/>
      </c>
      <c r="S1839" s="7" t="str">
        <f t="shared" si="3"/>
        <v/>
      </c>
      <c r="T1839" s="7" t="str">
        <f t="shared" si="4"/>
        <v/>
      </c>
    </row>
    <row r="1840">
      <c r="R1840" s="7" t="str">
        <f>IF(H1840="","",VLOOKUP(H1840,'Hoja 9'!$A$1:$B$255,2,0))</f>
        <v/>
      </c>
      <c r="S1840" s="7" t="str">
        <f t="shared" si="3"/>
        <v/>
      </c>
      <c r="T1840" s="7" t="str">
        <f t="shared" si="4"/>
        <v/>
      </c>
    </row>
    <row r="1841">
      <c r="R1841" s="7" t="str">
        <f>IF(H1841="","",VLOOKUP(H1841,'Hoja 9'!$A$1:$B$255,2,0))</f>
        <v/>
      </c>
      <c r="S1841" s="7" t="str">
        <f t="shared" si="3"/>
        <v/>
      </c>
      <c r="T1841" s="7" t="str">
        <f t="shared" si="4"/>
        <v/>
      </c>
    </row>
    <row r="1842">
      <c r="R1842" s="7" t="str">
        <f>IF(H1842="","",VLOOKUP(H1842,'Hoja 9'!$A$1:$B$255,2,0))</f>
        <v/>
      </c>
      <c r="S1842" s="7" t="str">
        <f t="shared" si="3"/>
        <v/>
      </c>
      <c r="T1842" s="7" t="str">
        <f t="shared" si="4"/>
        <v/>
      </c>
    </row>
    <row r="1843">
      <c r="R1843" s="7" t="str">
        <f>IF(H1843="","",VLOOKUP(H1843,'Hoja 9'!$A$1:$B$255,2,0))</f>
        <v/>
      </c>
      <c r="S1843" s="7" t="str">
        <f t="shared" si="3"/>
        <v/>
      </c>
      <c r="T1843" s="7" t="str">
        <f t="shared" si="4"/>
        <v/>
      </c>
    </row>
    <row r="1844">
      <c r="R1844" s="7" t="str">
        <f>IF(H1844="","",VLOOKUP(H1844,'Hoja 9'!$A$1:$B$255,2,0))</f>
        <v/>
      </c>
      <c r="S1844" s="7" t="str">
        <f t="shared" si="3"/>
        <v/>
      </c>
      <c r="T1844" s="7" t="str">
        <f t="shared" si="4"/>
        <v/>
      </c>
    </row>
    <row r="1845">
      <c r="R1845" s="7" t="str">
        <f>IF(H1845="","",VLOOKUP(H1845,'Hoja 9'!$A$1:$B$255,2,0))</f>
        <v/>
      </c>
      <c r="S1845" s="7" t="str">
        <f t="shared" si="3"/>
        <v/>
      </c>
      <c r="T1845" s="7" t="str">
        <f t="shared" si="4"/>
        <v/>
      </c>
    </row>
    <row r="1846">
      <c r="R1846" s="7" t="str">
        <f>IF(H1846="","",VLOOKUP(H1846,'Hoja 9'!$A$1:$B$255,2,0))</f>
        <v/>
      </c>
      <c r="S1846" s="7" t="str">
        <f t="shared" si="3"/>
        <v/>
      </c>
      <c r="T1846" s="7" t="str">
        <f t="shared" si="4"/>
        <v/>
      </c>
    </row>
    <row r="1847">
      <c r="R1847" s="7" t="str">
        <f>IF(H1847="","",VLOOKUP(H1847,'Hoja 9'!$A$1:$B$255,2,0))</f>
        <v/>
      </c>
      <c r="S1847" s="7" t="str">
        <f t="shared" si="3"/>
        <v/>
      </c>
      <c r="T1847" s="7" t="str">
        <f t="shared" si="4"/>
        <v/>
      </c>
    </row>
    <row r="1848">
      <c r="R1848" s="7" t="str">
        <f>IF(H1848="","",VLOOKUP(H1848,'Hoja 9'!$A$1:$B$255,2,0))</f>
        <v/>
      </c>
      <c r="S1848" s="7" t="str">
        <f t="shared" si="3"/>
        <v/>
      </c>
      <c r="T1848" s="7" t="str">
        <f t="shared" si="4"/>
        <v/>
      </c>
    </row>
    <row r="1849">
      <c r="R1849" s="7" t="str">
        <f>IF(H1849="","",VLOOKUP(H1849,'Hoja 9'!$A$1:$B$255,2,0))</f>
        <v/>
      </c>
      <c r="S1849" s="7" t="str">
        <f t="shared" si="3"/>
        <v/>
      </c>
      <c r="T1849" s="7" t="str">
        <f t="shared" si="4"/>
        <v/>
      </c>
    </row>
    <row r="1850">
      <c r="R1850" s="7" t="str">
        <f>IF(H1850="","",VLOOKUP(H1850,'Hoja 9'!$A$1:$B$255,2,0))</f>
        <v/>
      </c>
      <c r="S1850" s="7" t="str">
        <f t="shared" si="3"/>
        <v/>
      </c>
      <c r="T1850" s="7" t="str">
        <f t="shared" si="4"/>
        <v/>
      </c>
    </row>
    <row r="1851">
      <c r="R1851" s="7" t="str">
        <f>IF(H1851="","",VLOOKUP(H1851,'Hoja 9'!$A$1:$B$255,2,0))</f>
        <v/>
      </c>
      <c r="S1851" s="7" t="str">
        <f t="shared" si="3"/>
        <v/>
      </c>
      <c r="T1851" s="7" t="str">
        <f t="shared" si="4"/>
        <v/>
      </c>
    </row>
    <row r="1852">
      <c r="R1852" s="7" t="str">
        <f>IF(H1852="","",VLOOKUP(H1852,'Hoja 9'!$A$1:$B$255,2,0))</f>
        <v/>
      </c>
      <c r="S1852" s="7" t="str">
        <f t="shared" si="3"/>
        <v/>
      </c>
      <c r="T1852" s="7" t="str">
        <f t="shared" si="4"/>
        <v/>
      </c>
    </row>
    <row r="1853">
      <c r="R1853" s="7" t="str">
        <f>IF(H1853="","",VLOOKUP(H1853,'Hoja 9'!$A$1:$B$255,2,0))</f>
        <v/>
      </c>
      <c r="S1853" s="7" t="str">
        <f t="shared" si="3"/>
        <v/>
      </c>
      <c r="T1853" s="7" t="str">
        <f t="shared" si="4"/>
        <v/>
      </c>
    </row>
    <row r="1854">
      <c r="R1854" s="7" t="str">
        <f>IF(H1854="","",VLOOKUP(H1854,'Hoja 9'!$A$1:$B$255,2,0))</f>
        <v/>
      </c>
      <c r="S1854" s="7" t="str">
        <f t="shared" si="3"/>
        <v/>
      </c>
      <c r="T1854" s="7" t="str">
        <f t="shared" si="4"/>
        <v/>
      </c>
    </row>
    <row r="1855">
      <c r="R1855" s="7" t="str">
        <f>IF(H1855="","",VLOOKUP(H1855,'Hoja 9'!$A$1:$B$255,2,0))</f>
        <v/>
      </c>
      <c r="S1855" s="7" t="str">
        <f t="shared" si="3"/>
        <v/>
      </c>
      <c r="T1855" s="7" t="str">
        <f t="shared" si="4"/>
        <v/>
      </c>
    </row>
    <row r="1856">
      <c r="R1856" s="7" t="str">
        <f>IF(H1856="","",VLOOKUP(H1856,'Hoja 9'!$A$1:$B$255,2,0))</f>
        <v/>
      </c>
      <c r="S1856" s="7" t="str">
        <f t="shared" si="3"/>
        <v/>
      </c>
      <c r="T1856" s="7" t="str">
        <f t="shared" si="4"/>
        <v/>
      </c>
    </row>
    <row r="1857">
      <c r="R1857" s="7" t="str">
        <f>IF(H1857="","",VLOOKUP(H1857,'Hoja 9'!$A$1:$B$255,2,0))</f>
        <v/>
      </c>
      <c r="S1857" s="7" t="str">
        <f t="shared" si="3"/>
        <v/>
      </c>
      <c r="T1857" s="7" t="str">
        <f t="shared" si="4"/>
        <v/>
      </c>
    </row>
    <row r="1858">
      <c r="R1858" s="7" t="str">
        <f>IF(H1858="","",VLOOKUP(H1858,'Hoja 9'!$A$1:$B$255,2,0))</f>
        <v/>
      </c>
      <c r="S1858" s="7" t="str">
        <f t="shared" si="3"/>
        <v/>
      </c>
      <c r="T1858" s="7" t="str">
        <f t="shared" si="4"/>
        <v/>
      </c>
    </row>
    <row r="1859">
      <c r="R1859" s="7" t="str">
        <f>IF(H1859="","",VLOOKUP(H1859,'Hoja 9'!$A$1:$B$255,2,0))</f>
        <v/>
      </c>
      <c r="S1859" s="7" t="str">
        <f t="shared" si="3"/>
        <v/>
      </c>
      <c r="T1859" s="7" t="str">
        <f t="shared" si="4"/>
        <v/>
      </c>
    </row>
    <row r="1860">
      <c r="R1860" s="7" t="str">
        <f>IF(H1860="","",VLOOKUP(H1860,'Hoja 9'!$A$1:$B$255,2,0))</f>
        <v/>
      </c>
      <c r="S1860" s="7" t="str">
        <f t="shared" si="3"/>
        <v/>
      </c>
      <c r="T1860" s="7" t="str">
        <f t="shared" si="4"/>
        <v/>
      </c>
    </row>
    <row r="1861">
      <c r="R1861" s="7" t="str">
        <f>IF(H1861="","",VLOOKUP(H1861,'Hoja 9'!$A$1:$B$255,2,0))</f>
        <v/>
      </c>
      <c r="S1861" s="7" t="str">
        <f t="shared" si="3"/>
        <v/>
      </c>
      <c r="T1861" s="7" t="str">
        <f t="shared" si="4"/>
        <v/>
      </c>
    </row>
    <row r="1862">
      <c r="R1862" s="7" t="str">
        <f>IF(H1862="","",VLOOKUP(H1862,'Hoja 9'!$A$1:$B$255,2,0))</f>
        <v/>
      </c>
      <c r="S1862" s="7" t="str">
        <f t="shared" si="3"/>
        <v/>
      </c>
      <c r="T1862" s="7" t="str">
        <f t="shared" si="4"/>
        <v/>
      </c>
    </row>
    <row r="1863">
      <c r="R1863" s="7" t="str">
        <f>IF(H1863="","",VLOOKUP(H1863,'Hoja 9'!$A$1:$B$255,2,0))</f>
        <v/>
      </c>
      <c r="S1863" s="7" t="str">
        <f t="shared" si="3"/>
        <v/>
      </c>
      <c r="T1863" s="7" t="str">
        <f t="shared" si="4"/>
        <v/>
      </c>
    </row>
    <row r="1864">
      <c r="R1864" s="7" t="str">
        <f>IF(H1864="","",VLOOKUP(H1864,'Hoja 9'!$A$1:$B$255,2,0))</f>
        <v/>
      </c>
      <c r="S1864" s="7" t="str">
        <f t="shared" si="3"/>
        <v/>
      </c>
      <c r="T1864" s="7" t="str">
        <f t="shared" si="4"/>
        <v/>
      </c>
    </row>
    <row r="1865">
      <c r="R1865" s="7" t="str">
        <f>IF(H1865="","",VLOOKUP(H1865,'Hoja 9'!$A$1:$B$255,2,0))</f>
        <v/>
      </c>
      <c r="S1865" s="7" t="str">
        <f t="shared" si="3"/>
        <v/>
      </c>
      <c r="T1865" s="7" t="str">
        <f t="shared" si="4"/>
        <v/>
      </c>
    </row>
    <row r="1866">
      <c r="R1866" s="7" t="str">
        <f>IF(H1866="","",VLOOKUP(H1866,'Hoja 9'!$A$1:$B$255,2,0))</f>
        <v/>
      </c>
      <c r="S1866" s="7" t="str">
        <f t="shared" si="3"/>
        <v/>
      </c>
      <c r="T1866" s="7" t="str">
        <f t="shared" si="4"/>
        <v/>
      </c>
    </row>
    <row r="1867">
      <c r="R1867" s="7" t="str">
        <f>IF(H1867="","",VLOOKUP(H1867,'Hoja 9'!$A$1:$B$255,2,0))</f>
        <v/>
      </c>
      <c r="S1867" s="7" t="str">
        <f t="shared" si="3"/>
        <v/>
      </c>
      <c r="T1867" s="7" t="str">
        <f t="shared" si="4"/>
        <v/>
      </c>
    </row>
    <row r="1868">
      <c r="R1868" s="7" t="str">
        <f>IF(H1868="","",VLOOKUP(H1868,'Hoja 9'!$A$1:$B$255,2,0))</f>
        <v/>
      </c>
      <c r="S1868" s="7" t="str">
        <f t="shared" si="3"/>
        <v/>
      </c>
      <c r="T1868" s="7" t="str">
        <f t="shared" si="4"/>
        <v/>
      </c>
    </row>
    <row r="1869">
      <c r="R1869" s="7" t="str">
        <f>IF(H1869="","",VLOOKUP(H1869,'Hoja 9'!$A$1:$B$255,2,0))</f>
        <v/>
      </c>
      <c r="S1869" s="7" t="str">
        <f t="shared" si="3"/>
        <v/>
      </c>
      <c r="T1869" s="7" t="str">
        <f t="shared" si="4"/>
        <v/>
      </c>
    </row>
    <row r="1870">
      <c r="R1870" s="7" t="str">
        <f>IF(H1870="","",VLOOKUP(H1870,'Hoja 9'!$A$1:$B$255,2,0))</f>
        <v/>
      </c>
      <c r="S1870" s="7" t="str">
        <f t="shared" si="3"/>
        <v/>
      </c>
      <c r="T1870" s="7" t="str">
        <f t="shared" si="4"/>
        <v/>
      </c>
    </row>
    <row r="1871">
      <c r="R1871" s="7" t="str">
        <f>IF(H1871="","",VLOOKUP(H1871,'Hoja 9'!$A$1:$B$255,2,0))</f>
        <v/>
      </c>
      <c r="S1871" s="7" t="str">
        <f t="shared" si="3"/>
        <v/>
      </c>
      <c r="T1871" s="7" t="str">
        <f t="shared" si="4"/>
        <v/>
      </c>
    </row>
    <row r="1872">
      <c r="R1872" s="7" t="str">
        <f>IF(H1872="","",VLOOKUP(H1872,'Hoja 9'!$A$1:$B$255,2,0))</f>
        <v/>
      </c>
      <c r="S1872" s="7" t="str">
        <f t="shared" si="3"/>
        <v/>
      </c>
      <c r="T1872" s="7" t="str">
        <f t="shared" si="4"/>
        <v/>
      </c>
    </row>
    <row r="1873">
      <c r="R1873" s="7" t="str">
        <f>IF(H1873="","",VLOOKUP(H1873,'Hoja 9'!$A$1:$B$255,2,0))</f>
        <v/>
      </c>
      <c r="S1873" s="7" t="str">
        <f t="shared" si="3"/>
        <v/>
      </c>
      <c r="T1873" s="7" t="str">
        <f t="shared" si="4"/>
        <v/>
      </c>
    </row>
    <row r="1874">
      <c r="R1874" s="7" t="str">
        <f>IF(H1874="","",VLOOKUP(H1874,'Hoja 9'!$A$1:$B$255,2,0))</f>
        <v/>
      </c>
      <c r="S1874" s="7" t="str">
        <f t="shared" si="3"/>
        <v/>
      </c>
      <c r="T1874" s="7" t="str">
        <f t="shared" si="4"/>
        <v/>
      </c>
    </row>
    <row r="1875">
      <c r="R1875" s="7" t="str">
        <f>IF(H1875="","",VLOOKUP(H1875,'Hoja 9'!$A$1:$B$255,2,0))</f>
        <v/>
      </c>
      <c r="S1875" s="7" t="str">
        <f t="shared" si="3"/>
        <v/>
      </c>
      <c r="T1875" s="7" t="str">
        <f t="shared" si="4"/>
        <v/>
      </c>
    </row>
    <row r="1876">
      <c r="R1876" s="7" t="str">
        <f>IF(H1876="","",VLOOKUP(H1876,'Hoja 9'!$A$1:$B$255,2,0))</f>
        <v/>
      </c>
      <c r="S1876" s="7" t="str">
        <f t="shared" si="3"/>
        <v/>
      </c>
      <c r="T1876" s="7" t="str">
        <f t="shared" si="4"/>
        <v/>
      </c>
    </row>
    <row r="1877">
      <c r="R1877" s="7" t="str">
        <f>IF(H1877="","",VLOOKUP(H1877,'Hoja 9'!$A$1:$B$255,2,0))</f>
        <v/>
      </c>
      <c r="S1877" s="7" t="str">
        <f t="shared" si="3"/>
        <v/>
      </c>
      <c r="T1877" s="7" t="str">
        <f t="shared" si="4"/>
        <v/>
      </c>
    </row>
    <row r="1878">
      <c r="R1878" s="7" t="str">
        <f>IF(H1878="","",VLOOKUP(H1878,'Hoja 9'!$A$1:$B$255,2,0))</f>
        <v/>
      </c>
      <c r="S1878" s="7" t="str">
        <f t="shared" si="3"/>
        <v/>
      </c>
      <c r="T1878" s="7" t="str">
        <f t="shared" si="4"/>
        <v/>
      </c>
    </row>
    <row r="1879">
      <c r="R1879" s="7" t="str">
        <f>IF(H1879="","",VLOOKUP(H1879,'Hoja 9'!$A$1:$B$255,2,0))</f>
        <v/>
      </c>
      <c r="S1879" s="7" t="str">
        <f t="shared" si="3"/>
        <v/>
      </c>
      <c r="T1879" s="7" t="str">
        <f t="shared" si="4"/>
        <v/>
      </c>
    </row>
    <row r="1880">
      <c r="R1880" s="7" t="str">
        <f>IF(H1880="","",VLOOKUP(H1880,'Hoja 9'!$A$1:$B$255,2,0))</f>
        <v/>
      </c>
      <c r="S1880" s="7" t="str">
        <f t="shared" si="3"/>
        <v/>
      </c>
      <c r="T1880" s="7" t="str">
        <f t="shared" si="4"/>
        <v/>
      </c>
    </row>
    <row r="1881">
      <c r="R1881" s="7" t="str">
        <f>IF(H1881="","",VLOOKUP(H1881,'Hoja 9'!$A$1:$B$255,2,0))</f>
        <v/>
      </c>
      <c r="S1881" s="7" t="str">
        <f t="shared" si="3"/>
        <v/>
      </c>
      <c r="T1881" s="7" t="str">
        <f t="shared" si="4"/>
        <v/>
      </c>
    </row>
    <row r="1882">
      <c r="R1882" s="7" t="str">
        <f>IF(H1882="","",VLOOKUP(H1882,'Hoja 9'!$A$1:$B$255,2,0))</f>
        <v/>
      </c>
      <c r="S1882" s="7" t="str">
        <f t="shared" si="3"/>
        <v/>
      </c>
      <c r="T1882" s="7" t="str">
        <f t="shared" si="4"/>
        <v/>
      </c>
    </row>
    <row r="1883">
      <c r="R1883" s="7" t="str">
        <f>IF(H1883="","",VLOOKUP(H1883,'Hoja 9'!$A$1:$B$255,2,0))</f>
        <v/>
      </c>
      <c r="S1883" s="7" t="str">
        <f t="shared" si="3"/>
        <v/>
      </c>
      <c r="T1883" s="7" t="str">
        <f t="shared" si="4"/>
        <v/>
      </c>
    </row>
    <row r="1884">
      <c r="R1884" s="7" t="str">
        <f>IF(H1884="","",VLOOKUP(H1884,'Hoja 9'!$A$1:$B$255,2,0))</f>
        <v/>
      </c>
      <c r="S1884" s="7" t="str">
        <f t="shared" si="3"/>
        <v/>
      </c>
      <c r="T1884" s="7" t="str">
        <f t="shared" si="4"/>
        <v/>
      </c>
    </row>
    <row r="1885">
      <c r="R1885" s="7" t="str">
        <f>IF(H1885="","",VLOOKUP(H1885,'Hoja 9'!$A$1:$B$255,2,0))</f>
        <v/>
      </c>
      <c r="S1885" s="7" t="str">
        <f t="shared" si="3"/>
        <v/>
      </c>
      <c r="T1885" s="7" t="str">
        <f t="shared" si="4"/>
        <v/>
      </c>
    </row>
    <row r="1886">
      <c r="R1886" s="7" t="str">
        <f>IF(H1886="","",VLOOKUP(H1886,'Hoja 9'!$A$1:$B$255,2,0))</f>
        <v/>
      </c>
      <c r="S1886" s="7" t="str">
        <f t="shared" si="3"/>
        <v/>
      </c>
      <c r="T1886" s="7" t="str">
        <f t="shared" si="4"/>
        <v/>
      </c>
    </row>
    <row r="1887">
      <c r="R1887" s="7" t="str">
        <f>IF(H1887="","",VLOOKUP(H1887,'Hoja 9'!$A$1:$B$255,2,0))</f>
        <v/>
      </c>
      <c r="S1887" s="7" t="str">
        <f t="shared" si="3"/>
        <v/>
      </c>
      <c r="T1887" s="7" t="str">
        <f t="shared" si="4"/>
        <v/>
      </c>
    </row>
    <row r="1888">
      <c r="R1888" s="7" t="str">
        <f>IF(H1888="","",VLOOKUP(H1888,'Hoja 9'!$A$1:$B$255,2,0))</f>
        <v/>
      </c>
      <c r="S1888" s="7" t="str">
        <f t="shared" si="3"/>
        <v/>
      </c>
      <c r="T1888" s="7" t="str">
        <f t="shared" si="4"/>
        <v/>
      </c>
    </row>
    <row r="1889">
      <c r="R1889" s="7" t="str">
        <f>IF(H1889="","",VLOOKUP(H1889,'Hoja 9'!$A$1:$B$255,2,0))</f>
        <v/>
      </c>
      <c r="S1889" s="7" t="str">
        <f t="shared" si="3"/>
        <v/>
      </c>
      <c r="T1889" s="7" t="str">
        <f t="shared" si="4"/>
        <v/>
      </c>
    </row>
    <row r="1890">
      <c r="R1890" s="7" t="str">
        <f>IF(H1890="","",VLOOKUP(H1890,'Hoja 9'!$A$1:$B$255,2,0))</f>
        <v/>
      </c>
      <c r="S1890" s="7" t="str">
        <f t="shared" si="3"/>
        <v/>
      </c>
      <c r="T1890" s="7" t="str">
        <f t="shared" si="4"/>
        <v/>
      </c>
    </row>
    <row r="1891">
      <c r="R1891" s="7" t="str">
        <f>IF(H1891="","",VLOOKUP(H1891,'Hoja 9'!$A$1:$B$255,2,0))</f>
        <v/>
      </c>
      <c r="S1891" s="7" t="str">
        <f t="shared" si="3"/>
        <v/>
      </c>
      <c r="T1891" s="7" t="str">
        <f t="shared" si="4"/>
        <v/>
      </c>
    </row>
    <row r="1892">
      <c r="R1892" s="7" t="str">
        <f>IF(H1892="","",VLOOKUP(H1892,'Hoja 9'!$A$1:$B$255,2,0))</f>
        <v/>
      </c>
      <c r="S1892" s="7" t="str">
        <f t="shared" si="3"/>
        <v/>
      </c>
      <c r="T1892" s="7" t="str">
        <f t="shared" si="4"/>
        <v/>
      </c>
    </row>
    <row r="1893">
      <c r="R1893" s="7" t="str">
        <f>IF(H1893="","",VLOOKUP(H1893,'Hoja 9'!$A$1:$B$255,2,0))</f>
        <v/>
      </c>
      <c r="S1893" s="7" t="str">
        <f t="shared" si="3"/>
        <v/>
      </c>
      <c r="T1893" s="7" t="str">
        <f t="shared" si="4"/>
        <v/>
      </c>
    </row>
    <row r="1894">
      <c r="R1894" s="7" t="str">
        <f>IF(H1894="","",VLOOKUP(H1894,'Hoja 9'!$A$1:$B$255,2,0))</f>
        <v/>
      </c>
      <c r="S1894" s="7" t="str">
        <f t="shared" si="3"/>
        <v/>
      </c>
      <c r="T1894" s="7" t="str">
        <f t="shared" si="4"/>
        <v/>
      </c>
    </row>
    <row r="1895">
      <c r="R1895" s="7" t="str">
        <f>IF(H1895="","",VLOOKUP(H1895,'Hoja 9'!$A$1:$B$255,2,0))</f>
        <v/>
      </c>
      <c r="S1895" s="7" t="str">
        <f t="shared" si="3"/>
        <v/>
      </c>
      <c r="T1895" s="7" t="str">
        <f t="shared" si="4"/>
        <v/>
      </c>
    </row>
    <row r="1896">
      <c r="R1896" s="7" t="str">
        <f>IF(H1896="","",VLOOKUP(H1896,'Hoja 9'!$A$1:$B$255,2,0))</f>
        <v/>
      </c>
      <c r="S1896" s="7" t="str">
        <f t="shared" si="3"/>
        <v/>
      </c>
      <c r="T1896" s="7" t="str">
        <f t="shared" si="4"/>
        <v/>
      </c>
    </row>
    <row r="1897">
      <c r="R1897" s="7" t="str">
        <f>IF(H1897="","",VLOOKUP(H1897,'Hoja 9'!$A$1:$B$255,2,0))</f>
        <v/>
      </c>
      <c r="S1897" s="7" t="str">
        <f t="shared" si="3"/>
        <v/>
      </c>
      <c r="T1897" s="7" t="str">
        <f t="shared" si="4"/>
        <v/>
      </c>
    </row>
    <row r="1898">
      <c r="R1898" s="7" t="str">
        <f>IF(H1898="","",VLOOKUP(H1898,'Hoja 9'!$A$1:$B$255,2,0))</f>
        <v/>
      </c>
      <c r="S1898" s="7" t="str">
        <f t="shared" si="3"/>
        <v/>
      </c>
      <c r="T1898" s="7" t="str">
        <f t="shared" si="4"/>
        <v/>
      </c>
    </row>
    <row r="1899">
      <c r="R1899" s="7" t="str">
        <f>IF(H1899="","",VLOOKUP(H1899,'Hoja 9'!$A$1:$B$255,2,0))</f>
        <v/>
      </c>
      <c r="S1899" s="7" t="str">
        <f t="shared" si="3"/>
        <v/>
      </c>
      <c r="T1899" s="7" t="str">
        <f t="shared" si="4"/>
        <v/>
      </c>
    </row>
    <row r="1900">
      <c r="R1900" s="7" t="str">
        <f>IF(H1900="","",VLOOKUP(H1900,'Hoja 9'!$A$1:$B$255,2,0))</f>
        <v/>
      </c>
      <c r="S1900" s="7" t="str">
        <f t="shared" si="3"/>
        <v/>
      </c>
      <c r="T1900" s="7" t="str">
        <f t="shared" si="4"/>
        <v/>
      </c>
    </row>
    <row r="1901">
      <c r="R1901" s="7" t="str">
        <f>IF(H1901="","",VLOOKUP(H1901,'Hoja 9'!$A$1:$B$255,2,0))</f>
        <v/>
      </c>
      <c r="S1901" s="7" t="str">
        <f t="shared" si="3"/>
        <v/>
      </c>
      <c r="T1901" s="7" t="str">
        <f t="shared" si="4"/>
        <v/>
      </c>
    </row>
    <row r="1902">
      <c r="R1902" s="7" t="str">
        <f>IF(H1902="","",VLOOKUP(H1902,'Hoja 9'!$A$1:$B$255,2,0))</f>
        <v/>
      </c>
      <c r="S1902" s="7" t="str">
        <f t="shared" si="3"/>
        <v/>
      </c>
      <c r="T1902" s="7" t="str">
        <f t="shared" si="4"/>
        <v/>
      </c>
    </row>
    <row r="1903">
      <c r="R1903" s="7" t="str">
        <f>IF(H1903="","",VLOOKUP(H1903,'Hoja 9'!$A$1:$B$255,2,0))</f>
        <v/>
      </c>
      <c r="S1903" s="7" t="str">
        <f t="shared" si="3"/>
        <v/>
      </c>
      <c r="T1903" s="7" t="str">
        <f t="shared" si="4"/>
        <v/>
      </c>
    </row>
    <row r="1904">
      <c r="R1904" s="7" t="str">
        <f>IF(H1904="","",VLOOKUP(H1904,'Hoja 9'!$A$1:$B$255,2,0))</f>
        <v/>
      </c>
      <c r="S1904" s="7" t="str">
        <f t="shared" si="3"/>
        <v/>
      </c>
      <c r="T1904" s="7" t="str">
        <f t="shared" si="4"/>
        <v/>
      </c>
    </row>
    <row r="1905">
      <c r="R1905" s="7" t="str">
        <f>IF(H1905="","",VLOOKUP(H1905,'Hoja 9'!$A$1:$B$255,2,0))</f>
        <v/>
      </c>
      <c r="S1905" s="7" t="str">
        <f t="shared" si="3"/>
        <v/>
      </c>
      <c r="T1905" s="7" t="str">
        <f t="shared" si="4"/>
        <v/>
      </c>
    </row>
    <row r="1906">
      <c r="R1906" s="7" t="str">
        <f>IF(H1906="","",VLOOKUP(H1906,'Hoja 9'!$A$1:$B$255,2,0))</f>
        <v/>
      </c>
      <c r="S1906" s="7" t="str">
        <f t="shared" si="3"/>
        <v/>
      </c>
      <c r="T1906" s="7" t="str">
        <f t="shared" si="4"/>
        <v/>
      </c>
    </row>
    <row r="1907">
      <c r="R1907" s="7" t="str">
        <f>IF(H1907="","",VLOOKUP(H1907,'Hoja 9'!$A$1:$B$255,2,0))</f>
        <v/>
      </c>
      <c r="S1907" s="7" t="str">
        <f t="shared" si="3"/>
        <v/>
      </c>
      <c r="T1907" s="7" t="str">
        <f t="shared" si="4"/>
        <v/>
      </c>
    </row>
    <row r="1908">
      <c r="R1908" s="7" t="str">
        <f>IF(H1908="","",VLOOKUP(H1908,'Hoja 9'!$A$1:$B$255,2,0))</f>
        <v/>
      </c>
      <c r="S1908" s="7" t="str">
        <f t="shared" si="3"/>
        <v/>
      </c>
      <c r="T1908" s="7" t="str">
        <f t="shared" si="4"/>
        <v/>
      </c>
    </row>
    <row r="1909">
      <c r="R1909" s="7" t="str">
        <f>IF(H1909="","",VLOOKUP(H1909,'Hoja 9'!$A$1:$B$255,2,0))</f>
        <v/>
      </c>
      <c r="S1909" s="7" t="str">
        <f t="shared" si="3"/>
        <v/>
      </c>
      <c r="T1909" s="7" t="str">
        <f t="shared" si="4"/>
        <v/>
      </c>
    </row>
    <row r="1910">
      <c r="R1910" s="7" t="str">
        <f>IF(H1910="","",VLOOKUP(H1910,'Hoja 9'!$A$1:$B$255,2,0))</f>
        <v/>
      </c>
      <c r="S1910" s="7" t="str">
        <f t="shared" si="3"/>
        <v/>
      </c>
      <c r="T1910" s="7" t="str">
        <f t="shared" si="4"/>
        <v/>
      </c>
    </row>
    <row r="1911">
      <c r="R1911" s="7" t="str">
        <f>IF(H1911="","",VLOOKUP(H1911,'Hoja 9'!$A$1:$B$255,2,0))</f>
        <v/>
      </c>
      <c r="S1911" s="7" t="str">
        <f t="shared" si="3"/>
        <v/>
      </c>
      <c r="T1911" s="7" t="str">
        <f t="shared" si="4"/>
        <v/>
      </c>
    </row>
    <row r="1912">
      <c r="R1912" s="7" t="str">
        <f>IF(H1912="","",VLOOKUP(H1912,'Hoja 9'!$A$1:$B$255,2,0))</f>
        <v/>
      </c>
      <c r="S1912" s="7" t="str">
        <f t="shared" si="3"/>
        <v/>
      </c>
      <c r="T1912" s="7" t="str">
        <f t="shared" si="4"/>
        <v/>
      </c>
    </row>
    <row r="1913">
      <c r="R1913" s="7" t="str">
        <f>IF(H1913="","",VLOOKUP(H1913,'Hoja 9'!$A$1:$B$255,2,0))</f>
        <v/>
      </c>
      <c r="S1913" s="7" t="str">
        <f t="shared" si="3"/>
        <v/>
      </c>
      <c r="T1913" s="7" t="str">
        <f t="shared" si="4"/>
        <v/>
      </c>
    </row>
    <row r="1914">
      <c r="R1914" s="7" t="str">
        <f>IF(H1914="","",VLOOKUP(H1914,'Hoja 9'!$A$1:$B$255,2,0))</f>
        <v/>
      </c>
      <c r="S1914" s="7" t="str">
        <f t="shared" si="3"/>
        <v/>
      </c>
      <c r="T1914" s="7" t="str">
        <f t="shared" si="4"/>
        <v/>
      </c>
    </row>
    <row r="1915">
      <c r="R1915" s="7" t="str">
        <f>IF(H1915="","",VLOOKUP(H1915,'Hoja 9'!$A$1:$B$255,2,0))</f>
        <v/>
      </c>
      <c r="S1915" s="7" t="str">
        <f t="shared" si="3"/>
        <v/>
      </c>
      <c r="T1915" s="7" t="str">
        <f t="shared" si="4"/>
        <v/>
      </c>
    </row>
    <row r="1916">
      <c r="R1916" s="7" t="str">
        <f>IF(H1916="","",VLOOKUP(H1916,'Hoja 9'!$A$1:$B$255,2,0))</f>
        <v/>
      </c>
      <c r="S1916" s="7" t="str">
        <f t="shared" si="3"/>
        <v/>
      </c>
      <c r="T1916" s="7" t="str">
        <f t="shared" si="4"/>
        <v/>
      </c>
    </row>
    <row r="1917">
      <c r="R1917" s="7" t="str">
        <f>IF(H1917="","",VLOOKUP(H1917,'Hoja 9'!$A$1:$B$255,2,0))</f>
        <v/>
      </c>
      <c r="S1917" s="7" t="str">
        <f t="shared" si="3"/>
        <v/>
      </c>
      <c r="T1917" s="7" t="str">
        <f t="shared" si="4"/>
        <v/>
      </c>
    </row>
    <row r="1918">
      <c r="R1918" s="7" t="str">
        <f>IF(H1918="","",VLOOKUP(H1918,'Hoja 9'!$A$1:$B$255,2,0))</f>
        <v/>
      </c>
      <c r="S1918" s="7" t="str">
        <f t="shared" si="3"/>
        <v/>
      </c>
      <c r="T1918" s="7" t="str">
        <f t="shared" si="4"/>
        <v/>
      </c>
    </row>
    <row r="1919">
      <c r="R1919" s="7" t="str">
        <f>IF(H1919="","",VLOOKUP(H1919,'Hoja 9'!$A$1:$B$255,2,0))</f>
        <v/>
      </c>
      <c r="S1919" s="7" t="str">
        <f t="shared" si="3"/>
        <v/>
      </c>
      <c r="T1919" s="7" t="str">
        <f t="shared" si="4"/>
        <v/>
      </c>
    </row>
    <row r="1920">
      <c r="R1920" s="7" t="str">
        <f>IF(H1920="","",VLOOKUP(H1920,'Hoja 9'!$A$1:$B$255,2,0))</f>
        <v/>
      </c>
      <c r="S1920" s="7" t="str">
        <f t="shared" si="3"/>
        <v/>
      </c>
      <c r="T1920" s="7" t="str">
        <f t="shared" si="4"/>
        <v/>
      </c>
    </row>
    <row r="1921">
      <c r="R1921" s="7" t="str">
        <f>IF(H1921="","",VLOOKUP(H1921,'Hoja 9'!$A$1:$B$255,2,0))</f>
        <v/>
      </c>
      <c r="S1921" s="7" t="str">
        <f t="shared" si="3"/>
        <v/>
      </c>
      <c r="T1921" s="7" t="str">
        <f t="shared" si="4"/>
        <v/>
      </c>
    </row>
    <row r="1922">
      <c r="R1922" s="7" t="str">
        <f>IF(H1922="","",VLOOKUP(H1922,'Hoja 9'!$A$1:$B$255,2,0))</f>
        <v/>
      </c>
      <c r="S1922" s="7" t="str">
        <f t="shared" si="3"/>
        <v/>
      </c>
      <c r="T1922" s="7" t="str">
        <f t="shared" si="4"/>
        <v/>
      </c>
    </row>
    <row r="1923">
      <c r="R1923" s="7" t="str">
        <f>IF(H1923="","",VLOOKUP(H1923,'Hoja 9'!$A$1:$B$255,2,0))</f>
        <v/>
      </c>
      <c r="S1923" s="7" t="str">
        <f t="shared" si="3"/>
        <v/>
      </c>
      <c r="T1923" s="7" t="str">
        <f t="shared" si="4"/>
        <v/>
      </c>
    </row>
    <row r="1924">
      <c r="R1924" s="7" t="str">
        <f>IF(H1924="","",VLOOKUP(H1924,'Hoja 9'!$A$1:$B$255,2,0))</f>
        <v/>
      </c>
      <c r="S1924" s="7" t="str">
        <f t="shared" si="3"/>
        <v/>
      </c>
      <c r="T1924" s="7" t="str">
        <f t="shared" si="4"/>
        <v/>
      </c>
    </row>
    <row r="1925">
      <c r="R1925" s="7" t="str">
        <f>IF(H1925="","",VLOOKUP(H1925,'Hoja 9'!$A$1:$B$255,2,0))</f>
        <v/>
      </c>
      <c r="S1925" s="7" t="str">
        <f t="shared" si="3"/>
        <v/>
      </c>
      <c r="T1925" s="7" t="str">
        <f t="shared" si="4"/>
        <v/>
      </c>
    </row>
    <row r="1926">
      <c r="R1926" s="7" t="str">
        <f>IF(H1926="","",VLOOKUP(H1926,'Hoja 9'!$A$1:$B$255,2,0))</f>
        <v/>
      </c>
      <c r="S1926" s="7" t="str">
        <f t="shared" si="3"/>
        <v/>
      </c>
      <c r="T1926" s="7" t="str">
        <f t="shared" si="4"/>
        <v/>
      </c>
    </row>
    <row r="1927">
      <c r="R1927" s="7" t="str">
        <f>IF(H1927="","",VLOOKUP(H1927,'Hoja 9'!$A$1:$B$255,2,0))</f>
        <v/>
      </c>
      <c r="S1927" s="7" t="str">
        <f t="shared" si="3"/>
        <v/>
      </c>
      <c r="T1927" s="7" t="str">
        <f t="shared" si="4"/>
        <v/>
      </c>
    </row>
    <row r="1928">
      <c r="R1928" s="7" t="str">
        <f>IF(H1928="","",VLOOKUP(H1928,'Hoja 9'!$A$1:$B$255,2,0))</f>
        <v/>
      </c>
      <c r="S1928" s="7" t="str">
        <f t="shared" si="3"/>
        <v/>
      </c>
      <c r="T1928" s="7" t="str">
        <f t="shared" si="4"/>
        <v/>
      </c>
    </row>
    <row r="1929">
      <c r="R1929" s="7" t="str">
        <f>IF(H1929="","",VLOOKUP(H1929,'Hoja 9'!$A$1:$B$255,2,0))</f>
        <v/>
      </c>
      <c r="S1929" s="7" t="str">
        <f t="shared" si="3"/>
        <v/>
      </c>
      <c r="T1929" s="7" t="str">
        <f t="shared" si="4"/>
        <v/>
      </c>
    </row>
    <row r="1930">
      <c r="R1930" s="7" t="str">
        <f>IF(H1930="","",VLOOKUP(H1930,'Hoja 9'!$A$1:$B$255,2,0))</f>
        <v/>
      </c>
      <c r="S1930" s="7" t="str">
        <f t="shared" si="3"/>
        <v/>
      </c>
      <c r="T1930" s="7" t="str">
        <f t="shared" si="4"/>
        <v/>
      </c>
    </row>
    <row r="1931">
      <c r="R1931" s="7" t="str">
        <f>IF(H1931="","",VLOOKUP(H1931,'Hoja 9'!$A$1:$B$255,2,0))</f>
        <v/>
      </c>
      <c r="S1931" s="7" t="str">
        <f t="shared" si="3"/>
        <v/>
      </c>
      <c r="T1931" s="7" t="str">
        <f t="shared" si="4"/>
        <v/>
      </c>
    </row>
    <row r="1932">
      <c r="R1932" s="7" t="str">
        <f>IF(H1932="","",VLOOKUP(H1932,'Hoja 9'!$A$1:$B$255,2,0))</f>
        <v/>
      </c>
      <c r="S1932" s="7" t="str">
        <f t="shared" si="3"/>
        <v/>
      </c>
      <c r="T1932" s="7" t="str">
        <f t="shared" si="4"/>
        <v/>
      </c>
    </row>
    <row r="1933">
      <c r="R1933" s="7" t="str">
        <f>IF(H1933="","",VLOOKUP(H1933,'Hoja 9'!$A$1:$B$255,2,0))</f>
        <v/>
      </c>
      <c r="S1933" s="7" t="str">
        <f t="shared" si="3"/>
        <v/>
      </c>
      <c r="T1933" s="7" t="str">
        <f t="shared" si="4"/>
        <v/>
      </c>
    </row>
    <row r="1934">
      <c r="R1934" s="7" t="str">
        <f>IF(H1934="","",VLOOKUP(H1934,'Hoja 9'!$A$1:$B$255,2,0))</f>
        <v/>
      </c>
      <c r="S1934" s="7" t="str">
        <f t="shared" si="3"/>
        <v/>
      </c>
      <c r="T1934" s="7" t="str">
        <f t="shared" si="4"/>
        <v/>
      </c>
    </row>
    <row r="1935">
      <c r="R1935" s="7" t="str">
        <f>IF(H1935="","",VLOOKUP(H1935,'Hoja 9'!$A$1:$B$255,2,0))</f>
        <v/>
      </c>
      <c r="S1935" s="7" t="str">
        <f t="shared" si="3"/>
        <v/>
      </c>
      <c r="T1935" s="7" t="str">
        <f t="shared" si="4"/>
        <v/>
      </c>
    </row>
    <row r="1936">
      <c r="R1936" s="7" t="str">
        <f>IF(H1936="","",VLOOKUP(H1936,'Hoja 9'!$A$1:$B$255,2,0))</f>
        <v/>
      </c>
      <c r="S1936" s="7" t="str">
        <f t="shared" si="3"/>
        <v/>
      </c>
      <c r="T1936" s="7" t="str">
        <f t="shared" si="4"/>
        <v/>
      </c>
    </row>
    <row r="1937">
      <c r="R1937" s="7" t="str">
        <f>IF(H1937="","",VLOOKUP(H1937,'Hoja 9'!$A$1:$B$255,2,0))</f>
        <v/>
      </c>
      <c r="S1937" s="7" t="str">
        <f t="shared" si="3"/>
        <v/>
      </c>
      <c r="T1937" s="7" t="str">
        <f t="shared" si="4"/>
        <v/>
      </c>
    </row>
    <row r="1938">
      <c r="R1938" s="7" t="str">
        <f>IF(H1938="","",VLOOKUP(H1938,'Hoja 9'!$A$1:$B$255,2,0))</f>
        <v/>
      </c>
      <c r="S1938" s="7" t="str">
        <f t="shared" si="3"/>
        <v/>
      </c>
      <c r="T1938" s="7" t="str">
        <f t="shared" si="4"/>
        <v/>
      </c>
    </row>
    <row r="1939">
      <c r="R1939" s="7" t="str">
        <f>IF(H1939="","",VLOOKUP(H1939,'Hoja 9'!$A$1:$B$255,2,0))</f>
        <v/>
      </c>
      <c r="S1939" s="7" t="str">
        <f t="shared" si="3"/>
        <v/>
      </c>
      <c r="T1939" s="7" t="str">
        <f t="shared" si="4"/>
        <v/>
      </c>
    </row>
    <row r="1940">
      <c r="R1940" s="7" t="str">
        <f>IF(H1940="","",VLOOKUP(H1940,'Hoja 9'!$A$1:$B$255,2,0))</f>
        <v/>
      </c>
      <c r="S1940" s="7" t="str">
        <f t="shared" si="3"/>
        <v/>
      </c>
      <c r="T1940" s="7" t="str">
        <f t="shared" si="4"/>
        <v/>
      </c>
    </row>
    <row r="1941">
      <c r="R1941" s="7" t="str">
        <f>IF(H1941="","",VLOOKUP(H1941,'Hoja 9'!$A$1:$B$255,2,0))</f>
        <v/>
      </c>
      <c r="S1941" s="7" t="str">
        <f t="shared" si="3"/>
        <v/>
      </c>
      <c r="T1941" s="7" t="str">
        <f t="shared" si="4"/>
        <v/>
      </c>
    </row>
    <row r="1942">
      <c r="R1942" s="7" t="str">
        <f>IF(H1942="","",VLOOKUP(H1942,'Hoja 9'!$A$1:$B$255,2,0))</f>
        <v/>
      </c>
      <c r="S1942" s="7" t="str">
        <f t="shared" si="3"/>
        <v/>
      </c>
      <c r="T1942" s="7" t="str">
        <f t="shared" si="4"/>
        <v/>
      </c>
    </row>
    <row r="1943">
      <c r="R1943" s="7" t="str">
        <f>IF(H1943="","",VLOOKUP(H1943,'Hoja 9'!$A$1:$B$255,2,0))</f>
        <v/>
      </c>
      <c r="S1943" s="7" t="str">
        <f t="shared" si="3"/>
        <v/>
      </c>
      <c r="T1943" s="7" t="str">
        <f t="shared" si="4"/>
        <v/>
      </c>
    </row>
    <row r="1944">
      <c r="R1944" s="7" t="str">
        <f>IF(H1944="","",VLOOKUP(H1944,'Hoja 9'!$A$1:$B$255,2,0))</f>
        <v/>
      </c>
      <c r="S1944" s="7" t="str">
        <f t="shared" si="3"/>
        <v/>
      </c>
      <c r="T1944" s="7" t="str">
        <f t="shared" si="4"/>
        <v/>
      </c>
    </row>
    <row r="1945">
      <c r="R1945" s="7" t="str">
        <f>IF(H1945="","",VLOOKUP(H1945,'Hoja 9'!$A$1:$B$255,2,0))</f>
        <v/>
      </c>
      <c r="S1945" s="7" t="str">
        <f t="shared" si="3"/>
        <v/>
      </c>
      <c r="T1945" s="7" t="str">
        <f t="shared" si="4"/>
        <v/>
      </c>
    </row>
    <row r="1946">
      <c r="R1946" s="7" t="str">
        <f>IF(H1946="","",VLOOKUP(H1946,'Hoja 9'!$A$1:$B$255,2,0))</f>
        <v/>
      </c>
      <c r="S1946" s="7" t="str">
        <f t="shared" si="3"/>
        <v/>
      </c>
      <c r="T1946" s="7" t="str">
        <f t="shared" si="4"/>
        <v/>
      </c>
    </row>
    <row r="1947">
      <c r="R1947" s="7" t="str">
        <f>IF(H1947="","",VLOOKUP(H1947,'Hoja 9'!$A$1:$B$255,2,0))</f>
        <v/>
      </c>
      <c r="S1947" s="7" t="str">
        <f t="shared" si="3"/>
        <v/>
      </c>
      <c r="T1947" s="7" t="str">
        <f t="shared" si="4"/>
        <v/>
      </c>
    </row>
    <row r="1948">
      <c r="R1948" s="7" t="str">
        <f>IF(H1948="","",VLOOKUP(H1948,'Hoja 9'!$A$1:$B$255,2,0))</f>
        <v/>
      </c>
      <c r="S1948" s="7" t="str">
        <f t="shared" si="3"/>
        <v/>
      </c>
      <c r="T1948" s="7" t="str">
        <f t="shared" si="4"/>
        <v/>
      </c>
    </row>
    <row r="1949">
      <c r="R1949" s="7" t="str">
        <f>IF(H1949="","",VLOOKUP(H1949,'Hoja 9'!$A$1:$B$255,2,0))</f>
        <v/>
      </c>
      <c r="S1949" s="7" t="str">
        <f t="shared" si="3"/>
        <v/>
      </c>
      <c r="T1949" s="7" t="str">
        <f t="shared" si="4"/>
        <v/>
      </c>
    </row>
    <row r="1950">
      <c r="R1950" s="7" t="str">
        <f>IF(H1950="","",VLOOKUP(H1950,'Hoja 9'!$A$1:$B$255,2,0))</f>
        <v/>
      </c>
      <c r="S1950" s="7" t="str">
        <f t="shared" si="3"/>
        <v/>
      </c>
      <c r="T1950" s="7" t="str">
        <f t="shared" si="4"/>
        <v/>
      </c>
    </row>
    <row r="1951">
      <c r="R1951" s="7" t="str">
        <f>IF(H1951="","",VLOOKUP(H1951,'Hoja 9'!$A$1:$B$255,2,0))</f>
        <v/>
      </c>
      <c r="S1951" s="7" t="str">
        <f t="shared" si="3"/>
        <v/>
      </c>
      <c r="T1951" s="7" t="str">
        <f t="shared" si="4"/>
        <v/>
      </c>
    </row>
    <row r="1952">
      <c r="R1952" s="7" t="str">
        <f>IF(H1952="","",VLOOKUP(H1952,'Hoja 9'!$A$1:$B$255,2,0))</f>
        <v/>
      </c>
      <c r="S1952" s="7" t="str">
        <f t="shared" si="3"/>
        <v/>
      </c>
      <c r="T1952" s="7" t="str">
        <f t="shared" si="4"/>
        <v/>
      </c>
    </row>
    <row r="1953">
      <c r="R1953" s="7" t="str">
        <f>IF(H1953="","",VLOOKUP(H1953,'Hoja 9'!$A$1:$B$255,2,0))</f>
        <v/>
      </c>
      <c r="S1953" s="7" t="str">
        <f t="shared" si="3"/>
        <v/>
      </c>
      <c r="T1953" s="7" t="str">
        <f t="shared" si="4"/>
        <v/>
      </c>
    </row>
    <row r="1954">
      <c r="R1954" s="7" t="str">
        <f>IF(H1954="","",VLOOKUP(H1954,'Hoja 9'!$A$1:$B$255,2,0))</f>
        <v/>
      </c>
      <c r="S1954" s="7" t="str">
        <f t="shared" si="3"/>
        <v/>
      </c>
      <c r="T1954" s="7" t="str">
        <f t="shared" si="4"/>
        <v/>
      </c>
    </row>
    <row r="1955">
      <c r="R1955" s="7" t="str">
        <f>IF(H1955="","",VLOOKUP(H1955,'Hoja 9'!$A$1:$B$255,2,0))</f>
        <v/>
      </c>
      <c r="S1955" s="7" t="str">
        <f t="shared" si="3"/>
        <v/>
      </c>
      <c r="T1955" s="7" t="str">
        <f t="shared" si="4"/>
        <v/>
      </c>
    </row>
    <row r="1956">
      <c r="R1956" s="7" t="str">
        <f>IF(H1956="","",VLOOKUP(H1956,'Hoja 9'!$A$1:$B$255,2,0))</f>
        <v/>
      </c>
      <c r="S1956" s="7" t="str">
        <f t="shared" si="3"/>
        <v/>
      </c>
      <c r="T1956" s="7" t="str">
        <f t="shared" si="4"/>
        <v/>
      </c>
    </row>
    <row r="1957">
      <c r="R1957" s="7" t="str">
        <f>IF(H1957="","",VLOOKUP(H1957,'Hoja 9'!$A$1:$B$255,2,0))</f>
        <v/>
      </c>
      <c r="S1957" s="7" t="str">
        <f t="shared" si="3"/>
        <v/>
      </c>
      <c r="T1957" s="7" t="str">
        <f t="shared" si="4"/>
        <v/>
      </c>
    </row>
    <row r="1958">
      <c r="R1958" s="7" t="str">
        <f>IF(H1958="","",VLOOKUP(H1958,'Hoja 9'!$A$1:$B$255,2,0))</f>
        <v/>
      </c>
      <c r="S1958" s="7" t="str">
        <f t="shared" si="3"/>
        <v/>
      </c>
      <c r="T1958" s="7" t="str">
        <f t="shared" si="4"/>
        <v/>
      </c>
    </row>
    <row r="1959">
      <c r="R1959" s="7" t="str">
        <f>IF(H1959="","",VLOOKUP(H1959,'Hoja 9'!$A$1:$B$255,2,0))</f>
        <v/>
      </c>
      <c r="S1959" s="7" t="str">
        <f t="shared" si="3"/>
        <v/>
      </c>
      <c r="T1959" s="7" t="str">
        <f t="shared" si="4"/>
        <v/>
      </c>
    </row>
    <row r="1960">
      <c r="R1960" s="7" t="str">
        <f>IF(H1960="","",VLOOKUP(H1960,'Hoja 9'!$A$1:$B$255,2,0))</f>
        <v/>
      </c>
      <c r="S1960" s="7" t="str">
        <f t="shared" si="3"/>
        <v/>
      </c>
      <c r="T1960" s="7" t="str">
        <f t="shared" si="4"/>
        <v/>
      </c>
    </row>
    <row r="1961">
      <c r="R1961" s="7" t="str">
        <f>IF(H1961="","",VLOOKUP(H1961,'Hoja 9'!$A$1:$B$255,2,0))</f>
        <v/>
      </c>
      <c r="S1961" s="7" t="str">
        <f t="shared" si="3"/>
        <v/>
      </c>
      <c r="T1961" s="7" t="str">
        <f t="shared" si="4"/>
        <v/>
      </c>
    </row>
    <row r="1962">
      <c r="R1962" s="7" t="str">
        <f>IF(H1962="","",VLOOKUP(H1962,'Hoja 9'!$A$1:$B$255,2,0))</f>
        <v/>
      </c>
      <c r="S1962" s="7" t="str">
        <f t="shared" si="3"/>
        <v/>
      </c>
      <c r="T1962" s="7" t="str">
        <f t="shared" si="4"/>
        <v/>
      </c>
    </row>
    <row r="1963">
      <c r="R1963" s="7" t="str">
        <f>IF(H1963="","",VLOOKUP(H1963,'Hoja 9'!$A$1:$B$255,2,0))</f>
        <v/>
      </c>
      <c r="S1963" s="7" t="str">
        <f t="shared" si="3"/>
        <v/>
      </c>
      <c r="T1963" s="7" t="str">
        <f t="shared" si="4"/>
        <v/>
      </c>
    </row>
    <row r="1964">
      <c r="R1964" s="7" t="str">
        <f>IF(H1964="","",VLOOKUP(H1964,'Hoja 9'!$A$1:$B$255,2,0))</f>
        <v/>
      </c>
      <c r="S1964" s="7" t="str">
        <f t="shared" si="3"/>
        <v/>
      </c>
      <c r="T1964" s="7" t="str">
        <f t="shared" si="4"/>
        <v/>
      </c>
    </row>
    <row r="1965">
      <c r="R1965" s="7" t="str">
        <f>IF(H1965="","",VLOOKUP(H1965,'Hoja 9'!$A$1:$B$255,2,0))</f>
        <v/>
      </c>
      <c r="S1965" s="7" t="str">
        <f t="shared" si="3"/>
        <v/>
      </c>
      <c r="T1965" s="7" t="str">
        <f t="shared" si="4"/>
        <v/>
      </c>
    </row>
    <row r="1966">
      <c r="R1966" s="7" t="str">
        <f>IF(H1966="","",VLOOKUP(H1966,'Hoja 9'!$A$1:$B$255,2,0))</f>
        <v/>
      </c>
      <c r="S1966" s="7" t="str">
        <f t="shared" si="3"/>
        <v/>
      </c>
      <c r="T1966" s="7" t="str">
        <f t="shared" si="4"/>
        <v/>
      </c>
    </row>
    <row r="1967">
      <c r="R1967" s="7" t="str">
        <f>IF(H1967="","",VLOOKUP(H1967,'Hoja 9'!$A$1:$B$255,2,0))</f>
        <v/>
      </c>
      <c r="S1967" s="7" t="str">
        <f t="shared" si="3"/>
        <v/>
      </c>
      <c r="T1967" s="7" t="str">
        <f t="shared" si="4"/>
        <v/>
      </c>
    </row>
    <row r="1968">
      <c r="R1968" s="7" t="str">
        <f>IF(H1968="","",VLOOKUP(H1968,'Hoja 9'!$A$1:$B$255,2,0))</f>
        <v/>
      </c>
      <c r="S1968" s="7" t="str">
        <f t="shared" si="3"/>
        <v/>
      </c>
      <c r="T1968" s="7" t="str">
        <f t="shared" si="4"/>
        <v/>
      </c>
    </row>
    <row r="1969">
      <c r="R1969" s="7" t="str">
        <f>IF(H1969="","",VLOOKUP(H1969,'Hoja 9'!$A$1:$B$255,2,0))</f>
        <v/>
      </c>
      <c r="S1969" s="7" t="str">
        <f t="shared" si="3"/>
        <v/>
      </c>
      <c r="T1969" s="7" t="str">
        <f t="shared" si="4"/>
        <v/>
      </c>
    </row>
    <row r="1970">
      <c r="R1970" s="7" t="str">
        <f>IF(H1970="","",VLOOKUP(H1970,'Hoja 9'!$A$1:$B$255,2,0))</f>
        <v/>
      </c>
      <c r="S1970" s="7" t="str">
        <f t="shared" si="3"/>
        <v/>
      </c>
      <c r="T1970" s="7" t="str">
        <f t="shared" si="4"/>
        <v/>
      </c>
    </row>
    <row r="1971">
      <c r="R1971" s="7" t="str">
        <f>IF(H1971="","",VLOOKUP(H1971,'Hoja 9'!$A$1:$B$255,2,0))</f>
        <v/>
      </c>
      <c r="S1971" s="7" t="str">
        <f t="shared" si="3"/>
        <v/>
      </c>
      <c r="T1971" s="7" t="str">
        <f t="shared" si="4"/>
        <v/>
      </c>
    </row>
    <row r="1972">
      <c r="R1972" s="7" t="str">
        <f>IF(H1972="","",VLOOKUP(H1972,'Hoja 9'!$A$1:$B$255,2,0))</f>
        <v/>
      </c>
      <c r="S1972" s="7" t="str">
        <f t="shared" si="3"/>
        <v/>
      </c>
      <c r="T1972" s="7" t="str">
        <f t="shared" si="4"/>
        <v/>
      </c>
    </row>
    <row r="1973">
      <c r="R1973" s="7" t="str">
        <f>IF(H1973="","",VLOOKUP(H1973,'Hoja 9'!$A$1:$B$255,2,0))</f>
        <v/>
      </c>
      <c r="S1973" s="7" t="str">
        <f t="shared" si="3"/>
        <v/>
      </c>
      <c r="T1973" s="7" t="str">
        <f t="shared" si="4"/>
        <v/>
      </c>
    </row>
    <row r="1974">
      <c r="R1974" s="7" t="str">
        <f>IF(H1974="","",VLOOKUP(H1974,'Hoja 9'!$A$1:$B$255,2,0))</f>
        <v/>
      </c>
      <c r="S1974" s="7" t="str">
        <f t="shared" si="3"/>
        <v/>
      </c>
      <c r="T1974" s="7" t="str">
        <f t="shared" si="4"/>
        <v/>
      </c>
    </row>
    <row r="1975">
      <c r="R1975" s="7" t="str">
        <f>IF(H1975="","",VLOOKUP(H1975,'Hoja 9'!$A$1:$B$255,2,0))</f>
        <v/>
      </c>
      <c r="S1975" s="7" t="str">
        <f t="shared" si="3"/>
        <v/>
      </c>
      <c r="T1975" s="7" t="str">
        <f t="shared" si="4"/>
        <v/>
      </c>
    </row>
    <row r="1976">
      <c r="R1976" s="7" t="str">
        <f>IF(H1976="","",VLOOKUP(H1976,'Hoja 9'!$A$1:$B$255,2,0))</f>
        <v/>
      </c>
      <c r="S1976" s="7" t="str">
        <f t="shared" si="3"/>
        <v/>
      </c>
      <c r="T1976" s="7" t="str">
        <f t="shared" si="4"/>
        <v/>
      </c>
    </row>
    <row r="1977">
      <c r="R1977" s="7" t="str">
        <f>IF(H1977="","",VLOOKUP(H1977,'Hoja 9'!$A$1:$B$255,2,0))</f>
        <v/>
      </c>
      <c r="S1977" s="7" t="str">
        <f t="shared" si="3"/>
        <v/>
      </c>
      <c r="T1977" s="7" t="str">
        <f t="shared" si="4"/>
        <v/>
      </c>
    </row>
    <row r="1978">
      <c r="R1978" s="7" t="str">
        <f>IF(H1978="","",VLOOKUP(H1978,'Hoja 9'!$A$1:$B$255,2,0))</f>
        <v/>
      </c>
      <c r="S1978" s="7" t="str">
        <f t="shared" si="3"/>
        <v/>
      </c>
      <c r="T1978" s="7" t="str">
        <f t="shared" si="4"/>
        <v/>
      </c>
    </row>
    <row r="1979">
      <c r="R1979" s="7" t="str">
        <f>IF(H1979="","",VLOOKUP(H1979,'Hoja 9'!$A$1:$B$255,2,0))</f>
        <v/>
      </c>
      <c r="S1979" s="7" t="str">
        <f t="shared" si="3"/>
        <v/>
      </c>
      <c r="T1979" s="7" t="str">
        <f t="shared" si="4"/>
        <v/>
      </c>
    </row>
    <row r="1980">
      <c r="R1980" s="7" t="str">
        <f>IF(H1980="","",VLOOKUP(H1980,'Hoja 9'!$A$1:$B$255,2,0))</f>
        <v/>
      </c>
      <c r="S1980" s="7" t="str">
        <f t="shared" si="3"/>
        <v/>
      </c>
      <c r="T1980" s="7" t="str">
        <f t="shared" si="4"/>
        <v/>
      </c>
    </row>
    <row r="1981">
      <c r="R1981" s="7" t="str">
        <f>IF(H1981="","",VLOOKUP(H1981,'Hoja 9'!$A$1:$B$255,2,0))</f>
        <v/>
      </c>
      <c r="S1981" s="7" t="str">
        <f t="shared" si="3"/>
        <v/>
      </c>
      <c r="T1981" s="7" t="str">
        <f t="shared" si="4"/>
        <v/>
      </c>
    </row>
    <row r="1982">
      <c r="R1982" s="7" t="str">
        <f>IF(H1982="","",VLOOKUP(H1982,'Hoja 9'!$A$1:$B$255,2,0))</f>
        <v/>
      </c>
      <c r="S1982" s="7" t="str">
        <f t="shared" si="3"/>
        <v/>
      </c>
      <c r="T1982" s="7" t="str">
        <f t="shared" si="4"/>
        <v/>
      </c>
    </row>
    <row r="1983">
      <c r="R1983" s="7" t="str">
        <f>IF(H1983="","",VLOOKUP(H1983,'Hoja 9'!$A$1:$B$255,2,0))</f>
        <v/>
      </c>
      <c r="S1983" s="7" t="str">
        <f t="shared" si="3"/>
        <v/>
      </c>
      <c r="T1983" s="7" t="str">
        <f t="shared" si="4"/>
        <v/>
      </c>
    </row>
    <row r="1984">
      <c r="R1984" s="7" t="str">
        <f>IF(H1984="","",VLOOKUP(H1984,'Hoja 9'!$A$1:$B$255,2,0))</f>
        <v/>
      </c>
      <c r="S1984" s="7" t="str">
        <f t="shared" si="3"/>
        <v/>
      </c>
      <c r="T1984" s="7" t="str">
        <f t="shared" si="4"/>
        <v/>
      </c>
    </row>
    <row r="1985">
      <c r="R1985" s="7" t="str">
        <f>IF(H1985="","",VLOOKUP(H1985,'Hoja 9'!$A$1:$B$255,2,0))</f>
        <v/>
      </c>
      <c r="S1985" s="7" t="str">
        <f t="shared" si="3"/>
        <v/>
      </c>
      <c r="T1985" s="7" t="str">
        <f t="shared" si="4"/>
        <v/>
      </c>
    </row>
    <row r="1986">
      <c r="R1986" s="7" t="str">
        <f>IF(H1986="","",VLOOKUP(H1986,'Hoja 9'!$A$1:$B$255,2,0))</f>
        <v/>
      </c>
      <c r="S1986" s="7" t="str">
        <f t="shared" si="3"/>
        <v/>
      </c>
      <c r="T1986" s="7" t="str">
        <f t="shared" si="4"/>
        <v/>
      </c>
    </row>
    <row r="1987">
      <c r="R1987" s="7" t="str">
        <f>IF(H1987="","",VLOOKUP(H1987,'Hoja 9'!$A$1:$B$255,2,0))</f>
        <v/>
      </c>
      <c r="S1987" s="7" t="str">
        <f t="shared" si="3"/>
        <v/>
      </c>
      <c r="T1987" s="7" t="str">
        <f t="shared" si="4"/>
        <v/>
      </c>
    </row>
    <row r="1988">
      <c r="R1988" s="7" t="str">
        <f>IF(H1988="","",VLOOKUP(H1988,'Hoja 9'!$A$1:$B$255,2,0))</f>
        <v/>
      </c>
      <c r="S1988" s="7" t="str">
        <f t="shared" si="3"/>
        <v/>
      </c>
      <c r="T1988" s="7" t="str">
        <f t="shared" si="4"/>
        <v/>
      </c>
    </row>
    <row r="1989">
      <c r="R1989" s="7" t="str">
        <f>IF(H1989="","",VLOOKUP(H1989,'Hoja 9'!$A$1:$B$255,2,0))</f>
        <v/>
      </c>
      <c r="S1989" s="7" t="str">
        <f t="shared" si="3"/>
        <v/>
      </c>
      <c r="T1989" s="7" t="str">
        <f t="shared" si="4"/>
        <v/>
      </c>
    </row>
    <row r="1990">
      <c r="R1990" s="7" t="str">
        <f>IF(H1990="","",VLOOKUP(H1990,'Hoja 9'!$A$1:$B$255,2,0))</f>
        <v/>
      </c>
      <c r="S1990" s="7" t="str">
        <f t="shared" si="3"/>
        <v/>
      </c>
      <c r="T1990" s="7" t="str">
        <f t="shared" si="4"/>
        <v/>
      </c>
    </row>
    <row r="1991">
      <c r="R1991" s="7" t="str">
        <f>IF(H1991="","",VLOOKUP(H1991,'Hoja 9'!$A$1:$B$255,2,0))</f>
        <v/>
      </c>
      <c r="S1991" s="7" t="str">
        <f t="shared" si="3"/>
        <v/>
      </c>
      <c r="T1991" s="7" t="str">
        <f t="shared" si="4"/>
        <v/>
      </c>
    </row>
    <row r="1992">
      <c r="R1992" s="7" t="str">
        <f>IF(H1992="","",VLOOKUP(H1992,'Hoja 9'!$A$1:$B$255,2,0))</f>
        <v/>
      </c>
      <c r="S1992" s="7" t="str">
        <f t="shared" si="3"/>
        <v/>
      </c>
      <c r="T1992" s="7" t="str">
        <f t="shared" si="4"/>
        <v/>
      </c>
    </row>
    <row r="1993">
      <c r="R1993" s="7" t="str">
        <f>IF(H1993="","",VLOOKUP(H1993,'Hoja 9'!$A$1:$B$255,2,0))</f>
        <v/>
      </c>
      <c r="S1993" s="7" t="str">
        <f t="shared" si="3"/>
        <v/>
      </c>
      <c r="T1993" s="7" t="str">
        <f t="shared" si="4"/>
        <v/>
      </c>
    </row>
    <row r="1994">
      <c r="R1994" s="7" t="str">
        <f>IF(H1994="","",VLOOKUP(H1994,'Hoja 9'!$A$1:$B$255,2,0))</f>
        <v/>
      </c>
      <c r="S1994" s="7" t="str">
        <f t="shared" si="3"/>
        <v/>
      </c>
      <c r="T1994" s="7" t="str">
        <f t="shared" si="4"/>
        <v/>
      </c>
    </row>
    <row r="1995">
      <c r="R1995" s="7" t="str">
        <f>IF(H1995="","",VLOOKUP(H1995,'Hoja 9'!$A$1:$B$255,2,0))</f>
        <v/>
      </c>
      <c r="S1995" s="7" t="str">
        <f t="shared" si="3"/>
        <v/>
      </c>
      <c r="T1995" s="7" t="str">
        <f t="shared" si="4"/>
        <v/>
      </c>
    </row>
    <row r="1996">
      <c r="R1996" s="7" t="str">
        <f>IF(H1996="","",VLOOKUP(H1996,'Hoja 9'!$A$1:$B$255,2,0))</f>
        <v/>
      </c>
      <c r="S1996" s="7" t="str">
        <f t="shared" si="3"/>
        <v/>
      </c>
      <c r="T1996" s="7" t="str">
        <f t="shared" si="4"/>
        <v/>
      </c>
    </row>
    <row r="1997">
      <c r="R1997" s="7" t="str">
        <f>IF(H1997="","",VLOOKUP(H1997,'Hoja 9'!$A$1:$B$255,2,0))</f>
        <v/>
      </c>
      <c r="S1997" s="7" t="str">
        <f t="shared" si="3"/>
        <v/>
      </c>
      <c r="T1997" s="7" t="str">
        <f t="shared" si="4"/>
        <v/>
      </c>
    </row>
    <row r="1998">
      <c r="R1998" s="7" t="str">
        <f>IF(H1998="","",VLOOKUP(H1998,'Hoja 9'!$A$1:$B$255,2,0))</f>
        <v/>
      </c>
      <c r="S1998" s="7" t="str">
        <f t="shared" si="3"/>
        <v/>
      </c>
      <c r="T1998" s="7" t="str">
        <f t="shared" si="4"/>
        <v/>
      </c>
    </row>
    <row r="1999">
      <c r="R1999" s="7" t="str">
        <f>IF(H1999="","",VLOOKUP(H1999,'Hoja 9'!$A$1:$B$255,2,0))</f>
        <v/>
      </c>
      <c r="S1999" s="7" t="str">
        <f t="shared" si="3"/>
        <v/>
      </c>
      <c r="T1999" s="7" t="str">
        <f t="shared" si="4"/>
        <v/>
      </c>
    </row>
    <row r="2000">
      <c r="R2000" s="7" t="str">
        <f>IF(H2000="","",VLOOKUP(H2000,'Hoja 9'!$A$1:$B$255,2,0))</f>
        <v/>
      </c>
      <c r="S2000" s="7" t="str">
        <f t="shared" si="3"/>
        <v/>
      </c>
      <c r="T2000" s="7" t="str">
        <f t="shared" si="4"/>
        <v/>
      </c>
    </row>
    <row r="2001">
      <c r="R2001" s="7" t="str">
        <f>IF(H2001="","",VLOOKUP(H2001,'Hoja 9'!$A$1:$B$255,2,0))</f>
        <v/>
      </c>
      <c r="S2001" s="7" t="str">
        <f t="shared" si="3"/>
        <v/>
      </c>
      <c r="T2001" s="7" t="str">
        <f t="shared" si="4"/>
        <v/>
      </c>
    </row>
    <row r="2002">
      <c r="R2002" s="7" t="str">
        <f>IF(H2002="","",VLOOKUP(H2002,'Hoja 9'!$A$1:$B$255,2,0))</f>
        <v/>
      </c>
      <c r="S2002" s="7" t="str">
        <f t="shared" si="3"/>
        <v/>
      </c>
      <c r="T2002" s="7" t="str">
        <f t="shared" si="4"/>
        <v/>
      </c>
    </row>
    <row r="2003">
      <c r="R2003" s="7" t="str">
        <f>IF(H2003="","",VLOOKUP(H2003,'Hoja 9'!$A$1:$B$255,2,0))</f>
        <v/>
      </c>
      <c r="S2003" s="7" t="str">
        <f t="shared" si="3"/>
        <v/>
      </c>
      <c r="T2003" s="7" t="str">
        <f t="shared" si="4"/>
        <v/>
      </c>
    </row>
    <row r="2004">
      <c r="R2004" s="7" t="str">
        <f>IF(H2004="","",VLOOKUP(H2004,'Hoja 9'!$A$1:$B$255,2,0))</f>
        <v/>
      </c>
      <c r="S2004" s="7" t="str">
        <f t="shared" si="3"/>
        <v/>
      </c>
      <c r="T2004" s="7" t="str">
        <f t="shared" si="4"/>
        <v/>
      </c>
    </row>
    <row r="2005">
      <c r="R2005" s="7" t="str">
        <f>IF(H2005="","",VLOOKUP(H2005,'Hoja 9'!$A$1:$B$255,2,0))</f>
        <v/>
      </c>
      <c r="S2005" s="7" t="str">
        <f t="shared" si="3"/>
        <v/>
      </c>
      <c r="T2005" s="7" t="str">
        <f t="shared" si="4"/>
        <v/>
      </c>
    </row>
    <row r="2006">
      <c r="R2006" s="7" t="str">
        <f>IF(H2006="","",VLOOKUP(H2006,'Hoja 9'!$A$1:$B$255,2,0))</f>
        <v/>
      </c>
      <c r="S2006" s="7" t="str">
        <f t="shared" si="3"/>
        <v/>
      </c>
      <c r="T2006" s="7" t="str">
        <f t="shared" si="4"/>
        <v/>
      </c>
    </row>
    <row r="2007">
      <c r="R2007" s="7" t="str">
        <f>IF(H2007="","",VLOOKUP(H2007,'Hoja 9'!$A$1:$B$255,2,0))</f>
        <v/>
      </c>
      <c r="S2007" s="7" t="str">
        <f t="shared" si="3"/>
        <v/>
      </c>
      <c r="T2007" s="7" t="str">
        <f t="shared" si="4"/>
        <v/>
      </c>
    </row>
    <row r="2008">
      <c r="R2008" s="7" t="str">
        <f>IF(H2008="","",VLOOKUP(H2008,'Hoja 9'!$A$1:$B$255,2,0))</f>
        <v/>
      </c>
      <c r="S2008" s="7" t="str">
        <f t="shared" si="3"/>
        <v/>
      </c>
      <c r="T2008" s="7" t="str">
        <f t="shared" si="4"/>
        <v/>
      </c>
    </row>
    <row r="2009">
      <c r="R2009" s="7" t="str">
        <f>IF(H2009="","",VLOOKUP(H2009,'Hoja 9'!$A$1:$B$255,2,0))</f>
        <v/>
      </c>
      <c r="S2009" s="7" t="str">
        <f t="shared" si="3"/>
        <v/>
      </c>
      <c r="T2009" s="7" t="str">
        <f t="shared" si="4"/>
        <v/>
      </c>
    </row>
    <row r="2010">
      <c r="R2010" s="7" t="str">
        <f>IF(H2010="","",VLOOKUP(H2010,'Hoja 9'!$A$1:$B$255,2,0))</f>
        <v/>
      </c>
      <c r="S2010" s="7" t="str">
        <f t="shared" si="3"/>
        <v/>
      </c>
      <c r="T2010" s="7" t="str">
        <f t="shared" si="4"/>
        <v/>
      </c>
    </row>
    <row r="2011">
      <c r="R2011" s="7" t="str">
        <f>IF(H2011="","",VLOOKUP(H2011,'Hoja 9'!$A$1:$B$255,2,0))</f>
        <v/>
      </c>
      <c r="S2011" s="7" t="str">
        <f t="shared" si="3"/>
        <v/>
      </c>
      <c r="T2011" s="7" t="str">
        <f t="shared" si="4"/>
        <v/>
      </c>
    </row>
    <row r="2012">
      <c r="R2012" s="7" t="str">
        <f>IF(H2012="","",VLOOKUP(H2012,'Hoja 9'!$A$1:$B$255,2,0))</f>
        <v/>
      </c>
      <c r="S2012" s="7" t="str">
        <f t="shared" si="3"/>
        <v/>
      </c>
      <c r="T2012" s="7" t="str">
        <f t="shared" si="4"/>
        <v/>
      </c>
    </row>
    <row r="2013">
      <c r="R2013" s="7" t="str">
        <f>IF(H2013="","",VLOOKUP(H2013,'Hoja 9'!$A$1:$B$255,2,0))</f>
        <v/>
      </c>
      <c r="S2013" s="7" t="str">
        <f t="shared" si="3"/>
        <v/>
      </c>
      <c r="T2013" s="7" t="str">
        <f t="shared" si="4"/>
        <v/>
      </c>
    </row>
    <row r="2014">
      <c r="R2014" s="7" t="str">
        <f>IF(H2014="","",VLOOKUP(H2014,'Hoja 9'!$A$1:$B$255,2,0))</f>
        <v/>
      </c>
      <c r="S2014" s="7" t="str">
        <f t="shared" si="3"/>
        <v/>
      </c>
      <c r="T2014" s="7" t="str">
        <f t="shared" si="4"/>
        <v/>
      </c>
    </row>
    <row r="2015">
      <c r="R2015" s="7" t="str">
        <f>IF(H2015="","",VLOOKUP(H2015,'Hoja 9'!$A$1:$B$255,2,0))</f>
        <v/>
      </c>
      <c r="S2015" s="7" t="str">
        <f t="shared" si="3"/>
        <v/>
      </c>
      <c r="T2015" s="7" t="str">
        <f t="shared" si="4"/>
        <v/>
      </c>
    </row>
    <row r="2016">
      <c r="R2016" s="7" t="str">
        <f>IF(H2016="","",VLOOKUP(H2016,'Hoja 9'!$A$1:$B$255,2,0))</f>
        <v/>
      </c>
      <c r="S2016" s="7" t="str">
        <f t="shared" si="3"/>
        <v/>
      </c>
      <c r="T2016" s="7" t="str">
        <f t="shared" si="4"/>
        <v/>
      </c>
    </row>
    <row r="2017">
      <c r="R2017" s="7" t="str">
        <f>IF(H2017="","",VLOOKUP(H2017,'Hoja 9'!$A$1:$B$255,2,0))</f>
        <v/>
      </c>
      <c r="S2017" s="7" t="str">
        <f t="shared" si="3"/>
        <v/>
      </c>
      <c r="T2017" s="7" t="str">
        <f t="shared" si="4"/>
        <v/>
      </c>
    </row>
    <row r="2018">
      <c r="R2018" s="7" t="str">
        <f>IF(H2018="","",VLOOKUP(H2018,'Hoja 9'!$A$1:$B$255,2,0))</f>
        <v/>
      </c>
      <c r="S2018" s="7" t="str">
        <f t="shared" si="3"/>
        <v/>
      </c>
      <c r="T2018" s="7" t="str">
        <f t="shared" si="4"/>
        <v/>
      </c>
    </row>
    <row r="2019">
      <c r="R2019" s="7" t="str">
        <f>IF(H2019="","",VLOOKUP(H2019,'Hoja 9'!$A$1:$B$255,2,0))</f>
        <v/>
      </c>
      <c r="S2019" s="7" t="str">
        <f t="shared" si="3"/>
        <v/>
      </c>
      <c r="T2019" s="7" t="str">
        <f t="shared" si="4"/>
        <v/>
      </c>
    </row>
    <row r="2020">
      <c r="R2020" s="7" t="str">
        <f>IF(H2020="","",VLOOKUP(H2020,'Hoja 9'!$A$1:$B$255,2,0))</f>
        <v/>
      </c>
      <c r="S2020" s="7" t="str">
        <f t="shared" si="3"/>
        <v/>
      </c>
      <c r="T2020" s="7" t="str">
        <f t="shared" si="4"/>
        <v/>
      </c>
    </row>
    <row r="2021">
      <c r="R2021" s="7" t="str">
        <f>IF(H2021="","",VLOOKUP(H2021,'Hoja 9'!$A$1:$B$255,2,0))</f>
        <v/>
      </c>
      <c r="S2021" s="7" t="str">
        <f t="shared" si="3"/>
        <v/>
      </c>
      <c r="T2021" s="7" t="str">
        <f t="shared" si="4"/>
        <v/>
      </c>
    </row>
    <row r="2022">
      <c r="R2022" s="7" t="str">
        <f>IF(H2022="","",VLOOKUP(H2022,'Hoja 9'!$A$1:$B$255,2,0))</f>
        <v/>
      </c>
      <c r="S2022" s="7" t="str">
        <f t="shared" si="3"/>
        <v/>
      </c>
      <c r="T2022" s="7" t="str">
        <f t="shared" si="4"/>
        <v/>
      </c>
    </row>
    <row r="2023">
      <c r="R2023" s="7" t="str">
        <f>IF(H2023="","",VLOOKUP(H2023,'Hoja 9'!$A$1:$B$255,2,0))</f>
        <v/>
      </c>
      <c r="S2023" s="7" t="str">
        <f t="shared" si="3"/>
        <v/>
      </c>
      <c r="T2023" s="7" t="str">
        <f t="shared" si="4"/>
        <v/>
      </c>
    </row>
    <row r="2024">
      <c r="R2024" s="7" t="str">
        <f>IF(H2024="","",VLOOKUP(H2024,'Hoja 9'!$A$1:$B$255,2,0))</f>
        <v/>
      </c>
      <c r="S2024" s="7" t="str">
        <f t="shared" si="3"/>
        <v/>
      </c>
      <c r="T2024" s="7" t="str">
        <f t="shared" si="4"/>
        <v/>
      </c>
    </row>
    <row r="2025">
      <c r="R2025" s="7" t="str">
        <f>IF(H2025="","",VLOOKUP(H2025,'Hoja 9'!$A$1:$B$255,2,0))</f>
        <v/>
      </c>
      <c r="S2025" s="7" t="str">
        <f t="shared" si="3"/>
        <v/>
      </c>
      <c r="T2025" s="7" t="str">
        <f t="shared" si="4"/>
        <v/>
      </c>
    </row>
    <row r="2026">
      <c r="R2026" s="7" t="str">
        <f>IF(H2026="","",VLOOKUP(H2026,'Hoja 9'!$A$1:$B$255,2,0))</f>
        <v/>
      </c>
      <c r="S2026" s="7" t="str">
        <f t="shared" si="3"/>
        <v/>
      </c>
      <c r="T2026" s="7" t="str">
        <f t="shared" si="4"/>
        <v/>
      </c>
    </row>
    <row r="2027">
      <c r="R2027" s="7" t="str">
        <f>IF(H2027="","",VLOOKUP(H2027,'Hoja 9'!$A$1:$B$255,2,0))</f>
        <v/>
      </c>
      <c r="S2027" s="7" t="str">
        <f t="shared" si="3"/>
        <v/>
      </c>
      <c r="T2027" s="7" t="str">
        <f t="shared" si="4"/>
        <v/>
      </c>
    </row>
    <row r="2028">
      <c r="R2028" s="7" t="str">
        <f>IF(H2028="","",VLOOKUP(H2028,'Hoja 9'!$A$1:$B$255,2,0))</f>
        <v/>
      </c>
      <c r="S2028" s="7" t="str">
        <f t="shared" si="3"/>
        <v/>
      </c>
      <c r="T2028" s="7" t="str">
        <f t="shared" si="4"/>
        <v/>
      </c>
    </row>
    <row r="2029">
      <c r="R2029" s="7" t="str">
        <f>IF(H2029="","",VLOOKUP(H2029,'Hoja 9'!$A$1:$B$255,2,0))</f>
        <v/>
      </c>
      <c r="S2029" s="7" t="str">
        <f t="shared" si="3"/>
        <v/>
      </c>
      <c r="T2029" s="7" t="str">
        <f t="shared" si="4"/>
        <v/>
      </c>
    </row>
    <row r="2030">
      <c r="R2030" s="7" t="str">
        <f>IF(H2030="","",VLOOKUP(H2030,'Hoja 9'!$A$1:$B$255,2,0))</f>
        <v/>
      </c>
      <c r="S2030" s="7" t="str">
        <f t="shared" si="3"/>
        <v/>
      </c>
      <c r="T2030" s="7" t="str">
        <f t="shared" si="4"/>
        <v/>
      </c>
    </row>
    <row r="2031">
      <c r="R2031" s="7" t="str">
        <f>IF(H2031="","",VLOOKUP(H2031,'Hoja 9'!$A$1:$B$255,2,0))</f>
        <v/>
      </c>
      <c r="S2031" s="7" t="str">
        <f t="shared" si="3"/>
        <v/>
      </c>
      <c r="T2031" s="7" t="str">
        <f t="shared" si="4"/>
        <v/>
      </c>
    </row>
    <row r="2032">
      <c r="R2032" s="7" t="str">
        <f>IF(H2032="","",VLOOKUP(H2032,'Hoja 9'!$A$1:$B$255,2,0))</f>
        <v/>
      </c>
      <c r="S2032" s="7" t="str">
        <f t="shared" si="3"/>
        <v/>
      </c>
      <c r="T2032" s="7" t="str">
        <f t="shared" si="4"/>
        <v/>
      </c>
    </row>
    <row r="2033">
      <c r="R2033" s="7" t="str">
        <f>IF(H2033="","",VLOOKUP(H2033,'Hoja 9'!$A$1:$B$255,2,0))</f>
        <v/>
      </c>
      <c r="S2033" s="7" t="str">
        <f t="shared" si="3"/>
        <v/>
      </c>
      <c r="T2033" s="7" t="str">
        <f t="shared" si="4"/>
        <v/>
      </c>
    </row>
    <row r="2034">
      <c r="R2034" s="7" t="str">
        <f>IF(H2034="","",VLOOKUP(H2034,'Hoja 9'!$A$1:$B$255,2,0))</f>
        <v/>
      </c>
      <c r="S2034" s="7" t="str">
        <f t="shared" si="3"/>
        <v/>
      </c>
      <c r="T2034" s="7" t="str">
        <f t="shared" si="4"/>
        <v/>
      </c>
    </row>
    <row r="2035">
      <c r="R2035" s="7" t="str">
        <f>IF(H2035="","",VLOOKUP(H2035,'Hoja 9'!$A$1:$B$255,2,0))</f>
        <v/>
      </c>
      <c r="S2035" s="7" t="str">
        <f t="shared" si="3"/>
        <v/>
      </c>
      <c r="T2035" s="7" t="str">
        <f t="shared" si="4"/>
        <v/>
      </c>
    </row>
    <row r="2036">
      <c r="R2036" s="7" t="str">
        <f>IF(H2036="","",VLOOKUP(H2036,'Hoja 9'!$A$1:$B$255,2,0))</f>
        <v/>
      </c>
      <c r="S2036" s="7" t="str">
        <f t="shared" si="3"/>
        <v/>
      </c>
      <c r="T2036" s="7" t="str">
        <f t="shared" si="4"/>
        <v/>
      </c>
    </row>
    <row r="2037">
      <c r="R2037" s="7" t="str">
        <f>IF(H2037="","",VLOOKUP(H2037,'Hoja 9'!$A$1:$B$255,2,0))</f>
        <v/>
      </c>
      <c r="S2037" s="7" t="str">
        <f t="shared" si="3"/>
        <v/>
      </c>
      <c r="T2037" s="7" t="str">
        <f t="shared" si="4"/>
        <v/>
      </c>
    </row>
    <row r="2038">
      <c r="R2038" s="7" t="str">
        <f>IF(H2038="","",VLOOKUP(H2038,'Hoja 9'!$A$1:$B$255,2,0))</f>
        <v/>
      </c>
      <c r="S2038" s="7" t="str">
        <f t="shared" si="3"/>
        <v/>
      </c>
      <c r="T2038" s="7" t="str">
        <f t="shared" si="4"/>
        <v/>
      </c>
    </row>
    <row r="2039">
      <c r="R2039" s="7" t="str">
        <f>IF(H2039="","",VLOOKUP(H2039,'Hoja 9'!$A$1:$B$255,2,0))</f>
        <v/>
      </c>
      <c r="S2039" s="7" t="str">
        <f t="shared" si="3"/>
        <v/>
      </c>
      <c r="T2039" s="7" t="str">
        <f t="shared" si="4"/>
        <v/>
      </c>
    </row>
    <row r="2040">
      <c r="R2040" s="7" t="str">
        <f>IF(H2040="","",VLOOKUP(H2040,'Hoja 9'!$A$1:$B$255,2,0))</f>
        <v/>
      </c>
      <c r="S2040" s="7" t="str">
        <f t="shared" si="3"/>
        <v/>
      </c>
      <c r="T2040" s="7" t="str">
        <f t="shared" si="4"/>
        <v/>
      </c>
    </row>
    <row r="2041">
      <c r="R2041" s="7" t="str">
        <f>IF(H2041="","",VLOOKUP(H2041,'Hoja 9'!$A$1:$B$255,2,0))</f>
        <v/>
      </c>
      <c r="S2041" s="7" t="str">
        <f t="shared" si="3"/>
        <v/>
      </c>
      <c r="T2041" s="7" t="str">
        <f t="shared" si="4"/>
        <v/>
      </c>
    </row>
    <row r="2042">
      <c r="R2042" s="7" t="str">
        <f>IF(H2042="","",VLOOKUP(H2042,'Hoja 9'!$A$1:$B$255,2,0))</f>
        <v/>
      </c>
      <c r="S2042" s="7" t="str">
        <f t="shared" si="3"/>
        <v/>
      </c>
      <c r="T2042" s="7" t="str">
        <f t="shared" si="4"/>
        <v/>
      </c>
    </row>
    <row r="2043">
      <c r="R2043" s="7" t="str">
        <f>IF(H2043="","",VLOOKUP(H2043,'Hoja 9'!$A$1:$B$255,2,0))</f>
        <v/>
      </c>
      <c r="S2043" s="7" t="str">
        <f t="shared" si="3"/>
        <v/>
      </c>
      <c r="T2043" s="7" t="str">
        <f t="shared" si="4"/>
        <v/>
      </c>
    </row>
    <row r="2044">
      <c r="R2044" s="7" t="str">
        <f>IF(H2044="","",VLOOKUP(H2044,'Hoja 9'!$A$1:$B$255,2,0))</f>
        <v/>
      </c>
      <c r="S2044" s="7" t="str">
        <f t="shared" si="3"/>
        <v/>
      </c>
      <c r="T2044" s="7" t="str">
        <f t="shared" si="4"/>
        <v/>
      </c>
    </row>
    <row r="2045">
      <c r="R2045" s="7" t="str">
        <f>IF(H2045="","",VLOOKUP(H2045,'Hoja 9'!$A$1:$B$255,2,0))</f>
        <v/>
      </c>
      <c r="S2045" s="7" t="str">
        <f t="shared" si="3"/>
        <v/>
      </c>
      <c r="T2045" s="7" t="str">
        <f t="shared" si="4"/>
        <v/>
      </c>
    </row>
    <row r="2046">
      <c r="R2046" s="7" t="str">
        <f>IF(H2046="","",VLOOKUP(H2046,'Hoja 9'!$A$1:$B$255,2,0))</f>
        <v/>
      </c>
      <c r="S2046" s="7" t="str">
        <f t="shared" si="3"/>
        <v/>
      </c>
      <c r="T2046" s="7" t="str">
        <f t="shared" si="4"/>
        <v/>
      </c>
    </row>
    <row r="2047">
      <c r="R2047" s="7" t="str">
        <f>IF(H2047="","",VLOOKUP(H2047,'Hoja 9'!$A$1:$B$255,2,0))</f>
        <v/>
      </c>
      <c r="S2047" s="7" t="str">
        <f t="shared" si="3"/>
        <v/>
      </c>
      <c r="T2047" s="7" t="str">
        <f t="shared" si="4"/>
        <v/>
      </c>
    </row>
    <row r="2048">
      <c r="R2048" s="7" t="str">
        <f>IF(H2048="","",VLOOKUP(H2048,'Hoja 9'!$A$1:$B$255,2,0))</f>
        <v/>
      </c>
      <c r="S2048" s="7" t="str">
        <f t="shared" si="3"/>
        <v/>
      </c>
      <c r="T2048" s="7" t="str">
        <f t="shared" si="4"/>
        <v/>
      </c>
    </row>
    <row r="2049">
      <c r="R2049" s="7" t="str">
        <f>IF(H2049="","",VLOOKUP(H2049,'Hoja 9'!$A$1:$B$255,2,0))</f>
        <v/>
      </c>
      <c r="S2049" s="7" t="str">
        <f t="shared" si="3"/>
        <v/>
      </c>
      <c r="T2049" s="7" t="str">
        <f t="shared" si="4"/>
        <v/>
      </c>
    </row>
    <row r="2050">
      <c r="R2050" s="7" t="str">
        <f>IF(H2050="","",VLOOKUP(H2050,'Hoja 9'!$A$1:$B$255,2,0))</f>
        <v/>
      </c>
      <c r="S2050" s="7" t="str">
        <f t="shared" si="3"/>
        <v/>
      </c>
      <c r="T2050" s="7" t="str">
        <f t="shared" si="4"/>
        <v/>
      </c>
    </row>
    <row r="2051">
      <c r="R2051" s="7" t="str">
        <f>IF(H2051="","",VLOOKUP(H2051,'Hoja 9'!$A$1:$B$255,2,0))</f>
        <v/>
      </c>
      <c r="S2051" s="7" t="str">
        <f t="shared" si="3"/>
        <v/>
      </c>
      <c r="T2051" s="7" t="str">
        <f t="shared" si="4"/>
        <v/>
      </c>
    </row>
    <row r="2052">
      <c r="R2052" s="7" t="str">
        <f>IF(H2052="","",VLOOKUP(H2052,'Hoja 9'!$A$1:$B$255,2,0))</f>
        <v/>
      </c>
      <c r="S2052" s="7" t="str">
        <f t="shared" si="3"/>
        <v/>
      </c>
      <c r="T2052" s="7" t="str">
        <f t="shared" si="4"/>
        <v/>
      </c>
    </row>
    <row r="2053">
      <c r="R2053" s="7" t="str">
        <f>IF(H2053="","",VLOOKUP(H2053,'Hoja 9'!$A$1:$B$255,2,0))</f>
        <v/>
      </c>
      <c r="S2053" s="7" t="str">
        <f t="shared" si="3"/>
        <v/>
      </c>
      <c r="T2053" s="7" t="str">
        <f t="shared" si="4"/>
        <v/>
      </c>
    </row>
    <row r="2054">
      <c r="R2054" s="7" t="str">
        <f>IF(H2054="","",VLOOKUP(H2054,'Hoja 9'!$A$1:$B$255,2,0))</f>
        <v/>
      </c>
      <c r="S2054" s="7" t="str">
        <f t="shared" si="3"/>
        <v/>
      </c>
      <c r="T2054" s="7" t="str">
        <f t="shared" si="4"/>
        <v/>
      </c>
    </row>
    <row r="2055">
      <c r="R2055" s="7" t="str">
        <f>IF(H2055="","",VLOOKUP(H2055,'Hoja 9'!$A$1:$B$255,2,0))</f>
        <v/>
      </c>
      <c r="S2055" s="7" t="str">
        <f t="shared" si="3"/>
        <v/>
      </c>
      <c r="T2055" s="7" t="str">
        <f t="shared" si="4"/>
        <v/>
      </c>
    </row>
    <row r="2056">
      <c r="R2056" s="7" t="str">
        <f>IF(H2056="","",VLOOKUP(H2056,'Hoja 9'!$A$1:$B$255,2,0))</f>
        <v/>
      </c>
      <c r="S2056" s="7" t="str">
        <f t="shared" si="3"/>
        <v/>
      </c>
      <c r="T2056" s="7" t="str">
        <f t="shared" si="4"/>
        <v/>
      </c>
    </row>
    <row r="2057">
      <c r="R2057" s="7" t="str">
        <f>IF(H2057="","",VLOOKUP(H2057,'Hoja 9'!$A$1:$B$255,2,0))</f>
        <v/>
      </c>
      <c r="S2057" s="7" t="str">
        <f t="shared" si="3"/>
        <v/>
      </c>
      <c r="T2057" s="7" t="str">
        <f t="shared" si="4"/>
        <v/>
      </c>
    </row>
    <row r="2058">
      <c r="R2058" s="7" t="str">
        <f>IF(H2058="","",VLOOKUP(H2058,'Hoja 9'!$A$1:$B$255,2,0))</f>
        <v/>
      </c>
      <c r="S2058" s="7" t="str">
        <f t="shared" si="3"/>
        <v/>
      </c>
      <c r="T2058" s="7" t="str">
        <f t="shared" si="4"/>
        <v/>
      </c>
    </row>
    <row r="2059">
      <c r="R2059" s="7" t="str">
        <f>IF(H2059="","",VLOOKUP(H2059,'Hoja 9'!$A$1:$B$255,2,0))</f>
        <v/>
      </c>
      <c r="S2059" s="7" t="str">
        <f t="shared" si="3"/>
        <v/>
      </c>
      <c r="T2059" s="7" t="str">
        <f t="shared" si="4"/>
        <v/>
      </c>
    </row>
    <row r="2060">
      <c r="R2060" s="7" t="str">
        <f>IF(H2060="","",VLOOKUP(H2060,'Hoja 9'!$A$1:$B$255,2,0))</f>
        <v/>
      </c>
      <c r="S2060" s="7" t="str">
        <f t="shared" si="3"/>
        <v/>
      </c>
      <c r="T2060" s="7" t="str">
        <f t="shared" si="4"/>
        <v/>
      </c>
    </row>
    <row r="2061">
      <c r="R2061" s="7" t="str">
        <f>IF(H2061="","",VLOOKUP(H2061,'Hoja 9'!$A$1:$B$255,2,0))</f>
        <v/>
      </c>
      <c r="S2061" s="7" t="str">
        <f t="shared" si="3"/>
        <v/>
      </c>
      <c r="T2061" s="7" t="str">
        <f t="shared" si="4"/>
        <v/>
      </c>
    </row>
    <row r="2062">
      <c r="R2062" s="7" t="str">
        <f>IF(H2062="","",VLOOKUP(H2062,'Hoja 9'!$A$1:$B$255,2,0))</f>
        <v/>
      </c>
      <c r="S2062" s="7" t="str">
        <f t="shared" si="3"/>
        <v/>
      </c>
      <c r="T2062" s="7" t="str">
        <f t="shared" si="4"/>
        <v/>
      </c>
    </row>
    <row r="2063">
      <c r="R2063" s="7" t="str">
        <f>IF(H2063="","",VLOOKUP(H2063,'Hoja 9'!$A$1:$B$255,2,0))</f>
        <v/>
      </c>
      <c r="S2063" s="7" t="str">
        <f t="shared" si="3"/>
        <v/>
      </c>
      <c r="T2063" s="7" t="str">
        <f t="shared" si="4"/>
        <v/>
      </c>
    </row>
    <row r="2064">
      <c r="R2064" s="7" t="str">
        <f>IF(H2064="","",VLOOKUP(H2064,'Hoja 9'!$A$1:$B$255,2,0))</f>
        <v/>
      </c>
      <c r="S2064" s="7" t="str">
        <f t="shared" si="3"/>
        <v/>
      </c>
      <c r="T2064" s="7" t="str">
        <f t="shared" si="4"/>
        <v/>
      </c>
    </row>
    <row r="2065">
      <c r="R2065" s="7" t="str">
        <f>IF(H2065="","",VLOOKUP(H2065,'Hoja 9'!$A$1:$B$255,2,0))</f>
        <v/>
      </c>
      <c r="S2065" s="7" t="str">
        <f t="shared" si="3"/>
        <v/>
      </c>
      <c r="T2065" s="7" t="str">
        <f t="shared" si="4"/>
        <v/>
      </c>
    </row>
    <row r="2066">
      <c r="R2066" s="7" t="str">
        <f>IF(H2066="","",VLOOKUP(H2066,'Hoja 9'!$A$1:$B$255,2,0))</f>
        <v/>
      </c>
      <c r="S2066" s="7" t="str">
        <f t="shared" si="3"/>
        <v/>
      </c>
      <c r="T2066" s="7" t="str">
        <f t="shared" si="4"/>
        <v/>
      </c>
    </row>
    <row r="2067">
      <c r="R2067" s="7" t="str">
        <f>IF(H2067="","",VLOOKUP(H2067,'Hoja 9'!$A$1:$B$255,2,0))</f>
        <v/>
      </c>
      <c r="S2067" s="7" t="str">
        <f t="shared" si="3"/>
        <v/>
      </c>
      <c r="T2067" s="7" t="str">
        <f t="shared" si="4"/>
        <v/>
      </c>
    </row>
    <row r="2068">
      <c r="R2068" s="7" t="str">
        <f>IF(H2068="","",VLOOKUP(H2068,'Hoja 9'!$A$1:$B$255,2,0))</f>
        <v/>
      </c>
      <c r="S2068" s="7" t="str">
        <f t="shared" si="3"/>
        <v/>
      </c>
      <c r="T2068" s="7" t="str">
        <f t="shared" si="4"/>
        <v/>
      </c>
    </row>
    <row r="2069">
      <c r="R2069" s="7" t="str">
        <f>IF(H2069="","",VLOOKUP(H2069,'Hoja 9'!$A$1:$B$255,2,0))</f>
        <v/>
      </c>
      <c r="S2069" s="7" t="str">
        <f t="shared" si="3"/>
        <v/>
      </c>
      <c r="T2069" s="7" t="str">
        <f t="shared" si="4"/>
        <v/>
      </c>
    </row>
    <row r="2070">
      <c r="R2070" s="7" t="str">
        <f>IF(H2070="","",VLOOKUP(H2070,'Hoja 9'!$A$1:$B$255,2,0))</f>
        <v/>
      </c>
      <c r="S2070" s="7" t="str">
        <f t="shared" si="3"/>
        <v/>
      </c>
      <c r="T2070" s="7" t="str">
        <f t="shared" si="4"/>
        <v/>
      </c>
    </row>
    <row r="2071">
      <c r="R2071" s="7" t="str">
        <f>IF(H2071="","",VLOOKUP(H2071,'Hoja 9'!$A$1:$B$255,2,0))</f>
        <v/>
      </c>
      <c r="S2071" s="7" t="str">
        <f t="shared" si="3"/>
        <v/>
      </c>
      <c r="T2071" s="7" t="str">
        <f t="shared" si="4"/>
        <v/>
      </c>
    </row>
    <row r="2072">
      <c r="R2072" s="7" t="str">
        <f>IF(H2072="","",VLOOKUP(H2072,'Hoja 9'!$A$1:$B$255,2,0))</f>
        <v/>
      </c>
      <c r="S2072" s="7" t="str">
        <f t="shared" si="3"/>
        <v/>
      </c>
      <c r="T2072" s="7" t="str">
        <f t="shared" si="4"/>
        <v/>
      </c>
    </row>
    <row r="2073">
      <c r="R2073" s="7" t="str">
        <f>IF(H2073="","",VLOOKUP(H2073,'Hoja 9'!$A$1:$B$255,2,0))</f>
        <v/>
      </c>
      <c r="S2073" s="7" t="str">
        <f t="shared" si="3"/>
        <v/>
      </c>
      <c r="T2073" s="7" t="str">
        <f t="shared" si="4"/>
        <v/>
      </c>
    </row>
    <row r="2074">
      <c r="R2074" s="7" t="str">
        <f>IF(H2074="","",VLOOKUP(H2074,'Hoja 9'!$A$1:$B$255,2,0))</f>
        <v/>
      </c>
      <c r="S2074" s="7" t="str">
        <f t="shared" si="3"/>
        <v/>
      </c>
      <c r="T2074" s="7" t="str">
        <f t="shared" si="4"/>
        <v/>
      </c>
    </row>
    <row r="2075">
      <c r="R2075" s="7" t="str">
        <f>IF(H2075="","",VLOOKUP(H2075,'Hoja 9'!$A$1:$B$255,2,0))</f>
        <v/>
      </c>
      <c r="S2075" s="7" t="str">
        <f t="shared" si="3"/>
        <v/>
      </c>
      <c r="T2075" s="7" t="str">
        <f t="shared" si="4"/>
        <v/>
      </c>
    </row>
    <row r="2076">
      <c r="R2076" s="7" t="str">
        <f>IF(H2076="","",VLOOKUP(H2076,'Hoja 9'!$A$1:$B$255,2,0))</f>
        <v/>
      </c>
      <c r="S2076" s="7" t="str">
        <f t="shared" si="3"/>
        <v/>
      </c>
      <c r="T2076" s="7" t="str">
        <f t="shared" si="4"/>
        <v/>
      </c>
    </row>
    <row r="2077">
      <c r="R2077" s="7" t="str">
        <f>IF(H2077="","",VLOOKUP(H2077,'Hoja 9'!$A$1:$B$255,2,0))</f>
        <v/>
      </c>
      <c r="S2077" s="7" t="str">
        <f t="shared" si="3"/>
        <v/>
      </c>
      <c r="T2077" s="7" t="str">
        <f t="shared" si="4"/>
        <v/>
      </c>
    </row>
    <row r="2078">
      <c r="R2078" s="7" t="str">
        <f>IF(H2078="","",VLOOKUP(H2078,'Hoja 9'!$A$1:$B$255,2,0))</f>
        <v/>
      </c>
      <c r="S2078" s="7" t="str">
        <f t="shared" si="3"/>
        <v/>
      </c>
      <c r="T2078" s="7" t="str">
        <f t="shared" si="4"/>
        <v/>
      </c>
    </row>
    <row r="2079">
      <c r="R2079" s="7" t="str">
        <f>IF(H2079="","",VLOOKUP(H2079,'Hoja 9'!$A$1:$B$255,2,0))</f>
        <v/>
      </c>
      <c r="S2079" s="7" t="str">
        <f t="shared" si="3"/>
        <v/>
      </c>
      <c r="T2079" s="7" t="str">
        <f t="shared" si="4"/>
        <v/>
      </c>
    </row>
    <row r="2080">
      <c r="R2080" s="7" t="str">
        <f>IF(H2080="","",VLOOKUP(H2080,'Hoja 9'!$A$1:$B$255,2,0))</f>
        <v/>
      </c>
      <c r="S2080" s="7" t="str">
        <f t="shared" si="3"/>
        <v/>
      </c>
      <c r="T2080" s="7" t="str">
        <f t="shared" si="4"/>
        <v/>
      </c>
    </row>
    <row r="2081">
      <c r="R2081" s="7" t="str">
        <f>IF(H2081="","",VLOOKUP(H2081,'Hoja 9'!$A$1:$B$255,2,0))</f>
        <v/>
      </c>
      <c r="S2081" s="7" t="str">
        <f t="shared" si="3"/>
        <v/>
      </c>
      <c r="T2081" s="7" t="str">
        <f t="shared" si="4"/>
        <v/>
      </c>
    </row>
    <row r="2082">
      <c r="R2082" s="7" t="str">
        <f>IF(H2082="","",VLOOKUP(H2082,'Hoja 9'!$A$1:$B$255,2,0))</f>
        <v/>
      </c>
      <c r="S2082" s="7" t="str">
        <f t="shared" si="3"/>
        <v/>
      </c>
      <c r="T2082" s="7" t="str">
        <f t="shared" si="4"/>
        <v/>
      </c>
    </row>
    <row r="2083">
      <c r="R2083" s="7" t="str">
        <f>IF(H2083="","",VLOOKUP(H2083,'Hoja 9'!$A$1:$B$255,2,0))</f>
        <v/>
      </c>
      <c r="S2083" s="7" t="str">
        <f t="shared" si="3"/>
        <v/>
      </c>
      <c r="T2083" s="7" t="str">
        <f t="shared" si="4"/>
        <v/>
      </c>
    </row>
    <row r="2084">
      <c r="R2084" s="7" t="str">
        <f>IF(H2084="","",VLOOKUP(H2084,'Hoja 9'!$A$1:$B$255,2,0))</f>
        <v/>
      </c>
      <c r="S2084" s="7" t="str">
        <f t="shared" si="3"/>
        <v/>
      </c>
      <c r="T2084" s="7" t="str">
        <f t="shared" si="4"/>
        <v/>
      </c>
    </row>
    <row r="2085">
      <c r="R2085" s="7" t="str">
        <f>IF(H2085="","",VLOOKUP(H2085,'Hoja 9'!$A$1:$B$255,2,0))</f>
        <v/>
      </c>
      <c r="S2085" s="7" t="str">
        <f t="shared" si="3"/>
        <v/>
      </c>
      <c r="T2085" s="7" t="str">
        <f t="shared" si="4"/>
        <v/>
      </c>
    </row>
    <row r="2086">
      <c r="R2086" s="7" t="str">
        <f>IF(H2086="","",VLOOKUP(H2086,'Hoja 9'!$A$1:$B$255,2,0))</f>
        <v/>
      </c>
      <c r="S2086" s="7" t="str">
        <f t="shared" si="3"/>
        <v/>
      </c>
      <c r="T2086" s="7" t="str">
        <f t="shared" si="4"/>
        <v/>
      </c>
    </row>
    <row r="2087">
      <c r="R2087" s="7" t="str">
        <f>IF(H2087="","",VLOOKUP(H2087,'Hoja 9'!$A$1:$B$255,2,0))</f>
        <v/>
      </c>
      <c r="S2087" s="7" t="str">
        <f t="shared" si="3"/>
        <v/>
      </c>
      <c r="T2087" s="7" t="str">
        <f t="shared" si="4"/>
        <v/>
      </c>
    </row>
    <row r="2088">
      <c r="R2088" s="7" t="str">
        <f>IF(H2088="","",VLOOKUP(H2088,'Hoja 9'!$A$1:$B$255,2,0))</f>
        <v/>
      </c>
      <c r="S2088" s="7" t="str">
        <f t="shared" si="3"/>
        <v/>
      </c>
      <c r="T2088" s="7" t="str">
        <f t="shared" si="4"/>
        <v/>
      </c>
    </row>
    <row r="2089">
      <c r="R2089" s="7" t="str">
        <f>IF(H2089="","",VLOOKUP(H2089,'Hoja 9'!$A$1:$B$255,2,0))</f>
        <v/>
      </c>
      <c r="S2089" s="7" t="str">
        <f t="shared" si="3"/>
        <v/>
      </c>
      <c r="T2089" s="7" t="str">
        <f t="shared" si="4"/>
        <v/>
      </c>
    </row>
    <row r="2090">
      <c r="R2090" s="7" t="str">
        <f>IF(H2090="","",VLOOKUP(H2090,'Hoja 9'!$A$1:$B$255,2,0))</f>
        <v/>
      </c>
      <c r="S2090" s="7" t="str">
        <f t="shared" si="3"/>
        <v/>
      </c>
      <c r="T2090" s="7" t="str">
        <f t="shared" si="4"/>
        <v/>
      </c>
    </row>
    <row r="2091">
      <c r="R2091" s="7" t="str">
        <f>IF(H2091="","",VLOOKUP(H2091,'Hoja 9'!$A$1:$B$255,2,0))</f>
        <v/>
      </c>
      <c r="S2091" s="7" t="str">
        <f t="shared" si="3"/>
        <v/>
      </c>
      <c r="T2091" s="7" t="str">
        <f t="shared" si="4"/>
        <v/>
      </c>
    </row>
    <row r="2092">
      <c r="R2092" s="7" t="str">
        <f>IF(H2092="","",VLOOKUP(H2092,'Hoja 9'!$A$1:$B$255,2,0))</f>
        <v/>
      </c>
      <c r="S2092" s="7" t="str">
        <f t="shared" si="3"/>
        <v/>
      </c>
      <c r="T2092" s="7" t="str">
        <f t="shared" si="4"/>
        <v/>
      </c>
    </row>
    <row r="2093">
      <c r="R2093" s="7" t="str">
        <f>IF(H2093="","",VLOOKUP(H2093,'Hoja 9'!$A$1:$B$255,2,0))</f>
        <v/>
      </c>
      <c r="S2093" s="7" t="str">
        <f t="shared" si="3"/>
        <v/>
      </c>
      <c r="T2093" s="7" t="str">
        <f t="shared" si="4"/>
        <v/>
      </c>
    </row>
    <row r="2094">
      <c r="R2094" s="7" t="str">
        <f>IF(H2094="","",VLOOKUP(H2094,'Hoja 9'!$A$1:$B$255,2,0))</f>
        <v/>
      </c>
      <c r="S2094" s="7" t="str">
        <f t="shared" si="3"/>
        <v/>
      </c>
      <c r="T2094" s="7" t="str">
        <f t="shared" si="4"/>
        <v/>
      </c>
    </row>
    <row r="2095">
      <c r="R2095" s="7" t="str">
        <f>IF(H2095="","",VLOOKUP(H2095,'Hoja 9'!$A$1:$B$255,2,0))</f>
        <v/>
      </c>
      <c r="S2095" s="7" t="str">
        <f t="shared" si="3"/>
        <v/>
      </c>
      <c r="T2095" s="7" t="str">
        <f t="shared" si="4"/>
        <v/>
      </c>
    </row>
    <row r="2096">
      <c r="R2096" s="7" t="str">
        <f>IF(H2096="","",VLOOKUP(H2096,'Hoja 9'!$A$1:$B$255,2,0))</f>
        <v/>
      </c>
      <c r="S2096" s="7" t="str">
        <f t="shared" si="3"/>
        <v/>
      </c>
      <c r="T2096" s="7" t="str">
        <f t="shared" si="4"/>
        <v/>
      </c>
    </row>
    <row r="2097">
      <c r="R2097" s="7" t="str">
        <f>IF(H2097="","",VLOOKUP(H2097,'Hoja 9'!$A$1:$B$255,2,0))</f>
        <v/>
      </c>
      <c r="S2097" s="7" t="str">
        <f t="shared" si="3"/>
        <v/>
      </c>
      <c r="T2097" s="7" t="str">
        <f t="shared" si="4"/>
        <v/>
      </c>
    </row>
    <row r="2098">
      <c r="R2098" s="7" t="str">
        <f>IF(H2098="","",VLOOKUP(H2098,'Hoja 9'!$A$1:$B$255,2,0))</f>
        <v/>
      </c>
      <c r="S2098" s="7" t="str">
        <f t="shared" si="3"/>
        <v/>
      </c>
      <c r="T2098" s="7" t="str">
        <f t="shared" si="4"/>
        <v/>
      </c>
    </row>
    <row r="2099">
      <c r="R2099" s="7" t="str">
        <f>IF(H2099="","",VLOOKUP(H2099,'Hoja 9'!$A$1:$B$255,2,0))</f>
        <v/>
      </c>
      <c r="S2099" s="7" t="str">
        <f t="shared" si="3"/>
        <v/>
      </c>
      <c r="T2099" s="7" t="str">
        <f t="shared" si="4"/>
        <v/>
      </c>
    </row>
    <row r="2100">
      <c r="R2100" s="7" t="str">
        <f>IF(H2100="","",VLOOKUP(H2100,'Hoja 9'!$A$1:$B$255,2,0))</f>
        <v/>
      </c>
      <c r="S2100" s="7" t="str">
        <f t="shared" si="3"/>
        <v/>
      </c>
      <c r="T2100" s="7" t="str">
        <f t="shared" si="4"/>
        <v/>
      </c>
    </row>
    <row r="2101">
      <c r="R2101" s="7" t="str">
        <f>IF(H2101="","",VLOOKUP(H2101,'Hoja 9'!$A$1:$B$255,2,0))</f>
        <v/>
      </c>
      <c r="S2101" s="7" t="str">
        <f t="shared" si="3"/>
        <v/>
      </c>
      <c r="T2101" s="7" t="str">
        <f t="shared" si="4"/>
        <v/>
      </c>
    </row>
    <row r="2102">
      <c r="R2102" s="7" t="str">
        <f>IF(H2102="","",VLOOKUP(H2102,'Hoja 9'!$A$1:$B$255,2,0))</f>
        <v/>
      </c>
      <c r="S2102" s="7" t="str">
        <f t="shared" si="3"/>
        <v/>
      </c>
      <c r="T2102" s="7" t="str">
        <f t="shared" si="4"/>
        <v/>
      </c>
    </row>
    <row r="2103">
      <c r="R2103" s="7" t="str">
        <f>IF(H2103="","",VLOOKUP(H2103,'Hoja 9'!$A$1:$B$255,2,0))</f>
        <v/>
      </c>
      <c r="S2103" s="7" t="str">
        <f t="shared" si="3"/>
        <v/>
      </c>
      <c r="T2103" s="7" t="str">
        <f t="shared" si="4"/>
        <v/>
      </c>
    </row>
    <row r="2104">
      <c r="R2104" s="7" t="str">
        <f>IF(H2104="","",VLOOKUP(H2104,'Hoja 9'!$A$1:$B$255,2,0))</f>
        <v/>
      </c>
      <c r="S2104" s="7" t="str">
        <f t="shared" si="3"/>
        <v/>
      </c>
      <c r="T2104" s="7" t="str">
        <f t="shared" si="4"/>
        <v/>
      </c>
    </row>
    <row r="2105">
      <c r="R2105" s="7" t="str">
        <f>IF(H2105="","",VLOOKUP(H2105,'Hoja 9'!$A$1:$B$255,2,0))</f>
        <v/>
      </c>
      <c r="S2105" s="7" t="str">
        <f t="shared" si="3"/>
        <v/>
      </c>
      <c r="T2105" s="7" t="str">
        <f t="shared" si="4"/>
        <v/>
      </c>
    </row>
    <row r="2106">
      <c r="R2106" s="7" t="str">
        <f>IF(H2106="","",VLOOKUP(H2106,'Hoja 9'!$A$1:$B$255,2,0))</f>
        <v/>
      </c>
      <c r="S2106" s="7" t="str">
        <f t="shared" si="3"/>
        <v/>
      </c>
      <c r="T2106" s="7" t="str">
        <f t="shared" si="4"/>
        <v/>
      </c>
    </row>
    <row r="2107">
      <c r="R2107" s="7" t="str">
        <f>IF(H2107="","",VLOOKUP(H2107,'Hoja 9'!$A$1:$B$255,2,0))</f>
        <v/>
      </c>
      <c r="S2107" s="7" t="str">
        <f t="shared" si="3"/>
        <v/>
      </c>
      <c r="T2107" s="7" t="str">
        <f t="shared" si="4"/>
        <v/>
      </c>
    </row>
    <row r="2108">
      <c r="R2108" s="7" t="str">
        <f>IF(H2108="","",VLOOKUP(H2108,'Hoja 9'!$A$1:$B$255,2,0))</f>
        <v/>
      </c>
      <c r="S2108" s="7" t="str">
        <f t="shared" si="3"/>
        <v/>
      </c>
      <c r="T2108" s="7" t="str">
        <f t="shared" si="4"/>
        <v/>
      </c>
    </row>
    <row r="2109">
      <c r="R2109" s="7" t="str">
        <f>IF(H2109="","",VLOOKUP(H2109,'Hoja 9'!$A$1:$B$255,2,0))</f>
        <v/>
      </c>
      <c r="S2109" s="7" t="str">
        <f t="shared" si="3"/>
        <v/>
      </c>
      <c r="T2109" s="7" t="str">
        <f t="shared" si="4"/>
        <v/>
      </c>
    </row>
    <row r="2110">
      <c r="R2110" s="7" t="str">
        <f>IF(H2110="","",VLOOKUP(H2110,'Hoja 9'!$A$1:$B$255,2,0))</f>
        <v/>
      </c>
      <c r="S2110" s="7" t="str">
        <f t="shared" si="3"/>
        <v/>
      </c>
      <c r="T2110" s="7" t="str">
        <f t="shared" si="4"/>
        <v/>
      </c>
    </row>
    <row r="2111">
      <c r="R2111" s="7" t="str">
        <f>IF(H2111="","",VLOOKUP(H2111,'Hoja 9'!$A$1:$B$255,2,0))</f>
        <v/>
      </c>
      <c r="S2111" s="7" t="str">
        <f t="shared" si="3"/>
        <v/>
      </c>
      <c r="T2111" s="7" t="str">
        <f t="shared" si="4"/>
        <v/>
      </c>
    </row>
    <row r="2112">
      <c r="R2112" s="7" t="str">
        <f>IF(H2112="","",VLOOKUP(H2112,'Hoja 9'!$A$1:$B$255,2,0))</f>
        <v/>
      </c>
      <c r="S2112" s="7" t="str">
        <f t="shared" si="3"/>
        <v/>
      </c>
      <c r="T2112" s="7" t="str">
        <f t="shared" si="4"/>
        <v/>
      </c>
    </row>
    <row r="2113">
      <c r="R2113" s="7" t="str">
        <f>IF(H2113="","",VLOOKUP(H2113,'Hoja 9'!$A$1:$B$255,2,0))</f>
        <v/>
      </c>
      <c r="S2113" s="7" t="str">
        <f t="shared" si="3"/>
        <v/>
      </c>
      <c r="T2113" s="7" t="str">
        <f t="shared" si="4"/>
        <v/>
      </c>
    </row>
    <row r="2114">
      <c r="R2114" s="7" t="str">
        <f>IF(H2114="","",VLOOKUP(H2114,'Hoja 9'!$A$1:$B$255,2,0))</f>
        <v/>
      </c>
      <c r="S2114" s="7" t="str">
        <f t="shared" si="3"/>
        <v/>
      </c>
      <c r="T2114" s="7" t="str">
        <f t="shared" si="4"/>
        <v/>
      </c>
    </row>
    <row r="2115">
      <c r="R2115" s="7" t="str">
        <f>IF(H2115="","",VLOOKUP(H2115,'Hoja 9'!$A$1:$B$255,2,0))</f>
        <v/>
      </c>
      <c r="S2115" s="7" t="str">
        <f t="shared" si="3"/>
        <v/>
      </c>
      <c r="T2115" s="7" t="str">
        <f t="shared" si="4"/>
        <v/>
      </c>
    </row>
    <row r="2116">
      <c r="R2116" s="7" t="str">
        <f>IF(H2116="","",VLOOKUP(H2116,'Hoja 9'!$A$1:$B$255,2,0))</f>
        <v/>
      </c>
      <c r="S2116" s="7" t="str">
        <f t="shared" si="3"/>
        <v/>
      </c>
      <c r="T2116" s="7" t="str">
        <f t="shared" si="4"/>
        <v/>
      </c>
    </row>
    <row r="2117">
      <c r="R2117" s="7" t="str">
        <f>IF(H2117="","",VLOOKUP(H2117,'Hoja 9'!$A$1:$B$255,2,0))</f>
        <v/>
      </c>
      <c r="S2117" s="7" t="str">
        <f t="shared" si="3"/>
        <v/>
      </c>
      <c r="T2117" s="7" t="str">
        <f t="shared" si="4"/>
        <v/>
      </c>
    </row>
    <row r="2118">
      <c r="R2118" s="7" t="str">
        <f>IF(H2118="","",VLOOKUP(H2118,'Hoja 9'!$A$1:$B$255,2,0))</f>
        <v/>
      </c>
      <c r="S2118" s="7" t="str">
        <f t="shared" si="3"/>
        <v/>
      </c>
      <c r="T2118" s="7" t="str">
        <f t="shared" si="4"/>
        <v/>
      </c>
    </row>
    <row r="2119">
      <c r="R2119" s="7" t="str">
        <f>IF(H2119="","",VLOOKUP(H2119,'Hoja 9'!$A$1:$B$255,2,0))</f>
        <v/>
      </c>
      <c r="S2119" s="7" t="str">
        <f t="shared" si="3"/>
        <v/>
      </c>
      <c r="T2119" s="7" t="str">
        <f t="shared" si="4"/>
        <v/>
      </c>
    </row>
    <row r="2120">
      <c r="R2120" s="7" t="str">
        <f>IF(H2120="","",VLOOKUP(H2120,'Hoja 9'!$A$1:$B$255,2,0))</f>
        <v/>
      </c>
      <c r="S2120" s="7" t="str">
        <f t="shared" si="3"/>
        <v/>
      </c>
      <c r="T2120" s="7" t="str">
        <f t="shared" si="4"/>
        <v/>
      </c>
    </row>
    <row r="2121">
      <c r="R2121" s="7" t="str">
        <f>IF(H2121="","",VLOOKUP(H2121,'Hoja 9'!$A$1:$B$255,2,0))</f>
        <v/>
      </c>
      <c r="S2121" s="7" t="str">
        <f t="shared" si="3"/>
        <v/>
      </c>
      <c r="T2121" s="7" t="str">
        <f t="shared" si="4"/>
        <v/>
      </c>
    </row>
    <row r="2122">
      <c r="R2122" s="7" t="str">
        <f>IF(H2122="","",VLOOKUP(H2122,'Hoja 9'!$A$1:$B$255,2,0))</f>
        <v/>
      </c>
      <c r="S2122" s="7" t="str">
        <f t="shared" si="3"/>
        <v/>
      </c>
      <c r="T2122" s="7" t="str">
        <f t="shared" si="4"/>
        <v/>
      </c>
    </row>
    <row r="2123">
      <c r="R2123" s="7" t="str">
        <f>IF(H2123="","",VLOOKUP(H2123,'Hoja 9'!$A$1:$B$255,2,0))</f>
        <v/>
      </c>
      <c r="S2123" s="7" t="str">
        <f t="shared" si="3"/>
        <v/>
      </c>
      <c r="T2123" s="7" t="str">
        <f t="shared" si="4"/>
        <v/>
      </c>
    </row>
    <row r="2124">
      <c r="R2124" s="7" t="str">
        <f>IF(H2124="","",VLOOKUP(H2124,'Hoja 9'!$A$1:$B$255,2,0))</f>
        <v/>
      </c>
      <c r="S2124" s="7" t="str">
        <f t="shared" si="3"/>
        <v/>
      </c>
      <c r="T2124" s="7" t="str">
        <f t="shared" si="4"/>
        <v/>
      </c>
    </row>
    <row r="2125">
      <c r="R2125" s="7" t="str">
        <f>IF(H2125="","",VLOOKUP(H2125,'Hoja 9'!$A$1:$B$255,2,0))</f>
        <v/>
      </c>
      <c r="S2125" s="7" t="str">
        <f t="shared" si="3"/>
        <v/>
      </c>
      <c r="T2125" s="7" t="str">
        <f t="shared" si="4"/>
        <v/>
      </c>
    </row>
    <row r="2126">
      <c r="R2126" s="7" t="str">
        <f>IF(H2126="","",VLOOKUP(H2126,'Hoja 9'!$A$1:$B$255,2,0))</f>
        <v/>
      </c>
      <c r="S2126" s="7" t="str">
        <f t="shared" si="3"/>
        <v/>
      </c>
      <c r="T2126" s="7" t="str">
        <f t="shared" si="4"/>
        <v/>
      </c>
    </row>
    <row r="2127">
      <c r="R2127" s="7" t="str">
        <f>IF(H2127="","",VLOOKUP(H2127,'Hoja 9'!$A$1:$B$255,2,0))</f>
        <v/>
      </c>
      <c r="S2127" s="7" t="str">
        <f t="shared" si="3"/>
        <v/>
      </c>
      <c r="T2127" s="7" t="str">
        <f t="shared" si="4"/>
        <v/>
      </c>
    </row>
    <row r="2128">
      <c r="R2128" s="7" t="str">
        <f>IF(H2128="","",VLOOKUP(H2128,'Hoja 9'!$A$1:$B$255,2,0))</f>
        <v/>
      </c>
      <c r="S2128" s="7" t="str">
        <f t="shared" si="3"/>
        <v/>
      </c>
      <c r="T2128" s="7" t="str">
        <f t="shared" si="4"/>
        <v/>
      </c>
    </row>
    <row r="2129">
      <c r="R2129" s="7" t="str">
        <f>IF(H2129="","",VLOOKUP(H2129,'Hoja 9'!$A$1:$B$255,2,0))</f>
        <v/>
      </c>
      <c r="S2129" s="7" t="str">
        <f t="shared" si="3"/>
        <v/>
      </c>
      <c r="T2129" s="7" t="str">
        <f t="shared" si="4"/>
        <v/>
      </c>
    </row>
    <row r="2130">
      <c r="R2130" s="7" t="str">
        <f>IF(H2130="","",VLOOKUP(H2130,'Hoja 9'!$A$1:$B$255,2,0))</f>
        <v/>
      </c>
      <c r="S2130" s="7" t="str">
        <f t="shared" si="3"/>
        <v/>
      </c>
      <c r="T2130" s="7" t="str">
        <f t="shared" si="4"/>
        <v/>
      </c>
    </row>
    <row r="2131">
      <c r="R2131" s="7" t="str">
        <f>IF(H2131="","",VLOOKUP(H2131,'Hoja 9'!$A$1:$B$255,2,0))</f>
        <v/>
      </c>
      <c r="S2131" s="7" t="str">
        <f t="shared" si="3"/>
        <v/>
      </c>
      <c r="T2131" s="7" t="str">
        <f t="shared" si="4"/>
        <v/>
      </c>
    </row>
    <row r="2132">
      <c r="R2132" s="7" t="str">
        <f>IF(H2132="","",VLOOKUP(H2132,'Hoja 9'!$A$1:$B$255,2,0))</f>
        <v/>
      </c>
      <c r="S2132" s="7" t="str">
        <f t="shared" si="3"/>
        <v/>
      </c>
      <c r="T2132" s="7" t="str">
        <f t="shared" si="4"/>
        <v/>
      </c>
    </row>
    <row r="2133">
      <c r="R2133" s="7" t="str">
        <f>IF(H2133="","",VLOOKUP(H2133,'Hoja 9'!$A$1:$B$255,2,0))</f>
        <v/>
      </c>
      <c r="S2133" s="7" t="str">
        <f t="shared" si="3"/>
        <v/>
      </c>
      <c r="T2133" s="7" t="str">
        <f t="shared" si="4"/>
        <v/>
      </c>
    </row>
    <row r="2134">
      <c r="R2134" s="7" t="str">
        <f>IF(H2134="","",VLOOKUP(H2134,'Hoja 9'!$A$1:$B$255,2,0))</f>
        <v/>
      </c>
      <c r="S2134" s="7" t="str">
        <f t="shared" si="3"/>
        <v/>
      </c>
      <c r="T2134" s="7" t="str">
        <f t="shared" si="4"/>
        <v/>
      </c>
    </row>
    <row r="2135">
      <c r="R2135" s="7" t="str">
        <f>IF(H2135="","",VLOOKUP(H2135,'Hoja 9'!$A$1:$B$255,2,0))</f>
        <v/>
      </c>
      <c r="S2135" s="7" t="str">
        <f t="shared" si="3"/>
        <v/>
      </c>
      <c r="T2135" s="7" t="str">
        <f t="shared" si="4"/>
        <v/>
      </c>
    </row>
    <row r="2136">
      <c r="R2136" s="7" t="str">
        <f>IF(H2136="","",VLOOKUP(H2136,'Hoja 9'!$A$1:$B$255,2,0))</f>
        <v/>
      </c>
      <c r="S2136" s="7" t="str">
        <f t="shared" si="3"/>
        <v/>
      </c>
      <c r="T2136" s="7" t="str">
        <f t="shared" si="4"/>
        <v/>
      </c>
    </row>
    <row r="2137">
      <c r="R2137" s="7" t="str">
        <f>IF(H2137="","",VLOOKUP(H2137,'Hoja 9'!$A$1:$B$255,2,0))</f>
        <v/>
      </c>
      <c r="S2137" s="7" t="str">
        <f t="shared" si="3"/>
        <v/>
      </c>
      <c r="T2137" s="7" t="str">
        <f t="shared" si="4"/>
        <v/>
      </c>
    </row>
    <row r="2138">
      <c r="R2138" s="7" t="str">
        <f>IF(H2138="","",VLOOKUP(H2138,'Hoja 9'!$A$1:$B$255,2,0))</f>
        <v/>
      </c>
      <c r="S2138" s="7" t="str">
        <f t="shared" si="3"/>
        <v/>
      </c>
      <c r="T2138" s="7" t="str">
        <f t="shared" si="4"/>
        <v/>
      </c>
    </row>
    <row r="2139">
      <c r="R2139" s="7" t="str">
        <f>IF(H2139="","",VLOOKUP(H2139,'Hoja 9'!$A$1:$B$255,2,0))</f>
        <v/>
      </c>
      <c r="S2139" s="7" t="str">
        <f t="shared" si="3"/>
        <v/>
      </c>
      <c r="T2139" s="7" t="str">
        <f t="shared" si="4"/>
        <v/>
      </c>
    </row>
    <row r="2140">
      <c r="R2140" s="7" t="str">
        <f>IF(H2140="","",VLOOKUP(H2140,'Hoja 9'!$A$1:$B$255,2,0))</f>
        <v/>
      </c>
      <c r="S2140" s="7" t="str">
        <f t="shared" si="3"/>
        <v/>
      </c>
      <c r="T2140" s="7" t="str">
        <f t="shared" si="4"/>
        <v/>
      </c>
    </row>
    <row r="2141">
      <c r="R2141" s="7" t="str">
        <f>IF(H2141="","",VLOOKUP(H2141,'Hoja 9'!$A$1:$B$255,2,0))</f>
        <v/>
      </c>
      <c r="S2141" s="7" t="str">
        <f t="shared" si="3"/>
        <v/>
      </c>
      <c r="T2141" s="7" t="str">
        <f t="shared" si="4"/>
        <v/>
      </c>
    </row>
    <row r="2142">
      <c r="R2142" s="7" t="str">
        <f>IF(H2142="","",VLOOKUP(H2142,'Hoja 9'!$A$1:$B$255,2,0))</f>
        <v/>
      </c>
      <c r="S2142" s="7" t="str">
        <f t="shared" si="3"/>
        <v/>
      </c>
      <c r="T2142" s="7" t="str">
        <f t="shared" si="4"/>
        <v/>
      </c>
    </row>
    <row r="2143">
      <c r="R2143" s="7" t="str">
        <f>IF(H2143="","",VLOOKUP(H2143,'Hoja 9'!$A$1:$B$255,2,0))</f>
        <v/>
      </c>
      <c r="S2143" s="7" t="str">
        <f t="shared" si="3"/>
        <v/>
      </c>
      <c r="T2143" s="7" t="str">
        <f t="shared" si="4"/>
        <v/>
      </c>
    </row>
    <row r="2144">
      <c r="R2144" s="7" t="str">
        <f>IF(H2144="","",VLOOKUP(H2144,'Hoja 9'!$A$1:$B$255,2,0))</f>
        <v/>
      </c>
      <c r="S2144" s="7" t="str">
        <f t="shared" si="3"/>
        <v/>
      </c>
      <c r="T2144" s="7" t="str">
        <f t="shared" si="4"/>
        <v/>
      </c>
    </row>
    <row r="2145">
      <c r="R2145" s="7" t="str">
        <f>IF(H2145="","",VLOOKUP(H2145,'Hoja 9'!$A$1:$B$255,2,0))</f>
        <v/>
      </c>
      <c r="S2145" s="7" t="str">
        <f t="shared" si="3"/>
        <v/>
      </c>
      <c r="T2145" s="7" t="str">
        <f t="shared" si="4"/>
        <v/>
      </c>
    </row>
    <row r="2146">
      <c r="R2146" s="7" t="str">
        <f>IF(H2146="","",VLOOKUP(H2146,'Hoja 9'!$A$1:$B$255,2,0))</f>
        <v/>
      </c>
      <c r="S2146" s="7" t="str">
        <f t="shared" si="3"/>
        <v/>
      </c>
      <c r="T2146" s="7" t="str">
        <f t="shared" si="4"/>
        <v/>
      </c>
    </row>
    <row r="2147">
      <c r="R2147" s="7" t="str">
        <f>IF(H2147="","",VLOOKUP(H2147,'Hoja 9'!$A$1:$B$255,2,0))</f>
        <v/>
      </c>
      <c r="S2147" s="7" t="str">
        <f t="shared" si="3"/>
        <v/>
      </c>
      <c r="T2147" s="7" t="str">
        <f t="shared" si="4"/>
        <v/>
      </c>
    </row>
    <row r="2148">
      <c r="R2148" s="7" t="str">
        <f>IF(H2148="","",VLOOKUP(H2148,'Hoja 9'!$A$1:$B$255,2,0))</f>
        <v/>
      </c>
      <c r="S2148" s="7" t="str">
        <f t="shared" si="3"/>
        <v/>
      </c>
      <c r="T2148" s="7" t="str">
        <f t="shared" si="4"/>
        <v/>
      </c>
    </row>
    <row r="2149">
      <c r="R2149" s="7" t="str">
        <f>IF(H2149="","",VLOOKUP(H2149,'Hoja 9'!$A$1:$B$255,2,0))</f>
        <v/>
      </c>
      <c r="S2149" s="7" t="str">
        <f t="shared" si="3"/>
        <v/>
      </c>
      <c r="T2149" s="7" t="str">
        <f t="shared" si="4"/>
        <v/>
      </c>
    </row>
    <row r="2150">
      <c r="R2150" s="7" t="str">
        <f>IF(H2150="","",VLOOKUP(H2150,'Hoja 9'!$A$1:$B$255,2,0))</f>
        <v/>
      </c>
      <c r="S2150" s="7" t="str">
        <f t="shared" si="3"/>
        <v/>
      </c>
      <c r="T2150" s="7" t="str">
        <f t="shared" si="4"/>
        <v/>
      </c>
    </row>
    <row r="2151">
      <c r="R2151" s="7" t="str">
        <f>IF(H2151="","",VLOOKUP(H2151,'Hoja 9'!$A$1:$B$255,2,0))</f>
        <v/>
      </c>
      <c r="S2151" s="7" t="str">
        <f t="shared" si="3"/>
        <v/>
      </c>
      <c r="T2151" s="7" t="str">
        <f t="shared" si="4"/>
        <v/>
      </c>
    </row>
    <row r="2152">
      <c r="R2152" s="7" t="str">
        <f>IF(H2152="","",VLOOKUP(H2152,'Hoja 9'!$A$1:$B$255,2,0))</f>
        <v/>
      </c>
      <c r="S2152" s="7" t="str">
        <f t="shared" si="3"/>
        <v/>
      </c>
      <c r="T2152" s="7" t="str">
        <f t="shared" si="4"/>
        <v/>
      </c>
    </row>
    <row r="2153">
      <c r="R2153" s="7" t="str">
        <f>IF(H2153="","",VLOOKUP(H2153,'Hoja 9'!$A$1:$B$255,2,0))</f>
        <v/>
      </c>
      <c r="S2153" s="7" t="str">
        <f t="shared" si="3"/>
        <v/>
      </c>
      <c r="T2153" s="7" t="str">
        <f t="shared" si="4"/>
        <v/>
      </c>
    </row>
    <row r="2154">
      <c r="R2154" s="7" t="str">
        <f>IF(H2154="","",VLOOKUP(H2154,'Hoja 9'!$A$1:$B$255,2,0))</f>
        <v/>
      </c>
      <c r="S2154" s="7" t="str">
        <f t="shared" si="3"/>
        <v/>
      </c>
      <c r="T2154" s="7" t="str">
        <f t="shared" si="4"/>
        <v/>
      </c>
    </row>
    <row r="2155">
      <c r="R2155" s="7" t="str">
        <f>IF(H2155="","",VLOOKUP(H2155,'Hoja 9'!$A$1:$B$255,2,0))</f>
        <v/>
      </c>
      <c r="S2155" s="7" t="str">
        <f t="shared" si="3"/>
        <v/>
      </c>
      <c r="T2155" s="7" t="str">
        <f t="shared" si="4"/>
        <v/>
      </c>
    </row>
    <row r="2156">
      <c r="R2156" s="7" t="str">
        <f>IF(H2156="","",VLOOKUP(H2156,'Hoja 9'!$A$1:$B$255,2,0))</f>
        <v/>
      </c>
      <c r="S2156" s="7" t="str">
        <f t="shared" si="3"/>
        <v/>
      </c>
      <c r="T2156" s="7" t="str">
        <f t="shared" si="4"/>
        <v/>
      </c>
    </row>
    <row r="2157">
      <c r="R2157" s="7" t="str">
        <f>IF(H2157="","",VLOOKUP(H2157,'Hoja 9'!$A$1:$B$255,2,0))</f>
        <v/>
      </c>
      <c r="S2157" s="7" t="str">
        <f t="shared" si="3"/>
        <v/>
      </c>
      <c r="T2157" s="7" t="str">
        <f t="shared" si="4"/>
        <v/>
      </c>
    </row>
    <row r="2158">
      <c r="R2158" s="7" t="str">
        <f>IF(H2158="","",VLOOKUP(H2158,'Hoja 9'!$A$1:$B$255,2,0))</f>
        <v/>
      </c>
      <c r="S2158" s="7" t="str">
        <f t="shared" si="3"/>
        <v/>
      </c>
      <c r="T2158" s="7" t="str">
        <f t="shared" si="4"/>
        <v/>
      </c>
    </row>
    <row r="2159">
      <c r="R2159" s="7" t="str">
        <f>IF(H2159="","",VLOOKUP(H2159,'Hoja 9'!$A$1:$B$255,2,0))</f>
        <v/>
      </c>
      <c r="S2159" s="7" t="str">
        <f t="shared" si="3"/>
        <v/>
      </c>
      <c r="T2159" s="7" t="str">
        <f t="shared" si="4"/>
        <v/>
      </c>
    </row>
    <row r="2160">
      <c r="R2160" s="7" t="str">
        <f>IF(H2160="","",VLOOKUP(H2160,'Hoja 9'!$A$1:$B$255,2,0))</f>
        <v/>
      </c>
      <c r="S2160" s="7" t="str">
        <f t="shared" si="3"/>
        <v/>
      </c>
      <c r="T2160" s="7" t="str">
        <f t="shared" si="4"/>
        <v/>
      </c>
    </row>
    <row r="2161">
      <c r="R2161" s="7" t="str">
        <f>IF(H2161="","",VLOOKUP(H2161,'Hoja 9'!$A$1:$B$255,2,0))</f>
        <v/>
      </c>
      <c r="S2161" s="7" t="str">
        <f t="shared" si="3"/>
        <v/>
      </c>
      <c r="T2161" s="7" t="str">
        <f t="shared" si="4"/>
        <v/>
      </c>
    </row>
    <row r="2162">
      <c r="R2162" s="7" t="str">
        <f>IF(H2162="","",VLOOKUP(H2162,'Hoja 9'!$A$1:$B$255,2,0))</f>
        <v/>
      </c>
      <c r="S2162" s="7" t="str">
        <f t="shared" si="3"/>
        <v/>
      </c>
      <c r="T2162" s="7" t="str">
        <f t="shared" si="4"/>
        <v/>
      </c>
    </row>
    <row r="2163">
      <c r="R2163" s="7" t="str">
        <f>IF(H2163="","",VLOOKUP(H2163,'Hoja 9'!$A$1:$B$255,2,0))</f>
        <v/>
      </c>
      <c r="S2163" s="7" t="str">
        <f t="shared" si="3"/>
        <v/>
      </c>
      <c r="T2163" s="7" t="str">
        <f t="shared" si="4"/>
        <v/>
      </c>
    </row>
    <row r="2164">
      <c r="R2164" s="7" t="str">
        <f>IF(H2164="","",VLOOKUP(H2164,'Hoja 9'!$A$1:$B$255,2,0))</f>
        <v/>
      </c>
      <c r="S2164" s="7" t="str">
        <f t="shared" si="3"/>
        <v/>
      </c>
      <c r="T2164" s="7" t="str">
        <f t="shared" si="4"/>
        <v/>
      </c>
    </row>
    <row r="2165">
      <c r="R2165" s="7" t="str">
        <f>IF(H2165="","",VLOOKUP(H2165,'Hoja 9'!$A$1:$B$255,2,0))</f>
        <v/>
      </c>
      <c r="S2165" s="7" t="str">
        <f t="shared" si="3"/>
        <v/>
      </c>
      <c r="T2165" s="7" t="str">
        <f t="shared" si="4"/>
        <v/>
      </c>
    </row>
    <row r="2166">
      <c r="R2166" s="7" t="str">
        <f>IF(H2166="","",VLOOKUP(H2166,'Hoja 9'!$A$1:$B$255,2,0))</f>
        <v/>
      </c>
      <c r="S2166" s="7" t="str">
        <f t="shared" si="3"/>
        <v/>
      </c>
      <c r="T2166" s="7" t="str">
        <f t="shared" si="4"/>
        <v/>
      </c>
    </row>
    <row r="2167">
      <c r="R2167" s="7" t="str">
        <f>IF(H2167="","",VLOOKUP(H2167,'Hoja 9'!$A$1:$B$255,2,0))</f>
        <v/>
      </c>
      <c r="S2167" s="7" t="str">
        <f t="shared" si="3"/>
        <v/>
      </c>
      <c r="T2167" s="7" t="str">
        <f t="shared" si="4"/>
        <v/>
      </c>
    </row>
    <row r="2168">
      <c r="R2168" s="7" t="str">
        <f>IF(H2168="","",VLOOKUP(H2168,'Hoja 9'!$A$1:$B$255,2,0))</f>
        <v/>
      </c>
      <c r="S2168" s="7" t="str">
        <f t="shared" si="3"/>
        <v/>
      </c>
      <c r="T2168" s="7" t="str">
        <f t="shared" si="4"/>
        <v/>
      </c>
    </row>
    <row r="2169">
      <c r="R2169" s="7" t="str">
        <f>IF(H2169="","",VLOOKUP(H2169,'Hoja 9'!$A$1:$B$255,2,0))</f>
        <v/>
      </c>
      <c r="S2169" s="7" t="str">
        <f t="shared" si="3"/>
        <v/>
      </c>
      <c r="T2169" s="7" t="str">
        <f t="shared" si="4"/>
        <v/>
      </c>
    </row>
    <row r="2170">
      <c r="R2170" s="7" t="str">
        <f>IF(H2170="","",VLOOKUP(H2170,'Hoja 9'!$A$1:$B$255,2,0))</f>
        <v/>
      </c>
      <c r="S2170" s="7" t="str">
        <f t="shared" si="3"/>
        <v/>
      </c>
      <c r="T2170" s="7" t="str">
        <f t="shared" si="4"/>
        <v/>
      </c>
    </row>
    <row r="2171">
      <c r="R2171" s="7" t="str">
        <f>IF(H2171="","",VLOOKUP(H2171,'Hoja 9'!$A$1:$B$255,2,0))</f>
        <v/>
      </c>
      <c r="S2171" s="7" t="str">
        <f t="shared" si="3"/>
        <v/>
      </c>
      <c r="T2171" s="7" t="str">
        <f t="shared" si="4"/>
        <v/>
      </c>
    </row>
    <row r="2172">
      <c r="R2172" s="7" t="str">
        <f>IF(H2172="","",VLOOKUP(H2172,'Hoja 9'!$A$1:$B$255,2,0))</f>
        <v/>
      </c>
      <c r="S2172" s="7" t="str">
        <f t="shared" si="3"/>
        <v/>
      </c>
      <c r="T2172" s="7" t="str">
        <f t="shared" si="4"/>
        <v/>
      </c>
    </row>
    <row r="2173">
      <c r="R2173" s="7" t="str">
        <f>IF(H2173="","",VLOOKUP(H2173,'Hoja 9'!$A$1:$B$255,2,0))</f>
        <v/>
      </c>
      <c r="S2173" s="7" t="str">
        <f t="shared" si="3"/>
        <v/>
      </c>
      <c r="T2173" s="7" t="str">
        <f t="shared" si="4"/>
        <v/>
      </c>
    </row>
    <row r="2174">
      <c r="R2174" s="7" t="str">
        <f>IF(H2174="","",VLOOKUP(H2174,'Hoja 9'!$A$1:$B$255,2,0))</f>
        <v/>
      </c>
      <c r="S2174" s="7" t="str">
        <f t="shared" si="3"/>
        <v/>
      </c>
      <c r="T2174" s="7" t="str">
        <f t="shared" si="4"/>
        <v/>
      </c>
    </row>
    <row r="2175">
      <c r="R2175" s="7" t="str">
        <f>IF(H2175="","",VLOOKUP(H2175,'Hoja 9'!$A$1:$B$255,2,0))</f>
        <v/>
      </c>
      <c r="S2175" s="7" t="str">
        <f t="shared" si="3"/>
        <v/>
      </c>
      <c r="T2175" s="7" t="str">
        <f t="shared" si="4"/>
        <v/>
      </c>
    </row>
    <row r="2176">
      <c r="R2176" s="7" t="str">
        <f>IF(H2176="","",VLOOKUP(H2176,'Hoja 9'!$A$1:$B$255,2,0))</f>
        <v/>
      </c>
      <c r="S2176" s="7" t="str">
        <f t="shared" si="3"/>
        <v/>
      </c>
      <c r="T2176" s="7" t="str">
        <f t="shared" si="4"/>
        <v/>
      </c>
    </row>
    <row r="2177">
      <c r="R2177" s="7" t="str">
        <f>IF(H2177="","",VLOOKUP(H2177,'Hoja 9'!$A$1:$B$255,2,0))</f>
        <v/>
      </c>
      <c r="S2177" s="7" t="str">
        <f t="shared" si="3"/>
        <v/>
      </c>
      <c r="T2177" s="7" t="str">
        <f t="shared" si="4"/>
        <v/>
      </c>
    </row>
    <row r="2178">
      <c r="R2178" s="7" t="str">
        <f>IF(H2178="","",VLOOKUP(H2178,'Hoja 9'!$A$1:$B$255,2,0))</f>
        <v/>
      </c>
      <c r="S2178" s="7" t="str">
        <f t="shared" si="3"/>
        <v/>
      </c>
      <c r="T2178" s="7" t="str">
        <f t="shared" si="4"/>
        <v/>
      </c>
    </row>
    <row r="2179">
      <c r="R2179" s="7" t="str">
        <f>IF(H2179="","",VLOOKUP(H2179,'Hoja 9'!$A$1:$B$255,2,0))</f>
        <v/>
      </c>
      <c r="S2179" s="7" t="str">
        <f t="shared" si="3"/>
        <v/>
      </c>
      <c r="T2179" s="7" t="str">
        <f t="shared" si="4"/>
        <v/>
      </c>
    </row>
    <row r="2180">
      <c r="R2180" s="7" t="str">
        <f>IF(H2180="","",VLOOKUP(H2180,'Hoja 9'!$A$1:$B$255,2,0))</f>
        <v/>
      </c>
      <c r="S2180" s="7" t="str">
        <f t="shared" si="3"/>
        <v/>
      </c>
      <c r="T2180" s="7" t="str">
        <f t="shared" si="4"/>
        <v/>
      </c>
    </row>
    <row r="2181">
      <c r="R2181" s="7" t="str">
        <f>IF(H2181="","",VLOOKUP(H2181,'Hoja 9'!$A$1:$B$255,2,0))</f>
        <v/>
      </c>
      <c r="S2181" s="7" t="str">
        <f t="shared" si="3"/>
        <v/>
      </c>
      <c r="T2181" s="7" t="str">
        <f t="shared" si="4"/>
        <v/>
      </c>
    </row>
    <row r="2182">
      <c r="R2182" s="7" t="str">
        <f>IF(H2182="","",VLOOKUP(H2182,'Hoja 9'!$A$1:$B$255,2,0))</f>
        <v/>
      </c>
      <c r="S2182" s="7" t="str">
        <f t="shared" si="3"/>
        <v/>
      </c>
      <c r="T2182" s="7" t="str">
        <f t="shared" si="4"/>
        <v/>
      </c>
    </row>
    <row r="2183">
      <c r="R2183" s="7" t="str">
        <f>IF(H2183="","",VLOOKUP(H2183,'Hoja 9'!$A$1:$B$255,2,0))</f>
        <v/>
      </c>
      <c r="S2183" s="7" t="str">
        <f t="shared" si="3"/>
        <v/>
      </c>
      <c r="T2183" s="7" t="str">
        <f t="shared" si="4"/>
        <v/>
      </c>
    </row>
    <row r="2184">
      <c r="R2184" s="7" t="str">
        <f>IF(H2184="","",VLOOKUP(H2184,'Hoja 9'!$A$1:$B$255,2,0))</f>
        <v/>
      </c>
      <c r="S2184" s="7" t="str">
        <f t="shared" si="3"/>
        <v/>
      </c>
      <c r="T2184" s="7" t="str">
        <f t="shared" si="4"/>
        <v/>
      </c>
    </row>
    <row r="2185">
      <c r="R2185" s="7" t="str">
        <f>IF(H2185="","",VLOOKUP(H2185,'Hoja 9'!$A$1:$B$255,2,0))</f>
        <v/>
      </c>
      <c r="S2185" s="7" t="str">
        <f t="shared" si="3"/>
        <v/>
      </c>
      <c r="T2185" s="7" t="str">
        <f t="shared" si="4"/>
        <v/>
      </c>
    </row>
    <row r="2186">
      <c r="R2186" s="7" t="str">
        <f>IF(H2186="","",VLOOKUP(H2186,'Hoja 9'!$A$1:$B$255,2,0))</f>
        <v/>
      </c>
      <c r="S2186" s="7" t="str">
        <f t="shared" si="3"/>
        <v/>
      </c>
      <c r="T2186" s="7" t="str">
        <f t="shared" si="4"/>
        <v/>
      </c>
    </row>
    <row r="2187">
      <c r="R2187" s="7" t="str">
        <f>IF(H2187="","",VLOOKUP(H2187,'Hoja 9'!$A$1:$B$255,2,0))</f>
        <v/>
      </c>
      <c r="S2187" s="7" t="str">
        <f t="shared" si="3"/>
        <v/>
      </c>
      <c r="T2187" s="7" t="str">
        <f t="shared" si="4"/>
        <v/>
      </c>
    </row>
    <row r="2188">
      <c r="R2188" s="7" t="str">
        <f>IF(H2188="","",VLOOKUP(H2188,'Hoja 9'!$A$1:$B$255,2,0))</f>
        <v/>
      </c>
      <c r="S2188" s="7" t="str">
        <f t="shared" si="3"/>
        <v/>
      </c>
      <c r="T2188" s="7" t="str">
        <f t="shared" si="4"/>
        <v/>
      </c>
    </row>
    <row r="2189">
      <c r="R2189" s="7" t="str">
        <f>IF(H2189="","",VLOOKUP(H2189,'Hoja 9'!$A$1:$B$255,2,0))</f>
        <v/>
      </c>
      <c r="S2189" s="7" t="str">
        <f t="shared" si="3"/>
        <v/>
      </c>
      <c r="T2189" s="7" t="str">
        <f t="shared" si="4"/>
        <v/>
      </c>
    </row>
    <row r="2190">
      <c r="R2190" s="7" t="str">
        <f>IF(H2190="","",VLOOKUP(H2190,'Hoja 9'!$A$1:$B$255,2,0))</f>
        <v/>
      </c>
      <c r="S2190" s="7" t="str">
        <f t="shared" si="3"/>
        <v/>
      </c>
      <c r="T2190" s="7" t="str">
        <f t="shared" si="4"/>
        <v/>
      </c>
    </row>
    <row r="2191">
      <c r="R2191" s="7" t="str">
        <f>IF(H2191="","",VLOOKUP(H2191,'Hoja 9'!$A$1:$B$255,2,0))</f>
        <v/>
      </c>
      <c r="S2191" s="7" t="str">
        <f t="shared" si="3"/>
        <v/>
      </c>
      <c r="T2191" s="7" t="str">
        <f t="shared" si="4"/>
        <v/>
      </c>
    </row>
    <row r="2192">
      <c r="R2192" s="7" t="str">
        <f>IF(H2192="","",VLOOKUP(H2192,'Hoja 9'!$A$1:$B$255,2,0))</f>
        <v/>
      </c>
      <c r="S2192" s="7" t="str">
        <f t="shared" si="3"/>
        <v/>
      </c>
      <c r="T2192" s="7" t="str">
        <f t="shared" si="4"/>
        <v/>
      </c>
    </row>
    <row r="2193">
      <c r="R2193" s="7" t="str">
        <f>IF(H2193="","",VLOOKUP(H2193,'Hoja 9'!$A$1:$B$255,2,0))</f>
        <v/>
      </c>
      <c r="S2193" s="7" t="str">
        <f t="shared" si="3"/>
        <v/>
      </c>
      <c r="T2193" s="7" t="str">
        <f t="shared" si="4"/>
        <v/>
      </c>
    </row>
    <row r="2194">
      <c r="R2194" s="7" t="str">
        <f>IF(H2194="","",VLOOKUP(H2194,'Hoja 9'!$A$1:$B$255,2,0))</f>
        <v/>
      </c>
      <c r="S2194" s="7" t="str">
        <f t="shared" si="3"/>
        <v/>
      </c>
      <c r="T2194" s="7" t="str">
        <f t="shared" si="4"/>
        <v/>
      </c>
    </row>
    <row r="2195">
      <c r="R2195" s="7" t="str">
        <f>IF(H2195="","",VLOOKUP(H2195,'Hoja 9'!$A$1:$B$255,2,0))</f>
        <v/>
      </c>
      <c r="S2195" s="7" t="str">
        <f t="shared" si="3"/>
        <v/>
      </c>
      <c r="T2195" s="7" t="str">
        <f t="shared" si="4"/>
        <v/>
      </c>
    </row>
    <row r="2196">
      <c r="R2196" s="7" t="str">
        <f>IF(H2196="","",VLOOKUP(H2196,'Hoja 9'!$A$1:$B$255,2,0))</f>
        <v/>
      </c>
      <c r="S2196" s="7" t="str">
        <f t="shared" si="3"/>
        <v/>
      </c>
      <c r="T2196" s="7" t="str">
        <f t="shared" si="4"/>
        <v/>
      </c>
    </row>
    <row r="2197">
      <c r="R2197" s="7" t="str">
        <f>IF(H2197="","",VLOOKUP(H2197,'Hoja 9'!$A$1:$B$255,2,0))</f>
        <v/>
      </c>
      <c r="S2197" s="7" t="str">
        <f t="shared" si="3"/>
        <v/>
      </c>
      <c r="T2197" s="7" t="str">
        <f t="shared" si="4"/>
        <v/>
      </c>
    </row>
    <row r="2198">
      <c r="R2198" s="7" t="str">
        <f>IF(H2198="","",VLOOKUP(H2198,'Hoja 9'!$A$1:$B$255,2,0))</f>
        <v/>
      </c>
      <c r="S2198" s="7" t="str">
        <f t="shared" si="3"/>
        <v/>
      </c>
      <c r="T2198" s="7" t="str">
        <f t="shared" si="4"/>
        <v/>
      </c>
    </row>
    <row r="2199">
      <c r="R2199" s="7" t="str">
        <f>IF(H2199="","",VLOOKUP(H2199,'Hoja 9'!$A$1:$B$255,2,0))</f>
        <v/>
      </c>
      <c r="S2199" s="7" t="str">
        <f t="shared" si="3"/>
        <v/>
      </c>
      <c r="T2199" s="7" t="str">
        <f t="shared" si="4"/>
        <v/>
      </c>
    </row>
    <row r="2200">
      <c r="R2200" s="7" t="str">
        <f>IF(H2200="","",VLOOKUP(H2200,'Hoja 9'!$A$1:$B$255,2,0))</f>
        <v/>
      </c>
      <c r="S2200" s="7" t="str">
        <f t="shared" si="3"/>
        <v/>
      </c>
      <c r="T2200" s="7" t="str">
        <f t="shared" si="4"/>
        <v/>
      </c>
    </row>
    <row r="2201">
      <c r="R2201" s="7" t="str">
        <f>IF(H2201="","",VLOOKUP(H2201,'Hoja 9'!$A$1:$B$255,2,0))</f>
        <v/>
      </c>
      <c r="S2201" s="7" t="str">
        <f t="shared" si="3"/>
        <v/>
      </c>
      <c r="T2201" s="7" t="str">
        <f t="shared" si="4"/>
        <v/>
      </c>
    </row>
    <row r="2202">
      <c r="R2202" s="7" t="str">
        <f>IF(H2202="","",VLOOKUP(H2202,'Hoja 9'!$A$1:$B$255,2,0))</f>
        <v/>
      </c>
      <c r="S2202" s="7" t="str">
        <f t="shared" si="3"/>
        <v/>
      </c>
      <c r="T2202" s="7" t="str">
        <f t="shared" si="4"/>
        <v/>
      </c>
    </row>
    <row r="2203">
      <c r="R2203" s="7" t="str">
        <f>IF(H2203="","",VLOOKUP(H2203,'Hoja 9'!$A$1:$B$255,2,0))</f>
        <v/>
      </c>
      <c r="S2203" s="7" t="str">
        <f t="shared" si="3"/>
        <v/>
      </c>
      <c r="T2203" s="7" t="str">
        <f t="shared" si="4"/>
        <v/>
      </c>
    </row>
    <row r="2204">
      <c r="R2204" s="7" t="str">
        <f>IF(H2204="","",VLOOKUP(H2204,'Hoja 9'!$A$1:$B$255,2,0))</f>
        <v/>
      </c>
      <c r="S2204" s="7" t="str">
        <f t="shared" si="3"/>
        <v/>
      </c>
      <c r="T2204" s="7" t="str">
        <f t="shared" si="4"/>
        <v/>
      </c>
    </row>
    <row r="2205">
      <c r="R2205" s="7" t="str">
        <f>IF(H2205="","",VLOOKUP(H2205,'Hoja 9'!$A$1:$B$255,2,0))</f>
        <v/>
      </c>
      <c r="S2205" s="7" t="str">
        <f t="shared" si="3"/>
        <v/>
      </c>
      <c r="T2205" s="7" t="str">
        <f t="shared" si="4"/>
        <v/>
      </c>
    </row>
    <row r="2206">
      <c r="R2206" s="7" t="str">
        <f>IF(H2206="","",VLOOKUP(H2206,'Hoja 9'!$A$1:$B$255,2,0))</f>
        <v/>
      </c>
      <c r="S2206" s="7" t="str">
        <f t="shared" si="3"/>
        <v/>
      </c>
      <c r="T2206" s="7" t="str">
        <f t="shared" si="4"/>
        <v/>
      </c>
    </row>
    <row r="2207">
      <c r="R2207" s="7" t="str">
        <f>IF(H2207="","",VLOOKUP(H2207,'Hoja 9'!$A$1:$B$255,2,0))</f>
        <v/>
      </c>
      <c r="S2207" s="7" t="str">
        <f t="shared" si="3"/>
        <v/>
      </c>
      <c r="T2207" s="7" t="str">
        <f t="shared" si="4"/>
        <v/>
      </c>
    </row>
    <row r="2208">
      <c r="R2208" s="7" t="str">
        <f>IF(H2208="","",VLOOKUP(H2208,'Hoja 9'!$A$1:$B$255,2,0))</f>
        <v/>
      </c>
      <c r="S2208" s="7" t="str">
        <f t="shared" si="3"/>
        <v/>
      </c>
      <c r="T2208" s="7" t="str">
        <f t="shared" si="4"/>
        <v/>
      </c>
    </row>
    <row r="2209">
      <c r="R2209" s="7" t="str">
        <f>IF(H2209="","",VLOOKUP(H2209,'Hoja 9'!$A$1:$B$255,2,0))</f>
        <v/>
      </c>
      <c r="S2209" s="7" t="str">
        <f t="shared" si="3"/>
        <v/>
      </c>
      <c r="T2209" s="7" t="str">
        <f t="shared" si="4"/>
        <v/>
      </c>
    </row>
    <row r="2210">
      <c r="R2210" s="7" t="str">
        <f>IF(H2210="","",VLOOKUP(H2210,'Hoja 9'!$A$1:$B$255,2,0))</f>
        <v/>
      </c>
      <c r="S2210" s="7" t="str">
        <f t="shared" si="3"/>
        <v/>
      </c>
      <c r="T2210" s="7" t="str">
        <f t="shared" si="4"/>
        <v/>
      </c>
    </row>
    <row r="2211">
      <c r="R2211" s="7" t="str">
        <f>IF(H2211="","",VLOOKUP(H2211,'Hoja 9'!$A$1:$B$255,2,0))</f>
        <v/>
      </c>
      <c r="S2211" s="7" t="str">
        <f t="shared" si="3"/>
        <v/>
      </c>
      <c r="T2211" s="7" t="str">
        <f t="shared" si="4"/>
        <v/>
      </c>
    </row>
    <row r="2212">
      <c r="R2212" s="7" t="str">
        <f>IF(H2212="","",VLOOKUP(H2212,'Hoja 9'!$A$1:$B$255,2,0))</f>
        <v/>
      </c>
      <c r="S2212" s="7" t="str">
        <f t="shared" si="3"/>
        <v/>
      </c>
      <c r="T2212" s="7" t="str">
        <f t="shared" si="4"/>
        <v/>
      </c>
    </row>
    <row r="2213">
      <c r="R2213" s="7" t="str">
        <f>IF(H2213="","",VLOOKUP(H2213,'Hoja 9'!$A$1:$B$255,2,0))</f>
        <v/>
      </c>
      <c r="S2213" s="7" t="str">
        <f t="shared" si="3"/>
        <v/>
      </c>
      <c r="T2213" s="7" t="str">
        <f t="shared" si="4"/>
        <v/>
      </c>
    </row>
    <row r="2214">
      <c r="R2214" s="7" t="str">
        <f>IF(H2214="","",VLOOKUP(H2214,'Hoja 9'!$A$1:$B$255,2,0))</f>
        <v/>
      </c>
      <c r="S2214" s="7" t="str">
        <f t="shared" si="3"/>
        <v/>
      </c>
      <c r="T2214" s="7" t="str">
        <f t="shared" si="4"/>
        <v/>
      </c>
    </row>
    <row r="2215">
      <c r="R2215" s="7" t="str">
        <f>IF(H2215="","",VLOOKUP(H2215,'Hoja 9'!$A$1:$B$255,2,0))</f>
        <v/>
      </c>
      <c r="S2215" s="7" t="str">
        <f t="shared" si="3"/>
        <v/>
      </c>
      <c r="T2215" s="7" t="str">
        <f t="shared" si="4"/>
        <v/>
      </c>
    </row>
    <row r="2216">
      <c r="R2216" s="7" t="str">
        <f>IF(H2216="","",VLOOKUP(H2216,'Hoja 9'!$A$1:$B$255,2,0))</f>
        <v/>
      </c>
      <c r="S2216" s="7" t="str">
        <f t="shared" si="3"/>
        <v/>
      </c>
      <c r="T2216" s="7" t="str">
        <f t="shared" si="4"/>
        <v/>
      </c>
    </row>
    <row r="2217">
      <c r="R2217" s="7" t="str">
        <f>IF(H2217="","",VLOOKUP(H2217,'Hoja 9'!$A$1:$B$255,2,0))</f>
        <v/>
      </c>
      <c r="S2217" s="7" t="str">
        <f t="shared" si="3"/>
        <v/>
      </c>
      <c r="T2217" s="7" t="str">
        <f t="shared" si="4"/>
        <v/>
      </c>
    </row>
    <row r="2218">
      <c r="R2218" s="7" t="str">
        <f>IF(H2218="","",VLOOKUP(H2218,'Hoja 9'!$A$1:$B$255,2,0))</f>
        <v/>
      </c>
      <c r="S2218" s="7" t="str">
        <f t="shared" si="3"/>
        <v/>
      </c>
      <c r="T2218" s="7" t="str">
        <f t="shared" si="4"/>
        <v/>
      </c>
    </row>
    <row r="2219">
      <c r="R2219" s="7" t="str">
        <f>IF(H2219="","",VLOOKUP(H2219,'Hoja 9'!$A$1:$B$255,2,0))</f>
        <v/>
      </c>
      <c r="S2219" s="7" t="str">
        <f t="shared" si="3"/>
        <v/>
      </c>
      <c r="T2219" s="7" t="str">
        <f t="shared" si="4"/>
        <v/>
      </c>
    </row>
    <row r="2220">
      <c r="R2220" s="7" t="str">
        <f>IF(H2220="","",VLOOKUP(H2220,'Hoja 9'!$A$1:$B$255,2,0))</f>
        <v/>
      </c>
      <c r="S2220" s="7" t="str">
        <f t="shared" si="3"/>
        <v/>
      </c>
      <c r="T2220" s="7" t="str">
        <f t="shared" si="4"/>
        <v/>
      </c>
    </row>
    <row r="2221">
      <c r="R2221" s="7" t="str">
        <f>IF(H2221="","",VLOOKUP(H2221,'Hoja 9'!$A$1:$B$255,2,0))</f>
        <v/>
      </c>
      <c r="S2221" s="7" t="str">
        <f t="shared" si="3"/>
        <v/>
      </c>
      <c r="T2221" s="7" t="str">
        <f t="shared" si="4"/>
        <v/>
      </c>
    </row>
    <row r="2222">
      <c r="R2222" s="7" t="str">
        <f>IF(H2222="","",VLOOKUP(H2222,'Hoja 9'!$A$1:$B$255,2,0))</f>
        <v/>
      </c>
      <c r="S2222" s="7" t="str">
        <f t="shared" si="3"/>
        <v/>
      </c>
      <c r="T2222" s="7" t="str">
        <f t="shared" si="4"/>
        <v/>
      </c>
    </row>
    <row r="2223">
      <c r="R2223" s="7" t="str">
        <f>IF(H2223="","",VLOOKUP(H2223,'Hoja 9'!$A$1:$B$255,2,0))</f>
        <v/>
      </c>
      <c r="S2223" s="7" t="str">
        <f t="shared" si="3"/>
        <v/>
      </c>
      <c r="T2223" s="7" t="str">
        <f t="shared" si="4"/>
        <v/>
      </c>
    </row>
    <row r="2224">
      <c r="R2224" s="7" t="str">
        <f>IF(H2224="","",VLOOKUP(H2224,'Hoja 9'!$A$1:$B$255,2,0))</f>
        <v/>
      </c>
      <c r="S2224" s="7" t="str">
        <f t="shared" si="3"/>
        <v/>
      </c>
      <c r="T2224" s="7" t="str">
        <f t="shared" si="4"/>
        <v/>
      </c>
    </row>
    <row r="2225">
      <c r="R2225" s="7" t="str">
        <f>IF(H2225="","",VLOOKUP(H2225,'Hoja 9'!$A$1:$B$255,2,0))</f>
        <v/>
      </c>
      <c r="S2225" s="7" t="str">
        <f t="shared" si="3"/>
        <v/>
      </c>
      <c r="T2225" s="7" t="str">
        <f t="shared" si="4"/>
        <v/>
      </c>
    </row>
    <row r="2226">
      <c r="R2226" s="7" t="str">
        <f>IF(H2226="","",VLOOKUP(H2226,'Hoja 9'!$A$1:$B$255,2,0))</f>
        <v/>
      </c>
      <c r="S2226" s="7" t="str">
        <f t="shared" si="3"/>
        <v/>
      </c>
      <c r="T2226" s="7" t="str">
        <f t="shared" si="4"/>
        <v/>
      </c>
    </row>
    <row r="2227">
      <c r="R2227" s="7" t="str">
        <f>IF(H2227="","",VLOOKUP(H2227,'Hoja 9'!$A$1:$B$255,2,0))</f>
        <v/>
      </c>
      <c r="S2227" s="7" t="str">
        <f t="shared" si="3"/>
        <v/>
      </c>
      <c r="T2227" s="7" t="str">
        <f t="shared" si="4"/>
        <v/>
      </c>
    </row>
    <row r="2228">
      <c r="R2228" s="7" t="str">
        <f>IF(H2228="","",VLOOKUP(H2228,'Hoja 9'!$A$1:$B$255,2,0))</f>
        <v/>
      </c>
      <c r="S2228" s="7" t="str">
        <f t="shared" si="3"/>
        <v/>
      </c>
      <c r="T2228" s="7" t="str">
        <f t="shared" si="4"/>
        <v/>
      </c>
    </row>
    <row r="2229">
      <c r="R2229" s="7" t="str">
        <f>IF(H2229="","",VLOOKUP(H2229,'Hoja 9'!$A$1:$B$255,2,0))</f>
        <v/>
      </c>
      <c r="S2229" s="7" t="str">
        <f t="shared" si="3"/>
        <v/>
      </c>
      <c r="T2229" s="7" t="str">
        <f t="shared" si="4"/>
        <v/>
      </c>
    </row>
    <row r="2230">
      <c r="R2230" s="7" t="str">
        <f>IF(H2230="","",VLOOKUP(H2230,'Hoja 9'!$A$1:$B$255,2,0))</f>
        <v/>
      </c>
      <c r="S2230" s="7" t="str">
        <f t="shared" si="3"/>
        <v/>
      </c>
      <c r="T2230" s="7" t="str">
        <f t="shared" si="4"/>
        <v/>
      </c>
    </row>
    <row r="2231">
      <c r="R2231" s="7" t="str">
        <f>IF(H2231="","",VLOOKUP(H2231,'Hoja 9'!$A$1:$B$255,2,0))</f>
        <v/>
      </c>
      <c r="S2231" s="7" t="str">
        <f t="shared" si="3"/>
        <v/>
      </c>
      <c r="T2231" s="7" t="str">
        <f t="shared" si="4"/>
        <v/>
      </c>
    </row>
    <row r="2232">
      <c r="R2232" s="7" t="str">
        <f>IF(H2232="","",VLOOKUP(H2232,'Hoja 9'!$A$1:$B$255,2,0))</f>
        <v/>
      </c>
      <c r="S2232" s="7" t="str">
        <f t="shared" si="3"/>
        <v/>
      </c>
      <c r="T2232" s="7" t="str">
        <f t="shared" si="4"/>
        <v/>
      </c>
    </row>
    <row r="2233">
      <c r="R2233" s="7" t="str">
        <f>IF(H2233="","",VLOOKUP(H2233,'Hoja 9'!$A$1:$B$255,2,0))</f>
        <v/>
      </c>
      <c r="S2233" s="7" t="str">
        <f t="shared" si="3"/>
        <v/>
      </c>
      <c r="T2233" s="7" t="str">
        <f t="shared" si="4"/>
        <v/>
      </c>
    </row>
    <row r="2234">
      <c r="R2234" s="7" t="str">
        <f>IF(H2234="","",VLOOKUP(H2234,'Hoja 9'!$A$1:$B$255,2,0))</f>
        <v/>
      </c>
      <c r="S2234" s="7" t="str">
        <f t="shared" si="3"/>
        <v/>
      </c>
      <c r="T2234" s="7" t="str">
        <f t="shared" si="4"/>
        <v/>
      </c>
    </row>
    <row r="2235">
      <c r="R2235" s="7" t="str">
        <f>IF(H2235="","",VLOOKUP(H2235,'Hoja 9'!$A$1:$B$255,2,0))</f>
        <v/>
      </c>
      <c r="S2235" s="7" t="str">
        <f t="shared" si="3"/>
        <v/>
      </c>
      <c r="T2235" s="7" t="str">
        <f t="shared" si="4"/>
        <v/>
      </c>
    </row>
    <row r="2236">
      <c r="R2236" s="7" t="str">
        <f>IF(H2236="","",VLOOKUP(H2236,'Hoja 9'!$A$1:$B$255,2,0))</f>
        <v/>
      </c>
      <c r="S2236" s="7" t="str">
        <f t="shared" si="3"/>
        <v/>
      </c>
      <c r="T2236" s="7" t="str">
        <f t="shared" si="4"/>
        <v/>
      </c>
    </row>
    <row r="2237">
      <c r="R2237" s="7" t="str">
        <f>IF(H2237="","",VLOOKUP(H2237,'Hoja 9'!$A$1:$B$255,2,0))</f>
        <v/>
      </c>
      <c r="S2237" s="7" t="str">
        <f t="shared" si="3"/>
        <v/>
      </c>
      <c r="T2237" s="7" t="str">
        <f t="shared" si="4"/>
        <v/>
      </c>
    </row>
    <row r="2238">
      <c r="R2238" s="7" t="str">
        <f>IF(H2238="","",VLOOKUP(H2238,'Hoja 9'!$A$1:$B$255,2,0))</f>
        <v/>
      </c>
      <c r="S2238" s="7" t="str">
        <f t="shared" si="3"/>
        <v/>
      </c>
      <c r="T2238" s="7" t="str">
        <f t="shared" si="4"/>
        <v/>
      </c>
    </row>
    <row r="2239">
      <c r="R2239" s="7" t="str">
        <f>IF(H2239="","",VLOOKUP(H2239,'Hoja 9'!$A$1:$B$255,2,0))</f>
        <v/>
      </c>
      <c r="S2239" s="7" t="str">
        <f t="shared" si="3"/>
        <v/>
      </c>
      <c r="T2239" s="7" t="str">
        <f t="shared" si="4"/>
        <v/>
      </c>
    </row>
    <row r="2240">
      <c r="R2240" s="7" t="str">
        <f>IF(H2240="","",VLOOKUP(H2240,'Hoja 9'!$A$1:$B$255,2,0))</f>
        <v/>
      </c>
      <c r="S2240" s="7" t="str">
        <f t="shared" si="3"/>
        <v/>
      </c>
      <c r="T2240" s="7" t="str">
        <f t="shared" si="4"/>
        <v/>
      </c>
    </row>
    <row r="2241">
      <c r="R2241" s="7" t="str">
        <f>IF(H2241="","",VLOOKUP(H2241,'Hoja 9'!$A$1:$B$255,2,0))</f>
        <v/>
      </c>
      <c r="S2241" s="7" t="str">
        <f t="shared" si="3"/>
        <v/>
      </c>
      <c r="T2241" s="7" t="str">
        <f t="shared" si="4"/>
        <v/>
      </c>
    </row>
    <row r="2242">
      <c r="R2242" s="7" t="str">
        <f>IF(H2242="","",VLOOKUP(H2242,'Hoja 9'!$A$1:$B$255,2,0))</f>
        <v/>
      </c>
      <c r="S2242" s="7" t="str">
        <f t="shared" si="3"/>
        <v/>
      </c>
      <c r="T2242" s="7" t="str">
        <f t="shared" si="4"/>
        <v/>
      </c>
    </row>
    <row r="2243">
      <c r="R2243" s="7" t="str">
        <f>IF(H2243="","",VLOOKUP(H2243,'Hoja 9'!$A$1:$B$255,2,0))</f>
        <v/>
      </c>
      <c r="S2243" s="7" t="str">
        <f t="shared" si="3"/>
        <v/>
      </c>
      <c r="T2243" s="7" t="str">
        <f t="shared" si="4"/>
        <v/>
      </c>
    </row>
    <row r="2244">
      <c r="R2244" s="7" t="str">
        <f>IF(H2244="","",VLOOKUP(H2244,'Hoja 9'!$A$1:$B$255,2,0))</f>
        <v/>
      </c>
      <c r="S2244" s="7" t="str">
        <f t="shared" si="3"/>
        <v/>
      </c>
      <c r="T2244" s="7" t="str">
        <f t="shared" si="4"/>
        <v/>
      </c>
    </row>
    <row r="2245">
      <c r="R2245" s="7" t="str">
        <f>IF(H2245="","",VLOOKUP(H2245,'Hoja 9'!$A$1:$B$255,2,0))</f>
        <v/>
      </c>
      <c r="S2245" s="7" t="str">
        <f t="shared" si="3"/>
        <v/>
      </c>
      <c r="T2245" s="7" t="str">
        <f t="shared" si="4"/>
        <v/>
      </c>
    </row>
    <row r="2246">
      <c r="R2246" s="7" t="str">
        <f>IF(H2246="","",VLOOKUP(H2246,'Hoja 9'!$A$1:$B$255,2,0))</f>
        <v/>
      </c>
      <c r="S2246" s="7" t="str">
        <f t="shared" si="3"/>
        <v/>
      </c>
      <c r="T2246" s="7" t="str">
        <f t="shared" si="4"/>
        <v/>
      </c>
    </row>
    <row r="2247">
      <c r="R2247" s="7" t="str">
        <f>IF(H2247="","",VLOOKUP(H2247,'Hoja 9'!$A$1:$B$255,2,0))</f>
        <v/>
      </c>
      <c r="S2247" s="7" t="str">
        <f t="shared" si="3"/>
        <v/>
      </c>
      <c r="T2247" s="7" t="str">
        <f t="shared" si="4"/>
        <v/>
      </c>
    </row>
    <row r="2248">
      <c r="R2248" s="7" t="str">
        <f>IF(H2248="","",VLOOKUP(H2248,'Hoja 9'!$A$1:$B$255,2,0))</f>
        <v/>
      </c>
      <c r="S2248" s="7" t="str">
        <f t="shared" si="3"/>
        <v/>
      </c>
      <c r="T2248" s="7" t="str">
        <f t="shared" si="4"/>
        <v/>
      </c>
    </row>
    <row r="2249">
      <c r="R2249" s="7" t="str">
        <f>IF(H2249="","",VLOOKUP(H2249,'Hoja 9'!$A$1:$B$255,2,0))</f>
        <v/>
      </c>
      <c r="S2249" s="7" t="str">
        <f t="shared" si="3"/>
        <v/>
      </c>
      <c r="T2249" s="7" t="str">
        <f t="shared" si="4"/>
        <v/>
      </c>
    </row>
    <row r="2250">
      <c r="R2250" s="7" t="str">
        <f>IF(H2250="","",VLOOKUP(H2250,'Hoja 9'!$A$1:$B$255,2,0))</f>
        <v/>
      </c>
      <c r="S2250" s="7" t="str">
        <f t="shared" si="3"/>
        <v/>
      </c>
      <c r="T2250" s="7" t="str">
        <f t="shared" si="4"/>
        <v/>
      </c>
    </row>
    <row r="2251">
      <c r="R2251" s="7" t="str">
        <f>IF(H2251="","",VLOOKUP(H2251,'Hoja 9'!$A$1:$B$255,2,0))</f>
        <v/>
      </c>
      <c r="S2251" s="7" t="str">
        <f t="shared" si="3"/>
        <v/>
      </c>
      <c r="T2251" s="7" t="str">
        <f t="shared" si="4"/>
        <v/>
      </c>
    </row>
    <row r="2252">
      <c r="R2252" s="7" t="str">
        <f>IF(H2252="","",VLOOKUP(H2252,'Hoja 9'!$A$1:$B$255,2,0))</f>
        <v/>
      </c>
      <c r="S2252" s="7" t="str">
        <f t="shared" si="3"/>
        <v/>
      </c>
      <c r="T2252" s="7" t="str">
        <f t="shared" si="4"/>
        <v/>
      </c>
    </row>
    <row r="2253">
      <c r="R2253" s="7" t="str">
        <f>IF(H2253="","",VLOOKUP(H2253,'Hoja 9'!$A$1:$B$255,2,0))</f>
        <v/>
      </c>
      <c r="S2253" s="7" t="str">
        <f t="shared" si="3"/>
        <v/>
      </c>
      <c r="T2253" s="7" t="str">
        <f t="shared" si="4"/>
        <v/>
      </c>
    </row>
    <row r="2254">
      <c r="R2254" s="7" t="str">
        <f>IF(H2254="","",VLOOKUP(H2254,'Hoja 9'!$A$1:$B$255,2,0))</f>
        <v/>
      </c>
      <c r="S2254" s="7" t="str">
        <f t="shared" si="3"/>
        <v/>
      </c>
      <c r="T2254" s="7" t="str">
        <f t="shared" si="4"/>
        <v/>
      </c>
    </row>
    <row r="2255">
      <c r="R2255" s="7" t="str">
        <f>IF(H2255="","",VLOOKUP(H2255,'Hoja 9'!$A$1:$B$255,2,0))</f>
        <v/>
      </c>
      <c r="S2255" s="7" t="str">
        <f t="shared" si="3"/>
        <v/>
      </c>
      <c r="T2255" s="7" t="str">
        <f t="shared" si="4"/>
        <v/>
      </c>
    </row>
    <row r="2256">
      <c r="R2256" s="7" t="str">
        <f>IF(H2256="","",VLOOKUP(H2256,'Hoja 9'!$A$1:$B$255,2,0))</f>
        <v/>
      </c>
      <c r="S2256" s="7" t="str">
        <f t="shared" si="3"/>
        <v/>
      </c>
      <c r="T2256" s="7" t="str">
        <f t="shared" si="4"/>
        <v/>
      </c>
    </row>
    <row r="2257">
      <c r="R2257" s="7" t="str">
        <f>IF(H2257="","",VLOOKUP(H2257,'Hoja 9'!$A$1:$B$255,2,0))</f>
        <v/>
      </c>
      <c r="S2257" s="7" t="str">
        <f t="shared" si="3"/>
        <v/>
      </c>
      <c r="T2257" s="7" t="str">
        <f t="shared" si="4"/>
        <v/>
      </c>
    </row>
    <row r="2258">
      <c r="R2258" s="7" t="str">
        <f>IF(H2258="","",VLOOKUP(H2258,'Hoja 9'!$A$1:$B$255,2,0))</f>
        <v/>
      </c>
      <c r="S2258" s="7" t="str">
        <f t="shared" si="3"/>
        <v/>
      </c>
      <c r="T2258" s="7" t="str">
        <f t="shared" si="4"/>
        <v/>
      </c>
    </row>
    <row r="2259">
      <c r="R2259" s="7" t="str">
        <f>IF(H2259="","",VLOOKUP(H2259,'Hoja 9'!$A$1:$B$255,2,0))</f>
        <v/>
      </c>
      <c r="S2259" s="7" t="str">
        <f t="shared" si="3"/>
        <v/>
      </c>
      <c r="T2259" s="7" t="str">
        <f t="shared" si="4"/>
        <v/>
      </c>
    </row>
    <row r="2260">
      <c r="R2260" s="7" t="str">
        <f>IF(H2260="","",VLOOKUP(H2260,'Hoja 9'!$A$1:$B$255,2,0))</f>
        <v/>
      </c>
      <c r="S2260" s="7" t="str">
        <f t="shared" si="3"/>
        <v/>
      </c>
      <c r="T2260" s="7" t="str">
        <f t="shared" si="4"/>
        <v/>
      </c>
    </row>
    <row r="2261">
      <c r="R2261" s="7" t="str">
        <f>IF(H2261="","",VLOOKUP(H2261,'Hoja 9'!$A$1:$B$255,2,0))</f>
        <v/>
      </c>
      <c r="S2261" s="7" t="str">
        <f t="shared" si="3"/>
        <v/>
      </c>
      <c r="T2261" s="7" t="str">
        <f t="shared" si="4"/>
        <v/>
      </c>
    </row>
    <row r="2262">
      <c r="R2262" s="7" t="str">
        <f>IF(H2262="","",VLOOKUP(H2262,'Hoja 9'!$A$1:$B$255,2,0))</f>
        <v/>
      </c>
      <c r="S2262" s="7" t="str">
        <f t="shared" si="3"/>
        <v/>
      </c>
      <c r="T2262" s="7" t="str">
        <f t="shared" si="4"/>
        <v/>
      </c>
    </row>
    <row r="2263">
      <c r="R2263" s="7" t="str">
        <f>IF(H2263="","",VLOOKUP(H2263,'Hoja 9'!$A$1:$B$255,2,0))</f>
        <v/>
      </c>
      <c r="S2263" s="7" t="str">
        <f t="shared" si="3"/>
        <v/>
      </c>
      <c r="T2263" s="7" t="str">
        <f t="shared" si="4"/>
        <v/>
      </c>
    </row>
    <row r="2264">
      <c r="R2264" s="7" t="str">
        <f>IF(H2264="","",VLOOKUP(H2264,'Hoja 9'!$A$1:$B$255,2,0))</f>
        <v/>
      </c>
      <c r="S2264" s="7" t="str">
        <f t="shared" si="3"/>
        <v/>
      </c>
      <c r="T2264" s="7" t="str">
        <f t="shared" si="4"/>
        <v/>
      </c>
    </row>
    <row r="2265">
      <c r="R2265" s="7" t="str">
        <f>IF(H2265="","",VLOOKUP(H2265,'Hoja 9'!$A$1:$B$255,2,0))</f>
        <v/>
      </c>
      <c r="S2265" s="7" t="str">
        <f t="shared" si="3"/>
        <v/>
      </c>
      <c r="T2265" s="7" t="str">
        <f t="shared" si="4"/>
        <v/>
      </c>
    </row>
    <row r="2266">
      <c r="R2266" s="7" t="str">
        <f>IF(H2266="","",VLOOKUP(H2266,'Hoja 9'!$A$1:$B$255,2,0))</f>
        <v/>
      </c>
      <c r="S2266" s="7" t="str">
        <f t="shared" si="3"/>
        <v/>
      </c>
      <c r="T2266" s="7" t="str">
        <f t="shared" si="4"/>
        <v/>
      </c>
    </row>
    <row r="2267">
      <c r="R2267" s="7" t="str">
        <f>IF(H2267="","",VLOOKUP(H2267,'Hoja 9'!$A$1:$B$255,2,0))</f>
        <v/>
      </c>
      <c r="S2267" s="7" t="str">
        <f t="shared" si="3"/>
        <v/>
      </c>
      <c r="T2267" s="7" t="str">
        <f t="shared" si="4"/>
        <v/>
      </c>
    </row>
    <row r="2268">
      <c r="R2268" s="7" t="str">
        <f>IF(H2268="","",VLOOKUP(H2268,'Hoja 9'!$A$1:$B$255,2,0))</f>
        <v/>
      </c>
      <c r="S2268" s="7" t="str">
        <f t="shared" si="3"/>
        <v/>
      </c>
      <c r="T2268" s="7" t="str">
        <f t="shared" si="4"/>
        <v/>
      </c>
    </row>
    <row r="2269">
      <c r="R2269" s="7" t="str">
        <f>IF(H2269="","",VLOOKUP(H2269,'Hoja 9'!$A$1:$B$255,2,0))</f>
        <v/>
      </c>
      <c r="S2269" s="7" t="str">
        <f t="shared" si="3"/>
        <v/>
      </c>
      <c r="T2269" s="7" t="str">
        <f t="shared" si="4"/>
        <v/>
      </c>
    </row>
    <row r="2270">
      <c r="R2270" s="7" t="str">
        <f>IF(H2270="","",VLOOKUP(H2270,'Hoja 9'!$A$1:$B$255,2,0))</f>
        <v/>
      </c>
      <c r="S2270" s="7" t="str">
        <f t="shared" si="3"/>
        <v/>
      </c>
      <c r="T2270" s="7" t="str">
        <f t="shared" si="4"/>
        <v/>
      </c>
    </row>
    <row r="2271">
      <c r="R2271" s="7" t="str">
        <f>IF(H2271="","",VLOOKUP(H2271,'Hoja 9'!$A$1:$B$255,2,0))</f>
        <v/>
      </c>
      <c r="S2271" s="7" t="str">
        <f t="shared" si="3"/>
        <v/>
      </c>
      <c r="T2271" s="7" t="str">
        <f t="shared" si="4"/>
        <v/>
      </c>
    </row>
    <row r="2272">
      <c r="R2272" s="7" t="str">
        <f>IF(H2272="","",VLOOKUP(H2272,'Hoja 9'!$A$1:$B$255,2,0))</f>
        <v/>
      </c>
      <c r="S2272" s="7" t="str">
        <f t="shared" si="3"/>
        <v/>
      </c>
      <c r="T2272" s="7" t="str">
        <f t="shared" si="4"/>
        <v/>
      </c>
    </row>
    <row r="2273">
      <c r="R2273" s="7" t="str">
        <f>IF(H2273="","",VLOOKUP(H2273,'Hoja 9'!$A$1:$B$255,2,0))</f>
        <v/>
      </c>
      <c r="S2273" s="7" t="str">
        <f t="shared" si="3"/>
        <v/>
      </c>
      <c r="T2273" s="7" t="str">
        <f t="shared" si="4"/>
        <v/>
      </c>
    </row>
    <row r="2274">
      <c r="R2274" s="7" t="str">
        <f>IF(H2274="","",VLOOKUP(H2274,'Hoja 9'!$A$1:$B$255,2,0))</f>
        <v/>
      </c>
      <c r="S2274" s="7" t="str">
        <f t="shared" si="3"/>
        <v/>
      </c>
      <c r="T2274" s="7" t="str">
        <f t="shared" si="4"/>
        <v/>
      </c>
    </row>
    <row r="2275">
      <c r="R2275" s="7" t="str">
        <f>IF(H2275="","",VLOOKUP(H2275,'Hoja 9'!$A$1:$B$255,2,0))</f>
        <v/>
      </c>
      <c r="S2275" s="7" t="str">
        <f t="shared" si="3"/>
        <v/>
      </c>
      <c r="T2275" s="7" t="str">
        <f t="shared" si="4"/>
        <v/>
      </c>
    </row>
    <row r="2276">
      <c r="R2276" s="7" t="str">
        <f>IF(H2276="","",VLOOKUP(H2276,'Hoja 9'!$A$1:$B$255,2,0))</f>
        <v/>
      </c>
      <c r="S2276" s="7" t="str">
        <f t="shared" si="3"/>
        <v/>
      </c>
      <c r="T2276" s="7" t="str">
        <f t="shared" si="4"/>
        <v/>
      </c>
    </row>
    <row r="2277">
      <c r="R2277" s="7" t="str">
        <f>IF(H2277="","",VLOOKUP(H2277,'Hoja 9'!$A$1:$B$255,2,0))</f>
        <v/>
      </c>
      <c r="S2277" s="7" t="str">
        <f t="shared" si="3"/>
        <v/>
      </c>
      <c r="T2277" s="7" t="str">
        <f t="shared" si="4"/>
        <v/>
      </c>
    </row>
    <row r="2278">
      <c r="R2278" s="7" t="str">
        <f>IF(H2278="","",VLOOKUP(H2278,'Hoja 9'!$A$1:$B$255,2,0))</f>
        <v/>
      </c>
      <c r="S2278" s="7" t="str">
        <f t="shared" si="3"/>
        <v/>
      </c>
      <c r="T2278" s="7" t="str">
        <f t="shared" si="4"/>
        <v/>
      </c>
    </row>
    <row r="2279">
      <c r="R2279" s="7" t="str">
        <f>IF(H2279="","",VLOOKUP(H2279,'Hoja 9'!$A$1:$B$255,2,0))</f>
        <v/>
      </c>
      <c r="S2279" s="7" t="str">
        <f t="shared" si="3"/>
        <v/>
      </c>
      <c r="T2279" s="7" t="str">
        <f t="shared" si="4"/>
        <v/>
      </c>
    </row>
    <row r="2280">
      <c r="R2280" s="7" t="str">
        <f>IF(H2280="","",VLOOKUP(H2280,'Hoja 9'!$A$1:$B$255,2,0))</f>
        <v/>
      </c>
      <c r="S2280" s="7" t="str">
        <f t="shared" si="3"/>
        <v/>
      </c>
      <c r="T2280" s="7" t="str">
        <f t="shared" si="4"/>
        <v/>
      </c>
    </row>
    <row r="2281">
      <c r="R2281" s="7" t="str">
        <f>IF(H2281="","",VLOOKUP(H2281,'Hoja 9'!$A$1:$B$255,2,0))</f>
        <v/>
      </c>
      <c r="S2281" s="7" t="str">
        <f t="shared" si="3"/>
        <v/>
      </c>
      <c r="T2281" s="7" t="str">
        <f t="shared" si="4"/>
        <v/>
      </c>
    </row>
    <row r="2282">
      <c r="R2282" s="7" t="str">
        <f>IF(H2282="","",VLOOKUP(H2282,'Hoja 9'!$A$1:$B$255,2,0))</f>
        <v/>
      </c>
      <c r="S2282" s="7" t="str">
        <f t="shared" si="3"/>
        <v/>
      </c>
      <c r="T2282" s="7" t="str">
        <f t="shared" si="4"/>
        <v/>
      </c>
    </row>
    <row r="2283">
      <c r="R2283" s="7" t="str">
        <f>IF(H2283="","",VLOOKUP(H2283,'Hoja 9'!$A$1:$B$255,2,0))</f>
        <v/>
      </c>
      <c r="S2283" s="7" t="str">
        <f t="shared" si="3"/>
        <v/>
      </c>
      <c r="T2283" s="7" t="str">
        <f t="shared" si="4"/>
        <v/>
      </c>
    </row>
    <row r="2284">
      <c r="R2284" s="7" t="str">
        <f>IF(H2284="","",VLOOKUP(H2284,'Hoja 9'!$A$1:$B$255,2,0))</f>
        <v/>
      </c>
      <c r="S2284" s="7" t="str">
        <f t="shared" si="3"/>
        <v/>
      </c>
      <c r="T2284" s="7" t="str">
        <f t="shared" si="4"/>
        <v/>
      </c>
    </row>
    <row r="2285">
      <c r="R2285" s="7" t="str">
        <f>IF(H2285="","",VLOOKUP(H2285,'Hoja 9'!$A$1:$B$255,2,0))</f>
        <v/>
      </c>
      <c r="S2285" s="7" t="str">
        <f t="shared" si="3"/>
        <v/>
      </c>
      <c r="T2285" s="7" t="str">
        <f t="shared" si="4"/>
        <v/>
      </c>
    </row>
    <row r="2286">
      <c r="R2286" s="7" t="str">
        <f>IF(H2286="","",VLOOKUP(H2286,'Hoja 9'!$A$1:$B$255,2,0))</f>
        <v/>
      </c>
      <c r="S2286" s="7" t="str">
        <f t="shared" si="3"/>
        <v/>
      </c>
      <c r="T2286" s="7" t="str">
        <f t="shared" si="4"/>
        <v/>
      </c>
    </row>
    <row r="2287">
      <c r="R2287" s="7" t="str">
        <f>IF(H2287="","",VLOOKUP(H2287,'Hoja 9'!$A$1:$B$255,2,0))</f>
        <v/>
      </c>
      <c r="S2287" s="7" t="str">
        <f t="shared" si="3"/>
        <v/>
      </c>
      <c r="T2287" s="7" t="str">
        <f t="shared" si="4"/>
        <v/>
      </c>
    </row>
    <row r="2288">
      <c r="R2288" s="7" t="str">
        <f>IF(H2288="","",VLOOKUP(H2288,'Hoja 9'!$A$1:$B$255,2,0))</f>
        <v/>
      </c>
      <c r="S2288" s="7" t="str">
        <f t="shared" si="3"/>
        <v/>
      </c>
      <c r="T2288" s="7" t="str">
        <f t="shared" si="4"/>
        <v/>
      </c>
    </row>
    <row r="2289">
      <c r="R2289" s="7" t="str">
        <f>IF(H2289="","",VLOOKUP(H2289,'Hoja 9'!$A$1:$B$255,2,0))</f>
        <v/>
      </c>
      <c r="S2289" s="7" t="str">
        <f t="shared" si="3"/>
        <v/>
      </c>
      <c r="T2289" s="7" t="str">
        <f t="shared" si="4"/>
        <v/>
      </c>
    </row>
    <row r="2290">
      <c r="R2290" s="7" t="str">
        <f>IF(H2290="","",VLOOKUP(H2290,'Hoja 9'!$A$1:$B$255,2,0))</f>
        <v/>
      </c>
      <c r="S2290" s="7" t="str">
        <f t="shared" si="3"/>
        <v/>
      </c>
      <c r="T2290" s="7" t="str">
        <f t="shared" si="4"/>
        <v/>
      </c>
    </row>
    <row r="2291">
      <c r="R2291" s="7" t="str">
        <f>IF(H2291="","",VLOOKUP(H2291,'Hoja 9'!$A$1:$B$255,2,0))</f>
        <v/>
      </c>
      <c r="S2291" s="7" t="str">
        <f t="shared" si="3"/>
        <v/>
      </c>
      <c r="T2291" s="7" t="str">
        <f t="shared" si="4"/>
        <v/>
      </c>
    </row>
    <row r="2292">
      <c r="R2292" s="7" t="str">
        <f>IF(H2292="","",VLOOKUP(H2292,'Hoja 9'!$A$1:$B$255,2,0))</f>
        <v/>
      </c>
      <c r="S2292" s="7" t="str">
        <f t="shared" si="3"/>
        <v/>
      </c>
      <c r="T2292" s="7" t="str">
        <f t="shared" si="4"/>
        <v/>
      </c>
    </row>
    <row r="2293">
      <c r="R2293" s="7" t="str">
        <f>IF(H2293="","",VLOOKUP(H2293,'Hoja 9'!$A$1:$B$255,2,0))</f>
        <v/>
      </c>
      <c r="S2293" s="7" t="str">
        <f t="shared" si="3"/>
        <v/>
      </c>
      <c r="T2293" s="7" t="str">
        <f t="shared" si="4"/>
        <v/>
      </c>
    </row>
    <row r="2294">
      <c r="R2294" s="7" t="str">
        <f>IF(H2294="","",VLOOKUP(H2294,'Hoja 9'!$A$1:$B$255,2,0))</f>
        <v/>
      </c>
      <c r="S2294" s="7" t="str">
        <f t="shared" si="3"/>
        <v/>
      </c>
      <c r="T2294" s="7" t="str">
        <f t="shared" si="4"/>
        <v/>
      </c>
    </row>
    <row r="2295">
      <c r="R2295" s="7" t="str">
        <f>IF(H2295="","",VLOOKUP(H2295,'Hoja 9'!$A$1:$B$255,2,0))</f>
        <v/>
      </c>
      <c r="S2295" s="7" t="str">
        <f t="shared" si="3"/>
        <v/>
      </c>
      <c r="T2295" s="7" t="str">
        <f t="shared" si="4"/>
        <v/>
      </c>
    </row>
    <row r="2296">
      <c r="R2296" s="7" t="str">
        <f>IF(H2296="","",VLOOKUP(H2296,'Hoja 9'!$A$1:$B$255,2,0))</f>
        <v/>
      </c>
      <c r="S2296" s="7" t="str">
        <f t="shared" si="3"/>
        <v/>
      </c>
      <c r="T2296" s="7" t="str">
        <f t="shared" si="4"/>
        <v/>
      </c>
    </row>
    <row r="2297">
      <c r="R2297" s="7" t="str">
        <f>IF(H2297="","",VLOOKUP(H2297,'Hoja 9'!$A$1:$B$255,2,0))</f>
        <v/>
      </c>
      <c r="S2297" s="7" t="str">
        <f t="shared" si="3"/>
        <v/>
      </c>
      <c r="T2297" s="7" t="str">
        <f t="shared" si="4"/>
        <v/>
      </c>
    </row>
    <row r="2298">
      <c r="R2298" s="7" t="str">
        <f>IF(H2298="","",VLOOKUP(H2298,'Hoja 9'!$A$1:$B$255,2,0))</f>
        <v/>
      </c>
      <c r="S2298" s="7" t="str">
        <f t="shared" si="3"/>
        <v/>
      </c>
      <c r="T2298" s="7" t="str">
        <f t="shared" si="4"/>
        <v/>
      </c>
    </row>
    <row r="2299">
      <c r="R2299" s="7" t="str">
        <f>IF(H2299="","",VLOOKUP(H2299,'Hoja 9'!$A$1:$B$255,2,0))</f>
        <v/>
      </c>
      <c r="S2299" s="7" t="str">
        <f t="shared" si="3"/>
        <v/>
      </c>
      <c r="T2299" s="7" t="str">
        <f t="shared" si="4"/>
        <v/>
      </c>
    </row>
    <row r="2300">
      <c r="R2300" s="7" t="str">
        <f>IF(H2300="","",VLOOKUP(H2300,'Hoja 9'!$A$1:$B$255,2,0))</f>
        <v/>
      </c>
      <c r="S2300" s="7" t="str">
        <f t="shared" si="3"/>
        <v/>
      </c>
      <c r="T2300" s="7" t="str">
        <f t="shared" si="4"/>
        <v/>
      </c>
    </row>
    <row r="2301">
      <c r="R2301" s="7" t="str">
        <f>IF(H2301="","",VLOOKUP(H2301,'Hoja 9'!$A$1:$B$255,2,0))</f>
        <v/>
      </c>
      <c r="S2301" s="7" t="str">
        <f t="shared" si="3"/>
        <v/>
      </c>
      <c r="T2301" s="7" t="str">
        <f t="shared" si="4"/>
        <v/>
      </c>
    </row>
    <row r="2302">
      <c r="R2302" s="7" t="str">
        <f>IF(H2302="","",VLOOKUP(H2302,'Hoja 9'!$A$1:$B$255,2,0))</f>
        <v/>
      </c>
      <c r="S2302" s="7" t="str">
        <f t="shared" si="3"/>
        <v/>
      </c>
      <c r="T2302" s="7" t="str">
        <f t="shared" si="4"/>
        <v/>
      </c>
    </row>
    <row r="2303">
      <c r="R2303" s="7" t="str">
        <f>IF(H2303="","",VLOOKUP(H2303,'Hoja 9'!$A$1:$B$255,2,0))</f>
        <v/>
      </c>
      <c r="S2303" s="7" t="str">
        <f t="shared" si="3"/>
        <v/>
      </c>
      <c r="T2303" s="7" t="str">
        <f t="shared" si="4"/>
        <v/>
      </c>
    </row>
    <row r="2304">
      <c r="R2304" s="7" t="str">
        <f>IF(H2304="","",VLOOKUP(H2304,'Hoja 9'!$A$1:$B$255,2,0))</f>
        <v/>
      </c>
      <c r="S2304" s="7" t="str">
        <f t="shared" si="3"/>
        <v/>
      </c>
      <c r="T2304" s="7" t="str">
        <f t="shared" si="4"/>
        <v/>
      </c>
    </row>
    <row r="2305">
      <c r="R2305" s="7" t="str">
        <f>IF(H2305="","",VLOOKUP(H2305,'Hoja 9'!$A$1:$B$255,2,0))</f>
        <v/>
      </c>
      <c r="S2305" s="7" t="str">
        <f t="shared" si="3"/>
        <v/>
      </c>
      <c r="T2305" s="7" t="str">
        <f t="shared" si="4"/>
        <v/>
      </c>
    </row>
    <row r="2306">
      <c r="R2306" s="7" t="str">
        <f>IF(H2306="","",VLOOKUP(H2306,'Hoja 9'!$A$1:$B$255,2,0))</f>
        <v/>
      </c>
      <c r="S2306" s="7" t="str">
        <f t="shared" si="3"/>
        <v/>
      </c>
      <c r="T2306" s="7" t="str">
        <f t="shared" si="4"/>
        <v/>
      </c>
    </row>
    <row r="2307">
      <c r="R2307" s="7" t="str">
        <f>IF(H2307="","",VLOOKUP(H2307,'Hoja 9'!$A$1:$B$255,2,0))</f>
        <v/>
      </c>
      <c r="S2307" s="7" t="str">
        <f t="shared" si="3"/>
        <v/>
      </c>
      <c r="T2307" s="7" t="str">
        <f t="shared" si="4"/>
        <v/>
      </c>
    </row>
    <row r="2308">
      <c r="R2308" s="7" t="str">
        <f>IF(H2308="","",VLOOKUP(H2308,'Hoja 9'!$A$1:$B$255,2,0))</f>
        <v/>
      </c>
      <c r="S2308" s="7" t="str">
        <f t="shared" si="3"/>
        <v/>
      </c>
      <c r="T2308" s="7" t="str">
        <f t="shared" si="4"/>
        <v/>
      </c>
    </row>
    <row r="2309">
      <c r="R2309" s="7" t="str">
        <f>IF(H2309="","",VLOOKUP(H2309,'Hoja 9'!$A$1:$B$255,2,0))</f>
        <v/>
      </c>
      <c r="S2309" s="7" t="str">
        <f t="shared" si="3"/>
        <v/>
      </c>
      <c r="T2309" s="7" t="str">
        <f t="shared" si="4"/>
        <v/>
      </c>
    </row>
    <row r="2310">
      <c r="R2310" s="7" t="str">
        <f>IF(H2310="","",VLOOKUP(H2310,'Hoja 9'!$A$1:$B$255,2,0))</f>
        <v/>
      </c>
      <c r="S2310" s="7" t="str">
        <f t="shared" si="3"/>
        <v/>
      </c>
      <c r="T2310" s="7" t="str">
        <f t="shared" si="4"/>
        <v/>
      </c>
    </row>
    <row r="2311">
      <c r="R2311" s="7" t="str">
        <f>IF(H2311="","",VLOOKUP(H2311,'Hoja 9'!$A$1:$B$255,2,0))</f>
        <v/>
      </c>
      <c r="S2311" s="7" t="str">
        <f t="shared" si="3"/>
        <v/>
      </c>
      <c r="T2311" s="7" t="str">
        <f t="shared" si="4"/>
        <v/>
      </c>
    </row>
    <row r="2312">
      <c r="R2312" s="7" t="str">
        <f>IF(H2312="","",VLOOKUP(H2312,'Hoja 9'!$A$1:$B$255,2,0))</f>
        <v/>
      </c>
      <c r="S2312" s="7" t="str">
        <f t="shared" si="3"/>
        <v/>
      </c>
      <c r="T2312" s="7" t="str">
        <f t="shared" si="4"/>
        <v/>
      </c>
    </row>
    <row r="2313">
      <c r="R2313" s="7" t="str">
        <f>IF(H2313="","",VLOOKUP(H2313,'Hoja 9'!$A$1:$B$255,2,0))</f>
        <v/>
      </c>
      <c r="S2313" s="7" t="str">
        <f t="shared" si="3"/>
        <v/>
      </c>
      <c r="T2313" s="7" t="str">
        <f t="shared" si="4"/>
        <v/>
      </c>
    </row>
    <row r="2314">
      <c r="R2314" s="7" t="str">
        <f>IF(H2314="","",VLOOKUP(H2314,'Hoja 9'!$A$1:$B$255,2,0))</f>
        <v/>
      </c>
      <c r="S2314" s="7" t="str">
        <f t="shared" si="3"/>
        <v/>
      </c>
      <c r="T2314" s="7" t="str">
        <f t="shared" si="4"/>
        <v/>
      </c>
    </row>
    <row r="2315">
      <c r="R2315" s="7" t="str">
        <f>IF(H2315="","",VLOOKUP(H2315,'Hoja 9'!$A$1:$B$255,2,0))</f>
        <v/>
      </c>
      <c r="S2315" s="7" t="str">
        <f t="shared" si="3"/>
        <v/>
      </c>
      <c r="T2315" s="7" t="str">
        <f t="shared" si="4"/>
        <v/>
      </c>
    </row>
    <row r="2316">
      <c r="R2316" s="7" t="str">
        <f>IF(H2316="","",VLOOKUP(H2316,'Hoja 9'!$A$1:$B$255,2,0))</f>
        <v/>
      </c>
      <c r="S2316" s="7" t="str">
        <f t="shared" si="3"/>
        <v/>
      </c>
      <c r="T2316" s="7" t="str">
        <f t="shared" si="4"/>
        <v/>
      </c>
    </row>
    <row r="2317">
      <c r="R2317" s="7" t="str">
        <f>IF(H2317="","",VLOOKUP(H2317,'Hoja 9'!$A$1:$B$255,2,0))</f>
        <v/>
      </c>
      <c r="S2317" s="7" t="str">
        <f t="shared" si="3"/>
        <v/>
      </c>
      <c r="T2317" s="7" t="str">
        <f t="shared" si="4"/>
        <v/>
      </c>
    </row>
    <row r="2318">
      <c r="R2318" s="7" t="str">
        <f>IF(H2318="","",VLOOKUP(H2318,'Hoja 9'!$A$1:$B$255,2,0))</f>
        <v/>
      </c>
      <c r="S2318" s="7" t="str">
        <f t="shared" si="3"/>
        <v/>
      </c>
      <c r="T2318" s="7" t="str">
        <f t="shared" si="4"/>
        <v/>
      </c>
    </row>
    <row r="2319">
      <c r="R2319" s="7" t="str">
        <f>IF(H2319="","",VLOOKUP(H2319,'Hoja 9'!$A$1:$B$255,2,0))</f>
        <v/>
      </c>
      <c r="S2319" s="7" t="str">
        <f t="shared" si="3"/>
        <v/>
      </c>
      <c r="T2319" s="7" t="str">
        <f t="shared" si="4"/>
        <v/>
      </c>
    </row>
    <row r="2320">
      <c r="R2320" s="7" t="str">
        <f>IF(H2320="","",VLOOKUP(H2320,'Hoja 9'!$A$1:$B$255,2,0))</f>
        <v/>
      </c>
      <c r="S2320" s="7" t="str">
        <f t="shared" si="3"/>
        <v/>
      </c>
      <c r="T2320" s="7" t="str">
        <f t="shared" si="4"/>
        <v/>
      </c>
    </row>
    <row r="2321">
      <c r="R2321" s="7" t="str">
        <f>IF(H2321="","",VLOOKUP(H2321,'Hoja 9'!$A$1:$B$255,2,0))</f>
        <v/>
      </c>
      <c r="S2321" s="7" t="str">
        <f t="shared" si="3"/>
        <v/>
      </c>
      <c r="T2321" s="7" t="str">
        <f t="shared" si="4"/>
        <v/>
      </c>
    </row>
    <row r="2322">
      <c r="R2322" s="7" t="str">
        <f>IF(H2322="","",VLOOKUP(H2322,'Hoja 9'!$A$1:$B$255,2,0))</f>
        <v/>
      </c>
      <c r="S2322" s="7" t="str">
        <f t="shared" si="3"/>
        <v/>
      </c>
      <c r="T2322" s="7" t="str">
        <f t="shared" si="4"/>
        <v/>
      </c>
    </row>
    <row r="2323">
      <c r="R2323" s="7" t="str">
        <f>IF(H2323="","",VLOOKUP(H2323,'Hoja 9'!$A$1:$B$255,2,0))</f>
        <v/>
      </c>
      <c r="S2323" s="7" t="str">
        <f t="shared" si="3"/>
        <v/>
      </c>
      <c r="T2323" s="7" t="str">
        <f t="shared" si="4"/>
        <v/>
      </c>
    </row>
    <row r="2324">
      <c r="R2324" s="7" t="str">
        <f>IF(H2324="","",VLOOKUP(H2324,'Hoja 9'!$A$1:$B$255,2,0))</f>
        <v/>
      </c>
      <c r="S2324" s="7" t="str">
        <f t="shared" si="3"/>
        <v/>
      </c>
      <c r="T2324" s="7" t="str">
        <f t="shared" si="4"/>
        <v/>
      </c>
    </row>
    <row r="2325">
      <c r="R2325" s="7" t="str">
        <f>IF(H2325="","",VLOOKUP(H2325,'Hoja 9'!$A$1:$B$255,2,0))</f>
        <v/>
      </c>
      <c r="S2325" s="7" t="str">
        <f t="shared" si="3"/>
        <v/>
      </c>
      <c r="T2325" s="7" t="str">
        <f t="shared" si="4"/>
        <v/>
      </c>
    </row>
    <row r="2326">
      <c r="R2326" s="7" t="str">
        <f>IF(H2326="","",VLOOKUP(H2326,'Hoja 9'!$A$1:$B$255,2,0))</f>
        <v/>
      </c>
      <c r="S2326" s="7" t="str">
        <f t="shared" si="3"/>
        <v/>
      </c>
      <c r="T2326" s="7" t="str">
        <f t="shared" si="4"/>
        <v/>
      </c>
    </row>
    <row r="2327">
      <c r="R2327" s="7" t="str">
        <f>IF(H2327="","",VLOOKUP(H2327,'Hoja 9'!$A$1:$B$255,2,0))</f>
        <v/>
      </c>
      <c r="S2327" s="7" t="str">
        <f t="shared" si="3"/>
        <v/>
      </c>
      <c r="T2327" s="7" t="str">
        <f t="shared" si="4"/>
        <v/>
      </c>
    </row>
    <row r="2328">
      <c r="R2328" s="7" t="str">
        <f>IF(H2328="","",VLOOKUP(H2328,'Hoja 9'!$A$1:$B$255,2,0))</f>
        <v/>
      </c>
      <c r="S2328" s="7" t="str">
        <f t="shared" si="3"/>
        <v/>
      </c>
      <c r="T2328" s="7" t="str">
        <f t="shared" si="4"/>
        <v/>
      </c>
    </row>
    <row r="2329">
      <c r="R2329" s="7" t="str">
        <f>IF(H2329="","",VLOOKUP(H2329,'Hoja 9'!$A$1:$B$255,2,0))</f>
        <v/>
      </c>
      <c r="S2329" s="7" t="str">
        <f t="shared" si="3"/>
        <v/>
      </c>
      <c r="T2329" s="7" t="str">
        <f t="shared" si="4"/>
        <v/>
      </c>
    </row>
    <row r="2330">
      <c r="R2330" s="7" t="str">
        <f>IF(H2330="","",VLOOKUP(H2330,'Hoja 9'!$A$1:$B$255,2,0))</f>
        <v/>
      </c>
      <c r="S2330" s="7" t="str">
        <f t="shared" si="3"/>
        <v/>
      </c>
      <c r="T2330" s="7" t="str">
        <f t="shared" si="4"/>
        <v/>
      </c>
    </row>
    <row r="2331">
      <c r="R2331" s="7" t="str">
        <f>IF(H2331="","",VLOOKUP(H2331,'Hoja 9'!$A$1:$B$255,2,0))</f>
        <v/>
      </c>
      <c r="S2331" s="7" t="str">
        <f t="shared" si="3"/>
        <v/>
      </c>
      <c r="T2331" s="7" t="str">
        <f t="shared" si="4"/>
        <v/>
      </c>
    </row>
    <row r="2332">
      <c r="R2332" s="7" t="str">
        <f>IF(H2332="","",VLOOKUP(H2332,'Hoja 9'!$A$1:$B$255,2,0))</f>
        <v/>
      </c>
      <c r="S2332" s="7" t="str">
        <f t="shared" si="3"/>
        <v/>
      </c>
      <c r="T2332" s="7" t="str">
        <f t="shared" si="4"/>
        <v/>
      </c>
    </row>
    <row r="2333">
      <c r="R2333" s="7" t="str">
        <f>IF(H2333="","",VLOOKUP(H2333,'Hoja 9'!$A$1:$B$255,2,0))</f>
        <v/>
      </c>
      <c r="S2333" s="7" t="str">
        <f t="shared" si="3"/>
        <v/>
      </c>
      <c r="T2333" s="7" t="str">
        <f t="shared" si="4"/>
        <v/>
      </c>
    </row>
    <row r="2334">
      <c r="R2334" s="7" t="str">
        <f>IF(H2334="","",VLOOKUP(H2334,'Hoja 9'!$A$1:$B$255,2,0))</f>
        <v/>
      </c>
      <c r="S2334" s="7" t="str">
        <f t="shared" si="3"/>
        <v/>
      </c>
      <c r="T2334" s="7" t="str">
        <f t="shared" si="4"/>
        <v/>
      </c>
    </row>
    <row r="2335">
      <c r="R2335" s="7" t="str">
        <f>IF(H2335="","",VLOOKUP(H2335,'Hoja 9'!$A$1:$B$255,2,0))</f>
        <v/>
      </c>
      <c r="S2335" s="7" t="str">
        <f t="shared" si="3"/>
        <v/>
      </c>
      <c r="T2335" s="7" t="str">
        <f t="shared" si="4"/>
        <v/>
      </c>
    </row>
    <row r="2336">
      <c r="R2336" s="7" t="str">
        <f>IF(H2336="","",VLOOKUP(H2336,'Hoja 9'!$A$1:$B$255,2,0))</f>
        <v/>
      </c>
      <c r="S2336" s="7" t="str">
        <f t="shared" si="3"/>
        <v/>
      </c>
      <c r="T2336" s="7" t="str">
        <f t="shared" si="4"/>
        <v/>
      </c>
    </row>
    <row r="2337">
      <c r="R2337" s="7" t="str">
        <f>IF(H2337="","",VLOOKUP(H2337,'Hoja 9'!$A$1:$B$255,2,0))</f>
        <v/>
      </c>
      <c r="S2337" s="7" t="str">
        <f t="shared" si="3"/>
        <v/>
      </c>
      <c r="T2337" s="7" t="str">
        <f t="shared" si="4"/>
        <v/>
      </c>
    </row>
    <row r="2338">
      <c r="R2338" s="7" t="str">
        <f>IF(H2338="","",VLOOKUP(H2338,'Hoja 9'!$A$1:$B$255,2,0))</f>
        <v/>
      </c>
      <c r="S2338" s="7" t="str">
        <f t="shared" si="3"/>
        <v/>
      </c>
      <c r="T2338" s="7" t="str">
        <f t="shared" si="4"/>
        <v/>
      </c>
    </row>
    <row r="2339">
      <c r="R2339" s="7" t="str">
        <f>IF(H2339="","",VLOOKUP(H2339,'Hoja 9'!$A$1:$B$255,2,0))</f>
        <v/>
      </c>
      <c r="S2339" s="7" t="str">
        <f t="shared" si="3"/>
        <v/>
      </c>
      <c r="T2339" s="7" t="str">
        <f t="shared" si="4"/>
        <v/>
      </c>
    </row>
    <row r="2340">
      <c r="R2340" s="7" t="str">
        <f>IF(H2340="","",VLOOKUP(H2340,'Hoja 9'!$A$1:$B$255,2,0))</f>
        <v/>
      </c>
      <c r="S2340" s="7" t="str">
        <f t="shared" si="3"/>
        <v/>
      </c>
      <c r="T2340" s="7" t="str">
        <f t="shared" si="4"/>
        <v/>
      </c>
    </row>
    <row r="2341">
      <c r="R2341" s="7" t="str">
        <f>IF(H2341="","",VLOOKUP(H2341,'Hoja 9'!$A$1:$B$255,2,0))</f>
        <v/>
      </c>
      <c r="S2341" s="7" t="str">
        <f t="shared" si="3"/>
        <v/>
      </c>
      <c r="T2341" s="7" t="str">
        <f t="shared" si="4"/>
        <v/>
      </c>
    </row>
    <row r="2342">
      <c r="R2342" s="7" t="str">
        <f>IF(H2342="","",VLOOKUP(H2342,'Hoja 9'!$A$1:$B$255,2,0))</f>
        <v/>
      </c>
      <c r="S2342" s="7" t="str">
        <f t="shared" si="3"/>
        <v/>
      </c>
      <c r="T2342" s="7" t="str">
        <f t="shared" si="4"/>
        <v/>
      </c>
    </row>
    <row r="2343">
      <c r="R2343" s="7" t="str">
        <f>IF(H2343="","",VLOOKUP(H2343,'Hoja 9'!$A$1:$B$255,2,0))</f>
        <v/>
      </c>
      <c r="S2343" s="7" t="str">
        <f t="shared" si="3"/>
        <v/>
      </c>
      <c r="T2343" s="7" t="str">
        <f t="shared" si="4"/>
        <v/>
      </c>
    </row>
    <row r="2344">
      <c r="R2344" s="7" t="str">
        <f>IF(H2344="","",VLOOKUP(H2344,'Hoja 9'!$A$1:$B$255,2,0))</f>
        <v/>
      </c>
      <c r="S2344" s="7" t="str">
        <f t="shared" si="3"/>
        <v/>
      </c>
      <c r="T2344" s="7" t="str">
        <f t="shared" si="4"/>
        <v/>
      </c>
    </row>
    <row r="2345">
      <c r="R2345" s="7" t="str">
        <f>IF(H2345="","",VLOOKUP(H2345,'Hoja 9'!$A$1:$B$255,2,0))</f>
        <v/>
      </c>
      <c r="S2345" s="7" t="str">
        <f t="shared" si="3"/>
        <v/>
      </c>
      <c r="T2345" s="7" t="str">
        <f t="shared" si="4"/>
        <v/>
      </c>
    </row>
    <row r="2346">
      <c r="R2346" s="7" t="str">
        <f>IF(H2346="","",VLOOKUP(H2346,'Hoja 9'!$A$1:$B$255,2,0))</f>
        <v/>
      </c>
      <c r="S2346" s="7" t="str">
        <f t="shared" si="3"/>
        <v/>
      </c>
      <c r="T2346" s="7" t="str">
        <f t="shared" si="4"/>
        <v/>
      </c>
    </row>
    <row r="2347">
      <c r="R2347" s="7" t="str">
        <f>IF(H2347="","",VLOOKUP(H2347,'Hoja 9'!$A$1:$B$255,2,0))</f>
        <v/>
      </c>
      <c r="S2347" s="7" t="str">
        <f t="shared" si="3"/>
        <v/>
      </c>
      <c r="T2347" s="7" t="str">
        <f t="shared" si="4"/>
        <v/>
      </c>
    </row>
    <row r="2348">
      <c r="R2348" s="7" t="str">
        <f>IF(H2348="","",VLOOKUP(H2348,'Hoja 9'!$A$1:$B$255,2,0))</f>
        <v/>
      </c>
      <c r="S2348" s="7" t="str">
        <f t="shared" si="3"/>
        <v/>
      </c>
      <c r="T2348" s="7" t="str">
        <f t="shared" si="4"/>
        <v/>
      </c>
    </row>
    <row r="2349">
      <c r="R2349" s="7" t="str">
        <f>IF(H2349="","",VLOOKUP(H2349,'Hoja 9'!$A$1:$B$255,2,0))</f>
        <v/>
      </c>
      <c r="S2349" s="7" t="str">
        <f t="shared" si="3"/>
        <v/>
      </c>
      <c r="T2349" s="7" t="str">
        <f t="shared" si="4"/>
        <v/>
      </c>
    </row>
    <row r="2350">
      <c r="R2350" s="7" t="str">
        <f>IF(H2350="","",VLOOKUP(H2350,'Hoja 9'!$A$1:$B$255,2,0))</f>
        <v/>
      </c>
      <c r="S2350" s="7" t="str">
        <f t="shared" si="3"/>
        <v/>
      </c>
      <c r="T2350" s="7" t="str">
        <f t="shared" si="4"/>
        <v/>
      </c>
    </row>
    <row r="2351">
      <c r="R2351" s="7" t="str">
        <f>IF(H2351="","",VLOOKUP(H2351,'Hoja 9'!$A$1:$B$255,2,0))</f>
        <v/>
      </c>
      <c r="S2351" s="7" t="str">
        <f t="shared" si="3"/>
        <v/>
      </c>
      <c r="T2351" s="7" t="str">
        <f t="shared" si="4"/>
        <v/>
      </c>
    </row>
    <row r="2352">
      <c r="R2352" s="7" t="str">
        <f>IF(H2352="","",VLOOKUP(H2352,'Hoja 9'!$A$1:$B$255,2,0))</f>
        <v/>
      </c>
      <c r="S2352" s="7" t="str">
        <f t="shared" si="3"/>
        <v/>
      </c>
      <c r="T2352" s="7" t="str">
        <f t="shared" si="4"/>
        <v/>
      </c>
    </row>
    <row r="2353">
      <c r="R2353" s="7" t="str">
        <f>IF(H2353="","",VLOOKUP(H2353,'Hoja 9'!$A$1:$B$255,2,0))</f>
        <v/>
      </c>
      <c r="S2353" s="7" t="str">
        <f t="shared" si="3"/>
        <v/>
      </c>
      <c r="T2353" s="7" t="str">
        <f t="shared" si="4"/>
        <v/>
      </c>
    </row>
    <row r="2354">
      <c r="R2354" s="7" t="str">
        <f>IF(H2354="","",VLOOKUP(H2354,'Hoja 9'!$A$1:$B$255,2,0))</f>
        <v/>
      </c>
      <c r="S2354" s="7" t="str">
        <f t="shared" si="3"/>
        <v/>
      </c>
      <c r="T2354" s="7" t="str">
        <f t="shared" si="4"/>
        <v/>
      </c>
    </row>
    <row r="2355">
      <c r="R2355" s="7" t="str">
        <f>IF(H2355="","",VLOOKUP(H2355,'Hoja 9'!$A$1:$B$255,2,0))</f>
        <v/>
      </c>
      <c r="S2355" s="7" t="str">
        <f t="shared" si="3"/>
        <v/>
      </c>
      <c r="T2355" s="7" t="str">
        <f t="shared" si="4"/>
        <v/>
      </c>
    </row>
    <row r="2356">
      <c r="R2356" s="7" t="str">
        <f>IF(H2356="","",VLOOKUP(H2356,'Hoja 9'!$A$1:$B$255,2,0))</f>
        <v/>
      </c>
      <c r="S2356" s="7" t="str">
        <f t="shared" si="3"/>
        <v/>
      </c>
      <c r="T2356" s="7" t="str">
        <f t="shared" si="4"/>
        <v/>
      </c>
    </row>
    <row r="2357">
      <c r="R2357" s="7" t="str">
        <f>IF(H2357="","",VLOOKUP(H2357,'Hoja 9'!$A$1:$B$255,2,0))</f>
        <v/>
      </c>
      <c r="S2357" s="7" t="str">
        <f t="shared" si="3"/>
        <v/>
      </c>
      <c r="T2357" s="7" t="str">
        <f t="shared" si="4"/>
        <v/>
      </c>
    </row>
    <row r="2358">
      <c r="R2358" s="7" t="str">
        <f>IF(H2358="","",VLOOKUP(H2358,'Hoja 9'!$A$1:$B$255,2,0))</f>
        <v/>
      </c>
      <c r="S2358" s="7" t="str">
        <f t="shared" si="3"/>
        <v/>
      </c>
      <c r="T2358" s="7" t="str">
        <f t="shared" si="4"/>
        <v/>
      </c>
    </row>
    <row r="2359">
      <c r="R2359" s="7" t="str">
        <f>IF(H2359="","",VLOOKUP(H2359,'Hoja 9'!$A$1:$B$255,2,0))</f>
        <v/>
      </c>
      <c r="S2359" s="7" t="str">
        <f t="shared" si="3"/>
        <v/>
      </c>
      <c r="T2359" s="7" t="str">
        <f t="shared" si="4"/>
        <v/>
      </c>
    </row>
    <row r="2360">
      <c r="R2360" s="7" t="str">
        <f>IF(H2360="","",VLOOKUP(H2360,'Hoja 9'!$A$1:$B$255,2,0))</f>
        <v/>
      </c>
      <c r="S2360" s="7" t="str">
        <f t="shared" si="3"/>
        <v/>
      </c>
      <c r="T2360" s="7" t="str">
        <f t="shared" si="4"/>
        <v/>
      </c>
    </row>
    <row r="2361">
      <c r="R2361" s="7" t="str">
        <f>IF(H2361="","",VLOOKUP(H2361,'Hoja 9'!$A$1:$B$255,2,0))</f>
        <v/>
      </c>
      <c r="S2361" s="7" t="str">
        <f t="shared" si="3"/>
        <v/>
      </c>
      <c r="T2361" s="7" t="str">
        <f t="shared" si="4"/>
        <v/>
      </c>
    </row>
    <row r="2362">
      <c r="R2362" s="7" t="str">
        <f>IF(H2362="","",VLOOKUP(H2362,'Hoja 9'!$A$1:$B$255,2,0))</f>
        <v/>
      </c>
      <c r="S2362" s="7" t="str">
        <f t="shared" si="3"/>
        <v/>
      </c>
      <c r="T2362" s="7" t="str">
        <f t="shared" si="4"/>
        <v/>
      </c>
    </row>
    <row r="2363">
      <c r="R2363" s="7" t="str">
        <f>IF(H2363="","",VLOOKUP(H2363,'Hoja 9'!$A$1:$B$255,2,0))</f>
        <v/>
      </c>
      <c r="S2363" s="7" t="str">
        <f t="shared" si="3"/>
        <v/>
      </c>
      <c r="T2363" s="7" t="str">
        <f t="shared" si="4"/>
        <v/>
      </c>
    </row>
    <row r="2364">
      <c r="R2364" s="7" t="str">
        <f>IF(H2364="","",VLOOKUP(H2364,'Hoja 9'!$A$1:$B$255,2,0))</f>
        <v/>
      </c>
      <c r="S2364" s="7" t="str">
        <f t="shared" si="3"/>
        <v/>
      </c>
      <c r="T2364" s="7" t="str">
        <f t="shared" si="4"/>
        <v/>
      </c>
    </row>
    <row r="2365">
      <c r="R2365" s="7" t="str">
        <f>IF(H2365="","",VLOOKUP(H2365,'Hoja 9'!$A$1:$B$255,2,0))</f>
        <v/>
      </c>
      <c r="S2365" s="7" t="str">
        <f t="shared" si="3"/>
        <v/>
      </c>
      <c r="T2365" s="7" t="str">
        <f t="shared" si="4"/>
        <v/>
      </c>
    </row>
    <row r="2366">
      <c r="R2366" s="7" t="str">
        <f>IF(H2366="","",VLOOKUP(H2366,'Hoja 9'!$A$1:$B$255,2,0))</f>
        <v/>
      </c>
      <c r="S2366" s="7" t="str">
        <f t="shared" si="3"/>
        <v/>
      </c>
      <c r="T2366" s="7" t="str">
        <f t="shared" si="4"/>
        <v/>
      </c>
    </row>
    <row r="2367">
      <c r="R2367" s="7" t="str">
        <f>IF(H2367="","",VLOOKUP(H2367,'Hoja 9'!$A$1:$B$255,2,0))</f>
        <v/>
      </c>
      <c r="S2367" s="7" t="str">
        <f t="shared" si="3"/>
        <v/>
      </c>
      <c r="T2367" s="7" t="str">
        <f t="shared" si="4"/>
        <v/>
      </c>
    </row>
    <row r="2368">
      <c r="R2368" s="7" t="str">
        <f>IF(H2368="","",VLOOKUP(H2368,'Hoja 9'!$A$1:$B$255,2,0))</f>
        <v/>
      </c>
      <c r="S2368" s="7" t="str">
        <f t="shared" si="3"/>
        <v/>
      </c>
      <c r="T2368" s="7" t="str">
        <f t="shared" si="4"/>
        <v/>
      </c>
    </row>
    <row r="2369">
      <c r="R2369" s="7" t="str">
        <f>IF(H2369="","",VLOOKUP(H2369,'Hoja 9'!$A$1:$B$255,2,0))</f>
        <v/>
      </c>
      <c r="S2369" s="7" t="str">
        <f t="shared" si="3"/>
        <v/>
      </c>
      <c r="T2369" s="7" t="str">
        <f t="shared" si="4"/>
        <v/>
      </c>
    </row>
    <row r="2370">
      <c r="R2370" s="7" t="str">
        <f>IF(H2370="","",VLOOKUP(H2370,'Hoja 9'!$A$1:$B$255,2,0))</f>
        <v/>
      </c>
      <c r="S2370" s="7" t="str">
        <f t="shared" si="3"/>
        <v/>
      </c>
      <c r="T2370" s="7" t="str">
        <f t="shared" si="4"/>
        <v/>
      </c>
    </row>
    <row r="2371">
      <c r="R2371" s="7" t="str">
        <f>IF(H2371="","",VLOOKUP(H2371,'Hoja 9'!$A$1:$B$255,2,0))</f>
        <v/>
      </c>
      <c r="S2371" s="7" t="str">
        <f t="shared" si="3"/>
        <v/>
      </c>
      <c r="T2371" s="7" t="str">
        <f t="shared" si="4"/>
        <v/>
      </c>
    </row>
    <row r="2372">
      <c r="R2372" s="7" t="str">
        <f>IF(H2372="","",VLOOKUP(H2372,'Hoja 9'!$A$1:$B$255,2,0))</f>
        <v/>
      </c>
      <c r="S2372" s="7" t="str">
        <f t="shared" si="3"/>
        <v/>
      </c>
      <c r="T2372" s="7" t="str">
        <f t="shared" si="4"/>
        <v/>
      </c>
    </row>
    <row r="2373">
      <c r="R2373" s="7" t="str">
        <f>IF(H2373="","",VLOOKUP(H2373,'Hoja 9'!$A$1:$B$255,2,0))</f>
        <v/>
      </c>
      <c r="S2373" s="7" t="str">
        <f t="shared" si="3"/>
        <v/>
      </c>
      <c r="T2373" s="7" t="str">
        <f t="shared" si="4"/>
        <v/>
      </c>
    </row>
    <row r="2374">
      <c r="R2374" s="7" t="str">
        <f>IF(H2374="","",VLOOKUP(H2374,'Hoja 9'!$A$1:$B$255,2,0))</f>
        <v/>
      </c>
      <c r="S2374" s="7" t="str">
        <f t="shared" si="3"/>
        <v/>
      </c>
      <c r="T2374" s="7" t="str">
        <f t="shared" si="4"/>
        <v/>
      </c>
    </row>
    <row r="2375">
      <c r="R2375" s="7" t="str">
        <f>IF(H2375="","",VLOOKUP(H2375,'Hoja 9'!$A$1:$B$255,2,0))</f>
        <v/>
      </c>
      <c r="S2375" s="7" t="str">
        <f t="shared" si="3"/>
        <v/>
      </c>
      <c r="T2375" s="7" t="str">
        <f t="shared" si="4"/>
        <v/>
      </c>
    </row>
    <row r="2376">
      <c r="R2376" s="7" t="str">
        <f>IF(H2376="","",VLOOKUP(H2376,'Hoja 9'!$A$1:$B$255,2,0))</f>
        <v/>
      </c>
      <c r="S2376" s="7" t="str">
        <f t="shared" si="3"/>
        <v/>
      </c>
      <c r="T2376" s="7" t="str">
        <f t="shared" si="4"/>
        <v/>
      </c>
    </row>
    <row r="2377">
      <c r="R2377" s="7" t="str">
        <f>IF(H2377="","",VLOOKUP(H2377,'Hoja 9'!$A$1:$B$255,2,0))</f>
        <v/>
      </c>
      <c r="S2377" s="7" t="str">
        <f t="shared" si="3"/>
        <v/>
      </c>
      <c r="T2377" s="7" t="str">
        <f t="shared" si="4"/>
        <v/>
      </c>
    </row>
    <row r="2378">
      <c r="R2378" s="7" t="str">
        <f>IF(H2378="","",VLOOKUP(H2378,'Hoja 9'!$A$1:$B$255,2,0))</f>
        <v/>
      </c>
      <c r="S2378" s="7" t="str">
        <f t="shared" si="3"/>
        <v/>
      </c>
      <c r="T2378" s="7" t="str">
        <f t="shared" si="4"/>
        <v/>
      </c>
    </row>
    <row r="2379">
      <c r="R2379" s="7" t="str">
        <f>IF(H2379="","",VLOOKUP(H2379,'Hoja 9'!$A$1:$B$255,2,0))</f>
        <v/>
      </c>
      <c r="S2379" s="7" t="str">
        <f t="shared" si="3"/>
        <v/>
      </c>
      <c r="T2379" s="7" t="str">
        <f t="shared" si="4"/>
        <v/>
      </c>
    </row>
    <row r="2380">
      <c r="R2380" s="7" t="str">
        <f>IF(H2380="","",VLOOKUP(H2380,'Hoja 9'!$A$1:$B$255,2,0))</f>
        <v/>
      </c>
      <c r="S2380" s="7" t="str">
        <f t="shared" si="3"/>
        <v/>
      </c>
      <c r="T2380" s="7" t="str">
        <f t="shared" si="4"/>
        <v/>
      </c>
    </row>
    <row r="2381">
      <c r="R2381" s="7" t="str">
        <f>IF(H2381="","",VLOOKUP(H2381,'Hoja 9'!$A$1:$B$255,2,0))</f>
        <v/>
      </c>
      <c r="S2381" s="7" t="str">
        <f t="shared" si="3"/>
        <v/>
      </c>
      <c r="T2381" s="7" t="str">
        <f t="shared" si="4"/>
        <v/>
      </c>
    </row>
    <row r="2382">
      <c r="R2382" s="7" t="str">
        <f>IF(H2382="","",VLOOKUP(H2382,'Hoja 9'!$A$1:$B$255,2,0))</f>
        <v/>
      </c>
      <c r="S2382" s="7" t="str">
        <f t="shared" si="3"/>
        <v/>
      </c>
      <c r="T2382" s="7" t="str">
        <f t="shared" si="4"/>
        <v/>
      </c>
    </row>
    <row r="2383">
      <c r="R2383" s="7" t="str">
        <f>IF(H2383="","",VLOOKUP(H2383,'Hoja 9'!$A$1:$B$255,2,0))</f>
        <v/>
      </c>
      <c r="S2383" s="7" t="str">
        <f t="shared" si="3"/>
        <v/>
      </c>
      <c r="T2383" s="7" t="str">
        <f t="shared" si="4"/>
        <v/>
      </c>
    </row>
    <row r="2384">
      <c r="R2384" s="7" t="str">
        <f>IF(H2384="","",VLOOKUP(H2384,'Hoja 9'!$A$1:$B$255,2,0))</f>
        <v/>
      </c>
      <c r="S2384" s="7" t="str">
        <f t="shared" si="3"/>
        <v/>
      </c>
      <c r="T2384" s="7" t="str">
        <f t="shared" si="4"/>
        <v/>
      </c>
    </row>
    <row r="2385">
      <c r="R2385" s="7" t="str">
        <f>IF(H2385="","",VLOOKUP(H2385,'Hoja 9'!$A$1:$B$255,2,0))</f>
        <v/>
      </c>
      <c r="S2385" s="7" t="str">
        <f t="shared" si="3"/>
        <v/>
      </c>
      <c r="T2385" s="7" t="str">
        <f t="shared" si="4"/>
        <v/>
      </c>
    </row>
    <row r="2386">
      <c r="R2386" s="7" t="str">
        <f>IF(H2386="","",VLOOKUP(H2386,'Hoja 9'!$A$1:$B$255,2,0))</f>
        <v/>
      </c>
      <c r="S2386" s="7" t="str">
        <f t="shared" si="3"/>
        <v/>
      </c>
      <c r="T2386" s="7" t="str">
        <f t="shared" si="4"/>
        <v/>
      </c>
    </row>
    <row r="2387">
      <c r="R2387" s="7" t="str">
        <f>IF(H2387="","",VLOOKUP(H2387,'Hoja 9'!$A$1:$B$255,2,0))</f>
        <v/>
      </c>
      <c r="S2387" s="7" t="str">
        <f t="shared" si="3"/>
        <v/>
      </c>
      <c r="T2387" s="7" t="str">
        <f t="shared" si="4"/>
        <v/>
      </c>
    </row>
    <row r="2388">
      <c r="R2388" s="7" t="str">
        <f>IF(H2388="","",VLOOKUP(H2388,'Hoja 9'!$A$1:$B$255,2,0))</f>
        <v/>
      </c>
      <c r="S2388" s="7" t="str">
        <f t="shared" si="3"/>
        <v/>
      </c>
      <c r="T2388" s="7" t="str">
        <f t="shared" si="4"/>
        <v/>
      </c>
    </row>
    <row r="2389">
      <c r="R2389" s="7" t="str">
        <f>IF(H2389="","",VLOOKUP(H2389,'Hoja 9'!$A$1:$B$255,2,0))</f>
        <v/>
      </c>
      <c r="S2389" s="7" t="str">
        <f t="shared" si="3"/>
        <v/>
      </c>
      <c r="T2389" s="7" t="str">
        <f t="shared" si="4"/>
        <v/>
      </c>
    </row>
    <row r="2390">
      <c r="R2390" s="7" t="str">
        <f>IF(H2390="","",VLOOKUP(H2390,'Hoja 9'!$A$1:$B$255,2,0))</f>
        <v/>
      </c>
      <c r="S2390" s="7" t="str">
        <f t="shared" si="3"/>
        <v/>
      </c>
      <c r="T2390" s="7" t="str">
        <f t="shared" si="4"/>
        <v/>
      </c>
    </row>
    <row r="2391">
      <c r="R2391" s="7" t="str">
        <f>IF(H2391="","",VLOOKUP(H2391,'Hoja 9'!$A$1:$B$255,2,0))</f>
        <v/>
      </c>
      <c r="S2391" s="7" t="str">
        <f t="shared" si="3"/>
        <v/>
      </c>
      <c r="T2391" s="7" t="str">
        <f t="shared" si="4"/>
        <v/>
      </c>
    </row>
    <row r="2392">
      <c r="R2392" s="7" t="str">
        <f>IF(H2392="","",VLOOKUP(H2392,'Hoja 9'!$A$1:$B$255,2,0))</f>
        <v/>
      </c>
      <c r="S2392" s="7" t="str">
        <f t="shared" si="3"/>
        <v/>
      </c>
      <c r="T2392" s="7" t="str">
        <f t="shared" si="4"/>
        <v/>
      </c>
    </row>
    <row r="2393">
      <c r="R2393" s="7" t="str">
        <f>IF(H2393="","",VLOOKUP(H2393,'Hoja 9'!$A$1:$B$255,2,0))</f>
        <v/>
      </c>
      <c r="S2393" s="7" t="str">
        <f t="shared" si="3"/>
        <v/>
      </c>
      <c r="T2393" s="7" t="str">
        <f t="shared" si="4"/>
        <v/>
      </c>
    </row>
    <row r="2394">
      <c r="R2394" s="7" t="str">
        <f>IF(H2394="","",VLOOKUP(H2394,'Hoja 9'!$A$1:$B$255,2,0))</f>
        <v/>
      </c>
      <c r="S2394" s="7" t="str">
        <f t="shared" si="3"/>
        <v/>
      </c>
      <c r="T2394" s="7" t="str">
        <f t="shared" si="4"/>
        <v/>
      </c>
    </row>
    <row r="2395">
      <c r="R2395" s="7" t="str">
        <f>IF(H2395="","",VLOOKUP(H2395,'Hoja 9'!$A$1:$B$255,2,0))</f>
        <v/>
      </c>
      <c r="S2395" s="7" t="str">
        <f t="shared" si="3"/>
        <v/>
      </c>
      <c r="T2395" s="7" t="str">
        <f t="shared" si="4"/>
        <v/>
      </c>
    </row>
    <row r="2396">
      <c r="R2396" s="7" t="str">
        <f>IF(H2396="","",VLOOKUP(H2396,'Hoja 9'!$A$1:$B$255,2,0))</f>
        <v/>
      </c>
      <c r="S2396" s="7" t="str">
        <f t="shared" si="3"/>
        <v/>
      </c>
      <c r="T2396" s="7" t="str">
        <f t="shared" si="4"/>
        <v/>
      </c>
    </row>
    <row r="2397">
      <c r="R2397" s="7" t="str">
        <f>IF(H2397="","",VLOOKUP(H2397,'Hoja 9'!$A$1:$B$255,2,0))</f>
        <v/>
      </c>
      <c r="S2397" s="7" t="str">
        <f t="shared" si="3"/>
        <v/>
      </c>
      <c r="T2397" s="7" t="str">
        <f t="shared" si="4"/>
        <v/>
      </c>
    </row>
    <row r="2398">
      <c r="R2398" s="7" t="str">
        <f>IF(H2398="","",VLOOKUP(H2398,'Hoja 9'!$A$1:$B$255,2,0))</f>
        <v/>
      </c>
      <c r="S2398" s="7" t="str">
        <f t="shared" si="3"/>
        <v/>
      </c>
      <c r="T2398" s="7" t="str">
        <f t="shared" si="4"/>
        <v/>
      </c>
    </row>
    <row r="2399">
      <c r="R2399" s="7" t="str">
        <f>IF(H2399="","",VLOOKUP(H2399,'Hoja 9'!$A$1:$B$255,2,0))</f>
        <v/>
      </c>
      <c r="S2399" s="7" t="str">
        <f t="shared" si="3"/>
        <v/>
      </c>
      <c r="T2399" s="7" t="str">
        <f t="shared" si="4"/>
        <v/>
      </c>
    </row>
    <row r="2400">
      <c r="R2400" s="7" t="str">
        <f>IF(H2400="","",VLOOKUP(H2400,'Hoja 9'!$A$1:$B$255,2,0))</f>
        <v/>
      </c>
      <c r="S2400" s="7" t="str">
        <f t="shared" si="3"/>
        <v/>
      </c>
      <c r="T2400" s="7" t="str">
        <f t="shared" si="4"/>
        <v/>
      </c>
    </row>
    <row r="2401">
      <c r="R2401" s="7" t="str">
        <f>IF(H2401="","",VLOOKUP(H2401,'Hoja 9'!$A$1:$B$255,2,0))</f>
        <v/>
      </c>
      <c r="S2401" s="7" t="str">
        <f t="shared" si="3"/>
        <v/>
      </c>
      <c r="T2401" s="7" t="str">
        <f t="shared" si="4"/>
        <v/>
      </c>
    </row>
    <row r="2402">
      <c r="R2402" s="7" t="str">
        <f>IF(H2402="","",VLOOKUP(H2402,'Hoja 9'!$A$1:$B$255,2,0))</f>
        <v/>
      </c>
      <c r="S2402" s="7" t="str">
        <f t="shared" si="3"/>
        <v/>
      </c>
      <c r="T2402" s="7" t="str">
        <f t="shared" si="4"/>
        <v/>
      </c>
    </row>
    <row r="2403">
      <c r="R2403" s="7" t="str">
        <f>IF(H2403="","",VLOOKUP(H2403,'Hoja 9'!$A$1:$B$255,2,0))</f>
        <v/>
      </c>
      <c r="S2403" s="7" t="str">
        <f t="shared" si="3"/>
        <v/>
      </c>
      <c r="T2403" s="7" t="str">
        <f t="shared" si="4"/>
        <v/>
      </c>
    </row>
    <row r="2404">
      <c r="R2404" s="7" t="str">
        <f>IF(H2404="","",VLOOKUP(H2404,'Hoja 9'!$A$1:$B$255,2,0))</f>
        <v/>
      </c>
      <c r="S2404" s="7" t="str">
        <f t="shared" si="3"/>
        <v/>
      </c>
      <c r="T2404" s="7" t="str">
        <f t="shared" si="4"/>
        <v/>
      </c>
    </row>
    <row r="2405">
      <c r="R2405" s="7" t="str">
        <f>IF(H2405="","",VLOOKUP(H2405,'Hoja 9'!$A$1:$B$255,2,0))</f>
        <v/>
      </c>
      <c r="S2405" s="7" t="str">
        <f t="shared" si="3"/>
        <v/>
      </c>
      <c r="T2405" s="7" t="str">
        <f t="shared" si="4"/>
        <v/>
      </c>
    </row>
    <row r="2406">
      <c r="R2406" s="7" t="str">
        <f>IF(H2406="","",VLOOKUP(H2406,'Hoja 9'!$A$1:$B$255,2,0))</f>
        <v/>
      </c>
      <c r="S2406" s="7" t="str">
        <f t="shared" si="3"/>
        <v/>
      </c>
      <c r="T2406" s="7" t="str">
        <f t="shared" si="4"/>
        <v/>
      </c>
    </row>
    <row r="2407">
      <c r="R2407" s="7" t="str">
        <f>IF(H2407="","",VLOOKUP(H2407,'Hoja 9'!$A$1:$B$255,2,0))</f>
        <v/>
      </c>
      <c r="S2407" s="7" t="str">
        <f t="shared" si="3"/>
        <v/>
      </c>
      <c r="T2407" s="7" t="str">
        <f t="shared" si="4"/>
        <v/>
      </c>
    </row>
    <row r="2408">
      <c r="R2408" s="7" t="str">
        <f>IF(H2408="","",VLOOKUP(H2408,'Hoja 9'!$A$1:$B$255,2,0))</f>
        <v/>
      </c>
      <c r="S2408" s="7" t="str">
        <f t="shared" si="3"/>
        <v/>
      </c>
      <c r="T2408" s="7" t="str">
        <f t="shared" si="4"/>
        <v/>
      </c>
    </row>
    <row r="2409">
      <c r="R2409" s="7" t="str">
        <f>IF(H2409="","",VLOOKUP(H2409,'Hoja 9'!$A$1:$B$255,2,0))</f>
        <v/>
      </c>
      <c r="S2409" s="7" t="str">
        <f t="shared" si="3"/>
        <v/>
      </c>
      <c r="T2409" s="7" t="str">
        <f t="shared" si="4"/>
        <v/>
      </c>
    </row>
    <row r="2410">
      <c r="R2410" s="7" t="str">
        <f>IF(H2410="","",VLOOKUP(H2410,'Hoja 9'!$A$1:$B$255,2,0))</f>
        <v/>
      </c>
      <c r="S2410" s="7" t="str">
        <f t="shared" si="3"/>
        <v/>
      </c>
      <c r="T2410" s="7" t="str">
        <f t="shared" si="4"/>
        <v/>
      </c>
    </row>
    <row r="2411">
      <c r="R2411" s="7" t="str">
        <f>IF(H2411="","",VLOOKUP(H2411,'Hoja 9'!$A$1:$B$255,2,0))</f>
        <v/>
      </c>
      <c r="S2411" s="7" t="str">
        <f t="shared" si="3"/>
        <v/>
      </c>
      <c r="T2411" s="7" t="str">
        <f t="shared" si="4"/>
        <v/>
      </c>
    </row>
    <row r="2412">
      <c r="R2412" s="7" t="str">
        <f>IF(H2412="","",VLOOKUP(H2412,'Hoja 9'!$A$1:$B$255,2,0))</f>
        <v/>
      </c>
      <c r="S2412" s="7" t="str">
        <f t="shared" si="3"/>
        <v/>
      </c>
      <c r="T2412" s="7" t="str">
        <f t="shared" si="4"/>
        <v/>
      </c>
    </row>
    <row r="2413">
      <c r="R2413" s="7" t="str">
        <f>IF(H2413="","",VLOOKUP(H2413,'Hoja 9'!$A$1:$B$255,2,0))</f>
        <v/>
      </c>
      <c r="S2413" s="7" t="str">
        <f t="shared" si="3"/>
        <v/>
      </c>
      <c r="T2413" s="7" t="str">
        <f t="shared" si="4"/>
        <v/>
      </c>
    </row>
    <row r="2414">
      <c r="R2414" s="7" t="str">
        <f>IF(H2414="","",VLOOKUP(H2414,'Hoja 9'!$A$1:$B$255,2,0))</f>
        <v/>
      </c>
      <c r="S2414" s="7" t="str">
        <f t="shared" si="3"/>
        <v/>
      </c>
      <c r="T2414" s="7" t="str">
        <f t="shared" si="4"/>
        <v/>
      </c>
    </row>
    <row r="2415">
      <c r="R2415" s="7" t="str">
        <f>IF(H2415="","",VLOOKUP(H2415,'Hoja 9'!$A$1:$B$255,2,0))</f>
        <v/>
      </c>
      <c r="S2415" s="7" t="str">
        <f t="shared" si="3"/>
        <v/>
      </c>
      <c r="T2415" s="7" t="str">
        <f t="shared" si="4"/>
        <v/>
      </c>
    </row>
    <row r="2416">
      <c r="R2416" s="7" t="str">
        <f>IF(H2416="","",VLOOKUP(H2416,'Hoja 9'!$A$1:$B$255,2,0))</f>
        <v/>
      </c>
      <c r="S2416" s="7" t="str">
        <f t="shared" si="3"/>
        <v/>
      </c>
      <c r="T2416" s="7" t="str">
        <f t="shared" si="4"/>
        <v/>
      </c>
    </row>
    <row r="2417">
      <c r="R2417" s="7" t="str">
        <f>IF(H2417="","",VLOOKUP(H2417,'Hoja 9'!$A$1:$B$255,2,0))</f>
        <v/>
      </c>
      <c r="S2417" s="7" t="str">
        <f t="shared" si="3"/>
        <v/>
      </c>
      <c r="T2417" s="7" t="str">
        <f t="shared" si="4"/>
        <v/>
      </c>
    </row>
    <row r="2418">
      <c r="R2418" s="7" t="str">
        <f>IF(H2418="","",VLOOKUP(H2418,'Hoja 9'!$A$1:$B$255,2,0))</f>
        <v/>
      </c>
      <c r="S2418" s="7" t="str">
        <f t="shared" si="3"/>
        <v/>
      </c>
      <c r="T2418" s="7" t="str">
        <f t="shared" si="4"/>
        <v/>
      </c>
    </row>
    <row r="2419">
      <c r="R2419" s="7" t="str">
        <f>IF(H2419="","",VLOOKUP(H2419,'Hoja 9'!$A$1:$B$255,2,0))</f>
        <v/>
      </c>
      <c r="S2419" s="7" t="str">
        <f t="shared" si="3"/>
        <v/>
      </c>
      <c r="T2419" s="7" t="str">
        <f t="shared" si="4"/>
        <v/>
      </c>
    </row>
    <row r="2420">
      <c r="R2420" s="7" t="str">
        <f>IF(H2420="","",VLOOKUP(H2420,'Hoja 9'!$A$1:$B$255,2,0))</f>
        <v/>
      </c>
      <c r="S2420" s="7" t="str">
        <f t="shared" si="3"/>
        <v/>
      </c>
      <c r="T2420" s="7" t="str">
        <f t="shared" si="4"/>
        <v/>
      </c>
    </row>
    <row r="2421">
      <c r="R2421" s="7" t="str">
        <f>IF(H2421="","",VLOOKUP(H2421,'Hoja 9'!$A$1:$B$255,2,0))</f>
        <v/>
      </c>
      <c r="S2421" s="7" t="str">
        <f t="shared" si="3"/>
        <v/>
      </c>
      <c r="T2421" s="7" t="str">
        <f t="shared" si="4"/>
        <v/>
      </c>
    </row>
    <row r="2422">
      <c r="R2422" s="7" t="str">
        <f>IF(H2422="","",VLOOKUP(H2422,'Hoja 9'!$A$1:$B$255,2,0))</f>
        <v/>
      </c>
      <c r="S2422" s="7" t="str">
        <f t="shared" si="3"/>
        <v/>
      </c>
      <c r="T2422" s="7" t="str">
        <f t="shared" si="4"/>
        <v/>
      </c>
    </row>
    <row r="2423">
      <c r="R2423" s="7" t="str">
        <f>IF(H2423="","",VLOOKUP(H2423,'Hoja 9'!$A$1:$B$255,2,0))</f>
        <v/>
      </c>
      <c r="S2423" s="7" t="str">
        <f t="shared" si="3"/>
        <v/>
      </c>
      <c r="T2423" s="7" t="str">
        <f t="shared" si="4"/>
        <v/>
      </c>
    </row>
    <row r="2424">
      <c r="R2424" s="7" t="str">
        <f>IF(H2424="","",VLOOKUP(H2424,'Hoja 9'!$A$1:$B$255,2,0))</f>
        <v/>
      </c>
      <c r="S2424" s="7" t="str">
        <f t="shared" si="3"/>
        <v/>
      </c>
      <c r="T2424" s="7" t="str">
        <f t="shared" si="4"/>
        <v/>
      </c>
    </row>
    <row r="2425">
      <c r="R2425" s="7" t="str">
        <f>IF(H2425="","",VLOOKUP(H2425,'Hoja 9'!$A$1:$B$255,2,0))</f>
        <v/>
      </c>
      <c r="S2425" s="7" t="str">
        <f t="shared" si="3"/>
        <v/>
      </c>
      <c r="T2425" s="7" t="str">
        <f t="shared" si="4"/>
        <v/>
      </c>
    </row>
    <row r="2426">
      <c r="R2426" s="7" t="str">
        <f>IF(H2426="","",VLOOKUP(H2426,'Hoja 9'!$A$1:$B$255,2,0))</f>
        <v/>
      </c>
      <c r="S2426" s="7" t="str">
        <f t="shared" si="3"/>
        <v/>
      </c>
      <c r="T2426" s="7" t="str">
        <f t="shared" si="4"/>
        <v/>
      </c>
    </row>
    <row r="2427">
      <c r="R2427" s="7" t="str">
        <f>IF(H2427="","",VLOOKUP(H2427,'Hoja 9'!$A$1:$B$255,2,0))</f>
        <v/>
      </c>
      <c r="S2427" s="7" t="str">
        <f t="shared" si="3"/>
        <v/>
      </c>
      <c r="T2427" s="7" t="str">
        <f t="shared" si="4"/>
        <v/>
      </c>
    </row>
    <row r="2428">
      <c r="R2428" s="7" t="str">
        <f>IF(H2428="","",VLOOKUP(H2428,'Hoja 9'!$A$1:$B$255,2,0))</f>
        <v/>
      </c>
      <c r="S2428" s="7" t="str">
        <f t="shared" si="3"/>
        <v/>
      </c>
      <c r="T2428" s="7" t="str">
        <f t="shared" si="4"/>
        <v/>
      </c>
    </row>
    <row r="2429">
      <c r="R2429" s="7" t="str">
        <f>IF(H2429="","",VLOOKUP(H2429,'Hoja 9'!$A$1:$B$255,2,0))</f>
        <v/>
      </c>
      <c r="S2429" s="7" t="str">
        <f t="shared" si="3"/>
        <v/>
      </c>
      <c r="T2429" s="7" t="str">
        <f t="shared" si="4"/>
        <v/>
      </c>
    </row>
    <row r="2430">
      <c r="R2430" s="7" t="str">
        <f>IF(H2430="","",VLOOKUP(H2430,'Hoja 9'!$A$1:$B$255,2,0))</f>
        <v/>
      </c>
      <c r="S2430" s="7" t="str">
        <f t="shared" si="3"/>
        <v/>
      </c>
      <c r="T2430" s="7" t="str">
        <f t="shared" si="4"/>
        <v/>
      </c>
    </row>
    <row r="2431">
      <c r="R2431" s="7" t="str">
        <f>IF(H2431="","",VLOOKUP(H2431,'Hoja 9'!$A$1:$B$255,2,0))</f>
        <v/>
      </c>
      <c r="S2431" s="7" t="str">
        <f t="shared" si="3"/>
        <v/>
      </c>
      <c r="T2431" s="7" t="str">
        <f t="shared" si="4"/>
        <v/>
      </c>
    </row>
    <row r="2432">
      <c r="R2432" s="7" t="str">
        <f>IF(H2432="","",VLOOKUP(H2432,'Hoja 9'!$A$1:$B$255,2,0))</f>
        <v/>
      </c>
      <c r="S2432" s="7" t="str">
        <f t="shared" si="3"/>
        <v/>
      </c>
      <c r="T2432" s="7" t="str">
        <f t="shared" si="4"/>
        <v/>
      </c>
    </row>
    <row r="2433">
      <c r="R2433" s="7" t="str">
        <f>IF(H2433="","",VLOOKUP(H2433,'Hoja 9'!$A$1:$B$255,2,0))</f>
        <v/>
      </c>
      <c r="S2433" s="7" t="str">
        <f t="shared" si="3"/>
        <v/>
      </c>
      <c r="T2433" s="7" t="str">
        <f t="shared" si="4"/>
        <v/>
      </c>
    </row>
    <row r="2434">
      <c r="R2434" s="7" t="str">
        <f>IF(H2434="","",VLOOKUP(H2434,'Hoja 9'!$A$1:$B$255,2,0))</f>
        <v/>
      </c>
      <c r="S2434" s="7" t="str">
        <f t="shared" si="3"/>
        <v/>
      </c>
      <c r="T2434" s="7" t="str">
        <f t="shared" si="4"/>
        <v/>
      </c>
    </row>
    <row r="2435">
      <c r="R2435" s="7" t="str">
        <f>IF(H2435="","",VLOOKUP(H2435,'Hoja 9'!$A$1:$B$255,2,0))</f>
        <v/>
      </c>
      <c r="S2435" s="7" t="str">
        <f t="shared" si="3"/>
        <v/>
      </c>
      <c r="T2435" s="7" t="str">
        <f t="shared" si="4"/>
        <v/>
      </c>
    </row>
    <row r="2436">
      <c r="R2436" s="7" t="str">
        <f>IF(H2436="","",VLOOKUP(H2436,'Hoja 9'!$A$1:$B$255,2,0))</f>
        <v/>
      </c>
      <c r="S2436" s="7" t="str">
        <f t="shared" si="3"/>
        <v/>
      </c>
      <c r="T2436" s="7" t="str">
        <f t="shared" si="4"/>
        <v/>
      </c>
    </row>
    <row r="2437">
      <c r="R2437" s="7" t="str">
        <f>IF(H2437="","",VLOOKUP(H2437,'Hoja 9'!$A$1:$B$255,2,0))</f>
        <v/>
      </c>
      <c r="S2437" s="7" t="str">
        <f t="shared" si="3"/>
        <v/>
      </c>
      <c r="T2437" s="7" t="str">
        <f t="shared" si="4"/>
        <v/>
      </c>
    </row>
    <row r="2438">
      <c r="R2438" s="7" t="str">
        <f>IF(H2438="","",VLOOKUP(H2438,'Hoja 9'!$A$1:$B$255,2,0))</f>
        <v/>
      </c>
      <c r="S2438" s="7" t="str">
        <f t="shared" si="3"/>
        <v/>
      </c>
      <c r="T2438" s="7" t="str">
        <f t="shared" si="4"/>
        <v/>
      </c>
    </row>
    <row r="2439">
      <c r="R2439" s="7" t="str">
        <f>IF(H2439="","",VLOOKUP(H2439,'Hoja 9'!$A$1:$B$255,2,0))</f>
        <v/>
      </c>
      <c r="S2439" s="7" t="str">
        <f t="shared" si="3"/>
        <v/>
      </c>
      <c r="T2439" s="7" t="str">
        <f t="shared" si="4"/>
        <v/>
      </c>
    </row>
    <row r="2440">
      <c r="R2440" s="7" t="str">
        <f>IF(H2440="","",VLOOKUP(H2440,'Hoja 9'!$A$1:$B$255,2,0))</f>
        <v/>
      </c>
      <c r="S2440" s="7" t="str">
        <f t="shared" si="3"/>
        <v/>
      </c>
      <c r="T2440" s="7" t="str">
        <f t="shared" si="4"/>
        <v/>
      </c>
    </row>
    <row r="2441">
      <c r="R2441" s="7" t="str">
        <f>IF(H2441="","",VLOOKUP(H2441,'Hoja 9'!$A$1:$B$255,2,0))</f>
        <v/>
      </c>
      <c r="S2441" s="7" t="str">
        <f t="shared" si="3"/>
        <v/>
      </c>
      <c r="T2441" s="7" t="str">
        <f t="shared" si="4"/>
        <v/>
      </c>
    </row>
    <row r="2442">
      <c r="R2442" s="7" t="str">
        <f>IF(H2442="","",VLOOKUP(H2442,'Hoja 9'!$A$1:$B$255,2,0))</f>
        <v/>
      </c>
      <c r="S2442" s="7" t="str">
        <f t="shared" si="3"/>
        <v/>
      </c>
      <c r="T2442" s="7" t="str">
        <f t="shared" si="4"/>
        <v/>
      </c>
    </row>
    <row r="2443">
      <c r="R2443" s="7" t="str">
        <f>IF(H2443="","",VLOOKUP(H2443,'Hoja 9'!$A$1:$B$255,2,0))</f>
        <v/>
      </c>
      <c r="S2443" s="7" t="str">
        <f t="shared" si="3"/>
        <v/>
      </c>
      <c r="T2443" s="7" t="str">
        <f t="shared" si="4"/>
        <v/>
      </c>
    </row>
    <row r="2444">
      <c r="R2444" s="7" t="str">
        <f>IF(H2444="","",VLOOKUP(H2444,'Hoja 9'!$A$1:$B$255,2,0))</f>
        <v/>
      </c>
      <c r="S2444" s="7" t="str">
        <f t="shared" si="3"/>
        <v/>
      </c>
      <c r="T2444" s="7" t="str">
        <f t="shared" si="4"/>
        <v/>
      </c>
    </row>
    <row r="2445">
      <c r="R2445" s="7" t="str">
        <f>IF(H2445="","",VLOOKUP(H2445,'Hoja 9'!$A$1:$B$255,2,0))</f>
        <v/>
      </c>
      <c r="S2445" s="7" t="str">
        <f t="shared" si="3"/>
        <v/>
      </c>
      <c r="T2445" s="7" t="str">
        <f t="shared" si="4"/>
        <v/>
      </c>
    </row>
    <row r="2446">
      <c r="R2446" s="7" t="str">
        <f>IF(H2446="","",VLOOKUP(H2446,'Hoja 9'!$A$1:$B$255,2,0))</f>
        <v/>
      </c>
      <c r="S2446" s="7" t="str">
        <f t="shared" si="3"/>
        <v/>
      </c>
      <c r="T2446" s="7" t="str">
        <f t="shared" si="4"/>
        <v/>
      </c>
    </row>
    <row r="2447">
      <c r="R2447" s="7" t="str">
        <f>IF(H2447="","",VLOOKUP(H2447,'Hoja 9'!$A$1:$B$255,2,0))</f>
        <v/>
      </c>
      <c r="S2447" s="7" t="str">
        <f t="shared" si="3"/>
        <v/>
      </c>
      <c r="T2447" s="7" t="str">
        <f t="shared" si="4"/>
        <v/>
      </c>
    </row>
    <row r="2448">
      <c r="R2448" s="7" t="str">
        <f>IF(H2448="","",VLOOKUP(H2448,'Hoja 9'!$A$1:$B$255,2,0))</f>
        <v/>
      </c>
      <c r="S2448" s="7" t="str">
        <f t="shared" si="3"/>
        <v/>
      </c>
      <c r="T2448" s="7" t="str">
        <f t="shared" si="4"/>
        <v/>
      </c>
    </row>
    <row r="2449">
      <c r="R2449" s="7" t="str">
        <f>IF(H2449="","",VLOOKUP(H2449,'Hoja 9'!$A$1:$B$255,2,0))</f>
        <v/>
      </c>
      <c r="S2449" s="7" t="str">
        <f t="shared" si="3"/>
        <v/>
      </c>
      <c r="T2449" s="7" t="str">
        <f t="shared" si="4"/>
        <v/>
      </c>
    </row>
    <row r="2450">
      <c r="R2450" s="7" t="str">
        <f>IF(H2450="","",VLOOKUP(H2450,'Hoja 9'!$A$1:$B$255,2,0))</f>
        <v/>
      </c>
      <c r="S2450" s="7" t="str">
        <f t="shared" si="3"/>
        <v/>
      </c>
      <c r="T2450" s="7" t="str">
        <f t="shared" si="4"/>
        <v/>
      </c>
    </row>
    <row r="2451">
      <c r="R2451" s="7" t="str">
        <f>IF(H2451="","",VLOOKUP(H2451,'Hoja 9'!$A$1:$B$255,2,0))</f>
        <v/>
      </c>
      <c r="S2451" s="7" t="str">
        <f t="shared" si="3"/>
        <v/>
      </c>
      <c r="T2451" s="7" t="str">
        <f t="shared" si="4"/>
        <v/>
      </c>
    </row>
    <row r="2452">
      <c r="R2452" s="7" t="str">
        <f>IF(H2452="","",VLOOKUP(H2452,'Hoja 9'!$A$1:$B$255,2,0))</f>
        <v/>
      </c>
      <c r="S2452" s="7" t="str">
        <f t="shared" si="3"/>
        <v/>
      </c>
      <c r="T2452" s="7" t="str">
        <f t="shared" si="4"/>
        <v/>
      </c>
    </row>
    <row r="2453">
      <c r="R2453" s="7" t="str">
        <f>IF(H2453="","",VLOOKUP(H2453,'Hoja 9'!$A$1:$B$255,2,0))</f>
        <v/>
      </c>
      <c r="S2453" s="7" t="str">
        <f t="shared" si="3"/>
        <v/>
      </c>
      <c r="T2453" s="7" t="str">
        <f t="shared" si="4"/>
        <v/>
      </c>
    </row>
    <row r="2454">
      <c r="R2454" s="7" t="str">
        <f>IF(H2454="","",VLOOKUP(H2454,'Hoja 9'!$A$1:$B$255,2,0))</f>
        <v/>
      </c>
      <c r="S2454" s="7" t="str">
        <f t="shared" si="3"/>
        <v/>
      </c>
      <c r="T2454" s="7" t="str">
        <f t="shared" si="4"/>
        <v/>
      </c>
    </row>
    <row r="2455">
      <c r="R2455" s="7" t="str">
        <f>IF(H2455="","",VLOOKUP(H2455,'Hoja 9'!$A$1:$B$255,2,0))</f>
        <v/>
      </c>
      <c r="S2455" s="7" t="str">
        <f t="shared" si="3"/>
        <v/>
      </c>
      <c r="T2455" s="7" t="str">
        <f t="shared" si="4"/>
        <v/>
      </c>
    </row>
    <row r="2456">
      <c r="R2456" s="7" t="str">
        <f>IF(H2456="","",VLOOKUP(H2456,'Hoja 9'!$A$1:$B$255,2,0))</f>
        <v/>
      </c>
      <c r="S2456" s="7" t="str">
        <f t="shared" si="3"/>
        <v/>
      </c>
      <c r="T2456" s="7" t="str">
        <f t="shared" si="4"/>
        <v/>
      </c>
    </row>
    <row r="2457">
      <c r="R2457" s="7" t="str">
        <f>IF(H2457="","",VLOOKUP(H2457,'Hoja 9'!$A$1:$B$255,2,0))</f>
        <v/>
      </c>
      <c r="S2457" s="7" t="str">
        <f t="shared" si="3"/>
        <v/>
      </c>
      <c r="T2457" s="7" t="str">
        <f t="shared" si="4"/>
        <v/>
      </c>
    </row>
    <row r="2458">
      <c r="R2458" s="7" t="str">
        <f>IF(H2458="","",VLOOKUP(H2458,'Hoja 9'!$A$1:$B$255,2,0))</f>
        <v/>
      </c>
      <c r="S2458" s="7" t="str">
        <f t="shared" si="3"/>
        <v/>
      </c>
      <c r="T2458" s="7" t="str">
        <f t="shared" si="4"/>
        <v/>
      </c>
    </row>
    <row r="2459">
      <c r="R2459" s="7" t="str">
        <f>IF(H2459="","",VLOOKUP(H2459,'Hoja 9'!$A$1:$B$255,2,0))</f>
        <v/>
      </c>
      <c r="S2459" s="7" t="str">
        <f t="shared" si="3"/>
        <v/>
      </c>
      <c r="T2459" s="7" t="str">
        <f t="shared" si="4"/>
        <v/>
      </c>
    </row>
    <row r="2460">
      <c r="R2460" s="7" t="str">
        <f>IF(H2460="","",VLOOKUP(H2460,'Hoja 9'!$A$1:$B$255,2,0))</f>
        <v/>
      </c>
      <c r="S2460" s="7" t="str">
        <f t="shared" si="3"/>
        <v/>
      </c>
      <c r="T2460" s="7" t="str">
        <f t="shared" si="4"/>
        <v/>
      </c>
    </row>
    <row r="2461">
      <c r="R2461" s="7" t="str">
        <f>IF(H2461="","",VLOOKUP(H2461,'Hoja 9'!$A$1:$B$255,2,0))</f>
        <v/>
      </c>
      <c r="S2461" s="7" t="str">
        <f t="shared" si="3"/>
        <v/>
      </c>
      <c r="T2461" s="7" t="str">
        <f t="shared" si="4"/>
        <v/>
      </c>
    </row>
    <row r="2462">
      <c r="R2462" s="7" t="str">
        <f>IF(H2462="","",VLOOKUP(H2462,'Hoja 9'!$A$1:$B$255,2,0))</f>
        <v/>
      </c>
      <c r="S2462" s="7" t="str">
        <f t="shared" si="3"/>
        <v/>
      </c>
      <c r="T2462" s="7" t="str">
        <f t="shared" si="4"/>
        <v/>
      </c>
    </row>
    <row r="2463">
      <c r="R2463" s="7" t="str">
        <f>IF(H2463="","",VLOOKUP(H2463,'Hoja 9'!$A$1:$B$255,2,0))</f>
        <v/>
      </c>
      <c r="S2463" s="7" t="str">
        <f t="shared" si="3"/>
        <v/>
      </c>
      <c r="T2463" s="7" t="str">
        <f t="shared" si="4"/>
        <v/>
      </c>
    </row>
    <row r="2464">
      <c r="R2464" s="7" t="str">
        <f>IF(H2464="","",VLOOKUP(H2464,'Hoja 9'!$A$1:$B$255,2,0))</f>
        <v/>
      </c>
      <c r="S2464" s="7" t="str">
        <f t="shared" si="3"/>
        <v/>
      </c>
      <c r="T2464" s="7" t="str">
        <f t="shared" si="4"/>
        <v/>
      </c>
    </row>
    <row r="2465">
      <c r="R2465" s="7" t="str">
        <f>IF(H2465="","",VLOOKUP(H2465,'Hoja 9'!$A$1:$B$255,2,0))</f>
        <v/>
      </c>
      <c r="S2465" s="7" t="str">
        <f t="shared" si="3"/>
        <v/>
      </c>
      <c r="T2465" s="7" t="str">
        <f t="shared" si="4"/>
        <v/>
      </c>
    </row>
    <row r="2466">
      <c r="R2466" s="7" t="str">
        <f>IF(H2466="","",VLOOKUP(H2466,'Hoja 9'!$A$1:$B$255,2,0))</f>
        <v/>
      </c>
      <c r="S2466" s="7" t="str">
        <f t="shared" si="3"/>
        <v/>
      </c>
      <c r="T2466" s="7" t="str">
        <f t="shared" si="4"/>
        <v/>
      </c>
    </row>
    <row r="2467">
      <c r="R2467" s="7" t="str">
        <f>IF(H2467="","",VLOOKUP(H2467,'Hoja 9'!$A$1:$B$255,2,0))</f>
        <v/>
      </c>
      <c r="S2467" s="7" t="str">
        <f t="shared" si="3"/>
        <v/>
      </c>
      <c r="T2467" s="7" t="str">
        <f t="shared" si="4"/>
        <v/>
      </c>
    </row>
    <row r="2468">
      <c r="R2468" s="7" t="str">
        <f>IF(H2468="","",VLOOKUP(H2468,'Hoja 9'!$A$1:$B$255,2,0))</f>
        <v/>
      </c>
      <c r="S2468" s="7" t="str">
        <f t="shared" si="3"/>
        <v/>
      </c>
      <c r="T2468" s="7" t="str">
        <f t="shared" si="4"/>
        <v/>
      </c>
    </row>
    <row r="2469">
      <c r="R2469" s="7" t="str">
        <f>IF(H2469="","",VLOOKUP(H2469,'Hoja 9'!$A$1:$B$255,2,0))</f>
        <v/>
      </c>
      <c r="S2469" s="7" t="str">
        <f t="shared" si="3"/>
        <v/>
      </c>
      <c r="T2469" s="7" t="str">
        <f t="shared" si="4"/>
        <v/>
      </c>
    </row>
    <row r="2470">
      <c r="R2470" s="7" t="str">
        <f>IF(H2470="","",VLOOKUP(H2470,'Hoja 9'!$A$1:$B$255,2,0))</f>
        <v/>
      </c>
      <c r="S2470" s="7" t="str">
        <f t="shared" si="3"/>
        <v/>
      </c>
      <c r="T2470" s="7" t="str">
        <f t="shared" si="4"/>
        <v/>
      </c>
    </row>
    <row r="2471">
      <c r="R2471" s="7" t="str">
        <f>IF(H2471="","",VLOOKUP(H2471,'Hoja 9'!$A$1:$B$255,2,0))</f>
        <v/>
      </c>
      <c r="S2471" s="7" t="str">
        <f t="shared" si="3"/>
        <v/>
      </c>
      <c r="T2471" s="7" t="str">
        <f t="shared" si="4"/>
        <v/>
      </c>
    </row>
    <row r="2472">
      <c r="R2472" s="7" t="str">
        <f>IF(H2472="","",VLOOKUP(H2472,'Hoja 9'!$A$1:$B$255,2,0))</f>
        <v/>
      </c>
      <c r="S2472" s="7" t="str">
        <f t="shared" si="3"/>
        <v/>
      </c>
      <c r="T2472" s="7" t="str">
        <f t="shared" si="4"/>
        <v/>
      </c>
    </row>
    <row r="2473">
      <c r="R2473" s="7" t="str">
        <f>IF(H2473="","",VLOOKUP(H2473,'Hoja 9'!$A$1:$B$255,2,0))</f>
        <v/>
      </c>
      <c r="S2473" s="7" t="str">
        <f t="shared" si="3"/>
        <v/>
      </c>
      <c r="T2473" s="7" t="str">
        <f t="shared" si="4"/>
        <v/>
      </c>
    </row>
    <row r="2474">
      <c r="R2474" s="7" t="str">
        <f>IF(H2474="","",VLOOKUP(H2474,'Hoja 9'!$A$1:$B$255,2,0))</f>
        <v/>
      </c>
      <c r="S2474" s="7" t="str">
        <f t="shared" si="3"/>
        <v/>
      </c>
      <c r="T2474" s="7" t="str">
        <f t="shared" si="4"/>
        <v/>
      </c>
    </row>
    <row r="2475">
      <c r="R2475" s="7" t="str">
        <f>IF(H2475="","",VLOOKUP(H2475,'Hoja 9'!$A$1:$B$255,2,0))</f>
        <v/>
      </c>
      <c r="S2475" s="7" t="str">
        <f t="shared" si="3"/>
        <v/>
      </c>
      <c r="T2475" s="7" t="str">
        <f t="shared" si="4"/>
        <v/>
      </c>
    </row>
    <row r="2476">
      <c r="R2476" s="7" t="str">
        <f>IF(H2476="","",VLOOKUP(H2476,'Hoja 9'!$A$1:$B$255,2,0))</f>
        <v/>
      </c>
      <c r="S2476" s="7" t="str">
        <f t="shared" si="3"/>
        <v/>
      </c>
      <c r="T2476" s="7" t="str">
        <f t="shared" si="4"/>
        <v/>
      </c>
    </row>
    <row r="2477">
      <c r="R2477" s="7" t="str">
        <f>IF(H2477="","",VLOOKUP(H2477,'Hoja 9'!$A$1:$B$255,2,0))</f>
        <v/>
      </c>
      <c r="S2477" s="7" t="str">
        <f t="shared" si="3"/>
        <v/>
      </c>
      <c r="T2477" s="7" t="str">
        <f t="shared" si="4"/>
        <v/>
      </c>
    </row>
    <row r="2478">
      <c r="R2478" s="7" t="str">
        <f>IF(H2478="","",VLOOKUP(H2478,'Hoja 9'!$A$1:$B$255,2,0))</f>
        <v/>
      </c>
      <c r="S2478" s="7" t="str">
        <f t="shared" si="3"/>
        <v/>
      </c>
      <c r="T2478" s="7" t="str">
        <f t="shared" si="4"/>
        <v/>
      </c>
    </row>
    <row r="2479">
      <c r="R2479" s="7" t="str">
        <f>IF(H2479="","",VLOOKUP(H2479,'Hoja 9'!$A$1:$B$255,2,0))</f>
        <v/>
      </c>
      <c r="S2479" s="7" t="str">
        <f t="shared" si="3"/>
        <v/>
      </c>
      <c r="T2479" s="7" t="str">
        <f t="shared" si="4"/>
        <v/>
      </c>
    </row>
    <row r="2480">
      <c r="R2480" s="7" t="str">
        <f>IF(H2480="","",VLOOKUP(H2480,'Hoja 9'!$A$1:$B$255,2,0))</f>
        <v/>
      </c>
      <c r="S2480" s="7" t="str">
        <f t="shared" si="3"/>
        <v/>
      </c>
      <c r="T2480" s="7" t="str">
        <f t="shared" si="4"/>
        <v/>
      </c>
    </row>
    <row r="2481">
      <c r="R2481" s="7" t="str">
        <f>IF(H2481="","",VLOOKUP(H2481,'Hoja 9'!$A$1:$B$255,2,0))</f>
        <v/>
      </c>
      <c r="S2481" s="7" t="str">
        <f t="shared" si="3"/>
        <v/>
      </c>
      <c r="T2481" s="7" t="str">
        <f t="shared" si="4"/>
        <v/>
      </c>
    </row>
    <row r="2482">
      <c r="R2482" s="7" t="str">
        <f>IF(H2482="","",VLOOKUP(H2482,'Hoja 9'!$A$1:$B$255,2,0))</f>
        <v/>
      </c>
      <c r="S2482" s="7" t="str">
        <f t="shared" si="3"/>
        <v/>
      </c>
      <c r="T2482" s="7" t="str">
        <f t="shared" si="4"/>
        <v/>
      </c>
    </row>
    <row r="2483">
      <c r="R2483" s="7" t="str">
        <f>IF(H2483="","",VLOOKUP(H2483,'Hoja 9'!$A$1:$B$255,2,0))</f>
        <v/>
      </c>
      <c r="S2483" s="7" t="str">
        <f t="shared" si="3"/>
        <v/>
      </c>
      <c r="T2483" s="7" t="str">
        <f t="shared" si="4"/>
        <v/>
      </c>
    </row>
    <row r="2484">
      <c r="R2484" s="7" t="str">
        <f>IF(H2484="","",VLOOKUP(H2484,'Hoja 9'!$A$1:$B$255,2,0))</f>
        <v/>
      </c>
      <c r="S2484" s="7" t="str">
        <f t="shared" si="3"/>
        <v/>
      </c>
      <c r="T2484" s="7" t="str">
        <f t="shared" si="4"/>
        <v/>
      </c>
    </row>
    <row r="2485">
      <c r="R2485" s="7" t="str">
        <f>IF(H2485="","",VLOOKUP(H2485,'Hoja 9'!$A$1:$B$255,2,0))</f>
        <v/>
      </c>
      <c r="S2485" s="7" t="str">
        <f t="shared" si="3"/>
        <v/>
      </c>
      <c r="T2485" s="7" t="str">
        <f t="shared" si="4"/>
        <v/>
      </c>
    </row>
    <row r="2486">
      <c r="R2486" s="7" t="str">
        <f>IF(H2486="","",VLOOKUP(H2486,'Hoja 9'!$A$1:$B$255,2,0))</f>
        <v/>
      </c>
      <c r="S2486" s="7" t="str">
        <f t="shared" si="3"/>
        <v/>
      </c>
      <c r="T2486" s="7" t="str">
        <f t="shared" si="4"/>
        <v/>
      </c>
    </row>
    <row r="2487">
      <c r="R2487" s="7" t="str">
        <f>IF(H2487="","",VLOOKUP(H2487,'Hoja 9'!$A$1:$B$255,2,0))</f>
        <v/>
      </c>
      <c r="S2487" s="7" t="str">
        <f t="shared" si="3"/>
        <v/>
      </c>
      <c r="T2487" s="7" t="str">
        <f t="shared" si="4"/>
        <v/>
      </c>
    </row>
    <row r="2488">
      <c r="R2488" s="7" t="str">
        <f>IF(H2488="","",VLOOKUP(H2488,'Hoja 9'!$A$1:$B$255,2,0))</f>
        <v/>
      </c>
      <c r="S2488" s="7" t="str">
        <f t="shared" si="3"/>
        <v/>
      </c>
      <c r="T2488" s="7" t="str">
        <f t="shared" si="4"/>
        <v/>
      </c>
    </row>
    <row r="2489">
      <c r="R2489" s="7" t="str">
        <f>IF(H2489="","",VLOOKUP(H2489,'Hoja 9'!$A$1:$B$255,2,0))</f>
        <v/>
      </c>
      <c r="S2489" s="7" t="str">
        <f t="shared" si="3"/>
        <v/>
      </c>
      <c r="T2489" s="7" t="str">
        <f t="shared" si="4"/>
        <v/>
      </c>
    </row>
    <row r="2490">
      <c r="R2490" s="7" t="str">
        <f>IF(H2490="","",VLOOKUP(H2490,'Hoja 9'!$A$1:$B$255,2,0))</f>
        <v/>
      </c>
      <c r="S2490" s="7" t="str">
        <f t="shared" si="3"/>
        <v/>
      </c>
      <c r="T2490" s="7" t="str">
        <f t="shared" si="4"/>
        <v/>
      </c>
    </row>
    <row r="2491">
      <c r="R2491" s="7" t="str">
        <f>IF(H2491="","",VLOOKUP(H2491,'Hoja 9'!$A$1:$B$255,2,0))</f>
        <v/>
      </c>
      <c r="S2491" s="7" t="str">
        <f t="shared" si="3"/>
        <v/>
      </c>
      <c r="T2491" s="7" t="str">
        <f t="shared" si="4"/>
        <v/>
      </c>
    </row>
    <row r="2492">
      <c r="R2492" s="7" t="str">
        <f>IF(H2492="","",VLOOKUP(H2492,'Hoja 9'!$A$1:$B$255,2,0))</f>
        <v/>
      </c>
      <c r="S2492" s="7" t="str">
        <f t="shared" si="3"/>
        <v/>
      </c>
      <c r="T2492" s="7" t="str">
        <f t="shared" si="4"/>
        <v/>
      </c>
    </row>
    <row r="2493">
      <c r="R2493" s="7" t="str">
        <f>IF(H2493="","",VLOOKUP(H2493,'Hoja 9'!$A$1:$B$255,2,0))</f>
        <v/>
      </c>
      <c r="S2493" s="7" t="str">
        <f t="shared" si="3"/>
        <v/>
      </c>
      <c r="T2493" s="7" t="str">
        <f t="shared" si="4"/>
        <v/>
      </c>
    </row>
    <row r="2494">
      <c r="R2494" s="7" t="str">
        <f>IF(H2494="","",VLOOKUP(H2494,'Hoja 9'!$A$1:$B$255,2,0))</f>
        <v/>
      </c>
      <c r="S2494" s="7" t="str">
        <f t="shared" si="3"/>
        <v/>
      </c>
      <c r="T2494" s="7" t="str">
        <f t="shared" si="4"/>
        <v/>
      </c>
    </row>
    <row r="2495">
      <c r="R2495" s="7" t="str">
        <f>IF(H2495="","",VLOOKUP(H2495,'Hoja 9'!$A$1:$B$255,2,0))</f>
        <v/>
      </c>
      <c r="S2495" s="7" t="str">
        <f t="shared" si="3"/>
        <v/>
      </c>
      <c r="T2495" s="7" t="str">
        <f t="shared" si="4"/>
        <v/>
      </c>
    </row>
    <row r="2496">
      <c r="R2496" s="7" t="str">
        <f>IF(H2496="","",VLOOKUP(H2496,'Hoja 9'!$A$1:$B$255,2,0))</f>
        <v/>
      </c>
      <c r="S2496" s="7" t="str">
        <f t="shared" si="3"/>
        <v/>
      </c>
      <c r="T2496" s="7" t="str">
        <f t="shared" si="4"/>
        <v/>
      </c>
    </row>
    <row r="2497">
      <c r="R2497" s="7" t="str">
        <f>IF(H2497="","",VLOOKUP(H2497,'Hoja 9'!$A$1:$B$255,2,0))</f>
        <v/>
      </c>
      <c r="S2497" s="7" t="str">
        <f t="shared" si="3"/>
        <v/>
      </c>
      <c r="T2497" s="7" t="str">
        <f t="shared" si="4"/>
        <v/>
      </c>
    </row>
    <row r="2498">
      <c r="R2498" s="7" t="str">
        <f>IF(H2498="","",VLOOKUP(H2498,'Hoja 9'!$A$1:$B$255,2,0))</f>
        <v/>
      </c>
      <c r="S2498" s="7" t="str">
        <f t="shared" si="3"/>
        <v/>
      </c>
      <c r="T2498" s="7" t="str">
        <f t="shared" si="4"/>
        <v/>
      </c>
    </row>
    <row r="2499">
      <c r="R2499" s="7" t="str">
        <f>IF(H2499="","",VLOOKUP(H2499,'Hoja 9'!$A$1:$B$255,2,0))</f>
        <v/>
      </c>
      <c r="S2499" s="7" t="str">
        <f t="shared" si="3"/>
        <v/>
      </c>
      <c r="T2499" s="7" t="str">
        <f t="shared" si="4"/>
        <v/>
      </c>
    </row>
    <row r="2500">
      <c r="R2500" s="7" t="str">
        <f>IF(H2500="","",VLOOKUP(H2500,'Hoja 9'!$A$1:$B$255,2,0))</f>
        <v/>
      </c>
      <c r="S2500" s="7" t="str">
        <f t="shared" si="3"/>
        <v/>
      </c>
      <c r="T2500" s="7" t="str">
        <f t="shared" si="4"/>
        <v/>
      </c>
    </row>
    <row r="2501">
      <c r="R2501" s="7" t="str">
        <f>IF(H2501="","",VLOOKUP(H2501,'Hoja 9'!$A$1:$B$255,2,0))</f>
        <v/>
      </c>
      <c r="S2501" s="7" t="str">
        <f t="shared" si="3"/>
        <v/>
      </c>
      <c r="T2501" s="7" t="str">
        <f t="shared" si="4"/>
        <v/>
      </c>
    </row>
    <row r="2502">
      <c r="R2502" s="7" t="str">
        <f>IF(H2502="","",VLOOKUP(H2502,'Hoja 9'!$A$1:$B$255,2,0))</f>
        <v/>
      </c>
      <c r="S2502" s="7" t="str">
        <f t="shared" si="3"/>
        <v/>
      </c>
      <c r="T2502" s="7" t="str">
        <f t="shared" si="4"/>
        <v/>
      </c>
    </row>
    <row r="2503">
      <c r="R2503" s="7" t="str">
        <f>IF(H2503="","",VLOOKUP(H2503,'Hoja 9'!$A$1:$B$255,2,0))</f>
        <v/>
      </c>
      <c r="S2503" s="7" t="str">
        <f t="shared" si="3"/>
        <v/>
      </c>
      <c r="T2503" s="7" t="str">
        <f t="shared" si="4"/>
        <v/>
      </c>
    </row>
    <row r="2504">
      <c r="R2504" s="7" t="str">
        <f>IF(H2504="","",VLOOKUP(H2504,'Hoja 9'!$A$1:$B$255,2,0))</f>
        <v/>
      </c>
      <c r="S2504" s="7" t="str">
        <f t="shared" si="3"/>
        <v/>
      </c>
      <c r="T2504" s="7" t="str">
        <f t="shared" si="4"/>
        <v/>
      </c>
    </row>
    <row r="2505">
      <c r="R2505" s="7" t="str">
        <f>IF(H2505="","",VLOOKUP(H2505,'Hoja 9'!$A$1:$B$255,2,0))</f>
        <v/>
      </c>
      <c r="S2505" s="7" t="str">
        <f t="shared" si="3"/>
        <v/>
      </c>
      <c r="T2505" s="7" t="str">
        <f t="shared" si="4"/>
        <v/>
      </c>
    </row>
    <row r="2506">
      <c r="R2506" s="7" t="str">
        <f>IF(H2506="","",VLOOKUP(H2506,'Hoja 9'!$A$1:$B$255,2,0))</f>
        <v/>
      </c>
      <c r="S2506" s="7" t="str">
        <f t="shared" si="3"/>
        <v/>
      </c>
      <c r="T2506" s="7" t="str">
        <f t="shared" si="4"/>
        <v/>
      </c>
    </row>
    <row r="2507">
      <c r="R2507" s="7" t="str">
        <f>IF(H2507="","",VLOOKUP(H2507,'Hoja 9'!$A$1:$B$255,2,0))</f>
        <v/>
      </c>
      <c r="S2507" s="7" t="str">
        <f t="shared" si="3"/>
        <v/>
      </c>
      <c r="T2507" s="7" t="str">
        <f t="shared" si="4"/>
        <v/>
      </c>
    </row>
    <row r="2508">
      <c r="R2508" s="7" t="str">
        <f>IF(H2508="","",VLOOKUP(H2508,'Hoja 9'!$A$1:$B$255,2,0))</f>
        <v/>
      </c>
      <c r="S2508" s="7" t="str">
        <f t="shared" si="3"/>
        <v/>
      </c>
      <c r="T2508" s="7" t="str">
        <f t="shared" si="4"/>
        <v/>
      </c>
    </row>
    <row r="2509">
      <c r="R2509" s="7" t="str">
        <f>IF(H2509="","",VLOOKUP(H2509,'Hoja 9'!$A$1:$B$255,2,0))</f>
        <v/>
      </c>
      <c r="S2509" s="7" t="str">
        <f t="shared" si="3"/>
        <v/>
      </c>
      <c r="T2509" s="7" t="str">
        <f t="shared" si="4"/>
        <v/>
      </c>
    </row>
    <row r="2510">
      <c r="R2510" s="7" t="str">
        <f>IF(H2510="","",VLOOKUP(H2510,'Hoja 9'!$A$1:$B$255,2,0))</f>
        <v/>
      </c>
      <c r="S2510" s="7" t="str">
        <f t="shared" si="3"/>
        <v/>
      </c>
      <c r="T2510" s="7" t="str">
        <f t="shared" si="4"/>
        <v/>
      </c>
    </row>
    <row r="2511">
      <c r="R2511" s="7" t="str">
        <f>IF(H2511="","",VLOOKUP(H2511,'Hoja 9'!$A$1:$B$255,2,0))</f>
        <v/>
      </c>
      <c r="S2511" s="7" t="str">
        <f t="shared" si="3"/>
        <v/>
      </c>
      <c r="T2511" s="7" t="str">
        <f t="shared" si="4"/>
        <v/>
      </c>
    </row>
    <row r="2512">
      <c r="R2512" s="7" t="str">
        <f>IF(H2512="","",VLOOKUP(H2512,'Hoja 9'!$A$1:$B$255,2,0))</f>
        <v/>
      </c>
      <c r="S2512" s="7" t="str">
        <f t="shared" si="3"/>
        <v/>
      </c>
      <c r="T2512" s="7" t="str">
        <f t="shared" si="4"/>
        <v/>
      </c>
    </row>
    <row r="2513">
      <c r="R2513" s="7" t="str">
        <f>IF(H2513="","",VLOOKUP(H2513,'Hoja 9'!$A$1:$B$255,2,0))</f>
        <v/>
      </c>
      <c r="S2513" s="7" t="str">
        <f t="shared" si="3"/>
        <v/>
      </c>
      <c r="T2513" s="7" t="str">
        <f t="shared" si="4"/>
        <v/>
      </c>
    </row>
    <row r="2514">
      <c r="R2514" s="7" t="str">
        <f>IF(H2514="","",VLOOKUP(H2514,'Hoja 9'!$A$1:$B$255,2,0))</f>
        <v/>
      </c>
      <c r="S2514" s="7" t="str">
        <f t="shared" si="3"/>
        <v/>
      </c>
      <c r="T2514" s="7" t="str">
        <f t="shared" si="4"/>
        <v/>
      </c>
    </row>
    <row r="2515">
      <c r="R2515" s="7" t="str">
        <f>IF(H2515="","",VLOOKUP(H2515,'Hoja 9'!$A$1:$B$255,2,0))</f>
        <v/>
      </c>
      <c r="S2515" s="7" t="str">
        <f t="shared" si="3"/>
        <v/>
      </c>
      <c r="T2515" s="7" t="str">
        <f t="shared" si="4"/>
        <v/>
      </c>
    </row>
    <row r="2516">
      <c r="R2516" s="7" t="str">
        <f>IF(H2516="","",VLOOKUP(H2516,'Hoja 9'!$A$1:$B$255,2,0))</f>
        <v/>
      </c>
      <c r="S2516" s="7" t="str">
        <f t="shared" si="3"/>
        <v/>
      </c>
      <c r="T2516" s="7" t="str">
        <f t="shared" si="4"/>
        <v/>
      </c>
    </row>
    <row r="2517">
      <c r="R2517" s="7" t="str">
        <f>IF(H2517="","",VLOOKUP(H2517,'Hoja 9'!$A$1:$B$255,2,0))</f>
        <v/>
      </c>
      <c r="S2517" s="7" t="str">
        <f t="shared" si="3"/>
        <v/>
      </c>
      <c r="T2517" s="7" t="str">
        <f t="shared" si="4"/>
        <v/>
      </c>
    </row>
    <row r="2518">
      <c r="R2518" s="7" t="str">
        <f>IF(H2518="","",VLOOKUP(H2518,'Hoja 9'!$A$1:$B$255,2,0))</f>
        <v/>
      </c>
      <c r="S2518" s="7" t="str">
        <f t="shared" si="3"/>
        <v/>
      </c>
      <c r="T2518" s="7" t="str">
        <f t="shared" si="4"/>
        <v/>
      </c>
    </row>
    <row r="2519">
      <c r="R2519" s="7" t="str">
        <f>IF(H2519="","",VLOOKUP(H2519,'Hoja 9'!$A$1:$B$255,2,0))</f>
        <v/>
      </c>
      <c r="S2519" s="7" t="str">
        <f t="shared" si="3"/>
        <v/>
      </c>
      <c r="T2519" s="7" t="str">
        <f t="shared" si="4"/>
        <v/>
      </c>
    </row>
    <row r="2520">
      <c r="R2520" s="7" t="str">
        <f>IF(H2520="","",VLOOKUP(H2520,'Hoja 9'!$A$1:$B$255,2,0))</f>
        <v/>
      </c>
      <c r="S2520" s="7" t="str">
        <f t="shared" si="3"/>
        <v/>
      </c>
      <c r="T2520" s="7" t="str">
        <f t="shared" si="4"/>
        <v/>
      </c>
    </row>
    <row r="2521">
      <c r="R2521" s="7" t="str">
        <f>IF(H2521="","",VLOOKUP(H2521,'Hoja 9'!$A$1:$B$255,2,0))</f>
        <v/>
      </c>
      <c r="S2521" s="7" t="str">
        <f t="shared" si="3"/>
        <v/>
      </c>
      <c r="T2521" s="7" t="str">
        <f t="shared" si="4"/>
        <v/>
      </c>
    </row>
    <row r="2522">
      <c r="R2522" s="7" t="str">
        <f>IF(H2522="","",VLOOKUP(H2522,'Hoja 9'!$A$1:$B$255,2,0))</f>
        <v/>
      </c>
      <c r="S2522" s="7" t="str">
        <f t="shared" si="3"/>
        <v/>
      </c>
      <c r="T2522" s="7" t="str">
        <f t="shared" si="4"/>
        <v/>
      </c>
    </row>
    <row r="2523">
      <c r="R2523" s="7" t="str">
        <f>IF(H2523="","",VLOOKUP(H2523,'Hoja 9'!$A$1:$B$255,2,0))</f>
        <v/>
      </c>
      <c r="S2523" s="7" t="str">
        <f t="shared" si="3"/>
        <v/>
      </c>
      <c r="T2523" s="7" t="str">
        <f t="shared" si="4"/>
        <v/>
      </c>
    </row>
    <row r="2524">
      <c r="R2524" s="7" t="str">
        <f>IF(H2524="","",VLOOKUP(H2524,'Hoja 9'!$A$1:$B$255,2,0))</f>
        <v/>
      </c>
      <c r="S2524" s="7" t="str">
        <f t="shared" si="3"/>
        <v/>
      </c>
      <c r="T2524" s="7" t="str">
        <f t="shared" si="4"/>
        <v/>
      </c>
    </row>
    <row r="2525">
      <c r="R2525" s="7" t="str">
        <f>IF(H2525="","",VLOOKUP(H2525,'Hoja 9'!$A$1:$B$255,2,0))</f>
        <v/>
      </c>
      <c r="S2525" s="7" t="str">
        <f t="shared" si="3"/>
        <v/>
      </c>
      <c r="T2525" s="7" t="str">
        <f t="shared" si="4"/>
        <v/>
      </c>
    </row>
    <row r="2526">
      <c r="R2526" s="7" t="str">
        <f>IF(H2526="","",VLOOKUP(H2526,'Hoja 9'!$A$1:$B$255,2,0))</f>
        <v/>
      </c>
      <c r="S2526" s="7" t="str">
        <f t="shared" si="3"/>
        <v/>
      </c>
      <c r="T2526" s="7" t="str">
        <f t="shared" si="4"/>
        <v/>
      </c>
    </row>
    <row r="2527">
      <c r="R2527" s="7" t="str">
        <f>IF(H2527="","",VLOOKUP(H2527,'Hoja 9'!$A$1:$B$255,2,0))</f>
        <v/>
      </c>
      <c r="S2527" s="7" t="str">
        <f t="shared" si="3"/>
        <v/>
      </c>
      <c r="T2527" s="7" t="str">
        <f t="shared" si="4"/>
        <v/>
      </c>
    </row>
    <row r="2528">
      <c r="R2528" s="7" t="str">
        <f>IF(H2528="","",VLOOKUP(H2528,'Hoja 9'!$A$1:$B$255,2,0))</f>
        <v/>
      </c>
      <c r="S2528" s="7" t="str">
        <f t="shared" si="3"/>
        <v/>
      </c>
      <c r="T2528" s="7" t="str">
        <f t="shared" si="4"/>
        <v/>
      </c>
    </row>
    <row r="2529">
      <c r="R2529" s="7" t="str">
        <f>IF(H2529="","",VLOOKUP(H2529,'Hoja 9'!$A$1:$B$255,2,0))</f>
        <v/>
      </c>
      <c r="S2529" s="7" t="str">
        <f t="shared" si="3"/>
        <v/>
      </c>
      <c r="T2529" s="7" t="str">
        <f t="shared" si="4"/>
        <v/>
      </c>
    </row>
    <row r="2530">
      <c r="R2530" s="7" t="str">
        <f>IF(H2530="","",VLOOKUP(H2530,'Hoja 9'!$A$1:$B$255,2,0))</f>
        <v/>
      </c>
      <c r="S2530" s="7" t="str">
        <f t="shared" si="3"/>
        <v/>
      </c>
      <c r="T2530" s="7" t="str">
        <f t="shared" si="4"/>
        <v/>
      </c>
    </row>
    <row r="2531">
      <c r="R2531" s="7" t="str">
        <f>IF(H2531="","",VLOOKUP(H2531,'Hoja 9'!$A$1:$B$255,2,0))</f>
        <v/>
      </c>
      <c r="S2531" s="7" t="str">
        <f t="shared" si="3"/>
        <v/>
      </c>
      <c r="T2531" s="7" t="str">
        <f t="shared" si="4"/>
        <v/>
      </c>
    </row>
    <row r="2532">
      <c r="R2532" s="7" t="str">
        <f>IF(H2532="","",VLOOKUP(H2532,'Hoja 9'!$A$1:$B$255,2,0))</f>
        <v/>
      </c>
      <c r="S2532" s="7" t="str">
        <f t="shared" si="3"/>
        <v/>
      </c>
      <c r="T2532" s="7" t="str">
        <f t="shared" si="4"/>
        <v/>
      </c>
    </row>
    <row r="2533">
      <c r="R2533" s="7" t="str">
        <f>IF(H2533="","",VLOOKUP(H2533,'Hoja 9'!$A$1:$B$255,2,0))</f>
        <v/>
      </c>
      <c r="S2533" s="7" t="str">
        <f t="shared" si="3"/>
        <v/>
      </c>
      <c r="T2533" s="7" t="str">
        <f t="shared" si="4"/>
        <v/>
      </c>
    </row>
    <row r="2534">
      <c r="R2534" s="7" t="str">
        <f>IF(H2534="","",VLOOKUP(H2534,'Hoja 9'!$A$1:$B$255,2,0))</f>
        <v/>
      </c>
      <c r="S2534" s="7" t="str">
        <f t="shared" si="3"/>
        <v/>
      </c>
      <c r="T2534" s="7" t="str">
        <f t="shared" si="4"/>
        <v/>
      </c>
    </row>
    <row r="2535">
      <c r="R2535" s="7" t="str">
        <f>IF(H2535="","",VLOOKUP(H2535,'Hoja 9'!$A$1:$B$255,2,0))</f>
        <v/>
      </c>
      <c r="S2535" s="7" t="str">
        <f t="shared" si="3"/>
        <v/>
      </c>
      <c r="T2535" s="7" t="str">
        <f t="shared" si="4"/>
        <v/>
      </c>
    </row>
    <row r="2536">
      <c r="R2536" s="7" t="str">
        <f>IF(H2536="","",VLOOKUP(H2536,'Hoja 9'!$A$1:$B$255,2,0))</f>
        <v/>
      </c>
      <c r="S2536" s="7" t="str">
        <f t="shared" si="3"/>
        <v/>
      </c>
      <c r="T2536" s="7" t="str">
        <f t="shared" si="4"/>
        <v/>
      </c>
    </row>
    <row r="2537">
      <c r="R2537" s="7" t="str">
        <f>IF(H2537="","",VLOOKUP(H2537,'Hoja 9'!$A$1:$B$255,2,0))</f>
        <v/>
      </c>
      <c r="S2537" s="7" t="str">
        <f t="shared" si="3"/>
        <v/>
      </c>
      <c r="T2537" s="7" t="str">
        <f t="shared" si="4"/>
        <v/>
      </c>
    </row>
    <row r="2538">
      <c r="R2538" s="7" t="str">
        <f>IF(H2538="","",VLOOKUP(H2538,'Hoja 9'!$A$1:$B$255,2,0))</f>
        <v/>
      </c>
      <c r="S2538" s="7" t="str">
        <f t="shared" si="3"/>
        <v/>
      </c>
      <c r="T2538" s="7" t="str">
        <f t="shared" si="4"/>
        <v/>
      </c>
    </row>
    <row r="2539">
      <c r="R2539" s="7" t="str">
        <f>IF(H2539="","",VLOOKUP(H2539,'Hoja 9'!$A$1:$B$255,2,0))</f>
        <v/>
      </c>
      <c r="S2539" s="7" t="str">
        <f t="shared" si="3"/>
        <v/>
      </c>
      <c r="T2539" s="7" t="str">
        <f t="shared" si="4"/>
        <v/>
      </c>
    </row>
    <row r="2540">
      <c r="R2540" s="7" t="str">
        <f>IF(H2540="","",VLOOKUP(H2540,'Hoja 9'!$A$1:$B$255,2,0))</f>
        <v/>
      </c>
      <c r="S2540" s="7" t="str">
        <f t="shared" si="3"/>
        <v/>
      </c>
      <c r="T2540" s="7" t="str">
        <f t="shared" si="4"/>
        <v/>
      </c>
    </row>
    <row r="2541">
      <c r="R2541" s="7" t="str">
        <f>IF(H2541="","",VLOOKUP(H2541,'Hoja 9'!$A$1:$B$255,2,0))</f>
        <v/>
      </c>
      <c r="S2541" s="7" t="str">
        <f t="shared" si="3"/>
        <v/>
      </c>
      <c r="T2541" s="7" t="str">
        <f t="shared" si="4"/>
        <v/>
      </c>
    </row>
    <row r="2542">
      <c r="R2542" s="7" t="str">
        <f>IF(H2542="","",VLOOKUP(H2542,'Hoja 9'!$A$1:$B$255,2,0))</f>
        <v/>
      </c>
      <c r="S2542" s="7" t="str">
        <f t="shared" si="3"/>
        <v/>
      </c>
      <c r="T2542" s="7" t="str">
        <f t="shared" si="4"/>
        <v/>
      </c>
    </row>
    <row r="2543">
      <c r="R2543" s="7" t="str">
        <f>IF(H2543="","",VLOOKUP(H2543,'Hoja 9'!$A$1:$B$255,2,0))</f>
        <v/>
      </c>
      <c r="S2543" s="7" t="str">
        <f t="shared" si="3"/>
        <v/>
      </c>
      <c r="T2543" s="7" t="str">
        <f t="shared" si="4"/>
        <v/>
      </c>
    </row>
    <row r="2544">
      <c r="R2544" s="7" t="str">
        <f>IF(H2544="","",VLOOKUP(H2544,'Hoja 9'!$A$1:$B$255,2,0))</f>
        <v/>
      </c>
      <c r="S2544" s="7" t="str">
        <f t="shared" si="3"/>
        <v/>
      </c>
      <c r="T2544" s="7" t="str">
        <f t="shared" si="4"/>
        <v/>
      </c>
    </row>
    <row r="2545">
      <c r="R2545" s="7" t="str">
        <f>IF(H2545="","",VLOOKUP(H2545,'Hoja 9'!$A$1:$B$255,2,0))</f>
        <v/>
      </c>
      <c r="S2545" s="7" t="str">
        <f t="shared" si="3"/>
        <v/>
      </c>
      <c r="T2545" s="7" t="str">
        <f t="shared" si="4"/>
        <v/>
      </c>
    </row>
    <row r="2546">
      <c r="R2546" s="7" t="str">
        <f>IF(H2546="","",VLOOKUP(H2546,'Hoja 9'!$A$1:$B$255,2,0))</f>
        <v/>
      </c>
      <c r="S2546" s="7" t="str">
        <f t="shared" si="3"/>
        <v/>
      </c>
      <c r="T2546" s="7" t="str">
        <f t="shared" si="4"/>
        <v/>
      </c>
    </row>
    <row r="2547">
      <c r="R2547" s="7" t="str">
        <f>IF(H2547="","",VLOOKUP(H2547,'Hoja 9'!$A$1:$B$255,2,0))</f>
        <v/>
      </c>
      <c r="S2547" s="7" t="str">
        <f t="shared" si="3"/>
        <v/>
      </c>
      <c r="T2547" s="7" t="str">
        <f t="shared" si="4"/>
        <v/>
      </c>
    </row>
    <row r="2548">
      <c r="R2548" s="7" t="str">
        <f>IF(H2548="","",VLOOKUP(H2548,'Hoja 9'!$A$1:$B$255,2,0))</f>
        <v/>
      </c>
      <c r="S2548" s="7" t="str">
        <f t="shared" si="3"/>
        <v/>
      </c>
      <c r="T2548" s="7" t="str">
        <f t="shared" si="4"/>
        <v/>
      </c>
    </row>
    <row r="2549">
      <c r="R2549" s="7" t="str">
        <f>IF(H2549="","",VLOOKUP(H2549,'Hoja 9'!$A$1:$B$255,2,0))</f>
        <v/>
      </c>
      <c r="S2549" s="7" t="str">
        <f t="shared" si="3"/>
        <v/>
      </c>
      <c r="T2549" s="7" t="str">
        <f t="shared" si="4"/>
        <v/>
      </c>
    </row>
    <row r="2550">
      <c r="R2550" s="7" t="str">
        <f>IF(H2550="","",VLOOKUP(H2550,'Hoja 9'!$A$1:$B$255,2,0))</f>
        <v/>
      </c>
      <c r="S2550" s="7" t="str">
        <f t="shared" si="3"/>
        <v/>
      </c>
      <c r="T2550" s="7" t="str">
        <f t="shared" si="4"/>
        <v/>
      </c>
    </row>
    <row r="2551">
      <c r="R2551" s="7" t="str">
        <f>IF(H2551="","",VLOOKUP(H2551,'Hoja 9'!$A$1:$B$255,2,0))</f>
        <v/>
      </c>
      <c r="S2551" s="7" t="str">
        <f t="shared" si="3"/>
        <v/>
      </c>
      <c r="T2551" s="7" t="str">
        <f t="shared" si="4"/>
        <v/>
      </c>
    </row>
    <row r="2552">
      <c r="R2552" s="7" t="str">
        <f>IF(H2552="","",VLOOKUP(H2552,'Hoja 9'!$A$1:$B$255,2,0))</f>
        <v/>
      </c>
      <c r="S2552" s="7" t="str">
        <f t="shared" si="3"/>
        <v/>
      </c>
      <c r="T2552" s="7" t="str">
        <f t="shared" si="4"/>
        <v/>
      </c>
    </row>
    <row r="2553">
      <c r="R2553" s="7" t="str">
        <f>IF(H2553="","",VLOOKUP(H2553,'Hoja 9'!$A$1:$B$255,2,0))</f>
        <v/>
      </c>
      <c r="S2553" s="7" t="str">
        <f t="shared" si="3"/>
        <v/>
      </c>
      <c r="T2553" s="7" t="str">
        <f t="shared" si="4"/>
        <v/>
      </c>
    </row>
    <row r="2554">
      <c r="R2554" s="7" t="str">
        <f>IF(H2554="","",VLOOKUP(H2554,'Hoja 9'!$A$1:$B$255,2,0))</f>
        <v/>
      </c>
      <c r="S2554" s="7" t="str">
        <f t="shared" si="3"/>
        <v/>
      </c>
      <c r="T2554" s="7" t="str">
        <f t="shared" si="4"/>
        <v/>
      </c>
    </row>
    <row r="2555">
      <c r="R2555" s="7" t="str">
        <f>IF(H2555="","",VLOOKUP(H2555,'Hoja 9'!$A$1:$B$255,2,0))</f>
        <v/>
      </c>
      <c r="S2555" s="7" t="str">
        <f t="shared" si="3"/>
        <v/>
      </c>
      <c r="T2555" s="7" t="str">
        <f t="shared" si="4"/>
        <v/>
      </c>
    </row>
    <row r="2556">
      <c r="R2556" s="7" t="str">
        <f>IF(H2556="","",VLOOKUP(H2556,'Hoja 9'!$A$1:$B$255,2,0))</f>
        <v/>
      </c>
      <c r="S2556" s="7" t="str">
        <f t="shared" si="3"/>
        <v/>
      </c>
      <c r="T2556" s="7" t="str">
        <f t="shared" si="4"/>
        <v/>
      </c>
    </row>
    <row r="2557">
      <c r="R2557" s="7" t="str">
        <f>IF(H2557="","",VLOOKUP(H2557,'Hoja 9'!$A$1:$B$255,2,0))</f>
        <v/>
      </c>
      <c r="S2557" s="7" t="str">
        <f t="shared" si="3"/>
        <v/>
      </c>
      <c r="T2557" s="7" t="str">
        <f t="shared" si="4"/>
        <v/>
      </c>
    </row>
    <row r="2558">
      <c r="R2558" s="7" t="str">
        <f>IF(H2558="","",VLOOKUP(H2558,'Hoja 9'!$A$1:$B$255,2,0))</f>
        <v/>
      </c>
      <c r="S2558" s="7" t="str">
        <f t="shared" si="3"/>
        <v/>
      </c>
      <c r="T2558" s="7" t="str">
        <f t="shared" si="4"/>
        <v/>
      </c>
    </row>
    <row r="2559">
      <c r="R2559" s="7" t="str">
        <f>IF(H2559="","",VLOOKUP(H2559,'Hoja 9'!$A$1:$B$255,2,0))</f>
        <v/>
      </c>
      <c r="S2559" s="7" t="str">
        <f t="shared" si="3"/>
        <v/>
      </c>
      <c r="T2559" s="7" t="str">
        <f t="shared" si="4"/>
        <v/>
      </c>
    </row>
    <row r="2560">
      <c r="R2560" s="7" t="str">
        <f>IF(H2560="","",VLOOKUP(H2560,'Hoja 9'!$A$1:$B$255,2,0))</f>
        <v/>
      </c>
      <c r="S2560" s="7" t="str">
        <f t="shared" si="3"/>
        <v/>
      </c>
      <c r="T2560" s="7" t="str">
        <f t="shared" si="4"/>
        <v/>
      </c>
    </row>
    <row r="2561">
      <c r="R2561" s="7" t="str">
        <f>IF(H2561="","",VLOOKUP(H2561,'Hoja 9'!$A$1:$B$255,2,0))</f>
        <v/>
      </c>
      <c r="S2561" s="7" t="str">
        <f t="shared" si="3"/>
        <v/>
      </c>
      <c r="T2561" s="7" t="str">
        <f t="shared" si="4"/>
        <v/>
      </c>
    </row>
    <row r="2562">
      <c r="R2562" s="7" t="str">
        <f>IF(H2562="","",VLOOKUP(H2562,'Hoja 9'!$A$1:$B$255,2,0))</f>
        <v/>
      </c>
      <c r="S2562" s="7" t="str">
        <f t="shared" si="3"/>
        <v/>
      </c>
      <c r="T2562" s="7" t="str">
        <f t="shared" si="4"/>
        <v/>
      </c>
    </row>
    <row r="2563">
      <c r="R2563" s="7" t="str">
        <f>IF(H2563="","",VLOOKUP(H2563,'Hoja 9'!$A$1:$B$255,2,0))</f>
        <v/>
      </c>
      <c r="S2563" s="7" t="str">
        <f t="shared" si="3"/>
        <v/>
      </c>
      <c r="T2563" s="7" t="str">
        <f t="shared" si="4"/>
        <v/>
      </c>
    </row>
    <row r="2564">
      <c r="R2564" s="7" t="str">
        <f>IF(H2564="","",VLOOKUP(H2564,'Hoja 9'!$A$1:$B$255,2,0))</f>
        <v/>
      </c>
      <c r="S2564" s="7" t="str">
        <f t="shared" si="3"/>
        <v/>
      </c>
      <c r="T2564" s="7" t="str">
        <f t="shared" si="4"/>
        <v/>
      </c>
    </row>
    <row r="2565">
      <c r="R2565" s="7" t="str">
        <f>IF(H2565="","",VLOOKUP(H2565,'Hoja 9'!$A$1:$B$255,2,0))</f>
        <v/>
      </c>
      <c r="S2565" s="7" t="str">
        <f t="shared" si="3"/>
        <v/>
      </c>
      <c r="T2565" s="7" t="str">
        <f t="shared" si="4"/>
        <v/>
      </c>
    </row>
    <row r="2566">
      <c r="R2566" s="7" t="str">
        <f>IF(H2566="","",VLOOKUP(H2566,'Hoja 9'!$A$1:$B$255,2,0))</f>
        <v/>
      </c>
      <c r="S2566" s="7" t="str">
        <f t="shared" si="3"/>
        <v/>
      </c>
      <c r="T2566" s="7" t="str">
        <f t="shared" si="4"/>
        <v/>
      </c>
    </row>
    <row r="2567">
      <c r="R2567" s="7" t="str">
        <f>IF(H2567="","",VLOOKUP(H2567,'Hoja 9'!$A$1:$B$255,2,0))</f>
        <v/>
      </c>
      <c r="S2567" s="7" t="str">
        <f t="shared" si="3"/>
        <v/>
      </c>
      <c r="T2567" s="7" t="str">
        <f t="shared" si="4"/>
        <v/>
      </c>
    </row>
    <row r="2568">
      <c r="R2568" s="7" t="str">
        <f>IF(H2568="","",VLOOKUP(H2568,'Hoja 9'!$A$1:$B$255,2,0))</f>
        <v/>
      </c>
      <c r="S2568" s="7" t="str">
        <f t="shared" si="3"/>
        <v/>
      </c>
      <c r="T2568" s="7" t="str">
        <f t="shared" si="4"/>
        <v/>
      </c>
    </row>
    <row r="2569">
      <c r="R2569" s="7" t="str">
        <f>IF(H2569="","",VLOOKUP(H2569,'Hoja 9'!$A$1:$B$255,2,0))</f>
        <v/>
      </c>
      <c r="S2569" s="7" t="str">
        <f t="shared" si="3"/>
        <v/>
      </c>
      <c r="T2569" s="7" t="str">
        <f t="shared" si="4"/>
        <v/>
      </c>
    </row>
    <row r="2570">
      <c r="R2570" s="7" t="str">
        <f>IF(H2570="","",VLOOKUP(H2570,'Hoja 9'!$A$1:$B$255,2,0))</f>
        <v/>
      </c>
      <c r="S2570" s="7" t="str">
        <f t="shared" si="3"/>
        <v/>
      </c>
      <c r="T2570" s="7" t="str">
        <f t="shared" si="4"/>
        <v/>
      </c>
    </row>
    <row r="2571">
      <c r="R2571" s="7" t="str">
        <f>IF(H2571="","",VLOOKUP(H2571,'Hoja 9'!$A$1:$B$255,2,0))</f>
        <v/>
      </c>
      <c r="S2571" s="7" t="str">
        <f t="shared" si="3"/>
        <v/>
      </c>
      <c r="T2571" s="7" t="str">
        <f t="shared" si="4"/>
        <v/>
      </c>
    </row>
    <row r="2572">
      <c r="R2572" s="7" t="str">
        <f>IF(H2572="","",VLOOKUP(H2572,'Hoja 9'!$A$1:$B$255,2,0))</f>
        <v/>
      </c>
      <c r="S2572" s="7" t="str">
        <f t="shared" si="3"/>
        <v/>
      </c>
      <c r="T2572" s="7" t="str">
        <f t="shared" si="4"/>
        <v/>
      </c>
    </row>
    <row r="2573">
      <c r="R2573" s="7" t="str">
        <f>IF(H2573="","",VLOOKUP(H2573,'Hoja 9'!$A$1:$B$255,2,0))</f>
        <v/>
      </c>
      <c r="S2573" s="7" t="str">
        <f t="shared" si="3"/>
        <v/>
      </c>
      <c r="T2573" s="7" t="str">
        <f t="shared" si="4"/>
        <v/>
      </c>
    </row>
    <row r="2574">
      <c r="R2574" s="7" t="str">
        <f>IF(H2574="","",VLOOKUP(H2574,'Hoja 9'!$A$1:$B$255,2,0))</f>
        <v/>
      </c>
      <c r="S2574" s="7" t="str">
        <f t="shared" si="3"/>
        <v/>
      </c>
      <c r="T2574" s="7" t="str">
        <f t="shared" si="4"/>
        <v/>
      </c>
    </row>
    <row r="2575">
      <c r="R2575" s="7" t="str">
        <f>IF(H2575="","",VLOOKUP(H2575,'Hoja 9'!$A$1:$B$255,2,0))</f>
        <v/>
      </c>
      <c r="S2575" s="7" t="str">
        <f t="shared" si="3"/>
        <v/>
      </c>
      <c r="T2575" s="7" t="str">
        <f t="shared" si="4"/>
        <v/>
      </c>
    </row>
    <row r="2576">
      <c r="R2576" s="7" t="str">
        <f>IF(H2576="","",VLOOKUP(H2576,'Hoja 9'!$A$1:$B$255,2,0))</f>
        <v/>
      </c>
      <c r="S2576" s="7" t="str">
        <f t="shared" si="3"/>
        <v/>
      </c>
      <c r="T2576" s="7" t="str">
        <f t="shared" si="4"/>
        <v/>
      </c>
    </row>
    <row r="2577">
      <c r="R2577" s="7" t="str">
        <f>IF(H2577="","",VLOOKUP(H2577,'Hoja 9'!$A$1:$B$255,2,0))</f>
        <v/>
      </c>
      <c r="S2577" s="7" t="str">
        <f t="shared" si="3"/>
        <v/>
      </c>
      <c r="T2577" s="7" t="str">
        <f t="shared" si="4"/>
        <v/>
      </c>
    </row>
    <row r="2578">
      <c r="R2578" s="7" t="str">
        <f>IF(H2578="","",VLOOKUP(H2578,'Hoja 9'!$A$1:$B$255,2,0))</f>
        <v/>
      </c>
      <c r="S2578" s="7" t="str">
        <f t="shared" si="3"/>
        <v/>
      </c>
      <c r="T2578" s="7" t="str">
        <f t="shared" si="4"/>
        <v/>
      </c>
    </row>
    <row r="2579">
      <c r="R2579" s="7" t="str">
        <f>IF(H2579="","",VLOOKUP(H2579,'Hoja 9'!$A$1:$B$255,2,0))</f>
        <v/>
      </c>
      <c r="S2579" s="7" t="str">
        <f t="shared" si="3"/>
        <v/>
      </c>
      <c r="T2579" s="7" t="str">
        <f t="shared" si="4"/>
        <v/>
      </c>
    </row>
    <row r="2580">
      <c r="R2580" s="7" t="str">
        <f>IF(H2580="","",VLOOKUP(H2580,'Hoja 9'!$A$1:$B$255,2,0))</f>
        <v/>
      </c>
      <c r="S2580" s="7" t="str">
        <f t="shared" si="3"/>
        <v/>
      </c>
      <c r="T2580" s="7" t="str">
        <f t="shared" si="4"/>
        <v/>
      </c>
    </row>
    <row r="2581">
      <c r="R2581" s="7" t="str">
        <f>IF(H2581="","",VLOOKUP(H2581,'Hoja 9'!$A$1:$B$255,2,0))</f>
        <v/>
      </c>
      <c r="S2581" s="7" t="str">
        <f t="shared" si="3"/>
        <v/>
      </c>
      <c r="T2581" s="7" t="str">
        <f t="shared" si="4"/>
        <v/>
      </c>
    </row>
    <row r="2582">
      <c r="R2582" s="7" t="str">
        <f>IF(H2582="","",VLOOKUP(H2582,'Hoja 9'!$A$1:$B$255,2,0))</f>
        <v/>
      </c>
      <c r="S2582" s="7" t="str">
        <f t="shared" si="3"/>
        <v/>
      </c>
      <c r="T2582" s="7" t="str">
        <f t="shared" si="4"/>
        <v/>
      </c>
    </row>
    <row r="2583">
      <c r="R2583" s="7" t="str">
        <f>IF(H2583="","",VLOOKUP(H2583,'Hoja 9'!$A$1:$B$255,2,0))</f>
        <v/>
      </c>
      <c r="S2583" s="7" t="str">
        <f t="shared" si="3"/>
        <v/>
      </c>
      <c r="T2583" s="7" t="str">
        <f t="shared" si="4"/>
        <v/>
      </c>
    </row>
    <row r="2584">
      <c r="R2584" s="7" t="str">
        <f>IF(H2584="","",VLOOKUP(H2584,'Hoja 9'!$A$1:$B$255,2,0))</f>
        <v/>
      </c>
      <c r="S2584" s="7" t="str">
        <f t="shared" si="3"/>
        <v/>
      </c>
      <c r="T2584" s="7" t="str">
        <f t="shared" si="4"/>
        <v/>
      </c>
    </row>
    <row r="2585">
      <c r="R2585" s="7" t="str">
        <f>IF(H2585="","",VLOOKUP(H2585,'Hoja 9'!$A$1:$B$255,2,0))</f>
        <v/>
      </c>
      <c r="S2585" s="7" t="str">
        <f t="shared" si="3"/>
        <v/>
      </c>
      <c r="T2585" s="7" t="str">
        <f t="shared" si="4"/>
        <v/>
      </c>
    </row>
    <row r="2586">
      <c r="R2586" s="7" t="str">
        <f>IF(H2586="","",VLOOKUP(H2586,'Hoja 9'!$A$1:$B$255,2,0))</f>
        <v/>
      </c>
      <c r="S2586" s="7" t="str">
        <f t="shared" si="3"/>
        <v/>
      </c>
      <c r="T2586" s="7" t="str">
        <f t="shared" si="4"/>
        <v/>
      </c>
    </row>
    <row r="2587">
      <c r="R2587" s="7" t="str">
        <f>IF(H2587="","",VLOOKUP(H2587,'Hoja 9'!$A$1:$B$255,2,0))</f>
        <v/>
      </c>
      <c r="S2587" s="7" t="str">
        <f t="shared" si="3"/>
        <v/>
      </c>
      <c r="T2587" s="7" t="str">
        <f t="shared" si="4"/>
        <v/>
      </c>
    </row>
    <row r="2588">
      <c r="R2588" s="7" t="str">
        <f>IF(H2588="","",VLOOKUP(H2588,'Hoja 9'!$A$1:$B$255,2,0))</f>
        <v/>
      </c>
      <c r="S2588" s="7" t="str">
        <f t="shared" si="3"/>
        <v/>
      </c>
      <c r="T2588" s="7" t="str">
        <f t="shared" si="4"/>
        <v/>
      </c>
    </row>
    <row r="2589">
      <c r="R2589" s="7" t="str">
        <f>IF(H2589="","",VLOOKUP(H2589,'Hoja 9'!$A$1:$B$255,2,0))</f>
        <v/>
      </c>
      <c r="S2589" s="7" t="str">
        <f t="shared" si="3"/>
        <v/>
      </c>
      <c r="T2589" s="7" t="str">
        <f t="shared" si="4"/>
        <v/>
      </c>
    </row>
    <row r="2590">
      <c r="R2590" s="7" t="str">
        <f>IF(H2590="","",VLOOKUP(H2590,'Hoja 9'!$A$1:$B$255,2,0))</f>
        <v/>
      </c>
      <c r="S2590" s="7" t="str">
        <f t="shared" si="3"/>
        <v/>
      </c>
      <c r="T2590" s="7" t="str">
        <f t="shared" si="4"/>
        <v/>
      </c>
    </row>
    <row r="2591">
      <c r="R2591" s="7" t="str">
        <f>IF(H2591="","",VLOOKUP(H2591,'Hoja 9'!$A$1:$B$255,2,0))</f>
        <v/>
      </c>
      <c r="S2591" s="7" t="str">
        <f t="shared" si="3"/>
        <v/>
      </c>
      <c r="T2591" s="7" t="str">
        <f t="shared" si="4"/>
        <v/>
      </c>
    </row>
    <row r="2592">
      <c r="R2592" s="7" t="str">
        <f>IF(H2592="","",VLOOKUP(H2592,'Hoja 9'!$A$1:$B$255,2,0))</f>
        <v/>
      </c>
      <c r="S2592" s="7" t="str">
        <f t="shared" si="3"/>
        <v/>
      </c>
      <c r="T2592" s="7" t="str">
        <f t="shared" si="4"/>
        <v/>
      </c>
    </row>
    <row r="2593">
      <c r="R2593" s="7" t="str">
        <f>IF(H2593="","",VLOOKUP(H2593,'Hoja 9'!$A$1:$B$255,2,0))</f>
        <v/>
      </c>
      <c r="S2593" s="7" t="str">
        <f t="shared" si="3"/>
        <v/>
      </c>
      <c r="T2593" s="7" t="str">
        <f t="shared" si="4"/>
        <v/>
      </c>
    </row>
    <row r="2594">
      <c r="R2594" s="7" t="str">
        <f>IF(H2594="","",VLOOKUP(H2594,'Hoja 9'!$A$1:$B$255,2,0))</f>
        <v/>
      </c>
      <c r="S2594" s="7" t="str">
        <f t="shared" si="3"/>
        <v/>
      </c>
      <c r="T2594" s="7" t="str">
        <f t="shared" si="4"/>
        <v/>
      </c>
    </row>
    <row r="2595">
      <c r="R2595" s="7" t="str">
        <f>IF(H2595="","",VLOOKUP(H2595,'Hoja 9'!$A$1:$B$255,2,0))</f>
        <v/>
      </c>
      <c r="S2595" s="7" t="str">
        <f t="shared" si="3"/>
        <v/>
      </c>
      <c r="T2595" s="7" t="str">
        <f t="shared" si="4"/>
        <v/>
      </c>
    </row>
    <row r="2596">
      <c r="R2596" s="7" t="str">
        <f>IF(H2596="","",VLOOKUP(H2596,'Hoja 9'!$A$1:$B$255,2,0))</f>
        <v/>
      </c>
      <c r="S2596" s="7" t="str">
        <f t="shared" si="3"/>
        <v/>
      </c>
      <c r="T2596" s="7" t="str">
        <f t="shared" si="4"/>
        <v/>
      </c>
    </row>
    <row r="2597">
      <c r="R2597" s="7" t="str">
        <f>IF(H2597="","",VLOOKUP(H2597,'Hoja 9'!$A$1:$B$255,2,0))</f>
        <v/>
      </c>
      <c r="S2597" s="7" t="str">
        <f t="shared" si="3"/>
        <v/>
      </c>
      <c r="T2597" s="7" t="str">
        <f t="shared" si="4"/>
        <v/>
      </c>
    </row>
    <row r="2598">
      <c r="R2598" s="7" t="str">
        <f>IF(H2598="","",VLOOKUP(H2598,'Hoja 9'!$A$1:$B$255,2,0))</f>
        <v/>
      </c>
      <c r="S2598" s="7" t="str">
        <f t="shared" si="3"/>
        <v/>
      </c>
      <c r="T2598" s="7" t="str">
        <f t="shared" si="4"/>
        <v/>
      </c>
    </row>
    <row r="2599">
      <c r="R2599" s="7" t="str">
        <f>IF(H2599="","",VLOOKUP(H2599,'Hoja 9'!$A$1:$B$255,2,0))</f>
        <v/>
      </c>
      <c r="S2599" s="7" t="str">
        <f t="shared" si="3"/>
        <v/>
      </c>
      <c r="T2599" s="7" t="str">
        <f t="shared" si="4"/>
        <v/>
      </c>
    </row>
    <row r="2600">
      <c r="R2600" s="7" t="str">
        <f>IF(H2600="","",VLOOKUP(H2600,'Hoja 9'!$A$1:$B$255,2,0))</f>
        <v/>
      </c>
      <c r="S2600" s="7" t="str">
        <f t="shared" si="3"/>
        <v/>
      </c>
      <c r="T2600" s="7" t="str">
        <f t="shared" si="4"/>
        <v/>
      </c>
    </row>
    <row r="2601">
      <c r="R2601" s="7" t="str">
        <f>IF(H2601="","",VLOOKUP(H2601,'Hoja 9'!$A$1:$B$255,2,0))</f>
        <v/>
      </c>
      <c r="S2601" s="7" t="str">
        <f t="shared" si="3"/>
        <v/>
      </c>
      <c r="T2601" s="7" t="str">
        <f t="shared" si="4"/>
        <v/>
      </c>
    </row>
    <row r="2602">
      <c r="R2602" s="7" t="str">
        <f>IF(H2602="","",VLOOKUP(H2602,'Hoja 9'!$A$1:$B$255,2,0))</f>
        <v/>
      </c>
      <c r="S2602" s="7" t="str">
        <f t="shared" si="3"/>
        <v/>
      </c>
      <c r="T2602" s="7" t="str">
        <f t="shared" si="4"/>
        <v/>
      </c>
    </row>
    <row r="2603">
      <c r="R2603" s="7" t="str">
        <f>IF(H2603="","",VLOOKUP(H2603,'Hoja 9'!$A$1:$B$255,2,0))</f>
        <v/>
      </c>
      <c r="S2603" s="7" t="str">
        <f t="shared" si="3"/>
        <v/>
      </c>
      <c r="T2603" s="7" t="str">
        <f t="shared" si="4"/>
        <v/>
      </c>
    </row>
    <row r="2604">
      <c r="R2604" s="7" t="str">
        <f>IF(H2604="","",VLOOKUP(H2604,'Hoja 9'!$A$1:$B$255,2,0))</f>
        <v/>
      </c>
      <c r="S2604" s="7" t="str">
        <f t="shared" si="3"/>
        <v/>
      </c>
      <c r="T2604" s="7" t="str">
        <f t="shared" si="4"/>
        <v/>
      </c>
    </row>
    <row r="2605">
      <c r="R2605" s="7" t="str">
        <f>IF(H2605="","",VLOOKUP(H2605,'Hoja 9'!$A$1:$B$255,2,0))</f>
        <v/>
      </c>
      <c r="S2605" s="7" t="str">
        <f t="shared" si="3"/>
        <v/>
      </c>
      <c r="T2605" s="7" t="str">
        <f t="shared" si="4"/>
        <v/>
      </c>
    </row>
    <row r="2606">
      <c r="R2606" s="7" t="str">
        <f>IF(H2606="","",VLOOKUP(H2606,'Hoja 9'!$A$1:$B$255,2,0))</f>
        <v/>
      </c>
      <c r="S2606" s="7" t="str">
        <f t="shared" si="3"/>
        <v/>
      </c>
      <c r="T2606" s="7" t="str">
        <f t="shared" si="4"/>
        <v/>
      </c>
    </row>
    <row r="2607">
      <c r="R2607" s="7" t="str">
        <f>IF(H2607="","",VLOOKUP(H2607,'Hoja 9'!$A$1:$B$255,2,0))</f>
        <v/>
      </c>
      <c r="S2607" s="7" t="str">
        <f t="shared" si="3"/>
        <v/>
      </c>
      <c r="T2607" s="7" t="str">
        <f t="shared" si="4"/>
        <v/>
      </c>
    </row>
    <row r="2608">
      <c r="R2608" s="7" t="str">
        <f>IF(H2608="","",VLOOKUP(H2608,'Hoja 9'!$A$1:$B$255,2,0))</f>
        <v/>
      </c>
      <c r="S2608" s="7" t="str">
        <f t="shared" si="3"/>
        <v/>
      </c>
      <c r="T2608" s="7" t="str">
        <f t="shared" si="4"/>
        <v/>
      </c>
    </row>
    <row r="2609">
      <c r="R2609" s="7" t="str">
        <f>IF(H2609="","",VLOOKUP(H2609,'Hoja 9'!$A$1:$B$255,2,0))</f>
        <v/>
      </c>
      <c r="S2609" s="7" t="str">
        <f t="shared" si="3"/>
        <v/>
      </c>
      <c r="T2609" s="7" t="str">
        <f t="shared" si="4"/>
        <v/>
      </c>
    </row>
    <row r="2610">
      <c r="R2610" s="7" t="str">
        <f>IF(H2610="","",VLOOKUP(H2610,'Hoja 9'!$A$1:$B$255,2,0))</f>
        <v/>
      </c>
      <c r="S2610" s="7" t="str">
        <f t="shared" si="3"/>
        <v/>
      </c>
      <c r="T2610" s="7" t="str">
        <f t="shared" si="4"/>
        <v/>
      </c>
    </row>
    <row r="2611">
      <c r="R2611" s="7" t="str">
        <f>IF(H2611="","",VLOOKUP(H2611,'Hoja 9'!$A$1:$B$255,2,0))</f>
        <v/>
      </c>
      <c r="S2611" s="7" t="str">
        <f t="shared" si="3"/>
        <v/>
      </c>
      <c r="T2611" s="7" t="str">
        <f t="shared" si="4"/>
        <v/>
      </c>
    </row>
    <row r="2612">
      <c r="R2612" s="7" t="str">
        <f>IF(H2612="","",VLOOKUP(H2612,'Hoja 9'!$A$1:$B$255,2,0))</f>
        <v/>
      </c>
      <c r="S2612" s="7" t="str">
        <f t="shared" si="3"/>
        <v/>
      </c>
      <c r="T2612" s="7" t="str">
        <f t="shared" si="4"/>
        <v/>
      </c>
    </row>
    <row r="2613">
      <c r="R2613" s="7" t="str">
        <f>IF(H2613="","",VLOOKUP(H2613,'Hoja 9'!$A$1:$B$255,2,0))</f>
        <v/>
      </c>
      <c r="S2613" s="7" t="str">
        <f t="shared" si="3"/>
        <v/>
      </c>
      <c r="T2613" s="7" t="str">
        <f t="shared" si="4"/>
        <v/>
      </c>
    </row>
    <row r="2614">
      <c r="R2614" s="7" t="str">
        <f>IF(H2614="","",VLOOKUP(H2614,'Hoja 9'!$A$1:$B$255,2,0))</f>
        <v/>
      </c>
      <c r="S2614" s="7" t="str">
        <f t="shared" si="3"/>
        <v/>
      </c>
      <c r="T2614" s="7" t="str">
        <f t="shared" si="4"/>
        <v/>
      </c>
    </row>
    <row r="2615">
      <c r="R2615" s="7" t="str">
        <f>IF(H2615="","",VLOOKUP(H2615,'Hoja 9'!$A$1:$B$255,2,0))</f>
        <v/>
      </c>
      <c r="S2615" s="7" t="str">
        <f t="shared" si="3"/>
        <v/>
      </c>
      <c r="T2615" s="7" t="str">
        <f t="shared" si="4"/>
        <v/>
      </c>
    </row>
    <row r="2616">
      <c r="R2616" s="7" t="str">
        <f>IF(H2616="","",VLOOKUP(H2616,'Hoja 9'!$A$1:$B$255,2,0))</f>
        <v/>
      </c>
      <c r="S2616" s="7" t="str">
        <f t="shared" si="3"/>
        <v/>
      </c>
      <c r="T2616" s="7" t="str">
        <f t="shared" si="4"/>
        <v/>
      </c>
    </row>
    <row r="2617">
      <c r="R2617" s="7" t="str">
        <f>IF(H2617="","",VLOOKUP(H2617,'Hoja 9'!$A$1:$B$255,2,0))</f>
        <v/>
      </c>
      <c r="S2617" s="7" t="str">
        <f t="shared" si="3"/>
        <v/>
      </c>
      <c r="T2617" s="7" t="str">
        <f t="shared" si="4"/>
        <v/>
      </c>
    </row>
    <row r="2618">
      <c r="R2618" s="7" t="str">
        <f>IF(H2618="","",VLOOKUP(H2618,'Hoja 9'!$A$1:$B$255,2,0))</f>
        <v/>
      </c>
      <c r="S2618" s="7" t="str">
        <f t="shared" si="3"/>
        <v/>
      </c>
      <c r="T2618" s="7" t="str">
        <f t="shared" si="4"/>
        <v/>
      </c>
    </row>
    <row r="2619">
      <c r="R2619" s="7" t="str">
        <f>IF(H2619="","",VLOOKUP(H2619,'Hoja 9'!$A$1:$B$255,2,0))</f>
        <v/>
      </c>
      <c r="S2619" s="7" t="str">
        <f t="shared" si="3"/>
        <v/>
      </c>
      <c r="T2619" s="7" t="str">
        <f t="shared" si="4"/>
        <v/>
      </c>
    </row>
    <row r="2620">
      <c r="R2620" s="7" t="str">
        <f>IF(H2620="","",VLOOKUP(H2620,'Hoja 9'!$A$1:$B$255,2,0))</f>
        <v/>
      </c>
      <c r="S2620" s="7" t="str">
        <f t="shared" si="3"/>
        <v/>
      </c>
      <c r="T2620" s="7" t="str">
        <f t="shared" si="4"/>
        <v/>
      </c>
    </row>
    <row r="2621">
      <c r="R2621" s="7" t="str">
        <f>IF(H2621="","",VLOOKUP(H2621,'Hoja 9'!$A$1:$B$255,2,0))</f>
        <v/>
      </c>
      <c r="S2621" s="7" t="str">
        <f t="shared" si="3"/>
        <v/>
      </c>
      <c r="T2621" s="7" t="str">
        <f t="shared" si="4"/>
        <v/>
      </c>
    </row>
    <row r="2622">
      <c r="R2622" s="7" t="str">
        <f>IF(H2622="","",VLOOKUP(H2622,'Hoja 9'!$A$1:$B$255,2,0))</f>
        <v/>
      </c>
      <c r="S2622" s="7" t="str">
        <f t="shared" si="3"/>
        <v/>
      </c>
      <c r="T2622" s="7" t="str">
        <f t="shared" si="4"/>
        <v/>
      </c>
    </row>
    <row r="2623">
      <c r="R2623" s="7" t="str">
        <f>IF(H2623="","",VLOOKUP(H2623,'Hoja 9'!$A$1:$B$255,2,0))</f>
        <v/>
      </c>
      <c r="S2623" s="7" t="str">
        <f t="shared" si="3"/>
        <v/>
      </c>
      <c r="T2623" s="7" t="str">
        <f t="shared" si="4"/>
        <v/>
      </c>
    </row>
    <row r="2624">
      <c r="R2624" s="7" t="str">
        <f>IF(H2624="","",VLOOKUP(H2624,'Hoja 9'!$A$1:$B$255,2,0))</f>
        <v/>
      </c>
      <c r="S2624" s="7" t="str">
        <f t="shared" si="3"/>
        <v/>
      </c>
      <c r="T2624" s="7" t="str">
        <f t="shared" si="4"/>
        <v/>
      </c>
    </row>
    <row r="2625">
      <c r="R2625" s="7" t="str">
        <f>IF(H2625="","",VLOOKUP(H2625,'Hoja 9'!$A$1:$B$255,2,0))</f>
        <v/>
      </c>
      <c r="S2625" s="7" t="str">
        <f t="shared" si="3"/>
        <v/>
      </c>
      <c r="T2625" s="7" t="str">
        <f t="shared" si="4"/>
        <v/>
      </c>
    </row>
    <row r="2626">
      <c r="R2626" s="7" t="str">
        <f>IF(H2626="","",VLOOKUP(H2626,'Hoja 9'!$A$1:$B$255,2,0))</f>
        <v/>
      </c>
      <c r="S2626" s="7" t="str">
        <f t="shared" si="3"/>
        <v/>
      </c>
      <c r="T2626" s="7" t="str">
        <f t="shared" si="4"/>
        <v/>
      </c>
    </row>
    <row r="2627">
      <c r="R2627" s="7" t="str">
        <f>IF(H2627="","",VLOOKUP(H2627,'Hoja 9'!$A$1:$B$255,2,0))</f>
        <v/>
      </c>
      <c r="S2627" s="7" t="str">
        <f t="shared" si="3"/>
        <v/>
      </c>
      <c r="T2627" s="7" t="str">
        <f t="shared" si="4"/>
        <v/>
      </c>
    </row>
    <row r="2628">
      <c r="R2628" s="7" t="str">
        <f>IF(H2628="","",VLOOKUP(H2628,'Hoja 9'!$A$1:$B$255,2,0))</f>
        <v/>
      </c>
      <c r="S2628" s="7" t="str">
        <f t="shared" si="3"/>
        <v/>
      </c>
      <c r="T2628" s="7" t="str">
        <f t="shared" si="4"/>
        <v/>
      </c>
    </row>
    <row r="2629">
      <c r="R2629" s="7" t="str">
        <f>IF(H2629="","",VLOOKUP(H2629,'Hoja 9'!$A$1:$B$255,2,0))</f>
        <v/>
      </c>
      <c r="S2629" s="7" t="str">
        <f t="shared" si="3"/>
        <v/>
      </c>
      <c r="T2629" s="7" t="str">
        <f t="shared" si="4"/>
        <v/>
      </c>
    </row>
    <row r="2630">
      <c r="R2630" s="7" t="str">
        <f>IF(H2630="","",VLOOKUP(H2630,'Hoja 9'!$A$1:$B$255,2,0))</f>
        <v/>
      </c>
      <c r="S2630" s="7" t="str">
        <f t="shared" si="3"/>
        <v/>
      </c>
      <c r="T2630" s="7" t="str">
        <f t="shared" si="4"/>
        <v/>
      </c>
    </row>
    <row r="2631">
      <c r="R2631" s="7" t="str">
        <f>IF(H2631="","",VLOOKUP(H2631,'Hoja 9'!$A$1:$B$255,2,0))</f>
        <v/>
      </c>
      <c r="S2631" s="7" t="str">
        <f t="shared" si="3"/>
        <v/>
      </c>
      <c r="T2631" s="7" t="str">
        <f t="shared" si="4"/>
        <v/>
      </c>
    </row>
    <row r="2632">
      <c r="R2632" s="7" t="str">
        <f>IF(H2632="","",VLOOKUP(H2632,'Hoja 9'!$A$1:$B$255,2,0))</f>
        <v/>
      </c>
      <c r="S2632" s="7" t="str">
        <f t="shared" si="3"/>
        <v/>
      </c>
      <c r="T2632" s="7" t="str">
        <f t="shared" si="4"/>
        <v/>
      </c>
    </row>
    <row r="2633">
      <c r="R2633" s="7" t="str">
        <f>IF(H2633="","",VLOOKUP(H2633,'Hoja 9'!$A$1:$B$255,2,0))</f>
        <v/>
      </c>
      <c r="S2633" s="7" t="str">
        <f t="shared" si="3"/>
        <v/>
      </c>
      <c r="T2633" s="7" t="str">
        <f t="shared" si="4"/>
        <v/>
      </c>
    </row>
    <row r="2634">
      <c r="R2634" s="7" t="str">
        <f>IF(H2634="","",VLOOKUP(H2634,'Hoja 9'!$A$1:$B$255,2,0))</f>
        <v/>
      </c>
      <c r="S2634" s="7" t="str">
        <f t="shared" si="3"/>
        <v/>
      </c>
      <c r="T2634" s="7" t="str">
        <f t="shared" si="4"/>
        <v/>
      </c>
    </row>
    <row r="2635">
      <c r="R2635" s="7" t="str">
        <f>IF(H2635="","",VLOOKUP(H2635,'Hoja 9'!$A$1:$B$255,2,0))</f>
        <v/>
      </c>
      <c r="S2635" s="7" t="str">
        <f t="shared" si="3"/>
        <v/>
      </c>
      <c r="T2635" s="7" t="str">
        <f t="shared" si="4"/>
        <v/>
      </c>
    </row>
    <row r="2636">
      <c r="R2636" s="7" t="str">
        <f>IF(H2636="","",VLOOKUP(H2636,'Hoja 9'!$A$1:$B$255,2,0))</f>
        <v/>
      </c>
      <c r="S2636" s="7" t="str">
        <f t="shared" si="3"/>
        <v/>
      </c>
      <c r="T2636" s="7" t="str">
        <f t="shared" si="4"/>
        <v/>
      </c>
    </row>
    <row r="2637">
      <c r="R2637" s="7" t="str">
        <f>IF(H2637="","",VLOOKUP(H2637,'Hoja 9'!$A$1:$B$255,2,0))</f>
        <v/>
      </c>
      <c r="S2637" s="7" t="str">
        <f t="shared" si="3"/>
        <v/>
      </c>
      <c r="T2637" s="7" t="str">
        <f t="shared" si="4"/>
        <v/>
      </c>
    </row>
    <row r="2638">
      <c r="R2638" s="7" t="str">
        <f>IF(H2638="","",VLOOKUP(H2638,'Hoja 9'!$A$1:$B$255,2,0))</f>
        <v/>
      </c>
      <c r="S2638" s="7" t="str">
        <f t="shared" si="3"/>
        <v/>
      </c>
      <c r="T2638" s="7" t="str">
        <f t="shared" si="4"/>
        <v/>
      </c>
    </row>
    <row r="2639">
      <c r="R2639" s="7" t="str">
        <f>IF(H2639="","",VLOOKUP(H2639,'Hoja 9'!$A$1:$B$255,2,0))</f>
        <v/>
      </c>
      <c r="S2639" s="7" t="str">
        <f t="shared" si="3"/>
        <v/>
      </c>
      <c r="T2639" s="7" t="str">
        <f t="shared" si="4"/>
        <v/>
      </c>
    </row>
    <row r="2640">
      <c r="R2640" s="7" t="str">
        <f>IF(H2640="","",VLOOKUP(H2640,'Hoja 9'!$A$1:$B$255,2,0))</f>
        <v/>
      </c>
      <c r="S2640" s="7" t="str">
        <f t="shared" si="3"/>
        <v/>
      </c>
      <c r="T2640" s="7" t="str">
        <f t="shared" si="4"/>
        <v/>
      </c>
    </row>
    <row r="2641">
      <c r="R2641" s="7" t="str">
        <f>IF(H2641="","",VLOOKUP(H2641,'Hoja 9'!$A$1:$B$255,2,0))</f>
        <v/>
      </c>
      <c r="S2641" s="7" t="str">
        <f t="shared" si="3"/>
        <v/>
      </c>
      <c r="T2641" s="7" t="str">
        <f t="shared" si="4"/>
        <v/>
      </c>
    </row>
    <row r="2642">
      <c r="R2642" s="7" t="str">
        <f>IF(H2642="","",VLOOKUP(H2642,'Hoja 9'!$A$1:$B$255,2,0))</f>
        <v/>
      </c>
      <c r="S2642" s="7" t="str">
        <f t="shared" si="3"/>
        <v/>
      </c>
      <c r="T2642" s="7" t="str">
        <f t="shared" si="4"/>
        <v/>
      </c>
    </row>
    <row r="2643">
      <c r="R2643" s="7" t="str">
        <f>IF(H2643="","",VLOOKUP(H2643,'Hoja 9'!$A$1:$B$255,2,0))</f>
        <v/>
      </c>
      <c r="S2643" s="7" t="str">
        <f t="shared" si="3"/>
        <v/>
      </c>
      <c r="T2643" s="7" t="str">
        <f t="shared" si="4"/>
        <v/>
      </c>
    </row>
    <row r="2644">
      <c r="R2644" s="7" t="str">
        <f>IF(H2644="","",VLOOKUP(H2644,'Hoja 9'!$A$1:$B$255,2,0))</f>
        <v/>
      </c>
      <c r="S2644" s="7" t="str">
        <f t="shared" si="3"/>
        <v/>
      </c>
      <c r="T2644" s="7" t="str">
        <f t="shared" si="4"/>
        <v/>
      </c>
    </row>
    <row r="2645">
      <c r="R2645" s="7" t="str">
        <f>IF(H2645="","",VLOOKUP(H2645,'Hoja 9'!$A$1:$B$255,2,0))</f>
        <v/>
      </c>
      <c r="S2645" s="7" t="str">
        <f t="shared" si="3"/>
        <v/>
      </c>
      <c r="T2645" s="7" t="str">
        <f t="shared" si="4"/>
        <v/>
      </c>
    </row>
    <row r="2646">
      <c r="R2646" s="7" t="str">
        <f>IF(H2646="","",VLOOKUP(H2646,'Hoja 9'!$A$1:$B$255,2,0))</f>
        <v/>
      </c>
      <c r="S2646" s="7" t="str">
        <f t="shared" si="3"/>
        <v/>
      </c>
      <c r="T2646" s="7" t="str">
        <f t="shared" si="4"/>
        <v/>
      </c>
    </row>
    <row r="2647">
      <c r="R2647" s="7" t="str">
        <f>IF(H2647="","",VLOOKUP(H2647,'Hoja 9'!$A$1:$B$255,2,0))</f>
        <v/>
      </c>
      <c r="S2647" s="7" t="str">
        <f t="shared" si="3"/>
        <v/>
      </c>
      <c r="T2647" s="7" t="str">
        <f t="shared" si="4"/>
        <v/>
      </c>
    </row>
    <row r="2648">
      <c r="R2648" s="7" t="str">
        <f>IF(H2648="","",VLOOKUP(H2648,'Hoja 9'!$A$1:$B$255,2,0))</f>
        <v/>
      </c>
      <c r="S2648" s="7" t="str">
        <f t="shared" si="3"/>
        <v/>
      </c>
      <c r="T2648" s="7" t="str">
        <f t="shared" si="4"/>
        <v/>
      </c>
    </row>
    <row r="2649">
      <c r="R2649" s="7" t="str">
        <f>IF(H2649="","",VLOOKUP(H2649,'Hoja 9'!$A$1:$B$255,2,0))</f>
        <v/>
      </c>
      <c r="S2649" s="7" t="str">
        <f t="shared" si="3"/>
        <v/>
      </c>
      <c r="T2649" s="7" t="str">
        <f t="shared" si="4"/>
        <v/>
      </c>
    </row>
    <row r="2650">
      <c r="R2650" s="7" t="str">
        <f>IF(H2650="","",VLOOKUP(H2650,'Hoja 9'!$A$1:$B$255,2,0))</f>
        <v/>
      </c>
      <c r="S2650" s="7" t="str">
        <f t="shared" si="3"/>
        <v/>
      </c>
      <c r="T2650" s="7" t="str">
        <f t="shared" si="4"/>
        <v/>
      </c>
    </row>
    <row r="2651">
      <c r="R2651" s="7" t="str">
        <f>IF(H2651="","",VLOOKUP(H2651,'Hoja 9'!$A$1:$B$255,2,0))</f>
        <v/>
      </c>
      <c r="S2651" s="7" t="str">
        <f t="shared" si="3"/>
        <v/>
      </c>
      <c r="T2651" s="7" t="str">
        <f t="shared" si="4"/>
        <v/>
      </c>
    </row>
    <row r="2652">
      <c r="R2652" s="7" t="str">
        <f>IF(H2652="","",VLOOKUP(H2652,'Hoja 9'!$A$1:$B$255,2,0))</f>
        <v/>
      </c>
      <c r="S2652" s="7" t="str">
        <f t="shared" si="3"/>
        <v/>
      </c>
      <c r="T2652" s="7" t="str">
        <f t="shared" si="4"/>
        <v/>
      </c>
    </row>
    <row r="2653">
      <c r="R2653" s="7" t="str">
        <f>IF(H2653="","",VLOOKUP(H2653,'Hoja 9'!$A$1:$B$255,2,0))</f>
        <v/>
      </c>
      <c r="S2653" s="7" t="str">
        <f t="shared" si="3"/>
        <v/>
      </c>
      <c r="T2653" s="7" t="str">
        <f t="shared" si="4"/>
        <v/>
      </c>
    </row>
    <row r="2654">
      <c r="R2654" s="7" t="str">
        <f>IF(H2654="","",VLOOKUP(H2654,'Hoja 9'!$A$1:$B$255,2,0))</f>
        <v/>
      </c>
      <c r="S2654" s="7" t="str">
        <f t="shared" si="3"/>
        <v/>
      </c>
      <c r="T2654" s="7" t="str">
        <f t="shared" si="4"/>
        <v/>
      </c>
    </row>
    <row r="2655">
      <c r="R2655" s="7" t="str">
        <f>IF(H2655="","",VLOOKUP(H2655,'Hoja 9'!$A$1:$B$255,2,0))</f>
        <v/>
      </c>
      <c r="S2655" s="7" t="str">
        <f t="shared" si="3"/>
        <v/>
      </c>
      <c r="T2655" s="7" t="str">
        <f t="shared" si="4"/>
        <v/>
      </c>
    </row>
    <row r="2656">
      <c r="R2656" s="7" t="str">
        <f>IF(H2656="","",VLOOKUP(H2656,'Hoja 9'!$A$1:$B$255,2,0))</f>
        <v/>
      </c>
      <c r="S2656" s="7" t="str">
        <f t="shared" si="3"/>
        <v/>
      </c>
      <c r="T2656" s="7" t="str">
        <f t="shared" si="4"/>
        <v/>
      </c>
    </row>
    <row r="2657">
      <c r="R2657" s="7" t="str">
        <f>IF(H2657="","",VLOOKUP(H2657,'Hoja 9'!$A$1:$B$255,2,0))</f>
        <v/>
      </c>
      <c r="S2657" s="7" t="str">
        <f t="shared" si="3"/>
        <v/>
      </c>
      <c r="T2657" s="7" t="str">
        <f t="shared" si="4"/>
        <v/>
      </c>
    </row>
    <row r="2658">
      <c r="R2658" s="7" t="str">
        <f>IF(H2658="","",VLOOKUP(H2658,'Hoja 9'!$A$1:$B$255,2,0))</f>
        <v/>
      </c>
      <c r="S2658" s="7" t="str">
        <f t="shared" si="3"/>
        <v/>
      </c>
      <c r="T2658" s="7" t="str">
        <f t="shared" si="4"/>
        <v/>
      </c>
    </row>
    <row r="2659">
      <c r="R2659" s="7" t="str">
        <f>IF(H2659="","",VLOOKUP(H2659,'Hoja 9'!$A$1:$B$255,2,0))</f>
        <v/>
      </c>
      <c r="S2659" s="7" t="str">
        <f t="shared" si="3"/>
        <v/>
      </c>
      <c r="T2659" s="7" t="str">
        <f t="shared" si="4"/>
        <v/>
      </c>
    </row>
    <row r="2660">
      <c r="R2660" s="7" t="str">
        <f>IF(H2660="","",VLOOKUP(H2660,'Hoja 9'!$A$1:$B$255,2,0))</f>
        <v/>
      </c>
      <c r="S2660" s="7" t="str">
        <f t="shared" si="3"/>
        <v/>
      </c>
      <c r="T2660" s="7" t="str">
        <f t="shared" si="4"/>
        <v/>
      </c>
    </row>
    <row r="2661">
      <c r="R2661" s="7" t="str">
        <f>IF(H2661="","",VLOOKUP(H2661,'Hoja 9'!$A$1:$B$255,2,0))</f>
        <v/>
      </c>
      <c r="S2661" s="7" t="str">
        <f t="shared" si="3"/>
        <v/>
      </c>
      <c r="T2661" s="7" t="str">
        <f t="shared" si="4"/>
        <v/>
      </c>
    </row>
    <row r="2662">
      <c r="R2662" s="7" t="str">
        <f>IF(H2662="","",VLOOKUP(H2662,'Hoja 9'!$A$1:$B$255,2,0))</f>
        <v/>
      </c>
      <c r="S2662" s="7" t="str">
        <f t="shared" si="3"/>
        <v/>
      </c>
      <c r="T2662" s="7" t="str">
        <f t="shared" si="4"/>
        <v/>
      </c>
    </row>
    <row r="2663">
      <c r="R2663" s="7" t="str">
        <f>IF(H2663="","",VLOOKUP(H2663,'Hoja 9'!$A$1:$B$255,2,0))</f>
        <v/>
      </c>
      <c r="S2663" s="7" t="str">
        <f t="shared" si="3"/>
        <v/>
      </c>
      <c r="T2663" s="7" t="str">
        <f t="shared" si="4"/>
        <v/>
      </c>
    </row>
    <row r="2664">
      <c r="R2664" s="7" t="str">
        <f>IF(H2664="","",VLOOKUP(H2664,'Hoja 9'!$A$1:$B$255,2,0))</f>
        <v/>
      </c>
      <c r="S2664" s="7" t="str">
        <f t="shared" si="3"/>
        <v/>
      </c>
      <c r="T2664" s="7" t="str">
        <f t="shared" si="4"/>
        <v/>
      </c>
    </row>
    <row r="2665">
      <c r="R2665" s="7" t="str">
        <f>IF(H2665="","",VLOOKUP(H2665,'Hoja 9'!$A$1:$B$255,2,0))</f>
        <v/>
      </c>
      <c r="S2665" s="7" t="str">
        <f t="shared" si="3"/>
        <v/>
      </c>
      <c r="T2665" s="7" t="str">
        <f t="shared" si="4"/>
        <v/>
      </c>
    </row>
    <row r="2666">
      <c r="R2666" s="7" t="str">
        <f>IF(H2666="","",VLOOKUP(H2666,'Hoja 9'!$A$1:$B$255,2,0))</f>
        <v/>
      </c>
      <c r="S2666" s="7" t="str">
        <f t="shared" si="3"/>
        <v/>
      </c>
      <c r="T2666" s="7" t="str">
        <f t="shared" si="4"/>
        <v/>
      </c>
    </row>
    <row r="2667">
      <c r="R2667" s="7" t="str">
        <f>IF(H2667="","",VLOOKUP(H2667,'Hoja 9'!$A$1:$B$255,2,0))</f>
        <v/>
      </c>
      <c r="S2667" s="7" t="str">
        <f t="shared" si="3"/>
        <v/>
      </c>
      <c r="T2667" s="7" t="str">
        <f t="shared" si="4"/>
        <v/>
      </c>
    </row>
    <row r="2668">
      <c r="R2668" s="7" t="str">
        <f>IF(H2668="","",VLOOKUP(H2668,'Hoja 9'!$A$1:$B$255,2,0))</f>
        <v/>
      </c>
      <c r="S2668" s="7" t="str">
        <f t="shared" si="3"/>
        <v/>
      </c>
      <c r="T2668" s="7" t="str">
        <f t="shared" si="4"/>
        <v/>
      </c>
    </row>
    <row r="2669">
      <c r="R2669" s="7" t="str">
        <f>IF(H2669="","",VLOOKUP(H2669,'Hoja 9'!$A$1:$B$255,2,0))</f>
        <v/>
      </c>
      <c r="S2669" s="7" t="str">
        <f t="shared" si="3"/>
        <v/>
      </c>
      <c r="T2669" s="7" t="str">
        <f t="shared" si="4"/>
        <v/>
      </c>
    </row>
    <row r="2670">
      <c r="R2670" s="7" t="str">
        <f>IF(H2670="","",VLOOKUP(H2670,'Hoja 9'!$A$1:$B$255,2,0))</f>
        <v/>
      </c>
      <c r="S2670" s="7" t="str">
        <f t="shared" si="3"/>
        <v/>
      </c>
      <c r="T2670" s="7" t="str">
        <f t="shared" si="4"/>
        <v/>
      </c>
    </row>
    <row r="2671">
      <c r="R2671" s="7" t="str">
        <f>IF(H2671="","",VLOOKUP(H2671,'Hoja 9'!$A$1:$B$255,2,0))</f>
        <v/>
      </c>
      <c r="S2671" s="7" t="str">
        <f t="shared" si="3"/>
        <v/>
      </c>
      <c r="T2671" s="7" t="str">
        <f t="shared" si="4"/>
        <v/>
      </c>
    </row>
    <row r="2672">
      <c r="R2672" s="7" t="str">
        <f>IF(H2672="","",VLOOKUP(H2672,'Hoja 9'!$A$1:$B$255,2,0))</f>
        <v/>
      </c>
      <c r="S2672" s="7" t="str">
        <f t="shared" si="3"/>
        <v/>
      </c>
      <c r="T2672" s="7" t="str">
        <f t="shared" si="4"/>
        <v/>
      </c>
    </row>
    <row r="2673">
      <c r="R2673" s="7" t="str">
        <f>IF(H2673="","",VLOOKUP(H2673,'Hoja 9'!$A$1:$B$255,2,0))</f>
        <v/>
      </c>
      <c r="S2673" s="7" t="str">
        <f t="shared" si="3"/>
        <v/>
      </c>
      <c r="T2673" s="7" t="str">
        <f t="shared" si="4"/>
        <v/>
      </c>
    </row>
    <row r="2674">
      <c r="R2674" s="7" t="str">
        <f>IF(H2674="","",VLOOKUP(H2674,'Hoja 9'!$A$1:$B$255,2,0))</f>
        <v/>
      </c>
      <c r="S2674" s="7" t="str">
        <f t="shared" si="3"/>
        <v/>
      </c>
      <c r="T2674" s="7" t="str">
        <f t="shared" si="4"/>
        <v/>
      </c>
    </row>
    <row r="2675">
      <c r="R2675" s="7" t="str">
        <f>IF(H2675="","",VLOOKUP(H2675,'Hoja 9'!$A$1:$B$255,2,0))</f>
        <v/>
      </c>
      <c r="S2675" s="7" t="str">
        <f t="shared" si="3"/>
        <v/>
      </c>
      <c r="T2675" s="7" t="str">
        <f t="shared" si="4"/>
        <v/>
      </c>
    </row>
    <row r="2676">
      <c r="R2676" s="7" t="str">
        <f>IF(H2676="","",VLOOKUP(H2676,'Hoja 9'!$A$1:$B$255,2,0))</f>
        <v/>
      </c>
      <c r="S2676" s="7" t="str">
        <f t="shared" si="3"/>
        <v/>
      </c>
      <c r="T2676" s="7" t="str">
        <f t="shared" si="4"/>
        <v/>
      </c>
    </row>
    <row r="2677">
      <c r="R2677" s="7" t="str">
        <f>IF(H2677="","",VLOOKUP(H2677,'Hoja 9'!$A$1:$B$255,2,0))</f>
        <v/>
      </c>
      <c r="S2677" s="7" t="str">
        <f t="shared" si="3"/>
        <v/>
      </c>
      <c r="T2677" s="7" t="str">
        <f t="shared" si="4"/>
        <v/>
      </c>
    </row>
    <row r="2678">
      <c r="R2678" s="7" t="str">
        <f>IF(H2678="","",VLOOKUP(H2678,'Hoja 9'!$A$1:$B$255,2,0))</f>
        <v/>
      </c>
      <c r="S2678" s="7" t="str">
        <f t="shared" si="3"/>
        <v/>
      </c>
      <c r="T2678" s="7" t="str">
        <f t="shared" si="4"/>
        <v/>
      </c>
    </row>
    <row r="2679">
      <c r="R2679" s="7" t="str">
        <f>IF(H2679="","",VLOOKUP(H2679,'Hoja 9'!$A$1:$B$255,2,0))</f>
        <v/>
      </c>
      <c r="S2679" s="7" t="str">
        <f t="shared" si="3"/>
        <v/>
      </c>
      <c r="T2679" s="7" t="str">
        <f t="shared" si="4"/>
        <v/>
      </c>
    </row>
    <row r="2680">
      <c r="R2680" s="7" t="str">
        <f>IF(H2680="","",VLOOKUP(H2680,'Hoja 9'!$A$1:$B$255,2,0))</f>
        <v/>
      </c>
      <c r="S2680" s="7" t="str">
        <f t="shared" si="3"/>
        <v/>
      </c>
      <c r="T2680" s="7" t="str">
        <f t="shared" si="4"/>
        <v/>
      </c>
    </row>
    <row r="2681">
      <c r="R2681" s="7" t="str">
        <f>IF(H2681="","",VLOOKUP(H2681,'Hoja 9'!$A$1:$B$255,2,0))</f>
        <v/>
      </c>
      <c r="S2681" s="7" t="str">
        <f t="shared" si="3"/>
        <v/>
      </c>
      <c r="T2681" s="7" t="str">
        <f t="shared" si="4"/>
        <v/>
      </c>
    </row>
    <row r="2682">
      <c r="R2682" s="7" t="str">
        <f>IF(H2682="","",VLOOKUP(H2682,'Hoja 9'!$A$1:$B$255,2,0))</f>
        <v/>
      </c>
      <c r="S2682" s="7" t="str">
        <f t="shared" si="3"/>
        <v/>
      </c>
      <c r="T2682" s="7" t="str">
        <f t="shared" si="4"/>
        <v/>
      </c>
    </row>
    <row r="2683">
      <c r="R2683" s="7" t="str">
        <f>IF(H2683="","",VLOOKUP(H2683,'Hoja 9'!$A$1:$B$255,2,0))</f>
        <v/>
      </c>
      <c r="S2683" s="7" t="str">
        <f t="shared" si="3"/>
        <v/>
      </c>
      <c r="T2683" s="7" t="str">
        <f t="shared" si="4"/>
        <v/>
      </c>
    </row>
    <row r="2684">
      <c r="R2684" s="7" t="str">
        <f>IF(H2684="","",VLOOKUP(H2684,'Hoja 9'!$A$1:$B$255,2,0))</f>
        <v/>
      </c>
      <c r="S2684" s="7" t="str">
        <f t="shared" si="3"/>
        <v/>
      </c>
      <c r="T2684" s="7" t="str">
        <f t="shared" si="4"/>
        <v/>
      </c>
    </row>
    <row r="2685">
      <c r="R2685" s="7" t="str">
        <f>IF(H2685="","",VLOOKUP(H2685,'Hoja 9'!$A$1:$B$255,2,0))</f>
        <v/>
      </c>
      <c r="S2685" s="7" t="str">
        <f t="shared" si="3"/>
        <v/>
      </c>
      <c r="T2685" s="7" t="str">
        <f t="shared" si="4"/>
        <v/>
      </c>
    </row>
    <row r="2686">
      <c r="R2686" s="7" t="str">
        <f>IF(H2686="","",VLOOKUP(H2686,'Hoja 9'!$A$1:$B$255,2,0))</f>
        <v/>
      </c>
      <c r="S2686" s="7" t="str">
        <f t="shared" si="3"/>
        <v/>
      </c>
      <c r="T2686" s="7" t="str">
        <f t="shared" si="4"/>
        <v/>
      </c>
    </row>
    <row r="2687">
      <c r="R2687" s="7" t="str">
        <f>IF(H2687="","",VLOOKUP(H2687,'Hoja 9'!$A$1:$B$255,2,0))</f>
        <v/>
      </c>
      <c r="S2687" s="7" t="str">
        <f t="shared" si="3"/>
        <v/>
      </c>
      <c r="T2687" s="7" t="str">
        <f t="shared" si="4"/>
        <v/>
      </c>
    </row>
    <row r="2688">
      <c r="R2688" s="7" t="str">
        <f>IF(H2688="","",VLOOKUP(H2688,'Hoja 9'!$A$1:$B$255,2,0))</f>
        <v/>
      </c>
      <c r="S2688" s="7" t="str">
        <f t="shared" si="3"/>
        <v/>
      </c>
      <c r="T2688" s="7" t="str">
        <f t="shared" si="4"/>
        <v/>
      </c>
    </row>
    <row r="2689">
      <c r="R2689" s="7" t="str">
        <f>IF(H2689="","",VLOOKUP(H2689,'Hoja 9'!$A$1:$B$255,2,0))</f>
        <v/>
      </c>
      <c r="S2689" s="7" t="str">
        <f t="shared" si="3"/>
        <v/>
      </c>
      <c r="T2689" s="7" t="str">
        <f t="shared" si="4"/>
        <v/>
      </c>
    </row>
    <row r="2690">
      <c r="R2690" s="7" t="str">
        <f>IF(H2690="","",VLOOKUP(H2690,'Hoja 9'!$A$1:$B$255,2,0))</f>
        <v/>
      </c>
      <c r="S2690" s="7" t="str">
        <f t="shared" si="3"/>
        <v/>
      </c>
      <c r="T2690" s="7" t="str">
        <f t="shared" si="4"/>
        <v/>
      </c>
    </row>
    <row r="2691">
      <c r="R2691" s="7" t="str">
        <f>IF(H2691="","",VLOOKUP(H2691,'Hoja 9'!$A$1:$B$255,2,0))</f>
        <v/>
      </c>
      <c r="S2691" s="7" t="str">
        <f t="shared" si="3"/>
        <v/>
      </c>
      <c r="T2691" s="7" t="str">
        <f t="shared" si="4"/>
        <v/>
      </c>
    </row>
    <row r="2692">
      <c r="R2692" s="7" t="str">
        <f>IF(H2692="","",VLOOKUP(H2692,'Hoja 9'!$A$1:$B$255,2,0))</f>
        <v/>
      </c>
      <c r="S2692" s="7" t="str">
        <f t="shared" si="3"/>
        <v/>
      </c>
      <c r="T2692" s="7" t="str">
        <f t="shared" si="4"/>
        <v/>
      </c>
    </row>
    <row r="2693">
      <c r="R2693" s="7" t="str">
        <f>IF(H2693="","",VLOOKUP(H2693,'Hoja 9'!$A$1:$B$255,2,0))</f>
        <v/>
      </c>
      <c r="S2693" s="7" t="str">
        <f t="shared" si="3"/>
        <v/>
      </c>
      <c r="T2693" s="7" t="str">
        <f t="shared" si="4"/>
        <v/>
      </c>
    </row>
    <row r="2694">
      <c r="R2694" s="7" t="str">
        <f>IF(H2694="","",VLOOKUP(H2694,'Hoja 9'!$A$1:$B$255,2,0))</f>
        <v/>
      </c>
      <c r="S2694" s="7" t="str">
        <f t="shared" si="3"/>
        <v/>
      </c>
      <c r="T2694" s="7" t="str">
        <f t="shared" si="4"/>
        <v/>
      </c>
    </row>
    <row r="2695">
      <c r="R2695" s="7" t="str">
        <f>IF(H2695="","",VLOOKUP(H2695,'Hoja 9'!$A$1:$B$255,2,0))</f>
        <v/>
      </c>
      <c r="S2695" s="7" t="str">
        <f t="shared" si="3"/>
        <v/>
      </c>
      <c r="T2695" s="7" t="str">
        <f t="shared" si="4"/>
        <v/>
      </c>
    </row>
    <row r="2696">
      <c r="R2696" s="7" t="str">
        <f>IF(H2696="","",VLOOKUP(H2696,'Hoja 9'!$A$1:$B$255,2,0))</f>
        <v/>
      </c>
      <c r="S2696" s="7" t="str">
        <f t="shared" si="3"/>
        <v/>
      </c>
      <c r="T2696" s="7" t="str">
        <f t="shared" si="4"/>
        <v/>
      </c>
    </row>
    <row r="2697">
      <c r="R2697" s="7" t="str">
        <f>IF(H2697="","",VLOOKUP(H2697,'Hoja 9'!$A$1:$B$255,2,0))</f>
        <v/>
      </c>
      <c r="S2697" s="7" t="str">
        <f t="shared" si="3"/>
        <v/>
      </c>
      <c r="T2697" s="7" t="str">
        <f t="shared" si="4"/>
        <v/>
      </c>
    </row>
    <row r="2698">
      <c r="R2698" s="7" t="str">
        <f>IF(H2698="","",VLOOKUP(H2698,'Hoja 9'!$A$1:$B$255,2,0))</f>
        <v/>
      </c>
      <c r="S2698" s="7" t="str">
        <f t="shared" si="3"/>
        <v/>
      </c>
      <c r="T2698" s="7" t="str">
        <f t="shared" si="4"/>
        <v/>
      </c>
    </row>
    <row r="2699">
      <c r="R2699" s="7" t="str">
        <f>IF(H2699="","",VLOOKUP(H2699,'Hoja 9'!$A$1:$B$255,2,0))</f>
        <v/>
      </c>
      <c r="S2699" s="7" t="str">
        <f t="shared" si="3"/>
        <v/>
      </c>
      <c r="T2699" s="7" t="str">
        <f t="shared" si="4"/>
        <v/>
      </c>
    </row>
    <row r="2700">
      <c r="R2700" s="7" t="str">
        <f>IF(H2700="","",VLOOKUP(H2700,'Hoja 9'!$A$1:$B$255,2,0))</f>
        <v/>
      </c>
      <c r="S2700" s="7" t="str">
        <f t="shared" si="3"/>
        <v/>
      </c>
      <c r="T2700" s="7" t="str">
        <f t="shared" si="4"/>
        <v/>
      </c>
    </row>
    <row r="2701">
      <c r="R2701" s="7" t="str">
        <f>IF(H2701="","",VLOOKUP(H2701,'Hoja 9'!$A$1:$B$255,2,0))</f>
        <v/>
      </c>
      <c r="S2701" s="7" t="str">
        <f t="shared" si="3"/>
        <v/>
      </c>
      <c r="T2701" s="7" t="str">
        <f t="shared" si="4"/>
        <v/>
      </c>
    </row>
    <row r="2702">
      <c r="R2702" s="7" t="str">
        <f>IF(H2702="","",VLOOKUP(H2702,'Hoja 9'!$A$1:$B$255,2,0))</f>
        <v/>
      </c>
      <c r="S2702" s="7" t="str">
        <f t="shared" si="3"/>
        <v/>
      </c>
      <c r="T2702" s="7" t="str">
        <f t="shared" si="4"/>
        <v/>
      </c>
    </row>
    <row r="2703">
      <c r="R2703" s="7" t="str">
        <f>IF(H2703="","",VLOOKUP(H2703,'Hoja 9'!$A$1:$B$255,2,0))</f>
        <v/>
      </c>
      <c r="S2703" s="7" t="str">
        <f t="shared" si="3"/>
        <v/>
      </c>
      <c r="T2703" s="7" t="str">
        <f t="shared" si="4"/>
        <v/>
      </c>
    </row>
    <row r="2704">
      <c r="R2704" s="7" t="str">
        <f>IF(H2704="","",VLOOKUP(H2704,'Hoja 9'!$A$1:$B$255,2,0))</f>
        <v/>
      </c>
      <c r="S2704" s="7" t="str">
        <f t="shared" si="3"/>
        <v/>
      </c>
      <c r="T2704" s="7" t="str">
        <f t="shared" si="4"/>
        <v/>
      </c>
    </row>
    <row r="2705">
      <c r="R2705" s="7" t="str">
        <f>IF(H2705="","",VLOOKUP(H2705,'Hoja 9'!$A$1:$B$255,2,0))</f>
        <v/>
      </c>
      <c r="S2705" s="7" t="str">
        <f t="shared" si="3"/>
        <v/>
      </c>
      <c r="T2705" s="7" t="str">
        <f t="shared" si="4"/>
        <v/>
      </c>
    </row>
    <row r="2706">
      <c r="R2706" s="7" t="str">
        <f>IF(H2706="","",VLOOKUP(H2706,'Hoja 9'!$A$1:$B$255,2,0))</f>
        <v/>
      </c>
      <c r="S2706" s="7" t="str">
        <f t="shared" si="3"/>
        <v/>
      </c>
      <c r="T2706" s="7" t="str">
        <f t="shared" si="4"/>
        <v/>
      </c>
    </row>
    <row r="2707">
      <c r="R2707" s="7" t="str">
        <f>IF(H2707="","",VLOOKUP(H2707,'Hoja 9'!$A$1:$B$255,2,0))</f>
        <v/>
      </c>
      <c r="S2707" s="7" t="str">
        <f t="shared" si="3"/>
        <v/>
      </c>
      <c r="T2707" s="7" t="str">
        <f t="shared" si="4"/>
        <v/>
      </c>
    </row>
    <row r="2708">
      <c r="R2708" s="7" t="str">
        <f>IF(H2708="","",VLOOKUP(H2708,'Hoja 9'!$A$1:$B$255,2,0))</f>
        <v/>
      </c>
      <c r="S2708" s="7" t="str">
        <f t="shared" si="3"/>
        <v/>
      </c>
      <c r="T2708" s="7" t="str">
        <f t="shared" si="4"/>
        <v/>
      </c>
    </row>
    <row r="2709">
      <c r="R2709" s="7" t="str">
        <f>IF(H2709="","",VLOOKUP(H2709,'Hoja 9'!$A$1:$B$255,2,0))</f>
        <v/>
      </c>
      <c r="S2709" s="7" t="str">
        <f t="shared" si="3"/>
        <v/>
      </c>
      <c r="T2709" s="7" t="str">
        <f t="shared" si="4"/>
        <v/>
      </c>
    </row>
    <row r="2710">
      <c r="R2710" s="7" t="str">
        <f>IF(H2710="","",VLOOKUP(H2710,'Hoja 9'!$A$1:$B$255,2,0))</f>
        <v/>
      </c>
      <c r="S2710" s="7" t="str">
        <f t="shared" si="3"/>
        <v/>
      </c>
      <c r="T2710" s="7" t="str">
        <f t="shared" si="4"/>
        <v/>
      </c>
    </row>
    <row r="2711">
      <c r="R2711" s="7" t="str">
        <f>IF(H2711="","",VLOOKUP(H2711,'Hoja 9'!$A$1:$B$255,2,0))</f>
        <v/>
      </c>
      <c r="S2711" s="7" t="str">
        <f t="shared" si="3"/>
        <v/>
      </c>
      <c r="T2711" s="7" t="str">
        <f t="shared" si="4"/>
        <v/>
      </c>
    </row>
    <row r="2712">
      <c r="R2712" s="7" t="str">
        <f>IF(H2712="","",VLOOKUP(H2712,'Hoja 9'!$A$1:$B$255,2,0))</f>
        <v/>
      </c>
      <c r="S2712" s="7" t="str">
        <f t="shared" si="3"/>
        <v/>
      </c>
      <c r="T2712" s="7" t="str">
        <f t="shared" si="4"/>
        <v/>
      </c>
    </row>
    <row r="2713">
      <c r="R2713" s="7" t="str">
        <f>IF(H2713="","",VLOOKUP(H2713,'Hoja 9'!$A$1:$B$255,2,0))</f>
        <v/>
      </c>
      <c r="S2713" s="7" t="str">
        <f t="shared" si="3"/>
        <v/>
      </c>
      <c r="T2713" s="7" t="str">
        <f t="shared" si="4"/>
        <v/>
      </c>
    </row>
    <row r="2714">
      <c r="R2714" s="7" t="str">
        <f>IF(H2714="","",VLOOKUP(H2714,'Hoja 9'!$A$1:$B$255,2,0))</f>
        <v/>
      </c>
      <c r="S2714" s="7" t="str">
        <f t="shared" si="3"/>
        <v/>
      </c>
      <c r="T2714" s="7" t="str">
        <f t="shared" si="4"/>
        <v/>
      </c>
    </row>
    <row r="2715">
      <c r="R2715" s="7" t="str">
        <f>IF(H2715="","",VLOOKUP(H2715,'Hoja 9'!$A$1:$B$255,2,0))</f>
        <v/>
      </c>
      <c r="S2715" s="7" t="str">
        <f t="shared" si="3"/>
        <v/>
      </c>
      <c r="T2715" s="7" t="str">
        <f t="shared" si="4"/>
        <v/>
      </c>
    </row>
    <row r="2716">
      <c r="R2716" s="7" t="str">
        <f>IF(H2716="","",VLOOKUP(H2716,'Hoja 9'!$A$1:$B$255,2,0))</f>
        <v/>
      </c>
      <c r="S2716" s="7" t="str">
        <f t="shared" si="3"/>
        <v/>
      </c>
      <c r="T2716" s="7" t="str">
        <f t="shared" si="4"/>
        <v/>
      </c>
    </row>
    <row r="2717">
      <c r="R2717" s="7" t="str">
        <f>IF(H2717="","",VLOOKUP(H2717,'Hoja 9'!$A$1:$B$255,2,0))</f>
        <v/>
      </c>
      <c r="S2717" s="7" t="str">
        <f t="shared" si="3"/>
        <v/>
      </c>
      <c r="T2717" s="7" t="str">
        <f t="shared" si="4"/>
        <v/>
      </c>
    </row>
    <row r="2718">
      <c r="R2718" s="7" t="str">
        <f>IF(H2718="","",VLOOKUP(H2718,'Hoja 9'!$A$1:$B$255,2,0))</f>
        <v/>
      </c>
      <c r="S2718" s="7" t="str">
        <f t="shared" si="3"/>
        <v/>
      </c>
      <c r="T2718" s="7" t="str">
        <f t="shared" si="4"/>
        <v/>
      </c>
    </row>
    <row r="2719">
      <c r="R2719" s="7" t="str">
        <f>IF(H2719="","",VLOOKUP(H2719,'Hoja 9'!$A$1:$B$255,2,0))</f>
        <v/>
      </c>
      <c r="S2719" s="7" t="str">
        <f t="shared" si="3"/>
        <v/>
      </c>
      <c r="T2719" s="7" t="str">
        <f t="shared" si="4"/>
        <v/>
      </c>
    </row>
    <row r="2720">
      <c r="R2720" s="7" t="str">
        <f>IF(H2720="","",VLOOKUP(H2720,'Hoja 9'!$A$1:$B$255,2,0))</f>
        <v/>
      </c>
      <c r="S2720" s="7" t="str">
        <f t="shared" si="3"/>
        <v/>
      </c>
      <c r="T2720" s="7" t="str">
        <f t="shared" si="4"/>
        <v/>
      </c>
    </row>
    <row r="2721">
      <c r="R2721" s="7" t="str">
        <f>IF(H2721="","",VLOOKUP(H2721,'Hoja 9'!$A$1:$B$255,2,0))</f>
        <v/>
      </c>
      <c r="S2721" s="7" t="str">
        <f t="shared" si="3"/>
        <v/>
      </c>
      <c r="T2721" s="7" t="str">
        <f t="shared" si="4"/>
        <v/>
      </c>
    </row>
    <row r="2722">
      <c r="R2722" s="7" t="str">
        <f>IF(H2722="","",VLOOKUP(H2722,'Hoja 9'!$A$1:$B$255,2,0))</f>
        <v/>
      </c>
      <c r="S2722" s="7" t="str">
        <f t="shared" si="3"/>
        <v/>
      </c>
      <c r="T2722" s="7" t="str">
        <f t="shared" si="4"/>
        <v/>
      </c>
    </row>
    <row r="2723">
      <c r="R2723" s="7" t="str">
        <f>IF(H2723="","",VLOOKUP(H2723,'Hoja 9'!$A$1:$B$255,2,0))</f>
        <v/>
      </c>
      <c r="S2723" s="7" t="str">
        <f t="shared" si="3"/>
        <v/>
      </c>
      <c r="T2723" s="7" t="str">
        <f t="shared" si="4"/>
        <v/>
      </c>
    </row>
    <row r="2724">
      <c r="R2724" s="7" t="str">
        <f>IF(H2724="","",VLOOKUP(H2724,'Hoja 9'!$A$1:$B$255,2,0))</f>
        <v/>
      </c>
      <c r="S2724" s="7" t="str">
        <f t="shared" si="3"/>
        <v/>
      </c>
      <c r="T2724" s="7" t="str">
        <f t="shared" si="4"/>
        <v/>
      </c>
    </row>
    <row r="2725">
      <c r="R2725" s="7" t="str">
        <f>IF(H2725="","",VLOOKUP(H2725,'Hoja 9'!$A$1:$B$255,2,0))</f>
        <v/>
      </c>
      <c r="S2725" s="7" t="str">
        <f t="shared" si="3"/>
        <v/>
      </c>
      <c r="T2725" s="7" t="str">
        <f t="shared" si="4"/>
        <v/>
      </c>
    </row>
    <row r="2726">
      <c r="R2726" s="7" t="str">
        <f>IF(H2726="","",VLOOKUP(H2726,'Hoja 9'!$A$1:$B$255,2,0))</f>
        <v/>
      </c>
      <c r="S2726" s="7" t="str">
        <f t="shared" si="3"/>
        <v/>
      </c>
      <c r="T2726" s="7" t="str">
        <f t="shared" si="4"/>
        <v/>
      </c>
    </row>
    <row r="2727">
      <c r="R2727" s="7" t="str">
        <f>IF(H2727="","",VLOOKUP(H2727,'Hoja 9'!$A$1:$B$255,2,0))</f>
        <v/>
      </c>
      <c r="S2727" s="7" t="str">
        <f t="shared" si="3"/>
        <v/>
      </c>
      <c r="T2727" s="7" t="str">
        <f t="shared" si="4"/>
        <v/>
      </c>
    </row>
    <row r="2728">
      <c r="R2728" s="7" t="str">
        <f>IF(H2728="","",VLOOKUP(H2728,'Hoja 9'!$A$1:$B$255,2,0))</f>
        <v/>
      </c>
      <c r="S2728" s="7" t="str">
        <f t="shared" si="3"/>
        <v/>
      </c>
      <c r="T2728" s="7" t="str">
        <f t="shared" si="4"/>
        <v/>
      </c>
    </row>
    <row r="2729">
      <c r="R2729" s="7" t="str">
        <f>IF(H2729="","",VLOOKUP(H2729,'Hoja 9'!$A$1:$B$255,2,0))</f>
        <v/>
      </c>
      <c r="S2729" s="7" t="str">
        <f t="shared" si="3"/>
        <v/>
      </c>
      <c r="T2729" s="7" t="str">
        <f t="shared" si="4"/>
        <v/>
      </c>
    </row>
    <row r="2730">
      <c r="R2730" s="7" t="str">
        <f>IF(H2730="","",VLOOKUP(H2730,'Hoja 9'!$A$1:$B$255,2,0))</f>
        <v/>
      </c>
      <c r="S2730" s="7" t="str">
        <f t="shared" si="3"/>
        <v/>
      </c>
      <c r="T2730" s="7" t="str">
        <f t="shared" si="4"/>
        <v/>
      </c>
    </row>
    <row r="2731">
      <c r="R2731" s="7" t="str">
        <f>IF(H2731="","",VLOOKUP(H2731,'Hoja 9'!$A$1:$B$255,2,0))</f>
        <v/>
      </c>
      <c r="S2731" s="7" t="str">
        <f t="shared" si="3"/>
        <v/>
      </c>
      <c r="T2731" s="7" t="str">
        <f t="shared" si="4"/>
        <v/>
      </c>
    </row>
    <row r="2732">
      <c r="R2732" s="7" t="str">
        <f>IF(H2732="","",VLOOKUP(H2732,'Hoja 9'!$A$1:$B$255,2,0))</f>
        <v/>
      </c>
      <c r="S2732" s="7" t="str">
        <f t="shared" si="3"/>
        <v/>
      </c>
      <c r="T2732" s="7" t="str">
        <f t="shared" si="4"/>
        <v/>
      </c>
    </row>
    <row r="2733">
      <c r="R2733" s="7" t="str">
        <f>IF(H2733="","",VLOOKUP(H2733,'Hoja 9'!$A$1:$B$255,2,0))</f>
        <v/>
      </c>
      <c r="S2733" s="7" t="str">
        <f t="shared" si="3"/>
        <v/>
      </c>
      <c r="T2733" s="7" t="str">
        <f t="shared" si="4"/>
        <v/>
      </c>
    </row>
    <row r="2734">
      <c r="R2734" s="7" t="str">
        <f>IF(H2734="","",VLOOKUP(H2734,'Hoja 9'!$A$1:$B$255,2,0))</f>
        <v/>
      </c>
      <c r="S2734" s="7" t="str">
        <f t="shared" si="3"/>
        <v/>
      </c>
      <c r="T2734" s="7" t="str">
        <f t="shared" si="4"/>
        <v/>
      </c>
    </row>
    <row r="2735">
      <c r="R2735" s="7" t="str">
        <f>IF(H2735="","",VLOOKUP(H2735,'Hoja 9'!$A$1:$B$255,2,0))</f>
        <v/>
      </c>
      <c r="S2735" s="7" t="str">
        <f t="shared" si="3"/>
        <v/>
      </c>
      <c r="T2735" s="7" t="str">
        <f t="shared" si="4"/>
        <v/>
      </c>
    </row>
    <row r="2736">
      <c r="R2736" s="7" t="str">
        <f>IF(H2736="","",VLOOKUP(H2736,'Hoja 9'!$A$1:$B$255,2,0))</f>
        <v/>
      </c>
      <c r="S2736" s="7" t="str">
        <f t="shared" si="3"/>
        <v/>
      </c>
      <c r="T2736" s="7" t="str">
        <f t="shared" si="4"/>
        <v/>
      </c>
    </row>
    <row r="2737">
      <c r="R2737" s="7" t="str">
        <f>IF(H2737="","",VLOOKUP(H2737,'Hoja 9'!$A$1:$B$255,2,0))</f>
        <v/>
      </c>
      <c r="S2737" s="7" t="str">
        <f t="shared" si="3"/>
        <v/>
      </c>
      <c r="T2737" s="7" t="str">
        <f t="shared" si="4"/>
        <v/>
      </c>
    </row>
    <row r="2738">
      <c r="R2738" s="7" t="str">
        <f>IF(H2738="","",VLOOKUP(H2738,'Hoja 9'!$A$1:$B$255,2,0))</f>
        <v/>
      </c>
      <c r="S2738" s="7" t="str">
        <f t="shared" si="3"/>
        <v/>
      </c>
      <c r="T2738" s="7" t="str">
        <f t="shared" si="4"/>
        <v/>
      </c>
    </row>
    <row r="2739">
      <c r="R2739" s="7" t="str">
        <f>IF(H2739="","",VLOOKUP(H2739,'Hoja 9'!$A$1:$B$255,2,0))</f>
        <v/>
      </c>
      <c r="S2739" s="7" t="str">
        <f t="shared" si="3"/>
        <v/>
      </c>
      <c r="T2739" s="7" t="str">
        <f t="shared" si="4"/>
        <v/>
      </c>
    </row>
    <row r="2740">
      <c r="R2740" s="7" t="str">
        <f>IF(H2740="","",VLOOKUP(H2740,'Hoja 9'!$A$1:$B$255,2,0))</f>
        <v/>
      </c>
      <c r="S2740" s="7" t="str">
        <f t="shared" si="3"/>
        <v/>
      </c>
      <c r="T2740" s="7" t="str">
        <f t="shared" si="4"/>
        <v/>
      </c>
    </row>
    <row r="2741">
      <c r="R2741" s="7" t="str">
        <f>IF(H2741="","",VLOOKUP(H2741,'Hoja 9'!$A$1:$B$255,2,0))</f>
        <v/>
      </c>
      <c r="S2741" s="7" t="str">
        <f t="shared" si="3"/>
        <v/>
      </c>
      <c r="T2741" s="7" t="str">
        <f t="shared" si="4"/>
        <v/>
      </c>
    </row>
    <row r="2742">
      <c r="R2742" s="7" t="str">
        <f>IF(H2742="","",VLOOKUP(H2742,'Hoja 9'!$A$1:$B$255,2,0))</f>
        <v/>
      </c>
      <c r="S2742" s="7" t="str">
        <f t="shared" si="3"/>
        <v/>
      </c>
      <c r="T2742" s="7" t="str">
        <f t="shared" si="4"/>
        <v/>
      </c>
    </row>
    <row r="2743">
      <c r="R2743" s="7" t="str">
        <f>IF(H2743="","",VLOOKUP(H2743,'Hoja 9'!$A$1:$B$255,2,0))</f>
        <v/>
      </c>
      <c r="S2743" s="7" t="str">
        <f t="shared" si="3"/>
        <v/>
      </c>
      <c r="T2743" s="7" t="str">
        <f t="shared" si="4"/>
        <v/>
      </c>
    </row>
    <row r="2744">
      <c r="R2744" s="7" t="str">
        <f>IF(H2744="","",VLOOKUP(H2744,'Hoja 9'!$A$1:$B$255,2,0))</f>
        <v/>
      </c>
      <c r="S2744" s="7" t="str">
        <f t="shared" si="3"/>
        <v/>
      </c>
      <c r="T2744" s="7" t="str">
        <f t="shared" si="4"/>
        <v/>
      </c>
    </row>
    <row r="2745">
      <c r="R2745" s="7" t="str">
        <f>IF(H2745="","",VLOOKUP(H2745,'Hoja 9'!$A$1:$B$255,2,0))</f>
        <v/>
      </c>
      <c r="S2745" s="7" t="str">
        <f t="shared" si="3"/>
        <v/>
      </c>
      <c r="T2745" s="7" t="str">
        <f t="shared" si="4"/>
        <v/>
      </c>
    </row>
    <row r="2746">
      <c r="R2746" s="7" t="str">
        <f>IF(H2746="","",VLOOKUP(H2746,'Hoja 9'!$A$1:$B$255,2,0))</f>
        <v/>
      </c>
      <c r="S2746" s="7" t="str">
        <f t="shared" si="3"/>
        <v/>
      </c>
      <c r="T2746" s="7" t="str">
        <f t="shared" si="4"/>
        <v/>
      </c>
    </row>
    <row r="2747">
      <c r="R2747" s="7" t="str">
        <f>IF(H2747="","",VLOOKUP(H2747,'Hoja 9'!$A$1:$B$255,2,0))</f>
        <v/>
      </c>
      <c r="S2747" s="7" t="str">
        <f t="shared" si="3"/>
        <v/>
      </c>
      <c r="T2747" s="7" t="str">
        <f t="shared" si="4"/>
        <v/>
      </c>
    </row>
    <row r="2748">
      <c r="R2748" s="7" t="str">
        <f>IF(H2748="","",VLOOKUP(H2748,'Hoja 9'!$A$1:$B$255,2,0))</f>
        <v/>
      </c>
      <c r="S2748" s="7" t="str">
        <f t="shared" si="3"/>
        <v/>
      </c>
      <c r="T2748" s="7" t="str">
        <f t="shared" si="4"/>
        <v/>
      </c>
    </row>
    <row r="2749">
      <c r="R2749" s="7" t="str">
        <f>IF(H2749="","",VLOOKUP(H2749,'Hoja 9'!$A$1:$B$255,2,0))</f>
        <v/>
      </c>
      <c r="S2749" s="7" t="str">
        <f t="shared" si="3"/>
        <v/>
      </c>
      <c r="T2749" s="7" t="str">
        <f t="shared" si="4"/>
        <v/>
      </c>
    </row>
    <row r="2750">
      <c r="R2750" s="7" t="str">
        <f>IF(H2750="","",VLOOKUP(H2750,'Hoja 9'!$A$1:$B$255,2,0))</f>
        <v/>
      </c>
      <c r="S2750" s="7" t="str">
        <f t="shared" si="3"/>
        <v/>
      </c>
      <c r="T2750" s="7" t="str">
        <f t="shared" si="4"/>
        <v/>
      </c>
    </row>
    <row r="2751">
      <c r="R2751" s="7" t="str">
        <f>IF(H2751="","",VLOOKUP(H2751,'Hoja 9'!$A$1:$B$255,2,0))</f>
        <v/>
      </c>
      <c r="S2751" s="7" t="str">
        <f t="shared" si="3"/>
        <v/>
      </c>
      <c r="T2751" s="7" t="str">
        <f t="shared" si="4"/>
        <v/>
      </c>
    </row>
    <row r="2752">
      <c r="R2752" s="7" t="str">
        <f>IF(H2752="","",VLOOKUP(H2752,'Hoja 9'!$A$1:$B$255,2,0))</f>
        <v/>
      </c>
      <c r="S2752" s="7" t="str">
        <f t="shared" si="3"/>
        <v/>
      </c>
      <c r="T2752" s="7" t="str">
        <f t="shared" si="4"/>
        <v/>
      </c>
    </row>
    <row r="2753">
      <c r="R2753" s="7" t="str">
        <f>IF(H2753="","",VLOOKUP(H2753,'Hoja 9'!$A$1:$B$255,2,0))</f>
        <v/>
      </c>
      <c r="S2753" s="7" t="str">
        <f t="shared" si="3"/>
        <v/>
      </c>
      <c r="T2753" s="7" t="str">
        <f t="shared" si="4"/>
        <v/>
      </c>
    </row>
    <row r="2754">
      <c r="R2754" s="7" t="str">
        <f>IF(H2754="","",VLOOKUP(H2754,'Hoja 9'!$A$1:$B$255,2,0))</f>
        <v/>
      </c>
      <c r="S2754" s="7" t="str">
        <f t="shared" si="3"/>
        <v/>
      </c>
      <c r="T2754" s="7" t="str">
        <f t="shared" si="4"/>
        <v/>
      </c>
    </row>
    <row r="2755">
      <c r="R2755" s="7" t="str">
        <f>IF(H2755="","",VLOOKUP(H2755,'Hoja 9'!$A$1:$B$255,2,0))</f>
        <v/>
      </c>
      <c r="S2755" s="7" t="str">
        <f t="shared" si="3"/>
        <v/>
      </c>
      <c r="T2755" s="7" t="str">
        <f t="shared" si="4"/>
        <v/>
      </c>
    </row>
    <row r="2756">
      <c r="R2756" s="7" t="str">
        <f>IF(H2756="","",VLOOKUP(H2756,'Hoja 9'!$A$1:$B$255,2,0))</f>
        <v/>
      </c>
      <c r="S2756" s="7" t="str">
        <f t="shared" si="3"/>
        <v/>
      </c>
      <c r="T2756" s="7" t="str">
        <f t="shared" si="4"/>
        <v/>
      </c>
    </row>
    <row r="2757">
      <c r="R2757" s="7" t="str">
        <f>IF(H2757="","",VLOOKUP(H2757,'Hoja 9'!$A$1:$B$255,2,0))</f>
        <v/>
      </c>
      <c r="S2757" s="7" t="str">
        <f t="shared" si="3"/>
        <v/>
      </c>
      <c r="T2757" s="7" t="str">
        <f t="shared" si="4"/>
        <v/>
      </c>
    </row>
    <row r="2758">
      <c r="R2758" s="7" t="str">
        <f>IF(H2758="","",VLOOKUP(H2758,'Hoja 9'!$A$1:$B$255,2,0))</f>
        <v/>
      </c>
      <c r="S2758" s="7" t="str">
        <f t="shared" si="3"/>
        <v/>
      </c>
      <c r="T2758" s="7" t="str">
        <f t="shared" si="4"/>
        <v/>
      </c>
    </row>
    <row r="2759">
      <c r="R2759" s="7" t="str">
        <f>IF(H2759="","",VLOOKUP(H2759,'Hoja 9'!$A$1:$B$255,2,0))</f>
        <v/>
      </c>
      <c r="S2759" s="7" t="str">
        <f t="shared" si="3"/>
        <v/>
      </c>
      <c r="T2759" s="7" t="str">
        <f t="shared" si="4"/>
        <v/>
      </c>
    </row>
  </sheetData>
  <autoFilter ref="$A$1:$X$2759"/>
  <hyperlinks>
    <hyperlink r:id="rId1" ref="D514"/>
    <hyperlink r:id="rId2" ref="D870"/>
    <hyperlink r:id="rId3" ref="D1166"/>
    <hyperlink r:id="rId4" ref="D130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3.25"/>
    <col customWidth="1" min="3" max="3" width="15.25"/>
  </cols>
  <sheetData>
    <row r="1">
      <c r="A1" s="3" t="s">
        <v>4206</v>
      </c>
      <c r="B1" s="17" t="s">
        <v>4207</v>
      </c>
      <c r="C1" s="3" t="s">
        <v>4208</v>
      </c>
      <c r="D1" s="3" t="s">
        <v>4209</v>
      </c>
    </row>
    <row r="2">
      <c r="A2" s="7" t="str">
        <f t="array" ref="A2:A2000">IF(INGRESOS_API!P2:P3000="","",INGRESOS_API!P2:P3000)</f>
        <v>Llanos Cristian</v>
      </c>
      <c r="B2" s="18" t="str">
        <f t="array" ref="B2:B2000">IF(INGRESOS_API!G2:G3000="","",IF(LEFT(INGRESOS_API!G2:G3000,4)="+549",INGRESOS_API!G2:G3000,IF(LEFT(INGRESOS_API!G2:G3000,3)="+54","+549"&amp;RIGHT(INGRESOS_API!G2:G3000,LEN(INGRESOS_API!G2:G3000)-4),INGRESOS_API!G2:G3000)))</f>
        <v>+549518046736</v>
      </c>
      <c r="C2" s="3" t="s">
        <v>4210</v>
      </c>
      <c r="D2" s="3"/>
    </row>
    <row r="3">
      <c r="A3" s="7" t="s">
        <v>4211</v>
      </c>
      <c r="B3" s="18" t="s">
        <v>4212</v>
      </c>
      <c r="C3" s="3" t="s">
        <v>4210</v>
      </c>
      <c r="D3" s="3"/>
    </row>
    <row r="4">
      <c r="A4" s="7" t="s">
        <v>4213</v>
      </c>
      <c r="B4" s="18" t="s">
        <v>4214</v>
      </c>
      <c r="C4" s="3" t="s">
        <v>4210</v>
      </c>
      <c r="D4" s="3"/>
    </row>
    <row r="5">
      <c r="A5" s="7" t="s">
        <v>4215</v>
      </c>
      <c r="B5" s="18" t="s">
        <v>4216</v>
      </c>
      <c r="C5" s="3" t="s">
        <v>4210</v>
      </c>
      <c r="D5" s="3"/>
    </row>
    <row r="6">
      <c r="A6" s="7" t="s">
        <v>4217</v>
      </c>
      <c r="B6" s="18" t="s">
        <v>4218</v>
      </c>
      <c r="C6" s="3" t="s">
        <v>4210</v>
      </c>
      <c r="D6" s="3"/>
    </row>
    <row r="7">
      <c r="A7" s="7" t="s">
        <v>4219</v>
      </c>
      <c r="B7" s="18" t="s">
        <v>4220</v>
      </c>
      <c r="C7" s="3" t="s">
        <v>4210</v>
      </c>
      <c r="D7" s="3"/>
    </row>
    <row r="8">
      <c r="A8" s="7" t="s">
        <v>4221</v>
      </c>
      <c r="B8" s="18" t="s">
        <v>4222</v>
      </c>
      <c r="C8" s="3" t="s">
        <v>4210</v>
      </c>
      <c r="D8" s="3"/>
    </row>
    <row r="9">
      <c r="A9" s="7" t="s">
        <v>4223</v>
      </c>
      <c r="B9" s="18" t="s">
        <v>4224</v>
      </c>
      <c r="C9" s="3" t="s">
        <v>4210</v>
      </c>
      <c r="D9" s="3"/>
    </row>
    <row r="10">
      <c r="A10" s="7" t="s">
        <v>4225</v>
      </c>
      <c r="B10" s="18" t="s">
        <v>4226</v>
      </c>
      <c r="C10" s="3" t="s">
        <v>4210</v>
      </c>
      <c r="D10" s="3"/>
    </row>
    <row r="11">
      <c r="A11" s="7" t="s">
        <v>4227</v>
      </c>
      <c r="B11" s="18" t="s">
        <v>4228</v>
      </c>
      <c r="C11" s="3" t="s">
        <v>4210</v>
      </c>
      <c r="D11" s="3"/>
    </row>
    <row r="12">
      <c r="A12" s="7" t="s">
        <v>4229</v>
      </c>
      <c r="B12" s="18" t="s">
        <v>4230</v>
      </c>
      <c r="C12" s="3" t="s">
        <v>4210</v>
      </c>
      <c r="D12" s="3"/>
    </row>
    <row r="13">
      <c r="A13" s="7" t="s">
        <v>4231</v>
      </c>
      <c r="B13" s="18" t="s">
        <v>4232</v>
      </c>
      <c r="C13" s="3" t="s">
        <v>4210</v>
      </c>
      <c r="D13" s="3"/>
    </row>
    <row r="14">
      <c r="A14" s="7" t="s">
        <v>4233</v>
      </c>
      <c r="B14" s="18" t="s">
        <v>4234</v>
      </c>
      <c r="C14" s="3" t="s">
        <v>4210</v>
      </c>
      <c r="D14" s="3"/>
    </row>
    <row r="15">
      <c r="A15" s="7" t="s">
        <v>4235</v>
      </c>
      <c r="B15" s="18" t="s">
        <v>4236</v>
      </c>
      <c r="C15" s="3" t="s">
        <v>4210</v>
      </c>
      <c r="D15" s="3"/>
    </row>
    <row r="16">
      <c r="A16" s="7" t="s">
        <v>4237</v>
      </c>
      <c r="B16" s="18" t="s">
        <v>4238</v>
      </c>
      <c r="C16" s="3" t="s">
        <v>4210</v>
      </c>
      <c r="D16" s="3"/>
    </row>
    <row r="17">
      <c r="A17" s="7" t="s">
        <v>4239</v>
      </c>
      <c r="B17" s="18" t="s">
        <v>4240</v>
      </c>
      <c r="C17" s="3" t="s">
        <v>4210</v>
      </c>
      <c r="D17" s="3"/>
    </row>
    <row r="18">
      <c r="A18" s="7" t="s">
        <v>4241</v>
      </c>
      <c r="B18" s="18" t="s">
        <v>4242</v>
      </c>
      <c r="C18" s="3" t="s">
        <v>4210</v>
      </c>
      <c r="D18" s="3"/>
    </row>
    <row r="19">
      <c r="A19" s="7" t="s">
        <v>4243</v>
      </c>
      <c r="B19" s="18" t="s">
        <v>4244</v>
      </c>
      <c r="C19" s="3" t="s">
        <v>4210</v>
      </c>
      <c r="D19" s="3"/>
    </row>
    <row r="20">
      <c r="A20" s="7" t="s">
        <v>4245</v>
      </c>
      <c r="B20" s="18" t="s">
        <v>4246</v>
      </c>
      <c r="C20" s="3" t="s">
        <v>4210</v>
      </c>
      <c r="D20" s="3"/>
    </row>
    <row r="21">
      <c r="A21" s="7" t="s">
        <v>4247</v>
      </c>
      <c r="B21" s="18" t="s">
        <v>4248</v>
      </c>
      <c r="C21" s="3" t="s">
        <v>4210</v>
      </c>
      <c r="D21" s="3"/>
    </row>
    <row r="22">
      <c r="A22" s="7" t="s">
        <v>4249</v>
      </c>
      <c r="B22" s="18" t="s">
        <v>4250</v>
      </c>
      <c r="C22" s="3" t="s">
        <v>4210</v>
      </c>
      <c r="D22" s="3"/>
    </row>
    <row r="23">
      <c r="A23" s="7" t="s">
        <v>4251</v>
      </c>
      <c r="B23" s="18" t="s">
        <v>4252</v>
      </c>
      <c r="C23" s="3" t="s">
        <v>4210</v>
      </c>
      <c r="D23" s="3"/>
    </row>
    <row r="24">
      <c r="A24" s="7" t="s">
        <v>4253</v>
      </c>
      <c r="B24" s="18" t="s">
        <v>4254</v>
      </c>
      <c r="C24" s="3" t="s">
        <v>4210</v>
      </c>
      <c r="D24" s="3"/>
    </row>
    <row r="25">
      <c r="A25" s="7" t="s">
        <v>4255</v>
      </c>
      <c r="B25" s="18" t="s">
        <v>4256</v>
      </c>
      <c r="C25" s="3" t="s">
        <v>4210</v>
      </c>
      <c r="D25" s="3"/>
    </row>
    <row r="26">
      <c r="A26" s="7" t="s">
        <v>4257</v>
      </c>
      <c r="B26" s="18" t="s">
        <v>4258</v>
      </c>
      <c r="C26" s="3" t="s">
        <v>4210</v>
      </c>
      <c r="D26" s="3"/>
    </row>
    <row r="27">
      <c r="A27" s="7" t="s">
        <v>4259</v>
      </c>
      <c r="B27" s="18" t="s">
        <v>4260</v>
      </c>
      <c r="C27" s="3" t="s">
        <v>4210</v>
      </c>
      <c r="D27" s="3"/>
    </row>
    <row r="28">
      <c r="A28" s="7" t="s">
        <v>4261</v>
      </c>
      <c r="B28" s="18" t="s">
        <v>4262</v>
      </c>
      <c r="C28" s="3" t="s">
        <v>4210</v>
      </c>
      <c r="D28" s="3"/>
    </row>
    <row r="29">
      <c r="A29" s="7" t="s">
        <v>4263</v>
      </c>
      <c r="B29" s="18" t="s">
        <v>4264</v>
      </c>
      <c r="C29" s="3" t="s">
        <v>4210</v>
      </c>
      <c r="D29" s="3"/>
    </row>
    <row r="30">
      <c r="A30" s="7" t="s">
        <v>4265</v>
      </c>
      <c r="B30" s="18" t="s">
        <v>4266</v>
      </c>
      <c r="C30" s="3" t="s">
        <v>4210</v>
      </c>
      <c r="D30" s="3"/>
    </row>
    <row r="31">
      <c r="A31" s="7" t="s">
        <v>4267</v>
      </c>
      <c r="B31" s="18" t="s">
        <v>4268</v>
      </c>
      <c r="C31" s="3" t="s">
        <v>4210</v>
      </c>
      <c r="D31" s="3"/>
    </row>
    <row r="32">
      <c r="A32" s="7" t="s">
        <v>4269</v>
      </c>
      <c r="B32" s="18" t="s">
        <v>4268</v>
      </c>
      <c r="C32" s="3" t="s">
        <v>4210</v>
      </c>
      <c r="D32" s="3"/>
    </row>
    <row r="33">
      <c r="A33" s="7" t="s">
        <v>4270</v>
      </c>
      <c r="B33" s="18" t="s">
        <v>4271</v>
      </c>
      <c r="C33" s="3" t="s">
        <v>4210</v>
      </c>
      <c r="D33" s="3"/>
    </row>
    <row r="34">
      <c r="A34" s="7" t="s">
        <v>4272</v>
      </c>
      <c r="B34" s="18" t="s">
        <v>4273</v>
      </c>
      <c r="C34" s="3" t="s">
        <v>4210</v>
      </c>
      <c r="D34" s="3"/>
    </row>
    <row r="35">
      <c r="A35" s="7" t="s">
        <v>4274</v>
      </c>
      <c r="B35" s="18" t="s">
        <v>4275</v>
      </c>
      <c r="C35" s="3" t="s">
        <v>4210</v>
      </c>
      <c r="D35" s="3"/>
    </row>
    <row r="36">
      <c r="A36" s="7" t="s">
        <v>4276</v>
      </c>
      <c r="B36" s="18" t="s">
        <v>4277</v>
      </c>
      <c r="C36" s="3" t="s">
        <v>4210</v>
      </c>
      <c r="D36" s="3"/>
    </row>
    <row r="37">
      <c r="A37" s="7" t="s">
        <v>4278</v>
      </c>
      <c r="B37" s="18" t="s">
        <v>4279</v>
      </c>
      <c r="C37" s="3" t="s">
        <v>4210</v>
      </c>
      <c r="D37" s="3"/>
    </row>
    <row r="38">
      <c r="A38" s="7" t="s">
        <v>4280</v>
      </c>
      <c r="B38" s="18" t="s">
        <v>4281</v>
      </c>
      <c r="C38" s="3" t="s">
        <v>4210</v>
      </c>
      <c r="D38" s="3"/>
    </row>
    <row r="39">
      <c r="A39" s="7" t="s">
        <v>4282</v>
      </c>
      <c r="B39" s="18" t="s">
        <v>4283</v>
      </c>
      <c r="C39" s="3" t="s">
        <v>4210</v>
      </c>
      <c r="D39" s="3"/>
    </row>
    <row r="40">
      <c r="A40" s="7" t="s">
        <v>4284</v>
      </c>
      <c r="B40" s="18" t="s">
        <v>4285</v>
      </c>
      <c r="C40" s="3" t="s">
        <v>4210</v>
      </c>
      <c r="D40" s="3"/>
    </row>
    <row r="41">
      <c r="A41" s="7" t="s">
        <v>4286</v>
      </c>
      <c r="B41" s="18" t="s">
        <v>4287</v>
      </c>
      <c r="C41" s="3" t="s">
        <v>4210</v>
      </c>
      <c r="D41" s="3"/>
    </row>
    <row r="42">
      <c r="A42" s="7" t="s">
        <v>4288</v>
      </c>
      <c r="B42" s="18" t="s">
        <v>4289</v>
      </c>
      <c r="C42" s="3" t="s">
        <v>4210</v>
      </c>
      <c r="D42" s="3"/>
    </row>
    <row r="43">
      <c r="A43" s="7" t="s">
        <v>4290</v>
      </c>
      <c r="B43" s="18" t="s">
        <v>4291</v>
      </c>
      <c r="C43" s="3" t="s">
        <v>4210</v>
      </c>
      <c r="D43" s="3"/>
    </row>
    <row r="44">
      <c r="A44" s="7" t="s">
        <v>4292</v>
      </c>
      <c r="B44" s="18" t="s">
        <v>4293</v>
      </c>
      <c r="C44" s="3" t="s">
        <v>4210</v>
      </c>
      <c r="D44" s="3"/>
    </row>
    <row r="45">
      <c r="A45" s="7" t="s">
        <v>4294</v>
      </c>
      <c r="B45" s="18" t="s">
        <v>4295</v>
      </c>
      <c r="C45" s="3" t="s">
        <v>4210</v>
      </c>
      <c r="D45" s="3"/>
    </row>
    <row r="46">
      <c r="A46" s="7" t="s">
        <v>4296</v>
      </c>
      <c r="B46" s="18" t="s">
        <v>4297</v>
      </c>
      <c r="C46" s="3" t="s">
        <v>4210</v>
      </c>
      <c r="D46" s="3"/>
    </row>
    <row r="47">
      <c r="A47" s="7" t="s">
        <v>4298</v>
      </c>
      <c r="B47" s="18" t="s">
        <v>4299</v>
      </c>
      <c r="C47" s="3" t="s">
        <v>4210</v>
      </c>
    </row>
    <row r="48">
      <c r="A48" s="7" t="s">
        <v>4300</v>
      </c>
      <c r="B48" s="18" t="s">
        <v>4301</v>
      </c>
      <c r="C48" s="3" t="s">
        <v>4210</v>
      </c>
    </row>
    <row r="49">
      <c r="A49" s="7" t="s">
        <v>4302</v>
      </c>
      <c r="B49" s="18" t="s">
        <v>4303</v>
      </c>
      <c r="C49" s="3" t="s">
        <v>4210</v>
      </c>
    </row>
    <row r="50">
      <c r="A50" s="7" t="s">
        <v>4304</v>
      </c>
      <c r="B50" s="18" t="s">
        <v>4305</v>
      </c>
      <c r="C50" s="3" t="s">
        <v>4210</v>
      </c>
    </row>
    <row r="51">
      <c r="A51" s="7" t="s">
        <v>4306</v>
      </c>
      <c r="B51" s="18" t="s">
        <v>4307</v>
      </c>
      <c r="C51" s="3" t="s">
        <v>4210</v>
      </c>
    </row>
    <row r="52">
      <c r="A52" s="7" t="s">
        <v>4308</v>
      </c>
      <c r="B52" s="18" t="s">
        <v>4309</v>
      </c>
      <c r="C52" s="3" t="s">
        <v>4210</v>
      </c>
    </row>
    <row r="53">
      <c r="A53" s="7" t="s">
        <v>4310</v>
      </c>
      <c r="B53" s="18" t="s">
        <v>4311</v>
      </c>
      <c r="C53" s="3" t="s">
        <v>4210</v>
      </c>
    </row>
    <row r="54">
      <c r="A54" s="7" t="s">
        <v>4312</v>
      </c>
      <c r="B54" s="18" t="s">
        <v>4313</v>
      </c>
      <c r="C54" s="3" t="s">
        <v>4210</v>
      </c>
    </row>
    <row r="55">
      <c r="A55" s="7" t="s">
        <v>4314</v>
      </c>
      <c r="B55" s="18" t="s">
        <v>4315</v>
      </c>
      <c r="C55" s="3" t="s">
        <v>4210</v>
      </c>
    </row>
    <row r="56">
      <c r="A56" s="7" t="s">
        <v>4316</v>
      </c>
      <c r="B56" s="18" t="s">
        <v>4317</v>
      </c>
      <c r="C56" s="3" t="s">
        <v>4210</v>
      </c>
    </row>
    <row r="57">
      <c r="A57" s="7" t="s">
        <v>4318</v>
      </c>
      <c r="B57" s="18" t="s">
        <v>4319</v>
      </c>
      <c r="C57" s="3" t="s">
        <v>4210</v>
      </c>
    </row>
    <row r="58">
      <c r="A58" s="7" t="s">
        <v>4320</v>
      </c>
      <c r="B58" s="18" t="s">
        <v>4321</v>
      </c>
      <c r="C58" s="3" t="s">
        <v>4210</v>
      </c>
    </row>
    <row r="59">
      <c r="A59" s="7" t="s">
        <v>4322</v>
      </c>
      <c r="B59" s="18" t="s">
        <v>4323</v>
      </c>
      <c r="C59" s="3" t="s">
        <v>4210</v>
      </c>
    </row>
    <row r="60">
      <c r="A60" s="7" t="s">
        <v>4324</v>
      </c>
      <c r="B60" s="18" t="s">
        <v>4325</v>
      </c>
      <c r="C60" s="3" t="s">
        <v>4210</v>
      </c>
    </row>
    <row r="61">
      <c r="A61" s="7" t="s">
        <v>4326</v>
      </c>
      <c r="B61" s="18" t="s">
        <v>4327</v>
      </c>
      <c r="C61" s="3" t="s">
        <v>4210</v>
      </c>
    </row>
    <row r="62">
      <c r="A62" s="7" t="s">
        <v>4328</v>
      </c>
      <c r="B62" s="18" t="s">
        <v>4329</v>
      </c>
      <c r="C62" s="3" t="s">
        <v>4210</v>
      </c>
    </row>
    <row r="63">
      <c r="A63" s="7" t="s">
        <v>4330</v>
      </c>
      <c r="B63" s="18" t="s">
        <v>4331</v>
      </c>
      <c r="C63" s="3" t="s">
        <v>4210</v>
      </c>
    </row>
    <row r="64">
      <c r="A64" s="7" t="s">
        <v>4332</v>
      </c>
      <c r="B64" s="18" t="s">
        <v>4333</v>
      </c>
      <c r="C64" s="3" t="s">
        <v>4210</v>
      </c>
    </row>
    <row r="65">
      <c r="A65" s="7" t="s">
        <v>4334</v>
      </c>
      <c r="B65" s="18" t="s">
        <v>4335</v>
      </c>
      <c r="C65" s="3" t="s">
        <v>4210</v>
      </c>
    </row>
    <row r="66">
      <c r="A66" s="7" t="s">
        <v>4336</v>
      </c>
      <c r="B66" s="18" t="s">
        <v>4337</v>
      </c>
      <c r="C66" s="3" t="s">
        <v>4210</v>
      </c>
    </row>
    <row r="67">
      <c r="A67" s="7" t="s">
        <v>4338</v>
      </c>
      <c r="B67" s="18" t="s">
        <v>4337</v>
      </c>
      <c r="C67" s="3" t="s">
        <v>4339</v>
      </c>
    </row>
    <row r="68">
      <c r="A68" s="7" t="s">
        <v>4340</v>
      </c>
      <c r="B68" s="18" t="s">
        <v>4341</v>
      </c>
      <c r="C68" s="3" t="s">
        <v>4210</v>
      </c>
    </row>
    <row r="69">
      <c r="A69" s="7" t="s">
        <v>4342</v>
      </c>
      <c r="B69" s="18" t="s">
        <v>4343</v>
      </c>
      <c r="C69" s="3" t="s">
        <v>4210</v>
      </c>
    </row>
    <row r="70">
      <c r="A70" s="7" t="s">
        <v>4344</v>
      </c>
      <c r="B70" s="18" t="s">
        <v>4345</v>
      </c>
      <c r="C70" s="3" t="s">
        <v>4210</v>
      </c>
    </row>
    <row r="71">
      <c r="A71" s="7" t="s">
        <v>4346</v>
      </c>
      <c r="B71" s="18" t="s">
        <v>4347</v>
      </c>
      <c r="C71" s="3" t="s">
        <v>4210</v>
      </c>
    </row>
    <row r="72">
      <c r="A72" s="7" t="s">
        <v>4348</v>
      </c>
      <c r="B72" s="18" t="s">
        <v>4349</v>
      </c>
      <c r="C72" s="3" t="s">
        <v>4210</v>
      </c>
    </row>
    <row r="73">
      <c r="A73" s="7" t="s">
        <v>4350</v>
      </c>
      <c r="B73" s="18" t="s">
        <v>4351</v>
      </c>
      <c r="C73" s="3" t="s">
        <v>4210</v>
      </c>
    </row>
    <row r="74">
      <c r="A74" s="7" t="s">
        <v>4352</v>
      </c>
      <c r="B74" s="18" t="s">
        <v>4353</v>
      </c>
      <c r="C74" s="3" t="s">
        <v>4210</v>
      </c>
    </row>
    <row r="75">
      <c r="A75" s="7" t="s">
        <v>4354</v>
      </c>
      <c r="B75" s="18" t="s">
        <v>4355</v>
      </c>
      <c r="C75" s="3" t="s">
        <v>4210</v>
      </c>
    </row>
    <row r="76">
      <c r="A76" s="7" t="s">
        <v>4356</v>
      </c>
      <c r="B76" s="18" t="s">
        <v>4357</v>
      </c>
      <c r="C76" s="3" t="s">
        <v>4210</v>
      </c>
    </row>
    <row r="77">
      <c r="A77" s="7" t="s">
        <v>4358</v>
      </c>
      <c r="B77" s="18" t="s">
        <v>4359</v>
      </c>
      <c r="C77" s="3" t="s">
        <v>4210</v>
      </c>
    </row>
    <row r="78">
      <c r="A78" s="7" t="s">
        <v>4360</v>
      </c>
      <c r="B78" s="18" t="s">
        <v>4361</v>
      </c>
      <c r="C78" s="3" t="s">
        <v>4210</v>
      </c>
    </row>
    <row r="79">
      <c r="A79" s="7" t="s">
        <v>4362</v>
      </c>
      <c r="B79" s="18" t="s">
        <v>4363</v>
      </c>
      <c r="C79" s="3" t="s">
        <v>4210</v>
      </c>
    </row>
    <row r="80">
      <c r="A80" s="7" t="s">
        <v>4364</v>
      </c>
      <c r="B80" s="18" t="s">
        <v>4365</v>
      </c>
      <c r="C80" s="3" t="s">
        <v>4210</v>
      </c>
    </row>
    <row r="81">
      <c r="A81" s="7" t="s">
        <v>4366</v>
      </c>
      <c r="B81" s="18" t="s">
        <v>4367</v>
      </c>
      <c r="C81" s="3" t="s">
        <v>4210</v>
      </c>
    </row>
    <row r="82">
      <c r="A82" s="7" t="s">
        <v>4368</v>
      </c>
      <c r="B82" s="18" t="s">
        <v>4369</v>
      </c>
      <c r="C82" s="3" t="s">
        <v>4210</v>
      </c>
    </row>
    <row r="83">
      <c r="A83" s="7" t="s">
        <v>4370</v>
      </c>
      <c r="B83" s="18" t="s">
        <v>4371</v>
      </c>
      <c r="C83" s="3" t="s">
        <v>4210</v>
      </c>
    </row>
    <row r="84">
      <c r="A84" s="7" t="s">
        <v>4372</v>
      </c>
      <c r="B84" s="18" t="s">
        <v>4373</v>
      </c>
      <c r="C84" s="3" t="s">
        <v>4210</v>
      </c>
    </row>
    <row r="85">
      <c r="A85" s="7" t="s">
        <v>4374</v>
      </c>
      <c r="B85" s="18" t="s">
        <v>4375</v>
      </c>
      <c r="C85" s="3" t="s">
        <v>4210</v>
      </c>
    </row>
    <row r="86">
      <c r="A86" s="7" t="s">
        <v>4376</v>
      </c>
      <c r="B86" s="18" t="s">
        <v>4377</v>
      </c>
      <c r="C86" s="3" t="s">
        <v>4210</v>
      </c>
    </row>
    <row r="87">
      <c r="A87" s="7" t="s">
        <v>4378</v>
      </c>
      <c r="B87" s="18" t="s">
        <v>4379</v>
      </c>
      <c r="C87" s="3" t="s">
        <v>4210</v>
      </c>
    </row>
    <row r="88">
      <c r="A88" s="7" t="s">
        <v>4380</v>
      </c>
      <c r="B88" s="18" t="s">
        <v>4381</v>
      </c>
      <c r="C88" s="3" t="s">
        <v>4210</v>
      </c>
    </row>
    <row r="89">
      <c r="A89" s="7" t="s">
        <v>4382</v>
      </c>
      <c r="B89" s="18" t="s">
        <v>4383</v>
      </c>
      <c r="C89" s="3" t="s">
        <v>4210</v>
      </c>
    </row>
    <row r="90">
      <c r="A90" s="7" t="s">
        <v>4384</v>
      </c>
      <c r="B90" s="18" t="s">
        <v>4385</v>
      </c>
      <c r="C90" s="3" t="s">
        <v>4210</v>
      </c>
    </row>
    <row r="91">
      <c r="A91" s="7" t="s">
        <v>4386</v>
      </c>
      <c r="B91" s="18" t="s">
        <v>4387</v>
      </c>
      <c r="C91" s="3" t="s">
        <v>4210</v>
      </c>
    </row>
    <row r="92">
      <c r="A92" s="7" t="s">
        <v>4388</v>
      </c>
      <c r="B92" s="18" t="s">
        <v>4389</v>
      </c>
      <c r="C92" s="3" t="s">
        <v>4210</v>
      </c>
    </row>
    <row r="93">
      <c r="A93" s="7" t="s">
        <v>4390</v>
      </c>
      <c r="B93" s="18" t="s">
        <v>4391</v>
      </c>
      <c r="C93" s="3" t="s">
        <v>4210</v>
      </c>
    </row>
    <row r="94">
      <c r="A94" s="7" t="s">
        <v>4392</v>
      </c>
      <c r="B94" s="18" t="s">
        <v>4393</v>
      </c>
      <c r="C94" s="3" t="s">
        <v>4210</v>
      </c>
    </row>
    <row r="95">
      <c r="A95" s="7" t="s">
        <v>4394</v>
      </c>
      <c r="B95" s="18" t="s">
        <v>4395</v>
      </c>
      <c r="C95" s="3" t="s">
        <v>4210</v>
      </c>
    </row>
    <row r="96">
      <c r="A96" s="7" t="s">
        <v>4396</v>
      </c>
      <c r="B96" s="18" t="s">
        <v>4397</v>
      </c>
      <c r="C96" s="3" t="s">
        <v>4210</v>
      </c>
    </row>
    <row r="97">
      <c r="A97" s="7" t="s">
        <v>4398</v>
      </c>
      <c r="B97" s="18" t="s">
        <v>4399</v>
      </c>
      <c r="C97" s="3" t="s">
        <v>4210</v>
      </c>
    </row>
    <row r="98">
      <c r="A98" s="7" t="s">
        <v>4400</v>
      </c>
      <c r="B98" s="18" t="s">
        <v>4401</v>
      </c>
      <c r="C98" s="3" t="s">
        <v>4210</v>
      </c>
    </row>
    <row r="99">
      <c r="A99" s="7" t="s">
        <v>4402</v>
      </c>
      <c r="B99" s="18" t="s">
        <v>4403</v>
      </c>
      <c r="C99" s="3" t="s">
        <v>4210</v>
      </c>
    </row>
    <row r="100">
      <c r="A100" s="7" t="s">
        <v>4404</v>
      </c>
      <c r="B100" s="18" t="s">
        <v>4405</v>
      </c>
      <c r="C100" s="3" t="s">
        <v>4210</v>
      </c>
    </row>
    <row r="101">
      <c r="A101" s="7" t="s">
        <v>4406</v>
      </c>
      <c r="B101" s="18" t="s">
        <v>4407</v>
      </c>
      <c r="C101" s="3" t="s">
        <v>4210</v>
      </c>
    </row>
    <row r="102">
      <c r="A102" s="7" t="s">
        <v>4408</v>
      </c>
      <c r="B102" s="18" t="s">
        <v>4409</v>
      </c>
      <c r="C102" s="3" t="s">
        <v>4210</v>
      </c>
    </row>
    <row r="103">
      <c r="A103" s="7" t="s">
        <v>4410</v>
      </c>
      <c r="B103" s="18" t="s">
        <v>4411</v>
      </c>
      <c r="C103" s="3" t="s">
        <v>4210</v>
      </c>
    </row>
    <row r="104">
      <c r="A104" s="7" t="s">
        <v>4412</v>
      </c>
      <c r="B104" s="18" t="s">
        <v>4413</v>
      </c>
      <c r="C104" s="3" t="s">
        <v>4210</v>
      </c>
    </row>
    <row r="105">
      <c r="A105" s="7" t="s">
        <v>4414</v>
      </c>
      <c r="B105" s="18" t="s">
        <v>4415</v>
      </c>
      <c r="C105" s="3" t="s">
        <v>4210</v>
      </c>
    </row>
    <row r="106">
      <c r="A106" s="7" t="s">
        <v>4416</v>
      </c>
      <c r="B106" s="18" t="s">
        <v>4417</v>
      </c>
      <c r="C106" s="3" t="s">
        <v>4210</v>
      </c>
    </row>
    <row r="107">
      <c r="A107" s="7" t="s">
        <v>4418</v>
      </c>
      <c r="B107" s="18" t="s">
        <v>4419</v>
      </c>
      <c r="C107" s="3" t="s">
        <v>4210</v>
      </c>
    </row>
    <row r="108">
      <c r="A108" s="7" t="s">
        <v>4420</v>
      </c>
      <c r="B108" s="18" t="s">
        <v>4421</v>
      </c>
      <c r="C108" s="3" t="s">
        <v>4210</v>
      </c>
    </row>
    <row r="109">
      <c r="A109" s="7" t="s">
        <v>4422</v>
      </c>
      <c r="B109" s="18" t="s">
        <v>4423</v>
      </c>
      <c r="C109" s="3" t="s">
        <v>4210</v>
      </c>
    </row>
    <row r="110">
      <c r="A110" s="7" t="s">
        <v>4424</v>
      </c>
      <c r="B110" s="18" t="s">
        <v>4425</v>
      </c>
      <c r="C110" s="3" t="s">
        <v>4210</v>
      </c>
    </row>
    <row r="111">
      <c r="A111" s="7" t="s">
        <v>4426</v>
      </c>
      <c r="B111" s="18" t="s">
        <v>4427</v>
      </c>
      <c r="C111" s="3" t="s">
        <v>4210</v>
      </c>
    </row>
    <row r="112">
      <c r="A112" s="7" t="s">
        <v>4428</v>
      </c>
      <c r="B112" s="18" t="s">
        <v>4429</v>
      </c>
      <c r="C112" s="3" t="s">
        <v>4210</v>
      </c>
    </row>
    <row r="113">
      <c r="A113" s="7" t="s">
        <v>4430</v>
      </c>
      <c r="B113" s="18" t="s">
        <v>4431</v>
      </c>
      <c r="C113" s="3" t="s">
        <v>4210</v>
      </c>
    </row>
    <row r="114">
      <c r="A114" s="7" t="s">
        <v>4432</v>
      </c>
      <c r="B114" s="18" t="s">
        <v>4433</v>
      </c>
      <c r="C114" s="3" t="s">
        <v>4210</v>
      </c>
    </row>
    <row r="115">
      <c r="A115" s="7" t="s">
        <v>4434</v>
      </c>
      <c r="B115" s="18" t="s">
        <v>4435</v>
      </c>
      <c r="C115" s="3" t="s">
        <v>4210</v>
      </c>
    </row>
    <row r="116">
      <c r="A116" s="7" t="s">
        <v>4436</v>
      </c>
      <c r="B116" s="18" t="s">
        <v>4437</v>
      </c>
      <c r="C116" s="3" t="s">
        <v>4210</v>
      </c>
    </row>
    <row r="117">
      <c r="A117" s="7" t="s">
        <v>4438</v>
      </c>
      <c r="B117" s="18" t="s">
        <v>4439</v>
      </c>
      <c r="C117" s="3" t="s">
        <v>4210</v>
      </c>
    </row>
    <row r="118">
      <c r="A118" s="7" t="s">
        <v>4440</v>
      </c>
      <c r="B118" s="18" t="s">
        <v>4441</v>
      </c>
      <c r="C118" s="3" t="s">
        <v>4210</v>
      </c>
    </row>
    <row r="119">
      <c r="A119" s="7" t="s">
        <v>4442</v>
      </c>
      <c r="B119" s="18" t="s">
        <v>4443</v>
      </c>
      <c r="C119" s="3" t="s">
        <v>4210</v>
      </c>
    </row>
    <row r="120">
      <c r="A120" s="7" t="s">
        <v>4444</v>
      </c>
      <c r="B120" s="18" t="s">
        <v>4445</v>
      </c>
      <c r="C120" s="3" t="s">
        <v>4210</v>
      </c>
    </row>
    <row r="121">
      <c r="A121" s="7" t="s">
        <v>4446</v>
      </c>
      <c r="B121" s="18" t="s">
        <v>4447</v>
      </c>
      <c r="C121" s="3" t="s">
        <v>4210</v>
      </c>
    </row>
    <row r="122">
      <c r="A122" s="7" t="s">
        <v>4448</v>
      </c>
      <c r="B122" s="18" t="s">
        <v>4449</v>
      </c>
      <c r="C122" s="3" t="s">
        <v>4210</v>
      </c>
    </row>
    <row r="123">
      <c r="A123" s="7" t="s">
        <v>4450</v>
      </c>
      <c r="B123" s="18" t="s">
        <v>4451</v>
      </c>
      <c r="C123" s="3" t="s">
        <v>4210</v>
      </c>
    </row>
    <row r="124">
      <c r="A124" s="7" t="s">
        <v>4452</v>
      </c>
      <c r="B124" s="18" t="s">
        <v>4453</v>
      </c>
      <c r="C124" s="3" t="s">
        <v>4210</v>
      </c>
    </row>
    <row r="125">
      <c r="A125" s="7" t="s">
        <v>4454</v>
      </c>
      <c r="B125" s="18" t="s">
        <v>4262</v>
      </c>
      <c r="C125" s="3" t="s">
        <v>4339</v>
      </c>
    </row>
    <row r="126">
      <c r="A126" s="7" t="s">
        <v>4455</v>
      </c>
      <c r="B126" s="18" t="s">
        <v>4456</v>
      </c>
      <c r="C126" s="3" t="s">
        <v>4210</v>
      </c>
    </row>
    <row r="127">
      <c r="A127" s="7" t="s">
        <v>4457</v>
      </c>
      <c r="B127" s="18" t="s">
        <v>4458</v>
      </c>
      <c r="C127" s="3" t="s">
        <v>4210</v>
      </c>
    </row>
    <row r="128">
      <c r="A128" s="7" t="s">
        <v>4459</v>
      </c>
      <c r="B128" s="18" t="s">
        <v>4460</v>
      </c>
      <c r="C128" s="3" t="s">
        <v>4210</v>
      </c>
    </row>
    <row r="129">
      <c r="A129" s="7" t="s">
        <v>4461</v>
      </c>
      <c r="B129" s="18" t="s">
        <v>4462</v>
      </c>
      <c r="C129" s="3" t="s">
        <v>4210</v>
      </c>
    </row>
    <row r="130">
      <c r="A130" s="7" t="s">
        <v>4463</v>
      </c>
      <c r="B130" s="18" t="s">
        <v>4464</v>
      </c>
      <c r="C130" s="3" t="s">
        <v>4210</v>
      </c>
    </row>
    <row r="131">
      <c r="A131" s="7" t="s">
        <v>4465</v>
      </c>
      <c r="B131" s="18" t="s">
        <v>4466</v>
      </c>
      <c r="C131" s="3" t="s">
        <v>4210</v>
      </c>
    </row>
    <row r="132">
      <c r="A132" s="7" t="s">
        <v>4467</v>
      </c>
      <c r="B132" s="18" t="s">
        <v>4468</v>
      </c>
      <c r="C132" s="3" t="s">
        <v>4210</v>
      </c>
    </row>
    <row r="133">
      <c r="A133" s="7" t="s">
        <v>4469</v>
      </c>
      <c r="B133" s="18" t="s">
        <v>4470</v>
      </c>
      <c r="C133" s="3" t="s">
        <v>4210</v>
      </c>
    </row>
    <row r="134">
      <c r="A134" s="7" t="s">
        <v>4471</v>
      </c>
      <c r="B134" s="18" t="s">
        <v>4472</v>
      </c>
      <c r="C134" s="3" t="s">
        <v>4210</v>
      </c>
    </row>
    <row r="135">
      <c r="A135" s="7" t="s">
        <v>4473</v>
      </c>
      <c r="B135" s="18" t="s">
        <v>4474</v>
      </c>
      <c r="C135" s="3" t="s">
        <v>4210</v>
      </c>
    </row>
    <row r="136">
      <c r="A136" s="7" t="s">
        <v>4475</v>
      </c>
      <c r="B136" s="18" t="s">
        <v>4476</v>
      </c>
      <c r="C136" s="3" t="s">
        <v>4210</v>
      </c>
    </row>
    <row r="137">
      <c r="A137" s="7" t="s">
        <v>4477</v>
      </c>
      <c r="B137" s="18" t="s">
        <v>4478</v>
      </c>
      <c r="C137" s="3" t="s">
        <v>4210</v>
      </c>
    </row>
    <row r="138">
      <c r="A138" s="7" t="s">
        <v>4479</v>
      </c>
      <c r="B138" s="18" t="s">
        <v>4480</v>
      </c>
      <c r="C138" s="3" t="s">
        <v>4210</v>
      </c>
    </row>
    <row r="139">
      <c r="A139" s="7" t="s">
        <v>4481</v>
      </c>
      <c r="B139" s="18" t="s">
        <v>4482</v>
      </c>
      <c r="C139" s="3" t="s">
        <v>4210</v>
      </c>
    </row>
    <row r="140">
      <c r="A140" s="7" t="s">
        <v>4483</v>
      </c>
      <c r="B140" s="18" t="s">
        <v>4484</v>
      </c>
      <c r="C140" s="3" t="s">
        <v>4210</v>
      </c>
    </row>
    <row r="141">
      <c r="A141" s="7" t="s">
        <v>4485</v>
      </c>
      <c r="B141" s="18" t="s">
        <v>4486</v>
      </c>
      <c r="C141" s="3" t="s">
        <v>4210</v>
      </c>
    </row>
    <row r="142">
      <c r="A142" s="7" t="s">
        <v>4487</v>
      </c>
      <c r="B142" s="18" t="s">
        <v>4488</v>
      </c>
      <c r="C142" s="3" t="s">
        <v>4339</v>
      </c>
    </row>
    <row r="143">
      <c r="A143" s="7" t="s">
        <v>4489</v>
      </c>
      <c r="B143" s="18" t="s">
        <v>4490</v>
      </c>
      <c r="C143" s="3" t="s">
        <v>4210</v>
      </c>
    </row>
    <row r="144">
      <c r="A144" s="7" t="s">
        <v>4491</v>
      </c>
      <c r="B144" s="18" t="s">
        <v>4492</v>
      </c>
      <c r="C144" s="3" t="s">
        <v>4210</v>
      </c>
    </row>
    <row r="145">
      <c r="A145" s="7" t="s">
        <v>4493</v>
      </c>
      <c r="B145" s="18" t="s">
        <v>4494</v>
      </c>
      <c r="C145" s="3" t="s">
        <v>4210</v>
      </c>
    </row>
    <row r="146">
      <c r="A146" s="7" t="s">
        <v>4495</v>
      </c>
      <c r="B146" s="18" t="s">
        <v>4496</v>
      </c>
      <c r="C146" s="3" t="s">
        <v>4210</v>
      </c>
    </row>
    <row r="147">
      <c r="A147" s="7" t="s">
        <v>4497</v>
      </c>
      <c r="B147" s="18" t="s">
        <v>4498</v>
      </c>
      <c r="C147" s="3" t="s">
        <v>4210</v>
      </c>
    </row>
    <row r="148">
      <c r="A148" s="7" t="s">
        <v>4499</v>
      </c>
      <c r="B148" s="18" t="s">
        <v>4500</v>
      </c>
      <c r="C148" s="3" t="s">
        <v>4210</v>
      </c>
    </row>
    <row r="149">
      <c r="A149" s="7" t="s">
        <v>4501</v>
      </c>
      <c r="B149" s="18" t="s">
        <v>4502</v>
      </c>
      <c r="C149" s="3" t="s">
        <v>4210</v>
      </c>
    </row>
    <row r="150">
      <c r="A150" s="7" t="s">
        <v>4503</v>
      </c>
      <c r="B150" s="18" t="s">
        <v>4504</v>
      </c>
      <c r="C150" s="3" t="s">
        <v>4210</v>
      </c>
    </row>
    <row r="151">
      <c r="A151" s="7" t="s">
        <v>4505</v>
      </c>
      <c r="B151" s="18" t="s">
        <v>4506</v>
      </c>
      <c r="C151" s="3" t="s">
        <v>4210</v>
      </c>
    </row>
    <row r="152">
      <c r="A152" s="7" t="s">
        <v>4507</v>
      </c>
      <c r="B152" s="18" t="s">
        <v>4508</v>
      </c>
      <c r="C152" s="3" t="s">
        <v>4210</v>
      </c>
    </row>
    <row r="153">
      <c r="A153" s="7" t="s">
        <v>4509</v>
      </c>
      <c r="B153" s="18" t="s">
        <v>4510</v>
      </c>
      <c r="C153" s="3" t="s">
        <v>4210</v>
      </c>
    </row>
    <row r="154">
      <c r="A154" s="7" t="s">
        <v>4511</v>
      </c>
      <c r="B154" s="18" t="s">
        <v>4512</v>
      </c>
      <c r="C154" s="3" t="s">
        <v>4210</v>
      </c>
    </row>
    <row r="155">
      <c r="A155" s="7" t="s">
        <v>4513</v>
      </c>
      <c r="B155" s="18" t="s">
        <v>4514</v>
      </c>
      <c r="C155" s="3" t="s">
        <v>4210</v>
      </c>
    </row>
    <row r="156">
      <c r="A156" s="7" t="s">
        <v>4515</v>
      </c>
      <c r="B156" s="18" t="s">
        <v>4516</v>
      </c>
      <c r="C156" s="3" t="s">
        <v>4210</v>
      </c>
    </row>
    <row r="157">
      <c r="A157" s="7" t="s">
        <v>4517</v>
      </c>
      <c r="B157" s="18" t="s">
        <v>4518</v>
      </c>
      <c r="C157" s="3" t="s">
        <v>4210</v>
      </c>
    </row>
    <row r="158">
      <c r="A158" s="7" t="s">
        <v>4519</v>
      </c>
      <c r="B158" s="18" t="s">
        <v>4520</v>
      </c>
      <c r="C158" s="3" t="s">
        <v>4210</v>
      </c>
    </row>
    <row r="159">
      <c r="A159" s="7" t="s">
        <v>4521</v>
      </c>
      <c r="B159" s="18" t="s">
        <v>4522</v>
      </c>
      <c r="C159" s="3" t="s">
        <v>4210</v>
      </c>
    </row>
    <row r="160">
      <c r="A160" s="7" t="s">
        <v>4523</v>
      </c>
      <c r="B160" s="18" t="s">
        <v>4524</v>
      </c>
      <c r="C160" s="3" t="s">
        <v>4210</v>
      </c>
    </row>
    <row r="161">
      <c r="A161" s="7" t="s">
        <v>4525</v>
      </c>
      <c r="B161" s="18" t="s">
        <v>4526</v>
      </c>
      <c r="C161" s="3" t="s">
        <v>4210</v>
      </c>
    </row>
    <row r="162">
      <c r="A162" s="7" t="s">
        <v>4527</v>
      </c>
      <c r="B162" s="18" t="s">
        <v>4528</v>
      </c>
      <c r="C162" s="3" t="s">
        <v>4210</v>
      </c>
    </row>
    <row r="163">
      <c r="A163" s="7" t="s">
        <v>4529</v>
      </c>
      <c r="B163" s="18" t="s">
        <v>4530</v>
      </c>
      <c r="C163" s="3" t="s">
        <v>4210</v>
      </c>
    </row>
    <row r="164">
      <c r="A164" s="7" t="s">
        <v>4531</v>
      </c>
      <c r="B164" s="18" t="s">
        <v>4532</v>
      </c>
      <c r="C164" s="3" t="s">
        <v>4210</v>
      </c>
    </row>
    <row r="165">
      <c r="A165" s="7" t="s">
        <v>4533</v>
      </c>
      <c r="B165" s="18" t="s">
        <v>4534</v>
      </c>
      <c r="C165" s="3" t="s">
        <v>4210</v>
      </c>
    </row>
    <row r="166">
      <c r="A166" s="7" t="s">
        <v>4535</v>
      </c>
      <c r="B166" s="18" t="s">
        <v>4536</v>
      </c>
      <c r="C166" s="3" t="s">
        <v>4210</v>
      </c>
    </row>
    <row r="167">
      <c r="A167" s="7" t="s">
        <v>4537</v>
      </c>
      <c r="B167" s="18" t="s">
        <v>4538</v>
      </c>
      <c r="C167" s="3" t="s">
        <v>4210</v>
      </c>
    </row>
    <row r="168">
      <c r="A168" s="7" t="s">
        <v>4539</v>
      </c>
      <c r="B168" s="18" t="s">
        <v>4540</v>
      </c>
      <c r="C168" s="3" t="s">
        <v>4210</v>
      </c>
    </row>
    <row r="169">
      <c r="A169" s="7" t="s">
        <v>4541</v>
      </c>
      <c r="B169" s="18" t="s">
        <v>4542</v>
      </c>
      <c r="C169" s="3" t="s">
        <v>4210</v>
      </c>
    </row>
    <row r="170">
      <c r="A170" s="7" t="s">
        <v>4543</v>
      </c>
      <c r="B170" s="18" t="s">
        <v>4544</v>
      </c>
      <c r="C170" s="3" t="s">
        <v>4210</v>
      </c>
    </row>
    <row r="171">
      <c r="A171" s="7" t="s">
        <v>4545</v>
      </c>
      <c r="B171" s="18" t="s">
        <v>4546</v>
      </c>
      <c r="C171" s="3" t="s">
        <v>4210</v>
      </c>
    </row>
    <row r="172">
      <c r="A172" s="7" t="s">
        <v>4547</v>
      </c>
      <c r="B172" s="18" t="s">
        <v>4548</v>
      </c>
      <c r="C172" s="3" t="s">
        <v>4210</v>
      </c>
    </row>
    <row r="173">
      <c r="A173" s="7" t="s">
        <v>4549</v>
      </c>
      <c r="B173" s="18" t="s">
        <v>4550</v>
      </c>
      <c r="C173" s="3" t="s">
        <v>4210</v>
      </c>
    </row>
    <row r="174">
      <c r="A174" s="7" t="s">
        <v>4551</v>
      </c>
      <c r="B174" s="18" t="s">
        <v>4552</v>
      </c>
      <c r="C174" s="3" t="s">
        <v>4210</v>
      </c>
    </row>
    <row r="175">
      <c r="A175" s="7" t="s">
        <v>4553</v>
      </c>
      <c r="B175" s="18" t="s">
        <v>4554</v>
      </c>
      <c r="C175" s="3" t="s">
        <v>4210</v>
      </c>
    </row>
    <row r="176">
      <c r="A176" s="7" t="s">
        <v>4555</v>
      </c>
      <c r="B176" s="18" t="s">
        <v>4556</v>
      </c>
      <c r="C176" s="3" t="s">
        <v>4210</v>
      </c>
    </row>
    <row r="177">
      <c r="A177" s="7" t="s">
        <v>4557</v>
      </c>
      <c r="B177" s="18" t="s">
        <v>4558</v>
      </c>
      <c r="C177" s="3" t="s">
        <v>4210</v>
      </c>
    </row>
    <row r="178">
      <c r="A178" s="7" t="s">
        <v>4559</v>
      </c>
      <c r="B178" s="18" t="s">
        <v>4560</v>
      </c>
      <c r="C178" s="3" t="s">
        <v>4210</v>
      </c>
    </row>
    <row r="179">
      <c r="A179" s="7" t="s">
        <v>4561</v>
      </c>
      <c r="B179" s="18" t="s">
        <v>4562</v>
      </c>
      <c r="C179" s="3" t="s">
        <v>4210</v>
      </c>
    </row>
    <row r="180">
      <c r="A180" s="7" t="s">
        <v>4563</v>
      </c>
      <c r="B180" s="18" t="s">
        <v>4564</v>
      </c>
      <c r="C180" s="3" t="s">
        <v>4210</v>
      </c>
    </row>
    <row r="181">
      <c r="A181" s="7" t="s">
        <v>4565</v>
      </c>
      <c r="B181" s="18" t="s">
        <v>4566</v>
      </c>
      <c r="C181" s="3" t="s">
        <v>4210</v>
      </c>
    </row>
    <row r="182">
      <c r="A182" s="7" t="s">
        <v>4567</v>
      </c>
      <c r="B182" s="18" t="s">
        <v>4568</v>
      </c>
      <c r="C182" s="3" t="s">
        <v>4210</v>
      </c>
    </row>
    <row r="183">
      <c r="A183" s="7" t="s">
        <v>4569</v>
      </c>
      <c r="B183" s="18" t="s">
        <v>4570</v>
      </c>
      <c r="C183" s="3" t="s">
        <v>4210</v>
      </c>
    </row>
    <row r="184">
      <c r="A184" s="7" t="s">
        <v>4571</v>
      </c>
      <c r="B184" s="18" t="s">
        <v>4572</v>
      </c>
      <c r="C184" s="3" t="s">
        <v>4210</v>
      </c>
    </row>
    <row r="185">
      <c r="A185" s="7" t="s">
        <v>4573</v>
      </c>
      <c r="B185" s="18" t="s">
        <v>4574</v>
      </c>
      <c r="C185" s="3" t="s">
        <v>4210</v>
      </c>
    </row>
    <row r="186">
      <c r="A186" s="7" t="s">
        <v>4575</v>
      </c>
      <c r="B186" s="18" t="s">
        <v>4576</v>
      </c>
      <c r="C186" s="3" t="s">
        <v>4210</v>
      </c>
    </row>
    <row r="187">
      <c r="A187" s="7" t="s">
        <v>4577</v>
      </c>
      <c r="B187" s="18" t="s">
        <v>4578</v>
      </c>
      <c r="C187" s="3" t="s">
        <v>4210</v>
      </c>
    </row>
    <row r="188">
      <c r="A188" s="7" t="s">
        <v>4579</v>
      </c>
      <c r="B188" s="18" t="s">
        <v>4580</v>
      </c>
      <c r="C188" s="3" t="s">
        <v>4210</v>
      </c>
    </row>
    <row r="189">
      <c r="A189" s="7" t="s">
        <v>4581</v>
      </c>
      <c r="B189" s="18" t="s">
        <v>4582</v>
      </c>
      <c r="C189" s="3" t="s">
        <v>4210</v>
      </c>
    </row>
    <row r="190">
      <c r="A190" s="7" t="s">
        <v>4583</v>
      </c>
      <c r="B190" s="18" t="s">
        <v>4584</v>
      </c>
      <c r="C190" s="3" t="s">
        <v>4210</v>
      </c>
    </row>
    <row r="191">
      <c r="A191" s="7" t="s">
        <v>4585</v>
      </c>
      <c r="B191" s="18" t="s">
        <v>4586</v>
      </c>
      <c r="C191" s="3" t="s">
        <v>4210</v>
      </c>
    </row>
    <row r="192">
      <c r="A192" s="7" t="s">
        <v>4587</v>
      </c>
      <c r="B192" s="18" t="s">
        <v>4588</v>
      </c>
      <c r="C192" s="3" t="s">
        <v>4210</v>
      </c>
    </row>
    <row r="193">
      <c r="A193" s="7" t="s">
        <v>4589</v>
      </c>
      <c r="B193" s="18" t="s">
        <v>4590</v>
      </c>
      <c r="C193" s="3" t="s">
        <v>4210</v>
      </c>
    </row>
    <row r="194">
      <c r="A194" s="7" t="s">
        <v>4591</v>
      </c>
      <c r="B194" s="18" t="s">
        <v>4592</v>
      </c>
      <c r="C194" s="3" t="s">
        <v>4210</v>
      </c>
    </row>
    <row r="195">
      <c r="A195" s="7" t="s">
        <v>4593</v>
      </c>
      <c r="B195" s="18" t="s">
        <v>4594</v>
      </c>
      <c r="C195" s="3" t="s">
        <v>4210</v>
      </c>
    </row>
    <row r="196">
      <c r="A196" s="7" t="s">
        <v>4595</v>
      </c>
      <c r="B196" s="18" t="s">
        <v>4596</v>
      </c>
      <c r="C196" s="3" t="s">
        <v>4210</v>
      </c>
    </row>
    <row r="197">
      <c r="A197" s="7" t="s">
        <v>4597</v>
      </c>
      <c r="B197" s="18" t="s">
        <v>4598</v>
      </c>
      <c r="C197" s="3" t="s">
        <v>4210</v>
      </c>
    </row>
    <row r="198">
      <c r="A198" s="7" t="s">
        <v>4599</v>
      </c>
      <c r="B198" s="18" t="s">
        <v>4600</v>
      </c>
      <c r="C198" s="3" t="s">
        <v>4210</v>
      </c>
    </row>
    <row r="199">
      <c r="A199" s="7" t="s">
        <v>4601</v>
      </c>
      <c r="B199" s="18" t="s">
        <v>4602</v>
      </c>
      <c r="C199" s="3" t="s">
        <v>4210</v>
      </c>
    </row>
    <row r="200">
      <c r="A200" s="7" t="s">
        <v>4603</v>
      </c>
      <c r="B200" s="18" t="s">
        <v>4604</v>
      </c>
      <c r="C200" s="3" t="s">
        <v>4210</v>
      </c>
    </row>
    <row r="201">
      <c r="A201" s="7" t="s">
        <v>4605</v>
      </c>
      <c r="B201" s="18" t="s">
        <v>4606</v>
      </c>
      <c r="C201" s="3" t="s">
        <v>4210</v>
      </c>
    </row>
    <row r="202">
      <c r="A202" s="7" t="s">
        <v>4607</v>
      </c>
      <c r="B202" s="18" t="s">
        <v>4608</v>
      </c>
      <c r="C202" s="3" t="s">
        <v>4210</v>
      </c>
    </row>
    <row r="203">
      <c r="A203" s="7" t="s">
        <v>4609</v>
      </c>
      <c r="B203" s="18" t="s">
        <v>4610</v>
      </c>
      <c r="C203" s="3" t="s">
        <v>4210</v>
      </c>
    </row>
    <row r="204">
      <c r="A204" s="7" t="s">
        <v>4611</v>
      </c>
      <c r="B204" s="18" t="s">
        <v>4612</v>
      </c>
      <c r="C204" s="3" t="s">
        <v>4210</v>
      </c>
    </row>
    <row r="205">
      <c r="A205" s="7" t="s">
        <v>4613</v>
      </c>
      <c r="B205" s="18" t="s">
        <v>4614</v>
      </c>
      <c r="C205" s="3" t="s">
        <v>4210</v>
      </c>
    </row>
    <row r="206">
      <c r="A206" s="7" t="s">
        <v>4615</v>
      </c>
      <c r="B206" s="18" t="s">
        <v>4616</v>
      </c>
      <c r="C206" s="3" t="s">
        <v>4210</v>
      </c>
    </row>
    <row r="207">
      <c r="A207" s="7" t="s">
        <v>4617</v>
      </c>
      <c r="B207" s="18" t="s">
        <v>4618</v>
      </c>
      <c r="C207" s="3" t="s">
        <v>4210</v>
      </c>
    </row>
    <row r="208">
      <c r="A208" s="7" t="s">
        <v>4619</v>
      </c>
      <c r="B208" s="18" t="s">
        <v>4620</v>
      </c>
      <c r="C208" s="3" t="s">
        <v>4210</v>
      </c>
    </row>
    <row r="209">
      <c r="A209" s="7" t="s">
        <v>4621</v>
      </c>
      <c r="B209" s="18" t="s">
        <v>4622</v>
      </c>
      <c r="C209" s="3" t="s">
        <v>4210</v>
      </c>
    </row>
    <row r="210">
      <c r="A210" s="7" t="s">
        <v>4623</v>
      </c>
      <c r="B210" s="18" t="s">
        <v>4624</v>
      </c>
      <c r="C210" s="3" t="s">
        <v>4210</v>
      </c>
    </row>
    <row r="211">
      <c r="A211" s="7" t="s">
        <v>4625</v>
      </c>
      <c r="B211" s="18" t="s">
        <v>4626</v>
      </c>
      <c r="C211" s="3" t="s">
        <v>4210</v>
      </c>
    </row>
    <row r="212">
      <c r="A212" s="7" t="s">
        <v>4627</v>
      </c>
      <c r="B212" s="18" t="s">
        <v>4628</v>
      </c>
      <c r="C212" s="3" t="s">
        <v>4210</v>
      </c>
    </row>
    <row r="213">
      <c r="A213" s="7" t="s">
        <v>4629</v>
      </c>
      <c r="B213" s="18" t="s">
        <v>4630</v>
      </c>
      <c r="C213" s="3" t="s">
        <v>4210</v>
      </c>
    </row>
    <row r="214">
      <c r="A214" s="7" t="s">
        <v>4631</v>
      </c>
      <c r="B214" s="18" t="s">
        <v>4632</v>
      </c>
      <c r="C214" s="3" t="s">
        <v>4210</v>
      </c>
    </row>
    <row r="215">
      <c r="A215" s="7" t="s">
        <v>4633</v>
      </c>
      <c r="B215" s="18" t="s">
        <v>4634</v>
      </c>
      <c r="C215" s="3" t="s">
        <v>4210</v>
      </c>
    </row>
    <row r="216">
      <c r="A216" s="7" t="s">
        <v>4635</v>
      </c>
      <c r="B216" s="18" t="s">
        <v>4636</v>
      </c>
      <c r="C216" s="3" t="s">
        <v>4210</v>
      </c>
    </row>
    <row r="217">
      <c r="A217" s="7" t="s">
        <v>4637</v>
      </c>
      <c r="B217" s="18" t="s">
        <v>4638</v>
      </c>
      <c r="C217" s="3" t="s">
        <v>4210</v>
      </c>
    </row>
    <row r="218">
      <c r="A218" s="7" t="s">
        <v>4639</v>
      </c>
      <c r="B218" s="18" t="s">
        <v>4640</v>
      </c>
      <c r="C218" s="3" t="s">
        <v>4210</v>
      </c>
    </row>
    <row r="219">
      <c r="A219" s="7" t="s">
        <v>4641</v>
      </c>
      <c r="B219" s="18" t="s">
        <v>4642</v>
      </c>
      <c r="C219" s="3" t="s">
        <v>4210</v>
      </c>
    </row>
    <row r="220">
      <c r="A220" s="7" t="s">
        <v>4643</v>
      </c>
      <c r="B220" s="18" t="s">
        <v>4644</v>
      </c>
      <c r="C220" s="3" t="s">
        <v>4210</v>
      </c>
    </row>
    <row r="221">
      <c r="A221" s="7" t="s">
        <v>4645</v>
      </c>
      <c r="B221" s="18" t="s">
        <v>4646</v>
      </c>
      <c r="C221" s="3" t="s">
        <v>4210</v>
      </c>
    </row>
    <row r="222">
      <c r="A222" s="7" t="s">
        <v>4647</v>
      </c>
      <c r="B222" s="18" t="s">
        <v>4648</v>
      </c>
      <c r="C222" s="3" t="s">
        <v>4210</v>
      </c>
    </row>
    <row r="223">
      <c r="A223" s="7" t="s">
        <v>4649</v>
      </c>
      <c r="B223" s="18" t="s">
        <v>4650</v>
      </c>
      <c r="C223" s="3" t="s">
        <v>4210</v>
      </c>
    </row>
    <row r="224">
      <c r="A224" s="7" t="s">
        <v>4651</v>
      </c>
      <c r="B224" s="18" t="s">
        <v>4652</v>
      </c>
      <c r="C224" s="3" t="s">
        <v>4210</v>
      </c>
    </row>
    <row r="225">
      <c r="A225" s="7" t="s">
        <v>4653</v>
      </c>
      <c r="B225" s="18" t="s">
        <v>4654</v>
      </c>
      <c r="C225" s="3" t="s">
        <v>4210</v>
      </c>
    </row>
    <row r="226">
      <c r="A226" s="7" t="s">
        <v>4655</v>
      </c>
      <c r="B226" s="18" t="s">
        <v>4656</v>
      </c>
      <c r="C226" s="3" t="s">
        <v>4210</v>
      </c>
    </row>
    <row r="227">
      <c r="A227" s="7" t="s">
        <v>4657</v>
      </c>
      <c r="B227" s="18" t="s">
        <v>4658</v>
      </c>
      <c r="C227" s="3" t="s">
        <v>4210</v>
      </c>
    </row>
    <row r="228">
      <c r="A228" s="7" t="s">
        <v>4659</v>
      </c>
      <c r="B228" s="18" t="s">
        <v>4660</v>
      </c>
      <c r="C228" s="3" t="s">
        <v>4210</v>
      </c>
    </row>
    <row r="229">
      <c r="A229" s="7" t="s">
        <v>4661</v>
      </c>
      <c r="B229" s="18" t="s">
        <v>4662</v>
      </c>
      <c r="C229" s="3" t="s">
        <v>4210</v>
      </c>
    </row>
    <row r="230">
      <c r="A230" s="7" t="s">
        <v>4663</v>
      </c>
      <c r="B230" s="18" t="s">
        <v>4664</v>
      </c>
      <c r="C230" s="3" t="s">
        <v>4210</v>
      </c>
    </row>
    <row r="231">
      <c r="A231" s="7" t="s">
        <v>4665</v>
      </c>
      <c r="B231" s="18" t="s">
        <v>4666</v>
      </c>
      <c r="C231" s="3" t="s">
        <v>4210</v>
      </c>
    </row>
    <row r="232">
      <c r="A232" s="7" t="s">
        <v>4667</v>
      </c>
      <c r="B232" s="18" t="s">
        <v>4668</v>
      </c>
      <c r="C232" s="3" t="s">
        <v>4210</v>
      </c>
    </row>
    <row r="233">
      <c r="A233" s="7" t="s">
        <v>4669</v>
      </c>
      <c r="B233" s="18" t="s">
        <v>4670</v>
      </c>
      <c r="C233" s="3" t="s">
        <v>4210</v>
      </c>
    </row>
    <row r="234">
      <c r="A234" s="7" t="s">
        <v>4671</v>
      </c>
      <c r="B234" s="18" t="s">
        <v>4672</v>
      </c>
      <c r="C234" s="3" t="s">
        <v>4210</v>
      </c>
    </row>
    <row r="235">
      <c r="A235" s="7" t="s">
        <v>4673</v>
      </c>
      <c r="B235" s="18" t="s">
        <v>4674</v>
      </c>
      <c r="C235" s="3" t="s">
        <v>4210</v>
      </c>
    </row>
    <row r="236">
      <c r="A236" s="7" t="s">
        <v>4675</v>
      </c>
      <c r="B236" s="18" t="s">
        <v>4676</v>
      </c>
      <c r="C236" s="3" t="s">
        <v>4210</v>
      </c>
    </row>
    <row r="237">
      <c r="A237" s="7" t="s">
        <v>4677</v>
      </c>
      <c r="B237" s="18" t="s">
        <v>4678</v>
      </c>
      <c r="C237" s="3" t="s">
        <v>4210</v>
      </c>
    </row>
    <row r="238">
      <c r="A238" s="7" t="s">
        <v>4679</v>
      </c>
      <c r="B238" s="18" t="s">
        <v>4680</v>
      </c>
      <c r="C238" s="3" t="s">
        <v>4210</v>
      </c>
    </row>
    <row r="239">
      <c r="A239" s="7" t="s">
        <v>4681</v>
      </c>
      <c r="B239" s="18" t="s">
        <v>4682</v>
      </c>
      <c r="C239" s="3" t="s">
        <v>4210</v>
      </c>
    </row>
    <row r="240">
      <c r="A240" s="7" t="s">
        <v>4683</v>
      </c>
      <c r="B240" s="18" t="s">
        <v>4684</v>
      </c>
      <c r="C240" s="3" t="s">
        <v>4210</v>
      </c>
    </row>
    <row r="241">
      <c r="A241" s="7" t="s">
        <v>4685</v>
      </c>
      <c r="B241" s="18" t="s">
        <v>4686</v>
      </c>
      <c r="C241" s="3" t="s">
        <v>4210</v>
      </c>
    </row>
    <row r="242">
      <c r="A242" s="7" t="s">
        <v>4687</v>
      </c>
      <c r="B242" s="18" t="s">
        <v>4688</v>
      </c>
      <c r="C242" s="3" t="s">
        <v>4210</v>
      </c>
    </row>
    <row r="243">
      <c r="A243" s="7" t="s">
        <v>4689</v>
      </c>
      <c r="B243" s="18" t="s">
        <v>4690</v>
      </c>
      <c r="C243" s="3" t="s">
        <v>4210</v>
      </c>
    </row>
    <row r="244">
      <c r="A244" s="7" t="s">
        <v>4691</v>
      </c>
      <c r="B244" s="18" t="s">
        <v>4692</v>
      </c>
      <c r="C244" s="3" t="s">
        <v>4210</v>
      </c>
    </row>
    <row r="245">
      <c r="A245" s="7" t="s">
        <v>4693</v>
      </c>
      <c r="B245" s="18" t="s">
        <v>4694</v>
      </c>
      <c r="C245" s="3" t="s">
        <v>4210</v>
      </c>
    </row>
    <row r="246">
      <c r="A246" s="7" t="s">
        <v>4695</v>
      </c>
      <c r="B246" s="18" t="s">
        <v>4696</v>
      </c>
      <c r="C246" s="3" t="s">
        <v>4210</v>
      </c>
    </row>
    <row r="247">
      <c r="A247" s="7" t="s">
        <v>4697</v>
      </c>
      <c r="B247" s="18" t="s">
        <v>4698</v>
      </c>
      <c r="C247" s="3" t="s">
        <v>4210</v>
      </c>
    </row>
    <row r="248">
      <c r="A248" s="7" t="s">
        <v>4699</v>
      </c>
      <c r="B248" s="18" t="s">
        <v>4700</v>
      </c>
      <c r="C248" s="3" t="s">
        <v>4210</v>
      </c>
    </row>
    <row r="249">
      <c r="A249" s="7" t="s">
        <v>4701</v>
      </c>
      <c r="B249" s="18" t="s">
        <v>4702</v>
      </c>
      <c r="C249" s="3" t="s">
        <v>4210</v>
      </c>
    </row>
    <row r="250">
      <c r="A250" s="7" t="s">
        <v>4703</v>
      </c>
      <c r="B250" s="18" t="s">
        <v>4704</v>
      </c>
      <c r="C250" s="3" t="s">
        <v>4210</v>
      </c>
    </row>
    <row r="251">
      <c r="A251" s="7" t="s">
        <v>4705</v>
      </c>
      <c r="B251" s="18" t="s">
        <v>4706</v>
      </c>
      <c r="C251" s="3" t="s">
        <v>4210</v>
      </c>
    </row>
    <row r="252">
      <c r="A252" s="7" t="s">
        <v>4707</v>
      </c>
      <c r="B252" s="18" t="s">
        <v>4708</v>
      </c>
      <c r="C252" s="3" t="s">
        <v>4210</v>
      </c>
    </row>
    <row r="253">
      <c r="A253" s="7" t="s">
        <v>4709</v>
      </c>
      <c r="B253" s="18" t="s">
        <v>4710</v>
      </c>
      <c r="C253" s="3" t="s">
        <v>4210</v>
      </c>
    </row>
    <row r="254">
      <c r="A254" s="7" t="s">
        <v>4711</v>
      </c>
      <c r="B254" s="18" t="s">
        <v>4712</v>
      </c>
      <c r="C254" s="3" t="s">
        <v>4210</v>
      </c>
    </row>
    <row r="255">
      <c r="A255" s="7" t="s">
        <v>4713</v>
      </c>
      <c r="B255" s="18" t="s">
        <v>4714</v>
      </c>
      <c r="C255" s="3" t="s">
        <v>4210</v>
      </c>
    </row>
    <row r="256">
      <c r="A256" s="7" t="s">
        <v>4715</v>
      </c>
      <c r="B256" s="18" t="s">
        <v>4716</v>
      </c>
      <c r="C256" s="3" t="s">
        <v>4210</v>
      </c>
    </row>
    <row r="257">
      <c r="A257" s="7" t="s">
        <v>4717</v>
      </c>
      <c r="B257" s="18" t="s">
        <v>4718</v>
      </c>
      <c r="C257" s="3" t="s">
        <v>4210</v>
      </c>
    </row>
    <row r="258">
      <c r="A258" s="7" t="s">
        <v>4719</v>
      </c>
      <c r="B258" s="18" t="s">
        <v>4720</v>
      </c>
      <c r="C258" s="3" t="s">
        <v>4210</v>
      </c>
    </row>
    <row r="259">
      <c r="A259" s="7" t="s">
        <v>4721</v>
      </c>
      <c r="B259" s="18" t="s">
        <v>4722</v>
      </c>
      <c r="C259" s="3" t="s">
        <v>4210</v>
      </c>
    </row>
    <row r="260">
      <c r="A260" s="7" t="s">
        <v>4723</v>
      </c>
      <c r="B260" s="18" t="s">
        <v>4724</v>
      </c>
      <c r="C260" s="3" t="s">
        <v>4210</v>
      </c>
    </row>
    <row r="261">
      <c r="A261" s="7" t="s">
        <v>4725</v>
      </c>
      <c r="B261" s="18" t="s">
        <v>4726</v>
      </c>
      <c r="C261" s="3" t="s">
        <v>4210</v>
      </c>
    </row>
    <row r="262">
      <c r="A262" s="7" t="s">
        <v>4727</v>
      </c>
      <c r="B262" s="18" t="s">
        <v>4728</v>
      </c>
      <c r="C262" s="3" t="s">
        <v>4210</v>
      </c>
    </row>
    <row r="263">
      <c r="A263" s="7" t="s">
        <v>4729</v>
      </c>
      <c r="B263" s="18" t="s">
        <v>4730</v>
      </c>
      <c r="C263" s="3" t="s">
        <v>4210</v>
      </c>
    </row>
    <row r="264">
      <c r="A264" s="7" t="s">
        <v>4731</v>
      </c>
      <c r="B264" s="18" t="s">
        <v>4732</v>
      </c>
      <c r="C264" s="3" t="s">
        <v>4210</v>
      </c>
    </row>
    <row r="265">
      <c r="A265" s="7" t="s">
        <v>4733</v>
      </c>
      <c r="B265" s="18" t="s">
        <v>4734</v>
      </c>
      <c r="C265" s="3" t="s">
        <v>4210</v>
      </c>
    </row>
    <row r="266">
      <c r="A266" s="7" t="s">
        <v>4735</v>
      </c>
      <c r="B266" s="18" t="s">
        <v>4736</v>
      </c>
      <c r="C266" s="3" t="s">
        <v>4210</v>
      </c>
    </row>
    <row r="267">
      <c r="A267" s="7" t="s">
        <v>4737</v>
      </c>
      <c r="B267" s="18" t="s">
        <v>4738</v>
      </c>
      <c r="C267" s="3" t="s">
        <v>4210</v>
      </c>
    </row>
    <row r="268">
      <c r="A268" s="7" t="s">
        <v>4739</v>
      </c>
      <c r="B268" s="18" t="s">
        <v>4740</v>
      </c>
      <c r="C268" s="3" t="s">
        <v>4210</v>
      </c>
    </row>
    <row r="269">
      <c r="A269" s="7" t="s">
        <v>4741</v>
      </c>
      <c r="B269" s="18" t="s">
        <v>4742</v>
      </c>
      <c r="C269" s="3" t="s">
        <v>4210</v>
      </c>
    </row>
    <row r="270">
      <c r="A270" s="7" t="s">
        <v>4743</v>
      </c>
      <c r="B270" s="18" t="s">
        <v>4744</v>
      </c>
      <c r="C270" s="3" t="s">
        <v>4210</v>
      </c>
    </row>
    <row r="271">
      <c r="A271" s="7" t="s">
        <v>4745</v>
      </c>
      <c r="B271" s="18" t="s">
        <v>4746</v>
      </c>
      <c r="C271" s="3" t="s">
        <v>4210</v>
      </c>
    </row>
    <row r="272">
      <c r="A272" s="7" t="s">
        <v>4747</v>
      </c>
      <c r="B272" s="18" t="s">
        <v>4748</v>
      </c>
      <c r="C272" s="3" t="s">
        <v>4210</v>
      </c>
    </row>
    <row r="273">
      <c r="A273" s="7" t="s">
        <v>4749</v>
      </c>
      <c r="B273" s="18" t="s">
        <v>4750</v>
      </c>
      <c r="C273" s="3" t="s">
        <v>4210</v>
      </c>
    </row>
    <row r="274">
      <c r="A274" s="7" t="s">
        <v>4751</v>
      </c>
      <c r="B274" s="18" t="s">
        <v>4752</v>
      </c>
      <c r="C274" s="3" t="s">
        <v>4210</v>
      </c>
    </row>
    <row r="275">
      <c r="A275" s="7" t="s">
        <v>4753</v>
      </c>
      <c r="B275" s="18" t="s">
        <v>4754</v>
      </c>
      <c r="C275" s="3" t="s">
        <v>4210</v>
      </c>
    </row>
    <row r="276">
      <c r="A276" s="7" t="s">
        <v>4755</v>
      </c>
      <c r="B276" s="18" t="s">
        <v>4756</v>
      </c>
      <c r="C276" s="3" t="s">
        <v>4210</v>
      </c>
    </row>
    <row r="277">
      <c r="A277" s="7" t="s">
        <v>4757</v>
      </c>
      <c r="B277" s="18" t="s">
        <v>4758</v>
      </c>
      <c r="C277" s="3" t="s">
        <v>4210</v>
      </c>
    </row>
    <row r="278">
      <c r="A278" s="7" t="s">
        <v>4759</v>
      </c>
      <c r="B278" s="18" t="s">
        <v>4760</v>
      </c>
      <c r="C278" s="3" t="s">
        <v>4210</v>
      </c>
    </row>
    <row r="279">
      <c r="A279" s="7" t="s">
        <v>4761</v>
      </c>
      <c r="B279" s="18" t="s">
        <v>4762</v>
      </c>
      <c r="C279" s="3" t="s">
        <v>4210</v>
      </c>
    </row>
    <row r="280">
      <c r="A280" s="7" t="s">
        <v>4763</v>
      </c>
      <c r="B280" s="18" t="s">
        <v>4764</v>
      </c>
      <c r="C280" s="3" t="s">
        <v>4210</v>
      </c>
    </row>
    <row r="281">
      <c r="A281" s="7" t="s">
        <v>4765</v>
      </c>
      <c r="B281" s="18" t="s">
        <v>4766</v>
      </c>
      <c r="C281" s="3" t="s">
        <v>4210</v>
      </c>
    </row>
    <row r="282">
      <c r="A282" s="7" t="s">
        <v>4767</v>
      </c>
      <c r="B282" s="18" t="s">
        <v>4768</v>
      </c>
      <c r="C282" s="3" t="s">
        <v>4210</v>
      </c>
    </row>
    <row r="283">
      <c r="A283" s="7" t="s">
        <v>4769</v>
      </c>
      <c r="B283" s="18" t="s">
        <v>4770</v>
      </c>
      <c r="C283" s="3" t="s">
        <v>4210</v>
      </c>
    </row>
    <row r="284">
      <c r="A284" s="7" t="s">
        <v>4771</v>
      </c>
      <c r="B284" s="18" t="s">
        <v>4772</v>
      </c>
      <c r="C284" s="3" t="s">
        <v>4210</v>
      </c>
    </row>
    <row r="285">
      <c r="A285" s="7" t="s">
        <v>4773</v>
      </c>
      <c r="B285" s="18" t="s">
        <v>4774</v>
      </c>
      <c r="C285" s="3" t="s">
        <v>4210</v>
      </c>
    </row>
    <row r="286">
      <c r="A286" s="7" t="s">
        <v>4775</v>
      </c>
      <c r="B286" s="18" t="s">
        <v>4776</v>
      </c>
      <c r="C286" s="3" t="s">
        <v>4210</v>
      </c>
    </row>
    <row r="287">
      <c r="A287" s="7" t="s">
        <v>4777</v>
      </c>
      <c r="B287" s="18" t="s">
        <v>4778</v>
      </c>
      <c r="C287" s="3" t="s">
        <v>4210</v>
      </c>
    </row>
    <row r="288">
      <c r="A288" s="7" t="s">
        <v>4779</v>
      </c>
      <c r="B288" s="18" t="s">
        <v>4780</v>
      </c>
      <c r="C288" s="3" t="s">
        <v>4210</v>
      </c>
    </row>
    <row r="289">
      <c r="A289" s="7" t="s">
        <v>4781</v>
      </c>
      <c r="B289" s="18" t="s">
        <v>4782</v>
      </c>
      <c r="C289" s="3" t="s">
        <v>4210</v>
      </c>
    </row>
    <row r="290">
      <c r="A290" s="7" t="s">
        <v>4783</v>
      </c>
      <c r="B290" s="18" t="s">
        <v>4784</v>
      </c>
      <c r="C290" s="3" t="s">
        <v>4210</v>
      </c>
    </row>
    <row r="291">
      <c r="A291" s="7" t="s">
        <v>4785</v>
      </c>
      <c r="B291" s="18" t="s">
        <v>4786</v>
      </c>
      <c r="C291" s="3" t="s">
        <v>4210</v>
      </c>
    </row>
    <row r="292">
      <c r="A292" s="7" t="s">
        <v>4787</v>
      </c>
      <c r="B292" s="18" t="s">
        <v>4788</v>
      </c>
      <c r="C292" s="3" t="s">
        <v>4210</v>
      </c>
    </row>
    <row r="293">
      <c r="A293" s="7" t="s">
        <v>4789</v>
      </c>
      <c r="B293" s="18" t="s">
        <v>4790</v>
      </c>
      <c r="C293" s="3" t="s">
        <v>4210</v>
      </c>
    </row>
    <row r="294">
      <c r="A294" s="7" t="s">
        <v>4791</v>
      </c>
      <c r="B294" s="18" t="s">
        <v>4792</v>
      </c>
      <c r="C294" s="3" t="s">
        <v>4210</v>
      </c>
    </row>
    <row r="295">
      <c r="A295" s="7" t="s">
        <v>4793</v>
      </c>
      <c r="B295" s="18" t="s">
        <v>4794</v>
      </c>
      <c r="C295" s="3" t="s">
        <v>4210</v>
      </c>
    </row>
    <row r="296">
      <c r="A296" s="7" t="s">
        <v>4795</v>
      </c>
      <c r="B296" s="18" t="s">
        <v>4796</v>
      </c>
      <c r="C296" s="3" t="s">
        <v>4210</v>
      </c>
    </row>
    <row r="297">
      <c r="A297" s="7" t="s">
        <v>4797</v>
      </c>
      <c r="B297" s="18" t="s">
        <v>4792</v>
      </c>
      <c r="C297" s="3" t="s">
        <v>4339</v>
      </c>
    </row>
    <row r="298">
      <c r="A298" s="7" t="s">
        <v>4798</v>
      </c>
      <c r="B298" s="18" t="s">
        <v>4799</v>
      </c>
      <c r="C298" s="3" t="s">
        <v>4210</v>
      </c>
    </row>
    <row r="299">
      <c r="A299" s="7" t="s">
        <v>4800</v>
      </c>
      <c r="B299" s="18" t="s">
        <v>4801</v>
      </c>
      <c r="C299" s="3" t="s">
        <v>4210</v>
      </c>
    </row>
    <row r="300">
      <c r="A300" s="7" t="s">
        <v>4802</v>
      </c>
      <c r="B300" s="18" t="s">
        <v>4803</v>
      </c>
      <c r="C300" s="3" t="s">
        <v>4210</v>
      </c>
    </row>
    <row r="301">
      <c r="A301" s="7" t="s">
        <v>4804</v>
      </c>
      <c r="B301" s="18" t="s">
        <v>4805</v>
      </c>
      <c r="C301" s="3" t="s">
        <v>4210</v>
      </c>
    </row>
    <row r="302">
      <c r="A302" s="7" t="s">
        <v>4806</v>
      </c>
      <c r="B302" s="18" t="s">
        <v>4807</v>
      </c>
      <c r="C302" s="3" t="s">
        <v>4210</v>
      </c>
    </row>
    <row r="303">
      <c r="A303" s="7" t="s">
        <v>4808</v>
      </c>
      <c r="B303" s="18" t="s">
        <v>4809</v>
      </c>
      <c r="C303" s="3" t="s">
        <v>4210</v>
      </c>
    </row>
    <row r="304">
      <c r="A304" s="7" t="s">
        <v>4810</v>
      </c>
      <c r="B304" s="18" t="s">
        <v>4811</v>
      </c>
      <c r="C304" s="3" t="s">
        <v>4210</v>
      </c>
    </row>
    <row r="305">
      <c r="A305" s="7" t="s">
        <v>4812</v>
      </c>
      <c r="B305" s="18" t="s">
        <v>4813</v>
      </c>
      <c r="C305" s="3" t="s">
        <v>4210</v>
      </c>
    </row>
    <row r="306">
      <c r="A306" s="7" t="s">
        <v>4814</v>
      </c>
      <c r="B306" s="18" t="s">
        <v>4815</v>
      </c>
      <c r="C306" s="3" t="s">
        <v>4210</v>
      </c>
    </row>
    <row r="307">
      <c r="A307" s="7" t="s">
        <v>4816</v>
      </c>
      <c r="B307" s="18" t="s">
        <v>4817</v>
      </c>
      <c r="C307" s="3" t="s">
        <v>4210</v>
      </c>
    </row>
    <row r="308">
      <c r="A308" s="7" t="s">
        <v>4818</v>
      </c>
      <c r="B308" s="18" t="s">
        <v>4819</v>
      </c>
      <c r="C308" s="3" t="s">
        <v>4210</v>
      </c>
    </row>
    <row r="309">
      <c r="A309" s="7" t="s">
        <v>4820</v>
      </c>
      <c r="B309" s="18" t="s">
        <v>4821</v>
      </c>
      <c r="C309" s="3" t="s">
        <v>4210</v>
      </c>
    </row>
    <row r="310">
      <c r="A310" s="7" t="s">
        <v>4814</v>
      </c>
      <c r="B310" s="18" t="s">
        <v>4815</v>
      </c>
      <c r="C310" s="3" t="s">
        <v>4210</v>
      </c>
    </row>
    <row r="311">
      <c r="A311" s="7" t="s">
        <v>4822</v>
      </c>
      <c r="B311" s="18" t="s">
        <v>4823</v>
      </c>
      <c r="C311" s="3" t="s">
        <v>4210</v>
      </c>
    </row>
    <row r="312">
      <c r="A312" s="7" t="s">
        <v>4824</v>
      </c>
      <c r="B312" s="18" t="s">
        <v>4825</v>
      </c>
      <c r="C312" s="3" t="s">
        <v>4210</v>
      </c>
    </row>
    <row r="313">
      <c r="A313" s="7" t="s">
        <v>4826</v>
      </c>
      <c r="B313" s="18" t="s">
        <v>4827</v>
      </c>
      <c r="C313" s="3" t="s">
        <v>4210</v>
      </c>
    </row>
    <row r="314">
      <c r="A314" s="7" t="s">
        <v>4828</v>
      </c>
      <c r="B314" s="18" t="s">
        <v>4829</v>
      </c>
      <c r="C314" s="3" t="s">
        <v>4210</v>
      </c>
    </row>
    <row r="315">
      <c r="A315" s="7" t="s">
        <v>4812</v>
      </c>
      <c r="B315" s="18" t="s">
        <v>4813</v>
      </c>
      <c r="C315" s="3" t="s">
        <v>4339</v>
      </c>
    </row>
    <row r="316">
      <c r="A316" s="7" t="s">
        <v>4830</v>
      </c>
      <c r="B316" s="18" t="s">
        <v>4831</v>
      </c>
      <c r="C316" s="3" t="s">
        <v>4210</v>
      </c>
    </row>
    <row r="317">
      <c r="A317" s="7" t="s">
        <v>4832</v>
      </c>
      <c r="B317" s="18" t="s">
        <v>4833</v>
      </c>
      <c r="C317" s="3" t="s">
        <v>4210</v>
      </c>
    </row>
    <row r="318">
      <c r="A318" s="7" t="s">
        <v>4834</v>
      </c>
      <c r="B318" s="18" t="s">
        <v>4835</v>
      </c>
      <c r="C318" s="3" t="s">
        <v>4210</v>
      </c>
    </row>
    <row r="319">
      <c r="A319" s="7" t="s">
        <v>4836</v>
      </c>
      <c r="B319" s="18" t="s">
        <v>4837</v>
      </c>
      <c r="C319" s="3" t="s">
        <v>4210</v>
      </c>
    </row>
    <row r="320">
      <c r="A320" s="7" t="s">
        <v>4838</v>
      </c>
      <c r="B320" s="18" t="s">
        <v>4839</v>
      </c>
      <c r="C320" s="3" t="s">
        <v>4210</v>
      </c>
    </row>
    <row r="321">
      <c r="A321" s="7" t="s">
        <v>4840</v>
      </c>
      <c r="B321" s="18" t="s">
        <v>4841</v>
      </c>
      <c r="C321" s="3" t="s">
        <v>4210</v>
      </c>
    </row>
    <row r="322">
      <c r="A322" s="7" t="s">
        <v>4842</v>
      </c>
      <c r="B322" s="18" t="s">
        <v>4843</v>
      </c>
      <c r="C322" s="3" t="s">
        <v>4210</v>
      </c>
    </row>
    <row r="323">
      <c r="A323" s="7" t="s">
        <v>4844</v>
      </c>
      <c r="B323" s="18" t="s">
        <v>4845</v>
      </c>
      <c r="C323" s="3" t="s">
        <v>4210</v>
      </c>
    </row>
    <row r="324">
      <c r="A324" s="7" t="s">
        <v>4846</v>
      </c>
      <c r="B324" s="18" t="s">
        <v>4847</v>
      </c>
      <c r="C324" s="3" t="s">
        <v>4210</v>
      </c>
    </row>
    <row r="325">
      <c r="A325" s="7" t="s">
        <v>4848</v>
      </c>
      <c r="B325" s="18" t="s">
        <v>4849</v>
      </c>
      <c r="C325" s="3" t="s">
        <v>4210</v>
      </c>
    </row>
    <row r="326">
      <c r="A326" s="7" t="s">
        <v>4850</v>
      </c>
      <c r="B326" s="18" t="s">
        <v>4851</v>
      </c>
      <c r="C326" s="3" t="s">
        <v>4210</v>
      </c>
    </row>
    <row r="327">
      <c r="A327" s="7" t="s">
        <v>4852</v>
      </c>
      <c r="B327" s="18" t="s">
        <v>4853</v>
      </c>
      <c r="C327" s="3" t="s">
        <v>4210</v>
      </c>
    </row>
    <row r="328">
      <c r="A328" s="7" t="s">
        <v>4854</v>
      </c>
      <c r="B328" s="18" t="s">
        <v>4855</v>
      </c>
      <c r="C328" s="3" t="s">
        <v>4210</v>
      </c>
    </row>
    <row r="329">
      <c r="A329" s="7" t="s">
        <v>4856</v>
      </c>
      <c r="B329" s="18" t="s">
        <v>4857</v>
      </c>
      <c r="C329" s="3" t="s">
        <v>4210</v>
      </c>
    </row>
    <row r="330">
      <c r="A330" s="7" t="s">
        <v>4858</v>
      </c>
      <c r="B330" s="18" t="s">
        <v>4859</v>
      </c>
      <c r="C330" s="3" t="s">
        <v>4210</v>
      </c>
    </row>
    <row r="331">
      <c r="A331" s="7" t="s">
        <v>4860</v>
      </c>
      <c r="B331" s="18" t="s">
        <v>4861</v>
      </c>
      <c r="C331" s="3" t="s">
        <v>4210</v>
      </c>
    </row>
    <row r="332">
      <c r="A332" s="7" t="s">
        <v>4862</v>
      </c>
      <c r="B332" s="18" t="s">
        <v>4863</v>
      </c>
      <c r="C332" s="3" t="s">
        <v>4210</v>
      </c>
    </row>
    <row r="333">
      <c r="A333" s="7" t="s">
        <v>4864</v>
      </c>
      <c r="B333" s="18" t="s">
        <v>4865</v>
      </c>
      <c r="C333" s="3" t="s">
        <v>4210</v>
      </c>
    </row>
    <row r="334">
      <c r="A334" s="7" t="s">
        <v>4866</v>
      </c>
      <c r="B334" s="18" t="s">
        <v>4867</v>
      </c>
      <c r="C334" s="3" t="s">
        <v>4210</v>
      </c>
    </row>
    <row r="335">
      <c r="A335" s="7" t="s">
        <v>4868</v>
      </c>
      <c r="B335" s="18" t="s">
        <v>4869</v>
      </c>
      <c r="C335" s="3" t="s">
        <v>4210</v>
      </c>
    </row>
    <row r="336">
      <c r="A336" s="7" t="s">
        <v>4870</v>
      </c>
      <c r="B336" s="18" t="s">
        <v>4871</v>
      </c>
      <c r="C336" s="3" t="s">
        <v>4210</v>
      </c>
    </row>
    <row r="337">
      <c r="A337" s="7" t="s">
        <v>4872</v>
      </c>
      <c r="B337" s="18" t="s">
        <v>4873</v>
      </c>
      <c r="C337" s="3" t="s">
        <v>4210</v>
      </c>
    </row>
    <row r="338">
      <c r="A338" s="7" t="s">
        <v>4874</v>
      </c>
      <c r="B338" s="18" t="s">
        <v>4875</v>
      </c>
      <c r="C338" s="3" t="s">
        <v>4210</v>
      </c>
    </row>
    <row r="339">
      <c r="A339" s="7" t="s">
        <v>4876</v>
      </c>
      <c r="B339" s="18" t="s">
        <v>4877</v>
      </c>
      <c r="C339" s="3" t="s">
        <v>4210</v>
      </c>
    </row>
    <row r="340">
      <c r="A340" s="7" t="s">
        <v>4878</v>
      </c>
      <c r="B340" s="18" t="s">
        <v>4879</v>
      </c>
      <c r="C340" s="3" t="s">
        <v>4210</v>
      </c>
    </row>
    <row r="341">
      <c r="A341" s="7" t="s">
        <v>4880</v>
      </c>
      <c r="B341" s="18" t="s">
        <v>4881</v>
      </c>
      <c r="C341" s="3" t="s">
        <v>4210</v>
      </c>
    </row>
    <row r="342">
      <c r="A342" s="7" t="s">
        <v>4882</v>
      </c>
      <c r="B342" s="18" t="s">
        <v>4883</v>
      </c>
      <c r="C342" s="3" t="s">
        <v>4210</v>
      </c>
    </row>
    <row r="343">
      <c r="A343" s="7" t="s">
        <v>4884</v>
      </c>
      <c r="B343" s="18" t="s">
        <v>4885</v>
      </c>
      <c r="C343" s="3" t="s">
        <v>4210</v>
      </c>
    </row>
    <row r="344">
      <c r="A344" s="7" t="s">
        <v>4886</v>
      </c>
      <c r="B344" s="18" t="s">
        <v>4887</v>
      </c>
      <c r="C344" s="3" t="s">
        <v>4210</v>
      </c>
    </row>
    <row r="345">
      <c r="A345" s="7" t="s">
        <v>4888</v>
      </c>
      <c r="B345" s="18" t="s">
        <v>4379</v>
      </c>
      <c r="C345" s="3" t="s">
        <v>4339</v>
      </c>
    </row>
    <row r="346">
      <c r="A346" s="7" t="s">
        <v>4889</v>
      </c>
      <c r="B346" s="18" t="s">
        <v>4890</v>
      </c>
      <c r="C346" s="3" t="s">
        <v>4210</v>
      </c>
    </row>
    <row r="347">
      <c r="A347" s="7" t="s">
        <v>4891</v>
      </c>
      <c r="B347" s="18" t="s">
        <v>4892</v>
      </c>
      <c r="C347" s="3" t="s">
        <v>4210</v>
      </c>
    </row>
    <row r="348">
      <c r="A348" s="7" t="s">
        <v>4893</v>
      </c>
      <c r="B348" s="18" t="s">
        <v>4894</v>
      </c>
      <c r="C348" s="3" t="s">
        <v>4210</v>
      </c>
    </row>
    <row r="349">
      <c r="A349" s="7" t="s">
        <v>4895</v>
      </c>
      <c r="B349" s="18" t="s">
        <v>4896</v>
      </c>
      <c r="C349" s="3" t="s">
        <v>4210</v>
      </c>
    </row>
    <row r="350">
      <c r="A350" s="7" t="s">
        <v>4897</v>
      </c>
      <c r="B350" s="18" t="s">
        <v>4898</v>
      </c>
      <c r="C350" s="3" t="s">
        <v>4210</v>
      </c>
    </row>
    <row r="351">
      <c r="A351" s="7" t="s">
        <v>4899</v>
      </c>
      <c r="B351" s="18" t="s">
        <v>4900</v>
      </c>
      <c r="C351" s="3" t="s">
        <v>4210</v>
      </c>
    </row>
    <row r="352">
      <c r="A352" s="7" t="s">
        <v>4901</v>
      </c>
      <c r="B352" s="18" t="s">
        <v>4902</v>
      </c>
      <c r="C352" s="3" t="s">
        <v>4210</v>
      </c>
    </row>
    <row r="353">
      <c r="A353" s="7" t="s">
        <v>4903</v>
      </c>
      <c r="B353" s="18" t="s">
        <v>4904</v>
      </c>
      <c r="C353" s="3" t="s">
        <v>4210</v>
      </c>
    </row>
    <row r="354">
      <c r="A354" s="7" t="s">
        <v>4905</v>
      </c>
      <c r="B354" s="18" t="s">
        <v>4906</v>
      </c>
      <c r="C354" s="3" t="s">
        <v>4210</v>
      </c>
    </row>
    <row r="355">
      <c r="A355" s="7" t="s">
        <v>4907</v>
      </c>
      <c r="B355" s="18" t="s">
        <v>4908</v>
      </c>
      <c r="C355" s="3" t="s">
        <v>4210</v>
      </c>
    </row>
    <row r="356">
      <c r="A356" s="7" t="s">
        <v>4909</v>
      </c>
      <c r="B356" s="18" t="s">
        <v>4910</v>
      </c>
      <c r="C356" s="3" t="s">
        <v>4210</v>
      </c>
    </row>
    <row r="357">
      <c r="A357" s="7" t="s">
        <v>4911</v>
      </c>
      <c r="B357" s="18" t="s">
        <v>4912</v>
      </c>
      <c r="C357" s="3" t="s">
        <v>4210</v>
      </c>
    </row>
    <row r="358">
      <c r="A358" s="7" t="s">
        <v>4913</v>
      </c>
      <c r="B358" s="18" t="s">
        <v>4914</v>
      </c>
      <c r="C358" s="3" t="s">
        <v>4210</v>
      </c>
    </row>
    <row r="359">
      <c r="A359" s="7" t="s">
        <v>4915</v>
      </c>
      <c r="B359" s="18" t="s">
        <v>4916</v>
      </c>
      <c r="C359" s="3" t="s">
        <v>4210</v>
      </c>
    </row>
    <row r="360">
      <c r="A360" s="7" t="s">
        <v>4917</v>
      </c>
      <c r="B360" s="18" t="s">
        <v>4918</v>
      </c>
      <c r="C360" s="3" t="s">
        <v>4210</v>
      </c>
    </row>
    <row r="361">
      <c r="A361" s="7" t="s">
        <v>4919</v>
      </c>
      <c r="B361" s="18" t="s">
        <v>4920</v>
      </c>
      <c r="C361" s="3" t="s">
        <v>4210</v>
      </c>
    </row>
    <row r="362">
      <c r="A362" s="7" t="s">
        <v>4921</v>
      </c>
      <c r="B362" s="18" t="s">
        <v>4922</v>
      </c>
      <c r="C362" s="3" t="s">
        <v>4210</v>
      </c>
    </row>
    <row r="363">
      <c r="A363" s="7" t="s">
        <v>4923</v>
      </c>
      <c r="B363" s="18" t="s">
        <v>4924</v>
      </c>
      <c r="C363" s="3" t="s">
        <v>4210</v>
      </c>
    </row>
    <row r="364">
      <c r="A364" s="7" t="s">
        <v>4925</v>
      </c>
      <c r="B364" s="18" t="s">
        <v>4488</v>
      </c>
      <c r="C364" s="3" t="s">
        <v>4210</v>
      </c>
    </row>
    <row r="365">
      <c r="A365" s="7" t="s">
        <v>4926</v>
      </c>
      <c r="B365" s="18" t="s">
        <v>4927</v>
      </c>
      <c r="C365" s="3" t="s">
        <v>4210</v>
      </c>
    </row>
    <row r="366">
      <c r="A366" s="7" t="s">
        <v>4928</v>
      </c>
      <c r="B366" s="18" t="s">
        <v>4929</v>
      </c>
      <c r="C366" s="3" t="s">
        <v>4210</v>
      </c>
    </row>
    <row r="367">
      <c r="A367" s="7" t="s">
        <v>4930</v>
      </c>
      <c r="B367" s="18" t="s">
        <v>4931</v>
      </c>
      <c r="C367" s="3" t="s">
        <v>4210</v>
      </c>
    </row>
    <row r="368">
      <c r="A368" s="7" t="s">
        <v>4932</v>
      </c>
      <c r="B368" s="18" t="s">
        <v>4933</v>
      </c>
      <c r="C368" s="3" t="s">
        <v>4210</v>
      </c>
    </row>
    <row r="369">
      <c r="A369" s="7" t="s">
        <v>4934</v>
      </c>
      <c r="B369" s="18" t="s">
        <v>4935</v>
      </c>
      <c r="C369" s="3" t="s">
        <v>4210</v>
      </c>
    </row>
    <row r="370">
      <c r="A370" s="7" t="s">
        <v>4936</v>
      </c>
      <c r="B370" s="18" t="s">
        <v>4937</v>
      </c>
      <c r="C370" s="3" t="s">
        <v>4210</v>
      </c>
    </row>
    <row r="371">
      <c r="A371" s="7" t="s">
        <v>4938</v>
      </c>
      <c r="B371" s="18" t="s">
        <v>4939</v>
      </c>
      <c r="C371" s="3" t="s">
        <v>4210</v>
      </c>
    </row>
    <row r="372">
      <c r="A372" s="7" t="s">
        <v>4940</v>
      </c>
      <c r="B372" s="18" t="s">
        <v>4941</v>
      </c>
      <c r="C372" s="3" t="s">
        <v>4210</v>
      </c>
    </row>
    <row r="373">
      <c r="A373" s="7" t="s">
        <v>4942</v>
      </c>
      <c r="B373" s="18" t="s">
        <v>4943</v>
      </c>
      <c r="C373" s="3" t="s">
        <v>4210</v>
      </c>
    </row>
    <row r="374">
      <c r="A374" s="7" t="s">
        <v>4944</v>
      </c>
      <c r="B374" s="18" t="s">
        <v>4945</v>
      </c>
      <c r="C374" s="3" t="s">
        <v>4210</v>
      </c>
    </row>
    <row r="375">
      <c r="A375" s="7" t="s">
        <v>4946</v>
      </c>
      <c r="B375" s="18" t="s">
        <v>4947</v>
      </c>
      <c r="C375" s="3" t="s">
        <v>4210</v>
      </c>
    </row>
    <row r="376">
      <c r="A376" s="7" t="s">
        <v>4948</v>
      </c>
      <c r="B376" s="18" t="s">
        <v>4949</v>
      </c>
      <c r="C376" s="3" t="s">
        <v>4210</v>
      </c>
    </row>
    <row r="377">
      <c r="A377" s="7" t="s">
        <v>4950</v>
      </c>
      <c r="B377" s="18" t="s">
        <v>4951</v>
      </c>
      <c r="C377" s="3" t="s">
        <v>4210</v>
      </c>
    </row>
    <row r="378">
      <c r="A378" s="7" t="s">
        <v>4952</v>
      </c>
      <c r="B378" s="18" t="s">
        <v>4953</v>
      </c>
      <c r="C378" s="3" t="s">
        <v>4210</v>
      </c>
    </row>
    <row r="379">
      <c r="A379" s="7" t="s">
        <v>4954</v>
      </c>
      <c r="B379" s="18" t="s">
        <v>4955</v>
      </c>
      <c r="C379" s="3" t="s">
        <v>4210</v>
      </c>
    </row>
    <row r="380">
      <c r="A380" s="7" t="s">
        <v>4956</v>
      </c>
      <c r="B380" s="18" t="s">
        <v>4957</v>
      </c>
      <c r="C380" s="3" t="s">
        <v>4210</v>
      </c>
    </row>
    <row r="381">
      <c r="A381" s="7" t="s">
        <v>4958</v>
      </c>
      <c r="B381" s="18" t="s">
        <v>4959</v>
      </c>
      <c r="C381" s="3" t="s">
        <v>4210</v>
      </c>
    </row>
    <row r="382">
      <c r="A382" s="7" t="s">
        <v>4960</v>
      </c>
      <c r="B382" s="18" t="s">
        <v>4961</v>
      </c>
      <c r="C382" s="3" t="s">
        <v>4210</v>
      </c>
    </row>
    <row r="383">
      <c r="A383" s="7" t="s">
        <v>4962</v>
      </c>
      <c r="B383" s="18" t="s">
        <v>4963</v>
      </c>
      <c r="C383" s="3" t="s">
        <v>4210</v>
      </c>
    </row>
    <row r="384">
      <c r="A384" s="7" t="s">
        <v>4964</v>
      </c>
      <c r="B384" s="18" t="s">
        <v>4965</v>
      </c>
      <c r="C384" s="3" t="s">
        <v>4210</v>
      </c>
    </row>
    <row r="385">
      <c r="A385" s="7" t="s">
        <v>4966</v>
      </c>
      <c r="B385" s="18" t="s">
        <v>4967</v>
      </c>
      <c r="C385" s="3" t="s">
        <v>4210</v>
      </c>
    </row>
    <row r="386">
      <c r="A386" s="7" t="s">
        <v>4968</v>
      </c>
      <c r="B386" s="18" t="s">
        <v>4969</v>
      </c>
      <c r="C386" s="3" t="s">
        <v>4210</v>
      </c>
    </row>
    <row r="387">
      <c r="A387" s="7" t="s">
        <v>4970</v>
      </c>
      <c r="B387" s="18" t="s">
        <v>4971</v>
      </c>
      <c r="C387" s="3" t="s">
        <v>4210</v>
      </c>
    </row>
    <row r="388">
      <c r="A388" s="7" t="s">
        <v>4972</v>
      </c>
      <c r="B388" s="18" t="s">
        <v>4973</v>
      </c>
      <c r="C388" s="3" t="s">
        <v>4210</v>
      </c>
    </row>
    <row r="389">
      <c r="A389" s="7" t="s">
        <v>4974</v>
      </c>
      <c r="B389" s="18" t="s">
        <v>4975</v>
      </c>
      <c r="C389" s="3" t="s">
        <v>4210</v>
      </c>
    </row>
    <row r="390">
      <c r="A390" s="7" t="s">
        <v>4976</v>
      </c>
      <c r="B390" s="18" t="s">
        <v>4977</v>
      </c>
      <c r="C390" s="3" t="s">
        <v>4210</v>
      </c>
    </row>
    <row r="391">
      <c r="A391" s="7" t="s">
        <v>4978</v>
      </c>
      <c r="B391" s="18" t="s">
        <v>4979</v>
      </c>
      <c r="C391" s="3" t="s">
        <v>4210</v>
      </c>
    </row>
    <row r="392">
      <c r="A392" s="7" t="s">
        <v>4980</v>
      </c>
      <c r="B392" s="18" t="s">
        <v>4981</v>
      </c>
      <c r="C392" s="3" t="s">
        <v>4210</v>
      </c>
    </row>
    <row r="393">
      <c r="A393" s="7" t="s">
        <v>4982</v>
      </c>
      <c r="B393" s="18" t="s">
        <v>4983</v>
      </c>
      <c r="C393" s="3" t="s">
        <v>4210</v>
      </c>
    </row>
    <row r="394">
      <c r="A394" s="7" t="s">
        <v>4984</v>
      </c>
      <c r="B394" s="18" t="s">
        <v>4985</v>
      </c>
      <c r="C394" s="3" t="s">
        <v>4210</v>
      </c>
    </row>
    <row r="395">
      <c r="A395" s="7" t="s">
        <v>4986</v>
      </c>
      <c r="B395" s="18" t="s">
        <v>4987</v>
      </c>
      <c r="C395" s="3" t="s">
        <v>4210</v>
      </c>
    </row>
    <row r="396">
      <c r="A396" s="7" t="s">
        <v>4988</v>
      </c>
      <c r="B396" s="18" t="s">
        <v>4989</v>
      </c>
      <c r="C396" s="3" t="s">
        <v>4210</v>
      </c>
    </row>
    <row r="397">
      <c r="A397" s="7" t="s">
        <v>4990</v>
      </c>
      <c r="B397" s="18" t="s">
        <v>4991</v>
      </c>
      <c r="C397" s="3" t="s">
        <v>4210</v>
      </c>
    </row>
    <row r="398">
      <c r="A398" s="7" t="s">
        <v>4992</v>
      </c>
      <c r="B398" s="18" t="s">
        <v>4993</v>
      </c>
      <c r="C398" s="3" t="s">
        <v>4210</v>
      </c>
    </row>
    <row r="399">
      <c r="A399" s="7" t="s">
        <v>4994</v>
      </c>
      <c r="B399" s="18" t="s">
        <v>4995</v>
      </c>
      <c r="C399" s="3" t="s">
        <v>4210</v>
      </c>
    </row>
    <row r="400">
      <c r="A400" s="7" t="s">
        <v>4996</v>
      </c>
      <c r="B400" s="18" t="s">
        <v>4997</v>
      </c>
      <c r="C400" s="3" t="s">
        <v>4210</v>
      </c>
    </row>
    <row r="401">
      <c r="A401" s="7" t="s">
        <v>4998</v>
      </c>
      <c r="B401" s="18" t="s">
        <v>4999</v>
      </c>
      <c r="C401" s="3" t="s">
        <v>4210</v>
      </c>
    </row>
    <row r="402">
      <c r="A402" s="7" t="s">
        <v>5000</v>
      </c>
      <c r="B402" s="18" t="s">
        <v>5001</v>
      </c>
      <c r="C402" s="3" t="s">
        <v>4210</v>
      </c>
    </row>
    <row r="403">
      <c r="A403" s="7" t="s">
        <v>5002</v>
      </c>
      <c r="B403" s="18" t="s">
        <v>5003</v>
      </c>
      <c r="C403" s="3" t="s">
        <v>4210</v>
      </c>
    </row>
    <row r="404">
      <c r="A404" s="7" t="s">
        <v>5004</v>
      </c>
      <c r="B404" s="18" t="s">
        <v>5005</v>
      </c>
      <c r="C404" s="3" t="s">
        <v>4210</v>
      </c>
    </row>
    <row r="405">
      <c r="A405" s="7" t="s">
        <v>5006</v>
      </c>
      <c r="B405" s="18" t="s">
        <v>5007</v>
      </c>
      <c r="C405" s="3" t="s">
        <v>4210</v>
      </c>
    </row>
    <row r="406">
      <c r="A406" s="7" t="s">
        <v>5008</v>
      </c>
      <c r="B406" s="18" t="s">
        <v>5009</v>
      </c>
      <c r="C406" s="3" t="s">
        <v>4210</v>
      </c>
    </row>
    <row r="407">
      <c r="A407" s="7" t="s">
        <v>5010</v>
      </c>
      <c r="B407" s="18" t="s">
        <v>5011</v>
      </c>
      <c r="C407" s="3" t="s">
        <v>4210</v>
      </c>
    </row>
    <row r="408">
      <c r="A408" s="7" t="s">
        <v>5012</v>
      </c>
      <c r="B408" s="18" t="s">
        <v>5013</v>
      </c>
      <c r="C408" s="3" t="s">
        <v>4210</v>
      </c>
    </row>
    <row r="409">
      <c r="A409" s="7" t="s">
        <v>5014</v>
      </c>
      <c r="B409" s="18" t="s">
        <v>5015</v>
      </c>
      <c r="C409" s="3" t="s">
        <v>4210</v>
      </c>
    </row>
    <row r="410">
      <c r="A410" s="7" t="s">
        <v>5016</v>
      </c>
      <c r="B410" s="18" t="s">
        <v>5017</v>
      </c>
      <c r="C410" s="3" t="s">
        <v>4210</v>
      </c>
    </row>
    <row r="411">
      <c r="A411" s="7" t="s">
        <v>5018</v>
      </c>
      <c r="B411" s="18" t="s">
        <v>5019</v>
      </c>
      <c r="C411" s="3" t="s">
        <v>4210</v>
      </c>
    </row>
    <row r="412">
      <c r="A412" s="7" t="s">
        <v>5020</v>
      </c>
      <c r="B412" s="18" t="s">
        <v>5021</v>
      </c>
      <c r="C412" s="3" t="s">
        <v>4210</v>
      </c>
    </row>
    <row r="413">
      <c r="A413" s="7" t="s">
        <v>5022</v>
      </c>
      <c r="B413" s="18" t="s">
        <v>5023</v>
      </c>
      <c r="C413" s="3" t="s">
        <v>4210</v>
      </c>
    </row>
    <row r="414">
      <c r="A414" s="7" t="s">
        <v>5024</v>
      </c>
      <c r="B414" s="18" t="s">
        <v>5025</v>
      </c>
      <c r="C414" s="3" t="s">
        <v>4210</v>
      </c>
    </row>
    <row r="415">
      <c r="A415" s="7" t="s">
        <v>5026</v>
      </c>
      <c r="B415" s="18" t="s">
        <v>5027</v>
      </c>
      <c r="C415" s="3" t="s">
        <v>4210</v>
      </c>
    </row>
    <row r="416">
      <c r="A416" s="7" t="s">
        <v>5028</v>
      </c>
      <c r="B416" s="18" t="s">
        <v>4847</v>
      </c>
      <c r="C416" s="3" t="s">
        <v>4339</v>
      </c>
    </row>
    <row r="417">
      <c r="A417" s="7" t="s">
        <v>5029</v>
      </c>
      <c r="B417" s="18" t="s">
        <v>5030</v>
      </c>
      <c r="C417" s="3" t="s">
        <v>4210</v>
      </c>
    </row>
    <row r="418">
      <c r="A418" s="7" t="s">
        <v>5031</v>
      </c>
      <c r="B418" s="18" t="s">
        <v>5032</v>
      </c>
      <c r="C418" s="3" t="s">
        <v>4210</v>
      </c>
    </row>
    <row r="419">
      <c r="A419" s="7" t="s">
        <v>5033</v>
      </c>
      <c r="B419" s="18" t="s">
        <v>5034</v>
      </c>
      <c r="C419" s="3" t="s">
        <v>4210</v>
      </c>
    </row>
    <row r="420">
      <c r="A420" s="7" t="s">
        <v>5035</v>
      </c>
      <c r="B420" s="18" t="s">
        <v>5036</v>
      </c>
      <c r="C420" s="3" t="s">
        <v>4210</v>
      </c>
    </row>
    <row r="421">
      <c r="A421" s="7" t="s">
        <v>5037</v>
      </c>
      <c r="B421" s="18" t="s">
        <v>5038</v>
      </c>
      <c r="C421" s="3" t="s">
        <v>4210</v>
      </c>
    </row>
    <row r="422">
      <c r="A422" s="7" t="s">
        <v>5039</v>
      </c>
      <c r="B422" s="18" t="s">
        <v>5040</v>
      </c>
      <c r="C422" s="3" t="s">
        <v>4210</v>
      </c>
    </row>
    <row r="423">
      <c r="A423" s="7" t="s">
        <v>5041</v>
      </c>
      <c r="B423" s="18" t="s">
        <v>5042</v>
      </c>
      <c r="C423" s="3" t="s">
        <v>4210</v>
      </c>
    </row>
    <row r="424">
      <c r="A424" s="7" t="s">
        <v>5043</v>
      </c>
      <c r="B424" s="18" t="s">
        <v>5044</v>
      </c>
      <c r="C424" s="3" t="s">
        <v>4210</v>
      </c>
    </row>
    <row r="425">
      <c r="A425" s="7" t="s">
        <v>5045</v>
      </c>
      <c r="B425" s="18" t="s">
        <v>5046</v>
      </c>
      <c r="C425" s="3" t="s">
        <v>4210</v>
      </c>
    </row>
    <row r="426">
      <c r="A426" s="7" t="s">
        <v>5047</v>
      </c>
      <c r="B426" s="18" t="s">
        <v>5048</v>
      </c>
      <c r="C426" s="3" t="s">
        <v>4210</v>
      </c>
    </row>
    <row r="427">
      <c r="A427" s="7" t="s">
        <v>5049</v>
      </c>
      <c r="B427" s="18" t="s">
        <v>5050</v>
      </c>
      <c r="C427" s="3" t="s">
        <v>4210</v>
      </c>
    </row>
    <row r="428">
      <c r="A428" s="7" t="s">
        <v>5051</v>
      </c>
      <c r="B428" s="18" t="s">
        <v>5052</v>
      </c>
      <c r="C428" s="3" t="s">
        <v>4210</v>
      </c>
    </row>
    <row r="429">
      <c r="A429" s="7" t="s">
        <v>5053</v>
      </c>
      <c r="B429" s="18" t="s">
        <v>5054</v>
      </c>
      <c r="C429" s="3" t="s">
        <v>4210</v>
      </c>
    </row>
    <row r="430">
      <c r="A430" s="7" t="s">
        <v>5055</v>
      </c>
      <c r="B430" s="18" t="s">
        <v>5056</v>
      </c>
      <c r="C430" s="3" t="s">
        <v>4210</v>
      </c>
    </row>
    <row r="431">
      <c r="A431" s="7" t="s">
        <v>5057</v>
      </c>
      <c r="B431" s="18" t="s">
        <v>5058</v>
      </c>
      <c r="C431" s="3" t="s">
        <v>4210</v>
      </c>
    </row>
    <row r="432">
      <c r="A432" s="7" t="s">
        <v>5059</v>
      </c>
      <c r="B432" s="18" t="s">
        <v>5060</v>
      </c>
      <c r="C432" s="3" t="s">
        <v>4210</v>
      </c>
    </row>
    <row r="433">
      <c r="A433" s="7" t="s">
        <v>5061</v>
      </c>
      <c r="B433" s="18" t="s">
        <v>5062</v>
      </c>
      <c r="C433" s="3" t="s">
        <v>4210</v>
      </c>
    </row>
    <row r="434">
      <c r="A434" s="7" t="s">
        <v>5063</v>
      </c>
      <c r="B434" s="18" t="s">
        <v>5064</v>
      </c>
      <c r="C434" s="3" t="s">
        <v>4210</v>
      </c>
    </row>
    <row r="435">
      <c r="A435" s="7" t="s">
        <v>5065</v>
      </c>
      <c r="B435" s="18" t="s">
        <v>5066</v>
      </c>
      <c r="C435" s="3" t="s">
        <v>4210</v>
      </c>
    </row>
    <row r="436">
      <c r="A436" s="7" t="s">
        <v>5067</v>
      </c>
      <c r="B436" s="18" t="s">
        <v>5068</v>
      </c>
      <c r="C436" s="3" t="s">
        <v>4210</v>
      </c>
    </row>
    <row r="437">
      <c r="A437" s="7" t="s">
        <v>5069</v>
      </c>
      <c r="B437" s="18" t="s">
        <v>4750</v>
      </c>
      <c r="C437" s="3" t="s">
        <v>4339</v>
      </c>
    </row>
    <row r="438">
      <c r="A438" s="7" t="s">
        <v>5070</v>
      </c>
      <c r="B438" s="18" t="s">
        <v>5071</v>
      </c>
      <c r="C438" s="3" t="s">
        <v>4210</v>
      </c>
    </row>
    <row r="439">
      <c r="A439" s="7" t="s">
        <v>5072</v>
      </c>
      <c r="B439" s="18" t="s">
        <v>5073</v>
      </c>
      <c r="C439" s="3" t="s">
        <v>4210</v>
      </c>
    </row>
    <row r="440">
      <c r="A440" s="7" t="s">
        <v>5074</v>
      </c>
      <c r="B440" s="18" t="s">
        <v>5075</v>
      </c>
      <c r="C440" s="3" t="s">
        <v>4210</v>
      </c>
    </row>
    <row r="441">
      <c r="A441" s="7" t="s">
        <v>5076</v>
      </c>
      <c r="B441" s="18" t="s">
        <v>5077</v>
      </c>
      <c r="C441" s="3" t="s">
        <v>4210</v>
      </c>
    </row>
    <row r="442">
      <c r="A442" s="7" t="s">
        <v>5078</v>
      </c>
      <c r="B442" s="18" t="s">
        <v>5079</v>
      </c>
      <c r="C442" s="3" t="s">
        <v>4210</v>
      </c>
    </row>
    <row r="443">
      <c r="A443" s="7" t="s">
        <v>5080</v>
      </c>
      <c r="B443" s="18" t="s">
        <v>5081</v>
      </c>
      <c r="C443" s="3" t="s">
        <v>4210</v>
      </c>
    </row>
    <row r="444">
      <c r="A444" s="7" t="s">
        <v>5082</v>
      </c>
      <c r="B444" s="18" t="s">
        <v>5083</v>
      </c>
      <c r="C444" s="3" t="s">
        <v>4210</v>
      </c>
    </row>
    <row r="445">
      <c r="A445" s="7" t="s">
        <v>5084</v>
      </c>
      <c r="B445" s="18" t="s">
        <v>5085</v>
      </c>
      <c r="C445" s="3" t="s">
        <v>4210</v>
      </c>
    </row>
    <row r="446">
      <c r="A446" s="7" t="s">
        <v>5086</v>
      </c>
      <c r="B446" s="18" t="s">
        <v>5087</v>
      </c>
      <c r="C446" s="3" t="s">
        <v>4210</v>
      </c>
    </row>
    <row r="447">
      <c r="A447" s="7" t="s">
        <v>5088</v>
      </c>
      <c r="B447" s="18" t="s">
        <v>5089</v>
      </c>
      <c r="C447" s="3" t="s">
        <v>4210</v>
      </c>
    </row>
    <row r="448">
      <c r="A448" s="7" t="s">
        <v>5090</v>
      </c>
      <c r="B448" s="18" t="s">
        <v>5091</v>
      </c>
      <c r="C448" s="3" t="s">
        <v>4210</v>
      </c>
    </row>
    <row r="449">
      <c r="A449" s="7" t="s">
        <v>5092</v>
      </c>
      <c r="B449" s="18" t="s">
        <v>5093</v>
      </c>
      <c r="C449" s="3" t="s">
        <v>4210</v>
      </c>
    </row>
    <row r="450">
      <c r="A450" s="7" t="s">
        <v>5094</v>
      </c>
      <c r="B450" s="18" t="s">
        <v>5095</v>
      </c>
      <c r="C450" s="3" t="s">
        <v>4210</v>
      </c>
    </row>
    <row r="451">
      <c r="A451" s="7" t="s">
        <v>5096</v>
      </c>
      <c r="B451" s="18" t="s">
        <v>5097</v>
      </c>
      <c r="C451" s="3" t="s">
        <v>4210</v>
      </c>
    </row>
    <row r="452">
      <c r="A452" s="7" t="s">
        <v>5098</v>
      </c>
      <c r="B452" s="18" t="s">
        <v>5099</v>
      </c>
      <c r="C452" s="3" t="s">
        <v>4210</v>
      </c>
    </row>
    <row r="453">
      <c r="A453" s="7" t="s">
        <v>5100</v>
      </c>
      <c r="B453" s="18" t="s">
        <v>5101</v>
      </c>
      <c r="C453" s="3" t="s">
        <v>4210</v>
      </c>
    </row>
    <row r="454">
      <c r="A454" s="7" t="s">
        <v>5102</v>
      </c>
      <c r="B454" s="18" t="s">
        <v>5103</v>
      </c>
      <c r="C454" s="3" t="s">
        <v>4210</v>
      </c>
    </row>
    <row r="455">
      <c r="A455" s="7" t="s">
        <v>5104</v>
      </c>
      <c r="B455" s="18" t="s">
        <v>5105</v>
      </c>
      <c r="C455" s="3" t="s">
        <v>4210</v>
      </c>
    </row>
    <row r="456">
      <c r="A456" s="7" t="s">
        <v>5106</v>
      </c>
      <c r="B456" s="18" t="s">
        <v>5107</v>
      </c>
      <c r="C456" s="3" t="s">
        <v>4210</v>
      </c>
    </row>
    <row r="457">
      <c r="A457" s="7" t="s">
        <v>5108</v>
      </c>
      <c r="B457" s="18" t="s">
        <v>5109</v>
      </c>
      <c r="C457" s="3" t="s">
        <v>4210</v>
      </c>
    </row>
    <row r="458">
      <c r="A458" s="7" t="s">
        <v>5110</v>
      </c>
      <c r="B458" s="18" t="s">
        <v>5052</v>
      </c>
      <c r="C458" s="3" t="s">
        <v>4339</v>
      </c>
    </row>
    <row r="459">
      <c r="A459" s="7" t="s">
        <v>5111</v>
      </c>
      <c r="B459" s="18" t="s">
        <v>5112</v>
      </c>
      <c r="C459" s="3" t="s">
        <v>4210</v>
      </c>
    </row>
    <row r="460">
      <c r="A460" s="7" t="s">
        <v>5113</v>
      </c>
      <c r="B460" s="18" t="s">
        <v>5114</v>
      </c>
      <c r="C460" s="3" t="s">
        <v>4210</v>
      </c>
    </row>
    <row r="461">
      <c r="A461" s="7" t="s">
        <v>5115</v>
      </c>
      <c r="B461" s="18" t="s">
        <v>5116</v>
      </c>
      <c r="C461" s="3" t="s">
        <v>4210</v>
      </c>
    </row>
    <row r="462">
      <c r="A462" s="7" t="s">
        <v>5117</v>
      </c>
      <c r="B462" s="18" t="s">
        <v>5118</v>
      </c>
      <c r="C462" s="3" t="s">
        <v>4210</v>
      </c>
    </row>
    <row r="463">
      <c r="A463" s="7" t="s">
        <v>5119</v>
      </c>
      <c r="B463" s="18" t="s">
        <v>5120</v>
      </c>
      <c r="C463" s="3" t="s">
        <v>4210</v>
      </c>
    </row>
    <row r="464">
      <c r="A464" s="7" t="s">
        <v>5121</v>
      </c>
      <c r="B464" s="18" t="s">
        <v>5122</v>
      </c>
      <c r="C464" s="3" t="s">
        <v>4210</v>
      </c>
    </row>
    <row r="465">
      <c r="A465" s="7" t="s">
        <v>5123</v>
      </c>
      <c r="B465" s="18" t="s">
        <v>5124</v>
      </c>
      <c r="C465" s="3" t="s">
        <v>4210</v>
      </c>
    </row>
    <row r="466">
      <c r="A466" s="7" t="s">
        <v>5125</v>
      </c>
      <c r="B466" s="18" t="s">
        <v>5126</v>
      </c>
      <c r="C466" s="3" t="s">
        <v>4210</v>
      </c>
    </row>
    <row r="467">
      <c r="A467" s="7" t="s">
        <v>5127</v>
      </c>
      <c r="B467" s="18" t="s">
        <v>5128</v>
      </c>
      <c r="C467" s="3" t="s">
        <v>4210</v>
      </c>
    </row>
    <row r="468">
      <c r="A468" s="7" t="s">
        <v>5129</v>
      </c>
      <c r="B468" s="18" t="s">
        <v>5130</v>
      </c>
      <c r="C468" s="3" t="s">
        <v>4210</v>
      </c>
    </row>
    <row r="469">
      <c r="A469" s="7" t="s">
        <v>5131</v>
      </c>
      <c r="B469" s="18" t="s">
        <v>5132</v>
      </c>
      <c r="C469" s="3" t="s">
        <v>4210</v>
      </c>
    </row>
    <row r="470">
      <c r="A470" s="7" t="s">
        <v>5133</v>
      </c>
      <c r="B470" s="18" t="s">
        <v>5134</v>
      </c>
      <c r="C470" s="3" t="s">
        <v>4210</v>
      </c>
    </row>
    <row r="471">
      <c r="A471" s="7" t="s">
        <v>5135</v>
      </c>
      <c r="B471" s="18" t="s">
        <v>5136</v>
      </c>
      <c r="C471" s="3" t="s">
        <v>4210</v>
      </c>
    </row>
    <row r="472">
      <c r="A472" s="7" t="s">
        <v>5137</v>
      </c>
      <c r="B472" s="18" t="s">
        <v>5138</v>
      </c>
      <c r="C472" s="3" t="s">
        <v>4210</v>
      </c>
    </row>
    <row r="473">
      <c r="A473" s="7" t="s">
        <v>5139</v>
      </c>
      <c r="B473" s="18" t="s">
        <v>5140</v>
      </c>
      <c r="C473" s="3" t="s">
        <v>4210</v>
      </c>
    </row>
    <row r="474">
      <c r="A474" s="7" t="s">
        <v>5141</v>
      </c>
      <c r="B474" s="18" t="s">
        <v>5142</v>
      </c>
      <c r="C474" s="3" t="s">
        <v>4210</v>
      </c>
    </row>
    <row r="475">
      <c r="A475" s="7" t="s">
        <v>5143</v>
      </c>
      <c r="B475" s="18" t="s">
        <v>5144</v>
      </c>
      <c r="C475" s="3" t="s">
        <v>4210</v>
      </c>
    </row>
    <row r="476">
      <c r="A476" s="7" t="s">
        <v>5145</v>
      </c>
      <c r="B476" s="18" t="s">
        <v>5146</v>
      </c>
      <c r="C476" s="3" t="s">
        <v>4210</v>
      </c>
    </row>
    <row r="477">
      <c r="A477" s="7" t="s">
        <v>5147</v>
      </c>
      <c r="B477" s="18" t="s">
        <v>5148</v>
      </c>
      <c r="C477" s="3" t="s">
        <v>4210</v>
      </c>
    </row>
    <row r="478">
      <c r="A478" s="7" t="s">
        <v>5149</v>
      </c>
      <c r="B478" s="18" t="s">
        <v>5150</v>
      </c>
      <c r="C478" s="3" t="s">
        <v>4210</v>
      </c>
    </row>
    <row r="479">
      <c r="A479" s="7" t="s">
        <v>5151</v>
      </c>
      <c r="B479" s="18" t="s">
        <v>5152</v>
      </c>
      <c r="C479" s="3" t="s">
        <v>4210</v>
      </c>
    </row>
    <row r="480">
      <c r="A480" s="7" t="s">
        <v>5153</v>
      </c>
      <c r="B480" s="18" t="s">
        <v>5154</v>
      </c>
      <c r="C480" s="3" t="s">
        <v>4210</v>
      </c>
    </row>
    <row r="481">
      <c r="A481" s="7" t="s">
        <v>5155</v>
      </c>
      <c r="B481" s="18" t="s">
        <v>5156</v>
      </c>
      <c r="C481" s="3" t="s">
        <v>4210</v>
      </c>
    </row>
    <row r="482">
      <c r="A482" s="7" t="s">
        <v>5157</v>
      </c>
      <c r="B482" s="18" t="s">
        <v>5158</v>
      </c>
      <c r="C482" s="3" t="s">
        <v>4210</v>
      </c>
    </row>
    <row r="483">
      <c r="A483" s="7" t="s">
        <v>5159</v>
      </c>
      <c r="B483" s="18" t="s">
        <v>5160</v>
      </c>
      <c r="C483" s="3" t="s">
        <v>4210</v>
      </c>
    </row>
    <row r="484">
      <c r="A484" s="7" t="s">
        <v>5161</v>
      </c>
      <c r="B484" s="18" t="s">
        <v>5162</v>
      </c>
      <c r="C484" s="3" t="s">
        <v>4210</v>
      </c>
    </row>
    <row r="485">
      <c r="A485" s="7" t="s">
        <v>5163</v>
      </c>
      <c r="B485" s="18" t="s">
        <v>5164</v>
      </c>
      <c r="C485" s="3" t="s">
        <v>4210</v>
      </c>
    </row>
    <row r="486">
      <c r="A486" s="7" t="s">
        <v>5165</v>
      </c>
      <c r="B486" s="18" t="s">
        <v>5166</v>
      </c>
      <c r="C486" s="3" t="s">
        <v>4210</v>
      </c>
    </row>
    <row r="487">
      <c r="A487" s="7" t="s">
        <v>5167</v>
      </c>
      <c r="B487" s="18" t="s">
        <v>5168</v>
      </c>
      <c r="C487" s="3" t="s">
        <v>4210</v>
      </c>
    </row>
    <row r="488">
      <c r="A488" s="7" t="s">
        <v>5169</v>
      </c>
      <c r="B488" s="18" t="s">
        <v>5170</v>
      </c>
      <c r="C488" s="3" t="s">
        <v>4210</v>
      </c>
    </row>
    <row r="489">
      <c r="A489" s="7" t="s">
        <v>5171</v>
      </c>
      <c r="B489" s="18" t="s">
        <v>5172</v>
      </c>
      <c r="C489" s="3" t="s">
        <v>4210</v>
      </c>
    </row>
    <row r="490">
      <c r="A490" s="7" t="s">
        <v>5173</v>
      </c>
      <c r="B490" s="18" t="s">
        <v>5174</v>
      </c>
      <c r="C490" s="3" t="s">
        <v>4339</v>
      </c>
    </row>
    <row r="491">
      <c r="A491" s="7" t="s">
        <v>5175</v>
      </c>
      <c r="B491" s="18" t="s">
        <v>5174</v>
      </c>
      <c r="C491" s="3" t="s">
        <v>4210</v>
      </c>
    </row>
    <row r="492">
      <c r="A492" s="7" t="s">
        <v>5176</v>
      </c>
      <c r="B492" s="18" t="s">
        <v>5177</v>
      </c>
      <c r="C492" s="3" t="s">
        <v>4210</v>
      </c>
    </row>
    <row r="493">
      <c r="A493" s="7" t="s">
        <v>5178</v>
      </c>
      <c r="B493" s="18" t="s">
        <v>5179</v>
      </c>
      <c r="C493" s="3" t="s">
        <v>4210</v>
      </c>
    </row>
    <row r="494">
      <c r="A494" s="7" t="s">
        <v>5180</v>
      </c>
      <c r="B494" s="18" t="s">
        <v>5181</v>
      </c>
      <c r="C494" s="3" t="s">
        <v>4210</v>
      </c>
    </row>
    <row r="495">
      <c r="A495" s="7" t="s">
        <v>5182</v>
      </c>
      <c r="B495" s="18" t="s">
        <v>5183</v>
      </c>
      <c r="C495" s="3" t="s">
        <v>4210</v>
      </c>
    </row>
    <row r="496">
      <c r="A496" s="7" t="s">
        <v>5184</v>
      </c>
      <c r="B496" s="18" t="s">
        <v>5185</v>
      </c>
      <c r="C496" s="3" t="s">
        <v>4210</v>
      </c>
    </row>
    <row r="497">
      <c r="A497" s="7" t="s">
        <v>5186</v>
      </c>
      <c r="B497" s="18" t="s">
        <v>5187</v>
      </c>
      <c r="C497" s="3" t="s">
        <v>4210</v>
      </c>
    </row>
    <row r="498">
      <c r="A498" s="7" t="s">
        <v>5188</v>
      </c>
      <c r="B498" s="18" t="s">
        <v>5189</v>
      </c>
      <c r="C498" s="3" t="s">
        <v>4210</v>
      </c>
    </row>
    <row r="499">
      <c r="A499" s="7" t="s">
        <v>5190</v>
      </c>
      <c r="B499" s="18" t="s">
        <v>5191</v>
      </c>
      <c r="C499" s="3" t="s">
        <v>4210</v>
      </c>
    </row>
    <row r="500">
      <c r="A500" s="7" t="s">
        <v>4711</v>
      </c>
      <c r="B500" s="18" t="s">
        <v>4712</v>
      </c>
      <c r="C500" s="3" t="s">
        <v>4339</v>
      </c>
    </row>
    <row r="501">
      <c r="A501" s="7" t="s">
        <v>5192</v>
      </c>
      <c r="B501" s="18" t="s">
        <v>5193</v>
      </c>
      <c r="C501" s="3" t="s">
        <v>4210</v>
      </c>
    </row>
    <row r="502">
      <c r="A502" s="7" t="s">
        <v>5194</v>
      </c>
      <c r="B502" s="18" t="s">
        <v>5195</v>
      </c>
      <c r="C502" s="3" t="s">
        <v>4210</v>
      </c>
    </row>
    <row r="503">
      <c r="A503" s="7" t="s">
        <v>5196</v>
      </c>
      <c r="B503" s="18" t="s">
        <v>5197</v>
      </c>
      <c r="C503" s="3" t="s">
        <v>4210</v>
      </c>
    </row>
    <row r="504">
      <c r="A504" s="7" t="s">
        <v>5198</v>
      </c>
      <c r="B504" s="18" t="s">
        <v>5199</v>
      </c>
      <c r="C504" s="3" t="s">
        <v>4210</v>
      </c>
    </row>
    <row r="505">
      <c r="A505" s="7" t="s">
        <v>5200</v>
      </c>
      <c r="B505" s="18" t="s">
        <v>4429</v>
      </c>
      <c r="C505" s="3" t="s">
        <v>4210</v>
      </c>
    </row>
    <row r="506">
      <c r="A506" s="7" t="s">
        <v>5201</v>
      </c>
      <c r="B506" s="18" t="s">
        <v>5202</v>
      </c>
      <c r="C506" s="3" t="s">
        <v>4210</v>
      </c>
    </row>
    <row r="507">
      <c r="A507" s="7" t="s">
        <v>5203</v>
      </c>
      <c r="B507" s="18" t="s">
        <v>5204</v>
      </c>
      <c r="C507" s="3" t="s">
        <v>4210</v>
      </c>
    </row>
    <row r="508">
      <c r="A508" s="7" t="s">
        <v>5205</v>
      </c>
      <c r="B508" s="18" t="s">
        <v>5206</v>
      </c>
      <c r="C508" s="3" t="s">
        <v>4210</v>
      </c>
    </row>
    <row r="509">
      <c r="A509" s="7" t="s">
        <v>5200</v>
      </c>
      <c r="B509" s="18" t="s">
        <v>4429</v>
      </c>
      <c r="C509" s="3" t="s">
        <v>4339</v>
      </c>
    </row>
    <row r="510">
      <c r="A510" s="7" t="s">
        <v>5207</v>
      </c>
      <c r="B510" s="18" t="s">
        <v>5208</v>
      </c>
      <c r="C510" s="3" t="s">
        <v>4210</v>
      </c>
    </row>
    <row r="511">
      <c r="A511" s="7" t="s">
        <v>5209</v>
      </c>
      <c r="B511" s="18" t="s">
        <v>5210</v>
      </c>
      <c r="C511" s="3" t="s">
        <v>4210</v>
      </c>
    </row>
    <row r="512">
      <c r="A512" s="7" t="s">
        <v>5211</v>
      </c>
      <c r="B512" s="18" t="s">
        <v>5212</v>
      </c>
      <c r="C512" s="3" t="s">
        <v>4210</v>
      </c>
    </row>
    <row r="513">
      <c r="A513" s="7" t="s">
        <v>5213</v>
      </c>
      <c r="B513" s="18" t="s">
        <v>5214</v>
      </c>
      <c r="C513" s="3" t="s">
        <v>4210</v>
      </c>
    </row>
    <row r="514">
      <c r="A514" s="7" t="s">
        <v>5215</v>
      </c>
      <c r="B514" s="18" t="s">
        <v>5216</v>
      </c>
      <c r="C514" s="3" t="s">
        <v>4210</v>
      </c>
    </row>
    <row r="515">
      <c r="A515" s="7" t="s">
        <v>5217</v>
      </c>
      <c r="B515" s="18" t="s">
        <v>5218</v>
      </c>
      <c r="C515" s="3" t="s">
        <v>4210</v>
      </c>
    </row>
    <row r="516">
      <c r="A516" s="7" t="s">
        <v>5219</v>
      </c>
      <c r="B516" s="18" t="s">
        <v>5220</v>
      </c>
      <c r="C516" s="3" t="s">
        <v>4210</v>
      </c>
    </row>
    <row r="517">
      <c r="A517" s="7" t="s">
        <v>5221</v>
      </c>
      <c r="B517" s="18" t="s">
        <v>5222</v>
      </c>
      <c r="C517" s="3" t="s">
        <v>4210</v>
      </c>
    </row>
    <row r="518">
      <c r="A518" s="7" t="s">
        <v>5223</v>
      </c>
      <c r="B518" s="18" t="s">
        <v>5224</v>
      </c>
      <c r="C518" s="3" t="s">
        <v>4210</v>
      </c>
    </row>
    <row r="519">
      <c r="A519" s="7" t="s">
        <v>5225</v>
      </c>
      <c r="B519" s="18" t="s">
        <v>5226</v>
      </c>
      <c r="C519" s="3" t="s">
        <v>4210</v>
      </c>
    </row>
    <row r="520">
      <c r="A520" s="7" t="s">
        <v>5227</v>
      </c>
      <c r="B520" s="18" t="s">
        <v>5228</v>
      </c>
      <c r="C520" s="3" t="s">
        <v>4210</v>
      </c>
    </row>
    <row r="521">
      <c r="A521" s="7" t="s">
        <v>5229</v>
      </c>
      <c r="B521" s="18" t="s">
        <v>5230</v>
      </c>
      <c r="C521" s="3" t="s">
        <v>4210</v>
      </c>
    </row>
    <row r="522">
      <c r="A522" s="7" t="s">
        <v>5231</v>
      </c>
      <c r="B522" s="18" t="s">
        <v>5232</v>
      </c>
      <c r="C522" s="3" t="s">
        <v>4210</v>
      </c>
    </row>
    <row r="523">
      <c r="A523" s="7" t="s">
        <v>5233</v>
      </c>
      <c r="B523" s="18" t="s">
        <v>5234</v>
      </c>
      <c r="C523" s="3" t="s">
        <v>4210</v>
      </c>
    </row>
    <row r="524">
      <c r="A524" s="7" t="s">
        <v>5235</v>
      </c>
      <c r="B524" s="18" t="s">
        <v>5236</v>
      </c>
      <c r="C524" s="3" t="s">
        <v>4210</v>
      </c>
    </row>
    <row r="525">
      <c r="A525" s="7" t="s">
        <v>5237</v>
      </c>
      <c r="B525" s="18" t="s">
        <v>5238</v>
      </c>
      <c r="C525" s="3" t="s">
        <v>4210</v>
      </c>
    </row>
    <row r="526">
      <c r="A526" s="7" t="s">
        <v>5239</v>
      </c>
      <c r="B526" s="18" t="s">
        <v>5240</v>
      </c>
      <c r="C526" s="3" t="s">
        <v>4210</v>
      </c>
    </row>
    <row r="527">
      <c r="A527" s="7" t="s">
        <v>5241</v>
      </c>
      <c r="B527" s="18" t="s">
        <v>5242</v>
      </c>
      <c r="C527" s="3" t="s">
        <v>4210</v>
      </c>
    </row>
    <row r="528">
      <c r="A528" s="7" t="s">
        <v>5243</v>
      </c>
      <c r="B528" s="18" t="s">
        <v>5244</v>
      </c>
      <c r="C528" s="3" t="s">
        <v>4210</v>
      </c>
    </row>
    <row r="529">
      <c r="A529" s="7" t="s">
        <v>5245</v>
      </c>
      <c r="B529" s="18" t="s">
        <v>5246</v>
      </c>
      <c r="C529" s="3" t="s">
        <v>4210</v>
      </c>
    </row>
    <row r="530">
      <c r="A530" s="7" t="s">
        <v>5247</v>
      </c>
      <c r="B530" s="18" t="s">
        <v>5248</v>
      </c>
      <c r="C530" s="3" t="s">
        <v>4210</v>
      </c>
    </row>
    <row r="531">
      <c r="A531" s="7" t="s">
        <v>5249</v>
      </c>
      <c r="B531" s="18" t="s">
        <v>4349</v>
      </c>
      <c r="C531" s="3" t="s">
        <v>4339</v>
      </c>
    </row>
    <row r="532">
      <c r="A532" s="7" t="s">
        <v>5250</v>
      </c>
      <c r="B532" s="18" t="s">
        <v>5251</v>
      </c>
      <c r="C532" s="3" t="s">
        <v>4210</v>
      </c>
    </row>
    <row r="533">
      <c r="A533" s="7" t="s">
        <v>5252</v>
      </c>
      <c r="B533" s="18" t="s">
        <v>5253</v>
      </c>
      <c r="C533" s="3" t="s">
        <v>4210</v>
      </c>
    </row>
    <row r="534">
      <c r="A534" s="7" t="s">
        <v>5254</v>
      </c>
      <c r="B534" s="18" t="s">
        <v>5255</v>
      </c>
      <c r="C534" s="3" t="s">
        <v>4210</v>
      </c>
    </row>
    <row r="535">
      <c r="A535" s="7" t="s">
        <v>5256</v>
      </c>
      <c r="B535" s="18" t="s">
        <v>5257</v>
      </c>
      <c r="C535" s="3" t="s">
        <v>4210</v>
      </c>
    </row>
    <row r="536">
      <c r="A536" s="7" t="s">
        <v>5258</v>
      </c>
      <c r="B536" s="18" t="s">
        <v>5259</v>
      </c>
      <c r="C536" s="3" t="s">
        <v>4210</v>
      </c>
    </row>
    <row r="537">
      <c r="A537" s="7" t="s">
        <v>5260</v>
      </c>
      <c r="B537" s="18" t="s">
        <v>5261</v>
      </c>
      <c r="C537" s="3" t="s">
        <v>4210</v>
      </c>
    </row>
    <row r="538">
      <c r="A538" s="7" t="s">
        <v>5262</v>
      </c>
      <c r="B538" s="18" t="s">
        <v>5263</v>
      </c>
      <c r="C538" s="3" t="s">
        <v>4210</v>
      </c>
    </row>
    <row r="539">
      <c r="A539" s="7" t="s">
        <v>5264</v>
      </c>
      <c r="B539" s="18" t="s">
        <v>5265</v>
      </c>
      <c r="C539" s="3" t="s">
        <v>4210</v>
      </c>
    </row>
    <row r="540">
      <c r="A540" s="7" t="s">
        <v>5266</v>
      </c>
      <c r="B540" s="18" t="s">
        <v>5267</v>
      </c>
      <c r="C540" s="3" t="s">
        <v>4210</v>
      </c>
    </row>
    <row r="541">
      <c r="A541" s="7" t="s">
        <v>5268</v>
      </c>
      <c r="B541" s="18" t="s">
        <v>5269</v>
      </c>
      <c r="C541" s="3" t="s">
        <v>4210</v>
      </c>
    </row>
    <row r="542">
      <c r="A542" s="7" t="s">
        <v>5270</v>
      </c>
      <c r="B542" s="18" t="s">
        <v>5271</v>
      </c>
      <c r="C542" s="3" t="s">
        <v>4210</v>
      </c>
    </row>
    <row r="543">
      <c r="A543" s="7" t="s">
        <v>5272</v>
      </c>
      <c r="B543" s="18" t="s">
        <v>5273</v>
      </c>
      <c r="C543" s="3" t="s">
        <v>4210</v>
      </c>
    </row>
    <row r="544">
      <c r="A544" s="7" t="s">
        <v>5274</v>
      </c>
      <c r="B544" s="18" t="s">
        <v>5275</v>
      </c>
      <c r="C544" s="3" t="s">
        <v>4210</v>
      </c>
    </row>
    <row r="545">
      <c r="A545" s="7" t="s">
        <v>5276</v>
      </c>
      <c r="B545" s="18" t="s">
        <v>5277</v>
      </c>
      <c r="C545" s="3" t="s">
        <v>4210</v>
      </c>
    </row>
    <row r="546">
      <c r="A546" s="7" t="s">
        <v>5278</v>
      </c>
      <c r="B546" s="18" t="s">
        <v>5279</v>
      </c>
      <c r="C546" s="3" t="s">
        <v>4210</v>
      </c>
    </row>
    <row r="547">
      <c r="A547" s="7" t="s">
        <v>5280</v>
      </c>
      <c r="B547" s="18" t="s">
        <v>5281</v>
      </c>
      <c r="C547" s="3" t="s">
        <v>4210</v>
      </c>
    </row>
    <row r="548">
      <c r="A548" s="7" t="s">
        <v>5282</v>
      </c>
      <c r="B548" s="18" t="s">
        <v>5283</v>
      </c>
      <c r="C548" s="3" t="s">
        <v>4210</v>
      </c>
    </row>
    <row r="549">
      <c r="A549" s="7" t="s">
        <v>5284</v>
      </c>
      <c r="B549" s="18" t="s">
        <v>5285</v>
      </c>
      <c r="C549" s="3" t="s">
        <v>4210</v>
      </c>
    </row>
    <row r="550">
      <c r="A550" s="7" t="s">
        <v>5286</v>
      </c>
      <c r="B550" s="18" t="s">
        <v>5287</v>
      </c>
      <c r="C550" s="3" t="s">
        <v>4210</v>
      </c>
    </row>
    <row r="551">
      <c r="A551" s="7" t="s">
        <v>5288</v>
      </c>
      <c r="B551" s="18" t="s">
        <v>5289</v>
      </c>
      <c r="C551" s="3" t="s">
        <v>4210</v>
      </c>
    </row>
    <row r="552">
      <c r="A552" s="7" t="s">
        <v>5290</v>
      </c>
      <c r="B552" s="18" t="s">
        <v>5291</v>
      </c>
      <c r="C552" s="3" t="s">
        <v>4210</v>
      </c>
    </row>
    <row r="553">
      <c r="A553" s="7" t="s">
        <v>5292</v>
      </c>
      <c r="B553" s="18" t="s">
        <v>5293</v>
      </c>
      <c r="C553" s="3" t="s">
        <v>4210</v>
      </c>
    </row>
    <row r="554">
      <c r="A554" s="7" t="s">
        <v>5294</v>
      </c>
      <c r="B554" s="18" t="s">
        <v>5295</v>
      </c>
      <c r="C554" s="3" t="s">
        <v>4210</v>
      </c>
    </row>
    <row r="555">
      <c r="A555" s="7" t="s">
        <v>5296</v>
      </c>
      <c r="B555" s="18" t="s">
        <v>5297</v>
      </c>
      <c r="C555" s="3" t="s">
        <v>4210</v>
      </c>
    </row>
    <row r="556">
      <c r="A556" s="7" t="s">
        <v>5298</v>
      </c>
      <c r="B556" s="18" t="s">
        <v>5299</v>
      </c>
      <c r="C556" s="3" t="s">
        <v>4210</v>
      </c>
    </row>
    <row r="557">
      <c r="A557" s="7" t="s">
        <v>5300</v>
      </c>
      <c r="B557" s="18" t="s">
        <v>5301</v>
      </c>
      <c r="C557" s="3" t="s">
        <v>4210</v>
      </c>
    </row>
    <row r="558">
      <c r="A558" s="7" t="s">
        <v>5302</v>
      </c>
      <c r="B558" s="18" t="s">
        <v>5303</v>
      </c>
      <c r="C558" s="3" t="s">
        <v>4210</v>
      </c>
    </row>
    <row r="559">
      <c r="A559" s="7" t="s">
        <v>5304</v>
      </c>
      <c r="B559" s="18" t="s">
        <v>5305</v>
      </c>
      <c r="C559" s="3" t="s">
        <v>4210</v>
      </c>
    </row>
    <row r="560">
      <c r="A560" s="7" t="s">
        <v>5306</v>
      </c>
      <c r="B560" s="18" t="s">
        <v>5305</v>
      </c>
      <c r="C560" s="3" t="s">
        <v>4210</v>
      </c>
    </row>
    <row r="561">
      <c r="A561" s="7" t="s">
        <v>5307</v>
      </c>
      <c r="B561" s="18" t="s">
        <v>5308</v>
      </c>
      <c r="C561" s="3" t="s">
        <v>4210</v>
      </c>
    </row>
    <row r="562">
      <c r="A562" s="7" t="s">
        <v>5309</v>
      </c>
      <c r="B562" s="18" t="s">
        <v>5310</v>
      </c>
      <c r="C562" s="3" t="s">
        <v>4210</v>
      </c>
    </row>
    <row r="563">
      <c r="A563" s="7" t="s">
        <v>5311</v>
      </c>
      <c r="B563" s="18" t="s">
        <v>5312</v>
      </c>
      <c r="C563" s="3" t="s">
        <v>4210</v>
      </c>
    </row>
    <row r="564">
      <c r="A564" s="7" t="s">
        <v>5313</v>
      </c>
      <c r="B564" s="18" t="s">
        <v>5314</v>
      </c>
      <c r="C564" s="3" t="s">
        <v>4210</v>
      </c>
    </row>
    <row r="565">
      <c r="A565" s="7" t="s">
        <v>5315</v>
      </c>
      <c r="B565" s="18" t="s">
        <v>5316</v>
      </c>
      <c r="C565" s="3" t="s">
        <v>4210</v>
      </c>
    </row>
    <row r="566">
      <c r="A566" s="7" t="s">
        <v>5317</v>
      </c>
      <c r="B566" s="18" t="s">
        <v>5318</v>
      </c>
      <c r="C566" s="3" t="s">
        <v>4210</v>
      </c>
    </row>
    <row r="567">
      <c r="A567" s="7" t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"s">
        <v>5322</v>
      </c>
      <c r="C568" s="3" t="s">
        <v>4210</v>
      </c>
    </row>
    <row r="569">
      <c r="A569" s="7" t="s">
        <v>5323</v>
      </c>
      <c r="B569" s="18" t="s">
        <v>5324</v>
      </c>
      <c r="C569" s="3" t="s">
        <v>4210</v>
      </c>
    </row>
    <row r="570">
      <c r="A570" s="7" t="s">
        <v>5325</v>
      </c>
      <c r="B570" s="18" t="s">
        <v>5326</v>
      </c>
      <c r="C570" s="3" t="s">
        <v>4210</v>
      </c>
    </row>
    <row r="571">
      <c r="A571" s="7" t="s">
        <v>5327</v>
      </c>
      <c r="B571" s="18" t="s">
        <v>5328</v>
      </c>
      <c r="C571" s="3" t="s">
        <v>4210</v>
      </c>
    </row>
    <row r="572">
      <c r="A572" s="7" t="s">
        <v>5329</v>
      </c>
      <c r="B572" s="18" t="s">
        <v>5330</v>
      </c>
      <c r="C572" s="3" t="s">
        <v>4210</v>
      </c>
    </row>
    <row r="573">
      <c r="A573" s="7" t="s">
        <v>5331</v>
      </c>
      <c r="B573" s="18" t="s">
        <v>5332</v>
      </c>
      <c r="C573" s="3" t="s">
        <v>4210</v>
      </c>
    </row>
    <row r="574">
      <c r="A574" s="7" t="s">
        <v>5333</v>
      </c>
      <c r="B574" s="18" t="s">
        <v>5334</v>
      </c>
      <c r="C574" s="3" t="s">
        <v>4210</v>
      </c>
    </row>
    <row r="575">
      <c r="A575" s="7" t="s">
        <v>5335</v>
      </c>
      <c r="B575" s="18" t="s">
        <v>5336</v>
      </c>
      <c r="C575" s="3" t="s">
        <v>4210</v>
      </c>
    </row>
    <row r="576">
      <c r="A576" s="7" t="s">
        <v>5337</v>
      </c>
      <c r="B576" s="18" t="s">
        <v>5338</v>
      </c>
      <c r="C576" s="3" t="s">
        <v>4210</v>
      </c>
    </row>
    <row r="577">
      <c r="A577" s="7" t="s">
        <v>5339</v>
      </c>
      <c r="B577" s="18" t="s">
        <v>5340</v>
      </c>
      <c r="C577" s="3" t="s">
        <v>4210</v>
      </c>
    </row>
    <row r="578">
      <c r="A578" s="7" t="s">
        <v>5341</v>
      </c>
      <c r="B578" s="18" t="s">
        <v>5342</v>
      </c>
      <c r="C578" s="3" t="s">
        <v>4339</v>
      </c>
    </row>
    <row r="579">
      <c r="A579" s="7" t="s">
        <v>5343</v>
      </c>
      <c r="B579" s="18" t="s">
        <v>5344</v>
      </c>
      <c r="C579" s="3" t="s">
        <v>4210</v>
      </c>
    </row>
    <row r="580">
      <c r="A580" s="7" t="s">
        <v>5345</v>
      </c>
      <c r="B580" s="18" t="s">
        <v>5346</v>
      </c>
      <c r="C580" s="3" t="s">
        <v>4210</v>
      </c>
    </row>
    <row r="581">
      <c r="A581" s="7" t="s">
        <v>5347</v>
      </c>
      <c r="B581" s="18" t="s">
        <v>5348</v>
      </c>
      <c r="C581" s="3" t="s">
        <v>4210</v>
      </c>
    </row>
    <row r="582">
      <c r="A582" s="7" t="s">
        <v>5349</v>
      </c>
      <c r="B582" s="18" t="s">
        <v>5350</v>
      </c>
      <c r="C582" s="3" t="s">
        <v>4210</v>
      </c>
    </row>
    <row r="583">
      <c r="A583" s="7" t="s">
        <v>5351</v>
      </c>
      <c r="B583" s="18" t="s">
        <v>5352</v>
      </c>
      <c r="C583" s="3" t="s">
        <v>4210</v>
      </c>
    </row>
    <row r="584">
      <c r="A584" s="7" t="s">
        <v>5353</v>
      </c>
      <c r="B584" s="18" t="s">
        <v>5354</v>
      </c>
      <c r="C584" s="3" t="s">
        <v>4210</v>
      </c>
    </row>
    <row r="585">
      <c r="A585" s="7" t="s">
        <v>5355</v>
      </c>
      <c r="B585" s="18" t="s">
        <v>5356</v>
      </c>
      <c r="C585" s="3" t="s">
        <v>4210</v>
      </c>
    </row>
    <row r="586">
      <c r="A586" s="7" t="s">
        <v>5357</v>
      </c>
      <c r="B586" s="18" t="s">
        <v>5358</v>
      </c>
      <c r="C586" s="3" t="s">
        <v>4210</v>
      </c>
    </row>
    <row r="587">
      <c r="A587" s="7" t="s">
        <v>5359</v>
      </c>
      <c r="B587" s="18" t="s">
        <v>5360</v>
      </c>
      <c r="C587" s="3" t="s">
        <v>4210</v>
      </c>
    </row>
    <row r="588">
      <c r="A588" s="7" t="s">
        <v>5361</v>
      </c>
      <c r="B588" s="18" t="s">
        <v>5362</v>
      </c>
      <c r="C588" s="3" t="s">
        <v>4210</v>
      </c>
    </row>
    <row r="589">
      <c r="A589" s="7" t="s">
        <v>5363</v>
      </c>
      <c r="B589" s="18" t="s">
        <v>5364</v>
      </c>
      <c r="C589" s="3" t="s">
        <v>4210</v>
      </c>
    </row>
    <row r="590">
      <c r="A590" s="7" t="s">
        <v>5365</v>
      </c>
      <c r="B590" s="18" t="s">
        <v>5366</v>
      </c>
      <c r="C590" s="3" t="s">
        <v>4210</v>
      </c>
    </row>
    <row r="591">
      <c r="A591" s="7" t="s">
        <v>5367</v>
      </c>
      <c r="B591" s="18" t="s">
        <v>5368</v>
      </c>
      <c r="C591" s="3" t="s">
        <v>4210</v>
      </c>
    </row>
    <row r="592">
      <c r="A592" s="7" t="s">
        <v>5369</v>
      </c>
      <c r="B592" s="18" t="s">
        <v>5370</v>
      </c>
      <c r="C592" s="3" t="s">
        <v>4210</v>
      </c>
    </row>
    <row r="593">
      <c r="A593" s="7" t="s">
        <v>5371</v>
      </c>
      <c r="B593" s="18" t="s">
        <v>5372</v>
      </c>
      <c r="C593" s="3" t="s">
        <v>4210</v>
      </c>
    </row>
    <row r="594">
      <c r="A594" s="7" t="s">
        <v>5373</v>
      </c>
      <c r="B594" s="18" t="s">
        <v>5374</v>
      </c>
      <c r="C594" s="3" t="s">
        <v>4210</v>
      </c>
    </row>
    <row r="595">
      <c r="A595" s="7" t="s">
        <v>5375</v>
      </c>
      <c r="B595" s="18" t="s">
        <v>5376</v>
      </c>
      <c r="C595" s="3" t="s">
        <v>4210</v>
      </c>
    </row>
    <row r="596">
      <c r="A596" s="7" t="s">
        <v>5377</v>
      </c>
      <c r="B596" s="18" t="s">
        <v>5378</v>
      </c>
      <c r="C596" s="3" t="s">
        <v>4210</v>
      </c>
    </row>
    <row r="597">
      <c r="A597" s="7" t="s">
        <v>5379</v>
      </c>
      <c r="B597" s="18" t="s">
        <v>5380</v>
      </c>
      <c r="C597" s="3" t="s">
        <v>4210</v>
      </c>
    </row>
    <row r="598">
      <c r="A598" s="7" t="s">
        <v>5381</v>
      </c>
      <c r="B598" s="18" t="s">
        <v>5382</v>
      </c>
      <c r="C598" s="3" t="s">
        <v>4210</v>
      </c>
    </row>
    <row r="599">
      <c r="A599" s="7" t="s">
        <v>5383</v>
      </c>
      <c r="B599" s="18" t="s">
        <v>5384</v>
      </c>
      <c r="C599" s="3" t="s">
        <v>4210</v>
      </c>
    </row>
    <row r="600">
      <c r="A600" s="7" t="s">
        <v>5385</v>
      </c>
      <c r="B600" s="18" t="s">
        <v>5386</v>
      </c>
      <c r="C600" s="3" t="s">
        <v>4210</v>
      </c>
    </row>
    <row r="601">
      <c r="A601" s="7" t="s">
        <v>5387</v>
      </c>
      <c r="B601" s="18" t="s">
        <v>5388</v>
      </c>
      <c r="C601" s="3" t="s">
        <v>4210</v>
      </c>
    </row>
    <row r="602">
      <c r="A602" s="7" t="s">
        <v>5389</v>
      </c>
      <c r="B602" s="18" t="s">
        <v>5390</v>
      </c>
      <c r="C602" s="3" t="s">
        <v>4210</v>
      </c>
    </row>
    <row r="603">
      <c r="A603" s="7" t="s">
        <v>5391</v>
      </c>
      <c r="B603" s="18" t="s">
        <v>5392</v>
      </c>
      <c r="C603" s="3" t="s">
        <v>4210</v>
      </c>
    </row>
    <row r="604">
      <c r="A604" s="7" t="s">
        <v>5393</v>
      </c>
      <c r="B604" s="18" t="s">
        <v>5394</v>
      </c>
      <c r="C604" s="3" t="s">
        <v>4210</v>
      </c>
    </row>
    <row r="605">
      <c r="A605" s="7" t="s">
        <v>5395</v>
      </c>
      <c r="B605" s="18" t="s">
        <v>5396</v>
      </c>
      <c r="C605" s="3" t="s">
        <v>4210</v>
      </c>
    </row>
    <row r="606">
      <c r="A606" s="7" t="s">
        <v>5397</v>
      </c>
      <c r="B606" s="18" t="s">
        <v>5398</v>
      </c>
      <c r="C606" s="3" t="s">
        <v>4210</v>
      </c>
    </row>
    <row r="607">
      <c r="A607" s="7" t="s">
        <v>5399</v>
      </c>
      <c r="B607" s="18" t="s">
        <v>5400</v>
      </c>
      <c r="C607" s="3" t="s">
        <v>4210</v>
      </c>
    </row>
    <row r="608">
      <c r="A608" s="7" t="s">
        <v>5401</v>
      </c>
      <c r="B608" s="18" t="s">
        <v>5402</v>
      </c>
      <c r="C608" s="3" t="s">
        <v>4210</v>
      </c>
    </row>
    <row r="609">
      <c r="A609" s="7" t="s">
        <v>5403</v>
      </c>
      <c r="B609" s="18" t="s">
        <v>5404</v>
      </c>
      <c r="C609" s="3" t="s">
        <v>4210</v>
      </c>
    </row>
    <row r="610">
      <c r="A610" s="7" t="s">
        <v>5405</v>
      </c>
      <c r="B610" s="18" t="s">
        <v>5406</v>
      </c>
      <c r="C610" s="3" t="s">
        <v>4210</v>
      </c>
    </row>
    <row r="611">
      <c r="A611" s="7" t="s">
        <v>5407</v>
      </c>
      <c r="B611" s="18" t="s">
        <v>5408</v>
      </c>
      <c r="C611" s="3" t="s">
        <v>4210</v>
      </c>
    </row>
    <row r="612">
      <c r="A612" s="7" t="s">
        <v>5409</v>
      </c>
      <c r="B612" s="18" t="s">
        <v>5410</v>
      </c>
      <c r="C612" s="3" t="s">
        <v>4210</v>
      </c>
    </row>
    <row r="613">
      <c r="A613" s="7" t="s">
        <v>5411</v>
      </c>
      <c r="B613" s="18" t="s">
        <v>5412</v>
      </c>
      <c r="C613" s="3" t="s">
        <v>4210</v>
      </c>
    </row>
    <row r="614">
      <c r="A614" s="7" t="s">
        <v>5413</v>
      </c>
      <c r="B614" s="18" t="s">
        <v>5414</v>
      </c>
      <c r="C614" s="3" t="s">
        <v>4210</v>
      </c>
    </row>
    <row r="615">
      <c r="A615" s="7" t="s">
        <v>5415</v>
      </c>
      <c r="B615" s="18" t="s">
        <v>5416</v>
      </c>
      <c r="C615" s="3" t="s">
        <v>4210</v>
      </c>
    </row>
    <row r="616">
      <c r="A616" s="7" t="s">
        <v>5417</v>
      </c>
      <c r="B616" s="18" t="s">
        <v>5418</v>
      </c>
      <c r="C616" s="3" t="s">
        <v>4210</v>
      </c>
    </row>
    <row r="617">
      <c r="A617" s="7" t="s">
        <v>5419</v>
      </c>
      <c r="B617" s="18" t="s">
        <v>4456</v>
      </c>
      <c r="C617" s="3" t="s">
        <v>4339</v>
      </c>
    </row>
    <row r="618">
      <c r="A618" s="7" t="s">
        <v>5420</v>
      </c>
      <c r="B618" s="18" t="s">
        <v>5421</v>
      </c>
      <c r="C618" s="3" t="s">
        <v>4210</v>
      </c>
    </row>
    <row r="619">
      <c r="A619" s="7" t="s">
        <v>5422</v>
      </c>
      <c r="B619" s="18" t="s">
        <v>5423</v>
      </c>
      <c r="C619" s="3" t="s">
        <v>4210</v>
      </c>
    </row>
    <row r="620">
      <c r="A620" s="7" t="s">
        <v>5424</v>
      </c>
      <c r="B620" s="18" t="s">
        <v>5425</v>
      </c>
      <c r="C620" s="3" t="s">
        <v>4210</v>
      </c>
    </row>
    <row r="621">
      <c r="A621" s="7" t="s">
        <v>5426</v>
      </c>
      <c r="B621" s="18" t="s">
        <v>5427</v>
      </c>
      <c r="C621" s="3" t="s">
        <v>4210</v>
      </c>
    </row>
    <row r="622">
      <c r="A622" s="7" t="s">
        <v>5428</v>
      </c>
      <c r="B622" s="18" t="s">
        <v>5429</v>
      </c>
      <c r="C622" s="3" t="s">
        <v>4210</v>
      </c>
    </row>
    <row r="623">
      <c r="A623" s="7" t="s">
        <v>5430</v>
      </c>
      <c r="B623" s="18" t="s">
        <v>5431</v>
      </c>
      <c r="C623" s="3" t="s">
        <v>4210</v>
      </c>
    </row>
    <row r="624">
      <c r="A624" s="7" t="s">
        <v>5432</v>
      </c>
      <c r="B624" s="18" t="s">
        <v>5433</v>
      </c>
      <c r="C624" s="3" t="s">
        <v>4210</v>
      </c>
    </row>
    <row r="625">
      <c r="A625" s="7" t="s">
        <v>5434</v>
      </c>
      <c r="B625" s="18" t="s">
        <v>5435</v>
      </c>
      <c r="C625" s="3" t="s">
        <v>4210</v>
      </c>
    </row>
    <row r="626">
      <c r="A626" s="7" t="s">
        <v>5436</v>
      </c>
      <c r="B626" s="18" t="s">
        <v>5437</v>
      </c>
      <c r="C626" s="3" t="s">
        <v>4210</v>
      </c>
    </row>
    <row r="627">
      <c r="A627" s="7" t="s">
        <v>5438</v>
      </c>
      <c r="B627" s="18" t="s">
        <v>5439</v>
      </c>
      <c r="C627" s="3" t="s">
        <v>4210</v>
      </c>
    </row>
    <row r="628">
      <c r="A628" s="7" t="s">
        <v>5440</v>
      </c>
      <c r="B628" s="18" t="s">
        <v>5441</v>
      </c>
      <c r="C628" s="3" t="s">
        <v>4210</v>
      </c>
    </row>
    <row r="629">
      <c r="A629" s="7" t="s">
        <v>5442</v>
      </c>
      <c r="B629" s="18" t="s">
        <v>5443</v>
      </c>
      <c r="C629" s="3" t="s">
        <v>4210</v>
      </c>
    </row>
    <row r="630">
      <c r="A630" s="7" t="s">
        <v>5444</v>
      </c>
      <c r="B630" s="18" t="s">
        <v>5445</v>
      </c>
      <c r="C630" s="3" t="s">
        <v>4210</v>
      </c>
    </row>
    <row r="631">
      <c r="A631" s="7" t="s">
        <v>5446</v>
      </c>
      <c r="B631" s="18" t="s">
        <v>5447</v>
      </c>
      <c r="C631" s="3" t="s">
        <v>4210</v>
      </c>
    </row>
    <row r="632">
      <c r="A632" s="7" t="s">
        <v>5448</v>
      </c>
      <c r="B632" s="18" t="s">
        <v>5449</v>
      </c>
      <c r="C632" s="3" t="s">
        <v>4210</v>
      </c>
    </row>
    <row r="633">
      <c r="A633" s="7" t="s">
        <v>5450</v>
      </c>
      <c r="B633" s="18" t="s">
        <v>5451</v>
      </c>
      <c r="C633" s="3" t="s">
        <v>4210</v>
      </c>
    </row>
    <row r="634">
      <c r="A634" s="7" t="s">
        <v>5452</v>
      </c>
      <c r="B634" s="18" t="s">
        <v>5453</v>
      </c>
      <c r="C634" s="3" t="s">
        <v>4210</v>
      </c>
    </row>
    <row r="635">
      <c r="A635" s="7" t="s">
        <v>5454</v>
      </c>
      <c r="B635" s="18" t="s">
        <v>5455</v>
      </c>
      <c r="C635" s="3" t="s">
        <v>4210</v>
      </c>
    </row>
    <row r="636">
      <c r="A636" s="7" t="s">
        <v>5456</v>
      </c>
      <c r="B636" s="18" t="s">
        <v>5457</v>
      </c>
      <c r="C636" s="3" t="s">
        <v>4210</v>
      </c>
    </row>
    <row r="637">
      <c r="A637" s="7" t="s">
        <v>5458</v>
      </c>
      <c r="B637" s="18" t="s">
        <v>5459</v>
      </c>
      <c r="C637" s="3" t="s">
        <v>4210</v>
      </c>
    </row>
    <row r="638">
      <c r="A638" s="7" t="s">
        <v>5460</v>
      </c>
      <c r="B638" s="18" t="s">
        <v>5461</v>
      </c>
      <c r="C638" s="3" t="s">
        <v>4210</v>
      </c>
    </row>
    <row r="639">
      <c r="A639" s="7" t="s">
        <v>5462</v>
      </c>
      <c r="B639" s="18" t="s">
        <v>5463</v>
      </c>
      <c r="C639" s="3" t="s">
        <v>4210</v>
      </c>
    </row>
    <row r="640">
      <c r="A640" s="7" t="s">
        <v>5464</v>
      </c>
      <c r="B640" s="18" t="s">
        <v>5465</v>
      </c>
      <c r="C640" s="3" t="s">
        <v>4210</v>
      </c>
    </row>
    <row r="641">
      <c r="A641" s="7" t="s">
        <v>5466</v>
      </c>
      <c r="B641" s="18" t="s">
        <v>5467</v>
      </c>
      <c r="C641" s="3" t="s">
        <v>4210</v>
      </c>
    </row>
    <row r="642">
      <c r="A642" s="7" t="s">
        <v>5468</v>
      </c>
      <c r="B642" s="18" t="s">
        <v>5469</v>
      </c>
      <c r="C642" s="3" t="s">
        <v>4210</v>
      </c>
    </row>
    <row r="643">
      <c r="A643" s="7" t="s">
        <v>5470</v>
      </c>
      <c r="B643" s="18" t="s">
        <v>5471</v>
      </c>
      <c r="C643" s="3" t="s">
        <v>4210</v>
      </c>
    </row>
    <row r="644">
      <c r="A644" s="7" t="s">
        <v>5472</v>
      </c>
      <c r="B644" s="18" t="s">
        <v>5473</v>
      </c>
      <c r="C644" s="3" t="s">
        <v>4210</v>
      </c>
    </row>
    <row r="645">
      <c r="A645" s="7" t="s">
        <v>5474</v>
      </c>
      <c r="B645" s="18" t="s">
        <v>5475</v>
      </c>
      <c r="C645" s="3" t="s">
        <v>4210</v>
      </c>
    </row>
    <row r="646">
      <c r="A646" s="7" t="s">
        <v>5476</v>
      </c>
      <c r="B646" s="18" t="s">
        <v>5477</v>
      </c>
      <c r="C646" s="3" t="s">
        <v>4210</v>
      </c>
    </row>
    <row r="647">
      <c r="A647" s="7" t="s">
        <v>5478</v>
      </c>
      <c r="B647" s="18" t="s">
        <v>5479</v>
      </c>
      <c r="C647" s="3" t="s">
        <v>4210</v>
      </c>
    </row>
    <row r="648">
      <c r="A648" s="7" t="s">
        <v>5480</v>
      </c>
      <c r="B648" s="18" t="s">
        <v>5481</v>
      </c>
      <c r="C648" s="3" t="s">
        <v>4210</v>
      </c>
    </row>
    <row r="649">
      <c r="A649" s="7" t="s">
        <v>5482</v>
      </c>
      <c r="B649" s="18" t="s">
        <v>5483</v>
      </c>
      <c r="C649" s="3" t="s">
        <v>4210</v>
      </c>
    </row>
    <row r="650">
      <c r="A650" s="7" t="s">
        <v>5484</v>
      </c>
      <c r="B650" s="18" t="s">
        <v>5485</v>
      </c>
      <c r="C650" s="3" t="s">
        <v>4210</v>
      </c>
    </row>
    <row r="651">
      <c r="A651" s="7" t="s">
        <v>5486</v>
      </c>
      <c r="B651" s="18" t="s">
        <v>5487</v>
      </c>
      <c r="C651" s="3" t="s">
        <v>4210</v>
      </c>
    </row>
    <row r="652">
      <c r="A652" s="7" t="s">
        <v>5488</v>
      </c>
      <c r="B652" s="18" t="s">
        <v>5489</v>
      </c>
      <c r="C652" s="3" t="s">
        <v>4210</v>
      </c>
    </row>
    <row r="653">
      <c r="A653" s="7" t="s">
        <v>5490</v>
      </c>
      <c r="B653" s="18" t="s">
        <v>5491</v>
      </c>
      <c r="C653" s="3" t="s">
        <v>4210</v>
      </c>
    </row>
    <row r="654">
      <c r="A654" s="7" t="s">
        <v>5492</v>
      </c>
      <c r="B654" s="18" t="s">
        <v>5493</v>
      </c>
      <c r="C654" s="3" t="s">
        <v>4210</v>
      </c>
    </row>
    <row r="655">
      <c r="A655" s="7" t="s">
        <v>5494</v>
      </c>
      <c r="B655" s="18" t="s">
        <v>5495</v>
      </c>
      <c r="C655" s="3" t="s">
        <v>4210</v>
      </c>
    </row>
    <row r="656">
      <c r="A656" s="7" t="s">
        <v>5496</v>
      </c>
      <c r="B656" s="18" t="s">
        <v>5497</v>
      </c>
      <c r="C656" s="3" t="s">
        <v>4210</v>
      </c>
    </row>
    <row r="657">
      <c r="A657" s="7" t="s">
        <v>5498</v>
      </c>
      <c r="B657" s="18" t="s">
        <v>5499</v>
      </c>
      <c r="C657" s="3" t="s">
        <v>4210</v>
      </c>
    </row>
    <row r="658">
      <c r="A658" s="7" t="s">
        <v>5500</v>
      </c>
      <c r="B658" s="18" t="s">
        <v>5501</v>
      </c>
      <c r="C658" s="3" t="s">
        <v>4210</v>
      </c>
    </row>
    <row r="659">
      <c r="A659" s="7" t="s">
        <v>5502</v>
      </c>
      <c r="B659" s="18" t="s">
        <v>5503</v>
      </c>
      <c r="C659" s="3" t="s">
        <v>4210</v>
      </c>
    </row>
    <row r="660">
      <c r="A660" s="7" t="s">
        <v>5504</v>
      </c>
      <c r="B660" s="18" t="s">
        <v>5505</v>
      </c>
      <c r="C660" s="3" t="s">
        <v>4210</v>
      </c>
    </row>
    <row r="661">
      <c r="A661" s="7" t="s">
        <v>5506</v>
      </c>
      <c r="B661" s="18" t="s">
        <v>5507</v>
      </c>
      <c r="C661" s="3" t="s">
        <v>4210</v>
      </c>
    </row>
    <row r="662">
      <c r="A662" s="7" t="s">
        <v>5508</v>
      </c>
      <c r="B662" s="18" t="s">
        <v>5509</v>
      </c>
      <c r="C662" s="3" t="s">
        <v>4210</v>
      </c>
    </row>
    <row r="663">
      <c r="A663" s="7" t="s">
        <v>5510</v>
      </c>
      <c r="B663" s="18" t="s">
        <v>5511</v>
      </c>
      <c r="C663" s="3" t="s">
        <v>4210</v>
      </c>
    </row>
    <row r="664">
      <c r="A664" s="7" t="s">
        <v>5512</v>
      </c>
      <c r="B664" s="18" t="s">
        <v>4847</v>
      </c>
      <c r="C664" s="3" t="s">
        <v>4339</v>
      </c>
    </row>
    <row r="665">
      <c r="A665" s="7" t="s">
        <v>5513</v>
      </c>
      <c r="B665" s="18" t="s">
        <v>5514</v>
      </c>
      <c r="C665" s="3" t="s">
        <v>4210</v>
      </c>
    </row>
    <row r="666">
      <c r="A666" s="7" t="s">
        <v>5515</v>
      </c>
      <c r="B666" s="18" t="s">
        <v>5516</v>
      </c>
      <c r="C666" s="3" t="s">
        <v>4210</v>
      </c>
    </row>
    <row r="667">
      <c r="A667" s="7" t="s">
        <v>5517</v>
      </c>
      <c r="B667" s="18" t="s">
        <v>4865</v>
      </c>
      <c r="C667" s="3" t="s">
        <v>4339</v>
      </c>
    </row>
    <row r="668">
      <c r="A668" s="7" t="s">
        <v>5518</v>
      </c>
      <c r="B668" s="18" t="s">
        <v>5519</v>
      </c>
      <c r="C668" s="3" t="s">
        <v>4210</v>
      </c>
    </row>
    <row r="669">
      <c r="A669" s="7" t="s">
        <v>5520</v>
      </c>
      <c r="B669" s="18" t="s">
        <v>5521</v>
      </c>
      <c r="C669" s="3" t="s">
        <v>4210</v>
      </c>
    </row>
    <row r="670">
      <c r="A670" s="7" t="s">
        <v>5522</v>
      </c>
      <c r="B670" s="18" t="s">
        <v>5425</v>
      </c>
      <c r="C670" s="3" t="s">
        <v>4339</v>
      </c>
    </row>
    <row r="671">
      <c r="A671" s="7" t="s">
        <v>5523</v>
      </c>
      <c r="B671" s="18" t="s">
        <v>5524</v>
      </c>
      <c r="C671" s="3" t="s">
        <v>4210</v>
      </c>
    </row>
    <row r="672">
      <c r="A672" s="7" t="s">
        <v>5525</v>
      </c>
      <c r="B672" s="18" t="s">
        <v>5526</v>
      </c>
      <c r="C672" s="3" t="s">
        <v>4210</v>
      </c>
    </row>
    <row r="673">
      <c r="A673" s="7" t="s">
        <v>5527</v>
      </c>
      <c r="B673" s="18" t="s">
        <v>5528</v>
      </c>
      <c r="C673" s="3" t="s">
        <v>4210</v>
      </c>
    </row>
    <row r="674">
      <c r="A674" s="7" t="s">
        <v>5529</v>
      </c>
      <c r="B674" s="18" t="s">
        <v>5530</v>
      </c>
      <c r="C674" s="3" t="s">
        <v>4210</v>
      </c>
    </row>
    <row r="675">
      <c r="A675" s="7" t="s">
        <v>5531</v>
      </c>
      <c r="B675" s="18" t="s">
        <v>5532</v>
      </c>
      <c r="C675" s="3" t="s">
        <v>4210</v>
      </c>
    </row>
    <row r="676">
      <c r="A676" s="7" t="s">
        <v>5533</v>
      </c>
      <c r="B676" s="18" t="s">
        <v>5534</v>
      </c>
      <c r="C676" s="3" t="s">
        <v>4210</v>
      </c>
    </row>
    <row r="677">
      <c r="A677" s="7" t="s">
        <v>5535</v>
      </c>
      <c r="B677" s="18" t="s">
        <v>5536</v>
      </c>
      <c r="C677" s="3" t="s">
        <v>4210</v>
      </c>
    </row>
    <row r="678">
      <c r="A678" s="7" t="s">
        <v>5537</v>
      </c>
      <c r="B678" s="18" t="s">
        <v>5538</v>
      </c>
      <c r="C678" s="3" t="s">
        <v>4210</v>
      </c>
    </row>
    <row r="679">
      <c r="A679" s="7" t="s">
        <v>5539</v>
      </c>
      <c r="B679" s="18" t="s">
        <v>5540</v>
      </c>
      <c r="C679" s="3" t="s">
        <v>4210</v>
      </c>
    </row>
    <row r="680">
      <c r="A680" s="7" t="s">
        <v>5541</v>
      </c>
      <c r="B680" s="18" t="s">
        <v>5542</v>
      </c>
      <c r="C680" s="3" t="s">
        <v>4210</v>
      </c>
    </row>
    <row r="681">
      <c r="A681" s="7" t="s">
        <v>5543</v>
      </c>
      <c r="B681" s="18" t="s">
        <v>5544</v>
      </c>
      <c r="C681" s="3" t="s">
        <v>4210</v>
      </c>
    </row>
    <row r="682">
      <c r="A682" s="7" t="s">
        <v>5545</v>
      </c>
      <c r="B682" s="18" t="s">
        <v>5546</v>
      </c>
      <c r="C682" s="3" t="s">
        <v>4210</v>
      </c>
    </row>
    <row r="683">
      <c r="A683" s="7" t="s">
        <v>5547</v>
      </c>
      <c r="B683" s="18" t="s">
        <v>5548</v>
      </c>
      <c r="C683" s="3" t="s">
        <v>4210</v>
      </c>
    </row>
    <row r="684">
      <c r="A684" s="7" t="s">
        <v>5549</v>
      </c>
      <c r="B684" s="18" t="s">
        <v>5550</v>
      </c>
      <c r="C684" s="3" t="s">
        <v>4210</v>
      </c>
    </row>
    <row r="685">
      <c r="A685" s="7" t="s">
        <v>5551</v>
      </c>
      <c r="B685" s="18" t="s">
        <v>5552</v>
      </c>
      <c r="C685" s="3" t="s">
        <v>4210</v>
      </c>
    </row>
    <row r="686">
      <c r="A686" s="7" t="s">
        <v>5553</v>
      </c>
      <c r="B686" s="18" t="s">
        <v>5554</v>
      </c>
      <c r="C686" s="3" t="s">
        <v>4210</v>
      </c>
    </row>
    <row r="687">
      <c r="A687" s="7" t="s">
        <v>5555</v>
      </c>
      <c r="B687" s="18" t="s">
        <v>5556</v>
      </c>
      <c r="C687" s="3" t="s">
        <v>4210</v>
      </c>
    </row>
    <row r="688">
      <c r="A688" s="7" t="s">
        <v>5557</v>
      </c>
      <c r="B688" s="18" t="s">
        <v>5558</v>
      </c>
      <c r="C688" s="3" t="s">
        <v>4210</v>
      </c>
    </row>
    <row r="689">
      <c r="A689" s="7" t="s">
        <v>5559</v>
      </c>
      <c r="B689" s="18" t="s">
        <v>5560</v>
      </c>
      <c r="C689" s="3" t="s">
        <v>4210</v>
      </c>
    </row>
    <row r="690">
      <c r="A690" s="7" t="s">
        <v>5561</v>
      </c>
      <c r="B690" s="18" t="s">
        <v>5562</v>
      </c>
      <c r="C690" s="3" t="s">
        <v>4210</v>
      </c>
    </row>
    <row r="691">
      <c r="A691" s="7" t="s">
        <v>5563</v>
      </c>
      <c r="B691" s="18" t="s">
        <v>5564</v>
      </c>
      <c r="C691" s="3" t="s">
        <v>4210</v>
      </c>
    </row>
    <row r="692">
      <c r="A692" s="7" t="s">
        <v>5565</v>
      </c>
      <c r="B692" s="18" t="s">
        <v>5566</v>
      </c>
      <c r="C692" s="3" t="s">
        <v>4210</v>
      </c>
    </row>
    <row r="693">
      <c r="A693" s="7" t="s">
        <v>5567</v>
      </c>
      <c r="B693" s="18" t="s">
        <v>5568</v>
      </c>
      <c r="C693" s="3" t="s">
        <v>4210</v>
      </c>
    </row>
    <row r="694">
      <c r="A694" s="7" t="s">
        <v>5569</v>
      </c>
      <c r="B694" s="18" t="s">
        <v>5570</v>
      </c>
      <c r="C694" s="3" t="s">
        <v>4210</v>
      </c>
    </row>
    <row r="695">
      <c r="A695" s="7" t="s">
        <v>5571</v>
      </c>
      <c r="B695" s="18" t="s">
        <v>5572</v>
      </c>
      <c r="C695" s="3" t="s">
        <v>4210</v>
      </c>
    </row>
    <row r="696">
      <c r="A696" s="7" t="s">
        <v>5573</v>
      </c>
      <c r="B696" s="18" t="s">
        <v>5574</v>
      </c>
      <c r="C696" s="3" t="s">
        <v>4210</v>
      </c>
    </row>
    <row r="697">
      <c r="A697" s="7" t="s">
        <v>5575</v>
      </c>
      <c r="B697" s="18" t="s">
        <v>5576</v>
      </c>
      <c r="C697" s="3" t="s">
        <v>4210</v>
      </c>
    </row>
    <row r="698">
      <c r="A698" s="7" t="s">
        <v>5577</v>
      </c>
      <c r="B698" s="18" t="s">
        <v>5578</v>
      </c>
      <c r="C698" s="3" t="s">
        <v>4210</v>
      </c>
    </row>
    <row r="699">
      <c r="A699" s="7" t="s">
        <v>5579</v>
      </c>
      <c r="B699" s="18" t="s">
        <v>5580</v>
      </c>
      <c r="C699" s="3" t="s">
        <v>4210</v>
      </c>
    </row>
    <row r="700">
      <c r="A700" s="7" t="s">
        <v>5581</v>
      </c>
      <c r="B700" s="18" t="s">
        <v>5582</v>
      </c>
      <c r="C700" s="3" t="s">
        <v>4210</v>
      </c>
    </row>
    <row r="701">
      <c r="A701" s="7" t="s">
        <v>5583</v>
      </c>
      <c r="B701" s="18" t="s">
        <v>5584</v>
      </c>
      <c r="C701" s="3" t="s">
        <v>4210</v>
      </c>
    </row>
    <row r="702">
      <c r="A702" s="7" t="s">
        <v>5585</v>
      </c>
      <c r="B702" s="18" t="s">
        <v>5586</v>
      </c>
      <c r="C702" s="3" t="s">
        <v>4210</v>
      </c>
    </row>
    <row r="703">
      <c r="A703" s="7" t="s">
        <v>5587</v>
      </c>
      <c r="B703" s="18" t="s">
        <v>5588</v>
      </c>
      <c r="C703" s="3" t="s">
        <v>4210</v>
      </c>
    </row>
    <row r="704">
      <c r="A704" s="7" t="s">
        <v>5589</v>
      </c>
      <c r="B704" s="18" t="s">
        <v>5590</v>
      </c>
      <c r="C704" s="3" t="s">
        <v>4210</v>
      </c>
    </row>
    <row r="705">
      <c r="A705" s="7" t="s">
        <v>5591</v>
      </c>
      <c r="B705" s="18" t="s">
        <v>5592</v>
      </c>
      <c r="C705" s="3" t="s">
        <v>4210</v>
      </c>
    </row>
    <row r="706">
      <c r="A706" s="7" t="s">
        <v>5593</v>
      </c>
      <c r="B706" s="18" t="s">
        <v>5594</v>
      </c>
      <c r="C706" s="3" t="s">
        <v>4210</v>
      </c>
    </row>
    <row r="707">
      <c r="A707" s="7" t="s">
        <v>5595</v>
      </c>
      <c r="B707" s="18" t="s">
        <v>5596</v>
      </c>
      <c r="C707" s="3" t="s">
        <v>4210</v>
      </c>
    </row>
    <row r="708">
      <c r="A708" s="7" t="s">
        <v>5597</v>
      </c>
      <c r="B708" s="18" t="s">
        <v>5598</v>
      </c>
      <c r="C708" s="3" t="s">
        <v>4210</v>
      </c>
    </row>
    <row r="709">
      <c r="A709" s="7" t="s">
        <v>5599</v>
      </c>
      <c r="B709" s="18" t="s">
        <v>5600</v>
      </c>
      <c r="C709" s="3" t="s">
        <v>4210</v>
      </c>
    </row>
    <row r="710">
      <c r="A710" s="7" t="s">
        <v>5601</v>
      </c>
      <c r="B710" s="18" t="s">
        <v>5602</v>
      </c>
      <c r="C710" s="3" t="s">
        <v>4210</v>
      </c>
    </row>
    <row r="711">
      <c r="A711" s="7" t="s">
        <v>5603</v>
      </c>
      <c r="B711" s="18" t="s">
        <v>5604</v>
      </c>
      <c r="C711" s="3" t="s">
        <v>4210</v>
      </c>
    </row>
    <row r="712">
      <c r="A712" s="7" t="s">
        <v>5605</v>
      </c>
      <c r="B712" s="18" t="s">
        <v>5606</v>
      </c>
      <c r="C712" s="3" t="s">
        <v>4210</v>
      </c>
    </row>
    <row r="713">
      <c r="A713" s="7" t="s">
        <v>5607</v>
      </c>
      <c r="B713" s="18" t="s">
        <v>5608</v>
      </c>
      <c r="C713" s="3" t="s">
        <v>4210</v>
      </c>
    </row>
    <row r="714">
      <c r="A714" s="7" t="s">
        <v>5609</v>
      </c>
      <c r="B714" s="18" t="s">
        <v>5610</v>
      </c>
      <c r="C714" s="3" t="s">
        <v>4210</v>
      </c>
    </row>
    <row r="715">
      <c r="A715" s="7" t="s">
        <v>5611</v>
      </c>
      <c r="B715" s="18" t="s">
        <v>5612</v>
      </c>
      <c r="C715" s="3" t="s">
        <v>4210</v>
      </c>
    </row>
    <row r="716">
      <c r="A716" s="7" t="s">
        <v>5613</v>
      </c>
      <c r="B716" s="18" t="s">
        <v>5614</v>
      </c>
      <c r="C716" s="3" t="s">
        <v>4210</v>
      </c>
    </row>
    <row r="717">
      <c r="A717" s="7" t="s">
        <v>5615</v>
      </c>
      <c r="B717" s="18" t="s">
        <v>5616</v>
      </c>
      <c r="C717" s="3" t="s">
        <v>4210</v>
      </c>
    </row>
    <row r="718">
      <c r="A718" s="7" t="s">
        <v>5617</v>
      </c>
      <c r="B718" s="18" t="s">
        <v>5618</v>
      </c>
      <c r="C718" s="3" t="s">
        <v>4210</v>
      </c>
    </row>
    <row r="719">
      <c r="A719" s="7" t="s">
        <v>5619</v>
      </c>
      <c r="B719" s="18" t="s">
        <v>5620</v>
      </c>
      <c r="C719" s="3" t="s">
        <v>4210</v>
      </c>
    </row>
    <row r="720">
      <c r="A720" s="7" t="s">
        <v>5621</v>
      </c>
      <c r="B720" s="18" t="s">
        <v>5622</v>
      </c>
      <c r="C720" s="3" t="s">
        <v>4210</v>
      </c>
    </row>
    <row r="721">
      <c r="A721" s="7" t="s">
        <v>5613</v>
      </c>
      <c r="B721" s="18" t="s">
        <v>5614</v>
      </c>
      <c r="C721" s="3" t="s">
        <v>4210</v>
      </c>
    </row>
    <row r="722">
      <c r="A722" s="7" t="s">
        <v>5623</v>
      </c>
      <c r="B722" s="18" t="s">
        <v>5624</v>
      </c>
      <c r="C722" s="3" t="s">
        <v>4210</v>
      </c>
    </row>
    <row r="723">
      <c r="A723" s="7" t="s">
        <v>5625</v>
      </c>
      <c r="B723" s="18" t="s">
        <v>5626</v>
      </c>
      <c r="C723" s="3" t="s">
        <v>4210</v>
      </c>
    </row>
    <row r="724">
      <c r="A724" s="7" t="s">
        <v>5627</v>
      </c>
      <c r="B724" s="18" t="s">
        <v>5628</v>
      </c>
      <c r="C724" s="3" t="s">
        <v>4210</v>
      </c>
    </row>
    <row r="725">
      <c r="A725" s="7" t="s">
        <v>5629</v>
      </c>
      <c r="B725" s="18" t="s">
        <v>5630</v>
      </c>
      <c r="C725" s="3" t="s">
        <v>4210</v>
      </c>
    </row>
    <row r="726">
      <c r="A726" s="7" t="s">
        <v>5631</v>
      </c>
      <c r="B726" s="18" t="s">
        <v>5632</v>
      </c>
      <c r="C726" s="3" t="s">
        <v>4210</v>
      </c>
    </row>
    <row r="727">
      <c r="A727" s="7" t="s">
        <v>5633</v>
      </c>
      <c r="B727" s="18" t="s">
        <v>5634</v>
      </c>
      <c r="C727" s="3" t="s">
        <v>4210</v>
      </c>
    </row>
    <row r="728">
      <c r="A728" s="7" t="s">
        <v>5635</v>
      </c>
      <c r="B728" s="18" t="s">
        <v>5636</v>
      </c>
      <c r="C728" s="3" t="s">
        <v>4210</v>
      </c>
    </row>
    <row r="729">
      <c r="A729" s="7" t="s">
        <v>5637</v>
      </c>
      <c r="B729" s="18" t="s">
        <v>5638</v>
      </c>
      <c r="C729" s="3" t="s">
        <v>4210</v>
      </c>
    </row>
    <row r="730">
      <c r="A730" s="7" t="s">
        <v>5639</v>
      </c>
      <c r="B730" s="18" t="s">
        <v>5640</v>
      </c>
      <c r="C730" s="3" t="s">
        <v>4210</v>
      </c>
    </row>
    <row r="731">
      <c r="A731" s="7" t="s">
        <v>5641</v>
      </c>
      <c r="B731" s="18" t="s">
        <v>5642</v>
      </c>
      <c r="C731" s="3" t="s">
        <v>4210</v>
      </c>
    </row>
    <row r="732">
      <c r="A732" s="7" t="s">
        <v>5643</v>
      </c>
      <c r="B732" s="18" t="s">
        <v>5644</v>
      </c>
      <c r="C732" s="3" t="s">
        <v>4210</v>
      </c>
    </row>
    <row r="733">
      <c r="A733" s="7" t="s">
        <v>5645</v>
      </c>
      <c r="B733" s="18" t="s">
        <v>5646</v>
      </c>
      <c r="C733" s="3" t="s">
        <v>4210</v>
      </c>
    </row>
    <row r="734">
      <c r="A734" s="7" t="s">
        <v>5647</v>
      </c>
      <c r="B734" s="18" t="s">
        <v>5648</v>
      </c>
      <c r="C734" s="3" t="s">
        <v>4210</v>
      </c>
    </row>
    <row r="735">
      <c r="A735" s="7" t="s">
        <v>5649</v>
      </c>
      <c r="B735" s="18" t="s">
        <v>5650</v>
      </c>
      <c r="C735" s="3" t="s">
        <v>4210</v>
      </c>
    </row>
    <row r="736">
      <c r="A736" s="7" t="s">
        <v>5651</v>
      </c>
      <c r="B736" s="18" t="s">
        <v>5652</v>
      </c>
      <c r="C736" s="3" t="s">
        <v>4210</v>
      </c>
    </row>
    <row r="737">
      <c r="A737" s="7" t="s">
        <v>5653</v>
      </c>
      <c r="B737" s="18" t="s">
        <v>5654</v>
      </c>
      <c r="C737" s="3" t="s">
        <v>4210</v>
      </c>
    </row>
    <row r="738">
      <c r="A738" s="7" t="s">
        <v>5655</v>
      </c>
      <c r="B738" s="18" t="s">
        <v>5656</v>
      </c>
      <c r="C738" s="3" t="s">
        <v>4210</v>
      </c>
    </row>
    <row r="739">
      <c r="A739" s="7" t="s">
        <v>5657</v>
      </c>
      <c r="B739" s="18" t="s">
        <v>5658</v>
      </c>
      <c r="C739" s="3" t="s">
        <v>4210</v>
      </c>
    </row>
    <row r="740">
      <c r="A740" s="7" t="s">
        <v>5659</v>
      </c>
      <c r="B740" s="18" t="s">
        <v>5660</v>
      </c>
      <c r="C740" s="3" t="s">
        <v>4210</v>
      </c>
    </row>
    <row r="741">
      <c r="A741" s="7" t="s">
        <v>5661</v>
      </c>
      <c r="B741" s="18" t="s">
        <v>5662</v>
      </c>
      <c r="C741" s="3" t="s">
        <v>4210</v>
      </c>
    </row>
    <row r="742">
      <c r="A742" s="7" t="s">
        <v>5663</v>
      </c>
      <c r="B742" s="18" t="s">
        <v>5664</v>
      </c>
      <c r="C742" s="3" t="s">
        <v>4210</v>
      </c>
    </row>
    <row r="743">
      <c r="A743" s="7" t="s">
        <v>5665</v>
      </c>
      <c r="B743" s="18" t="s">
        <v>5666</v>
      </c>
      <c r="C743" s="3" t="s">
        <v>4210</v>
      </c>
    </row>
    <row r="744">
      <c r="A744" s="7" t="s">
        <v>5667</v>
      </c>
      <c r="B744" s="18" t="s">
        <v>5668</v>
      </c>
      <c r="C744" s="3" t="s">
        <v>4210</v>
      </c>
    </row>
    <row r="745">
      <c r="A745" s="7" t="s">
        <v>5669</v>
      </c>
      <c r="B745" s="18" t="s">
        <v>5670</v>
      </c>
      <c r="C745" s="3" t="s">
        <v>4210</v>
      </c>
    </row>
    <row r="746">
      <c r="A746" s="7" t="s">
        <v>5671</v>
      </c>
      <c r="B746" s="18" t="s">
        <v>4447</v>
      </c>
      <c r="C746" s="3" t="s">
        <v>4339</v>
      </c>
    </row>
    <row r="747">
      <c r="A747" s="7" t="s">
        <v>5672</v>
      </c>
      <c r="B747" s="18" t="s">
        <v>5673</v>
      </c>
      <c r="C747" s="3" t="s">
        <v>4210</v>
      </c>
    </row>
    <row r="748">
      <c r="A748" s="7" t="s">
        <v>5674</v>
      </c>
      <c r="B748" s="18" t="s">
        <v>5675</v>
      </c>
      <c r="C748" s="3" t="s">
        <v>4210</v>
      </c>
    </row>
    <row r="749">
      <c r="A749" s="7" t="s">
        <v>5676</v>
      </c>
      <c r="B749" s="18" t="s">
        <v>5677</v>
      </c>
      <c r="C749" s="3" t="s">
        <v>4210</v>
      </c>
    </row>
    <row r="750">
      <c r="A750" s="7" t="s">
        <v>5678</v>
      </c>
      <c r="B750" s="18" t="s">
        <v>5679</v>
      </c>
      <c r="C750" s="3" t="s">
        <v>4210</v>
      </c>
    </row>
    <row r="751">
      <c r="A751" s="7" t="s">
        <v>5680</v>
      </c>
      <c r="B751" s="18" t="s">
        <v>5681</v>
      </c>
      <c r="C751" s="3" t="s">
        <v>4210</v>
      </c>
    </row>
    <row r="752">
      <c r="A752" s="7" t="s">
        <v>5682</v>
      </c>
      <c r="B752" s="18" t="s">
        <v>5683</v>
      </c>
      <c r="C752" s="3" t="s">
        <v>4210</v>
      </c>
    </row>
    <row r="753">
      <c r="A753" s="7" t="s">
        <v>5684</v>
      </c>
      <c r="B753" s="18" t="s">
        <v>5685</v>
      </c>
      <c r="C753" s="3" t="s">
        <v>4210</v>
      </c>
    </row>
    <row r="754">
      <c r="A754" s="7" t="s">
        <v>5686</v>
      </c>
      <c r="B754" s="18" t="s">
        <v>5687</v>
      </c>
      <c r="C754" s="3" t="s">
        <v>4210</v>
      </c>
    </row>
    <row r="755">
      <c r="A755" s="7" t="s">
        <v>5688</v>
      </c>
      <c r="B755" s="18" t="s">
        <v>5689</v>
      </c>
      <c r="C755" s="3" t="s">
        <v>4210</v>
      </c>
    </row>
    <row r="756">
      <c r="A756" s="7" t="s">
        <v>5690</v>
      </c>
      <c r="B756" s="18" t="s">
        <v>5691</v>
      </c>
      <c r="C756" s="3" t="s">
        <v>4210</v>
      </c>
    </row>
    <row r="757">
      <c r="A757" s="7" t="s">
        <v>5692</v>
      </c>
      <c r="B757" s="18" t="s">
        <v>5693</v>
      </c>
      <c r="C757" s="3" t="s">
        <v>4210</v>
      </c>
    </row>
    <row r="758">
      <c r="A758" s="7" t="s">
        <v>5694</v>
      </c>
      <c r="B758" s="18" t="s">
        <v>5695</v>
      </c>
      <c r="C758" s="3" t="s">
        <v>4210</v>
      </c>
    </row>
    <row r="759">
      <c r="A759" s="7" t="s">
        <v>5696</v>
      </c>
      <c r="B759" s="18" t="s">
        <v>5697</v>
      </c>
      <c r="C759" s="3" t="s">
        <v>4210</v>
      </c>
    </row>
    <row r="760">
      <c r="A760" s="7" t="s">
        <v>5698</v>
      </c>
      <c r="B760" s="18" t="s">
        <v>5699</v>
      </c>
      <c r="C760" s="3" t="s">
        <v>4210</v>
      </c>
    </row>
    <row r="761">
      <c r="A761" s="7" t="s">
        <v>5700</v>
      </c>
      <c r="B761" s="18" t="s">
        <v>5701</v>
      </c>
      <c r="C761" s="3" t="s">
        <v>4210</v>
      </c>
    </row>
    <row r="762">
      <c r="A762" s="7" t="s">
        <v>5702</v>
      </c>
      <c r="B762" s="18" t="s">
        <v>5703</v>
      </c>
      <c r="C762" s="3" t="s">
        <v>4210</v>
      </c>
    </row>
    <row r="763">
      <c r="A763" s="7" t="s">
        <v>5704</v>
      </c>
      <c r="B763" s="18" t="s">
        <v>5705</v>
      </c>
      <c r="C763" s="3" t="s">
        <v>4210</v>
      </c>
    </row>
    <row r="764">
      <c r="A764" s="7" t="s">
        <v>5706</v>
      </c>
      <c r="B764" s="18" t="s">
        <v>5707</v>
      </c>
      <c r="C764" s="3" t="s">
        <v>4210</v>
      </c>
    </row>
    <row r="765">
      <c r="A765" s="7" t="s">
        <v>5708</v>
      </c>
      <c r="B765" s="18" t="s">
        <v>5709</v>
      </c>
      <c r="C765" s="3" t="s">
        <v>4210</v>
      </c>
    </row>
    <row r="766">
      <c r="A766" s="7" t="s">
        <v>5710</v>
      </c>
      <c r="B766" s="18" t="s">
        <v>5711</v>
      </c>
      <c r="C766" s="3" t="s">
        <v>4210</v>
      </c>
    </row>
    <row r="767">
      <c r="A767" s="7" t="s">
        <v>5712</v>
      </c>
      <c r="B767" s="18" t="s">
        <v>5713</v>
      </c>
      <c r="C767" s="3" t="s">
        <v>4210</v>
      </c>
    </row>
    <row r="768">
      <c r="A768" s="7" t="s">
        <v>5714</v>
      </c>
      <c r="B768" s="18" t="s">
        <v>5715</v>
      </c>
      <c r="C768" s="3" t="s">
        <v>4210</v>
      </c>
    </row>
    <row r="769">
      <c r="A769" s="7" t="s">
        <v>5716</v>
      </c>
      <c r="B769" s="18" t="s">
        <v>5717</v>
      </c>
      <c r="C769" s="3" t="s">
        <v>4210</v>
      </c>
    </row>
    <row r="770">
      <c r="A770" s="7" t="s">
        <v>5718</v>
      </c>
      <c r="B770" s="18" t="s">
        <v>5719</v>
      </c>
      <c r="C770" s="3" t="s">
        <v>4210</v>
      </c>
    </row>
    <row r="771">
      <c r="A771" s="7" t="s">
        <v>5720</v>
      </c>
      <c r="B771" s="18" t="s">
        <v>5721</v>
      </c>
      <c r="C771" s="3" t="s">
        <v>4210</v>
      </c>
    </row>
    <row r="772">
      <c r="A772" s="7" t="s">
        <v>5722</v>
      </c>
      <c r="B772" s="18" t="s">
        <v>5723</v>
      </c>
      <c r="C772" s="3" t="s">
        <v>4210</v>
      </c>
    </row>
    <row r="773">
      <c r="A773" s="7" t="s">
        <v>5724</v>
      </c>
      <c r="B773" s="18" t="s">
        <v>5725</v>
      </c>
      <c r="C773" s="3" t="s">
        <v>4210</v>
      </c>
    </row>
    <row r="774">
      <c r="A774" s="7" t="s">
        <v>5726</v>
      </c>
      <c r="B774" s="18" t="s">
        <v>5727</v>
      </c>
      <c r="C774" s="3" t="s">
        <v>4210</v>
      </c>
    </row>
    <row r="775">
      <c r="A775" s="7" t="s">
        <v>5728</v>
      </c>
      <c r="B775" s="18" t="s">
        <v>5729</v>
      </c>
      <c r="C775" s="3" t="s">
        <v>4210</v>
      </c>
    </row>
    <row r="776">
      <c r="A776" s="7" t="s">
        <v>5730</v>
      </c>
      <c r="B776" s="18" t="s">
        <v>5731</v>
      </c>
      <c r="C776" s="3" t="s">
        <v>4210</v>
      </c>
    </row>
    <row r="777">
      <c r="A777" s="7" t="s">
        <v>5732</v>
      </c>
      <c r="B777" s="18" t="s">
        <v>5733</v>
      </c>
      <c r="C777" s="3" t="s">
        <v>4210</v>
      </c>
    </row>
    <row r="778">
      <c r="A778" s="7" t="s">
        <v>5734</v>
      </c>
      <c r="B778" s="18" t="s">
        <v>5735</v>
      </c>
      <c r="C778" s="3" t="s">
        <v>4210</v>
      </c>
    </row>
    <row r="779">
      <c r="A779" s="7" t="s">
        <v>5736</v>
      </c>
      <c r="B779" s="18" t="s">
        <v>5737</v>
      </c>
      <c r="C779" s="3" t="s">
        <v>4210</v>
      </c>
    </row>
    <row r="780">
      <c r="A780" s="7" t="s">
        <v>5738</v>
      </c>
      <c r="B780" s="18" t="s">
        <v>5739</v>
      </c>
      <c r="C780" s="3" t="s">
        <v>4210</v>
      </c>
    </row>
    <row r="781">
      <c r="A781" s="7" t="s">
        <v>5740</v>
      </c>
      <c r="B781" s="18" t="s">
        <v>5741</v>
      </c>
      <c r="C781" s="3" t="s">
        <v>4210</v>
      </c>
    </row>
    <row r="782">
      <c r="A782" s="7" t="s">
        <v>5742</v>
      </c>
      <c r="B782" s="18" t="s">
        <v>5743</v>
      </c>
      <c r="C782" s="3" t="s">
        <v>4210</v>
      </c>
    </row>
    <row r="783">
      <c r="A783" s="7" t="s">
        <v>5744</v>
      </c>
      <c r="B783" s="18" t="s">
        <v>5654</v>
      </c>
      <c r="C783" s="3" t="s">
        <v>4339</v>
      </c>
    </row>
    <row r="784">
      <c r="A784" s="7" t="s">
        <v>5745</v>
      </c>
      <c r="B784" s="18" t="s">
        <v>5746</v>
      </c>
      <c r="C784" s="3" t="s">
        <v>4210</v>
      </c>
    </row>
    <row r="785">
      <c r="A785" s="7" t="s">
        <v>5747</v>
      </c>
      <c r="B785" s="18" t="s">
        <v>5748</v>
      </c>
      <c r="C785" s="3" t="s">
        <v>4210</v>
      </c>
    </row>
    <row r="786">
      <c r="A786" s="7" t="s">
        <v>5749</v>
      </c>
      <c r="B786" s="18" t="s">
        <v>5750</v>
      </c>
      <c r="C786" s="3" t="s">
        <v>4210</v>
      </c>
    </row>
    <row r="787">
      <c r="A787" s="7" t="s">
        <v>5751</v>
      </c>
      <c r="B787" s="18" t="s">
        <v>5752</v>
      </c>
      <c r="C787" s="3" t="s">
        <v>4210</v>
      </c>
    </row>
    <row r="788">
      <c r="A788" s="7" t="s">
        <v>5753</v>
      </c>
      <c r="B788" s="18" t="s">
        <v>5754</v>
      </c>
      <c r="C788" s="3" t="s">
        <v>4210</v>
      </c>
    </row>
    <row r="789">
      <c r="A789" s="7" t="s">
        <v>5755</v>
      </c>
      <c r="B789" s="18" t="s">
        <v>5756</v>
      </c>
      <c r="C789" s="3" t="s">
        <v>4210</v>
      </c>
    </row>
    <row r="790">
      <c r="A790" s="7" t="s">
        <v>5757</v>
      </c>
      <c r="B790" s="18" t="s">
        <v>5758</v>
      </c>
      <c r="C790" s="3" t="s">
        <v>4210</v>
      </c>
    </row>
    <row r="791">
      <c r="A791" s="7" t="s">
        <v>5759</v>
      </c>
      <c r="B791" s="18" t="s">
        <v>5760</v>
      </c>
      <c r="C791" s="3" t="s">
        <v>4210</v>
      </c>
    </row>
    <row r="792">
      <c r="A792" s="7" t="s">
        <v>5761</v>
      </c>
      <c r="B792" s="18" t="s">
        <v>5762</v>
      </c>
      <c r="C792" s="3" t="s">
        <v>4210</v>
      </c>
    </row>
    <row r="793">
      <c r="A793" s="7" t="s">
        <v>5763</v>
      </c>
      <c r="B793" s="18" t="s">
        <v>5764</v>
      </c>
      <c r="C793" s="3" t="s">
        <v>4210</v>
      </c>
    </row>
    <row r="794">
      <c r="A794" s="7" t="s">
        <v>5765</v>
      </c>
      <c r="B794" s="18" t="s">
        <v>5766</v>
      </c>
      <c r="C794" s="3" t="s">
        <v>4210</v>
      </c>
    </row>
    <row r="795">
      <c r="A795" s="7" t="s">
        <v>5767</v>
      </c>
      <c r="B795" s="18" t="s">
        <v>5768</v>
      </c>
      <c r="C795" s="3" t="s">
        <v>4210</v>
      </c>
    </row>
    <row r="796">
      <c r="A796" s="7" t="s">
        <v>5769</v>
      </c>
      <c r="B796" s="18" t="s">
        <v>5770</v>
      </c>
      <c r="C796" s="3" t="s">
        <v>4210</v>
      </c>
    </row>
    <row r="797">
      <c r="A797" s="7" t="s">
        <v>5771</v>
      </c>
      <c r="B797" s="18" t="s">
        <v>5772</v>
      </c>
      <c r="C797" s="3" t="s">
        <v>4210</v>
      </c>
    </row>
    <row r="798">
      <c r="A798" s="7" t="s">
        <v>5773</v>
      </c>
      <c r="B798" s="18" t="s">
        <v>5772</v>
      </c>
      <c r="C798" s="3" t="s">
        <v>4210</v>
      </c>
    </row>
    <row r="799">
      <c r="A799" s="7" t="s">
        <v>5774</v>
      </c>
      <c r="B799" s="18" t="s">
        <v>5775</v>
      </c>
      <c r="C799" s="3" t="s">
        <v>4210</v>
      </c>
    </row>
    <row r="800">
      <c r="A800" s="7" t="s">
        <v>5776</v>
      </c>
      <c r="B800" s="18" t="s">
        <v>5777</v>
      </c>
      <c r="C800" s="3" t="s">
        <v>4210</v>
      </c>
    </row>
    <row r="801">
      <c r="A801" s="7" t="s">
        <v>5778</v>
      </c>
      <c r="B801" s="18" t="s">
        <v>5779</v>
      </c>
      <c r="C801" s="3" t="s">
        <v>4210</v>
      </c>
    </row>
    <row r="802">
      <c r="A802" s="7" t="s">
        <v>5780</v>
      </c>
      <c r="B802" s="18" t="s">
        <v>5781</v>
      </c>
      <c r="C802" s="3" t="s">
        <v>4210</v>
      </c>
    </row>
    <row r="803">
      <c r="A803" s="7" t="s">
        <v>5782</v>
      </c>
      <c r="B803" s="18" t="s">
        <v>5783</v>
      </c>
      <c r="C803" s="3" t="s">
        <v>4210</v>
      </c>
    </row>
    <row r="804">
      <c r="A804" s="7" t="s">
        <v>5784</v>
      </c>
      <c r="B804" s="18" t="s">
        <v>5785</v>
      </c>
      <c r="C804" s="3" t="s">
        <v>4210</v>
      </c>
    </row>
    <row r="805">
      <c r="A805" s="7" t="s">
        <v>5786</v>
      </c>
      <c r="B805" s="18" t="s">
        <v>5787</v>
      </c>
      <c r="C805" s="3" t="s">
        <v>4210</v>
      </c>
    </row>
    <row r="806">
      <c r="A806" s="7" t="s">
        <v>5788</v>
      </c>
      <c r="B806" s="18" t="s">
        <v>5789</v>
      </c>
      <c r="C806" s="3" t="s">
        <v>4210</v>
      </c>
    </row>
    <row r="807">
      <c r="A807" s="7" t="s">
        <v>5790</v>
      </c>
      <c r="B807" s="18" t="s">
        <v>5791</v>
      </c>
      <c r="C807" s="3" t="s">
        <v>4210</v>
      </c>
    </row>
    <row r="808">
      <c r="A808" s="7" t="s">
        <v>5792</v>
      </c>
      <c r="B808" s="18" t="s">
        <v>5793</v>
      </c>
      <c r="C808" s="3" t="s">
        <v>4210</v>
      </c>
    </row>
    <row r="809">
      <c r="A809" s="7" t="s">
        <v>5794</v>
      </c>
      <c r="B809" s="18" t="s">
        <v>5795</v>
      </c>
      <c r="C809" s="3" t="s">
        <v>4210</v>
      </c>
    </row>
    <row r="810">
      <c r="A810" s="7" t="s">
        <v>5796</v>
      </c>
      <c r="B810" s="18" t="s">
        <v>5797</v>
      </c>
      <c r="C810" s="3" t="s">
        <v>4210</v>
      </c>
    </row>
    <row r="811">
      <c r="A811" s="7" t="s">
        <v>5798</v>
      </c>
      <c r="B811" s="18" t="s">
        <v>5799</v>
      </c>
      <c r="C811" s="3" t="s">
        <v>4210</v>
      </c>
    </row>
    <row r="812">
      <c r="A812" s="7" t="s">
        <v>5800</v>
      </c>
      <c r="B812" s="18" t="s">
        <v>5801</v>
      </c>
      <c r="C812" s="3" t="s">
        <v>4210</v>
      </c>
    </row>
    <row r="813">
      <c r="A813" s="7" t="s">
        <v>5802</v>
      </c>
      <c r="B813" s="18" t="s">
        <v>5803</v>
      </c>
      <c r="C813" s="3" t="s">
        <v>4210</v>
      </c>
    </row>
    <row r="814">
      <c r="A814" s="7" t="s">
        <v>5804</v>
      </c>
      <c r="B814" s="18" t="s">
        <v>5805</v>
      </c>
      <c r="C814" s="3" t="s">
        <v>4210</v>
      </c>
    </row>
    <row r="815">
      <c r="A815" s="7" t="s">
        <v>5806</v>
      </c>
      <c r="B815" s="18" t="s">
        <v>5807</v>
      </c>
      <c r="C815" s="3" t="s">
        <v>4210</v>
      </c>
    </row>
    <row r="816">
      <c r="A816" s="7" t="s">
        <v>5808</v>
      </c>
      <c r="B816" s="18" t="s">
        <v>5809</v>
      </c>
      <c r="C816" s="3" t="s">
        <v>4210</v>
      </c>
    </row>
    <row r="817">
      <c r="A817" s="7" t="s">
        <v>5810</v>
      </c>
      <c r="B817" s="18" t="s">
        <v>5811</v>
      </c>
      <c r="C817" s="3" t="s">
        <v>4210</v>
      </c>
    </row>
    <row r="818">
      <c r="A818" s="7" t="s">
        <v>5812</v>
      </c>
      <c r="B818" s="18" t="s">
        <v>5813</v>
      </c>
      <c r="C818" s="3" t="s">
        <v>4210</v>
      </c>
    </row>
    <row r="819">
      <c r="A819" s="7" t="s">
        <v>5814</v>
      </c>
      <c r="B819" s="18" t="s">
        <v>5815</v>
      </c>
      <c r="C819" s="3" t="s">
        <v>4210</v>
      </c>
    </row>
    <row r="820">
      <c r="A820" s="7" t="s">
        <v>5816</v>
      </c>
      <c r="B820" s="18" t="s">
        <v>5817</v>
      </c>
      <c r="C820" s="3" t="s">
        <v>4210</v>
      </c>
    </row>
    <row r="821">
      <c r="A821" s="7" t="s">
        <v>5818</v>
      </c>
      <c r="B821" s="18" t="s">
        <v>5819</v>
      </c>
      <c r="C821" s="3" t="s">
        <v>4210</v>
      </c>
    </row>
    <row r="822">
      <c r="A822" s="7" t="s">
        <v>5820</v>
      </c>
      <c r="B822" s="18" t="s">
        <v>5821</v>
      </c>
      <c r="C822" s="3" t="s">
        <v>4210</v>
      </c>
    </row>
    <row r="823">
      <c r="A823" s="7" t="s">
        <v>5822</v>
      </c>
      <c r="B823" s="18" t="s">
        <v>5823</v>
      </c>
      <c r="C823" s="3" t="s">
        <v>4210</v>
      </c>
    </row>
    <row r="824">
      <c r="A824" s="7" t="s">
        <v>5824</v>
      </c>
      <c r="B824" s="18" t="s">
        <v>5825</v>
      </c>
      <c r="C824" s="3" t="s">
        <v>4210</v>
      </c>
    </row>
    <row r="825">
      <c r="A825" s="7" t="s">
        <v>5826</v>
      </c>
      <c r="B825" s="18" t="s">
        <v>5827</v>
      </c>
      <c r="C825" s="3" t="s">
        <v>4210</v>
      </c>
    </row>
    <row r="826">
      <c r="A826" s="7" t="s">
        <v>5828</v>
      </c>
      <c r="B826" s="18" t="s">
        <v>5829</v>
      </c>
      <c r="C826" s="3" t="s">
        <v>4210</v>
      </c>
    </row>
    <row r="827">
      <c r="A827" s="7" t="s">
        <v>5830</v>
      </c>
      <c r="B827" s="18" t="s">
        <v>5831</v>
      </c>
      <c r="C827" s="3" t="s">
        <v>4210</v>
      </c>
    </row>
    <row r="828">
      <c r="A828" s="7" t="s">
        <v>5832</v>
      </c>
      <c r="B828" s="18" t="s">
        <v>5833</v>
      </c>
      <c r="C828" s="3" t="s">
        <v>4210</v>
      </c>
    </row>
    <row r="829">
      <c r="A829" s="7" t="s">
        <v>5834</v>
      </c>
      <c r="B829" s="18" t="s">
        <v>5835</v>
      </c>
      <c r="C829" s="3" t="s">
        <v>4210</v>
      </c>
    </row>
    <row r="830">
      <c r="A830" s="7" t="s">
        <v>5836</v>
      </c>
      <c r="B830" s="18" t="s">
        <v>5837</v>
      </c>
      <c r="C830" s="3" t="s">
        <v>4210</v>
      </c>
    </row>
    <row r="831">
      <c r="A831" s="7" t="s">
        <v>5838</v>
      </c>
      <c r="B831" s="18" t="s">
        <v>5839</v>
      </c>
      <c r="C831" s="3" t="s">
        <v>4210</v>
      </c>
    </row>
    <row r="832">
      <c r="A832" s="7" t="s">
        <v>5840</v>
      </c>
      <c r="B832" s="18" t="s">
        <v>5841</v>
      </c>
      <c r="C832" s="3" t="s">
        <v>4210</v>
      </c>
    </row>
    <row r="833">
      <c r="A833" s="7" t="s">
        <v>5842</v>
      </c>
      <c r="B833" s="18" t="s">
        <v>5843</v>
      </c>
      <c r="C833" s="3" t="s">
        <v>4210</v>
      </c>
    </row>
    <row r="834">
      <c r="A834" s="7" t="s">
        <v>5844</v>
      </c>
      <c r="B834" s="18" t="s">
        <v>5845</v>
      </c>
      <c r="C834" s="3" t="s">
        <v>4210</v>
      </c>
    </row>
    <row r="835">
      <c r="A835" s="7" t="s">
        <v>5846</v>
      </c>
      <c r="B835" s="18" t="s">
        <v>5847</v>
      </c>
      <c r="C835" s="3" t="s">
        <v>4210</v>
      </c>
    </row>
    <row r="836">
      <c r="A836" s="7" t="s">
        <v>5848</v>
      </c>
      <c r="B836" s="18" t="s">
        <v>5849</v>
      </c>
      <c r="C836" s="3" t="s">
        <v>4210</v>
      </c>
    </row>
    <row r="837">
      <c r="A837" s="7" t="s">
        <v>5850</v>
      </c>
      <c r="B837" s="18" t="s">
        <v>5849</v>
      </c>
      <c r="C837" s="3" t="s">
        <v>4210</v>
      </c>
    </row>
    <row r="838">
      <c r="A838" s="7" t="s">
        <v>5851</v>
      </c>
      <c r="B838" s="18" t="s">
        <v>5852</v>
      </c>
      <c r="C838" s="3" t="s">
        <v>4210</v>
      </c>
    </row>
    <row r="839">
      <c r="A839" s="7" t="s">
        <v>5853</v>
      </c>
      <c r="B839" s="18" t="s">
        <v>5854</v>
      </c>
      <c r="C839" s="3" t="s">
        <v>4210</v>
      </c>
    </row>
    <row r="840">
      <c r="A840" s="7" t="s">
        <v>5855</v>
      </c>
      <c r="B840" s="18" t="s">
        <v>5856</v>
      </c>
      <c r="C840" s="3" t="s">
        <v>4210</v>
      </c>
    </row>
    <row r="841">
      <c r="A841" s="7" t="s">
        <v>5857</v>
      </c>
      <c r="B841" s="18" t="s">
        <v>5858</v>
      </c>
      <c r="C841" s="3" t="s">
        <v>4210</v>
      </c>
    </row>
    <row r="842">
      <c r="A842" s="7" t="s">
        <v>5859</v>
      </c>
      <c r="B842" s="18" t="s">
        <v>5860</v>
      </c>
      <c r="C842" s="3" t="s">
        <v>4210</v>
      </c>
    </row>
    <row r="843">
      <c r="A843" s="7" t="s">
        <v>5861</v>
      </c>
      <c r="B843" s="18" t="s">
        <v>5862</v>
      </c>
      <c r="C843" s="3" t="s">
        <v>4210</v>
      </c>
    </row>
    <row r="844">
      <c r="A844" s="7" t="s">
        <v>5863</v>
      </c>
      <c r="B844" s="18" t="s">
        <v>5864</v>
      </c>
      <c r="C844" s="3" t="s">
        <v>4210</v>
      </c>
    </row>
    <row r="845">
      <c r="A845" s="7" t="s">
        <v>5865</v>
      </c>
      <c r="B845" s="18" t="s">
        <v>5866</v>
      </c>
      <c r="C845" s="3" t="s">
        <v>4210</v>
      </c>
    </row>
    <row r="846">
      <c r="A846" s="7" t="s">
        <v>5867</v>
      </c>
      <c r="B846" s="18" t="s">
        <v>5868</v>
      </c>
      <c r="C846" s="3" t="s">
        <v>4210</v>
      </c>
    </row>
    <row r="847">
      <c r="A847" s="7" t="s">
        <v>5869</v>
      </c>
      <c r="B847" s="18" t="s">
        <v>5870</v>
      </c>
      <c r="C847" s="3" t="s">
        <v>4210</v>
      </c>
    </row>
    <row r="848">
      <c r="A848" s="7" t="s">
        <v>5871</v>
      </c>
      <c r="B848" s="18" t="s">
        <v>5872</v>
      </c>
      <c r="C848" s="3" t="s">
        <v>4210</v>
      </c>
    </row>
    <row r="849">
      <c r="A849" s="7" t="s">
        <v>5873</v>
      </c>
      <c r="B849" s="18" t="s">
        <v>5862</v>
      </c>
      <c r="C849" s="3" t="s">
        <v>4210</v>
      </c>
    </row>
    <row r="850">
      <c r="A850" s="7" t="s">
        <v>5874</v>
      </c>
      <c r="B850" s="18" t="s">
        <v>5875</v>
      </c>
      <c r="C850" s="3" t="s">
        <v>4210</v>
      </c>
    </row>
    <row r="851">
      <c r="A851" s="7" t="s">
        <v>5876</v>
      </c>
      <c r="B851" s="18" t="s">
        <v>5877</v>
      </c>
      <c r="C851" s="3" t="s">
        <v>4210</v>
      </c>
    </row>
    <row r="852">
      <c r="A852" s="7" t="s">
        <v>5878</v>
      </c>
      <c r="B852" s="18" t="s">
        <v>5879</v>
      </c>
      <c r="C852" s="3" t="s">
        <v>4210</v>
      </c>
    </row>
    <row r="853">
      <c r="A853" s="7" t="s">
        <v>5880</v>
      </c>
      <c r="B853" s="18" t="s">
        <v>5881</v>
      </c>
      <c r="C853" s="3" t="s">
        <v>4210</v>
      </c>
    </row>
    <row r="854">
      <c r="A854" s="7" t="s">
        <v>5882</v>
      </c>
      <c r="B854" s="18" t="s">
        <v>5883</v>
      </c>
      <c r="C854" s="3" t="s">
        <v>4210</v>
      </c>
    </row>
    <row r="855">
      <c r="A855" s="7" t="s">
        <v>5884</v>
      </c>
      <c r="B855" s="18" t="s">
        <v>5885</v>
      </c>
      <c r="C855" s="3" t="s">
        <v>4210</v>
      </c>
    </row>
    <row r="856">
      <c r="A856" s="7" t="s">
        <v>5884</v>
      </c>
      <c r="B856" s="18" t="s">
        <v>5885</v>
      </c>
      <c r="C856" s="3" t="s">
        <v>4210</v>
      </c>
    </row>
    <row r="857">
      <c r="A857" s="7" t="s">
        <v>5886</v>
      </c>
      <c r="B857" s="18" t="s">
        <v>5887</v>
      </c>
      <c r="C857" s="3" t="s">
        <v>4210</v>
      </c>
    </row>
    <row r="858">
      <c r="A858" s="7" t="s">
        <v>5888</v>
      </c>
      <c r="B858" s="18" t="s">
        <v>5889</v>
      </c>
      <c r="C858" s="3" t="s">
        <v>4210</v>
      </c>
    </row>
    <row r="859">
      <c r="A859" s="7" t="s">
        <v>5890</v>
      </c>
      <c r="B859" s="18" t="s">
        <v>5891</v>
      </c>
      <c r="C859" s="3" t="s">
        <v>4210</v>
      </c>
    </row>
    <row r="860">
      <c r="A860" s="7" t="s">
        <v>5892</v>
      </c>
      <c r="B860" s="18" t="s">
        <v>5893</v>
      </c>
      <c r="C860" s="3" t="s">
        <v>4210</v>
      </c>
    </row>
    <row r="861">
      <c r="A861" s="7" t="s">
        <v>5894</v>
      </c>
      <c r="B861" s="18" t="s">
        <v>5895</v>
      </c>
      <c r="C861" s="3" t="s">
        <v>4210</v>
      </c>
    </row>
    <row r="862">
      <c r="A862" s="7" t="s">
        <v>5896</v>
      </c>
      <c r="B862" s="18" t="s">
        <v>5897</v>
      </c>
      <c r="C862" s="3" t="s">
        <v>4210</v>
      </c>
    </row>
    <row r="863">
      <c r="A863" s="7" t="s">
        <v>5898</v>
      </c>
      <c r="B863" s="18" t="s">
        <v>5899</v>
      </c>
      <c r="C863" s="3" t="s">
        <v>4210</v>
      </c>
    </row>
    <row r="864">
      <c r="A864" s="7" t="s">
        <v>5900</v>
      </c>
      <c r="B864" s="18" t="s">
        <v>5901</v>
      </c>
      <c r="C864" s="3" t="s">
        <v>4210</v>
      </c>
    </row>
    <row r="865">
      <c r="A865" s="7" t="s">
        <v>5902</v>
      </c>
      <c r="B865" s="18" t="s">
        <v>4969</v>
      </c>
      <c r="C865" s="3" t="s">
        <v>4339</v>
      </c>
    </row>
    <row r="866">
      <c r="A866" s="7" t="s">
        <v>5903</v>
      </c>
      <c r="B866" s="18" t="s">
        <v>5904</v>
      </c>
      <c r="C866" s="3" t="s">
        <v>4210</v>
      </c>
    </row>
    <row r="867">
      <c r="A867" s="7" t="s">
        <v>5905</v>
      </c>
      <c r="B867" s="18" t="s">
        <v>5906</v>
      </c>
      <c r="C867" s="3" t="s">
        <v>4210</v>
      </c>
    </row>
    <row r="868">
      <c r="A868" s="7" t="s">
        <v>5907</v>
      </c>
      <c r="B868" s="18" t="s">
        <v>5908</v>
      </c>
      <c r="C868" s="3" t="s">
        <v>4210</v>
      </c>
    </row>
    <row r="869">
      <c r="A869" s="7" t="s">
        <v>5909</v>
      </c>
      <c r="B869" s="18" t="s">
        <v>5910</v>
      </c>
      <c r="C869" s="3" t="s">
        <v>4210</v>
      </c>
    </row>
    <row r="870">
      <c r="A870" s="7" t="s">
        <v>5911</v>
      </c>
      <c r="B870" s="18" t="s">
        <v>5912</v>
      </c>
      <c r="C870" s="3" t="s">
        <v>4210</v>
      </c>
    </row>
    <row r="871">
      <c r="A871" s="7" t="s">
        <v>5913</v>
      </c>
      <c r="B871" s="18" t="s">
        <v>5914</v>
      </c>
      <c r="C871" s="3" t="s">
        <v>4210</v>
      </c>
    </row>
    <row r="872">
      <c r="A872" s="7" t="s">
        <v>5915</v>
      </c>
      <c r="B872" s="18" t="s">
        <v>5916</v>
      </c>
      <c r="C872" s="3" t="s">
        <v>4210</v>
      </c>
    </row>
    <row r="873">
      <c r="A873" s="7" t="s">
        <v>5917</v>
      </c>
      <c r="B873" s="18" t="s">
        <v>5918</v>
      </c>
      <c r="C873" s="3" t="s">
        <v>4210</v>
      </c>
    </row>
    <row r="874">
      <c r="A874" s="7" t="s">
        <v>5919</v>
      </c>
      <c r="B874" s="18" t="s">
        <v>5920</v>
      </c>
      <c r="C874" s="3" t="s">
        <v>4210</v>
      </c>
    </row>
    <row r="875">
      <c r="A875" s="7" t="s">
        <v>5921</v>
      </c>
      <c r="B875" s="18" t="s">
        <v>5922</v>
      </c>
      <c r="C875" s="3" t="s">
        <v>4210</v>
      </c>
    </row>
    <row r="876">
      <c r="A876" s="7" t="s">
        <v>5923</v>
      </c>
      <c r="B876" s="18" t="s">
        <v>5918</v>
      </c>
      <c r="C876" s="3" t="s">
        <v>4210</v>
      </c>
    </row>
    <row r="877">
      <c r="A877" s="7" t="s">
        <v>5924</v>
      </c>
      <c r="B877" s="18" t="s">
        <v>5925</v>
      </c>
      <c r="C877" s="3" t="s">
        <v>4210</v>
      </c>
    </row>
    <row r="878">
      <c r="A878" s="7" t="s">
        <v>5926</v>
      </c>
      <c r="B878" s="18" t="s">
        <v>5927</v>
      </c>
      <c r="C878" s="3" t="s">
        <v>4210</v>
      </c>
    </row>
    <row r="879">
      <c r="A879" s="7" t="s">
        <v>5928</v>
      </c>
      <c r="B879" s="18" t="s">
        <v>5929</v>
      </c>
      <c r="C879" s="3" t="s">
        <v>4210</v>
      </c>
    </row>
    <row r="880">
      <c r="A880" s="7" t="s">
        <v>5930</v>
      </c>
      <c r="B880" s="18" t="s">
        <v>5931</v>
      </c>
      <c r="C880" s="3" t="s">
        <v>4210</v>
      </c>
    </row>
    <row r="881">
      <c r="A881" s="7" t="s">
        <v>5932</v>
      </c>
      <c r="B881" s="18" t="s">
        <v>5933</v>
      </c>
      <c r="C881" s="3" t="s">
        <v>4210</v>
      </c>
    </row>
    <row r="882">
      <c r="A882" s="7" t="s">
        <v>5934</v>
      </c>
      <c r="B882" s="18" t="s">
        <v>5935</v>
      </c>
      <c r="C882" s="3" t="s">
        <v>4210</v>
      </c>
    </row>
    <row r="883">
      <c r="A883" s="7" t="s">
        <v>5936</v>
      </c>
      <c r="B883" s="18" t="s">
        <v>5937</v>
      </c>
      <c r="C883" s="3" t="s">
        <v>4210</v>
      </c>
    </row>
    <row r="884">
      <c r="A884" s="7" t="s">
        <v>5938</v>
      </c>
      <c r="B884" s="18" t="s">
        <v>5939</v>
      </c>
      <c r="C884" s="3" t="s">
        <v>4210</v>
      </c>
    </row>
    <row r="885">
      <c r="A885" s="7" t="s">
        <v>5940</v>
      </c>
      <c r="B885" s="18" t="s">
        <v>5941</v>
      </c>
      <c r="C885" s="3" t="s">
        <v>4210</v>
      </c>
    </row>
    <row r="886">
      <c r="A886" s="7" t="s">
        <v>5942</v>
      </c>
      <c r="B886" s="18" t="s">
        <v>5943</v>
      </c>
      <c r="C886" s="3" t="s">
        <v>4210</v>
      </c>
    </row>
    <row r="887">
      <c r="A887" s="7" t="s">
        <v>5944</v>
      </c>
      <c r="B887" s="18" t="s">
        <v>5945</v>
      </c>
      <c r="C887" s="3" t="s">
        <v>4210</v>
      </c>
    </row>
    <row r="888">
      <c r="A888" s="7" t="s">
        <v>5946</v>
      </c>
      <c r="B888" s="18" t="s">
        <v>5947</v>
      </c>
      <c r="C888" s="3" t="s">
        <v>4210</v>
      </c>
    </row>
    <row r="889">
      <c r="A889" s="7" t="s">
        <v>5948</v>
      </c>
      <c r="B889" s="18" t="s">
        <v>5949</v>
      </c>
      <c r="C889" s="3" t="s">
        <v>4210</v>
      </c>
    </row>
    <row r="890">
      <c r="A890" s="7" t="s">
        <v>5950</v>
      </c>
      <c r="B890" s="18" t="s">
        <v>5951</v>
      </c>
      <c r="C890" s="3" t="s">
        <v>4210</v>
      </c>
    </row>
    <row r="891">
      <c r="A891" s="7" t="s">
        <v>5952</v>
      </c>
      <c r="B891" s="18" t="s">
        <v>5953</v>
      </c>
      <c r="C891" s="3" t="s">
        <v>4210</v>
      </c>
    </row>
    <row r="892">
      <c r="A892" s="7" t="s">
        <v>5954</v>
      </c>
      <c r="B892" s="18" t="s">
        <v>5955</v>
      </c>
      <c r="C892" s="3" t="s">
        <v>4210</v>
      </c>
    </row>
    <row r="893">
      <c r="A893" s="7" t="s">
        <v>5956</v>
      </c>
      <c r="B893" s="18" t="s">
        <v>5957</v>
      </c>
      <c r="C893" s="3" t="s">
        <v>4210</v>
      </c>
    </row>
    <row r="894">
      <c r="A894" s="7" t="s">
        <v>5958</v>
      </c>
      <c r="B894" s="18" t="s">
        <v>5959</v>
      </c>
      <c r="C894" s="3" t="s">
        <v>4210</v>
      </c>
    </row>
    <row r="895">
      <c r="A895" s="7" t="s">
        <v>5960</v>
      </c>
      <c r="B895" s="18" t="s">
        <v>5959</v>
      </c>
      <c r="C895" s="3" t="s">
        <v>4210</v>
      </c>
    </row>
    <row r="896">
      <c r="A896" s="7" t="s">
        <v>5961</v>
      </c>
      <c r="B896" s="18" t="s">
        <v>5224</v>
      </c>
      <c r="C896" s="3" t="s">
        <v>4339</v>
      </c>
    </row>
    <row r="897">
      <c r="A897" s="7" t="s">
        <v>5962</v>
      </c>
      <c r="B897" s="18" t="s">
        <v>5963</v>
      </c>
      <c r="C897" s="3" t="s">
        <v>4210</v>
      </c>
    </row>
    <row r="898">
      <c r="A898" s="7" t="s">
        <v>5964</v>
      </c>
      <c r="B898" s="18" t="s">
        <v>5965</v>
      </c>
      <c r="C898" s="3" t="s">
        <v>4210</v>
      </c>
    </row>
    <row r="899">
      <c r="A899" s="7" t="s">
        <v>5966</v>
      </c>
      <c r="B899" s="18" t="s">
        <v>5967</v>
      </c>
      <c r="C899" s="3" t="s">
        <v>4210</v>
      </c>
    </row>
    <row r="900">
      <c r="A900" s="7" t="s">
        <v>5968</v>
      </c>
      <c r="B900" s="18" t="s">
        <v>4594</v>
      </c>
      <c r="C900" s="3" t="s">
        <v>4339</v>
      </c>
    </row>
    <row r="901">
      <c r="A901" s="7" t="s">
        <v>5969</v>
      </c>
      <c r="B901" s="18" t="s">
        <v>5970</v>
      </c>
      <c r="C901" s="3" t="s">
        <v>4210</v>
      </c>
    </row>
    <row r="902">
      <c r="A902" s="7" t="s">
        <v>5971</v>
      </c>
      <c r="B902" s="18" t="s">
        <v>5972</v>
      </c>
      <c r="C902" s="3" t="s">
        <v>4210</v>
      </c>
    </row>
    <row r="903">
      <c r="A903" s="7" t="s">
        <v>5973</v>
      </c>
      <c r="B903" s="18" t="s">
        <v>5974</v>
      </c>
      <c r="C903" s="3" t="s">
        <v>4210</v>
      </c>
    </row>
    <row r="904">
      <c r="A904" s="7" t="s">
        <v>5975</v>
      </c>
      <c r="B904" s="18" t="s">
        <v>5976</v>
      </c>
      <c r="C904" s="3" t="s">
        <v>4210</v>
      </c>
    </row>
    <row r="905">
      <c r="A905" s="7" t="s">
        <v>5977</v>
      </c>
      <c r="B905" s="18" t="s">
        <v>5978</v>
      </c>
      <c r="C905" s="3" t="s">
        <v>4210</v>
      </c>
    </row>
    <row r="906">
      <c r="A906" s="7" t="s">
        <v>5979</v>
      </c>
      <c r="B906" s="18" t="s">
        <v>5980</v>
      </c>
      <c r="C906" s="3" t="s">
        <v>4210</v>
      </c>
    </row>
    <row r="907">
      <c r="A907" s="7" t="s">
        <v>5981</v>
      </c>
      <c r="B907" s="18" t="s">
        <v>5982</v>
      </c>
      <c r="C907" s="3" t="s">
        <v>4210</v>
      </c>
    </row>
    <row r="908">
      <c r="A908" s="7" t="s">
        <v>5983</v>
      </c>
      <c r="B908" s="18" t="s">
        <v>5984</v>
      </c>
      <c r="C908" s="3" t="s">
        <v>4210</v>
      </c>
    </row>
    <row r="909">
      <c r="A909" s="7" t="s">
        <v>5985</v>
      </c>
      <c r="B909" s="18" t="s">
        <v>5986</v>
      </c>
      <c r="C909" s="3" t="s">
        <v>4210</v>
      </c>
    </row>
    <row r="910">
      <c r="A910" s="7" t="s">
        <v>5987</v>
      </c>
      <c r="B910" s="18" t="s">
        <v>5988</v>
      </c>
      <c r="C910" s="3" t="s">
        <v>4210</v>
      </c>
    </row>
    <row r="911">
      <c r="A911" s="7" t="s">
        <v>5989</v>
      </c>
      <c r="B911" s="18" t="s">
        <v>5990</v>
      </c>
      <c r="C911" s="3" t="s">
        <v>4210</v>
      </c>
    </row>
    <row r="912">
      <c r="A912" s="7" t="s">
        <v>5991</v>
      </c>
      <c r="B912" s="18" t="s">
        <v>5992</v>
      </c>
      <c r="C912" s="3" t="s">
        <v>4210</v>
      </c>
    </row>
    <row r="913">
      <c r="A913" s="7" t="s">
        <v>5993</v>
      </c>
      <c r="B913" s="18" t="s">
        <v>5994</v>
      </c>
      <c r="C913" s="3" t="s">
        <v>4210</v>
      </c>
    </row>
    <row r="914">
      <c r="A914" s="7" t="s">
        <v>5995</v>
      </c>
      <c r="B914" s="18" t="s">
        <v>5996</v>
      </c>
      <c r="C914" s="3" t="s">
        <v>4210</v>
      </c>
    </row>
    <row r="915">
      <c r="A915" s="7" t="s">
        <v>5997</v>
      </c>
      <c r="B915" s="18" t="s">
        <v>5998</v>
      </c>
      <c r="C915" s="3" t="s">
        <v>4210</v>
      </c>
    </row>
    <row r="916">
      <c r="A916" s="7" t="s">
        <v>5999</v>
      </c>
      <c r="B916" s="18" t="s">
        <v>6000</v>
      </c>
      <c r="C916" s="3" t="s">
        <v>4210</v>
      </c>
    </row>
    <row r="917">
      <c r="A917" s="7" t="s">
        <v>6001</v>
      </c>
      <c r="B917" s="18" t="s">
        <v>6002</v>
      </c>
      <c r="C917" s="3" t="s">
        <v>4210</v>
      </c>
    </row>
    <row r="918">
      <c r="A918" s="7" t="s">
        <v>6003</v>
      </c>
      <c r="B918" s="18" t="s">
        <v>6004</v>
      </c>
      <c r="C918" s="3" t="s">
        <v>4210</v>
      </c>
    </row>
    <row r="919">
      <c r="A919" s="7" t="s">
        <v>6005</v>
      </c>
      <c r="B919" s="18" t="s">
        <v>6006</v>
      </c>
      <c r="C919" s="3" t="s">
        <v>4210</v>
      </c>
    </row>
    <row r="920">
      <c r="A920" s="7" t="s">
        <v>6007</v>
      </c>
      <c r="B920" s="18" t="s">
        <v>6008</v>
      </c>
      <c r="C920" s="3" t="s">
        <v>4210</v>
      </c>
    </row>
    <row r="921">
      <c r="A921" s="7" t="s">
        <v>6009</v>
      </c>
      <c r="B921" s="18" t="s">
        <v>6010</v>
      </c>
      <c r="C921" s="3" t="s">
        <v>4210</v>
      </c>
    </row>
    <row r="922">
      <c r="A922" s="7" t="s">
        <v>6011</v>
      </c>
      <c r="B922" s="18" t="s">
        <v>6012</v>
      </c>
      <c r="C922" s="3" t="s">
        <v>4210</v>
      </c>
    </row>
    <row r="923">
      <c r="A923" s="7" t="s">
        <v>6013</v>
      </c>
      <c r="B923" s="18" t="s">
        <v>6014</v>
      </c>
      <c r="C923" s="3" t="s">
        <v>4210</v>
      </c>
    </row>
    <row r="924">
      <c r="A924" s="7" t="s">
        <v>6015</v>
      </c>
      <c r="B924" s="18" t="s">
        <v>6016</v>
      </c>
      <c r="C924" s="3" t="s">
        <v>4210</v>
      </c>
    </row>
    <row r="925">
      <c r="A925" s="7" t="s">
        <v>6017</v>
      </c>
      <c r="B925" s="18" t="s">
        <v>6018</v>
      </c>
      <c r="C925" s="3" t="s">
        <v>4210</v>
      </c>
    </row>
    <row r="926">
      <c r="A926" s="7" t="s">
        <v>6019</v>
      </c>
      <c r="B926" s="18" t="s">
        <v>5489</v>
      </c>
      <c r="C926" s="3" t="s">
        <v>4339</v>
      </c>
    </row>
    <row r="927">
      <c r="A927" s="7" t="s">
        <v>6020</v>
      </c>
      <c r="B927" s="18" t="s">
        <v>6021</v>
      </c>
      <c r="C927" s="3" t="s">
        <v>4210</v>
      </c>
    </row>
    <row r="928">
      <c r="A928" s="7" t="s">
        <v>6022</v>
      </c>
      <c r="B928" s="18" t="s">
        <v>6021</v>
      </c>
      <c r="C928" s="3" t="s">
        <v>4210</v>
      </c>
    </row>
    <row r="929">
      <c r="A929" s="7" t="s">
        <v>6023</v>
      </c>
      <c r="B929" s="18" t="s">
        <v>6024</v>
      </c>
      <c r="C929" s="3" t="s">
        <v>4210</v>
      </c>
    </row>
    <row r="930">
      <c r="A930" s="7" t="s">
        <v>6025</v>
      </c>
      <c r="B930" s="18" t="s">
        <v>6026</v>
      </c>
      <c r="C930" s="3" t="s">
        <v>4210</v>
      </c>
    </row>
    <row r="931">
      <c r="A931" s="7" t="s">
        <v>6027</v>
      </c>
      <c r="B931" s="18" t="s">
        <v>6028</v>
      </c>
      <c r="C931" s="3" t="s">
        <v>4210</v>
      </c>
    </row>
    <row r="932">
      <c r="A932" s="7" t="s">
        <v>6029</v>
      </c>
      <c r="B932" s="18" t="s">
        <v>6030</v>
      </c>
      <c r="C932" s="3" t="s">
        <v>4210</v>
      </c>
    </row>
    <row r="933">
      <c r="A933" s="7" t="s">
        <v>6031</v>
      </c>
      <c r="B933" s="18" t="s">
        <v>6032</v>
      </c>
      <c r="C933" s="3" t="s">
        <v>4210</v>
      </c>
    </row>
    <row r="934">
      <c r="A934" s="7" t="s">
        <v>6033</v>
      </c>
      <c r="B934" s="18" t="s">
        <v>6034</v>
      </c>
      <c r="C934" s="3" t="s">
        <v>4210</v>
      </c>
    </row>
    <row r="935">
      <c r="A935" s="7" t="s">
        <v>6035</v>
      </c>
      <c r="B935" s="18" t="s">
        <v>6036</v>
      </c>
      <c r="C935" s="3" t="s">
        <v>4210</v>
      </c>
    </row>
    <row r="936">
      <c r="A936" s="7" t="s">
        <v>6037</v>
      </c>
      <c r="B936" s="18" t="s">
        <v>6038</v>
      </c>
      <c r="C936" s="3" t="s">
        <v>4210</v>
      </c>
    </row>
    <row r="937">
      <c r="A937" s="7" t="s">
        <v>6039</v>
      </c>
      <c r="B937" s="18" t="s">
        <v>4240</v>
      </c>
      <c r="C937" s="3" t="s">
        <v>4339</v>
      </c>
    </row>
    <row r="938">
      <c r="A938" s="7" t="s">
        <v>6040</v>
      </c>
      <c r="B938" s="18" t="s">
        <v>6041</v>
      </c>
      <c r="C938" s="3" t="s">
        <v>4210</v>
      </c>
    </row>
    <row r="939">
      <c r="A939" s="7" t="s">
        <v>6042</v>
      </c>
      <c r="B939" s="18" t="s">
        <v>6043</v>
      </c>
      <c r="C939" s="3" t="s">
        <v>4210</v>
      </c>
    </row>
    <row r="940">
      <c r="A940" s="7" t="s">
        <v>6044</v>
      </c>
      <c r="B940" s="18" t="s">
        <v>4327</v>
      </c>
      <c r="C940" s="3" t="s">
        <v>4339</v>
      </c>
    </row>
    <row r="941">
      <c r="A941" s="7" t="s">
        <v>6045</v>
      </c>
      <c r="B941" s="18" t="s">
        <v>6046</v>
      </c>
      <c r="C941" s="3" t="s">
        <v>4210</v>
      </c>
    </row>
    <row r="942">
      <c r="A942" s="7" t="s">
        <v>6047</v>
      </c>
      <c r="B942" s="18" t="s">
        <v>6048</v>
      </c>
      <c r="C942" s="3" t="s">
        <v>4210</v>
      </c>
    </row>
    <row r="943">
      <c r="A943" s="7" t="s">
        <v>6049</v>
      </c>
      <c r="B943" s="18" t="s">
        <v>6050</v>
      </c>
      <c r="C943" s="3" t="s">
        <v>4210</v>
      </c>
    </row>
    <row r="944">
      <c r="A944" s="7" t="s">
        <v>6051</v>
      </c>
      <c r="B944" s="18" t="s">
        <v>6052</v>
      </c>
      <c r="C944" s="3" t="s">
        <v>4210</v>
      </c>
    </row>
    <row r="945">
      <c r="A945" s="7" t="s">
        <v>6053</v>
      </c>
      <c r="B945" s="18" t="s">
        <v>6054</v>
      </c>
      <c r="C945" s="3" t="s">
        <v>4210</v>
      </c>
    </row>
    <row r="946">
      <c r="A946" s="7" t="s">
        <v>6055</v>
      </c>
      <c r="B946" s="18" t="s">
        <v>6056</v>
      </c>
      <c r="C946" s="3" t="s">
        <v>4210</v>
      </c>
    </row>
    <row r="947">
      <c r="A947" s="7" t="s">
        <v>6057</v>
      </c>
      <c r="B947" s="18" t="s">
        <v>6058</v>
      </c>
      <c r="C947" s="3" t="s">
        <v>4210</v>
      </c>
    </row>
    <row r="948">
      <c r="A948" s="7" t="s">
        <v>6059</v>
      </c>
      <c r="B948" s="18" t="s">
        <v>6060</v>
      </c>
      <c r="C948" s="3" t="s">
        <v>4210</v>
      </c>
    </row>
    <row r="949">
      <c r="A949" s="7" t="s">
        <v>6061</v>
      </c>
      <c r="B949" s="18" t="s">
        <v>6062</v>
      </c>
      <c r="C949" s="3" t="s">
        <v>4210</v>
      </c>
    </row>
    <row r="950">
      <c r="A950" s="7" t="s">
        <v>6063</v>
      </c>
      <c r="B950" s="18" t="s">
        <v>6064</v>
      </c>
      <c r="C950" s="3" t="s">
        <v>4210</v>
      </c>
    </row>
    <row r="951">
      <c r="A951" s="7" t="s">
        <v>6065</v>
      </c>
      <c r="B951" s="18" t="s">
        <v>6066</v>
      </c>
      <c r="C951" s="3" t="s">
        <v>4210</v>
      </c>
    </row>
    <row r="952">
      <c r="A952" s="7" t="s">
        <v>6067</v>
      </c>
      <c r="B952" s="18" t="s">
        <v>5624</v>
      </c>
      <c r="C952" s="3" t="s">
        <v>4339</v>
      </c>
    </row>
    <row r="953">
      <c r="A953" s="7" t="s">
        <v>6068</v>
      </c>
      <c r="B953" s="18" t="s">
        <v>6069</v>
      </c>
      <c r="C953" s="3" t="s">
        <v>4210</v>
      </c>
    </row>
    <row r="954">
      <c r="A954" s="7" t="s">
        <v>6070</v>
      </c>
      <c r="B954" s="18" t="s">
        <v>6071</v>
      </c>
      <c r="C954" s="3" t="s">
        <v>4210</v>
      </c>
    </row>
    <row r="955">
      <c r="A955" s="7" t="s">
        <v>6072</v>
      </c>
      <c r="B955" s="18" t="s">
        <v>6073</v>
      </c>
      <c r="C955" s="3" t="s">
        <v>4210</v>
      </c>
    </row>
    <row r="956">
      <c r="A956" s="7" t="s">
        <v>6074</v>
      </c>
      <c r="B956" s="18" t="s">
        <v>6075</v>
      </c>
      <c r="C956" s="3" t="s">
        <v>4210</v>
      </c>
    </row>
    <row r="957">
      <c r="A957" s="7" t="s">
        <v>6076</v>
      </c>
      <c r="B957" s="18" t="s">
        <v>6077</v>
      </c>
      <c r="C957" s="3" t="s">
        <v>4210</v>
      </c>
    </row>
    <row r="958">
      <c r="A958" s="7" t="s">
        <v>6078</v>
      </c>
      <c r="B958" s="18" t="s">
        <v>6079</v>
      </c>
      <c r="C958" s="3" t="s">
        <v>4210</v>
      </c>
    </row>
    <row r="959">
      <c r="A959" s="7" t="s">
        <v>6080</v>
      </c>
      <c r="B959" s="18" t="s">
        <v>6081</v>
      </c>
      <c r="C959" s="3" t="s">
        <v>4210</v>
      </c>
    </row>
    <row r="960">
      <c r="A960" s="7" t="s">
        <v>6082</v>
      </c>
      <c r="B960" s="18" t="s">
        <v>6083</v>
      </c>
      <c r="C960" s="3" t="s">
        <v>4210</v>
      </c>
    </row>
    <row r="961">
      <c r="A961" s="7" t="s">
        <v>6084</v>
      </c>
      <c r="B961" s="18" t="s">
        <v>6085</v>
      </c>
      <c r="C961" s="3" t="s">
        <v>4210</v>
      </c>
    </row>
    <row r="962">
      <c r="A962" s="7" t="s">
        <v>6086</v>
      </c>
      <c r="B962" s="18" t="s">
        <v>6026</v>
      </c>
      <c r="C962" s="3" t="s">
        <v>4339</v>
      </c>
    </row>
    <row r="963">
      <c r="A963" s="7" t="s">
        <v>5422</v>
      </c>
      <c r="B963" s="18" t="s">
        <v>5423</v>
      </c>
      <c r="C963" s="3" t="s">
        <v>4339</v>
      </c>
    </row>
    <row r="964">
      <c r="A964" s="7" t="s">
        <v>6087</v>
      </c>
      <c r="B964" s="18" t="s">
        <v>6088</v>
      </c>
      <c r="C964" s="3" t="s">
        <v>4210</v>
      </c>
    </row>
    <row r="965">
      <c r="A965" s="7" t="s">
        <v>6089</v>
      </c>
      <c r="B965" s="18" t="s">
        <v>6090</v>
      </c>
      <c r="C965" s="3" t="s">
        <v>4210</v>
      </c>
    </row>
    <row r="966">
      <c r="A966" s="7" t="s">
        <v>6091</v>
      </c>
      <c r="B966" s="18" t="s">
        <v>6092</v>
      </c>
      <c r="C966" s="3" t="s">
        <v>4210</v>
      </c>
    </row>
    <row r="967">
      <c r="A967" s="7" t="s">
        <v>6093</v>
      </c>
      <c r="B967" s="18" t="s">
        <v>6094</v>
      </c>
      <c r="C967" s="3" t="s">
        <v>4210</v>
      </c>
    </row>
    <row r="968">
      <c r="A968" s="7" t="s">
        <v>6095</v>
      </c>
      <c r="B968" s="18" t="s">
        <v>6096</v>
      </c>
      <c r="C968" s="3" t="s">
        <v>4210</v>
      </c>
    </row>
    <row r="969">
      <c r="A969" s="7" t="s">
        <v>6097</v>
      </c>
      <c r="B969" s="18" t="s">
        <v>6098</v>
      </c>
      <c r="C969" s="3" t="s">
        <v>4210</v>
      </c>
    </row>
    <row r="970">
      <c r="A970" s="7" t="s">
        <v>6099</v>
      </c>
      <c r="B970" s="18" t="e">
        <v>#VALUE!</v>
      </c>
      <c r="C970" s="3" t="s">
        <v>4339</v>
      </c>
    </row>
    <row r="971">
      <c r="A971" s="7" t="s">
        <v>6100</v>
      </c>
      <c r="B971" s="18" t="e">
        <v>#VALUE!</v>
      </c>
      <c r="C971" s="3" t="s">
        <v>4210</v>
      </c>
    </row>
    <row r="972">
      <c r="A972" s="7" t="s">
        <v>6101</v>
      </c>
      <c r="B972" s="18" t="s">
        <v>6102</v>
      </c>
      <c r="C972" s="3" t="s">
        <v>4210</v>
      </c>
    </row>
    <row r="973">
      <c r="A973" s="7" t="s">
        <v>6103</v>
      </c>
      <c r="B973" s="18" t="s">
        <v>4686</v>
      </c>
      <c r="C973" s="3" t="s">
        <v>4339</v>
      </c>
    </row>
    <row r="974">
      <c r="A974" s="7" t="s">
        <v>6104</v>
      </c>
      <c r="B974" s="18" t="s">
        <v>6105</v>
      </c>
      <c r="C974" s="3" t="s">
        <v>4210</v>
      </c>
    </row>
    <row r="975">
      <c r="A975" s="7" t="s">
        <v>6106</v>
      </c>
      <c r="B975" s="18" t="s">
        <v>6107</v>
      </c>
      <c r="C975" s="3" t="s">
        <v>4210</v>
      </c>
    </row>
    <row r="976">
      <c r="A976" s="7" t="s">
        <v>4683</v>
      </c>
      <c r="B976" s="18" t="s">
        <v>4684</v>
      </c>
      <c r="C976" s="3" t="s">
        <v>4339</v>
      </c>
    </row>
    <row r="977">
      <c r="A977" s="7" t="s">
        <v>6108</v>
      </c>
      <c r="B977" s="18" t="s">
        <v>6109</v>
      </c>
      <c r="C977" s="3" t="s">
        <v>4210</v>
      </c>
    </row>
    <row r="978">
      <c r="A978" s="7" t="s">
        <v>6110</v>
      </c>
      <c r="B978" s="18" t="s">
        <v>6111</v>
      </c>
      <c r="C978" s="3" t="s">
        <v>4210</v>
      </c>
    </row>
    <row r="979">
      <c r="A979" s="7" t="s">
        <v>6112</v>
      </c>
      <c r="B979" s="18" t="s">
        <v>6113</v>
      </c>
      <c r="C979" s="3" t="s">
        <v>4210</v>
      </c>
    </row>
    <row r="980">
      <c r="A980" s="7" t="s">
        <v>6114</v>
      </c>
      <c r="B980" s="18" t="s">
        <v>6115</v>
      </c>
      <c r="C980" s="3" t="s">
        <v>4210</v>
      </c>
    </row>
    <row r="981">
      <c r="A981" s="7" t="s">
        <v>6116</v>
      </c>
      <c r="B981" s="18" t="s">
        <v>6117</v>
      </c>
      <c r="C981" s="3" t="s">
        <v>4210</v>
      </c>
    </row>
    <row r="982">
      <c r="A982" s="7" t="s">
        <v>6118</v>
      </c>
      <c r="B982" s="18" t="s">
        <v>6119</v>
      </c>
      <c r="C982" s="3" t="s">
        <v>4210</v>
      </c>
    </row>
    <row r="983">
      <c r="A983" s="7" t="s">
        <v>6120</v>
      </c>
      <c r="B983" s="18" t="s">
        <v>6121</v>
      </c>
      <c r="C983" s="3" t="s">
        <v>4210</v>
      </c>
    </row>
    <row r="984">
      <c r="A984" s="7" t="s">
        <v>6122</v>
      </c>
      <c r="B984" s="18" t="s">
        <v>5455</v>
      </c>
      <c r="C984" s="3" t="s">
        <v>4339</v>
      </c>
    </row>
    <row r="985">
      <c r="A985" s="7" t="s">
        <v>6123</v>
      </c>
      <c r="B985" s="18" t="s">
        <v>6124</v>
      </c>
      <c r="C985" s="3" t="s">
        <v>4210</v>
      </c>
    </row>
    <row r="986">
      <c r="A986" s="7" t="s">
        <v>6125</v>
      </c>
      <c r="B986" s="18" t="s">
        <v>6126</v>
      </c>
      <c r="C986" s="3" t="s">
        <v>4210</v>
      </c>
    </row>
    <row r="987">
      <c r="A987" s="7" t="s">
        <v>6127</v>
      </c>
      <c r="B987" s="18" t="s">
        <v>6128</v>
      </c>
      <c r="C987" s="3" t="s">
        <v>4210</v>
      </c>
    </row>
    <row r="988">
      <c r="A988" s="7" t="s">
        <v>6129</v>
      </c>
      <c r="B988" s="18" t="s">
        <v>6130</v>
      </c>
      <c r="C988" s="3" t="s">
        <v>4339</v>
      </c>
    </row>
    <row r="989">
      <c r="A989" s="7" t="s">
        <v>6131</v>
      </c>
      <c r="B989" s="18" t="s">
        <v>6132</v>
      </c>
      <c r="C989" s="3" t="s">
        <v>4210</v>
      </c>
    </row>
    <row r="990">
      <c r="A990" s="7" t="s">
        <v>6133</v>
      </c>
      <c r="B990" s="18" t="s">
        <v>6134</v>
      </c>
      <c r="C990" s="3" t="s">
        <v>4210</v>
      </c>
    </row>
    <row r="991">
      <c r="A991" s="7" t="s">
        <v>6135</v>
      </c>
      <c r="B991" s="18" t="s">
        <v>6136</v>
      </c>
      <c r="C991" s="3" t="s">
        <v>4210</v>
      </c>
    </row>
    <row r="992">
      <c r="A992" s="7" t="s">
        <v>6137</v>
      </c>
      <c r="B992" s="18" t="s">
        <v>6138</v>
      </c>
      <c r="C992" s="3" t="s">
        <v>4210</v>
      </c>
    </row>
    <row r="993">
      <c r="A993" s="7" t="s">
        <v>6139</v>
      </c>
      <c r="B993" s="18" t="s">
        <v>6140</v>
      </c>
      <c r="C993" s="3" t="s">
        <v>4210</v>
      </c>
    </row>
    <row r="994">
      <c r="A994" s="7" t="s">
        <v>6141</v>
      </c>
      <c r="B994" s="18" t="s">
        <v>6142</v>
      </c>
      <c r="C994" s="3" t="s">
        <v>4210</v>
      </c>
    </row>
    <row r="995">
      <c r="A995" s="7" t="s">
        <v>6143</v>
      </c>
      <c r="B995" s="18" t="s">
        <v>6144</v>
      </c>
      <c r="C995" s="3" t="s">
        <v>4210</v>
      </c>
    </row>
    <row r="996">
      <c r="A996" s="7" t="s">
        <v>6145</v>
      </c>
      <c r="B996" s="18" t="s">
        <v>6146</v>
      </c>
      <c r="C996" s="3" t="s">
        <v>4210</v>
      </c>
    </row>
    <row r="997">
      <c r="A997" s="7" t="s">
        <v>6147</v>
      </c>
      <c r="B997" s="18" t="s">
        <v>6148</v>
      </c>
      <c r="C997" s="3" t="s">
        <v>4210</v>
      </c>
    </row>
    <row r="998">
      <c r="A998" s="7" t="s">
        <v>6149</v>
      </c>
      <c r="B998" s="18" t="s">
        <v>6150</v>
      </c>
      <c r="C998" s="3" t="s">
        <v>4210</v>
      </c>
    </row>
    <row r="999">
      <c r="A999" s="7" t="s">
        <v>6151</v>
      </c>
      <c r="B999" s="18" t="s">
        <v>6152</v>
      </c>
      <c r="C999" s="3" t="s">
        <v>4210</v>
      </c>
    </row>
    <row r="1000">
      <c r="A1000" s="7" t="s">
        <v>6153</v>
      </c>
      <c r="B1000" s="18" t="s">
        <v>6154</v>
      </c>
      <c r="C1000" s="3" t="s">
        <v>4210</v>
      </c>
    </row>
    <row r="1001">
      <c r="A1001" s="7" t="s">
        <v>6155</v>
      </c>
      <c r="B1001" s="18" t="s">
        <v>6156</v>
      </c>
      <c r="C1001" s="3" t="s">
        <v>4210</v>
      </c>
    </row>
    <row r="1002">
      <c r="A1002" s="7" t="s">
        <v>6157</v>
      </c>
      <c r="B1002" s="18" t="s">
        <v>6158</v>
      </c>
      <c r="C1002" s="3" t="s">
        <v>4210</v>
      </c>
    </row>
    <row r="1003">
      <c r="A1003" s="7" t="s">
        <v>6159</v>
      </c>
      <c r="B1003" s="18" t="s">
        <v>6160</v>
      </c>
      <c r="C1003" s="3" t="s">
        <v>4210</v>
      </c>
    </row>
    <row r="1004">
      <c r="A1004" s="7" t="s">
        <v>6161</v>
      </c>
      <c r="B1004" s="18" t="s">
        <v>6162</v>
      </c>
      <c r="C1004" s="3" t="s">
        <v>4210</v>
      </c>
    </row>
    <row r="1005">
      <c r="A1005" s="7" t="s">
        <v>6163</v>
      </c>
      <c r="B1005" s="18" t="s">
        <v>6164</v>
      </c>
      <c r="C1005" s="3" t="s">
        <v>4210</v>
      </c>
    </row>
    <row r="1006">
      <c r="A1006" s="7" t="s">
        <v>6165</v>
      </c>
      <c r="B1006" s="18" t="s">
        <v>6166</v>
      </c>
      <c r="C1006" s="3" t="s">
        <v>4210</v>
      </c>
    </row>
    <row r="1007">
      <c r="A1007" s="7" t="s">
        <v>6167</v>
      </c>
      <c r="B1007" s="18" t="s">
        <v>6168</v>
      </c>
      <c r="C1007" s="3" t="s">
        <v>4210</v>
      </c>
    </row>
    <row r="1008">
      <c r="A1008" s="7" t="s">
        <v>6169</v>
      </c>
      <c r="B1008" s="18" t="s">
        <v>6170</v>
      </c>
      <c r="C1008" s="3" t="s">
        <v>4210</v>
      </c>
    </row>
    <row r="1009">
      <c r="A1009" s="7" t="s">
        <v>6171</v>
      </c>
      <c r="B1009" s="18" t="s">
        <v>5875</v>
      </c>
      <c r="C1009" s="3" t="s">
        <v>4339</v>
      </c>
    </row>
    <row r="1010">
      <c r="A1010" s="7" t="s">
        <v>6172</v>
      </c>
      <c r="B1010" s="18" t="s">
        <v>6173</v>
      </c>
      <c r="C1010" s="3" t="s">
        <v>4210</v>
      </c>
    </row>
    <row r="1011">
      <c r="A1011" s="7" t="s">
        <v>6174</v>
      </c>
      <c r="B1011" s="18" t="s">
        <v>6175</v>
      </c>
      <c r="C1011" s="3" t="s">
        <v>4210</v>
      </c>
    </row>
    <row r="1012">
      <c r="A1012" s="7" t="s">
        <v>6176</v>
      </c>
      <c r="B1012" s="18" t="s">
        <v>6177</v>
      </c>
      <c r="C1012" s="3" t="s">
        <v>4210</v>
      </c>
    </row>
    <row r="1013">
      <c r="A1013" s="7" t="s">
        <v>6178</v>
      </c>
      <c r="B1013" s="18" t="s">
        <v>6179</v>
      </c>
      <c r="C1013" s="3" t="s">
        <v>4210</v>
      </c>
    </row>
    <row r="1014">
      <c r="A1014" s="7" t="s">
        <v>6180</v>
      </c>
      <c r="B1014" s="18" t="s">
        <v>6181</v>
      </c>
      <c r="C1014" s="3" t="s">
        <v>4210</v>
      </c>
    </row>
    <row r="1015">
      <c r="A1015" s="7" t="s">
        <v>6182</v>
      </c>
      <c r="B1015" s="18" t="s">
        <v>6183</v>
      </c>
      <c r="C1015" s="3" t="s">
        <v>4210</v>
      </c>
    </row>
    <row r="1016">
      <c r="A1016" s="7" t="s">
        <v>6184</v>
      </c>
      <c r="B1016" s="18" t="s">
        <v>6185</v>
      </c>
      <c r="C1016" s="3" t="s">
        <v>4210</v>
      </c>
    </row>
    <row r="1017">
      <c r="A1017" s="7" t="s">
        <v>6186</v>
      </c>
      <c r="B1017" s="18" t="s">
        <v>6187</v>
      </c>
      <c r="C1017" s="3" t="s">
        <v>4210</v>
      </c>
    </row>
    <row r="1018">
      <c r="A1018" s="7" t="s">
        <v>6188</v>
      </c>
      <c r="B1018" s="18" t="s">
        <v>6189</v>
      </c>
      <c r="C1018" s="3" t="s">
        <v>4210</v>
      </c>
    </row>
    <row r="1019">
      <c r="A1019" s="7" t="s">
        <v>6190</v>
      </c>
      <c r="B1019" s="18" t="s">
        <v>6191</v>
      </c>
      <c r="C1019" s="3" t="s">
        <v>4210</v>
      </c>
    </row>
    <row r="1020">
      <c r="A1020" s="7" t="s">
        <v>6192</v>
      </c>
      <c r="B1020" s="18" t="s">
        <v>6193</v>
      </c>
      <c r="C1020" s="3" t="s">
        <v>4210</v>
      </c>
    </row>
    <row r="1021">
      <c r="A1021" s="7" t="s">
        <v>6194</v>
      </c>
      <c r="B1021" s="18" t="s">
        <v>6195</v>
      </c>
      <c r="C1021" s="3" t="s">
        <v>4210</v>
      </c>
    </row>
    <row r="1022">
      <c r="A1022" s="7" t="s">
        <v>6196</v>
      </c>
      <c r="B1022" s="18" t="s">
        <v>6197</v>
      </c>
      <c r="C1022" s="3" t="s">
        <v>4210</v>
      </c>
    </row>
    <row r="1023">
      <c r="A1023" s="7" t="s">
        <v>6198</v>
      </c>
      <c r="B1023" s="18" t="s">
        <v>6199</v>
      </c>
      <c r="C1023" s="3" t="s">
        <v>4210</v>
      </c>
    </row>
    <row r="1024">
      <c r="A1024" s="7" t="s">
        <v>6200</v>
      </c>
      <c r="B1024" s="18" t="s">
        <v>6201</v>
      </c>
      <c r="C1024" s="3" t="s">
        <v>4210</v>
      </c>
    </row>
    <row r="1025">
      <c r="A1025" s="7" t="s">
        <v>6202</v>
      </c>
      <c r="B1025" s="18" t="s">
        <v>6203</v>
      </c>
      <c r="C1025" s="3" t="s">
        <v>4210</v>
      </c>
    </row>
    <row r="1026">
      <c r="A1026" s="7" t="s">
        <v>6204</v>
      </c>
      <c r="B1026" s="18" t="s">
        <v>6205</v>
      </c>
      <c r="C1026" s="3" t="s">
        <v>4210</v>
      </c>
    </row>
    <row r="1027">
      <c r="A1027" s="7" t="s">
        <v>6206</v>
      </c>
      <c r="B1027" s="18" t="s">
        <v>6207</v>
      </c>
      <c r="C1027" s="3" t="s">
        <v>4210</v>
      </c>
    </row>
    <row r="1028">
      <c r="A1028" s="7" t="s">
        <v>6208</v>
      </c>
      <c r="B1028" s="18" t="s">
        <v>6209</v>
      </c>
      <c r="C1028" s="3" t="s">
        <v>4210</v>
      </c>
    </row>
    <row r="1029">
      <c r="A1029" s="7" t="s">
        <v>6210</v>
      </c>
      <c r="B1029" s="18" t="s">
        <v>5856</v>
      </c>
      <c r="C1029" s="3" t="s">
        <v>4339</v>
      </c>
    </row>
    <row r="1030">
      <c r="A1030" s="7" t="s">
        <v>6211</v>
      </c>
      <c r="B1030" s="18" t="s">
        <v>6212</v>
      </c>
      <c r="C1030" s="3" t="s">
        <v>4210</v>
      </c>
    </row>
    <row r="1031">
      <c r="A1031" s="7" t="s">
        <v>6213</v>
      </c>
      <c r="B1031" s="18" t="s">
        <v>6212</v>
      </c>
      <c r="C1031" s="3" t="s">
        <v>4210</v>
      </c>
    </row>
    <row r="1032">
      <c r="A1032" s="7" t="s">
        <v>4647</v>
      </c>
      <c r="B1032" s="18" t="s">
        <v>4648</v>
      </c>
      <c r="C1032" s="3" t="s">
        <v>4339</v>
      </c>
    </row>
    <row r="1033">
      <c r="A1033" s="7" t="s">
        <v>6214</v>
      </c>
      <c r="B1033" s="18" t="s">
        <v>6215</v>
      </c>
      <c r="C1033" s="3" t="s">
        <v>4210</v>
      </c>
    </row>
    <row r="1034">
      <c r="A1034" s="7" t="s">
        <v>6216</v>
      </c>
      <c r="B1034" s="18" t="s">
        <v>6217</v>
      </c>
      <c r="C1034" s="3" t="s">
        <v>4210</v>
      </c>
    </row>
    <row r="1035">
      <c r="A1035" s="7" t="s">
        <v>6216</v>
      </c>
      <c r="B1035" s="18" t="s">
        <v>6217</v>
      </c>
      <c r="C1035" s="3" t="s">
        <v>4210</v>
      </c>
    </row>
    <row r="1036">
      <c r="A1036" s="7" t="s">
        <v>6218</v>
      </c>
      <c r="B1036" s="18" t="s">
        <v>6219</v>
      </c>
      <c r="C1036" s="3" t="s">
        <v>4210</v>
      </c>
    </row>
    <row r="1037">
      <c r="A1037" s="7" t="s">
        <v>6220</v>
      </c>
      <c r="B1037" s="18" t="s">
        <v>6221</v>
      </c>
      <c r="C1037" s="3" t="s">
        <v>4210</v>
      </c>
    </row>
    <row r="1038">
      <c r="A1038" s="7" t="s">
        <v>6222</v>
      </c>
      <c r="B1038" s="18" t="s">
        <v>6223</v>
      </c>
      <c r="C1038" s="3" t="s">
        <v>4210</v>
      </c>
    </row>
    <row r="1039">
      <c r="A1039" s="7" t="s">
        <v>6224</v>
      </c>
      <c r="B1039" s="18" t="s">
        <v>6225</v>
      </c>
      <c r="C1039" s="3" t="s">
        <v>4210</v>
      </c>
    </row>
    <row r="1040">
      <c r="A1040" s="7" t="s">
        <v>6226</v>
      </c>
      <c r="B1040" s="18" t="s">
        <v>6227</v>
      </c>
      <c r="C1040" s="3" t="s">
        <v>4210</v>
      </c>
    </row>
    <row r="1041">
      <c r="A1041" s="7" t="s">
        <v>6228</v>
      </c>
      <c r="B1041" s="18" t="s">
        <v>6229</v>
      </c>
      <c r="C1041" s="3" t="s">
        <v>4210</v>
      </c>
    </row>
    <row r="1042">
      <c r="A1042" s="7" t="s">
        <v>6230</v>
      </c>
      <c r="B1042" s="18" t="s">
        <v>6231</v>
      </c>
      <c r="C1042" s="3" t="s">
        <v>4210</v>
      </c>
    </row>
    <row r="1043">
      <c r="A1043" s="7" t="s">
        <v>6232</v>
      </c>
      <c r="B1043" s="18" t="s">
        <v>6233</v>
      </c>
      <c r="C1043" s="3" t="s">
        <v>4210</v>
      </c>
    </row>
    <row r="1044">
      <c r="A1044" s="7" t="s">
        <v>6234</v>
      </c>
      <c r="B1044" s="18" t="s">
        <v>6235</v>
      </c>
      <c r="C1044" s="3" t="s">
        <v>4210</v>
      </c>
    </row>
    <row r="1045">
      <c r="A1045" s="7" t="s">
        <v>6236</v>
      </c>
      <c r="B1045" s="18" t="s">
        <v>6237</v>
      </c>
      <c r="C1045" s="3" t="s">
        <v>4210</v>
      </c>
    </row>
    <row r="1046">
      <c r="A1046" s="7" t="s">
        <v>6238</v>
      </c>
      <c r="B1046" s="18" t="s">
        <v>6239</v>
      </c>
      <c r="C1046" s="3" t="s">
        <v>4210</v>
      </c>
    </row>
    <row r="1047">
      <c r="A1047" s="7" t="s">
        <v>6240</v>
      </c>
      <c r="B1047" s="18" t="s">
        <v>6241</v>
      </c>
      <c r="C1047" s="3" t="s">
        <v>4210</v>
      </c>
    </row>
    <row r="1048">
      <c r="A1048" s="7" t="s">
        <v>6242</v>
      </c>
      <c r="B1048" s="18" t="s">
        <v>6243</v>
      </c>
      <c r="C1048" s="3" t="s">
        <v>4210</v>
      </c>
    </row>
    <row r="1049">
      <c r="A1049" s="7" t="s">
        <v>6244</v>
      </c>
      <c r="B1049" s="18" t="s">
        <v>6245</v>
      </c>
      <c r="C1049" s="3" t="s">
        <v>4210</v>
      </c>
    </row>
    <row r="1050">
      <c r="A1050" s="7" t="s">
        <v>6246</v>
      </c>
      <c r="B1050" s="18" t="s">
        <v>6247</v>
      </c>
      <c r="C1050" s="3" t="s">
        <v>4210</v>
      </c>
    </row>
    <row r="1051">
      <c r="A1051" s="7" t="s">
        <v>6248</v>
      </c>
      <c r="B1051" s="18" t="s">
        <v>6249</v>
      </c>
      <c r="C1051" s="3" t="s">
        <v>4210</v>
      </c>
    </row>
    <row r="1052">
      <c r="A1052" s="7" t="s">
        <v>6250</v>
      </c>
      <c r="B1052" s="18" t="s">
        <v>6251</v>
      </c>
      <c r="C1052" s="3" t="s">
        <v>4210</v>
      </c>
    </row>
    <row r="1053">
      <c r="A1053" s="7" t="s">
        <v>6252</v>
      </c>
      <c r="B1053" s="18" t="s">
        <v>6253</v>
      </c>
      <c r="C1053" s="3" t="s">
        <v>4210</v>
      </c>
    </row>
    <row r="1054">
      <c r="A1054" s="7" t="s">
        <v>6254</v>
      </c>
      <c r="B1054" s="18" t="s">
        <v>6255</v>
      </c>
      <c r="C1054" s="3" t="s">
        <v>4210</v>
      </c>
    </row>
    <row r="1055">
      <c r="A1055" s="7" t="s">
        <v>6256</v>
      </c>
      <c r="B1055" s="18" t="s">
        <v>6255</v>
      </c>
      <c r="C1055" s="3" t="s">
        <v>4210</v>
      </c>
    </row>
    <row r="1056">
      <c r="A1056" s="7" t="s">
        <v>6257</v>
      </c>
      <c r="B1056" s="18" t="s">
        <v>6258</v>
      </c>
      <c r="C1056" s="3" t="s">
        <v>4210</v>
      </c>
    </row>
    <row r="1057">
      <c r="A1057" s="7" t="s">
        <v>6259</v>
      </c>
      <c r="B1057" s="18" t="s">
        <v>6260</v>
      </c>
      <c r="C1057" s="3" t="s">
        <v>4210</v>
      </c>
    </row>
    <row r="1058">
      <c r="A1058" s="7" t="s">
        <v>6261</v>
      </c>
      <c r="B1058" s="18" t="s">
        <v>6262</v>
      </c>
      <c r="C1058" s="3" t="s">
        <v>4210</v>
      </c>
    </row>
    <row r="1059">
      <c r="A1059" s="7" t="s">
        <v>6263</v>
      </c>
      <c r="B1059" s="18" t="s">
        <v>6264</v>
      </c>
      <c r="C1059" s="3" t="s">
        <v>4210</v>
      </c>
    </row>
    <row r="1060">
      <c r="A1060" s="7" t="s">
        <v>6265</v>
      </c>
      <c r="B1060" s="18" t="s">
        <v>6264</v>
      </c>
      <c r="C1060" s="3" t="s">
        <v>4210</v>
      </c>
    </row>
    <row r="1061">
      <c r="A1061" s="7" t="s">
        <v>6266</v>
      </c>
      <c r="B1061" s="18" t="s">
        <v>6267</v>
      </c>
      <c r="C1061" s="3" t="s">
        <v>4210</v>
      </c>
    </row>
    <row r="1062">
      <c r="A1062" s="7" t="s">
        <v>6268</v>
      </c>
      <c r="B1062" s="18" t="s">
        <v>6260</v>
      </c>
      <c r="C1062" s="3" t="s">
        <v>4210</v>
      </c>
    </row>
    <row r="1063">
      <c r="A1063" s="7" t="s">
        <v>6269</v>
      </c>
      <c r="B1063" s="18" t="s">
        <v>6270</v>
      </c>
      <c r="C1063" s="3" t="s">
        <v>4210</v>
      </c>
    </row>
    <row r="1064">
      <c r="A1064" s="7" t="s">
        <v>6271</v>
      </c>
      <c r="B1064" s="18" t="s">
        <v>6272</v>
      </c>
      <c r="C1064" s="3" t="s">
        <v>4210</v>
      </c>
    </row>
    <row r="1065">
      <c r="A1065" s="7" t="s">
        <v>6273</v>
      </c>
      <c r="B1065" s="18" t="s">
        <v>6274</v>
      </c>
      <c r="C1065" s="3" t="s">
        <v>4210</v>
      </c>
    </row>
    <row r="1066">
      <c r="A1066" s="7" t="s">
        <v>6275</v>
      </c>
      <c r="B1066" s="18" t="s">
        <v>6276</v>
      </c>
      <c r="C1066" s="3" t="s">
        <v>4210</v>
      </c>
    </row>
    <row r="1067">
      <c r="A1067" s="7" t="s">
        <v>6277</v>
      </c>
      <c r="B1067" s="18" t="s">
        <v>6278</v>
      </c>
      <c r="C1067" s="3" t="s">
        <v>4210</v>
      </c>
    </row>
    <row r="1068">
      <c r="A1068" s="7" t="s">
        <v>6279</v>
      </c>
      <c r="B1068" s="18" t="s">
        <v>6280</v>
      </c>
      <c r="C1068" s="3" t="s">
        <v>4210</v>
      </c>
    </row>
    <row r="1069">
      <c r="A1069" s="7" t="s">
        <v>6281</v>
      </c>
      <c r="B1069" s="18" t="s">
        <v>6282</v>
      </c>
      <c r="C1069" s="3" t="s">
        <v>4210</v>
      </c>
    </row>
    <row r="1070">
      <c r="A1070" s="7" t="s">
        <v>6283</v>
      </c>
      <c r="B1070" s="18" t="s">
        <v>6284</v>
      </c>
      <c r="C1070" s="3" t="s">
        <v>4210</v>
      </c>
    </row>
    <row r="1071">
      <c r="A1071" s="7" t="s">
        <v>6285</v>
      </c>
      <c r="B1071" s="18" t="s">
        <v>6286</v>
      </c>
      <c r="C1071" s="3" t="s">
        <v>4210</v>
      </c>
    </row>
    <row r="1072">
      <c r="A1072" s="7" t="s">
        <v>6287</v>
      </c>
      <c r="B1072" s="18" t="s">
        <v>6288</v>
      </c>
      <c r="C1072" s="3" t="s">
        <v>4210</v>
      </c>
    </row>
    <row r="1073">
      <c r="A1073" s="7" t="s">
        <v>6289</v>
      </c>
      <c r="B1073" s="18" t="s">
        <v>6290</v>
      </c>
      <c r="C1073" s="3" t="s">
        <v>4210</v>
      </c>
    </row>
    <row r="1074">
      <c r="A1074" s="7" t="s">
        <v>6291</v>
      </c>
      <c r="B1074" s="18" t="s">
        <v>6292</v>
      </c>
      <c r="C1074" s="3" t="s">
        <v>4210</v>
      </c>
    </row>
    <row r="1075">
      <c r="A1075" s="7" t="s">
        <v>6293</v>
      </c>
      <c r="B1075" s="18" t="s">
        <v>6294</v>
      </c>
      <c r="C1075" s="3" t="s">
        <v>4210</v>
      </c>
    </row>
    <row r="1076">
      <c r="A1076" s="7" t="s">
        <v>6295</v>
      </c>
      <c r="B1076" s="18" t="s">
        <v>6296</v>
      </c>
      <c r="C1076" s="3" t="s">
        <v>4210</v>
      </c>
    </row>
    <row r="1077">
      <c r="A1077" s="7" t="s">
        <v>6297</v>
      </c>
      <c r="B1077" s="18" t="s">
        <v>6298</v>
      </c>
      <c r="C1077" s="3" t="s">
        <v>4210</v>
      </c>
    </row>
    <row r="1078">
      <c r="A1078" s="7" t="s">
        <v>6299</v>
      </c>
      <c r="B1078" s="18" t="s">
        <v>6300</v>
      </c>
      <c r="C1078" s="3" t="s">
        <v>4210</v>
      </c>
    </row>
    <row r="1079">
      <c r="A1079" s="7" t="s">
        <v>6301</v>
      </c>
      <c r="B1079" s="18" t="s">
        <v>6302</v>
      </c>
      <c r="C1079" s="3" t="s">
        <v>4210</v>
      </c>
    </row>
    <row r="1080">
      <c r="A1080" s="7" t="s">
        <v>6303</v>
      </c>
      <c r="B1080" s="18" t="s">
        <v>6304</v>
      </c>
      <c r="C1080" s="3" t="s">
        <v>4210</v>
      </c>
    </row>
    <row r="1081">
      <c r="A1081" s="7" t="s">
        <v>6305</v>
      </c>
      <c r="B1081" s="18" t="s">
        <v>6306</v>
      </c>
      <c r="C1081" s="3" t="s">
        <v>4210</v>
      </c>
    </row>
    <row r="1082">
      <c r="A1082" s="7" t="s">
        <v>6307</v>
      </c>
      <c r="B1082" s="18" t="s">
        <v>6308</v>
      </c>
      <c r="C1082" s="3" t="s">
        <v>4210</v>
      </c>
    </row>
    <row r="1083">
      <c r="A1083" s="7" t="s">
        <v>6309</v>
      </c>
      <c r="B1083" s="18" t="s">
        <v>6310</v>
      </c>
      <c r="C1083" s="3" t="s">
        <v>4210</v>
      </c>
    </row>
    <row r="1084">
      <c r="A1084" s="7" t="s">
        <v>6311</v>
      </c>
      <c r="B1084" s="18" t="s">
        <v>6312</v>
      </c>
      <c r="C1084" s="3" t="s">
        <v>4210</v>
      </c>
    </row>
    <row r="1085">
      <c r="A1085" s="7" t="s">
        <v>6313</v>
      </c>
      <c r="B1085" s="18" t="s">
        <v>6314</v>
      </c>
      <c r="C1085" s="3" t="s">
        <v>4210</v>
      </c>
    </row>
    <row r="1086">
      <c r="A1086" s="7" t="s">
        <v>6315</v>
      </c>
      <c r="B1086" s="18" t="s">
        <v>6316</v>
      </c>
      <c r="C1086" s="3" t="s">
        <v>4210</v>
      </c>
    </row>
    <row r="1087">
      <c r="A1087" s="7" t="s">
        <v>6317</v>
      </c>
      <c r="B1087" s="18" t="s">
        <v>6318</v>
      </c>
      <c r="C1087" s="3" t="s">
        <v>4210</v>
      </c>
    </row>
    <row r="1088">
      <c r="A1088" s="7" t="s">
        <v>6319</v>
      </c>
      <c r="B1088" s="18" t="s">
        <v>6320</v>
      </c>
      <c r="C1088" s="3" t="s">
        <v>4210</v>
      </c>
    </row>
    <row r="1089">
      <c r="A1089" s="7" t="s">
        <v>5802</v>
      </c>
      <c r="B1089" s="18" t="s">
        <v>5803</v>
      </c>
      <c r="C1089" s="3" t="s">
        <v>4339</v>
      </c>
    </row>
    <row r="1090">
      <c r="A1090" s="7" t="s">
        <v>6321</v>
      </c>
      <c r="B1090" s="18" t="s">
        <v>6308</v>
      </c>
      <c r="C1090" s="3" t="s">
        <v>4339</v>
      </c>
    </row>
    <row r="1091">
      <c r="A1091" s="7" t="s">
        <v>6322</v>
      </c>
      <c r="B1091" s="18" t="s">
        <v>6323</v>
      </c>
      <c r="C1091" s="3" t="s">
        <v>4210</v>
      </c>
    </row>
    <row r="1092">
      <c r="A1092" s="7" t="s">
        <v>6324</v>
      </c>
      <c r="B1092" s="18" t="s">
        <v>6325</v>
      </c>
      <c r="C1092" s="3" t="s">
        <v>4210</v>
      </c>
    </row>
    <row r="1093">
      <c r="A1093" s="7" t="s">
        <v>6326</v>
      </c>
      <c r="B1093" s="18" t="s">
        <v>6323</v>
      </c>
      <c r="C1093" s="3" t="s">
        <v>4210</v>
      </c>
    </row>
    <row r="1094">
      <c r="A1094" s="7" t="s">
        <v>6327</v>
      </c>
      <c r="B1094" s="18" t="s">
        <v>6328</v>
      </c>
      <c r="C1094" s="3" t="s">
        <v>4210</v>
      </c>
    </row>
    <row r="1095">
      <c r="A1095" s="7" t="s">
        <v>6329</v>
      </c>
      <c r="B1095" s="18" t="s">
        <v>6330</v>
      </c>
      <c r="C1095" s="3" t="s">
        <v>4210</v>
      </c>
    </row>
    <row r="1096">
      <c r="A1096" s="7" t="s">
        <v>6331</v>
      </c>
      <c r="B1096" s="18" t="s">
        <v>6332</v>
      </c>
      <c r="C1096" s="3" t="s">
        <v>4210</v>
      </c>
    </row>
    <row r="1097">
      <c r="A1097" s="7" t="s">
        <v>6333</v>
      </c>
      <c r="B1097" s="18" t="s">
        <v>6334</v>
      </c>
      <c r="C1097" s="3" t="s">
        <v>4210</v>
      </c>
    </row>
    <row r="1098">
      <c r="A1098" s="7" t="s">
        <v>6335</v>
      </c>
      <c r="B1098" s="18" t="s">
        <v>6336</v>
      </c>
      <c r="C1098" s="3" t="s">
        <v>4210</v>
      </c>
    </row>
    <row r="1099">
      <c r="A1099" s="7" t="s">
        <v>6337</v>
      </c>
      <c r="B1099" s="18" t="s">
        <v>6338</v>
      </c>
      <c r="C1099" s="3" t="s">
        <v>4210</v>
      </c>
    </row>
    <row r="1100">
      <c r="A1100" s="7" t="s">
        <v>6339</v>
      </c>
      <c r="B1100" s="18" t="s">
        <v>6340</v>
      </c>
      <c r="C1100" s="3" t="s">
        <v>4210</v>
      </c>
    </row>
    <row r="1101">
      <c r="A1101" s="7" t="s">
        <v>6341</v>
      </c>
      <c r="B1101" s="18" t="s">
        <v>6342</v>
      </c>
      <c r="C1101" s="3" t="s">
        <v>4210</v>
      </c>
    </row>
    <row r="1102">
      <c r="A1102" s="7" t="s">
        <v>6343</v>
      </c>
      <c r="B1102" s="18" t="s">
        <v>6344</v>
      </c>
      <c r="C1102" s="3" t="s">
        <v>4210</v>
      </c>
    </row>
    <row r="1103">
      <c r="A1103" s="7" t="s">
        <v>6345</v>
      </c>
      <c r="B1103" s="18" t="s">
        <v>6346</v>
      </c>
      <c r="C1103" s="3" t="s">
        <v>4210</v>
      </c>
    </row>
    <row r="1104">
      <c r="A1104" s="7" t="s">
        <v>6347</v>
      </c>
      <c r="B1104" s="18" t="s">
        <v>5230</v>
      </c>
      <c r="C1104" s="3" t="s">
        <v>4339</v>
      </c>
    </row>
    <row r="1105">
      <c r="A1105" s="7" t="s">
        <v>6348</v>
      </c>
      <c r="B1105" s="18" t="s">
        <v>6349</v>
      </c>
      <c r="C1105" s="3" t="s">
        <v>4210</v>
      </c>
    </row>
    <row r="1106">
      <c r="A1106" s="7" t="s">
        <v>6350</v>
      </c>
      <c r="B1106" s="18" t="s">
        <v>6351</v>
      </c>
      <c r="C1106" s="3" t="s">
        <v>4210</v>
      </c>
    </row>
    <row r="1107">
      <c r="A1107" s="7" t="s">
        <v>6352</v>
      </c>
      <c r="B1107" s="18" t="s">
        <v>6353</v>
      </c>
      <c r="C1107" s="3" t="s">
        <v>4210</v>
      </c>
    </row>
    <row r="1108">
      <c r="A1108" s="7" t="s">
        <v>6354</v>
      </c>
      <c r="B1108" s="18" t="s">
        <v>6355</v>
      </c>
      <c r="C1108" s="3" t="s">
        <v>4210</v>
      </c>
    </row>
    <row r="1109">
      <c r="A1109" s="7" t="s">
        <v>6356</v>
      </c>
      <c r="B1109" s="18" t="s">
        <v>6357</v>
      </c>
      <c r="C1109" s="3" t="s">
        <v>4210</v>
      </c>
    </row>
    <row r="1110">
      <c r="A1110" s="7" t="s">
        <v>6358</v>
      </c>
      <c r="B1110" s="18" t="s">
        <v>6359</v>
      </c>
      <c r="C1110" s="3" t="s">
        <v>4210</v>
      </c>
    </row>
    <row r="1111">
      <c r="A1111" s="7" t="s">
        <v>6360</v>
      </c>
      <c r="B1111" s="18" t="s">
        <v>6361</v>
      </c>
      <c r="C1111" s="3" t="s">
        <v>4210</v>
      </c>
    </row>
    <row r="1112">
      <c r="A1112" s="7" t="s">
        <v>6362</v>
      </c>
      <c r="B1112" s="18" t="s">
        <v>6363</v>
      </c>
      <c r="C1112" s="3" t="s">
        <v>4210</v>
      </c>
    </row>
    <row r="1113">
      <c r="A1113" s="7" t="s">
        <v>6364</v>
      </c>
      <c r="B1113" s="18" t="s">
        <v>6365</v>
      </c>
      <c r="C1113" s="3" t="s">
        <v>4210</v>
      </c>
    </row>
    <row r="1114">
      <c r="A1114" s="7" t="s">
        <v>6366</v>
      </c>
      <c r="B1114" s="18" t="s">
        <v>6367</v>
      </c>
      <c r="C1114" s="3" t="s">
        <v>4210</v>
      </c>
    </row>
    <row r="1115">
      <c r="A1115" s="7" t="s">
        <v>6368</v>
      </c>
      <c r="B1115" s="18" t="s">
        <v>6369</v>
      </c>
      <c r="C1115" s="3" t="s">
        <v>4210</v>
      </c>
    </row>
    <row r="1116">
      <c r="A1116" s="7" t="s">
        <v>5579</v>
      </c>
      <c r="B1116" s="18" t="s">
        <v>5580</v>
      </c>
      <c r="C1116" s="3" t="s">
        <v>4339</v>
      </c>
    </row>
    <row r="1117">
      <c r="A1117" s="7" t="s">
        <v>6370</v>
      </c>
      <c r="B1117" s="18" t="s">
        <v>6371</v>
      </c>
      <c r="C1117" s="3" t="s">
        <v>4210</v>
      </c>
    </row>
    <row r="1118">
      <c r="A1118" s="7" t="s">
        <v>6372</v>
      </c>
      <c r="B1118" s="18" t="s">
        <v>6373</v>
      </c>
      <c r="C1118" s="3" t="s">
        <v>4210</v>
      </c>
    </row>
    <row r="1119">
      <c r="A1119" s="7" t="s">
        <v>6374</v>
      </c>
      <c r="B1119" s="18" t="s">
        <v>6375</v>
      </c>
      <c r="C1119" s="3" t="s">
        <v>4210</v>
      </c>
    </row>
    <row r="1120">
      <c r="A1120" s="7" t="s">
        <v>6376</v>
      </c>
      <c r="B1120" s="18" t="s">
        <v>6377</v>
      </c>
      <c r="C1120" s="3" t="s">
        <v>4210</v>
      </c>
    </row>
    <row r="1121">
      <c r="A1121" s="7" t="s">
        <v>6378</v>
      </c>
      <c r="B1121" s="18" t="s">
        <v>6379</v>
      </c>
      <c r="C1121" s="3" t="s">
        <v>4210</v>
      </c>
    </row>
    <row r="1122">
      <c r="A1122" s="7" t="s">
        <v>6380</v>
      </c>
      <c r="B1122" s="18" t="s">
        <v>6381</v>
      </c>
      <c r="C1122" s="3" t="s">
        <v>4210</v>
      </c>
    </row>
    <row r="1123">
      <c r="A1123" s="7" t="s">
        <v>6382</v>
      </c>
      <c r="B1123" s="18" t="s">
        <v>6383</v>
      </c>
      <c r="C1123" s="3" t="s">
        <v>4210</v>
      </c>
    </row>
    <row r="1124">
      <c r="A1124" s="7" t="s">
        <v>6384</v>
      </c>
      <c r="B1124" s="18" t="s">
        <v>6385</v>
      </c>
      <c r="C1124" s="3" t="s">
        <v>4210</v>
      </c>
    </row>
    <row r="1125">
      <c r="A1125" s="7" t="s">
        <v>6386</v>
      </c>
      <c r="B1125" s="18" t="s">
        <v>6387</v>
      </c>
      <c r="C1125" s="3" t="s">
        <v>4210</v>
      </c>
    </row>
    <row r="1126">
      <c r="A1126" s="7" t="s">
        <v>6388</v>
      </c>
      <c r="B1126" s="18" t="s">
        <v>6389</v>
      </c>
      <c r="C1126" s="3" t="s">
        <v>4210</v>
      </c>
    </row>
    <row r="1127">
      <c r="A1127" s="7" t="s">
        <v>6390</v>
      </c>
      <c r="B1127" s="18" t="s">
        <v>6391</v>
      </c>
      <c r="C1127" s="3" t="s">
        <v>4210</v>
      </c>
    </row>
    <row r="1128">
      <c r="A1128" s="7" t="s">
        <v>6392</v>
      </c>
      <c r="B1128" s="18" t="s">
        <v>6393</v>
      </c>
      <c r="C1128" s="3" t="s">
        <v>4210</v>
      </c>
    </row>
    <row r="1129">
      <c r="A1129" s="7" t="s">
        <v>6394</v>
      </c>
      <c r="B1129" s="18" t="s">
        <v>6395</v>
      </c>
      <c r="C1129" s="3" t="s">
        <v>4210</v>
      </c>
    </row>
    <row r="1130">
      <c r="A1130" s="7" t="s">
        <v>6396</v>
      </c>
      <c r="B1130" s="18" t="s">
        <v>6397</v>
      </c>
      <c r="C1130" s="3" t="s">
        <v>4210</v>
      </c>
    </row>
    <row r="1131">
      <c r="A1131" s="7" t="s">
        <v>6398</v>
      </c>
      <c r="B1131" s="18" t="s">
        <v>6399</v>
      </c>
      <c r="C1131" s="3" t="s">
        <v>4210</v>
      </c>
    </row>
    <row r="1132">
      <c r="A1132" s="7" t="s">
        <v>6400</v>
      </c>
      <c r="B1132" s="18" t="s">
        <v>6401</v>
      </c>
      <c r="C1132" s="3" t="s">
        <v>4210</v>
      </c>
    </row>
    <row r="1133">
      <c r="A1133" s="7" t="s">
        <v>6402</v>
      </c>
      <c r="B1133" s="18" t="s">
        <v>6403</v>
      </c>
      <c r="C1133" s="3" t="s">
        <v>4210</v>
      </c>
    </row>
    <row r="1134">
      <c r="A1134" s="7" t="s">
        <v>6404</v>
      </c>
      <c r="B1134" s="18" t="s">
        <v>6393</v>
      </c>
      <c r="C1134" s="3" t="s">
        <v>4210</v>
      </c>
    </row>
    <row r="1135">
      <c r="A1135" s="7" t="s">
        <v>6405</v>
      </c>
      <c r="B1135" s="18" t="s">
        <v>6406</v>
      </c>
      <c r="C1135" s="3" t="s">
        <v>4210</v>
      </c>
    </row>
    <row r="1136">
      <c r="A1136" s="7" t="s">
        <v>6407</v>
      </c>
      <c r="B1136" s="18" t="s">
        <v>6408</v>
      </c>
      <c r="C1136" s="3" t="s">
        <v>4210</v>
      </c>
    </row>
    <row r="1137">
      <c r="A1137" s="7" t="s">
        <v>6409</v>
      </c>
      <c r="B1137" s="18" t="s">
        <v>6410</v>
      </c>
      <c r="C1137" s="3" t="s">
        <v>4210</v>
      </c>
    </row>
    <row r="1138">
      <c r="A1138" s="7" t="s">
        <v>6411</v>
      </c>
      <c r="B1138" s="18" t="s">
        <v>6412</v>
      </c>
      <c r="C1138" s="3" t="s">
        <v>4210</v>
      </c>
    </row>
    <row r="1139">
      <c r="A1139" s="7" t="s">
        <v>6413</v>
      </c>
      <c r="B1139" s="18" t="s">
        <v>6414</v>
      </c>
      <c r="C1139" s="3" t="s">
        <v>4210</v>
      </c>
    </row>
    <row r="1140">
      <c r="A1140" s="7" t="s">
        <v>6415</v>
      </c>
      <c r="B1140" s="18" t="s">
        <v>6416</v>
      </c>
      <c r="C1140" s="3" t="s">
        <v>4210</v>
      </c>
    </row>
    <row r="1141">
      <c r="A1141" s="7" t="s">
        <v>6417</v>
      </c>
      <c r="B1141" s="18" t="s">
        <v>6418</v>
      </c>
      <c r="C1141" s="3" t="s">
        <v>4210</v>
      </c>
    </row>
    <row r="1142">
      <c r="A1142" s="7" t="s">
        <v>6419</v>
      </c>
      <c r="B1142" s="18" t="s">
        <v>6420</v>
      </c>
      <c r="C1142" s="3" t="s">
        <v>4210</v>
      </c>
    </row>
    <row r="1143">
      <c r="A1143" s="7" t="s">
        <v>6421</v>
      </c>
      <c r="B1143" s="18" t="s">
        <v>6422</v>
      </c>
      <c r="C1143" s="3" t="s">
        <v>4210</v>
      </c>
    </row>
    <row r="1144">
      <c r="A1144" s="7" t="s">
        <v>6423</v>
      </c>
      <c r="B1144" s="18" t="s">
        <v>6424</v>
      </c>
      <c r="C1144" s="3" t="s">
        <v>4210</v>
      </c>
    </row>
    <row r="1145">
      <c r="A1145" s="7" t="s">
        <v>6425</v>
      </c>
      <c r="B1145" s="18" t="s">
        <v>6426</v>
      </c>
      <c r="C1145" s="3" t="s">
        <v>4210</v>
      </c>
    </row>
    <row r="1146">
      <c r="A1146" s="7" t="s">
        <v>6427</v>
      </c>
      <c r="B1146" s="18" t="s">
        <v>6428</v>
      </c>
      <c r="C1146" s="3" t="s">
        <v>4210</v>
      </c>
    </row>
    <row r="1147">
      <c r="A1147" s="7" t="s">
        <v>6429</v>
      </c>
      <c r="B1147" s="18" t="s">
        <v>6430</v>
      </c>
      <c r="C1147" s="3" t="s">
        <v>4210</v>
      </c>
    </row>
    <row r="1148">
      <c r="A1148" s="7" t="s">
        <v>6431</v>
      </c>
      <c r="B1148" s="18" t="s">
        <v>6432</v>
      </c>
      <c r="C1148" s="3" t="s">
        <v>4210</v>
      </c>
    </row>
    <row r="1149">
      <c r="A1149" s="7" t="s">
        <v>6433</v>
      </c>
      <c r="B1149" s="18" t="s">
        <v>6434</v>
      </c>
      <c r="C1149" s="3" t="s">
        <v>4210</v>
      </c>
    </row>
    <row r="1150">
      <c r="A1150" s="7" t="s">
        <v>6435</v>
      </c>
      <c r="B1150" s="18" t="s">
        <v>6436</v>
      </c>
      <c r="C1150" s="3" t="s">
        <v>4210</v>
      </c>
    </row>
    <row r="1151">
      <c r="A1151" s="7" t="s">
        <v>6437</v>
      </c>
      <c r="B1151" s="18" t="s">
        <v>6438</v>
      </c>
      <c r="C1151" s="3" t="s">
        <v>4210</v>
      </c>
    </row>
    <row r="1152">
      <c r="A1152" s="7" t="s">
        <v>6439</v>
      </c>
      <c r="B1152" s="18" t="s">
        <v>6440</v>
      </c>
      <c r="C1152" s="3" t="s">
        <v>4210</v>
      </c>
    </row>
    <row r="1153">
      <c r="A1153" s="7" t="s">
        <v>6441</v>
      </c>
      <c r="B1153" s="18" t="s">
        <v>6442</v>
      </c>
      <c r="C1153" s="3" t="s">
        <v>4210</v>
      </c>
    </row>
    <row r="1154">
      <c r="A1154" s="7" t="s">
        <v>6443</v>
      </c>
      <c r="B1154" s="18" t="s">
        <v>6444</v>
      </c>
      <c r="C1154" s="3" t="s">
        <v>4210</v>
      </c>
    </row>
    <row r="1155">
      <c r="A1155" s="7" t="s">
        <v>6445</v>
      </c>
      <c r="B1155" s="18" t="s">
        <v>6446</v>
      </c>
      <c r="C1155" s="3" t="s">
        <v>4210</v>
      </c>
    </row>
    <row r="1156">
      <c r="A1156" s="7" t="s">
        <v>6447</v>
      </c>
      <c r="B1156" s="18" t="s">
        <v>6448</v>
      </c>
      <c r="C1156" s="3" t="s">
        <v>4210</v>
      </c>
    </row>
    <row r="1157">
      <c r="A1157" s="7" t="s">
        <v>6449</v>
      </c>
      <c r="B1157" s="18" t="s">
        <v>6450</v>
      </c>
      <c r="C1157" s="3" t="s">
        <v>4210</v>
      </c>
    </row>
    <row r="1158">
      <c r="A1158" s="7" t="s">
        <v>6451</v>
      </c>
      <c r="B1158" s="18" t="s">
        <v>6452</v>
      </c>
      <c r="C1158" s="3" t="s">
        <v>4210</v>
      </c>
    </row>
    <row r="1159">
      <c r="A1159" s="7" t="s">
        <v>6453</v>
      </c>
      <c r="B1159" s="18" t="s">
        <v>6454</v>
      </c>
      <c r="C1159" s="3" t="s">
        <v>4210</v>
      </c>
    </row>
    <row r="1160">
      <c r="A1160" s="7" t="s">
        <v>6455</v>
      </c>
      <c r="B1160" s="18" t="s">
        <v>6456</v>
      </c>
      <c r="C1160" s="3" t="s">
        <v>4210</v>
      </c>
    </row>
    <row r="1161">
      <c r="A1161" s="7" t="s">
        <v>6457</v>
      </c>
      <c r="B1161" s="18" t="s">
        <v>6458</v>
      </c>
      <c r="C1161" s="3" t="s">
        <v>4210</v>
      </c>
    </row>
    <row r="1162">
      <c r="A1162" s="7" t="s">
        <v>6459</v>
      </c>
      <c r="B1162" s="18" t="s">
        <v>6460</v>
      </c>
      <c r="C1162" s="3" t="s">
        <v>4210</v>
      </c>
    </row>
    <row r="1163">
      <c r="A1163" s="7" t="s">
        <v>6461</v>
      </c>
      <c r="B1163" s="18" t="s">
        <v>6462</v>
      </c>
      <c r="C1163" s="3" t="s">
        <v>4210</v>
      </c>
    </row>
    <row r="1164">
      <c r="A1164" s="7" t="s">
        <v>6463</v>
      </c>
      <c r="B1164" s="18" t="s">
        <v>6464</v>
      </c>
      <c r="C1164" s="3" t="s">
        <v>4210</v>
      </c>
    </row>
    <row r="1165">
      <c r="A1165" s="7" t="s">
        <v>6465</v>
      </c>
      <c r="B1165" s="18" t="s">
        <v>6466</v>
      </c>
      <c r="C1165" s="3" t="s">
        <v>4210</v>
      </c>
    </row>
    <row r="1166">
      <c r="A1166" s="7" t="s">
        <v>6467</v>
      </c>
      <c r="B1166" s="18" t="s">
        <v>6468</v>
      </c>
      <c r="C1166" s="3" t="s">
        <v>4210</v>
      </c>
    </row>
    <row r="1167">
      <c r="A1167" s="7" t="s">
        <v>6469</v>
      </c>
      <c r="B1167" s="18" t="s">
        <v>6470</v>
      </c>
      <c r="C1167" s="3" t="s">
        <v>4210</v>
      </c>
    </row>
    <row r="1168">
      <c r="A1168" s="7" t="s">
        <v>6471</v>
      </c>
      <c r="B1168" s="18" t="s">
        <v>6472</v>
      </c>
      <c r="C1168" s="3" t="s">
        <v>4210</v>
      </c>
    </row>
    <row r="1169">
      <c r="A1169" s="7" t="s">
        <v>6473</v>
      </c>
      <c r="B1169" s="18" t="s">
        <v>6474</v>
      </c>
      <c r="C1169" s="3" t="s">
        <v>4210</v>
      </c>
    </row>
    <row r="1170">
      <c r="A1170" s="7" t="s">
        <v>6475</v>
      </c>
      <c r="B1170" s="18" t="s">
        <v>6346</v>
      </c>
      <c r="C1170" s="3" t="s">
        <v>4339</v>
      </c>
    </row>
    <row r="1171">
      <c r="A1171" s="7" t="s">
        <v>6476</v>
      </c>
      <c r="B1171" s="18" t="s">
        <v>6477</v>
      </c>
      <c r="C1171" s="3" t="s">
        <v>4210</v>
      </c>
    </row>
    <row r="1172">
      <c r="A1172" s="7" t="s">
        <v>6478</v>
      </c>
      <c r="B1172" s="18" t="s">
        <v>6479</v>
      </c>
      <c r="C1172" s="3" t="s">
        <v>4210</v>
      </c>
    </row>
    <row r="1173">
      <c r="A1173" s="7" t="s">
        <v>6480</v>
      </c>
      <c r="B1173" s="18" t="s">
        <v>6481</v>
      </c>
      <c r="C1173" s="3" t="s">
        <v>4210</v>
      </c>
    </row>
    <row r="1174">
      <c r="A1174" s="7" t="s">
        <v>6482</v>
      </c>
      <c r="B1174" s="18" t="s">
        <v>6483</v>
      </c>
      <c r="C1174" s="3" t="s">
        <v>4210</v>
      </c>
    </row>
    <row r="1175">
      <c r="A1175" s="7" t="s">
        <v>6484</v>
      </c>
      <c r="B1175" s="18" t="s">
        <v>6485</v>
      </c>
      <c r="C1175" s="3" t="s">
        <v>4210</v>
      </c>
    </row>
    <row r="1176">
      <c r="A1176" s="7" t="s">
        <v>6486</v>
      </c>
      <c r="B1176" s="18" t="s">
        <v>6487</v>
      </c>
      <c r="C1176" s="3" t="s">
        <v>4210</v>
      </c>
    </row>
    <row r="1177">
      <c r="A1177" s="7" t="s">
        <v>6488</v>
      </c>
      <c r="B1177" s="18" t="s">
        <v>6489</v>
      </c>
      <c r="C1177" s="3" t="s">
        <v>4210</v>
      </c>
    </row>
    <row r="1178">
      <c r="A1178" s="7" t="s">
        <v>4601</v>
      </c>
      <c r="B1178" s="18" t="s">
        <v>4602</v>
      </c>
      <c r="C1178" s="3" t="s">
        <v>4339</v>
      </c>
    </row>
    <row r="1179">
      <c r="A1179" s="7" t="s">
        <v>6490</v>
      </c>
      <c r="B1179" s="18" t="s">
        <v>6491</v>
      </c>
      <c r="C1179" s="3" t="s">
        <v>4210</v>
      </c>
    </row>
    <row r="1180">
      <c r="A1180" s="7" t="s">
        <v>6492</v>
      </c>
      <c r="B1180" s="18" t="s">
        <v>6493</v>
      </c>
      <c r="C1180" s="3" t="s">
        <v>4210</v>
      </c>
    </row>
    <row r="1181">
      <c r="A1181" s="7" t="s">
        <v>6494</v>
      </c>
      <c r="B1181" s="18" t="s">
        <v>6495</v>
      </c>
      <c r="C1181" s="3" t="s">
        <v>4210</v>
      </c>
    </row>
    <row r="1182">
      <c r="A1182" s="7" t="s">
        <v>6496</v>
      </c>
      <c r="B1182" s="18" t="s">
        <v>6497</v>
      </c>
      <c r="C1182" s="3" t="s">
        <v>4210</v>
      </c>
    </row>
    <row r="1183">
      <c r="A1183" s="7" t="s">
        <v>6498</v>
      </c>
      <c r="B1183" s="18" t="s">
        <v>6499</v>
      </c>
      <c r="C1183" s="3" t="s">
        <v>4210</v>
      </c>
    </row>
    <row r="1184">
      <c r="A1184" s="7" t="s">
        <v>6500</v>
      </c>
      <c r="B1184" s="18" t="s">
        <v>6501</v>
      </c>
      <c r="C1184" s="3" t="s">
        <v>4210</v>
      </c>
    </row>
    <row r="1185">
      <c r="A1185" s="7" t="s">
        <v>6502</v>
      </c>
      <c r="B1185" s="18" t="s">
        <v>6497</v>
      </c>
      <c r="C1185" s="3" t="s">
        <v>4210</v>
      </c>
    </row>
    <row r="1186">
      <c r="A1186" s="7" t="s">
        <v>6503</v>
      </c>
      <c r="B1186" s="18" t="s">
        <v>6504</v>
      </c>
      <c r="C1186" s="3" t="s">
        <v>4210</v>
      </c>
    </row>
    <row r="1187">
      <c r="A1187" s="7" t="s">
        <v>6505</v>
      </c>
      <c r="B1187" s="18" t="s">
        <v>6495</v>
      </c>
      <c r="C1187" s="3" t="s">
        <v>4210</v>
      </c>
    </row>
    <row r="1188">
      <c r="A1188" s="7" t="s">
        <v>6506</v>
      </c>
      <c r="B1188" s="18" t="s">
        <v>6507</v>
      </c>
      <c r="C1188" s="3" t="s">
        <v>4210</v>
      </c>
    </row>
    <row r="1189">
      <c r="A1189" s="7" t="s">
        <v>6508</v>
      </c>
      <c r="B1189" s="18" t="s">
        <v>6509</v>
      </c>
      <c r="C1189" s="3" t="s">
        <v>4210</v>
      </c>
    </row>
    <row r="1190">
      <c r="A1190" s="7" t="s">
        <v>6510</v>
      </c>
      <c r="B1190" s="18" t="s">
        <v>6511</v>
      </c>
      <c r="C1190" s="3" t="s">
        <v>4210</v>
      </c>
    </row>
    <row r="1191">
      <c r="A1191" s="7" t="s">
        <v>6512</v>
      </c>
      <c r="B1191" s="18" t="s">
        <v>6513</v>
      </c>
      <c r="C1191" s="3" t="s">
        <v>4210</v>
      </c>
    </row>
    <row r="1192">
      <c r="A1192" s="7" t="s">
        <v>6514</v>
      </c>
      <c r="B1192" s="18" t="s">
        <v>6515</v>
      </c>
      <c r="C1192" s="3" t="s">
        <v>4210</v>
      </c>
    </row>
    <row r="1193">
      <c r="A1193" s="7" t="s">
        <v>6516</v>
      </c>
      <c r="B1193" s="18" t="s">
        <v>5477</v>
      </c>
      <c r="C1193" s="3" t="s">
        <v>4339</v>
      </c>
    </row>
    <row r="1194">
      <c r="A1194" s="7" t="s">
        <v>6517</v>
      </c>
      <c r="B1194" s="18" t="s">
        <v>6518</v>
      </c>
      <c r="C1194" s="3" t="s">
        <v>4210</v>
      </c>
    </row>
    <row r="1195">
      <c r="A1195" s="7" t="s">
        <v>6519</v>
      </c>
      <c r="B1195" s="18" t="s">
        <v>6520</v>
      </c>
      <c r="C1195" s="3" t="s">
        <v>4210</v>
      </c>
    </row>
    <row r="1196">
      <c r="A1196" s="7" t="s">
        <v>6521</v>
      </c>
      <c r="B1196" s="18" t="s">
        <v>6522</v>
      </c>
      <c r="C1196" s="3" t="s">
        <v>4210</v>
      </c>
    </row>
    <row r="1197">
      <c r="A1197" s="7" t="s">
        <v>6523</v>
      </c>
      <c r="B1197" s="18" t="s">
        <v>6524</v>
      </c>
      <c r="C1197" s="3" t="s">
        <v>4210</v>
      </c>
    </row>
    <row r="1198">
      <c r="A1198" s="7" t="s">
        <v>6525</v>
      </c>
      <c r="B1198" s="18" t="s">
        <v>6526</v>
      </c>
      <c r="C1198" s="3" t="s">
        <v>4210</v>
      </c>
    </row>
    <row r="1199">
      <c r="A1199" s="7" t="s">
        <v>6527</v>
      </c>
      <c r="B1199" s="18" t="s">
        <v>6528</v>
      </c>
      <c r="C1199" s="3" t="s">
        <v>4210</v>
      </c>
    </row>
    <row r="1200">
      <c r="A1200" s="7" t="s">
        <v>6529</v>
      </c>
      <c r="B1200" s="18" t="s">
        <v>6530</v>
      </c>
      <c r="C1200" s="3" t="s">
        <v>4210</v>
      </c>
    </row>
    <row r="1201">
      <c r="A1201" s="7" t="s">
        <v>6531</v>
      </c>
      <c r="B1201" s="18" t="s">
        <v>6532</v>
      </c>
      <c r="C1201" s="3" t="s">
        <v>4210</v>
      </c>
    </row>
    <row r="1202">
      <c r="A1202" s="7" t="s">
        <v>6533</v>
      </c>
      <c r="B1202" s="18" t="s">
        <v>6534</v>
      </c>
      <c r="C1202" s="3" t="s">
        <v>4210</v>
      </c>
    </row>
    <row r="1203">
      <c r="A1203" s="7" t="s">
        <v>6535</v>
      </c>
      <c r="B1203" s="18" t="s">
        <v>6536</v>
      </c>
      <c r="C1203" s="3" t="s">
        <v>4210</v>
      </c>
    </row>
    <row r="1204">
      <c r="A1204" s="7" t="s">
        <v>6537</v>
      </c>
      <c r="B1204" s="18" t="s">
        <v>6538</v>
      </c>
      <c r="C1204" s="3" t="s">
        <v>4210</v>
      </c>
    </row>
    <row r="1205">
      <c r="A1205" s="7" t="s">
        <v>6539</v>
      </c>
      <c r="B1205" s="18" t="s">
        <v>6540</v>
      </c>
      <c r="C1205" s="3" t="s">
        <v>4210</v>
      </c>
    </row>
    <row r="1206">
      <c r="A1206" s="7" t="s">
        <v>6541</v>
      </c>
      <c r="B1206" s="18" t="s">
        <v>6542</v>
      </c>
      <c r="C1206" s="3" t="s">
        <v>4210</v>
      </c>
    </row>
    <row r="1207">
      <c r="A1207" s="7" t="s">
        <v>6543</v>
      </c>
      <c r="B1207" s="18" t="s">
        <v>6544</v>
      </c>
      <c r="C1207" s="3" t="s">
        <v>4210</v>
      </c>
    </row>
    <row r="1208">
      <c r="A1208" s="7" t="s">
        <v>6545</v>
      </c>
      <c r="B1208" s="18" t="s">
        <v>6546</v>
      </c>
      <c r="C1208" s="3" t="s">
        <v>4210</v>
      </c>
    </row>
    <row r="1209">
      <c r="A1209" s="7" t="s">
        <v>6547</v>
      </c>
      <c r="B1209" s="18" t="s">
        <v>6548</v>
      </c>
      <c r="C1209" s="3" t="s">
        <v>4210</v>
      </c>
    </row>
    <row r="1210">
      <c r="A1210" s="7" t="s">
        <v>6549</v>
      </c>
      <c r="B1210" s="18" t="s">
        <v>6550</v>
      </c>
      <c r="C1210" s="3" t="s">
        <v>4210</v>
      </c>
    </row>
    <row r="1211">
      <c r="A1211" s="7" t="s">
        <v>6551</v>
      </c>
      <c r="B1211" s="18" t="s">
        <v>6552</v>
      </c>
      <c r="C1211" s="3" t="s">
        <v>4210</v>
      </c>
    </row>
    <row r="1212">
      <c r="A1212" s="7" t="s">
        <v>6553</v>
      </c>
      <c r="B1212" s="18" t="s">
        <v>6554</v>
      </c>
      <c r="C1212" s="3" t="s">
        <v>4210</v>
      </c>
    </row>
    <row r="1213">
      <c r="A1213" s="7" t="s">
        <v>6555</v>
      </c>
      <c r="B1213" s="18" t="s">
        <v>6556</v>
      </c>
      <c r="C1213" s="3" t="s">
        <v>4210</v>
      </c>
    </row>
    <row r="1214">
      <c r="A1214" s="7" t="s">
        <v>6557</v>
      </c>
      <c r="B1214" s="18" t="s">
        <v>6558</v>
      </c>
      <c r="C1214" s="3" t="s">
        <v>4210</v>
      </c>
    </row>
    <row r="1215">
      <c r="A1215" s="7" t="s">
        <v>6559</v>
      </c>
      <c r="B1215" s="18" t="s">
        <v>6560</v>
      </c>
      <c r="C1215" s="3" t="s">
        <v>4210</v>
      </c>
    </row>
    <row r="1216">
      <c r="A1216" s="7" t="s">
        <v>6561</v>
      </c>
      <c r="B1216" s="18" t="s">
        <v>6562</v>
      </c>
      <c r="C1216" s="3" t="s">
        <v>4210</v>
      </c>
    </row>
    <row r="1217">
      <c r="A1217" s="7" t="s">
        <v>6563</v>
      </c>
      <c r="B1217" s="18" t="s">
        <v>6564</v>
      </c>
      <c r="C1217" s="3" t="s">
        <v>4210</v>
      </c>
    </row>
    <row r="1218">
      <c r="A1218" s="7" t="s">
        <v>6565</v>
      </c>
      <c r="B1218" s="18" t="s">
        <v>6566</v>
      </c>
      <c r="C1218" s="3" t="s">
        <v>4210</v>
      </c>
    </row>
    <row r="1219">
      <c r="A1219" s="7" t="s">
        <v>6567</v>
      </c>
      <c r="B1219" s="18" t="s">
        <v>6568</v>
      </c>
      <c r="C1219" s="3" t="s">
        <v>4210</v>
      </c>
    </row>
    <row r="1220">
      <c r="A1220" s="7" t="s">
        <v>6569</v>
      </c>
      <c r="B1220" s="18" t="s">
        <v>6570</v>
      </c>
      <c r="C1220" s="3" t="s">
        <v>4210</v>
      </c>
    </row>
    <row r="1221">
      <c r="A1221" s="7" t="s">
        <v>6571</v>
      </c>
      <c r="B1221" s="18" t="s">
        <v>6572</v>
      </c>
      <c r="C1221" s="3" t="s">
        <v>4210</v>
      </c>
    </row>
    <row r="1222">
      <c r="A1222" s="7" t="s">
        <v>6573</v>
      </c>
      <c r="B1222" s="18" t="s">
        <v>6574</v>
      </c>
      <c r="C1222" s="3" t="s">
        <v>4210</v>
      </c>
    </row>
    <row r="1223">
      <c r="A1223" s="7" t="s">
        <v>6575</v>
      </c>
      <c r="B1223" s="18" t="s">
        <v>6576</v>
      </c>
      <c r="C1223" s="3" t="s">
        <v>4210</v>
      </c>
    </row>
    <row r="1224">
      <c r="A1224" s="7" t="s">
        <v>6577</v>
      </c>
      <c r="B1224" s="18" t="s">
        <v>6578</v>
      </c>
      <c r="C1224" s="3" t="s">
        <v>4210</v>
      </c>
    </row>
    <row r="1225">
      <c r="A1225" s="7" t="s">
        <v>6579</v>
      </c>
      <c r="B1225" s="18" t="s">
        <v>6580</v>
      </c>
      <c r="C1225" s="3" t="s">
        <v>4210</v>
      </c>
    </row>
    <row r="1226">
      <c r="A1226" s="7" t="s">
        <v>6581</v>
      </c>
      <c r="B1226" s="18" t="s">
        <v>6582</v>
      </c>
      <c r="C1226" s="3" t="s">
        <v>4210</v>
      </c>
    </row>
    <row r="1227">
      <c r="A1227" s="7" t="s">
        <v>6583</v>
      </c>
      <c r="B1227" s="18" t="s">
        <v>6584</v>
      </c>
      <c r="C1227" s="3" t="s">
        <v>4210</v>
      </c>
    </row>
    <row r="1228">
      <c r="A1228" s="7" t="s">
        <v>6585</v>
      </c>
      <c r="B1228" s="18" t="s">
        <v>6586</v>
      </c>
      <c r="C1228" s="3" t="s">
        <v>4210</v>
      </c>
    </row>
    <row r="1229">
      <c r="A1229" s="7" t="s">
        <v>6587</v>
      </c>
      <c r="B1229" s="18" t="s">
        <v>6588</v>
      </c>
      <c r="C1229" s="3" t="s">
        <v>4210</v>
      </c>
    </row>
    <row r="1230">
      <c r="A1230" s="7" t="s">
        <v>6589</v>
      </c>
      <c r="B1230" s="18" t="s">
        <v>6590</v>
      </c>
      <c r="C1230" s="3" t="s">
        <v>4210</v>
      </c>
    </row>
    <row r="1231">
      <c r="A1231" s="7" t="s">
        <v>6591</v>
      </c>
      <c r="B1231" s="18" t="s">
        <v>6592</v>
      </c>
      <c r="C1231" s="3" t="s">
        <v>4210</v>
      </c>
    </row>
    <row r="1232">
      <c r="A1232" s="7" t="s">
        <v>6593</v>
      </c>
      <c r="B1232" s="18" t="s">
        <v>6594</v>
      </c>
      <c r="C1232" s="3" t="s">
        <v>4210</v>
      </c>
    </row>
    <row r="1233">
      <c r="A1233" s="7" t="s">
        <v>6595</v>
      </c>
      <c r="B1233" s="18" t="s">
        <v>6596</v>
      </c>
      <c r="C1233" s="3" t="s">
        <v>4210</v>
      </c>
    </row>
    <row r="1234">
      <c r="A1234" s="7" t="s">
        <v>6597</v>
      </c>
      <c r="B1234" s="18" t="s">
        <v>6598</v>
      </c>
      <c r="C1234" s="3" t="s">
        <v>4210</v>
      </c>
    </row>
    <row r="1235">
      <c r="A1235" s="7" t="s">
        <v>6599</v>
      </c>
      <c r="B1235" s="18" t="s">
        <v>6600</v>
      </c>
      <c r="C1235" s="3" t="s">
        <v>4210</v>
      </c>
    </row>
    <row r="1236">
      <c r="A1236" s="7" t="s">
        <v>6601</v>
      </c>
      <c r="B1236" s="18" t="s">
        <v>6602</v>
      </c>
      <c r="C1236" s="3" t="s">
        <v>4210</v>
      </c>
    </row>
    <row r="1237">
      <c r="A1237" s="7" t="s">
        <v>6579</v>
      </c>
      <c r="B1237" s="18" t="s">
        <v>6580</v>
      </c>
      <c r="C1237" s="3" t="s">
        <v>4339</v>
      </c>
    </row>
    <row r="1238">
      <c r="A1238" s="7" t="s">
        <v>6603</v>
      </c>
      <c r="B1238" s="18" t="s">
        <v>6604</v>
      </c>
      <c r="C1238" s="3" t="s">
        <v>4210</v>
      </c>
    </row>
    <row r="1239">
      <c r="A1239" s="7" t="s">
        <v>6605</v>
      </c>
      <c r="B1239" s="18" t="s">
        <v>6606</v>
      </c>
      <c r="C1239" s="3" t="s">
        <v>4210</v>
      </c>
    </row>
    <row r="1240">
      <c r="A1240" s="7" t="s">
        <v>6607</v>
      </c>
      <c r="B1240" s="18" t="s">
        <v>6608</v>
      </c>
      <c r="C1240" s="3" t="s">
        <v>4210</v>
      </c>
    </row>
    <row r="1241">
      <c r="A1241" s="7" t="s">
        <v>6609</v>
      </c>
      <c r="B1241" s="18" t="s">
        <v>6158</v>
      </c>
      <c r="C1241" s="3" t="s">
        <v>4339</v>
      </c>
    </row>
    <row r="1242">
      <c r="A1242" s="7" t="s">
        <v>6610</v>
      </c>
      <c r="B1242" s="18" t="s">
        <v>6611</v>
      </c>
      <c r="C1242" s="3" t="s">
        <v>4210</v>
      </c>
    </row>
    <row r="1243">
      <c r="A1243" s="7" t="s">
        <v>6612</v>
      </c>
      <c r="B1243" s="18" t="s">
        <v>6613</v>
      </c>
      <c r="C1243" s="3" t="s">
        <v>4210</v>
      </c>
    </row>
    <row r="1244">
      <c r="A1244" s="7" t="s">
        <v>6614</v>
      </c>
      <c r="B1244" s="18" t="s">
        <v>6615</v>
      </c>
      <c r="C1244" s="3" t="s">
        <v>4210</v>
      </c>
    </row>
    <row r="1245">
      <c r="A1245" s="7" t="s">
        <v>6616</v>
      </c>
      <c r="B1245" s="18" t="s">
        <v>6617</v>
      </c>
      <c r="C1245" s="3" t="s">
        <v>4210</v>
      </c>
    </row>
    <row r="1246">
      <c r="A1246" s="7" t="s">
        <v>6618</v>
      </c>
      <c r="B1246" s="18" t="s">
        <v>6619</v>
      </c>
      <c r="C1246" s="3" t="s">
        <v>4210</v>
      </c>
    </row>
    <row r="1247">
      <c r="A1247" s="7" t="s">
        <v>6620</v>
      </c>
      <c r="B1247" s="18" t="s">
        <v>6621</v>
      </c>
      <c r="C1247" s="3" t="s">
        <v>4210</v>
      </c>
    </row>
    <row r="1248">
      <c r="A1248" s="7" t="s">
        <v>6622</v>
      </c>
      <c r="B1248" s="18" t="s">
        <v>6623</v>
      </c>
      <c r="C1248" s="3" t="s">
        <v>4210</v>
      </c>
    </row>
    <row r="1249">
      <c r="A1249" s="7" t="s">
        <v>6624</v>
      </c>
      <c r="B1249" s="18" t="s">
        <v>6625</v>
      </c>
      <c r="C1249" s="3" t="s">
        <v>4210</v>
      </c>
    </row>
    <row r="1250">
      <c r="A1250" s="7" t="s">
        <v>6626</v>
      </c>
      <c r="B1250" s="18" t="s">
        <v>6627</v>
      </c>
      <c r="C1250" s="3" t="s">
        <v>4210</v>
      </c>
    </row>
    <row r="1251">
      <c r="A1251" s="7" t="s">
        <v>6628</v>
      </c>
      <c r="B1251" s="18" t="s">
        <v>6629</v>
      </c>
      <c r="C1251" s="3" t="s">
        <v>4210</v>
      </c>
    </row>
    <row r="1252">
      <c r="A1252" s="7" t="s">
        <v>6630</v>
      </c>
      <c r="B1252" s="18" t="s">
        <v>6631</v>
      </c>
      <c r="C1252" s="3" t="s">
        <v>4210</v>
      </c>
    </row>
    <row r="1253">
      <c r="A1253" s="7" t="s">
        <v>6632</v>
      </c>
      <c r="B1253" s="18" t="s">
        <v>6633</v>
      </c>
      <c r="C1253" s="3" t="s">
        <v>4210</v>
      </c>
    </row>
    <row r="1254">
      <c r="A1254" s="7" t="s">
        <v>6634</v>
      </c>
      <c r="B1254" s="18" t="s">
        <v>6635</v>
      </c>
      <c r="C1254" s="3" t="s">
        <v>4210</v>
      </c>
    </row>
    <row r="1255">
      <c r="A1255" s="7" t="s">
        <v>6636</v>
      </c>
      <c r="B1255" s="18" t="s">
        <v>6637</v>
      </c>
      <c r="C1255" s="3" t="s">
        <v>4210</v>
      </c>
    </row>
    <row r="1256">
      <c r="A1256" s="7" t="s">
        <v>6638</v>
      </c>
      <c r="B1256" s="18" t="s">
        <v>6639</v>
      </c>
      <c r="C1256" s="3" t="s">
        <v>4210</v>
      </c>
    </row>
    <row r="1257">
      <c r="A1257" s="7" t="s">
        <v>6640</v>
      </c>
      <c r="B1257" s="18" t="s">
        <v>6641</v>
      </c>
      <c r="C1257" s="3" t="s">
        <v>4210</v>
      </c>
    </row>
    <row r="1258">
      <c r="A1258" s="7" t="s">
        <v>6642</v>
      </c>
      <c r="B1258" s="18" t="s">
        <v>6643</v>
      </c>
      <c r="C1258" s="3" t="s">
        <v>4210</v>
      </c>
    </row>
    <row r="1259">
      <c r="A1259" s="7" t="s">
        <v>6644</v>
      </c>
      <c r="B1259" s="18" t="s">
        <v>6645</v>
      </c>
      <c r="C1259" s="3" t="s">
        <v>4210</v>
      </c>
    </row>
    <row r="1260">
      <c r="A1260" s="7" t="s">
        <v>6149</v>
      </c>
      <c r="B1260" s="18" t="s">
        <v>6150</v>
      </c>
      <c r="C1260" s="3" t="s">
        <v>4339</v>
      </c>
    </row>
    <row r="1261">
      <c r="A1261" s="7" t="s">
        <v>6646</v>
      </c>
      <c r="B1261" s="18" t="s">
        <v>6647</v>
      </c>
      <c r="C1261" s="3" t="s">
        <v>4210</v>
      </c>
    </row>
    <row r="1262">
      <c r="A1262" s="7" t="s">
        <v>6648</v>
      </c>
      <c r="B1262" s="18" t="s">
        <v>6649</v>
      </c>
      <c r="C1262" s="3" t="s">
        <v>4210</v>
      </c>
    </row>
    <row r="1263">
      <c r="A1263" s="7" t="s">
        <v>6650</v>
      </c>
      <c r="B1263" s="18" t="s">
        <v>6651</v>
      </c>
      <c r="C1263" s="3" t="s">
        <v>4210</v>
      </c>
    </row>
    <row r="1264">
      <c r="A1264" s="7" t="s">
        <v>6652</v>
      </c>
      <c r="B1264" s="18" t="s">
        <v>6653</v>
      </c>
      <c r="C1264" s="3" t="s">
        <v>4210</v>
      </c>
    </row>
    <row r="1265">
      <c r="A1265" s="7" t="s">
        <v>6654</v>
      </c>
      <c r="B1265" s="18" t="s">
        <v>6655</v>
      </c>
      <c r="C1265" s="3" t="s">
        <v>4210</v>
      </c>
    </row>
    <row r="1266">
      <c r="A1266" s="7" t="s">
        <v>6656</v>
      </c>
      <c r="B1266" s="18" t="s">
        <v>6657</v>
      </c>
      <c r="C1266" s="3" t="s">
        <v>4210</v>
      </c>
    </row>
    <row r="1267">
      <c r="A1267" s="7" t="s">
        <v>6658</v>
      </c>
      <c r="B1267" s="18" t="s">
        <v>6659</v>
      </c>
      <c r="C1267" s="3" t="s">
        <v>4210</v>
      </c>
    </row>
    <row r="1268">
      <c r="A1268" s="7" t="s">
        <v>6660</v>
      </c>
      <c r="B1268" s="18" t="s">
        <v>6154</v>
      </c>
      <c r="C1268" s="3" t="s">
        <v>4339</v>
      </c>
    </row>
    <row r="1269">
      <c r="A1269" s="7" t="s">
        <v>6661</v>
      </c>
      <c r="B1269" s="18" t="s">
        <v>4379</v>
      </c>
      <c r="C1269" s="3" t="s">
        <v>4339</v>
      </c>
    </row>
    <row r="1270">
      <c r="A1270" s="7" t="s">
        <v>6662</v>
      </c>
      <c r="B1270" s="18" t="s">
        <v>6663</v>
      </c>
      <c r="C1270" s="3" t="s">
        <v>4210</v>
      </c>
    </row>
    <row r="1271">
      <c r="A1271" s="7" t="s">
        <v>6664</v>
      </c>
      <c r="B1271" s="18" t="s">
        <v>6665</v>
      </c>
      <c r="C1271" s="3" t="s">
        <v>4210</v>
      </c>
    </row>
    <row r="1272">
      <c r="A1272" s="7" t="s">
        <v>6666</v>
      </c>
      <c r="B1272" s="18" t="s">
        <v>6667</v>
      </c>
      <c r="C1272" s="3" t="s">
        <v>4210</v>
      </c>
    </row>
    <row r="1273">
      <c r="A1273" s="7" t="s">
        <v>6668</v>
      </c>
      <c r="B1273" s="18" t="s">
        <v>6669</v>
      </c>
      <c r="C1273" s="3" t="s">
        <v>4210</v>
      </c>
    </row>
    <row r="1274">
      <c r="A1274" s="7" t="s">
        <v>6670</v>
      </c>
      <c r="B1274" s="18" t="s">
        <v>5600</v>
      </c>
      <c r="C1274" s="3" t="s">
        <v>4339</v>
      </c>
    </row>
    <row r="1275">
      <c r="A1275" s="7" t="s">
        <v>6671</v>
      </c>
      <c r="B1275" s="18" t="s">
        <v>6672</v>
      </c>
      <c r="C1275" s="3" t="s">
        <v>4210</v>
      </c>
    </row>
    <row r="1276">
      <c r="A1276" s="7" t="s">
        <v>6673</v>
      </c>
      <c r="B1276" s="18" t="s">
        <v>6674</v>
      </c>
      <c r="C1276" s="3" t="s">
        <v>4210</v>
      </c>
    </row>
    <row r="1277">
      <c r="A1277" s="7" t="s">
        <v>6675</v>
      </c>
      <c r="B1277" s="18" t="s">
        <v>6676</v>
      </c>
      <c r="C1277" s="3" t="s">
        <v>4210</v>
      </c>
    </row>
    <row r="1278">
      <c r="A1278" s="7" t="s">
        <v>6677</v>
      </c>
      <c r="B1278" s="18" t="s">
        <v>6678</v>
      </c>
      <c r="C1278" s="3" t="s">
        <v>4210</v>
      </c>
    </row>
    <row r="1279">
      <c r="A1279" s="7" t="s">
        <v>6679</v>
      </c>
      <c r="B1279" s="18" t="s">
        <v>6680</v>
      </c>
      <c r="C1279" s="3" t="s">
        <v>4210</v>
      </c>
    </row>
    <row r="1280">
      <c r="A1280" s="7" t="s">
        <v>6681</v>
      </c>
      <c r="B1280" s="18" t="s">
        <v>4562</v>
      </c>
      <c r="C1280" s="3" t="s">
        <v>4339</v>
      </c>
    </row>
    <row r="1281">
      <c r="A1281" s="7" t="s">
        <v>6682</v>
      </c>
      <c r="B1281" s="18" t="s">
        <v>6683</v>
      </c>
      <c r="C1281" s="3" t="s">
        <v>4210</v>
      </c>
    </row>
    <row r="1282">
      <c r="A1282" s="7" t="s">
        <v>6684</v>
      </c>
      <c r="B1282" s="18" t="s">
        <v>6685</v>
      </c>
      <c r="C1282" s="3" t="s">
        <v>4210</v>
      </c>
    </row>
    <row r="1283">
      <c r="A1283" s="7" t="s">
        <v>6686</v>
      </c>
      <c r="B1283" s="18" t="s">
        <v>6687</v>
      </c>
      <c r="C1283" s="3" t="s">
        <v>4210</v>
      </c>
    </row>
    <row r="1284">
      <c r="A1284" s="7" t="s">
        <v>6688</v>
      </c>
      <c r="B1284" s="18" t="s">
        <v>6689</v>
      </c>
      <c r="C1284" s="3" t="s">
        <v>4210</v>
      </c>
    </row>
    <row r="1285">
      <c r="A1285" s="7" t="s">
        <v>6690</v>
      </c>
      <c r="B1285" s="18" t="s">
        <v>6691</v>
      </c>
      <c r="C1285" s="3" t="s">
        <v>4210</v>
      </c>
    </row>
    <row r="1286">
      <c r="A1286" s="7" t="s">
        <v>6692</v>
      </c>
      <c r="B1286" s="18" t="s">
        <v>6693</v>
      </c>
      <c r="C1286" s="3" t="s">
        <v>4210</v>
      </c>
    </row>
    <row r="1287">
      <c r="A1287" s="7" t="s">
        <v>5993</v>
      </c>
      <c r="B1287" s="18" t="s">
        <v>5994</v>
      </c>
      <c r="C1287" s="3" t="s">
        <v>4339</v>
      </c>
    </row>
    <row r="1288">
      <c r="A1288" s="7" t="s">
        <v>6694</v>
      </c>
      <c r="B1288" s="18" t="s">
        <v>6695</v>
      </c>
      <c r="C1288" s="3" t="s">
        <v>4210</v>
      </c>
    </row>
    <row r="1289">
      <c r="A1289" s="7" t="s">
        <v>6696</v>
      </c>
      <c r="B1289" s="18" t="s">
        <v>6697</v>
      </c>
      <c r="C1289" s="3" t="s">
        <v>4210</v>
      </c>
    </row>
    <row r="1290">
      <c r="A1290" s="7" t="s">
        <v>6698</v>
      </c>
      <c r="B1290" s="18" t="s">
        <v>6699</v>
      </c>
      <c r="C1290" s="3" t="s">
        <v>4210</v>
      </c>
    </row>
    <row r="1291">
      <c r="A1291" s="7" t="s">
        <v>6700</v>
      </c>
      <c r="B1291" s="18" t="s">
        <v>6701</v>
      </c>
      <c r="C1291" s="3" t="s">
        <v>4210</v>
      </c>
    </row>
    <row r="1292">
      <c r="A1292" s="7" t="s">
        <v>6702</v>
      </c>
      <c r="B1292" s="18" t="s">
        <v>6703</v>
      </c>
      <c r="C1292" s="3" t="s">
        <v>4210</v>
      </c>
    </row>
    <row r="1293">
      <c r="A1293" s="7" t="s">
        <v>6704</v>
      </c>
      <c r="B1293" s="18" t="s">
        <v>6705</v>
      </c>
      <c r="C1293" s="3" t="s">
        <v>4210</v>
      </c>
    </row>
    <row r="1294">
      <c r="A1294" s="7" t="s">
        <v>6706</v>
      </c>
      <c r="B1294" s="18" t="s">
        <v>6707</v>
      </c>
      <c r="C1294" s="3" t="s">
        <v>4210</v>
      </c>
    </row>
    <row r="1295">
      <c r="A1295" s="7" t="s">
        <v>6708</v>
      </c>
      <c r="B1295" s="18" t="s">
        <v>6709</v>
      </c>
      <c r="C1295" s="3" t="s">
        <v>4210</v>
      </c>
    </row>
    <row r="1296">
      <c r="A1296" s="7" t="s">
        <v>6710</v>
      </c>
      <c r="B1296" s="18" t="s">
        <v>6711</v>
      </c>
      <c r="C1296" s="3" t="s">
        <v>4210</v>
      </c>
    </row>
    <row r="1297">
      <c r="A1297" s="7" t="s">
        <v>6712</v>
      </c>
      <c r="B1297" s="18" t="s">
        <v>6713</v>
      </c>
      <c r="C1297" s="3" t="s">
        <v>4210</v>
      </c>
    </row>
    <row r="1298">
      <c r="A1298" s="7" t="s">
        <v>6714</v>
      </c>
      <c r="B1298" s="18" t="s">
        <v>6715</v>
      </c>
      <c r="C1298" s="3" t="s">
        <v>4210</v>
      </c>
    </row>
    <row r="1299">
      <c r="A1299" s="7" t="s">
        <v>6716</v>
      </c>
      <c r="B1299" s="18" t="s">
        <v>6717</v>
      </c>
      <c r="C1299" s="3" t="s">
        <v>4210</v>
      </c>
    </row>
    <row r="1300">
      <c r="A1300" s="7" t="s">
        <v>6718</v>
      </c>
      <c r="B1300" s="18" t="s">
        <v>6719</v>
      </c>
      <c r="C1300" s="3" t="s">
        <v>4210</v>
      </c>
    </row>
    <row r="1301">
      <c r="A1301" s="7" t="s">
        <v>6720</v>
      </c>
      <c r="B1301" s="18" t="s">
        <v>6721</v>
      </c>
      <c r="C1301" s="3" t="s">
        <v>4210</v>
      </c>
    </row>
    <row r="1302">
      <c r="A1302" s="7" t="s">
        <v>6722</v>
      </c>
      <c r="B1302" s="18" t="s">
        <v>6723</v>
      </c>
      <c r="C1302" s="3" t="s">
        <v>4210</v>
      </c>
    </row>
    <row r="1303">
      <c r="A1303" s="7" t="s">
        <v>6724</v>
      </c>
      <c r="B1303" s="18" t="s">
        <v>6725</v>
      </c>
      <c r="C1303" s="3" t="s">
        <v>4210</v>
      </c>
    </row>
    <row r="1304">
      <c r="A1304" s="7" t="s">
        <v>6726</v>
      </c>
      <c r="B1304" s="18" t="s">
        <v>6727</v>
      </c>
      <c r="C1304" s="3" t="s">
        <v>4210</v>
      </c>
    </row>
    <row r="1305">
      <c r="A1305" s="7" t="s">
        <v>6728</v>
      </c>
      <c r="B1305" s="18" t="s">
        <v>6729</v>
      </c>
      <c r="C1305" s="3" t="s">
        <v>4210</v>
      </c>
    </row>
    <row r="1306">
      <c r="A1306" s="7" t="s">
        <v>6730</v>
      </c>
      <c r="B1306" s="18" t="s">
        <v>6731</v>
      </c>
      <c r="C1306" s="3" t="s">
        <v>4210</v>
      </c>
    </row>
    <row r="1307">
      <c r="A1307" s="7" t="s">
        <v>6732</v>
      </c>
      <c r="B1307" s="18" t="s">
        <v>6733</v>
      </c>
      <c r="C1307" s="3" t="s">
        <v>4210</v>
      </c>
    </row>
    <row r="1308">
      <c r="A1308" s="7" t="s">
        <v>6734</v>
      </c>
      <c r="B1308" s="18" t="s">
        <v>6735</v>
      </c>
      <c r="C1308" s="3" t="s">
        <v>4210</v>
      </c>
    </row>
    <row r="1309">
      <c r="A1309" s="7" t="s">
        <v>6736</v>
      </c>
      <c r="B1309" s="18" t="s">
        <v>6737</v>
      </c>
      <c r="C1309" s="3" t="s">
        <v>4210</v>
      </c>
    </row>
    <row r="1310">
      <c r="A1310" s="7" t="s">
        <v>6738</v>
      </c>
      <c r="B1310" s="18" t="s">
        <v>6739</v>
      </c>
      <c r="C1310" s="3" t="s">
        <v>4210</v>
      </c>
    </row>
    <row r="1311">
      <c r="A1311" s="7" t="s">
        <v>6740</v>
      </c>
      <c r="B1311" s="18" t="s">
        <v>6741</v>
      </c>
      <c r="C1311" s="3" t="s">
        <v>4210</v>
      </c>
    </row>
    <row r="1312">
      <c r="A1312" s="7" t="s">
        <v>6742</v>
      </c>
      <c r="B1312" s="18" t="s">
        <v>5748</v>
      </c>
      <c r="C1312" s="3" t="s">
        <v>4339</v>
      </c>
    </row>
    <row r="1313">
      <c r="A1313" s="7" t="s">
        <v>6743</v>
      </c>
      <c r="B1313" s="18" t="s">
        <v>6744</v>
      </c>
      <c r="C1313" s="3" t="s">
        <v>4210</v>
      </c>
    </row>
    <row r="1314">
      <c r="A1314" s="7" t="s">
        <v>6745</v>
      </c>
      <c r="B1314" s="18" t="s">
        <v>6746</v>
      </c>
      <c r="C1314" s="3" t="s">
        <v>4210</v>
      </c>
    </row>
    <row r="1315">
      <c r="A1315" s="7" t="s">
        <v>6747</v>
      </c>
      <c r="B1315" s="18" t="s">
        <v>6748</v>
      </c>
      <c r="C1315" s="3" t="s">
        <v>4210</v>
      </c>
    </row>
    <row r="1316">
      <c r="A1316" s="7" t="s">
        <v>6749</v>
      </c>
      <c r="B1316" s="18" t="s">
        <v>6750</v>
      </c>
      <c r="C1316" s="3" t="s">
        <v>4210</v>
      </c>
    </row>
    <row r="1317">
      <c r="A1317" s="7" t="s">
        <v>6751</v>
      </c>
      <c r="B1317" s="18" t="s">
        <v>6752</v>
      </c>
      <c r="C1317" s="3" t="s">
        <v>4210</v>
      </c>
    </row>
    <row r="1318">
      <c r="A1318" s="7" t="s">
        <v>6753</v>
      </c>
      <c r="B1318" s="18" t="s">
        <v>6754</v>
      </c>
      <c r="C1318" s="3" t="s">
        <v>4210</v>
      </c>
    </row>
    <row r="1319">
      <c r="A1319" s="7" t="s">
        <v>6755</v>
      </c>
      <c r="B1319" s="18" t="s">
        <v>6756</v>
      </c>
      <c r="C1319" s="3" t="s">
        <v>4210</v>
      </c>
    </row>
    <row r="1320">
      <c r="A1320" s="7" t="s">
        <v>6757</v>
      </c>
      <c r="B1320" s="18" t="s">
        <v>6758</v>
      </c>
      <c r="C1320" s="3" t="s">
        <v>4210</v>
      </c>
    </row>
    <row r="1321">
      <c r="A1321" s="7" t="s">
        <v>6759</v>
      </c>
      <c r="B1321" s="18" t="s">
        <v>6760</v>
      </c>
      <c r="C1321" s="3" t="s">
        <v>4210</v>
      </c>
    </row>
    <row r="1322">
      <c r="A1322" s="7" t="s">
        <v>6761</v>
      </c>
      <c r="B1322" s="18" t="s">
        <v>6762</v>
      </c>
      <c r="C1322" s="3" t="s">
        <v>4210</v>
      </c>
    </row>
    <row r="1323">
      <c r="A1323" s="7" t="s">
        <v>6763</v>
      </c>
      <c r="B1323" s="18" t="s">
        <v>6764</v>
      </c>
      <c r="C1323" s="3" t="s">
        <v>4210</v>
      </c>
    </row>
    <row r="1324">
      <c r="A1324" s="7" t="s">
        <v>6763</v>
      </c>
      <c r="B1324" s="18" t="s">
        <v>6764</v>
      </c>
      <c r="C1324" s="3" t="s">
        <v>4210</v>
      </c>
    </row>
    <row r="1325">
      <c r="A1325" s="7" t="s">
        <v>6765</v>
      </c>
      <c r="B1325" s="18" t="s">
        <v>6766</v>
      </c>
      <c r="C1325" s="3" t="s">
        <v>4210</v>
      </c>
    </row>
    <row r="1326">
      <c r="A1326" s="7" t="s">
        <v>6767</v>
      </c>
      <c r="B1326" s="18" t="s">
        <v>6768</v>
      </c>
      <c r="C1326" s="3" t="s">
        <v>4210</v>
      </c>
    </row>
    <row r="1327">
      <c r="A1327" s="7" t="s">
        <v>6769</v>
      </c>
      <c r="B1327" s="18" t="s">
        <v>6770</v>
      </c>
      <c r="C1327" s="3" t="s">
        <v>4210</v>
      </c>
    </row>
    <row r="1328">
      <c r="A1328" s="7" t="s">
        <v>6771</v>
      </c>
      <c r="B1328" s="18" t="s">
        <v>6772</v>
      </c>
      <c r="C1328" s="3" t="s">
        <v>4210</v>
      </c>
    </row>
    <row r="1329">
      <c r="A1329" s="7" t="s">
        <v>6773</v>
      </c>
      <c r="B1329" s="18" t="s">
        <v>6774</v>
      </c>
      <c r="C1329" s="3" t="s">
        <v>4210</v>
      </c>
    </row>
    <row r="1330">
      <c r="A1330" s="7" t="s">
        <v>6775</v>
      </c>
      <c r="B1330" s="18" t="s">
        <v>6776</v>
      </c>
      <c r="C1330" s="3" t="s">
        <v>4210</v>
      </c>
    </row>
    <row r="1331">
      <c r="A1331" s="7" t="s">
        <v>6777</v>
      </c>
      <c r="B1331" s="18" t="s">
        <v>6778</v>
      </c>
      <c r="C1331" s="3" t="s">
        <v>4210</v>
      </c>
    </row>
    <row r="1332">
      <c r="A1332" s="7" t="s">
        <v>6779</v>
      </c>
      <c r="B1332" s="18" t="s">
        <v>6780</v>
      </c>
      <c r="C1332" s="3" t="s">
        <v>4210</v>
      </c>
    </row>
    <row r="1333">
      <c r="A1333" s="7" t="s">
        <v>6781</v>
      </c>
      <c r="B1333" s="18" t="s">
        <v>6689</v>
      </c>
      <c r="C1333" s="3" t="s">
        <v>4339</v>
      </c>
    </row>
    <row r="1334">
      <c r="A1334" s="7" t="s">
        <v>6782</v>
      </c>
      <c r="B1334" s="18" t="s">
        <v>6783</v>
      </c>
      <c r="C1334" s="3" t="s">
        <v>4210</v>
      </c>
    </row>
    <row r="1335">
      <c r="A1335" s="7" t="s">
        <v>6784</v>
      </c>
      <c r="B1335" s="18" t="s">
        <v>6785</v>
      </c>
      <c r="C1335" s="3" t="s">
        <v>4210</v>
      </c>
    </row>
    <row r="1336">
      <c r="A1336" s="7" t="s">
        <v>6786</v>
      </c>
      <c r="B1336" s="18" t="s">
        <v>6787</v>
      </c>
      <c r="C1336" s="3" t="s">
        <v>4210</v>
      </c>
    </row>
    <row r="1337">
      <c r="A1337" s="7" t="s">
        <v>6788</v>
      </c>
      <c r="B1337" s="18" t="s">
        <v>6789</v>
      </c>
      <c r="C1337" s="3" t="s">
        <v>4210</v>
      </c>
    </row>
    <row r="1338">
      <c r="A1338" s="7" t="s">
        <v>6790</v>
      </c>
      <c r="B1338" s="18" t="s">
        <v>6791</v>
      </c>
      <c r="C1338" s="3" t="s">
        <v>4210</v>
      </c>
    </row>
    <row r="1339">
      <c r="A1339" s="7" t="s">
        <v>6792</v>
      </c>
      <c r="B1339" s="18" t="s">
        <v>6793</v>
      </c>
      <c r="C1339" s="3" t="s">
        <v>4210</v>
      </c>
    </row>
    <row r="1340">
      <c r="A1340" s="7" t="s">
        <v>6794</v>
      </c>
      <c r="B1340" s="18" t="s">
        <v>6795</v>
      </c>
      <c r="C1340" s="3" t="s">
        <v>4210</v>
      </c>
    </row>
    <row r="1341">
      <c r="A1341" s="7" t="s">
        <v>6796</v>
      </c>
      <c r="B1341" s="18" t="s">
        <v>6797</v>
      </c>
      <c r="C1341" s="3" t="s">
        <v>4210</v>
      </c>
    </row>
    <row r="1342">
      <c r="A1342" s="7" t="s">
        <v>6798</v>
      </c>
      <c r="B1342" s="18" t="s">
        <v>6799</v>
      </c>
      <c r="C1342" s="3" t="s">
        <v>4210</v>
      </c>
    </row>
    <row r="1343">
      <c r="A1343" s="7" t="s">
        <v>6800</v>
      </c>
      <c r="B1343" s="18" t="s">
        <v>6801</v>
      </c>
      <c r="C1343" s="3" t="s">
        <v>4210</v>
      </c>
    </row>
    <row r="1344">
      <c r="A1344" s="7" t="s">
        <v>6802</v>
      </c>
      <c r="B1344" s="18" t="s">
        <v>6803</v>
      </c>
      <c r="C1344" s="3" t="s">
        <v>4210</v>
      </c>
    </row>
    <row r="1345">
      <c r="A1345" s="7" t="s">
        <v>6804</v>
      </c>
      <c r="B1345" s="18" t="s">
        <v>6805</v>
      </c>
      <c r="C1345" s="3" t="s">
        <v>4210</v>
      </c>
    </row>
    <row r="1346">
      <c r="A1346" s="7" t="s">
        <v>6806</v>
      </c>
      <c r="B1346" s="18" t="s">
        <v>6807</v>
      </c>
      <c r="C1346" s="3" t="s">
        <v>4210</v>
      </c>
    </row>
    <row r="1347">
      <c r="A1347" s="7" t="s">
        <v>6808</v>
      </c>
      <c r="B1347" s="18" t="s">
        <v>6789</v>
      </c>
      <c r="C1347" s="3" t="s">
        <v>4339</v>
      </c>
    </row>
    <row r="1348">
      <c r="A1348" s="7" t="s">
        <v>6809</v>
      </c>
      <c r="B1348" s="18" t="s">
        <v>6810</v>
      </c>
      <c r="C1348" s="3" t="s">
        <v>4210</v>
      </c>
    </row>
    <row r="1349">
      <c r="A1349" s="7" t="s">
        <v>6811</v>
      </c>
      <c r="B1349" s="18" t="s">
        <v>6812</v>
      </c>
      <c r="C1349" s="3" t="s">
        <v>4210</v>
      </c>
    </row>
    <row r="1350">
      <c r="A1350" s="7" t="s">
        <v>6813</v>
      </c>
      <c r="B1350" s="18" t="s">
        <v>6814</v>
      </c>
      <c r="C1350" s="3" t="s">
        <v>4210</v>
      </c>
    </row>
    <row r="1351">
      <c r="A1351" s="7" t="s">
        <v>6815</v>
      </c>
      <c r="B1351" s="18" t="s">
        <v>6816</v>
      </c>
      <c r="C1351" s="3" t="s">
        <v>4210</v>
      </c>
    </row>
    <row r="1352">
      <c r="A1352" s="7" t="s">
        <v>6817</v>
      </c>
      <c r="B1352" s="18" t="s">
        <v>6818</v>
      </c>
      <c r="C1352" s="3" t="s">
        <v>4210</v>
      </c>
    </row>
    <row r="1353">
      <c r="A1353" s="7" t="s">
        <v>6819</v>
      </c>
      <c r="B1353" s="18" t="s">
        <v>6820</v>
      </c>
      <c r="C1353" s="3" t="s">
        <v>4210</v>
      </c>
    </row>
    <row r="1354">
      <c r="A1354" s="7" t="s">
        <v>6821</v>
      </c>
      <c r="B1354" s="18" t="s">
        <v>6822</v>
      </c>
      <c r="C1354" s="3" t="s">
        <v>4210</v>
      </c>
    </row>
    <row r="1355">
      <c r="A1355" s="7" t="s">
        <v>6823</v>
      </c>
      <c r="B1355" s="18" t="s">
        <v>6824</v>
      </c>
      <c r="C1355" s="3" t="s">
        <v>4210</v>
      </c>
    </row>
    <row r="1356">
      <c r="A1356" s="7" t="s">
        <v>6825</v>
      </c>
      <c r="B1356" s="18" t="s">
        <v>6826</v>
      </c>
      <c r="C1356" s="3" t="s">
        <v>4210</v>
      </c>
    </row>
    <row r="1357">
      <c r="A1357" s="7" t="s">
        <v>6827</v>
      </c>
      <c r="B1357" s="18" t="s">
        <v>6828</v>
      </c>
      <c r="C1357" s="3" t="s">
        <v>4210</v>
      </c>
    </row>
    <row r="1358">
      <c r="A1358" s="7" t="s">
        <v>6829</v>
      </c>
      <c r="B1358" s="18" t="s">
        <v>6830</v>
      </c>
      <c r="C1358" s="3" t="s">
        <v>4210</v>
      </c>
    </row>
    <row r="1359">
      <c r="A1359" s="7" t="s">
        <v>6831</v>
      </c>
      <c r="B1359" s="18" t="s">
        <v>6832</v>
      </c>
      <c r="C1359" s="3" t="s">
        <v>4210</v>
      </c>
    </row>
    <row r="1360">
      <c r="A1360" s="7" t="s">
        <v>6833</v>
      </c>
      <c r="B1360" s="18" t="s">
        <v>6834</v>
      </c>
      <c r="C1360" s="3" t="s">
        <v>4210</v>
      </c>
    </row>
    <row r="1361">
      <c r="A1361" s="7" t="s">
        <v>6835</v>
      </c>
      <c r="B1361" s="18" t="s">
        <v>6836</v>
      </c>
      <c r="C1361" s="3" t="s">
        <v>4210</v>
      </c>
    </row>
    <row r="1362">
      <c r="A1362" s="7" t="s">
        <v>6837</v>
      </c>
      <c r="B1362" s="18" t="s">
        <v>6838</v>
      </c>
      <c r="C1362" s="3" t="s">
        <v>4210</v>
      </c>
    </row>
    <row r="1363">
      <c r="A1363" s="7" t="s">
        <v>6839</v>
      </c>
      <c r="B1363" s="18" t="s">
        <v>6840</v>
      </c>
      <c r="C1363" s="3" t="s">
        <v>4210</v>
      </c>
    </row>
    <row r="1364">
      <c r="A1364" s="7" t="s">
        <v>6841</v>
      </c>
      <c r="B1364" s="18" t="s">
        <v>6842</v>
      </c>
      <c r="C1364" s="3" t="s">
        <v>4210</v>
      </c>
    </row>
    <row r="1365">
      <c r="A1365" s="7" t="s">
        <v>6843</v>
      </c>
      <c r="B1365" s="18" t="s">
        <v>6844</v>
      </c>
      <c r="C1365" s="3" t="s">
        <v>4210</v>
      </c>
    </row>
    <row r="1366">
      <c r="A1366" s="7" t="s">
        <v>6845</v>
      </c>
      <c r="B1366" s="18" t="s">
        <v>6846</v>
      </c>
      <c r="C1366" s="3" t="s">
        <v>4210</v>
      </c>
    </row>
    <row r="1367">
      <c r="A1367" s="7" t="s">
        <v>6847</v>
      </c>
      <c r="B1367" s="18" t="s">
        <v>6848</v>
      </c>
      <c r="C1367" s="3" t="s">
        <v>4210</v>
      </c>
    </row>
    <row r="1368">
      <c r="A1368" s="7" t="s">
        <v>6849</v>
      </c>
      <c r="B1368" s="18" t="s">
        <v>6850</v>
      </c>
      <c r="C1368" s="3" t="s">
        <v>4210</v>
      </c>
    </row>
    <row r="1369">
      <c r="A1369" s="7" t="s">
        <v>6851</v>
      </c>
      <c r="B1369" s="18" t="s">
        <v>6852</v>
      </c>
      <c r="C1369" s="3" t="s">
        <v>4210</v>
      </c>
    </row>
    <row r="1370">
      <c r="A1370" s="7" t="s">
        <v>6853</v>
      </c>
      <c r="B1370" s="18" t="s">
        <v>6854</v>
      </c>
      <c r="C1370" s="3" t="s">
        <v>4210</v>
      </c>
    </row>
    <row r="1371">
      <c r="A1371" s="7" t="s">
        <v>6855</v>
      </c>
      <c r="B1371" s="18" t="s">
        <v>6856</v>
      </c>
      <c r="C1371" s="3" t="s">
        <v>4210</v>
      </c>
    </row>
    <row r="1372">
      <c r="A1372" s="7" t="s">
        <v>6857</v>
      </c>
      <c r="B1372" s="18" t="s">
        <v>6858</v>
      </c>
      <c r="C1372" s="3" t="s">
        <v>4210</v>
      </c>
    </row>
    <row r="1373">
      <c r="A1373" s="7" t="s">
        <v>6859</v>
      </c>
      <c r="B1373" s="18" t="s">
        <v>6860</v>
      </c>
      <c r="C1373" s="3" t="s">
        <v>4210</v>
      </c>
    </row>
    <row r="1374">
      <c r="A1374" s="7" t="s">
        <v>6861</v>
      </c>
      <c r="B1374" s="18" t="s">
        <v>6862</v>
      </c>
      <c r="C1374" s="3" t="s">
        <v>4210</v>
      </c>
    </row>
    <row r="1375">
      <c r="A1375" s="7" t="s">
        <v>6863</v>
      </c>
      <c r="B1375" s="18" t="s">
        <v>6807</v>
      </c>
      <c r="C1375" s="3" t="s">
        <v>4339</v>
      </c>
    </row>
    <row r="1376">
      <c r="A1376" s="7" t="s">
        <v>6864</v>
      </c>
      <c r="B1376" s="18" t="s">
        <v>6865</v>
      </c>
      <c r="C1376" s="3" t="s">
        <v>4210</v>
      </c>
    </row>
    <row r="1377">
      <c r="A1377" s="7" t="s">
        <v>6866</v>
      </c>
      <c r="B1377" s="18" t="s">
        <v>6867</v>
      </c>
      <c r="C1377" s="3" t="s">
        <v>4210</v>
      </c>
    </row>
    <row r="1378">
      <c r="A1378" s="7" t="s">
        <v>6868</v>
      </c>
      <c r="B1378" s="18" t="s">
        <v>6869</v>
      </c>
      <c r="C1378" s="3" t="s">
        <v>4210</v>
      </c>
    </row>
    <row r="1379">
      <c r="A1379" s="7" t="s">
        <v>6870</v>
      </c>
      <c r="B1379" s="18" t="s">
        <v>6871</v>
      </c>
      <c r="C1379" s="3" t="s">
        <v>4210</v>
      </c>
    </row>
    <row r="1380">
      <c r="A1380" s="7" t="s">
        <v>6872</v>
      </c>
      <c r="B1380" s="18" t="s">
        <v>6873</v>
      </c>
      <c r="C1380" s="3" t="s">
        <v>4210</v>
      </c>
    </row>
    <row r="1381">
      <c r="A1381" s="7" t="s">
        <v>6874</v>
      </c>
      <c r="B1381" s="18" t="s">
        <v>6875</v>
      </c>
      <c r="C1381" s="3" t="s">
        <v>4210</v>
      </c>
    </row>
    <row r="1382">
      <c r="A1382" s="7" t="s">
        <v>6876</v>
      </c>
      <c r="B1382" s="18" t="s">
        <v>6877</v>
      </c>
      <c r="C1382" s="3" t="s">
        <v>4210</v>
      </c>
    </row>
    <row r="1383">
      <c r="A1383" s="7" t="s">
        <v>6878</v>
      </c>
      <c r="B1383" s="18" t="s">
        <v>6879</v>
      </c>
      <c r="C1383" s="3" t="s">
        <v>4210</v>
      </c>
    </row>
    <row r="1384">
      <c r="A1384" s="7" t="s">
        <v>6880</v>
      </c>
      <c r="B1384" s="18" t="s">
        <v>6881</v>
      </c>
      <c r="C1384" s="3" t="s">
        <v>4210</v>
      </c>
    </row>
    <row r="1385">
      <c r="A1385" s="7" t="s">
        <v>6882</v>
      </c>
      <c r="B1385" s="18" t="s">
        <v>6883</v>
      </c>
      <c r="C1385" s="3" t="s">
        <v>4210</v>
      </c>
    </row>
    <row r="1386">
      <c r="A1386" s="7" t="s">
        <v>6884</v>
      </c>
      <c r="B1386" s="18" t="s">
        <v>6885</v>
      </c>
      <c r="C1386" s="3" t="s">
        <v>4210</v>
      </c>
    </row>
    <row r="1387">
      <c r="A1387" s="7" t="s">
        <v>6886</v>
      </c>
      <c r="B1387" s="18" t="s">
        <v>6887</v>
      </c>
      <c r="C1387" s="3" t="s">
        <v>4210</v>
      </c>
    </row>
    <row r="1388">
      <c r="A1388" s="7" t="s">
        <v>6888</v>
      </c>
      <c r="B1388" s="18" t="s">
        <v>6889</v>
      </c>
      <c r="C1388" s="3" t="s">
        <v>4210</v>
      </c>
    </row>
    <row r="1389">
      <c r="A1389" s="7" t="s">
        <v>6890</v>
      </c>
      <c r="B1389" s="18" t="s">
        <v>6891</v>
      </c>
      <c r="C1389" s="3" t="s">
        <v>4210</v>
      </c>
    </row>
    <row r="1390">
      <c r="A1390" s="7" t="s">
        <v>6892</v>
      </c>
      <c r="B1390" s="18" t="s">
        <v>6893</v>
      </c>
      <c r="C1390" s="3" t="s">
        <v>4210</v>
      </c>
    </row>
    <row r="1391">
      <c r="A1391" s="7" t="s">
        <v>6894</v>
      </c>
      <c r="B1391" s="18" t="s">
        <v>6895</v>
      </c>
      <c r="C1391" s="3" t="s">
        <v>4210</v>
      </c>
    </row>
    <row r="1392">
      <c r="A1392" s="7" t="s">
        <v>6896</v>
      </c>
      <c r="B1392" s="18" t="s">
        <v>6897</v>
      </c>
      <c r="C1392" s="3" t="s">
        <v>4210</v>
      </c>
    </row>
    <row r="1393">
      <c r="A1393" s="7" t="s">
        <v>6898</v>
      </c>
      <c r="B1393" s="18" t="s">
        <v>6899</v>
      </c>
      <c r="C1393" s="3" t="s">
        <v>4210</v>
      </c>
    </row>
    <row r="1394">
      <c r="A1394" s="7" t="s">
        <v>6900</v>
      </c>
      <c r="B1394" s="18" t="s">
        <v>6901</v>
      </c>
      <c r="C1394" s="3" t="s">
        <v>4210</v>
      </c>
    </row>
    <row r="1395">
      <c r="A1395" s="7" t="s">
        <v>6902</v>
      </c>
      <c r="B1395" s="18" t="s">
        <v>6903</v>
      </c>
      <c r="C1395" s="3" t="s">
        <v>4210</v>
      </c>
    </row>
    <row r="1396">
      <c r="A1396" s="7" t="s">
        <v>6904</v>
      </c>
      <c r="B1396" s="18" t="s">
        <v>6905</v>
      </c>
      <c r="C1396" s="3" t="s">
        <v>4210</v>
      </c>
    </row>
    <row r="1397">
      <c r="A1397" s="7" t="s">
        <v>6906</v>
      </c>
      <c r="B1397" s="18" t="s">
        <v>6907</v>
      </c>
      <c r="C1397" s="3" t="s">
        <v>4210</v>
      </c>
    </row>
    <row r="1398">
      <c r="A1398" s="7" t="s">
        <v>6908</v>
      </c>
      <c r="B1398" s="18" t="s">
        <v>6909</v>
      </c>
      <c r="C1398" s="3" t="s">
        <v>4210</v>
      </c>
    </row>
    <row r="1399">
      <c r="A1399" s="7" t="s">
        <v>6910</v>
      </c>
      <c r="B1399" s="18" t="s">
        <v>6911</v>
      </c>
      <c r="C1399" s="3" t="s">
        <v>4210</v>
      </c>
    </row>
    <row r="1400">
      <c r="A1400" s="7" t="s">
        <v>6912</v>
      </c>
      <c r="B1400" s="18" t="s">
        <v>6913</v>
      </c>
      <c r="C1400" s="3" t="s">
        <v>4210</v>
      </c>
    </row>
    <row r="1401">
      <c r="A1401" s="7" t="s">
        <v>6914</v>
      </c>
      <c r="B1401" s="18" t="s">
        <v>6915</v>
      </c>
      <c r="C1401" s="3" t="s">
        <v>4210</v>
      </c>
    </row>
    <row r="1402">
      <c r="A1402" s="7" t="s">
        <v>6916</v>
      </c>
      <c r="B1402" s="18" t="s">
        <v>6917</v>
      </c>
      <c r="C1402" s="3" t="s">
        <v>4210</v>
      </c>
    </row>
    <row r="1403">
      <c r="A1403" s="7" t="s">
        <v>6918</v>
      </c>
      <c r="B1403" s="18" t="s">
        <v>6919</v>
      </c>
      <c r="C1403" s="3" t="s">
        <v>4210</v>
      </c>
    </row>
    <row r="1404">
      <c r="A1404" s="7" t="s">
        <v>6920</v>
      </c>
      <c r="B1404" s="18" t="s">
        <v>6921</v>
      </c>
      <c r="C1404" s="3" t="s">
        <v>4210</v>
      </c>
    </row>
    <row r="1405">
      <c r="A1405" s="7" t="s">
        <v>6922</v>
      </c>
      <c r="B1405" s="18" t="s">
        <v>5248</v>
      </c>
      <c r="C1405" s="3" t="s">
        <v>4339</v>
      </c>
    </row>
    <row r="1406">
      <c r="A1406" s="7" t="s">
        <v>6923</v>
      </c>
      <c r="B1406" s="18" t="s">
        <v>6924</v>
      </c>
      <c r="C1406" s="3" t="s">
        <v>4210</v>
      </c>
    </row>
    <row r="1407">
      <c r="A1407" s="7" t="s">
        <v>6925</v>
      </c>
      <c r="B1407" s="18" t="s">
        <v>6926</v>
      </c>
      <c r="C1407" s="3" t="s">
        <v>4210</v>
      </c>
    </row>
    <row r="1408">
      <c r="A1408" s="7" t="s">
        <v>6927</v>
      </c>
      <c r="B1408" s="18" t="s">
        <v>6928</v>
      </c>
      <c r="C1408" s="3" t="s">
        <v>4210</v>
      </c>
    </row>
    <row r="1409">
      <c r="A1409" s="7" t="s">
        <v>6929</v>
      </c>
      <c r="B1409" s="18" t="s">
        <v>6930</v>
      </c>
      <c r="C1409" s="3" t="s">
        <v>4210</v>
      </c>
    </row>
    <row r="1410">
      <c r="A1410" s="7" t="s">
        <v>6931</v>
      </c>
      <c r="B1410" s="18" t="s">
        <v>6932</v>
      </c>
      <c r="C1410" s="3" t="s">
        <v>4210</v>
      </c>
    </row>
    <row r="1411">
      <c r="A1411" s="7" t="s">
        <v>6933</v>
      </c>
      <c r="B1411" s="18" t="s">
        <v>6934</v>
      </c>
      <c r="C1411" s="3" t="s">
        <v>4210</v>
      </c>
    </row>
    <row r="1412">
      <c r="A1412" s="7" t="s">
        <v>6935</v>
      </c>
      <c r="B1412" s="18" t="s">
        <v>6936</v>
      </c>
      <c r="C1412" s="3" t="s">
        <v>4210</v>
      </c>
    </row>
    <row r="1413">
      <c r="A1413" s="7" t="s">
        <v>6937</v>
      </c>
      <c r="B1413" s="18" t="s">
        <v>6938</v>
      </c>
      <c r="C1413" s="3" t="s">
        <v>4210</v>
      </c>
    </row>
    <row r="1414">
      <c r="A1414" s="7" t="s">
        <v>6939</v>
      </c>
      <c r="B1414" s="18" t="s">
        <v>6940</v>
      </c>
      <c r="C1414" s="3" t="s">
        <v>4210</v>
      </c>
    </row>
    <row r="1415">
      <c r="A1415" s="7" t="s">
        <v>6941</v>
      </c>
      <c r="B1415" s="18" t="s">
        <v>6942</v>
      </c>
      <c r="C1415" s="3" t="s">
        <v>4210</v>
      </c>
    </row>
    <row r="1416">
      <c r="A1416" s="7" t="s">
        <v>6943</v>
      </c>
      <c r="B1416" s="18" t="s">
        <v>6944</v>
      </c>
      <c r="C1416" s="3" t="s">
        <v>4210</v>
      </c>
    </row>
    <row r="1417">
      <c r="A1417" s="7" t="s">
        <v>6945</v>
      </c>
      <c r="B1417" s="18" t="s">
        <v>6946</v>
      </c>
      <c r="C1417" s="3" t="s">
        <v>4210</v>
      </c>
    </row>
    <row r="1418">
      <c r="A1418" s="7" t="s">
        <v>6947</v>
      </c>
      <c r="B1418" s="18" t="s">
        <v>6948</v>
      </c>
      <c r="C1418" s="3" t="s">
        <v>4210</v>
      </c>
    </row>
    <row r="1419">
      <c r="A1419" s="7" t="s">
        <v>6949</v>
      </c>
      <c r="B1419" s="18" t="s">
        <v>6950</v>
      </c>
      <c r="C1419" s="3" t="s">
        <v>4210</v>
      </c>
    </row>
    <row r="1420">
      <c r="A1420" s="7" t="s">
        <v>6951</v>
      </c>
      <c r="B1420" s="18" t="s">
        <v>6952</v>
      </c>
      <c r="C1420" s="3" t="s">
        <v>4210</v>
      </c>
    </row>
    <row r="1421">
      <c r="A1421" s="7" t="s">
        <v>6953</v>
      </c>
      <c r="B1421" s="18" t="s">
        <v>6954</v>
      </c>
      <c r="C1421" s="3" t="s">
        <v>4210</v>
      </c>
    </row>
    <row r="1422">
      <c r="A1422" s="7" t="s">
        <v>6955</v>
      </c>
      <c r="B1422" s="18" t="s">
        <v>6956</v>
      </c>
      <c r="C1422" s="3" t="s">
        <v>4210</v>
      </c>
    </row>
    <row r="1423">
      <c r="A1423" s="7" t="s">
        <v>6957</v>
      </c>
      <c r="B1423" s="18" t="s">
        <v>6958</v>
      </c>
      <c r="C1423" s="3" t="s">
        <v>4210</v>
      </c>
    </row>
    <row r="1424">
      <c r="A1424" s="7" t="s">
        <v>6959</v>
      </c>
      <c r="B1424" s="18" t="s">
        <v>6960</v>
      </c>
      <c r="C1424" s="3" t="s">
        <v>4210</v>
      </c>
    </row>
    <row r="1425">
      <c r="A1425" s="7" t="s">
        <v>6961</v>
      </c>
      <c r="B1425" s="18" t="s">
        <v>6962</v>
      </c>
      <c r="C1425" s="3" t="s">
        <v>4210</v>
      </c>
    </row>
    <row r="1426">
      <c r="A1426" s="7" t="s">
        <v>6963</v>
      </c>
      <c r="B1426" s="18" t="s">
        <v>6964</v>
      </c>
      <c r="C1426" s="3" t="s">
        <v>4210</v>
      </c>
    </row>
    <row r="1427">
      <c r="A1427" s="7" t="s">
        <v>6965</v>
      </c>
      <c r="B1427" s="18" t="s">
        <v>6966</v>
      </c>
      <c r="C1427" s="3" t="s">
        <v>4210</v>
      </c>
    </row>
    <row r="1428">
      <c r="A1428" s="7" t="s">
        <v>6967</v>
      </c>
      <c r="B1428" s="18" t="s">
        <v>6968</v>
      </c>
      <c r="C1428" s="3" t="s">
        <v>4210</v>
      </c>
    </row>
    <row r="1429">
      <c r="A1429" s="7" t="s">
        <v>6969</v>
      </c>
      <c r="B1429" s="18" t="s">
        <v>6970</v>
      </c>
      <c r="C1429" s="3" t="s">
        <v>4210</v>
      </c>
    </row>
    <row r="1430">
      <c r="A1430" s="7" t="s">
        <v>6971</v>
      </c>
      <c r="B1430" s="18" t="s">
        <v>6972</v>
      </c>
      <c r="C1430" s="3" t="s">
        <v>4210</v>
      </c>
    </row>
    <row r="1431">
      <c r="A1431" s="7" t="s">
        <v>6973</v>
      </c>
      <c r="B1431" s="18" t="s">
        <v>6974</v>
      </c>
      <c r="C1431" s="3" t="s">
        <v>4210</v>
      </c>
    </row>
    <row r="1432">
      <c r="A1432" s="7" t="s">
        <v>6975</v>
      </c>
      <c r="B1432" s="18" t="s">
        <v>6976</v>
      </c>
      <c r="C1432" s="3" t="s">
        <v>4210</v>
      </c>
    </row>
    <row r="1433">
      <c r="A1433" s="7" t="s">
        <v>6712</v>
      </c>
      <c r="B1433" s="18" t="s">
        <v>6713</v>
      </c>
      <c r="C1433" s="3" t="s">
        <v>4339</v>
      </c>
    </row>
    <row r="1434">
      <c r="A1434" s="7" t="s">
        <v>6977</v>
      </c>
      <c r="B1434" s="18" t="s">
        <v>6713</v>
      </c>
      <c r="C1434" s="3" t="s">
        <v>4339</v>
      </c>
    </row>
    <row r="1435">
      <c r="A1435" s="7" t="s">
        <v>6978</v>
      </c>
      <c r="B1435" s="18" t="s">
        <v>6979</v>
      </c>
      <c r="C1435" s="3" t="s">
        <v>4210</v>
      </c>
    </row>
    <row r="1436">
      <c r="A1436" s="7" t="s">
        <v>6980</v>
      </c>
      <c r="B1436" s="18" t="s">
        <v>6981</v>
      </c>
      <c r="C1436" s="3" t="s">
        <v>4210</v>
      </c>
    </row>
    <row r="1437">
      <c r="A1437" s="7" t="s">
        <v>6982</v>
      </c>
      <c r="B1437" s="18" t="s">
        <v>6983</v>
      </c>
      <c r="C1437" s="3" t="s">
        <v>4210</v>
      </c>
    </row>
    <row r="1438">
      <c r="A1438" s="7" t="s">
        <v>6984</v>
      </c>
      <c r="B1438" s="18" t="s">
        <v>6985</v>
      </c>
      <c r="C1438" s="3" t="s">
        <v>4210</v>
      </c>
    </row>
    <row r="1439">
      <c r="A1439" s="7" t="s">
        <v>6986</v>
      </c>
      <c r="B1439" s="18" t="s">
        <v>6987</v>
      </c>
      <c r="C1439" s="3" t="s">
        <v>4210</v>
      </c>
    </row>
    <row r="1440">
      <c r="A1440" s="7" t="s">
        <v>6988</v>
      </c>
      <c r="B1440" s="18" t="s">
        <v>6989</v>
      </c>
      <c r="C1440" s="3" t="s">
        <v>4210</v>
      </c>
    </row>
    <row r="1441">
      <c r="A1441" s="7" t="s">
        <v>6990</v>
      </c>
      <c r="B1441" s="18" t="s">
        <v>6991</v>
      </c>
      <c r="C1441" s="3" t="s">
        <v>4210</v>
      </c>
    </row>
    <row r="1442">
      <c r="A1442" s="7" t="s">
        <v>6992</v>
      </c>
      <c r="B1442" s="18" t="s">
        <v>6993</v>
      </c>
      <c r="C1442" s="3" t="s">
        <v>4210</v>
      </c>
    </row>
    <row r="1443">
      <c r="A1443" s="7" t="s">
        <v>6994</v>
      </c>
      <c r="B1443" s="18" t="s">
        <v>5843</v>
      </c>
      <c r="C1443" s="3" t="s">
        <v>4339</v>
      </c>
    </row>
    <row r="1444">
      <c r="A1444" s="7" t="s">
        <v>6995</v>
      </c>
      <c r="B1444" s="18" t="s">
        <v>6996</v>
      </c>
      <c r="C1444" s="3" t="s">
        <v>4210</v>
      </c>
    </row>
    <row r="1445">
      <c r="A1445" s="7" t="s">
        <v>6997</v>
      </c>
      <c r="B1445" s="18" t="s">
        <v>6998</v>
      </c>
      <c r="C1445" s="3" t="s">
        <v>4210</v>
      </c>
    </row>
    <row r="1446">
      <c r="A1446" s="7" t="s">
        <v>6999</v>
      </c>
      <c r="B1446" s="18" t="s">
        <v>7000</v>
      </c>
      <c r="C1446" s="3" t="s">
        <v>4210</v>
      </c>
    </row>
    <row r="1447">
      <c r="A1447" s="7" t="s">
        <v>7001</v>
      </c>
      <c r="B1447" s="18" t="s">
        <v>7002</v>
      </c>
      <c r="C1447" s="3" t="s">
        <v>4210</v>
      </c>
    </row>
    <row r="1448">
      <c r="A1448" s="7" t="s">
        <v>7003</v>
      </c>
      <c r="B1448" s="18" t="s">
        <v>7004</v>
      </c>
      <c r="C1448" s="3" t="s">
        <v>4210</v>
      </c>
    </row>
    <row r="1449">
      <c r="A1449" s="7" t="s">
        <v>7005</v>
      </c>
      <c r="B1449" s="18" t="s">
        <v>7006</v>
      </c>
      <c r="C1449" s="3" t="s">
        <v>4210</v>
      </c>
    </row>
    <row r="1450">
      <c r="A1450" s="7" t="s">
        <v>7007</v>
      </c>
      <c r="B1450" s="18" t="s">
        <v>7008</v>
      </c>
      <c r="C1450" s="3" t="s">
        <v>4210</v>
      </c>
    </row>
    <row r="1451">
      <c r="A1451" s="7" t="s">
        <v>7009</v>
      </c>
      <c r="B1451" s="18" t="s">
        <v>7010</v>
      </c>
      <c r="C1451" s="3" t="s">
        <v>4210</v>
      </c>
    </row>
    <row r="1452">
      <c r="A1452" s="7" t="s">
        <v>7011</v>
      </c>
      <c r="B1452" s="18" t="s">
        <v>7012</v>
      </c>
      <c r="C1452" s="3" t="s">
        <v>4210</v>
      </c>
    </row>
    <row r="1453">
      <c r="A1453" s="7" t="s">
        <v>7013</v>
      </c>
      <c r="B1453" s="18" t="s">
        <v>7008</v>
      </c>
      <c r="C1453" s="3" t="s">
        <v>4339</v>
      </c>
    </row>
    <row r="1454">
      <c r="A1454" s="7" t="s">
        <v>7014</v>
      </c>
      <c r="B1454" s="18" t="s">
        <v>7015</v>
      </c>
      <c r="C1454" s="3" t="s">
        <v>4210</v>
      </c>
    </row>
    <row r="1455">
      <c r="A1455" s="7" t="s">
        <v>7016</v>
      </c>
      <c r="B1455" s="18" t="s">
        <v>7017</v>
      </c>
      <c r="C1455" s="3" t="s">
        <v>4210</v>
      </c>
    </row>
    <row r="1456">
      <c r="A1456" s="7" t="s">
        <v>7018</v>
      </c>
      <c r="B1456" s="18" t="s">
        <v>7019</v>
      </c>
      <c r="C1456" s="3" t="s">
        <v>4210</v>
      </c>
    </row>
    <row r="1457">
      <c r="A1457" s="7" t="s">
        <v>7020</v>
      </c>
      <c r="B1457" s="18" t="s">
        <v>7021</v>
      </c>
      <c r="C1457" s="3" t="s">
        <v>4210</v>
      </c>
    </row>
    <row r="1458">
      <c r="A1458" s="7" t="s">
        <v>7022</v>
      </c>
      <c r="B1458" s="18" t="s">
        <v>7023</v>
      </c>
      <c r="C1458" s="3" t="s">
        <v>4210</v>
      </c>
    </row>
    <row r="1459">
      <c r="A1459" s="7" t="s">
        <v>7024</v>
      </c>
      <c r="B1459" s="18" t="s">
        <v>7025</v>
      </c>
      <c r="C1459" s="3" t="s">
        <v>4210</v>
      </c>
    </row>
    <row r="1460">
      <c r="A1460" s="7" t="s">
        <v>7026</v>
      </c>
      <c r="B1460" s="18" t="s">
        <v>7027</v>
      </c>
      <c r="C1460" s="3" t="s">
        <v>4210</v>
      </c>
    </row>
    <row r="1461">
      <c r="A1461" s="7" t="s">
        <v>7028</v>
      </c>
      <c r="B1461" s="18" t="s">
        <v>7029</v>
      </c>
      <c r="C1461" s="3" t="s">
        <v>4210</v>
      </c>
    </row>
    <row r="1462">
      <c r="A1462" s="7" t="s">
        <v>7030</v>
      </c>
      <c r="B1462" s="18" t="s">
        <v>7031</v>
      </c>
      <c r="C1462" s="3" t="s">
        <v>4210</v>
      </c>
    </row>
    <row r="1463">
      <c r="A1463" s="7" t="s">
        <v>7032</v>
      </c>
      <c r="B1463" s="18" t="s">
        <v>7033</v>
      </c>
      <c r="C1463" s="3" t="s">
        <v>4210</v>
      </c>
    </row>
    <row r="1464">
      <c r="A1464" s="7" t="s">
        <v>7034</v>
      </c>
      <c r="B1464" s="18" t="s">
        <v>7035</v>
      </c>
      <c r="C1464" s="3" t="s">
        <v>4210</v>
      </c>
    </row>
    <row r="1465">
      <c r="A1465" s="7" t="s">
        <v>7036</v>
      </c>
      <c r="B1465" s="18" t="s">
        <v>7037</v>
      </c>
      <c r="C1465" s="3" t="s">
        <v>4210</v>
      </c>
    </row>
    <row r="1466">
      <c r="A1466" s="7" t="s">
        <v>7038</v>
      </c>
      <c r="B1466" s="18" t="s">
        <v>7039</v>
      </c>
      <c r="C1466" s="3" t="s">
        <v>4210</v>
      </c>
    </row>
    <row r="1467">
      <c r="A1467" s="7" t="s">
        <v>7040</v>
      </c>
      <c r="B1467" s="18" t="s">
        <v>7041</v>
      </c>
      <c r="C1467" s="3" t="s">
        <v>4210</v>
      </c>
    </row>
    <row r="1468">
      <c r="A1468" s="7" t="s">
        <v>7042</v>
      </c>
      <c r="B1468" s="18" t="s">
        <v>7043</v>
      </c>
      <c r="C1468" s="3" t="s">
        <v>4210</v>
      </c>
    </row>
    <row r="1469">
      <c r="A1469" s="7" t="s">
        <v>7044</v>
      </c>
      <c r="B1469" s="18" t="s">
        <v>7045</v>
      </c>
      <c r="C1469" s="3" t="s">
        <v>4210</v>
      </c>
    </row>
    <row r="1470">
      <c r="A1470" s="7" t="s">
        <v>7046</v>
      </c>
      <c r="B1470" s="18" t="s">
        <v>7047</v>
      </c>
      <c r="C1470" s="3" t="s">
        <v>4210</v>
      </c>
    </row>
    <row r="1471">
      <c r="A1471" s="7" t="s">
        <v>7048</v>
      </c>
      <c r="B1471" s="18" t="s">
        <v>7049</v>
      </c>
      <c r="C1471" s="3" t="s">
        <v>4210</v>
      </c>
    </row>
    <row r="1472">
      <c r="A1472" s="7" t="s">
        <v>7050</v>
      </c>
      <c r="B1472" s="18" t="s">
        <v>7051</v>
      </c>
      <c r="C1472" s="3" t="s">
        <v>4210</v>
      </c>
    </row>
    <row r="1473">
      <c r="A1473" s="7" t="s">
        <v>7052</v>
      </c>
      <c r="B1473" s="18" t="s">
        <v>7053</v>
      </c>
      <c r="C1473" s="3" t="s">
        <v>4210</v>
      </c>
    </row>
    <row r="1474">
      <c r="A1474" s="7" t="s">
        <v>7054</v>
      </c>
      <c r="B1474" s="18" t="s">
        <v>7055</v>
      </c>
      <c r="C1474" s="3" t="s">
        <v>4210</v>
      </c>
    </row>
    <row r="1475">
      <c r="A1475" s="7" t="s">
        <v>7056</v>
      </c>
      <c r="B1475" s="18" t="s">
        <v>7057</v>
      </c>
      <c r="C1475" s="3" t="s">
        <v>4210</v>
      </c>
    </row>
    <row r="1476">
      <c r="A1476" s="7" t="s">
        <v>7058</v>
      </c>
      <c r="B1476" s="18" t="s">
        <v>7059</v>
      </c>
      <c r="C1476" s="3" t="s">
        <v>4210</v>
      </c>
    </row>
    <row r="1477">
      <c r="A1477" s="7" t="s">
        <v>7060</v>
      </c>
      <c r="B1477" s="18" t="s">
        <v>7061</v>
      </c>
      <c r="C1477" s="3" t="s">
        <v>4210</v>
      </c>
    </row>
    <row r="1478">
      <c r="A1478" s="7" t="s">
        <v>7062</v>
      </c>
      <c r="B1478" s="18" t="s">
        <v>7063</v>
      </c>
      <c r="C1478" s="3" t="s">
        <v>4210</v>
      </c>
    </row>
    <row r="1479">
      <c r="A1479" s="7" t="s">
        <v>7064</v>
      </c>
      <c r="B1479" s="18" t="s">
        <v>7065</v>
      </c>
      <c r="C1479" s="3" t="s">
        <v>4210</v>
      </c>
    </row>
    <row r="1480">
      <c r="A1480" s="7" t="s">
        <v>7066</v>
      </c>
      <c r="B1480" s="18" t="s">
        <v>7067</v>
      </c>
      <c r="C1480" s="3" t="s">
        <v>4210</v>
      </c>
    </row>
    <row r="1481">
      <c r="A1481" s="7" t="s">
        <v>7068</v>
      </c>
      <c r="B1481" s="18" t="s">
        <v>7069</v>
      </c>
      <c r="C1481" s="3" t="s">
        <v>4210</v>
      </c>
    </row>
    <row r="1482">
      <c r="A1482" s="7" t="s">
        <v>7070</v>
      </c>
      <c r="B1482" s="18" t="s">
        <v>7071</v>
      </c>
      <c r="C1482" s="3" t="s">
        <v>4210</v>
      </c>
    </row>
    <row r="1483">
      <c r="A1483" s="7" t="s">
        <v>7072</v>
      </c>
      <c r="B1483" s="18" t="s">
        <v>7073</v>
      </c>
      <c r="C1483" s="3" t="s">
        <v>4210</v>
      </c>
    </row>
    <row r="1484">
      <c r="A1484" s="7" t="s">
        <v>7074</v>
      </c>
      <c r="B1484" s="18" t="s">
        <v>7075</v>
      </c>
      <c r="C1484" s="3" t="s">
        <v>4210</v>
      </c>
    </row>
    <row r="1485">
      <c r="A1485" s="7" t="s">
        <v>7076</v>
      </c>
      <c r="B1485" s="18" t="s">
        <v>7077</v>
      </c>
      <c r="C1485" s="3" t="s">
        <v>4210</v>
      </c>
    </row>
    <row r="1486">
      <c r="A1486" s="7" t="s">
        <v>7078</v>
      </c>
      <c r="B1486" s="18" t="s">
        <v>7079</v>
      </c>
      <c r="C1486" s="3" t="s">
        <v>4210</v>
      </c>
    </row>
    <row r="1487">
      <c r="A1487" s="7" t="s">
        <v>7080</v>
      </c>
      <c r="B1487" s="18" t="s">
        <v>7081</v>
      </c>
      <c r="C1487" s="3" t="s">
        <v>4210</v>
      </c>
    </row>
    <row r="1488">
      <c r="A1488" s="7" t="s">
        <v>7082</v>
      </c>
      <c r="B1488" s="18" t="s">
        <v>7083</v>
      </c>
      <c r="C1488" s="3" t="s">
        <v>4210</v>
      </c>
    </row>
    <row r="1489">
      <c r="A1489" s="7" t="s">
        <v>7084</v>
      </c>
      <c r="B1489" s="18" t="s">
        <v>7085</v>
      </c>
      <c r="C1489" s="3" t="s">
        <v>4210</v>
      </c>
    </row>
    <row r="1490">
      <c r="A1490" s="7" t="s">
        <v>7086</v>
      </c>
      <c r="B1490" s="18" t="s">
        <v>7087</v>
      </c>
      <c r="C1490" s="3" t="s">
        <v>4210</v>
      </c>
    </row>
    <row r="1491">
      <c r="A1491" s="7" t="s">
        <v>7088</v>
      </c>
      <c r="B1491" s="18" t="s">
        <v>7089</v>
      </c>
      <c r="C1491" s="3" t="s">
        <v>4210</v>
      </c>
    </row>
    <row r="1492">
      <c r="A1492" s="7" t="s">
        <v>7090</v>
      </c>
      <c r="B1492" s="18" t="s">
        <v>7091</v>
      </c>
      <c r="C1492" s="3" t="s">
        <v>4210</v>
      </c>
    </row>
    <row r="1493">
      <c r="A1493" s="7" t="s">
        <v>7092</v>
      </c>
      <c r="B1493" s="18" t="s">
        <v>7093</v>
      </c>
      <c r="C1493" s="3" t="s">
        <v>4210</v>
      </c>
    </row>
    <row r="1494">
      <c r="A1494" s="7" t="s">
        <v>7094</v>
      </c>
      <c r="B1494" s="18" t="s">
        <v>7095</v>
      </c>
      <c r="C1494" s="3" t="s">
        <v>4210</v>
      </c>
    </row>
    <row r="1495">
      <c r="A1495" s="7" t="s">
        <v>7096</v>
      </c>
      <c r="B1495" s="18" t="s">
        <v>7097</v>
      </c>
      <c r="C1495" s="3" t="s">
        <v>4210</v>
      </c>
    </row>
    <row r="1496">
      <c r="A1496" s="7" t="s">
        <v>7098</v>
      </c>
      <c r="B1496" s="18" t="s">
        <v>7099</v>
      </c>
      <c r="C1496" s="3" t="s">
        <v>4210</v>
      </c>
    </row>
    <row r="1497">
      <c r="A1497" s="7" t="s">
        <v>7100</v>
      </c>
      <c r="B1497" s="18" t="s">
        <v>7101</v>
      </c>
      <c r="C1497" s="3" t="s">
        <v>4210</v>
      </c>
    </row>
    <row r="1498">
      <c r="A1498" s="7" t="s">
        <v>7102</v>
      </c>
      <c r="B1498" s="18" t="s">
        <v>7103</v>
      </c>
      <c r="C1498" s="3" t="s">
        <v>4210</v>
      </c>
    </row>
    <row r="1499">
      <c r="A1499" s="7" t="s">
        <v>7104</v>
      </c>
      <c r="B1499" s="18" t="s">
        <v>7103</v>
      </c>
      <c r="C1499" s="3" t="s">
        <v>4210</v>
      </c>
    </row>
    <row r="1500">
      <c r="A1500" s="7" t="s">
        <v>7105</v>
      </c>
      <c r="B1500" s="18" t="s">
        <v>7106</v>
      </c>
      <c r="C1500" s="3" t="s">
        <v>4210</v>
      </c>
    </row>
    <row r="1501">
      <c r="A1501" s="7" t="s">
        <v>7107</v>
      </c>
      <c r="B1501" s="18" t="s">
        <v>7108</v>
      </c>
      <c r="C1501" s="3" t="s">
        <v>4210</v>
      </c>
    </row>
    <row r="1502">
      <c r="A1502" s="7" t="s">
        <v>7109</v>
      </c>
      <c r="B1502" s="18" t="s">
        <v>7110</v>
      </c>
      <c r="C1502" s="3" t="s">
        <v>4210</v>
      </c>
    </row>
    <row r="1503">
      <c r="A1503" s="7" t="s">
        <v>7111</v>
      </c>
      <c r="B1503" s="18" t="s">
        <v>7112</v>
      </c>
      <c r="C1503" s="3" t="s">
        <v>4210</v>
      </c>
    </row>
    <row r="1504">
      <c r="A1504" s="7" t="s">
        <v>7113</v>
      </c>
      <c r="B1504" s="18" t="s">
        <v>7114</v>
      </c>
      <c r="C1504" s="3" t="s">
        <v>4210</v>
      </c>
    </row>
    <row r="1505">
      <c r="A1505" s="7" t="s">
        <v>7115</v>
      </c>
      <c r="B1505" s="18" t="s">
        <v>7116</v>
      </c>
      <c r="C1505" s="3" t="s">
        <v>4210</v>
      </c>
    </row>
    <row r="1506">
      <c r="A1506" s="7" t="s">
        <v>7117</v>
      </c>
      <c r="B1506" s="18" t="s">
        <v>7118</v>
      </c>
      <c r="C1506" s="3" t="s">
        <v>4210</v>
      </c>
    </row>
    <row r="1507">
      <c r="A1507" s="7" t="s">
        <v>7119</v>
      </c>
      <c r="B1507" s="18" t="s">
        <v>7120</v>
      </c>
      <c r="C1507" s="3" t="s">
        <v>4210</v>
      </c>
    </row>
    <row r="1508">
      <c r="A1508" s="7" t="s">
        <v>7121</v>
      </c>
      <c r="B1508" s="18" t="s">
        <v>7122</v>
      </c>
      <c r="C1508" s="3" t="s">
        <v>4210</v>
      </c>
    </row>
    <row r="1509">
      <c r="A1509" s="7" t="s">
        <v>7123</v>
      </c>
      <c r="B1509" s="18" t="s">
        <v>7124</v>
      </c>
      <c r="C1509" s="3" t="s">
        <v>4210</v>
      </c>
    </row>
    <row r="1510">
      <c r="A1510" s="7" t="s">
        <v>7125</v>
      </c>
      <c r="B1510" s="18" t="s">
        <v>7126</v>
      </c>
      <c r="C1510" s="3" t="s">
        <v>4210</v>
      </c>
    </row>
    <row r="1511">
      <c r="A1511" s="7" t="s">
        <v>7127</v>
      </c>
      <c r="B1511" s="18" t="s">
        <v>7128</v>
      </c>
      <c r="C1511" s="3" t="s">
        <v>4210</v>
      </c>
    </row>
    <row r="1512">
      <c r="A1512" s="7" t="s">
        <v>7129</v>
      </c>
      <c r="B1512" s="18" t="s">
        <v>7130</v>
      </c>
      <c r="C1512" s="3" t="s">
        <v>4210</v>
      </c>
    </row>
    <row r="1513">
      <c r="A1513" s="7" t="s">
        <v>7131</v>
      </c>
      <c r="B1513" s="18" t="s">
        <v>7132</v>
      </c>
      <c r="C1513" s="3" t="s">
        <v>4210</v>
      </c>
    </row>
    <row r="1514">
      <c r="A1514" s="7" t="s">
        <v>7133</v>
      </c>
      <c r="B1514" s="18" t="s">
        <v>7134</v>
      </c>
      <c r="C1514" s="3" t="s">
        <v>4210</v>
      </c>
    </row>
    <row r="1515">
      <c r="A1515" s="7" t="s">
        <v>7135</v>
      </c>
      <c r="B1515" s="18" t="s">
        <v>7136</v>
      </c>
      <c r="C1515" s="3" t="s">
        <v>4210</v>
      </c>
    </row>
    <row r="1516">
      <c r="A1516" s="7" t="s">
        <v>7137</v>
      </c>
      <c r="B1516" s="18" t="s">
        <v>7138</v>
      </c>
      <c r="C1516" s="3" t="s">
        <v>4210</v>
      </c>
    </row>
    <row r="1517">
      <c r="A1517" s="7" t="s">
        <v>7139</v>
      </c>
      <c r="B1517" s="18" t="s">
        <v>7140</v>
      </c>
      <c r="C1517" s="3" t="s">
        <v>4210</v>
      </c>
    </row>
    <row r="1518">
      <c r="A1518" s="7" t="s">
        <v>7141</v>
      </c>
      <c r="B1518" s="18" t="s">
        <v>7142</v>
      </c>
      <c r="C1518" s="3" t="s">
        <v>4210</v>
      </c>
    </row>
    <row r="1519">
      <c r="A1519" s="7" t="s">
        <v>7143</v>
      </c>
      <c r="B1519" s="18" t="s">
        <v>7144</v>
      </c>
      <c r="C1519" s="3" t="s">
        <v>4210</v>
      </c>
    </row>
    <row r="1520">
      <c r="A1520" s="7" t="s">
        <v>7145</v>
      </c>
      <c r="B1520" s="18" t="s">
        <v>7146</v>
      </c>
      <c r="C1520" s="3" t="s">
        <v>4210</v>
      </c>
    </row>
    <row r="1521">
      <c r="A1521" s="7" t="s">
        <v>7147</v>
      </c>
      <c r="B1521" s="18" t="s">
        <v>7148</v>
      </c>
      <c r="C1521" s="3" t="s">
        <v>4210</v>
      </c>
    </row>
    <row r="1522">
      <c r="A1522" s="7" t="s">
        <v>7149</v>
      </c>
      <c r="B1522" s="18" t="s">
        <v>7150</v>
      </c>
      <c r="C1522" s="3" t="s">
        <v>4210</v>
      </c>
    </row>
    <row r="1523">
      <c r="A1523" s="7" t="s">
        <v>7151</v>
      </c>
      <c r="B1523" s="18" t="s">
        <v>7152</v>
      </c>
      <c r="C1523" s="3" t="s">
        <v>4210</v>
      </c>
    </row>
    <row r="1524">
      <c r="A1524" s="7" t="s">
        <v>7153</v>
      </c>
      <c r="B1524" s="18" t="s">
        <v>7154</v>
      </c>
      <c r="C1524" s="3" t="s">
        <v>4210</v>
      </c>
    </row>
    <row r="1525">
      <c r="A1525" s="7" t="s">
        <v>7155</v>
      </c>
      <c r="B1525" s="18" t="s">
        <v>7156</v>
      </c>
      <c r="C1525" s="3" t="s">
        <v>4210</v>
      </c>
    </row>
    <row r="1526">
      <c r="A1526" s="7" t="s">
        <v>7157</v>
      </c>
      <c r="B1526" s="18" t="s">
        <v>7158</v>
      </c>
      <c r="C1526" s="3" t="s">
        <v>4210</v>
      </c>
    </row>
    <row r="1527">
      <c r="A1527" s="7" t="s">
        <v>7159</v>
      </c>
      <c r="B1527" s="18" t="s">
        <v>7160</v>
      </c>
      <c r="C1527" s="3" t="s">
        <v>4210</v>
      </c>
    </row>
    <row r="1528">
      <c r="A1528" s="7" t="s">
        <v>7161</v>
      </c>
      <c r="B1528" s="18" t="s">
        <v>7162</v>
      </c>
      <c r="C1528" s="3" t="s">
        <v>4210</v>
      </c>
    </row>
    <row r="1529">
      <c r="A1529" s="7" t="s">
        <v>7163</v>
      </c>
      <c r="B1529" s="18" t="s">
        <v>7164</v>
      </c>
      <c r="C1529" s="3" t="s">
        <v>4210</v>
      </c>
    </row>
    <row r="1530">
      <c r="A1530" s="7" t="s">
        <v>7165</v>
      </c>
      <c r="B1530" s="18" t="s">
        <v>7166</v>
      </c>
      <c r="C1530" s="3" t="s">
        <v>4210</v>
      </c>
    </row>
    <row r="1531">
      <c r="A1531" s="7" t="s">
        <v>7167</v>
      </c>
      <c r="B1531" s="18" t="s">
        <v>7168</v>
      </c>
      <c r="C1531" s="3" t="s">
        <v>4210</v>
      </c>
    </row>
    <row r="1532">
      <c r="A1532" s="7" t="s">
        <v>7169</v>
      </c>
      <c r="B1532" s="18" t="s">
        <v>7170</v>
      </c>
      <c r="C1532" s="3" t="s">
        <v>4210</v>
      </c>
    </row>
    <row r="1533">
      <c r="A1533" s="7" t="s">
        <v>7171</v>
      </c>
      <c r="B1533" s="18" t="s">
        <v>7172</v>
      </c>
      <c r="C1533" s="3" t="s">
        <v>4339</v>
      </c>
    </row>
    <row r="1534">
      <c r="A1534" s="7" t="s">
        <v>7173</v>
      </c>
      <c r="B1534" s="18" t="s">
        <v>7174</v>
      </c>
      <c r="C1534" s="3" t="s">
        <v>4210</v>
      </c>
    </row>
    <row r="1535">
      <c r="A1535" s="7" t="s">
        <v>7175</v>
      </c>
      <c r="B1535" s="18" t="s">
        <v>7176</v>
      </c>
      <c r="C1535" s="3" t="s">
        <v>4210</v>
      </c>
    </row>
    <row r="1536">
      <c r="A1536" s="7" t="s">
        <v>7177</v>
      </c>
      <c r="B1536" s="18" t="s">
        <v>7178</v>
      </c>
      <c r="C1536" s="3" t="s">
        <v>4210</v>
      </c>
    </row>
    <row r="1537">
      <c r="A1537" s="7" t="s">
        <v>7179</v>
      </c>
      <c r="B1537" s="18" t="s">
        <v>7180</v>
      </c>
      <c r="C1537" s="3" t="s">
        <v>4210</v>
      </c>
    </row>
    <row r="1538">
      <c r="A1538" s="7" t="s">
        <v>7181</v>
      </c>
      <c r="B1538" s="18" t="s">
        <v>7174</v>
      </c>
      <c r="C1538" s="3" t="s">
        <v>4210</v>
      </c>
    </row>
    <row r="1539">
      <c r="A1539" s="7" t="s">
        <v>7182</v>
      </c>
      <c r="B1539" s="18" t="s">
        <v>7183</v>
      </c>
      <c r="C1539" s="3" t="s">
        <v>4210</v>
      </c>
    </row>
    <row r="1540">
      <c r="A1540" s="7" t="s">
        <v>7184</v>
      </c>
      <c r="B1540" s="18" t="s">
        <v>7185</v>
      </c>
      <c r="C1540" s="3" t="s">
        <v>4210</v>
      </c>
    </row>
    <row r="1541">
      <c r="A1541" s="7" t="s">
        <v>7186</v>
      </c>
      <c r="B1541" s="18" t="s">
        <v>7187</v>
      </c>
      <c r="C1541" s="3" t="s">
        <v>4210</v>
      </c>
    </row>
    <row r="1542">
      <c r="A1542" s="7" t="s">
        <v>7188</v>
      </c>
      <c r="B1542" s="18" t="s">
        <v>7189</v>
      </c>
      <c r="C1542" s="3" t="s">
        <v>4210</v>
      </c>
    </row>
    <row r="1543">
      <c r="A1543" s="7" t="s">
        <v>7190</v>
      </c>
      <c r="B1543" s="18" t="s">
        <v>7191</v>
      </c>
      <c r="C1543" s="3" t="s">
        <v>4210</v>
      </c>
    </row>
    <row r="1544">
      <c r="A1544" s="7" t="s">
        <v>7192</v>
      </c>
      <c r="B1544" s="18" t="s">
        <v>7193</v>
      </c>
      <c r="C1544" s="3" t="s">
        <v>4210</v>
      </c>
    </row>
    <row r="1545">
      <c r="A1545" s="7" t="s">
        <v>7194</v>
      </c>
      <c r="B1545" s="18" t="s">
        <v>5261</v>
      </c>
      <c r="C1545" s="3" t="s">
        <v>4210</v>
      </c>
    </row>
    <row r="1546">
      <c r="A1546" s="7" t="s">
        <v>7195</v>
      </c>
      <c r="B1546" s="18" t="s">
        <v>7196</v>
      </c>
      <c r="C1546" s="3" t="s">
        <v>4210</v>
      </c>
    </row>
    <row r="1547">
      <c r="A1547" s="7" t="s">
        <v>7197</v>
      </c>
      <c r="B1547" s="18" t="s">
        <v>7198</v>
      </c>
      <c r="C1547" s="3" t="s">
        <v>7199</v>
      </c>
    </row>
    <row r="1548">
      <c r="A1548" s="7" t="s">
        <v>13</v>
      </c>
      <c r="B1548" s="18" t="s">
        <v>13</v>
      </c>
      <c r="C1548" s="3" t="s">
        <v>7199</v>
      </c>
    </row>
    <row r="1549">
      <c r="A1549" s="7" t="s">
        <v>13</v>
      </c>
      <c r="B1549" s="18" t="s">
        <v>13</v>
      </c>
      <c r="C1549" s="3" t="s">
        <v>7199</v>
      </c>
    </row>
    <row r="1550">
      <c r="A1550" s="7" t="s">
        <v>13</v>
      </c>
      <c r="B1550" s="18" t="s">
        <v>13</v>
      </c>
      <c r="C1550" s="3" t="s">
        <v>7199</v>
      </c>
    </row>
    <row r="1551">
      <c r="A1551" s="7" t="s">
        <v>13</v>
      </c>
      <c r="B1551" s="18" t="s">
        <v>13</v>
      </c>
      <c r="C1551" s="3" t="s">
        <v>7199</v>
      </c>
    </row>
    <row r="1552">
      <c r="A1552" s="7" t="s">
        <v>13</v>
      </c>
      <c r="B1552" s="18" t="s">
        <v>13</v>
      </c>
      <c r="C1552" s="3" t="s">
        <v>7199</v>
      </c>
    </row>
    <row r="1553">
      <c r="A1553" s="7" t="s">
        <v>13</v>
      </c>
      <c r="B1553" s="18" t="s">
        <v>13</v>
      </c>
      <c r="C1553" s="3" t="s">
        <v>7199</v>
      </c>
    </row>
    <row r="1554">
      <c r="A1554" s="7" t="s">
        <v>13</v>
      </c>
      <c r="B1554" s="18" t="s">
        <v>13</v>
      </c>
      <c r="C1554" s="3" t="s">
        <v>7199</v>
      </c>
    </row>
    <row r="1555">
      <c r="A1555" s="7" t="s">
        <v>13</v>
      </c>
      <c r="B1555" s="18" t="s">
        <v>13</v>
      </c>
      <c r="C1555" s="3" t="s">
        <v>7199</v>
      </c>
    </row>
    <row r="1556">
      <c r="A1556" s="7" t="s">
        <v>13</v>
      </c>
      <c r="B1556" s="18" t="s">
        <v>13</v>
      </c>
      <c r="C1556" s="3" t="s">
        <v>7199</v>
      </c>
    </row>
    <row r="1557">
      <c r="A1557" s="7" t="s">
        <v>13</v>
      </c>
      <c r="B1557" s="18" t="s">
        <v>13</v>
      </c>
      <c r="C1557" s="3" t="s">
        <v>7199</v>
      </c>
    </row>
    <row r="1558">
      <c r="A1558" s="7" t="s">
        <v>13</v>
      </c>
      <c r="B1558" s="18" t="s">
        <v>13</v>
      </c>
      <c r="C1558" s="3" t="s">
        <v>7199</v>
      </c>
    </row>
    <row r="1559">
      <c r="A1559" s="7" t="s">
        <v>13</v>
      </c>
      <c r="B1559" s="18" t="s">
        <v>13</v>
      </c>
      <c r="C1559" s="3" t="s">
        <v>7199</v>
      </c>
    </row>
    <row r="1560">
      <c r="A1560" s="7" t="s">
        <v>13</v>
      </c>
      <c r="B1560" s="18" t="s">
        <v>13</v>
      </c>
      <c r="C1560" s="3" t="s">
        <v>7199</v>
      </c>
    </row>
    <row r="1561">
      <c r="A1561" s="7" t="s">
        <v>13</v>
      </c>
      <c r="B1561" s="18" t="s">
        <v>13</v>
      </c>
      <c r="C1561" s="3" t="s">
        <v>7199</v>
      </c>
    </row>
    <row r="1562">
      <c r="A1562" s="7" t="s">
        <v>13</v>
      </c>
      <c r="B1562" s="18" t="s">
        <v>13</v>
      </c>
      <c r="C1562" s="3" t="s">
        <v>7199</v>
      </c>
    </row>
    <row r="1563">
      <c r="A1563" s="7" t="s">
        <v>13</v>
      </c>
      <c r="B1563" s="18" t="s">
        <v>13</v>
      </c>
      <c r="C1563" s="3" t="s">
        <v>7199</v>
      </c>
    </row>
    <row r="1564">
      <c r="A1564" s="7" t="s">
        <v>13</v>
      </c>
      <c r="B1564" s="18" t="s">
        <v>13</v>
      </c>
      <c r="C1564" s="3" t="s">
        <v>7199</v>
      </c>
    </row>
    <row r="1565">
      <c r="A1565" s="7" t="s">
        <v>13</v>
      </c>
      <c r="B1565" s="18" t="s">
        <v>13</v>
      </c>
      <c r="C1565" s="3" t="s">
        <v>7199</v>
      </c>
    </row>
    <row r="1566">
      <c r="A1566" s="7" t="s">
        <v>13</v>
      </c>
      <c r="B1566" s="18" t="s">
        <v>13</v>
      </c>
      <c r="C1566" s="3" t="s">
        <v>7199</v>
      </c>
    </row>
    <row r="1567">
      <c r="A1567" s="7" t="s">
        <v>13</v>
      </c>
      <c r="B1567" s="18" t="s">
        <v>13</v>
      </c>
      <c r="C1567" s="3" t="s">
        <v>7199</v>
      </c>
    </row>
    <row r="1568">
      <c r="A1568" s="7" t="s">
        <v>13</v>
      </c>
      <c r="B1568" s="18" t="s">
        <v>13</v>
      </c>
      <c r="C1568" s="3" t="s">
        <v>7199</v>
      </c>
    </row>
    <row r="1569">
      <c r="A1569" s="7" t="s">
        <v>13</v>
      </c>
      <c r="B1569" s="18" t="s">
        <v>13</v>
      </c>
      <c r="C1569" s="3" t="s">
        <v>7199</v>
      </c>
    </row>
    <row r="1570">
      <c r="A1570" s="7" t="s">
        <v>13</v>
      </c>
      <c r="B1570" s="18" t="s">
        <v>13</v>
      </c>
      <c r="C1570" s="3" t="s">
        <v>7199</v>
      </c>
    </row>
    <row r="1571">
      <c r="A1571" s="7" t="s">
        <v>13</v>
      </c>
      <c r="B1571" s="18" t="s">
        <v>13</v>
      </c>
      <c r="C1571" s="3" t="s">
        <v>7199</v>
      </c>
    </row>
    <row r="1572">
      <c r="A1572" s="7" t="s">
        <v>13</v>
      </c>
      <c r="B1572" s="18" t="s">
        <v>13</v>
      </c>
      <c r="C1572" s="3" t="s">
        <v>7199</v>
      </c>
    </row>
    <row r="1573">
      <c r="A1573" s="7" t="s">
        <v>13</v>
      </c>
      <c r="B1573" s="18" t="s">
        <v>13</v>
      </c>
      <c r="C1573" s="3" t="s">
        <v>7199</v>
      </c>
    </row>
    <row r="1574">
      <c r="A1574" s="7" t="s">
        <v>13</v>
      </c>
      <c r="B1574" s="18" t="s">
        <v>13</v>
      </c>
      <c r="C1574" s="3" t="s">
        <v>7199</v>
      </c>
    </row>
    <row r="1575">
      <c r="A1575" s="7" t="s">
        <v>13</v>
      </c>
      <c r="B1575" s="18" t="s">
        <v>13</v>
      </c>
      <c r="C1575" s="3" t="s">
        <v>7199</v>
      </c>
    </row>
    <row r="1576">
      <c r="A1576" s="7" t="s">
        <v>13</v>
      </c>
      <c r="B1576" s="18" t="s">
        <v>13</v>
      </c>
      <c r="C1576" s="3" t="s">
        <v>7199</v>
      </c>
    </row>
    <row r="1577">
      <c r="A1577" s="7" t="s">
        <v>13</v>
      </c>
      <c r="B1577" s="18" t="s">
        <v>13</v>
      </c>
      <c r="C1577" s="3" t="s">
        <v>7199</v>
      </c>
    </row>
    <row r="1578">
      <c r="A1578" s="7" t="s">
        <v>13</v>
      </c>
      <c r="B1578" s="18" t="s">
        <v>13</v>
      </c>
      <c r="C1578" s="3" t="s">
        <v>7199</v>
      </c>
    </row>
    <row r="1579">
      <c r="A1579" s="7" t="s">
        <v>13</v>
      </c>
      <c r="B1579" s="18" t="s">
        <v>13</v>
      </c>
      <c r="C1579" s="3" t="s">
        <v>7199</v>
      </c>
    </row>
    <row r="1580">
      <c r="A1580" s="7" t="s">
        <v>13</v>
      </c>
      <c r="B1580" s="18" t="s">
        <v>13</v>
      </c>
      <c r="C1580" s="3" t="s">
        <v>7199</v>
      </c>
    </row>
    <row r="1581">
      <c r="A1581" s="7" t="s">
        <v>13</v>
      </c>
      <c r="B1581" s="18" t="s">
        <v>13</v>
      </c>
      <c r="C1581" s="3" t="s">
        <v>7199</v>
      </c>
    </row>
    <row r="1582">
      <c r="A1582" s="7" t="s">
        <v>13</v>
      </c>
      <c r="B1582" s="18" t="s">
        <v>13</v>
      </c>
      <c r="C1582" s="3" t="s">
        <v>7199</v>
      </c>
    </row>
    <row r="1583">
      <c r="A1583" s="7" t="s">
        <v>13</v>
      </c>
      <c r="B1583" s="18" t="s">
        <v>13</v>
      </c>
      <c r="C1583" s="3" t="s">
        <v>7199</v>
      </c>
    </row>
    <row r="1584">
      <c r="A1584" s="7" t="s">
        <v>13</v>
      </c>
      <c r="B1584" s="18" t="s">
        <v>13</v>
      </c>
      <c r="C1584" s="3" t="s">
        <v>7199</v>
      </c>
    </row>
    <row r="1585">
      <c r="A1585" s="7" t="s">
        <v>13</v>
      </c>
      <c r="B1585" s="18" t="s">
        <v>13</v>
      </c>
      <c r="C1585" s="3" t="s">
        <v>7199</v>
      </c>
    </row>
    <row r="1586">
      <c r="A1586" s="7" t="s">
        <v>13</v>
      </c>
      <c r="B1586" s="18" t="s">
        <v>13</v>
      </c>
      <c r="C1586" s="3" t="s">
        <v>7199</v>
      </c>
    </row>
    <row r="1587">
      <c r="A1587" s="7" t="s">
        <v>13</v>
      </c>
      <c r="B1587" s="18" t="s">
        <v>13</v>
      </c>
      <c r="C1587" s="3" t="s">
        <v>7199</v>
      </c>
    </row>
    <row r="1588">
      <c r="A1588" s="7" t="s">
        <v>13</v>
      </c>
      <c r="B1588" s="18" t="s">
        <v>13</v>
      </c>
      <c r="C1588" s="3" t="s">
        <v>7199</v>
      </c>
    </row>
    <row r="1589">
      <c r="A1589" s="7" t="s">
        <v>13</v>
      </c>
      <c r="B1589" s="18" t="s">
        <v>13</v>
      </c>
      <c r="C1589" s="3" t="s">
        <v>7199</v>
      </c>
    </row>
    <row r="1590">
      <c r="A1590" s="7" t="s">
        <v>13</v>
      </c>
      <c r="B1590" s="18" t="s">
        <v>13</v>
      </c>
      <c r="C1590" s="3" t="s">
        <v>7199</v>
      </c>
    </row>
    <row r="1591">
      <c r="A1591" s="7" t="s">
        <v>13</v>
      </c>
      <c r="B1591" s="18" t="s">
        <v>13</v>
      </c>
      <c r="C1591" s="3" t="s">
        <v>7199</v>
      </c>
    </row>
    <row r="1592">
      <c r="A1592" s="7" t="s">
        <v>13</v>
      </c>
      <c r="B1592" s="18" t="s">
        <v>13</v>
      </c>
      <c r="C1592" s="3" t="s">
        <v>7199</v>
      </c>
    </row>
    <row r="1593">
      <c r="A1593" s="7" t="s">
        <v>13</v>
      </c>
      <c r="B1593" s="18" t="s">
        <v>13</v>
      </c>
      <c r="C1593" s="3" t="s">
        <v>7199</v>
      </c>
    </row>
    <row r="1594">
      <c r="A1594" s="7" t="s">
        <v>13</v>
      </c>
      <c r="B1594" s="18" t="s">
        <v>13</v>
      </c>
      <c r="C1594" s="3" t="s">
        <v>7199</v>
      </c>
    </row>
    <row r="1595">
      <c r="A1595" s="7" t="s">
        <v>13</v>
      </c>
      <c r="B1595" s="18" t="s">
        <v>13</v>
      </c>
      <c r="C1595" s="3" t="s">
        <v>7199</v>
      </c>
    </row>
    <row r="1596">
      <c r="A1596" s="7" t="s">
        <v>13</v>
      </c>
      <c r="B1596" s="18" t="s">
        <v>13</v>
      </c>
      <c r="C1596" s="3" t="s">
        <v>7199</v>
      </c>
    </row>
    <row r="1597">
      <c r="A1597" s="7" t="s">
        <v>13</v>
      </c>
      <c r="B1597" s="18" t="s">
        <v>13</v>
      </c>
      <c r="C1597" s="3" t="s">
        <v>7199</v>
      </c>
    </row>
    <row r="1598">
      <c r="A1598" s="7" t="s">
        <v>13</v>
      </c>
      <c r="B1598" s="18" t="s">
        <v>13</v>
      </c>
      <c r="C1598" s="3" t="s">
        <v>7199</v>
      </c>
    </row>
    <row r="1599">
      <c r="A1599" s="7" t="s">
        <v>13</v>
      </c>
      <c r="B1599" s="18" t="s">
        <v>13</v>
      </c>
      <c r="C1599" s="3" t="s">
        <v>7199</v>
      </c>
    </row>
    <row r="1600">
      <c r="A1600" s="7" t="s">
        <v>13</v>
      </c>
      <c r="B1600" s="18" t="s">
        <v>13</v>
      </c>
      <c r="C1600" s="3" t="s">
        <v>7199</v>
      </c>
    </row>
    <row r="1601">
      <c r="A1601" s="7" t="s">
        <v>13</v>
      </c>
      <c r="B1601" s="18" t="s">
        <v>13</v>
      </c>
      <c r="C1601" s="3" t="s">
        <v>7199</v>
      </c>
    </row>
    <row r="1602">
      <c r="A1602" s="7" t="s">
        <v>13</v>
      </c>
      <c r="B1602" s="18" t="s">
        <v>13</v>
      </c>
      <c r="C1602" s="3" t="s">
        <v>7199</v>
      </c>
    </row>
    <row r="1603">
      <c r="A1603" s="7" t="s">
        <v>13</v>
      </c>
      <c r="B1603" s="18" t="s">
        <v>13</v>
      </c>
      <c r="C1603" s="3" t="s">
        <v>7199</v>
      </c>
    </row>
    <row r="1604">
      <c r="A1604" s="7" t="s">
        <v>13</v>
      </c>
      <c r="B1604" s="18" t="s">
        <v>13</v>
      </c>
      <c r="C1604" s="3" t="s">
        <v>7199</v>
      </c>
    </row>
    <row r="1605">
      <c r="A1605" s="7" t="s">
        <v>13</v>
      </c>
      <c r="B1605" s="18" t="s">
        <v>13</v>
      </c>
      <c r="C1605" s="3" t="s">
        <v>7199</v>
      </c>
    </row>
    <row r="1606">
      <c r="A1606" s="7" t="s">
        <v>13</v>
      </c>
      <c r="B1606" s="18" t="s">
        <v>13</v>
      </c>
      <c r="C1606" s="3" t="s">
        <v>7199</v>
      </c>
    </row>
    <row r="1607">
      <c r="A1607" s="7" t="s">
        <v>13</v>
      </c>
      <c r="B1607" s="18" t="s">
        <v>13</v>
      </c>
      <c r="C1607" s="3" t="s">
        <v>7199</v>
      </c>
    </row>
    <row r="1608">
      <c r="A1608" s="7" t="s">
        <v>13</v>
      </c>
      <c r="B1608" s="18" t="s">
        <v>13</v>
      </c>
      <c r="C1608" s="3" t="s">
        <v>7199</v>
      </c>
    </row>
    <row r="1609">
      <c r="A1609" s="7" t="s">
        <v>13</v>
      </c>
      <c r="B1609" s="18" t="s">
        <v>13</v>
      </c>
      <c r="C1609" s="3" t="s">
        <v>7199</v>
      </c>
    </row>
    <row r="1610">
      <c r="A1610" s="7" t="s">
        <v>13</v>
      </c>
      <c r="B1610" s="18" t="s">
        <v>13</v>
      </c>
      <c r="C1610" s="3" t="s">
        <v>7199</v>
      </c>
    </row>
    <row r="1611">
      <c r="A1611" s="7" t="s">
        <v>13</v>
      </c>
      <c r="B1611" s="18" t="s">
        <v>13</v>
      </c>
      <c r="C1611" s="3" t="s">
        <v>7199</v>
      </c>
    </row>
    <row r="1612">
      <c r="A1612" s="7" t="s">
        <v>13</v>
      </c>
      <c r="B1612" s="18" t="s">
        <v>13</v>
      </c>
      <c r="C1612" s="3" t="s">
        <v>7199</v>
      </c>
    </row>
    <row r="1613">
      <c r="A1613" s="7" t="s">
        <v>13</v>
      </c>
      <c r="B1613" s="18" t="s">
        <v>13</v>
      </c>
      <c r="C1613" s="3" t="s">
        <v>7199</v>
      </c>
    </row>
    <row r="1614">
      <c r="A1614" s="7" t="s">
        <v>13</v>
      </c>
      <c r="B1614" s="18" t="s">
        <v>13</v>
      </c>
      <c r="C1614" s="3" t="s">
        <v>7199</v>
      </c>
    </row>
    <row r="1615">
      <c r="A1615" s="7" t="s">
        <v>13</v>
      </c>
      <c r="B1615" s="18" t="s">
        <v>13</v>
      </c>
      <c r="C1615" s="3" t="s">
        <v>7199</v>
      </c>
    </row>
    <row r="1616">
      <c r="A1616" s="7" t="s">
        <v>13</v>
      </c>
      <c r="B1616" s="18" t="s">
        <v>13</v>
      </c>
      <c r="C1616" s="3" t="s">
        <v>7199</v>
      </c>
    </row>
    <row r="1617">
      <c r="A1617" s="7" t="s">
        <v>13</v>
      </c>
      <c r="B1617" s="18" t="s">
        <v>13</v>
      </c>
      <c r="C1617" s="3" t="s">
        <v>7199</v>
      </c>
    </row>
    <row r="1618">
      <c r="A1618" s="7" t="s">
        <v>13</v>
      </c>
      <c r="B1618" s="18" t="s">
        <v>13</v>
      </c>
      <c r="C1618" s="3" t="s">
        <v>7199</v>
      </c>
    </row>
    <row r="1619">
      <c r="A1619" s="7" t="s">
        <v>13</v>
      </c>
      <c r="B1619" s="18" t="s">
        <v>13</v>
      </c>
      <c r="C1619" s="3" t="s">
        <v>7199</v>
      </c>
    </row>
    <row r="1620">
      <c r="A1620" s="7" t="s">
        <v>13</v>
      </c>
      <c r="B1620" s="18" t="s">
        <v>13</v>
      </c>
      <c r="C1620" s="3" t="s">
        <v>7199</v>
      </c>
    </row>
    <row r="1621">
      <c r="A1621" s="7" t="s">
        <v>13</v>
      </c>
      <c r="B1621" s="18" t="s">
        <v>13</v>
      </c>
      <c r="C1621" s="3" t="s">
        <v>7199</v>
      </c>
    </row>
    <row r="1622">
      <c r="A1622" s="7" t="s">
        <v>13</v>
      </c>
      <c r="B1622" s="18" t="s">
        <v>13</v>
      </c>
      <c r="C1622" s="3" t="s">
        <v>7199</v>
      </c>
    </row>
    <row r="1623">
      <c r="A1623" s="7" t="s">
        <v>13</v>
      </c>
      <c r="B1623" s="18" t="s">
        <v>13</v>
      </c>
      <c r="C1623" s="3" t="s">
        <v>7199</v>
      </c>
    </row>
    <row r="1624">
      <c r="A1624" s="7" t="s">
        <v>13</v>
      </c>
      <c r="B1624" s="18" t="s">
        <v>13</v>
      </c>
      <c r="C1624" s="3" t="s">
        <v>7199</v>
      </c>
    </row>
    <row r="1625">
      <c r="A1625" s="7" t="s">
        <v>13</v>
      </c>
      <c r="B1625" s="18" t="s">
        <v>13</v>
      </c>
      <c r="C1625" s="3" t="s">
        <v>7199</v>
      </c>
    </row>
    <row r="1626">
      <c r="A1626" s="7" t="s">
        <v>13</v>
      </c>
      <c r="B1626" s="18" t="s">
        <v>13</v>
      </c>
      <c r="C1626" s="3" t="s">
        <v>7199</v>
      </c>
    </row>
    <row r="1627">
      <c r="A1627" s="7" t="s">
        <v>13</v>
      </c>
      <c r="B1627" s="18" t="s">
        <v>13</v>
      </c>
      <c r="C1627" s="3" t="s">
        <v>7199</v>
      </c>
    </row>
    <row r="1628">
      <c r="A1628" s="7" t="s">
        <v>13</v>
      </c>
      <c r="B1628" s="18" t="s">
        <v>13</v>
      </c>
      <c r="C1628" s="3" t="s">
        <v>7199</v>
      </c>
    </row>
    <row r="1629">
      <c r="A1629" s="7" t="s">
        <v>13</v>
      </c>
      <c r="B1629" s="18" t="s">
        <v>13</v>
      </c>
      <c r="C1629" s="3" t="s">
        <v>7199</v>
      </c>
    </row>
    <row r="1630">
      <c r="A1630" s="7" t="s">
        <v>13</v>
      </c>
      <c r="B1630" s="18" t="s">
        <v>13</v>
      </c>
      <c r="C1630" s="3" t="s">
        <v>7199</v>
      </c>
    </row>
    <row r="1631">
      <c r="A1631" s="7" t="s">
        <v>13</v>
      </c>
      <c r="B1631" s="18" t="s">
        <v>13</v>
      </c>
      <c r="C1631" s="3" t="s">
        <v>7199</v>
      </c>
    </row>
    <row r="1632">
      <c r="A1632" s="7" t="s">
        <v>13</v>
      </c>
      <c r="B1632" s="18" t="s">
        <v>13</v>
      </c>
      <c r="C1632" s="3" t="s">
        <v>7199</v>
      </c>
    </row>
    <row r="1633">
      <c r="A1633" s="7" t="s">
        <v>13</v>
      </c>
      <c r="B1633" s="18" t="s">
        <v>13</v>
      </c>
      <c r="C1633" s="3" t="s">
        <v>7199</v>
      </c>
    </row>
    <row r="1634">
      <c r="A1634" s="7" t="s">
        <v>13</v>
      </c>
      <c r="B1634" s="18" t="s">
        <v>13</v>
      </c>
      <c r="C1634" s="3" t="s">
        <v>7199</v>
      </c>
    </row>
    <row r="1635">
      <c r="A1635" s="7" t="s">
        <v>13</v>
      </c>
      <c r="B1635" s="18" t="s">
        <v>13</v>
      </c>
      <c r="C1635" s="3" t="s">
        <v>7199</v>
      </c>
    </row>
    <row r="1636">
      <c r="A1636" s="7" t="s">
        <v>13</v>
      </c>
      <c r="B1636" s="18" t="s">
        <v>13</v>
      </c>
      <c r="C1636" s="3" t="s">
        <v>7199</v>
      </c>
    </row>
    <row r="1637">
      <c r="A1637" s="7" t="s">
        <v>13</v>
      </c>
      <c r="B1637" s="18" t="s">
        <v>13</v>
      </c>
      <c r="C1637" s="3" t="s">
        <v>7199</v>
      </c>
    </row>
    <row r="1638">
      <c r="A1638" s="7" t="s">
        <v>13</v>
      </c>
      <c r="B1638" s="18" t="s">
        <v>13</v>
      </c>
      <c r="C1638" s="3" t="s">
        <v>7199</v>
      </c>
    </row>
    <row r="1639">
      <c r="A1639" s="7" t="s">
        <v>13</v>
      </c>
      <c r="B1639" s="18" t="s">
        <v>13</v>
      </c>
      <c r="C1639" s="3" t="s">
        <v>7199</v>
      </c>
    </row>
    <row r="1640">
      <c r="A1640" s="7" t="s">
        <v>13</v>
      </c>
      <c r="B1640" s="18" t="s">
        <v>13</v>
      </c>
      <c r="C1640" s="3" t="s">
        <v>7199</v>
      </c>
    </row>
    <row r="1641">
      <c r="A1641" s="7" t="s">
        <v>13</v>
      </c>
      <c r="B1641" s="18" t="s">
        <v>13</v>
      </c>
      <c r="C1641" s="3" t="s">
        <v>7199</v>
      </c>
    </row>
    <row r="1642">
      <c r="A1642" s="7" t="s">
        <v>13</v>
      </c>
      <c r="B1642" s="18" t="s">
        <v>13</v>
      </c>
      <c r="C1642" s="3" t="s">
        <v>7199</v>
      </c>
    </row>
    <row r="1643">
      <c r="A1643" s="7" t="s">
        <v>13</v>
      </c>
      <c r="B1643" s="18" t="s">
        <v>13</v>
      </c>
      <c r="C1643" s="3" t="s">
        <v>7199</v>
      </c>
    </row>
    <row r="1644">
      <c r="A1644" s="7" t="s">
        <v>13</v>
      </c>
      <c r="B1644" s="18" t="s">
        <v>13</v>
      </c>
      <c r="C1644" s="3" t="s">
        <v>7199</v>
      </c>
    </row>
    <row r="1645">
      <c r="A1645" s="7" t="s">
        <v>13</v>
      </c>
      <c r="B1645" s="18" t="s">
        <v>13</v>
      </c>
      <c r="C1645" s="3" t="s">
        <v>7199</v>
      </c>
    </row>
    <row r="1646">
      <c r="A1646" s="7" t="s">
        <v>13</v>
      </c>
      <c r="B1646" s="18" t="s">
        <v>13</v>
      </c>
      <c r="C1646" s="3" t="s">
        <v>7199</v>
      </c>
    </row>
    <row r="1647">
      <c r="A1647" s="7" t="s">
        <v>13</v>
      </c>
      <c r="B1647" s="18" t="s">
        <v>13</v>
      </c>
      <c r="C1647" s="3" t="s">
        <v>7199</v>
      </c>
    </row>
    <row r="1648">
      <c r="A1648" s="7" t="s">
        <v>13</v>
      </c>
      <c r="B1648" s="18" t="s">
        <v>13</v>
      </c>
      <c r="C1648" s="3" t="s">
        <v>7199</v>
      </c>
    </row>
    <row r="1649">
      <c r="A1649" s="7" t="s">
        <v>13</v>
      </c>
      <c r="B1649" s="18" t="s">
        <v>13</v>
      </c>
      <c r="C1649" s="3" t="s">
        <v>7199</v>
      </c>
    </row>
    <row r="1650">
      <c r="A1650" s="7" t="s">
        <v>13</v>
      </c>
      <c r="B1650" s="18" t="s">
        <v>13</v>
      </c>
      <c r="C1650" s="3" t="s">
        <v>7199</v>
      </c>
    </row>
    <row r="1651">
      <c r="A1651" s="7" t="s">
        <v>13</v>
      </c>
      <c r="B1651" s="18" t="s">
        <v>13</v>
      </c>
      <c r="C1651" s="3" t="s">
        <v>7199</v>
      </c>
    </row>
    <row r="1652">
      <c r="A1652" s="7" t="s">
        <v>13</v>
      </c>
      <c r="B1652" s="18" t="s">
        <v>13</v>
      </c>
      <c r="C1652" s="3" t="s">
        <v>7199</v>
      </c>
    </row>
    <row r="1653">
      <c r="A1653" s="7" t="s">
        <v>13</v>
      </c>
      <c r="B1653" s="18" t="s">
        <v>13</v>
      </c>
      <c r="C1653" s="3" t="s">
        <v>7199</v>
      </c>
    </row>
    <row r="1654">
      <c r="A1654" s="7" t="s">
        <v>13</v>
      </c>
      <c r="B1654" s="18" t="s">
        <v>13</v>
      </c>
      <c r="C1654" s="3" t="s">
        <v>7199</v>
      </c>
    </row>
    <row r="1655">
      <c r="A1655" s="7" t="s">
        <v>13</v>
      </c>
      <c r="B1655" s="18" t="s">
        <v>13</v>
      </c>
      <c r="C1655" s="3" t="s">
        <v>7199</v>
      </c>
    </row>
    <row r="1656">
      <c r="A1656" s="7" t="s">
        <v>13</v>
      </c>
      <c r="B1656" s="18" t="s">
        <v>13</v>
      </c>
      <c r="C1656" s="3" t="s">
        <v>7199</v>
      </c>
    </row>
    <row r="1657">
      <c r="A1657" s="7" t="s">
        <v>13</v>
      </c>
      <c r="B1657" s="18" t="s">
        <v>13</v>
      </c>
      <c r="C1657" s="3" t="s">
        <v>7199</v>
      </c>
    </row>
    <row r="1658">
      <c r="A1658" s="7" t="s">
        <v>13</v>
      </c>
      <c r="B1658" s="18" t="s">
        <v>13</v>
      </c>
      <c r="C1658" s="3" t="s">
        <v>7199</v>
      </c>
    </row>
    <row r="1659">
      <c r="A1659" s="7" t="s">
        <v>13</v>
      </c>
      <c r="B1659" s="18" t="s">
        <v>13</v>
      </c>
      <c r="C1659" s="3" t="s">
        <v>7199</v>
      </c>
    </row>
    <row r="1660">
      <c r="A1660" s="7" t="s">
        <v>13</v>
      </c>
      <c r="B1660" s="18" t="s">
        <v>13</v>
      </c>
      <c r="C1660" s="3" t="s">
        <v>7199</v>
      </c>
    </row>
    <row r="1661">
      <c r="A1661" s="7" t="s">
        <v>13</v>
      </c>
      <c r="B1661" s="18" t="s">
        <v>13</v>
      </c>
      <c r="C1661" s="3" t="s">
        <v>7199</v>
      </c>
    </row>
    <row r="1662">
      <c r="A1662" s="7" t="s">
        <v>13</v>
      </c>
      <c r="B1662" s="18" t="s">
        <v>13</v>
      </c>
      <c r="C1662" s="3" t="s">
        <v>7199</v>
      </c>
    </row>
    <row r="1663">
      <c r="A1663" s="7" t="s">
        <v>13</v>
      </c>
      <c r="B1663" s="18" t="s">
        <v>13</v>
      </c>
      <c r="C1663" s="3" t="s">
        <v>7199</v>
      </c>
    </row>
    <row r="1664">
      <c r="A1664" s="7" t="s">
        <v>13</v>
      </c>
      <c r="B1664" s="18" t="s">
        <v>13</v>
      </c>
      <c r="C1664" s="3" t="s">
        <v>7199</v>
      </c>
    </row>
    <row r="1665">
      <c r="A1665" s="7" t="s">
        <v>13</v>
      </c>
      <c r="B1665" s="18" t="s">
        <v>13</v>
      </c>
      <c r="C1665" s="3" t="s">
        <v>7199</v>
      </c>
    </row>
    <row r="1666">
      <c r="A1666" s="7" t="s">
        <v>13</v>
      </c>
      <c r="B1666" s="18" t="s">
        <v>13</v>
      </c>
      <c r="C1666" s="3" t="s">
        <v>7199</v>
      </c>
    </row>
    <row r="1667">
      <c r="A1667" s="7" t="s">
        <v>13</v>
      </c>
      <c r="B1667" s="18" t="s">
        <v>13</v>
      </c>
      <c r="C1667" s="3" t="s">
        <v>7199</v>
      </c>
    </row>
    <row r="1668">
      <c r="A1668" s="7" t="s">
        <v>13</v>
      </c>
      <c r="B1668" s="18" t="s">
        <v>13</v>
      </c>
      <c r="C1668" s="3" t="s">
        <v>7199</v>
      </c>
    </row>
    <row r="1669">
      <c r="A1669" s="7" t="s">
        <v>13</v>
      </c>
      <c r="B1669" s="18" t="s">
        <v>13</v>
      </c>
      <c r="C1669" s="3" t="s">
        <v>7199</v>
      </c>
    </row>
    <row r="1670">
      <c r="A1670" s="7" t="s">
        <v>13</v>
      </c>
      <c r="B1670" s="18" t="s">
        <v>13</v>
      </c>
      <c r="C1670" s="3" t="s">
        <v>7199</v>
      </c>
    </row>
    <row r="1671">
      <c r="A1671" s="7" t="s">
        <v>13</v>
      </c>
      <c r="B1671" s="18" t="s">
        <v>13</v>
      </c>
      <c r="C1671" s="3" t="s">
        <v>7199</v>
      </c>
    </row>
    <row r="1672">
      <c r="A1672" s="7" t="s">
        <v>13</v>
      </c>
      <c r="B1672" s="18" t="s">
        <v>13</v>
      </c>
      <c r="C1672" s="3" t="s">
        <v>7199</v>
      </c>
    </row>
    <row r="1673">
      <c r="A1673" s="7" t="s">
        <v>13</v>
      </c>
      <c r="B1673" s="18" t="s">
        <v>13</v>
      </c>
      <c r="C1673" s="3" t="s">
        <v>7199</v>
      </c>
    </row>
    <row r="1674">
      <c r="A1674" s="7" t="s">
        <v>13</v>
      </c>
      <c r="B1674" s="18" t="s">
        <v>13</v>
      </c>
      <c r="C1674" s="3" t="s">
        <v>7199</v>
      </c>
    </row>
    <row r="1675">
      <c r="A1675" s="7" t="s">
        <v>13</v>
      </c>
      <c r="B1675" s="18" t="s">
        <v>13</v>
      </c>
      <c r="C1675" s="3" t="s">
        <v>7199</v>
      </c>
    </row>
    <row r="1676">
      <c r="A1676" s="7" t="s">
        <v>13</v>
      </c>
      <c r="B1676" s="18" t="s">
        <v>13</v>
      </c>
      <c r="C1676" s="3" t="s">
        <v>7199</v>
      </c>
    </row>
    <row r="1677">
      <c r="A1677" s="7" t="s">
        <v>13</v>
      </c>
      <c r="B1677" s="18" t="s">
        <v>13</v>
      </c>
      <c r="C1677" s="3" t="s">
        <v>7199</v>
      </c>
    </row>
    <row r="1678">
      <c r="A1678" s="7" t="s">
        <v>13</v>
      </c>
      <c r="B1678" s="18" t="s">
        <v>13</v>
      </c>
      <c r="C1678" s="3" t="s">
        <v>7199</v>
      </c>
    </row>
    <row r="1679">
      <c r="A1679" s="7" t="s">
        <v>13</v>
      </c>
      <c r="B1679" s="18" t="s">
        <v>13</v>
      </c>
      <c r="C1679" s="3" t="s">
        <v>7199</v>
      </c>
    </row>
    <row r="1680">
      <c r="A1680" s="7" t="s">
        <v>13</v>
      </c>
      <c r="B1680" s="18" t="s">
        <v>13</v>
      </c>
      <c r="C1680" s="3" t="s">
        <v>7199</v>
      </c>
    </row>
    <row r="1681">
      <c r="A1681" s="7" t="s">
        <v>13</v>
      </c>
      <c r="B1681" s="18" t="s">
        <v>13</v>
      </c>
      <c r="C1681" s="3" t="s">
        <v>7199</v>
      </c>
    </row>
    <row r="1682">
      <c r="A1682" s="7" t="s">
        <v>13</v>
      </c>
      <c r="B1682" s="18" t="s">
        <v>13</v>
      </c>
      <c r="C1682" s="3" t="s">
        <v>7199</v>
      </c>
    </row>
    <row r="1683">
      <c r="A1683" s="7" t="s">
        <v>13</v>
      </c>
      <c r="B1683" s="18" t="s">
        <v>13</v>
      </c>
      <c r="C1683" s="3" t="s">
        <v>7199</v>
      </c>
    </row>
    <row r="1684">
      <c r="A1684" s="7" t="s">
        <v>13</v>
      </c>
      <c r="B1684" s="18" t="s">
        <v>13</v>
      </c>
      <c r="C1684" s="3" t="s">
        <v>7199</v>
      </c>
    </row>
    <row r="1685">
      <c r="A1685" s="7" t="s">
        <v>13</v>
      </c>
      <c r="B1685" s="18" t="s">
        <v>13</v>
      </c>
      <c r="C1685" s="3" t="s">
        <v>7199</v>
      </c>
    </row>
    <row r="1686">
      <c r="A1686" s="7" t="s">
        <v>13</v>
      </c>
      <c r="B1686" s="18" t="s">
        <v>13</v>
      </c>
      <c r="C1686" s="3" t="s">
        <v>7199</v>
      </c>
    </row>
    <row r="1687">
      <c r="A1687" s="7" t="s">
        <v>13</v>
      </c>
      <c r="B1687" s="18" t="s">
        <v>13</v>
      </c>
      <c r="C1687" s="3" t="s">
        <v>7199</v>
      </c>
    </row>
    <row r="1688">
      <c r="A1688" s="7" t="s">
        <v>13</v>
      </c>
      <c r="B1688" s="18" t="s">
        <v>13</v>
      </c>
      <c r="C1688" s="3" t="s">
        <v>7199</v>
      </c>
    </row>
    <row r="1689">
      <c r="A1689" s="7" t="s">
        <v>13</v>
      </c>
      <c r="B1689" s="18" t="s">
        <v>13</v>
      </c>
      <c r="C1689" s="3" t="s">
        <v>7199</v>
      </c>
    </row>
    <row r="1690">
      <c r="A1690" s="7" t="s">
        <v>13</v>
      </c>
      <c r="B1690" s="18" t="s">
        <v>13</v>
      </c>
      <c r="C1690" s="3" t="s">
        <v>7199</v>
      </c>
    </row>
    <row r="1691">
      <c r="A1691" s="7" t="s">
        <v>13</v>
      </c>
      <c r="B1691" s="18" t="s">
        <v>13</v>
      </c>
      <c r="C1691" s="3" t="s">
        <v>7199</v>
      </c>
    </row>
    <row r="1692">
      <c r="A1692" s="7" t="s">
        <v>13</v>
      </c>
      <c r="B1692" s="18" t="s">
        <v>13</v>
      </c>
      <c r="C1692" s="3" t="s">
        <v>7199</v>
      </c>
    </row>
    <row r="1693">
      <c r="A1693" s="7" t="s">
        <v>13</v>
      </c>
      <c r="B1693" s="18" t="s">
        <v>13</v>
      </c>
      <c r="C1693" s="3" t="s">
        <v>7199</v>
      </c>
    </row>
    <row r="1694">
      <c r="A1694" s="7" t="s">
        <v>13</v>
      </c>
      <c r="B1694" s="18" t="s">
        <v>13</v>
      </c>
      <c r="C1694" s="3" t="s">
        <v>7199</v>
      </c>
    </row>
    <row r="1695">
      <c r="A1695" s="7" t="s">
        <v>13</v>
      </c>
      <c r="B1695" s="18" t="s">
        <v>13</v>
      </c>
      <c r="C1695" s="3" t="s">
        <v>7199</v>
      </c>
    </row>
    <row r="1696">
      <c r="A1696" s="7" t="s">
        <v>13</v>
      </c>
      <c r="B1696" s="18" t="s">
        <v>13</v>
      </c>
      <c r="C1696" s="3" t="s">
        <v>7199</v>
      </c>
    </row>
    <row r="1697">
      <c r="A1697" s="7" t="s">
        <v>13</v>
      </c>
      <c r="B1697" s="18" t="s">
        <v>13</v>
      </c>
      <c r="C1697" s="3" t="s">
        <v>7199</v>
      </c>
    </row>
    <row r="1698">
      <c r="A1698" s="7" t="s">
        <v>13</v>
      </c>
      <c r="B1698" s="18" t="s">
        <v>13</v>
      </c>
      <c r="C1698" s="3" t="s">
        <v>7199</v>
      </c>
    </row>
    <row r="1699">
      <c r="A1699" s="7" t="s">
        <v>13</v>
      </c>
      <c r="B1699" s="18" t="s">
        <v>13</v>
      </c>
      <c r="C1699" s="3" t="s">
        <v>7199</v>
      </c>
    </row>
    <row r="1700">
      <c r="A1700" s="7" t="s">
        <v>13</v>
      </c>
      <c r="B1700" s="18" t="s">
        <v>13</v>
      </c>
      <c r="C1700" s="3" t="s">
        <v>7199</v>
      </c>
    </row>
    <row r="1701">
      <c r="A1701" s="7" t="s">
        <v>13</v>
      </c>
      <c r="B1701" s="18" t="s">
        <v>13</v>
      </c>
      <c r="C1701" s="3" t="s">
        <v>7199</v>
      </c>
    </row>
    <row r="1702">
      <c r="A1702" s="7" t="s">
        <v>13</v>
      </c>
      <c r="B1702" s="18" t="s">
        <v>13</v>
      </c>
      <c r="C1702" s="3" t="s">
        <v>7199</v>
      </c>
    </row>
    <row r="1703">
      <c r="A1703" s="7" t="s">
        <v>13</v>
      </c>
      <c r="B1703" s="18" t="s">
        <v>13</v>
      </c>
      <c r="C1703" s="3" t="s">
        <v>7199</v>
      </c>
    </row>
    <row r="1704">
      <c r="A1704" s="7" t="s">
        <v>13</v>
      </c>
      <c r="B1704" s="18" t="s">
        <v>13</v>
      </c>
      <c r="C1704" s="3" t="s">
        <v>7199</v>
      </c>
    </row>
    <row r="1705">
      <c r="A1705" s="7" t="s">
        <v>13</v>
      </c>
      <c r="B1705" s="18" t="s">
        <v>13</v>
      </c>
      <c r="C1705" s="3" t="s">
        <v>7199</v>
      </c>
    </row>
    <row r="1706">
      <c r="A1706" s="7" t="s">
        <v>13</v>
      </c>
      <c r="B1706" s="18" t="s">
        <v>13</v>
      </c>
      <c r="C1706" s="3" t="s">
        <v>7199</v>
      </c>
    </row>
    <row r="1707">
      <c r="A1707" s="7" t="s">
        <v>13</v>
      </c>
      <c r="B1707" s="18" t="s">
        <v>13</v>
      </c>
      <c r="C1707" s="3" t="s">
        <v>7199</v>
      </c>
    </row>
    <row r="1708">
      <c r="A1708" s="7" t="s">
        <v>13</v>
      </c>
      <c r="B1708" s="18" t="s">
        <v>13</v>
      </c>
      <c r="C1708" s="3" t="s">
        <v>7199</v>
      </c>
    </row>
    <row r="1709">
      <c r="A1709" s="7" t="s">
        <v>13</v>
      </c>
      <c r="B1709" s="18" t="s">
        <v>13</v>
      </c>
      <c r="C1709" s="3" t="s">
        <v>7199</v>
      </c>
    </row>
    <row r="1710">
      <c r="A1710" s="7" t="s">
        <v>13</v>
      </c>
      <c r="B1710" s="18" t="s">
        <v>13</v>
      </c>
      <c r="C1710" s="3" t="s">
        <v>7199</v>
      </c>
    </row>
    <row r="1711">
      <c r="A1711" s="7" t="s">
        <v>13</v>
      </c>
      <c r="B1711" s="18" t="s">
        <v>13</v>
      </c>
      <c r="C1711" s="3" t="s">
        <v>7199</v>
      </c>
    </row>
    <row r="1712">
      <c r="A1712" s="7" t="s">
        <v>13</v>
      </c>
      <c r="B1712" s="18" t="s">
        <v>13</v>
      </c>
      <c r="C1712" s="3" t="s">
        <v>7199</v>
      </c>
    </row>
    <row r="1713">
      <c r="A1713" s="7" t="s">
        <v>13</v>
      </c>
      <c r="B1713" s="18" t="s">
        <v>13</v>
      </c>
      <c r="C1713" s="3" t="s">
        <v>7199</v>
      </c>
    </row>
    <row r="1714">
      <c r="A1714" s="7" t="s">
        <v>13</v>
      </c>
      <c r="B1714" s="18" t="s">
        <v>13</v>
      </c>
      <c r="C1714" s="3" t="s">
        <v>7199</v>
      </c>
    </row>
    <row r="1715">
      <c r="A1715" s="7" t="s">
        <v>13</v>
      </c>
      <c r="B1715" s="18" t="s">
        <v>13</v>
      </c>
      <c r="C1715" s="3" t="s">
        <v>7199</v>
      </c>
    </row>
    <row r="1716">
      <c r="A1716" s="7" t="s">
        <v>13</v>
      </c>
      <c r="B1716" s="18" t="s">
        <v>13</v>
      </c>
      <c r="C1716" s="3" t="s">
        <v>7199</v>
      </c>
    </row>
    <row r="1717">
      <c r="A1717" s="7" t="s">
        <v>13</v>
      </c>
      <c r="B1717" s="18" t="s">
        <v>13</v>
      </c>
      <c r="C1717" s="3" t="s">
        <v>7199</v>
      </c>
    </row>
    <row r="1718">
      <c r="A1718" s="7" t="s">
        <v>13</v>
      </c>
      <c r="B1718" s="18" t="s">
        <v>13</v>
      </c>
      <c r="C1718" s="3" t="s">
        <v>7199</v>
      </c>
    </row>
    <row r="1719">
      <c r="A1719" s="7" t="s">
        <v>13</v>
      </c>
      <c r="B1719" s="18" t="s">
        <v>13</v>
      </c>
      <c r="C1719" s="3" t="s">
        <v>7199</v>
      </c>
    </row>
    <row r="1720">
      <c r="A1720" s="7" t="s">
        <v>13</v>
      </c>
      <c r="B1720" s="18" t="s">
        <v>13</v>
      </c>
      <c r="C1720" s="3" t="s">
        <v>7199</v>
      </c>
    </row>
    <row r="1721">
      <c r="A1721" s="7" t="s">
        <v>13</v>
      </c>
      <c r="B1721" s="18" t="s">
        <v>13</v>
      </c>
      <c r="C1721" s="3" t="s">
        <v>7199</v>
      </c>
    </row>
    <row r="1722">
      <c r="A1722" s="7" t="s">
        <v>13</v>
      </c>
      <c r="B1722" s="18" t="s">
        <v>13</v>
      </c>
      <c r="C1722" s="3" t="s">
        <v>7199</v>
      </c>
    </row>
    <row r="1723">
      <c r="A1723" s="7" t="s">
        <v>13</v>
      </c>
      <c r="B1723" s="18" t="s">
        <v>13</v>
      </c>
      <c r="C1723" s="3" t="s">
        <v>7199</v>
      </c>
    </row>
    <row r="1724">
      <c r="A1724" s="7" t="s">
        <v>13</v>
      </c>
      <c r="B1724" s="18" t="s">
        <v>13</v>
      </c>
      <c r="C1724" s="3" t="s">
        <v>7199</v>
      </c>
    </row>
    <row r="1725">
      <c r="A1725" s="7" t="s">
        <v>13</v>
      </c>
      <c r="B1725" s="18" t="s">
        <v>13</v>
      </c>
      <c r="C1725" s="3" t="s">
        <v>7199</v>
      </c>
    </row>
    <row r="1726">
      <c r="A1726" s="7" t="s">
        <v>13</v>
      </c>
      <c r="B1726" s="18" t="s">
        <v>13</v>
      </c>
      <c r="C1726" s="3" t="s">
        <v>7199</v>
      </c>
    </row>
    <row r="1727">
      <c r="A1727" s="7" t="s">
        <v>13</v>
      </c>
      <c r="B1727" s="18" t="s">
        <v>13</v>
      </c>
      <c r="C1727" s="3" t="s">
        <v>7199</v>
      </c>
    </row>
    <row r="1728">
      <c r="A1728" s="7" t="s">
        <v>13</v>
      </c>
      <c r="B1728" s="18" t="s">
        <v>13</v>
      </c>
      <c r="C1728" s="3" t="s">
        <v>7199</v>
      </c>
    </row>
    <row r="1729">
      <c r="A1729" s="7" t="s">
        <v>13</v>
      </c>
      <c r="B1729" s="18" t="s">
        <v>13</v>
      </c>
      <c r="C1729" s="3" t="s">
        <v>7199</v>
      </c>
    </row>
    <row r="1730">
      <c r="A1730" s="7" t="s">
        <v>13</v>
      </c>
      <c r="B1730" s="18" t="s">
        <v>13</v>
      </c>
      <c r="C1730" s="3" t="s">
        <v>7199</v>
      </c>
    </row>
    <row r="1731">
      <c r="A1731" s="7" t="s">
        <v>13</v>
      </c>
      <c r="B1731" s="18" t="s">
        <v>13</v>
      </c>
      <c r="C1731" s="3" t="s">
        <v>7199</v>
      </c>
    </row>
    <row r="1732">
      <c r="A1732" s="7" t="s">
        <v>13</v>
      </c>
      <c r="B1732" s="18" t="s">
        <v>13</v>
      </c>
      <c r="C1732" s="3" t="s">
        <v>7199</v>
      </c>
    </row>
    <row r="1733">
      <c r="A1733" s="7" t="s">
        <v>13</v>
      </c>
      <c r="B1733" s="18" t="s">
        <v>13</v>
      </c>
      <c r="C1733" s="3" t="s">
        <v>7199</v>
      </c>
    </row>
    <row r="1734">
      <c r="A1734" s="7" t="s">
        <v>13</v>
      </c>
      <c r="B1734" s="18" t="s">
        <v>13</v>
      </c>
      <c r="C1734" s="3" t="s">
        <v>7199</v>
      </c>
    </row>
    <row r="1735">
      <c r="A1735" s="7" t="s">
        <v>13</v>
      </c>
      <c r="B1735" s="18" t="s">
        <v>13</v>
      </c>
      <c r="C1735" s="3" t="s">
        <v>7199</v>
      </c>
    </row>
    <row r="1736">
      <c r="A1736" s="7" t="s">
        <v>13</v>
      </c>
      <c r="B1736" s="18" t="s">
        <v>13</v>
      </c>
      <c r="C1736" s="3" t="s">
        <v>7199</v>
      </c>
    </row>
    <row r="1737">
      <c r="A1737" s="7" t="s">
        <v>13</v>
      </c>
      <c r="B1737" s="18" t="s">
        <v>13</v>
      </c>
      <c r="C1737" s="3" t="s">
        <v>7199</v>
      </c>
    </row>
    <row r="1738">
      <c r="A1738" s="7" t="s">
        <v>13</v>
      </c>
      <c r="B1738" s="18" t="s">
        <v>13</v>
      </c>
      <c r="C1738" s="3" t="s">
        <v>7199</v>
      </c>
    </row>
    <row r="1739">
      <c r="A1739" s="7" t="s">
        <v>13</v>
      </c>
      <c r="B1739" s="18" t="s">
        <v>13</v>
      </c>
      <c r="C1739" s="3" t="s">
        <v>7199</v>
      </c>
    </row>
    <row r="1740">
      <c r="A1740" s="7" t="s">
        <v>13</v>
      </c>
      <c r="B1740" s="18" t="s">
        <v>13</v>
      </c>
      <c r="C1740" s="3" t="s">
        <v>7199</v>
      </c>
    </row>
    <row r="1741">
      <c r="A1741" s="7" t="s">
        <v>13</v>
      </c>
      <c r="B1741" s="18" t="s">
        <v>13</v>
      </c>
      <c r="C1741" s="3" t="s">
        <v>7199</v>
      </c>
    </row>
    <row r="1742">
      <c r="A1742" s="7" t="s">
        <v>13</v>
      </c>
      <c r="B1742" s="18" t="s">
        <v>13</v>
      </c>
      <c r="C1742" s="3" t="s">
        <v>7199</v>
      </c>
    </row>
    <row r="1743">
      <c r="A1743" s="7" t="s">
        <v>13</v>
      </c>
      <c r="B1743" s="18" t="s">
        <v>13</v>
      </c>
      <c r="C1743" s="3" t="s">
        <v>7199</v>
      </c>
    </row>
    <row r="1744">
      <c r="A1744" s="7" t="s">
        <v>13</v>
      </c>
      <c r="B1744" s="18" t="s">
        <v>13</v>
      </c>
      <c r="C1744" s="3" t="s">
        <v>7199</v>
      </c>
    </row>
    <row r="1745">
      <c r="A1745" s="7" t="s">
        <v>13</v>
      </c>
      <c r="B1745" s="18" t="s">
        <v>13</v>
      </c>
      <c r="C1745" s="3" t="s">
        <v>7199</v>
      </c>
    </row>
    <row r="1746">
      <c r="A1746" s="7" t="s">
        <v>13</v>
      </c>
      <c r="B1746" s="18" t="s">
        <v>13</v>
      </c>
      <c r="C1746" s="3" t="s">
        <v>7199</v>
      </c>
    </row>
    <row r="1747">
      <c r="A1747" s="7" t="s">
        <v>13</v>
      </c>
      <c r="B1747" s="18" t="s">
        <v>13</v>
      </c>
      <c r="C1747" s="3" t="s">
        <v>7199</v>
      </c>
    </row>
    <row r="1748">
      <c r="A1748" s="7" t="s">
        <v>13</v>
      </c>
      <c r="B1748" s="18" t="s">
        <v>13</v>
      </c>
      <c r="C1748" s="3" t="s">
        <v>7199</v>
      </c>
    </row>
    <row r="1749">
      <c r="A1749" s="7" t="s">
        <v>13</v>
      </c>
      <c r="B1749" s="18" t="s">
        <v>13</v>
      </c>
      <c r="C1749" s="3" t="s">
        <v>7199</v>
      </c>
    </row>
    <row r="1750">
      <c r="A1750" s="7" t="s">
        <v>13</v>
      </c>
      <c r="B1750" s="18" t="s">
        <v>13</v>
      </c>
      <c r="C1750" s="3" t="s">
        <v>7199</v>
      </c>
    </row>
    <row r="1751">
      <c r="A1751" s="7" t="s">
        <v>13</v>
      </c>
      <c r="B1751" s="18" t="s">
        <v>13</v>
      </c>
      <c r="C1751" s="3" t="s">
        <v>7199</v>
      </c>
    </row>
    <row r="1752">
      <c r="A1752" s="7" t="s">
        <v>13</v>
      </c>
      <c r="B1752" s="18" t="s">
        <v>13</v>
      </c>
      <c r="C1752" s="3" t="s">
        <v>7199</v>
      </c>
    </row>
    <row r="1753">
      <c r="A1753" s="7" t="s">
        <v>13</v>
      </c>
      <c r="B1753" s="18" t="s">
        <v>13</v>
      </c>
      <c r="C1753" s="3" t="s">
        <v>7199</v>
      </c>
    </row>
    <row r="1754">
      <c r="A1754" s="7" t="s">
        <v>13</v>
      </c>
      <c r="B1754" s="18" t="s">
        <v>13</v>
      </c>
      <c r="C1754" s="3" t="s">
        <v>7199</v>
      </c>
    </row>
    <row r="1755">
      <c r="A1755" s="7" t="s">
        <v>13</v>
      </c>
      <c r="B1755" s="18" t="s">
        <v>13</v>
      </c>
      <c r="C1755" s="3" t="s">
        <v>7199</v>
      </c>
    </row>
    <row r="1756">
      <c r="A1756" s="7" t="s">
        <v>13</v>
      </c>
      <c r="B1756" s="18" t="s">
        <v>13</v>
      </c>
      <c r="C1756" s="3" t="s">
        <v>7199</v>
      </c>
    </row>
    <row r="1757">
      <c r="A1757" s="7" t="s">
        <v>13</v>
      </c>
      <c r="B1757" s="18" t="s">
        <v>13</v>
      </c>
      <c r="C1757" s="3" t="s">
        <v>7199</v>
      </c>
    </row>
    <row r="1758">
      <c r="A1758" s="7" t="s">
        <v>13</v>
      </c>
      <c r="B1758" s="18" t="s">
        <v>13</v>
      </c>
      <c r="C1758" s="3" t="s">
        <v>7199</v>
      </c>
    </row>
    <row r="1759">
      <c r="A1759" s="7" t="s">
        <v>13</v>
      </c>
      <c r="B1759" s="18" t="s">
        <v>13</v>
      </c>
      <c r="C1759" s="3" t="s">
        <v>7199</v>
      </c>
    </row>
    <row r="1760">
      <c r="A1760" s="7" t="s">
        <v>13</v>
      </c>
      <c r="B1760" s="18" t="s">
        <v>13</v>
      </c>
      <c r="C1760" s="3" t="s">
        <v>7199</v>
      </c>
    </row>
    <row r="1761">
      <c r="A1761" s="7" t="s">
        <v>13</v>
      </c>
      <c r="B1761" s="18" t="s">
        <v>13</v>
      </c>
      <c r="C1761" s="3" t="s">
        <v>7199</v>
      </c>
    </row>
    <row r="1762">
      <c r="A1762" s="7" t="s">
        <v>13</v>
      </c>
      <c r="B1762" s="18" t="s">
        <v>13</v>
      </c>
      <c r="C1762" s="3" t="s">
        <v>7199</v>
      </c>
    </row>
    <row r="1763">
      <c r="A1763" s="7" t="s">
        <v>13</v>
      </c>
      <c r="B1763" s="18" t="s">
        <v>13</v>
      </c>
      <c r="C1763" s="3" t="s">
        <v>7199</v>
      </c>
    </row>
    <row r="1764">
      <c r="A1764" s="7" t="s">
        <v>13</v>
      </c>
      <c r="B1764" s="18" t="s">
        <v>13</v>
      </c>
      <c r="C1764" s="3" t="s">
        <v>7199</v>
      </c>
    </row>
    <row r="1765">
      <c r="A1765" s="7" t="s">
        <v>13</v>
      </c>
      <c r="B1765" s="18" t="s">
        <v>13</v>
      </c>
      <c r="C1765" s="3" t="s">
        <v>7199</v>
      </c>
    </row>
    <row r="1766">
      <c r="A1766" s="7" t="s">
        <v>13</v>
      </c>
      <c r="B1766" s="18" t="s">
        <v>13</v>
      </c>
      <c r="C1766" s="3" t="s">
        <v>7199</v>
      </c>
    </row>
    <row r="1767">
      <c r="A1767" s="7" t="s">
        <v>13</v>
      </c>
      <c r="B1767" s="18" t="s">
        <v>13</v>
      </c>
      <c r="C1767" s="3" t="s">
        <v>7199</v>
      </c>
    </row>
    <row r="1768">
      <c r="A1768" s="7" t="s">
        <v>13</v>
      </c>
      <c r="B1768" s="18" t="s">
        <v>13</v>
      </c>
      <c r="C1768" s="3" t="s">
        <v>7199</v>
      </c>
    </row>
    <row r="1769">
      <c r="A1769" s="7" t="s">
        <v>13</v>
      </c>
      <c r="B1769" s="18" t="s">
        <v>13</v>
      </c>
      <c r="C1769" s="3" t="s">
        <v>7199</v>
      </c>
    </row>
    <row r="1770">
      <c r="A1770" s="7" t="s">
        <v>13</v>
      </c>
      <c r="B1770" s="18" t="s">
        <v>13</v>
      </c>
      <c r="C1770" s="3" t="s">
        <v>7199</v>
      </c>
    </row>
    <row r="1771">
      <c r="A1771" s="7" t="s">
        <v>13</v>
      </c>
      <c r="B1771" s="18" t="s">
        <v>13</v>
      </c>
      <c r="C1771" s="3" t="s">
        <v>7199</v>
      </c>
    </row>
    <row r="1772">
      <c r="A1772" s="7" t="s">
        <v>13</v>
      </c>
      <c r="B1772" s="18" t="s">
        <v>13</v>
      </c>
      <c r="C1772" s="3" t="s">
        <v>7199</v>
      </c>
    </row>
    <row r="1773">
      <c r="A1773" s="7" t="s">
        <v>13</v>
      </c>
      <c r="B1773" s="18" t="s">
        <v>13</v>
      </c>
      <c r="C1773" s="3" t="s">
        <v>7199</v>
      </c>
    </row>
    <row r="1774">
      <c r="A1774" s="7" t="s">
        <v>13</v>
      </c>
      <c r="B1774" s="18" t="s">
        <v>13</v>
      </c>
      <c r="C1774" s="3" t="s">
        <v>7199</v>
      </c>
    </row>
    <row r="1775">
      <c r="A1775" s="7" t="s">
        <v>13</v>
      </c>
      <c r="B1775" s="18" t="s">
        <v>13</v>
      </c>
      <c r="C1775" s="3" t="s">
        <v>7199</v>
      </c>
    </row>
    <row r="1776">
      <c r="A1776" s="7" t="s">
        <v>13</v>
      </c>
      <c r="B1776" s="18" t="s">
        <v>13</v>
      </c>
      <c r="C1776" s="3" t="s">
        <v>7199</v>
      </c>
    </row>
    <row r="1777">
      <c r="A1777" s="7" t="s">
        <v>13</v>
      </c>
      <c r="B1777" s="18" t="s">
        <v>13</v>
      </c>
      <c r="C1777" s="3" t="s">
        <v>7199</v>
      </c>
    </row>
    <row r="1778">
      <c r="A1778" s="7" t="s">
        <v>13</v>
      </c>
      <c r="B1778" s="18" t="s">
        <v>13</v>
      </c>
      <c r="C1778" s="3" t="s">
        <v>7199</v>
      </c>
    </row>
    <row r="1779">
      <c r="A1779" s="7" t="s">
        <v>13</v>
      </c>
      <c r="B1779" s="18" t="s">
        <v>13</v>
      </c>
      <c r="C1779" s="3" t="s">
        <v>7199</v>
      </c>
    </row>
    <row r="1780">
      <c r="A1780" s="7" t="s">
        <v>13</v>
      </c>
      <c r="B1780" s="18" t="s">
        <v>13</v>
      </c>
      <c r="C1780" s="3" t="s">
        <v>7199</v>
      </c>
    </row>
    <row r="1781">
      <c r="A1781" s="7" t="s">
        <v>13</v>
      </c>
      <c r="B1781" s="18" t="s">
        <v>13</v>
      </c>
      <c r="C1781" s="3" t="s">
        <v>7199</v>
      </c>
    </row>
    <row r="1782">
      <c r="A1782" s="7" t="s">
        <v>13</v>
      </c>
      <c r="B1782" s="18" t="s">
        <v>13</v>
      </c>
      <c r="C1782" s="3" t="s">
        <v>7199</v>
      </c>
    </row>
    <row r="1783">
      <c r="A1783" s="7" t="s">
        <v>13</v>
      </c>
      <c r="B1783" s="18" t="s">
        <v>13</v>
      </c>
      <c r="C1783" s="3" t="s">
        <v>7199</v>
      </c>
    </row>
    <row r="1784">
      <c r="A1784" s="7" t="s">
        <v>13</v>
      </c>
      <c r="B1784" s="18" t="s">
        <v>13</v>
      </c>
      <c r="C1784" s="3" t="s">
        <v>7199</v>
      </c>
    </row>
    <row r="1785">
      <c r="A1785" s="7" t="s">
        <v>13</v>
      </c>
      <c r="B1785" s="18" t="s">
        <v>13</v>
      </c>
      <c r="C1785" s="3" t="s">
        <v>7199</v>
      </c>
    </row>
    <row r="1786">
      <c r="A1786" s="7" t="s">
        <v>13</v>
      </c>
      <c r="B1786" s="18" t="s">
        <v>13</v>
      </c>
      <c r="C1786" s="3" t="s">
        <v>7199</v>
      </c>
    </row>
    <row r="1787">
      <c r="A1787" s="7" t="s">
        <v>13</v>
      </c>
      <c r="B1787" s="18" t="s">
        <v>13</v>
      </c>
      <c r="C1787" s="3" t="s">
        <v>7199</v>
      </c>
    </row>
    <row r="1788">
      <c r="A1788" s="7" t="s">
        <v>13</v>
      </c>
      <c r="B1788" s="18" t="s">
        <v>13</v>
      </c>
      <c r="C1788" s="3" t="s">
        <v>7199</v>
      </c>
    </row>
    <row r="1789">
      <c r="A1789" s="7" t="s">
        <v>13</v>
      </c>
      <c r="B1789" s="18" t="s">
        <v>13</v>
      </c>
      <c r="C1789" s="3" t="s">
        <v>7199</v>
      </c>
    </row>
    <row r="1790">
      <c r="A1790" s="7" t="s">
        <v>13</v>
      </c>
      <c r="B1790" s="18" t="s">
        <v>13</v>
      </c>
      <c r="C1790" s="3" t="s">
        <v>7199</v>
      </c>
    </row>
    <row r="1791">
      <c r="A1791" s="7" t="s">
        <v>13</v>
      </c>
      <c r="B1791" s="18" t="s">
        <v>13</v>
      </c>
      <c r="C1791" s="3" t="s">
        <v>7199</v>
      </c>
    </row>
    <row r="1792">
      <c r="A1792" s="7" t="s">
        <v>13</v>
      </c>
      <c r="B1792" s="18" t="s">
        <v>13</v>
      </c>
      <c r="C1792" s="3" t="s">
        <v>7199</v>
      </c>
    </row>
    <row r="1793">
      <c r="A1793" s="7" t="s">
        <v>13</v>
      </c>
      <c r="B1793" s="18" t="s">
        <v>13</v>
      </c>
      <c r="C1793" s="3" t="s">
        <v>7199</v>
      </c>
    </row>
    <row r="1794">
      <c r="A1794" s="7" t="s">
        <v>13</v>
      </c>
      <c r="B1794" s="18" t="s">
        <v>13</v>
      </c>
      <c r="C1794" s="3" t="s">
        <v>7199</v>
      </c>
    </row>
    <row r="1795">
      <c r="A1795" s="7" t="s">
        <v>13</v>
      </c>
      <c r="B1795" s="18" t="s">
        <v>13</v>
      </c>
      <c r="C1795" s="3" t="s">
        <v>7199</v>
      </c>
    </row>
    <row r="1796">
      <c r="A1796" s="7" t="s">
        <v>13</v>
      </c>
      <c r="B1796" s="18" t="s">
        <v>13</v>
      </c>
      <c r="C1796" s="3" t="s">
        <v>7199</v>
      </c>
    </row>
    <row r="1797">
      <c r="A1797" s="7" t="s">
        <v>13</v>
      </c>
      <c r="B1797" s="18" t="s">
        <v>13</v>
      </c>
      <c r="C1797" s="3" t="s">
        <v>7199</v>
      </c>
    </row>
    <row r="1798">
      <c r="A1798" s="7" t="s">
        <v>13</v>
      </c>
      <c r="B1798" s="18" t="s">
        <v>13</v>
      </c>
      <c r="C1798" s="3" t="s">
        <v>7199</v>
      </c>
    </row>
    <row r="1799">
      <c r="A1799" s="7" t="s">
        <v>13</v>
      </c>
      <c r="B1799" s="18" t="s">
        <v>13</v>
      </c>
      <c r="C1799" s="3" t="s">
        <v>7199</v>
      </c>
    </row>
    <row r="1800">
      <c r="A1800" s="7" t="s">
        <v>13</v>
      </c>
      <c r="B1800" s="18" t="s">
        <v>13</v>
      </c>
      <c r="C1800" s="3" t="s">
        <v>7199</v>
      </c>
    </row>
    <row r="1801">
      <c r="A1801" s="7" t="s">
        <v>13</v>
      </c>
      <c r="B1801" s="18" t="s">
        <v>13</v>
      </c>
      <c r="C1801" s="3" t="s">
        <v>7199</v>
      </c>
    </row>
    <row r="1802">
      <c r="A1802" s="7" t="s">
        <v>13</v>
      </c>
      <c r="B1802" s="18" t="s">
        <v>13</v>
      </c>
      <c r="C1802" s="3" t="s">
        <v>7199</v>
      </c>
    </row>
    <row r="1803">
      <c r="A1803" s="7" t="s">
        <v>13</v>
      </c>
      <c r="B1803" s="18" t="s">
        <v>13</v>
      </c>
      <c r="C1803" s="3" t="s">
        <v>7199</v>
      </c>
    </row>
    <row r="1804">
      <c r="A1804" s="7" t="s">
        <v>13</v>
      </c>
      <c r="B1804" s="18" t="s">
        <v>13</v>
      </c>
      <c r="C1804" s="3" t="s">
        <v>7199</v>
      </c>
    </row>
    <row r="1805">
      <c r="A1805" s="7" t="s">
        <v>13</v>
      </c>
      <c r="B1805" s="18" t="s">
        <v>13</v>
      </c>
      <c r="C1805" s="3" t="s">
        <v>7199</v>
      </c>
    </row>
    <row r="1806">
      <c r="A1806" s="7" t="s">
        <v>13</v>
      </c>
      <c r="B1806" s="18" t="s">
        <v>13</v>
      </c>
      <c r="C1806" s="3" t="s">
        <v>7199</v>
      </c>
    </row>
    <row r="1807">
      <c r="A1807" s="7" t="s">
        <v>13</v>
      </c>
      <c r="B1807" s="18" t="s">
        <v>13</v>
      </c>
      <c r="C1807" s="3" t="s">
        <v>7199</v>
      </c>
    </row>
    <row r="1808">
      <c r="A1808" s="7" t="s">
        <v>13</v>
      </c>
      <c r="B1808" s="18" t="s">
        <v>13</v>
      </c>
      <c r="C1808" s="3" t="s">
        <v>7199</v>
      </c>
    </row>
    <row r="1809">
      <c r="A1809" s="7" t="s">
        <v>13</v>
      </c>
      <c r="B1809" s="18" t="s">
        <v>13</v>
      </c>
      <c r="C1809" s="3" t="s">
        <v>7199</v>
      </c>
    </row>
    <row r="1810">
      <c r="A1810" s="7" t="s">
        <v>13</v>
      </c>
      <c r="B1810" s="18" t="s">
        <v>13</v>
      </c>
      <c r="C1810" s="3" t="s">
        <v>7199</v>
      </c>
    </row>
    <row r="1811">
      <c r="A1811" s="7" t="s">
        <v>13</v>
      </c>
      <c r="B1811" s="18" t="s">
        <v>13</v>
      </c>
      <c r="C1811" s="3" t="s">
        <v>7199</v>
      </c>
    </row>
    <row r="1812">
      <c r="A1812" s="7" t="s">
        <v>13</v>
      </c>
      <c r="B1812" s="18" t="s">
        <v>13</v>
      </c>
      <c r="C1812" s="3" t="s">
        <v>7199</v>
      </c>
    </row>
    <row r="1813">
      <c r="A1813" s="7" t="s">
        <v>13</v>
      </c>
      <c r="B1813" s="18" t="s">
        <v>13</v>
      </c>
      <c r="C1813" s="3" t="s">
        <v>7199</v>
      </c>
    </row>
    <row r="1814">
      <c r="A1814" s="7" t="s">
        <v>13</v>
      </c>
      <c r="B1814" s="18" t="s">
        <v>13</v>
      </c>
      <c r="C1814" s="3" t="s">
        <v>7199</v>
      </c>
    </row>
    <row r="1815">
      <c r="A1815" s="7" t="s">
        <v>13</v>
      </c>
      <c r="B1815" s="18" t="s">
        <v>13</v>
      </c>
      <c r="C1815" s="3" t="s">
        <v>7199</v>
      </c>
    </row>
    <row r="1816">
      <c r="A1816" s="7" t="s">
        <v>13</v>
      </c>
      <c r="B1816" s="18" t="s">
        <v>13</v>
      </c>
      <c r="C1816" s="3" t="s">
        <v>7199</v>
      </c>
    </row>
    <row r="1817">
      <c r="A1817" s="7" t="s">
        <v>13</v>
      </c>
      <c r="B1817" s="18" t="s">
        <v>13</v>
      </c>
      <c r="C1817" s="3" t="s">
        <v>7199</v>
      </c>
    </row>
    <row r="1818">
      <c r="A1818" s="7" t="s">
        <v>13</v>
      </c>
      <c r="B1818" s="18" t="s">
        <v>13</v>
      </c>
      <c r="C1818" s="3" t="s">
        <v>7199</v>
      </c>
    </row>
    <row r="1819">
      <c r="A1819" s="7" t="s">
        <v>13</v>
      </c>
      <c r="B1819" s="18" t="s">
        <v>13</v>
      </c>
      <c r="C1819" s="3" t="s">
        <v>7199</v>
      </c>
    </row>
    <row r="1820">
      <c r="A1820" s="7" t="s">
        <v>13</v>
      </c>
      <c r="B1820" s="18" t="s">
        <v>13</v>
      </c>
      <c r="C1820" s="3" t="s">
        <v>7199</v>
      </c>
    </row>
    <row r="1821">
      <c r="A1821" s="7" t="s">
        <v>13</v>
      </c>
      <c r="B1821" s="18" t="s">
        <v>13</v>
      </c>
      <c r="C1821" s="3" t="s">
        <v>7199</v>
      </c>
    </row>
    <row r="1822">
      <c r="A1822" s="7" t="s">
        <v>13</v>
      </c>
      <c r="B1822" s="18" t="s">
        <v>13</v>
      </c>
      <c r="C1822" s="3" t="s">
        <v>7199</v>
      </c>
    </row>
    <row r="1823">
      <c r="A1823" s="7" t="s">
        <v>13</v>
      </c>
      <c r="B1823" s="18" t="s">
        <v>13</v>
      </c>
      <c r="C1823" s="3" t="s">
        <v>7199</v>
      </c>
    </row>
    <row r="1824">
      <c r="A1824" s="7" t="s">
        <v>13</v>
      </c>
      <c r="B1824" s="18" t="s">
        <v>13</v>
      </c>
      <c r="C1824" s="3" t="s">
        <v>7199</v>
      </c>
    </row>
    <row r="1825">
      <c r="A1825" s="7" t="s">
        <v>13</v>
      </c>
      <c r="B1825" s="18" t="s">
        <v>13</v>
      </c>
      <c r="C1825" s="3" t="s">
        <v>7199</v>
      </c>
    </row>
    <row r="1826">
      <c r="A1826" s="7" t="s">
        <v>13</v>
      </c>
      <c r="B1826" s="18" t="s">
        <v>13</v>
      </c>
      <c r="C1826" s="3" t="s">
        <v>7199</v>
      </c>
    </row>
    <row r="1827">
      <c r="A1827" s="7" t="s">
        <v>13</v>
      </c>
      <c r="B1827" s="18" t="s">
        <v>13</v>
      </c>
      <c r="C1827" s="3" t="s">
        <v>7199</v>
      </c>
    </row>
    <row r="1828">
      <c r="A1828" s="7" t="s">
        <v>13</v>
      </c>
      <c r="B1828" s="18" t="s">
        <v>13</v>
      </c>
      <c r="C1828" s="3" t="s">
        <v>7199</v>
      </c>
    </row>
    <row r="1829">
      <c r="A1829" s="7" t="s">
        <v>13</v>
      </c>
      <c r="B1829" s="18" t="s">
        <v>13</v>
      </c>
      <c r="C1829" s="3" t="s">
        <v>7199</v>
      </c>
    </row>
    <row r="1830">
      <c r="A1830" s="7" t="s">
        <v>13</v>
      </c>
      <c r="B1830" s="18" t="s">
        <v>13</v>
      </c>
      <c r="C1830" s="3" t="s">
        <v>7199</v>
      </c>
    </row>
    <row r="1831">
      <c r="A1831" s="7" t="s">
        <v>13</v>
      </c>
      <c r="B1831" s="18" t="s">
        <v>13</v>
      </c>
      <c r="C1831" s="3" t="s">
        <v>7199</v>
      </c>
    </row>
    <row r="1832">
      <c r="A1832" s="7" t="s">
        <v>13</v>
      </c>
      <c r="B1832" s="18" t="s">
        <v>13</v>
      </c>
      <c r="C1832" s="3" t="s">
        <v>7199</v>
      </c>
    </row>
    <row r="1833">
      <c r="A1833" s="7" t="s">
        <v>13</v>
      </c>
      <c r="B1833" s="18" t="s">
        <v>13</v>
      </c>
      <c r="C1833" s="3" t="s">
        <v>7199</v>
      </c>
    </row>
    <row r="1834">
      <c r="A1834" s="7" t="s">
        <v>13</v>
      </c>
      <c r="B1834" s="18" t="s">
        <v>13</v>
      </c>
      <c r="C1834" s="3" t="s">
        <v>7199</v>
      </c>
    </row>
    <row r="1835">
      <c r="A1835" s="7" t="s">
        <v>13</v>
      </c>
      <c r="B1835" s="18" t="s">
        <v>13</v>
      </c>
      <c r="C1835" s="3" t="s">
        <v>7199</v>
      </c>
    </row>
    <row r="1836">
      <c r="A1836" s="7" t="s">
        <v>13</v>
      </c>
      <c r="B1836" s="18" t="s">
        <v>13</v>
      </c>
      <c r="C1836" s="3" t="s">
        <v>7199</v>
      </c>
    </row>
    <row r="1837">
      <c r="A1837" s="7" t="s">
        <v>13</v>
      </c>
      <c r="B1837" s="18" t="s">
        <v>13</v>
      </c>
      <c r="C1837" s="3" t="s">
        <v>7199</v>
      </c>
    </row>
    <row r="1838">
      <c r="A1838" s="7" t="s">
        <v>13</v>
      </c>
      <c r="B1838" s="18" t="s">
        <v>13</v>
      </c>
      <c r="C1838" s="3" t="s">
        <v>7199</v>
      </c>
    </row>
    <row r="1839">
      <c r="A1839" s="7" t="s">
        <v>13</v>
      </c>
      <c r="B1839" s="18" t="s">
        <v>13</v>
      </c>
      <c r="C1839" s="3" t="s">
        <v>7199</v>
      </c>
    </row>
    <row r="1840">
      <c r="A1840" s="7" t="s">
        <v>13</v>
      </c>
      <c r="B1840" s="18" t="s">
        <v>13</v>
      </c>
      <c r="C1840" s="3" t="s">
        <v>7199</v>
      </c>
    </row>
    <row r="1841">
      <c r="A1841" s="7" t="s">
        <v>13</v>
      </c>
      <c r="B1841" s="18" t="s">
        <v>13</v>
      </c>
      <c r="C1841" s="3" t="s">
        <v>7199</v>
      </c>
    </row>
    <row r="1842">
      <c r="A1842" s="7" t="s">
        <v>13</v>
      </c>
      <c r="B1842" s="18" t="s">
        <v>13</v>
      </c>
      <c r="C1842" s="3" t="s">
        <v>7199</v>
      </c>
    </row>
    <row r="1843">
      <c r="A1843" s="7" t="s">
        <v>13</v>
      </c>
      <c r="B1843" s="18" t="s">
        <v>13</v>
      </c>
      <c r="C1843" s="3" t="s">
        <v>7199</v>
      </c>
    </row>
    <row r="1844">
      <c r="A1844" s="7" t="s">
        <v>13</v>
      </c>
      <c r="B1844" s="18" t="s">
        <v>13</v>
      </c>
      <c r="C1844" s="3" t="s">
        <v>7199</v>
      </c>
    </row>
    <row r="1845">
      <c r="A1845" s="7" t="s">
        <v>13</v>
      </c>
      <c r="B1845" s="18" t="s">
        <v>13</v>
      </c>
      <c r="C1845" s="3" t="s">
        <v>7199</v>
      </c>
    </row>
    <row r="1846">
      <c r="A1846" s="7" t="s">
        <v>13</v>
      </c>
      <c r="B1846" s="18" t="s">
        <v>13</v>
      </c>
      <c r="C1846" s="3" t="s">
        <v>7199</v>
      </c>
    </row>
    <row r="1847">
      <c r="A1847" s="7" t="s">
        <v>13</v>
      </c>
      <c r="B1847" s="18" t="s">
        <v>13</v>
      </c>
      <c r="C1847" s="3" t="s">
        <v>7199</v>
      </c>
    </row>
    <row r="1848">
      <c r="A1848" s="7" t="s">
        <v>13</v>
      </c>
      <c r="B1848" s="18" t="s">
        <v>13</v>
      </c>
      <c r="C1848" s="3" t="s">
        <v>7199</v>
      </c>
    </row>
    <row r="1849">
      <c r="A1849" s="7" t="s">
        <v>13</v>
      </c>
      <c r="B1849" s="18" t="s">
        <v>13</v>
      </c>
      <c r="C1849" s="3" t="s">
        <v>7199</v>
      </c>
    </row>
    <row r="1850">
      <c r="A1850" s="7" t="s">
        <v>13</v>
      </c>
      <c r="B1850" s="18" t="s">
        <v>13</v>
      </c>
      <c r="C1850" s="3" t="s">
        <v>7199</v>
      </c>
    </row>
    <row r="1851">
      <c r="A1851" s="7" t="s">
        <v>13</v>
      </c>
      <c r="B1851" s="18" t="s">
        <v>13</v>
      </c>
      <c r="C1851" s="3" t="s">
        <v>7199</v>
      </c>
    </row>
    <row r="1852">
      <c r="A1852" s="7" t="s">
        <v>13</v>
      </c>
      <c r="B1852" s="18" t="s">
        <v>13</v>
      </c>
      <c r="C1852" s="3" t="s">
        <v>7199</v>
      </c>
    </row>
    <row r="1853">
      <c r="A1853" s="7" t="s">
        <v>13</v>
      </c>
      <c r="B1853" s="18" t="s">
        <v>13</v>
      </c>
      <c r="C1853" s="3" t="s">
        <v>7199</v>
      </c>
    </row>
    <row r="1854">
      <c r="A1854" s="7" t="s">
        <v>13</v>
      </c>
      <c r="B1854" s="18" t="s">
        <v>13</v>
      </c>
      <c r="C1854" s="3" t="s">
        <v>7199</v>
      </c>
    </row>
    <row r="1855">
      <c r="A1855" s="7" t="s">
        <v>13</v>
      </c>
      <c r="B1855" s="18" t="s">
        <v>13</v>
      </c>
      <c r="C1855" s="3" t="s">
        <v>7199</v>
      </c>
    </row>
    <row r="1856">
      <c r="A1856" s="7" t="s">
        <v>13</v>
      </c>
      <c r="B1856" s="18" t="s">
        <v>13</v>
      </c>
      <c r="C1856" s="3" t="s">
        <v>7199</v>
      </c>
    </row>
    <row r="1857">
      <c r="A1857" s="7" t="s">
        <v>13</v>
      </c>
      <c r="B1857" s="18" t="s">
        <v>13</v>
      </c>
      <c r="C1857" s="3" t="s">
        <v>7199</v>
      </c>
    </row>
    <row r="1858">
      <c r="A1858" s="7" t="s">
        <v>13</v>
      </c>
      <c r="B1858" s="18" t="s">
        <v>13</v>
      </c>
      <c r="C1858" s="3" t="s">
        <v>7199</v>
      </c>
    </row>
    <row r="1859">
      <c r="A1859" s="7" t="s">
        <v>13</v>
      </c>
      <c r="B1859" s="18" t="s">
        <v>13</v>
      </c>
      <c r="C1859" s="3" t="s">
        <v>7199</v>
      </c>
    </row>
    <row r="1860">
      <c r="A1860" s="7" t="s">
        <v>13</v>
      </c>
      <c r="B1860" s="18" t="s">
        <v>13</v>
      </c>
      <c r="C1860" s="3" t="s">
        <v>7199</v>
      </c>
    </row>
    <row r="1861">
      <c r="A1861" s="7" t="s">
        <v>13</v>
      </c>
      <c r="B1861" s="18" t="s">
        <v>13</v>
      </c>
      <c r="C1861" s="3" t="s">
        <v>7199</v>
      </c>
    </row>
    <row r="1862">
      <c r="A1862" s="7" t="s">
        <v>13</v>
      </c>
      <c r="B1862" s="18" t="s">
        <v>13</v>
      </c>
      <c r="C1862" s="3" t="s">
        <v>7199</v>
      </c>
    </row>
    <row r="1863">
      <c r="A1863" s="7" t="s">
        <v>13</v>
      </c>
      <c r="B1863" s="18" t="s">
        <v>13</v>
      </c>
      <c r="C1863" s="3" t="s">
        <v>7199</v>
      </c>
    </row>
    <row r="1864">
      <c r="A1864" s="7" t="s">
        <v>13</v>
      </c>
      <c r="B1864" s="18" t="s">
        <v>13</v>
      </c>
      <c r="C1864" s="3" t="s">
        <v>7199</v>
      </c>
    </row>
    <row r="1865">
      <c r="A1865" s="7" t="s">
        <v>13</v>
      </c>
      <c r="B1865" s="18" t="s">
        <v>13</v>
      </c>
      <c r="C1865" s="3" t="s">
        <v>7199</v>
      </c>
    </row>
    <row r="1866">
      <c r="A1866" s="7" t="s">
        <v>13</v>
      </c>
      <c r="B1866" s="18" t="s">
        <v>13</v>
      </c>
      <c r="C1866" s="3" t="s">
        <v>7199</v>
      </c>
    </row>
    <row r="1867">
      <c r="A1867" s="7" t="s">
        <v>13</v>
      </c>
      <c r="B1867" s="18" t="s">
        <v>13</v>
      </c>
      <c r="C1867" s="3" t="s">
        <v>7199</v>
      </c>
    </row>
    <row r="1868">
      <c r="A1868" s="7" t="s">
        <v>13</v>
      </c>
      <c r="B1868" s="18" t="s">
        <v>13</v>
      </c>
      <c r="C1868" s="3" t="s">
        <v>7199</v>
      </c>
    </row>
    <row r="1869">
      <c r="A1869" s="7" t="s">
        <v>13</v>
      </c>
      <c r="B1869" s="18" t="s">
        <v>13</v>
      </c>
      <c r="C1869" s="3" t="s">
        <v>7199</v>
      </c>
    </row>
    <row r="1870">
      <c r="A1870" s="7" t="s">
        <v>13</v>
      </c>
      <c r="B1870" s="18" t="s">
        <v>13</v>
      </c>
      <c r="C1870" s="3" t="s">
        <v>7199</v>
      </c>
    </row>
    <row r="1871">
      <c r="A1871" s="7" t="s">
        <v>13</v>
      </c>
      <c r="B1871" s="18" t="s">
        <v>13</v>
      </c>
      <c r="C1871" s="3" t="s">
        <v>7199</v>
      </c>
    </row>
    <row r="1872">
      <c r="A1872" s="7" t="s">
        <v>13</v>
      </c>
      <c r="B1872" s="18" t="s">
        <v>13</v>
      </c>
      <c r="C1872" s="3" t="s">
        <v>7199</v>
      </c>
    </row>
    <row r="1873">
      <c r="A1873" s="7" t="s">
        <v>13</v>
      </c>
      <c r="B1873" s="18" t="s">
        <v>13</v>
      </c>
      <c r="C1873" s="3" t="s">
        <v>7199</v>
      </c>
    </row>
    <row r="1874">
      <c r="A1874" s="7" t="s">
        <v>13</v>
      </c>
      <c r="B1874" s="18" t="s">
        <v>13</v>
      </c>
      <c r="C1874" s="3" t="s">
        <v>7199</v>
      </c>
    </row>
    <row r="1875">
      <c r="A1875" s="7" t="s">
        <v>13</v>
      </c>
      <c r="B1875" s="18" t="s">
        <v>13</v>
      </c>
      <c r="C1875" s="3" t="s">
        <v>7199</v>
      </c>
    </row>
    <row r="1876">
      <c r="A1876" s="7" t="s">
        <v>13</v>
      </c>
      <c r="B1876" s="18" t="s">
        <v>13</v>
      </c>
      <c r="C1876" s="3" t="s">
        <v>7199</v>
      </c>
    </row>
    <row r="1877">
      <c r="A1877" s="7" t="s">
        <v>13</v>
      </c>
      <c r="B1877" s="18" t="s">
        <v>13</v>
      </c>
      <c r="C1877" s="3" t="s">
        <v>7199</v>
      </c>
    </row>
    <row r="1878">
      <c r="A1878" s="7" t="s">
        <v>13</v>
      </c>
      <c r="B1878" s="18" t="s">
        <v>13</v>
      </c>
      <c r="C1878" s="3" t="s">
        <v>7199</v>
      </c>
    </row>
    <row r="1879">
      <c r="A1879" s="7" t="s">
        <v>13</v>
      </c>
      <c r="B1879" s="18" t="s">
        <v>13</v>
      </c>
      <c r="C1879" s="3" t="s">
        <v>7199</v>
      </c>
    </row>
    <row r="1880">
      <c r="A1880" s="7" t="s">
        <v>13</v>
      </c>
      <c r="B1880" s="18" t="s">
        <v>13</v>
      </c>
      <c r="C1880" s="3" t="s">
        <v>7199</v>
      </c>
    </row>
    <row r="1881">
      <c r="A1881" s="7" t="s">
        <v>13</v>
      </c>
      <c r="B1881" s="18" t="s">
        <v>13</v>
      </c>
      <c r="C1881" s="3" t="s">
        <v>7199</v>
      </c>
    </row>
    <row r="1882">
      <c r="A1882" s="7" t="s">
        <v>13</v>
      </c>
      <c r="B1882" s="18" t="s">
        <v>13</v>
      </c>
      <c r="C1882" s="3" t="s">
        <v>7199</v>
      </c>
    </row>
    <row r="1883">
      <c r="A1883" s="7" t="s">
        <v>13</v>
      </c>
      <c r="B1883" s="18" t="s">
        <v>13</v>
      </c>
      <c r="C1883" s="3" t="s">
        <v>7199</v>
      </c>
    </row>
    <row r="1884">
      <c r="A1884" s="7" t="s">
        <v>13</v>
      </c>
      <c r="B1884" s="18" t="s">
        <v>13</v>
      </c>
      <c r="C1884" s="3" t="s">
        <v>7199</v>
      </c>
    </row>
    <row r="1885">
      <c r="A1885" s="7" t="s">
        <v>13</v>
      </c>
      <c r="B1885" s="18" t="s">
        <v>13</v>
      </c>
      <c r="C1885" s="3" t="s">
        <v>7199</v>
      </c>
    </row>
    <row r="1886">
      <c r="A1886" s="7" t="s">
        <v>13</v>
      </c>
      <c r="B1886" s="18" t="s">
        <v>13</v>
      </c>
      <c r="C1886" s="3" t="s">
        <v>7199</v>
      </c>
    </row>
    <row r="1887">
      <c r="A1887" s="7" t="s">
        <v>13</v>
      </c>
      <c r="B1887" s="18" t="s">
        <v>13</v>
      </c>
      <c r="C1887" s="3" t="s">
        <v>7199</v>
      </c>
    </row>
    <row r="1888">
      <c r="A1888" s="7" t="s">
        <v>13</v>
      </c>
      <c r="B1888" s="18" t="s">
        <v>13</v>
      </c>
      <c r="C1888" s="3" t="s">
        <v>7199</v>
      </c>
    </row>
    <row r="1889">
      <c r="A1889" s="7" t="s">
        <v>13</v>
      </c>
      <c r="B1889" s="18" t="s">
        <v>13</v>
      </c>
      <c r="C1889" s="3" t="s">
        <v>7199</v>
      </c>
    </row>
    <row r="1890">
      <c r="A1890" s="7" t="s">
        <v>13</v>
      </c>
      <c r="B1890" s="18" t="s">
        <v>13</v>
      </c>
      <c r="C1890" s="3" t="s">
        <v>7199</v>
      </c>
    </row>
    <row r="1891">
      <c r="A1891" s="7" t="s">
        <v>13</v>
      </c>
      <c r="B1891" s="18" t="s">
        <v>13</v>
      </c>
      <c r="C1891" s="3" t="s">
        <v>7199</v>
      </c>
    </row>
    <row r="1892">
      <c r="A1892" s="7" t="s">
        <v>13</v>
      </c>
      <c r="B1892" s="18" t="s">
        <v>13</v>
      </c>
      <c r="C1892" s="3" t="s">
        <v>7199</v>
      </c>
    </row>
    <row r="1893">
      <c r="A1893" s="7" t="s">
        <v>13</v>
      </c>
      <c r="B1893" s="18" t="s">
        <v>13</v>
      </c>
      <c r="C1893" s="3" t="s">
        <v>7199</v>
      </c>
    </row>
    <row r="1894">
      <c r="A1894" s="7" t="s">
        <v>13</v>
      </c>
      <c r="B1894" s="18" t="s">
        <v>13</v>
      </c>
      <c r="C1894" s="3" t="s">
        <v>7199</v>
      </c>
    </row>
    <row r="1895">
      <c r="A1895" s="7" t="s">
        <v>13</v>
      </c>
      <c r="B1895" s="18" t="s">
        <v>13</v>
      </c>
      <c r="C1895" s="3" t="s">
        <v>7199</v>
      </c>
    </row>
    <row r="1896">
      <c r="A1896" s="7" t="s">
        <v>13</v>
      </c>
      <c r="B1896" s="18" t="s">
        <v>13</v>
      </c>
      <c r="C1896" s="3" t="s">
        <v>7199</v>
      </c>
    </row>
    <row r="1897">
      <c r="A1897" s="7" t="s">
        <v>13</v>
      </c>
      <c r="B1897" s="18" t="s">
        <v>13</v>
      </c>
      <c r="C1897" s="3" t="s">
        <v>7199</v>
      </c>
    </row>
    <row r="1898">
      <c r="A1898" s="7" t="s">
        <v>13</v>
      </c>
      <c r="B1898" s="18" t="s">
        <v>13</v>
      </c>
      <c r="C1898" s="3" t="s">
        <v>7199</v>
      </c>
    </row>
    <row r="1899">
      <c r="A1899" s="7" t="s">
        <v>13</v>
      </c>
      <c r="B1899" s="18" t="s">
        <v>13</v>
      </c>
      <c r="C1899" s="3" t="s">
        <v>7199</v>
      </c>
    </row>
    <row r="1900">
      <c r="A1900" s="7" t="s">
        <v>13</v>
      </c>
      <c r="B1900" s="18" t="s">
        <v>13</v>
      </c>
      <c r="C1900" s="3" t="s">
        <v>7199</v>
      </c>
    </row>
    <row r="1901">
      <c r="A1901" s="7" t="s">
        <v>13</v>
      </c>
      <c r="B1901" s="18" t="s">
        <v>13</v>
      </c>
      <c r="C1901" s="3" t="s">
        <v>7199</v>
      </c>
    </row>
    <row r="1902">
      <c r="A1902" s="7" t="s">
        <v>13</v>
      </c>
      <c r="B1902" s="18" t="s">
        <v>13</v>
      </c>
      <c r="C1902" s="3" t="s">
        <v>7199</v>
      </c>
    </row>
    <row r="1903">
      <c r="A1903" s="7" t="s">
        <v>13</v>
      </c>
      <c r="B1903" s="18" t="s">
        <v>13</v>
      </c>
      <c r="C1903" s="3" t="s">
        <v>7199</v>
      </c>
    </row>
    <row r="1904">
      <c r="A1904" s="7" t="s">
        <v>13</v>
      </c>
      <c r="B1904" s="18" t="s">
        <v>13</v>
      </c>
      <c r="C1904" s="3" t="s">
        <v>7199</v>
      </c>
    </row>
    <row r="1905">
      <c r="A1905" s="7" t="s">
        <v>13</v>
      </c>
      <c r="B1905" s="18" t="s">
        <v>13</v>
      </c>
      <c r="C1905" s="3" t="s">
        <v>7199</v>
      </c>
    </row>
    <row r="1906">
      <c r="A1906" s="7" t="s">
        <v>13</v>
      </c>
      <c r="B1906" s="18" t="s">
        <v>13</v>
      </c>
      <c r="C1906" s="3" t="s">
        <v>7199</v>
      </c>
    </row>
    <row r="1907">
      <c r="A1907" s="7" t="s">
        <v>13</v>
      </c>
      <c r="B1907" s="18" t="s">
        <v>13</v>
      </c>
      <c r="C1907" s="3" t="s">
        <v>7199</v>
      </c>
    </row>
    <row r="1908">
      <c r="A1908" s="7" t="s">
        <v>13</v>
      </c>
      <c r="B1908" s="18" t="s">
        <v>13</v>
      </c>
      <c r="C1908" s="3" t="s">
        <v>7199</v>
      </c>
    </row>
    <row r="1909">
      <c r="A1909" s="7" t="s">
        <v>13</v>
      </c>
      <c r="B1909" s="18" t="s">
        <v>13</v>
      </c>
      <c r="C1909" s="3" t="s">
        <v>7199</v>
      </c>
    </row>
    <row r="1910">
      <c r="A1910" s="7" t="s">
        <v>13</v>
      </c>
      <c r="B1910" s="18" t="s">
        <v>13</v>
      </c>
      <c r="C1910" s="3" t="s">
        <v>7199</v>
      </c>
    </row>
    <row r="1911">
      <c r="A1911" s="7" t="s">
        <v>13</v>
      </c>
      <c r="B1911" s="18" t="s">
        <v>13</v>
      </c>
      <c r="C1911" s="3" t="s">
        <v>7199</v>
      </c>
    </row>
    <row r="1912">
      <c r="A1912" s="7" t="s">
        <v>13</v>
      </c>
      <c r="B1912" s="18" t="s">
        <v>13</v>
      </c>
      <c r="C1912" s="3" t="s">
        <v>7199</v>
      </c>
    </row>
    <row r="1913">
      <c r="A1913" s="7" t="s">
        <v>13</v>
      </c>
      <c r="B1913" s="18" t="s">
        <v>13</v>
      </c>
      <c r="C1913" s="3" t="s">
        <v>7199</v>
      </c>
    </row>
    <row r="1914">
      <c r="A1914" s="7" t="s">
        <v>13</v>
      </c>
      <c r="B1914" s="18" t="s">
        <v>13</v>
      </c>
      <c r="C1914" s="3" t="s">
        <v>7199</v>
      </c>
    </row>
    <row r="1915">
      <c r="A1915" s="7" t="s">
        <v>13</v>
      </c>
      <c r="B1915" s="18" t="s">
        <v>13</v>
      </c>
      <c r="C1915" s="3" t="s">
        <v>7199</v>
      </c>
    </row>
    <row r="1916">
      <c r="A1916" s="7" t="s">
        <v>13</v>
      </c>
      <c r="B1916" s="18" t="s">
        <v>13</v>
      </c>
      <c r="C1916" s="3" t="s">
        <v>7199</v>
      </c>
    </row>
    <row r="1917">
      <c r="A1917" s="7" t="s">
        <v>13</v>
      </c>
      <c r="B1917" s="18" t="s">
        <v>13</v>
      </c>
      <c r="C1917" s="3" t="s">
        <v>7199</v>
      </c>
    </row>
    <row r="1918">
      <c r="A1918" s="7" t="s">
        <v>13</v>
      </c>
      <c r="B1918" s="18" t="s">
        <v>13</v>
      </c>
      <c r="C1918" s="3" t="s">
        <v>7199</v>
      </c>
    </row>
    <row r="1919">
      <c r="A1919" s="7" t="s">
        <v>13</v>
      </c>
      <c r="B1919" s="18" t="s">
        <v>13</v>
      </c>
      <c r="C1919" s="3" t="s">
        <v>7199</v>
      </c>
    </row>
    <row r="1920">
      <c r="A1920" s="7" t="s">
        <v>13</v>
      </c>
      <c r="B1920" s="18" t="s">
        <v>13</v>
      </c>
      <c r="C1920" s="3" t="s">
        <v>7199</v>
      </c>
    </row>
    <row r="1921">
      <c r="A1921" s="7" t="s">
        <v>13</v>
      </c>
      <c r="B1921" s="18" t="s">
        <v>13</v>
      </c>
      <c r="C1921" s="3" t="s">
        <v>7199</v>
      </c>
    </row>
    <row r="1922">
      <c r="A1922" s="7" t="s">
        <v>13</v>
      </c>
      <c r="B1922" s="18" t="s">
        <v>13</v>
      </c>
      <c r="C1922" s="3" t="s">
        <v>7199</v>
      </c>
    </row>
    <row r="1923">
      <c r="A1923" s="7" t="s">
        <v>13</v>
      </c>
      <c r="B1923" s="18" t="s">
        <v>13</v>
      </c>
      <c r="C1923" s="3" t="s">
        <v>7199</v>
      </c>
    </row>
    <row r="1924">
      <c r="A1924" s="7" t="s">
        <v>13</v>
      </c>
      <c r="B1924" s="18" t="s">
        <v>13</v>
      </c>
      <c r="C1924" s="3" t="s">
        <v>7199</v>
      </c>
    </row>
    <row r="1925">
      <c r="A1925" s="7" t="s">
        <v>13</v>
      </c>
      <c r="B1925" s="18" t="s">
        <v>13</v>
      </c>
      <c r="C1925" s="3" t="s">
        <v>7199</v>
      </c>
    </row>
    <row r="1926">
      <c r="A1926" s="7" t="s">
        <v>13</v>
      </c>
      <c r="B1926" s="18" t="s">
        <v>13</v>
      </c>
      <c r="C1926" s="3" t="s">
        <v>7199</v>
      </c>
    </row>
    <row r="1927">
      <c r="A1927" s="7" t="s">
        <v>13</v>
      </c>
      <c r="B1927" s="18" t="s">
        <v>13</v>
      </c>
      <c r="C1927" s="3" t="s">
        <v>7199</v>
      </c>
    </row>
    <row r="1928">
      <c r="A1928" s="7" t="s">
        <v>13</v>
      </c>
      <c r="B1928" s="18" t="s">
        <v>13</v>
      </c>
      <c r="C1928" s="3" t="s">
        <v>7199</v>
      </c>
    </row>
    <row r="1929">
      <c r="A1929" s="7" t="s">
        <v>13</v>
      </c>
      <c r="B1929" s="18" t="s">
        <v>13</v>
      </c>
      <c r="C1929" s="3" t="s">
        <v>7199</v>
      </c>
    </row>
    <row r="1930">
      <c r="A1930" s="7" t="s">
        <v>13</v>
      </c>
      <c r="B1930" s="18" t="s">
        <v>13</v>
      </c>
      <c r="C1930" s="3" t="s">
        <v>7199</v>
      </c>
    </row>
    <row r="1931">
      <c r="A1931" s="7" t="s">
        <v>13</v>
      </c>
      <c r="B1931" s="18" t="s">
        <v>13</v>
      </c>
      <c r="C1931" s="3" t="s">
        <v>7199</v>
      </c>
    </row>
    <row r="1932">
      <c r="A1932" s="7" t="s">
        <v>13</v>
      </c>
      <c r="B1932" s="18" t="s">
        <v>13</v>
      </c>
      <c r="C1932" s="3" t="s">
        <v>7199</v>
      </c>
    </row>
    <row r="1933">
      <c r="A1933" s="7" t="s">
        <v>13</v>
      </c>
      <c r="B1933" s="18" t="s">
        <v>13</v>
      </c>
      <c r="C1933" s="3" t="s">
        <v>7199</v>
      </c>
    </row>
    <row r="1934">
      <c r="A1934" s="7" t="s">
        <v>13</v>
      </c>
      <c r="B1934" s="18" t="s">
        <v>13</v>
      </c>
      <c r="C1934" s="3" t="s">
        <v>7199</v>
      </c>
    </row>
    <row r="1935">
      <c r="A1935" s="7" t="s">
        <v>13</v>
      </c>
      <c r="B1935" s="18" t="s">
        <v>13</v>
      </c>
      <c r="C1935" s="3" t="s">
        <v>7199</v>
      </c>
    </row>
    <row r="1936">
      <c r="A1936" s="7" t="s">
        <v>13</v>
      </c>
      <c r="B1936" s="18" t="s">
        <v>13</v>
      </c>
      <c r="C1936" s="3" t="s">
        <v>7199</v>
      </c>
    </row>
    <row r="1937">
      <c r="A1937" s="7" t="s">
        <v>13</v>
      </c>
      <c r="B1937" s="18" t="s">
        <v>13</v>
      </c>
      <c r="C1937" s="3" t="s">
        <v>7199</v>
      </c>
    </row>
    <row r="1938">
      <c r="A1938" s="7" t="s">
        <v>13</v>
      </c>
      <c r="B1938" s="18" t="s">
        <v>13</v>
      </c>
      <c r="C1938" s="3" t="s">
        <v>7199</v>
      </c>
    </row>
    <row r="1939">
      <c r="A1939" s="7" t="s">
        <v>13</v>
      </c>
      <c r="B1939" s="18" t="s">
        <v>13</v>
      </c>
      <c r="C1939" s="3" t="s">
        <v>7199</v>
      </c>
    </row>
    <row r="1940">
      <c r="A1940" s="7" t="s">
        <v>13</v>
      </c>
      <c r="B1940" s="18" t="s">
        <v>13</v>
      </c>
      <c r="C1940" s="3" t="s">
        <v>7199</v>
      </c>
    </row>
    <row r="1941">
      <c r="A1941" s="7" t="s">
        <v>13</v>
      </c>
      <c r="B1941" s="18" t="s">
        <v>13</v>
      </c>
      <c r="C1941" s="3" t="s">
        <v>7199</v>
      </c>
    </row>
    <row r="1942">
      <c r="A1942" s="7" t="s">
        <v>13</v>
      </c>
      <c r="B1942" s="18" t="s">
        <v>13</v>
      </c>
      <c r="C1942" s="3" t="s">
        <v>7199</v>
      </c>
    </row>
    <row r="1943">
      <c r="A1943" s="7" t="s">
        <v>13</v>
      </c>
      <c r="B1943" s="18" t="s">
        <v>13</v>
      </c>
      <c r="C1943" s="3" t="s">
        <v>7199</v>
      </c>
    </row>
    <row r="1944">
      <c r="A1944" s="7" t="s">
        <v>13</v>
      </c>
      <c r="B1944" s="18" t="s">
        <v>13</v>
      </c>
      <c r="C1944" s="3" t="s">
        <v>7199</v>
      </c>
    </row>
    <row r="1945">
      <c r="A1945" s="7" t="s">
        <v>13</v>
      </c>
      <c r="B1945" s="18" t="s">
        <v>13</v>
      </c>
      <c r="C1945" s="3" t="s">
        <v>7199</v>
      </c>
    </row>
    <row r="1946">
      <c r="A1946" s="7" t="s">
        <v>13</v>
      </c>
      <c r="B1946" s="18" t="s">
        <v>13</v>
      </c>
      <c r="C1946" s="3" t="s">
        <v>7199</v>
      </c>
    </row>
    <row r="1947">
      <c r="A1947" s="7" t="s">
        <v>13</v>
      </c>
      <c r="B1947" s="18" t="s">
        <v>13</v>
      </c>
      <c r="C1947" s="3" t="s">
        <v>7199</v>
      </c>
    </row>
    <row r="1948">
      <c r="A1948" s="7" t="s">
        <v>13</v>
      </c>
      <c r="B1948" s="18" t="s">
        <v>13</v>
      </c>
      <c r="C1948" s="3" t="s">
        <v>7199</v>
      </c>
    </row>
    <row r="1949">
      <c r="A1949" s="7" t="s">
        <v>13</v>
      </c>
      <c r="B1949" s="18" t="s">
        <v>13</v>
      </c>
      <c r="C1949" s="3" t="s">
        <v>7199</v>
      </c>
    </row>
    <row r="1950">
      <c r="A1950" s="7" t="s">
        <v>13</v>
      </c>
      <c r="B1950" s="18" t="s">
        <v>13</v>
      </c>
      <c r="C1950" s="3" t="s">
        <v>7199</v>
      </c>
    </row>
    <row r="1951">
      <c r="A1951" s="7" t="s">
        <v>13</v>
      </c>
      <c r="B1951" s="18" t="s">
        <v>13</v>
      </c>
      <c r="C1951" s="3" t="s">
        <v>7199</v>
      </c>
    </row>
    <row r="1952">
      <c r="A1952" s="7" t="s">
        <v>13</v>
      </c>
      <c r="B1952" s="18" t="s">
        <v>13</v>
      </c>
      <c r="C1952" s="3" t="s">
        <v>7199</v>
      </c>
    </row>
    <row r="1953">
      <c r="A1953" s="7" t="s">
        <v>13</v>
      </c>
      <c r="B1953" s="18" t="s">
        <v>13</v>
      </c>
      <c r="C1953" s="3" t="s">
        <v>7199</v>
      </c>
    </row>
    <row r="1954">
      <c r="A1954" s="7" t="s">
        <v>13</v>
      </c>
      <c r="B1954" s="18" t="s">
        <v>13</v>
      </c>
      <c r="C1954" s="3" t="s">
        <v>7199</v>
      </c>
    </row>
    <row r="1955">
      <c r="A1955" s="7" t="s">
        <v>13</v>
      </c>
      <c r="B1955" s="18" t="s">
        <v>13</v>
      </c>
      <c r="C1955" s="3" t="s">
        <v>7199</v>
      </c>
    </row>
    <row r="1956">
      <c r="A1956" s="7" t="s">
        <v>13</v>
      </c>
      <c r="B1956" s="18" t="s">
        <v>13</v>
      </c>
      <c r="C1956" s="3" t="s">
        <v>7199</v>
      </c>
    </row>
    <row r="1957">
      <c r="A1957" s="7" t="s">
        <v>13</v>
      </c>
      <c r="B1957" s="18" t="s">
        <v>13</v>
      </c>
      <c r="C1957" s="3" t="s">
        <v>7199</v>
      </c>
    </row>
    <row r="1958">
      <c r="A1958" s="7" t="s">
        <v>13</v>
      </c>
      <c r="B1958" s="18" t="s">
        <v>13</v>
      </c>
      <c r="C1958" s="3" t="s">
        <v>7199</v>
      </c>
    </row>
    <row r="1959">
      <c r="A1959" s="7" t="s">
        <v>13</v>
      </c>
      <c r="B1959" s="18" t="s">
        <v>13</v>
      </c>
      <c r="C1959" s="3" t="s">
        <v>7199</v>
      </c>
    </row>
    <row r="1960">
      <c r="A1960" s="7" t="s">
        <v>13</v>
      </c>
      <c r="B1960" s="18" t="s">
        <v>13</v>
      </c>
      <c r="C1960" s="3" t="s">
        <v>7199</v>
      </c>
    </row>
    <row r="1961">
      <c r="A1961" s="7" t="s">
        <v>13</v>
      </c>
      <c r="B1961" s="18" t="s">
        <v>13</v>
      </c>
      <c r="C1961" s="3" t="s">
        <v>7199</v>
      </c>
    </row>
    <row r="1962">
      <c r="A1962" s="7" t="s">
        <v>13</v>
      </c>
      <c r="B1962" s="18" t="s">
        <v>13</v>
      </c>
      <c r="C1962" s="3" t="s">
        <v>7199</v>
      </c>
    </row>
    <row r="1963">
      <c r="A1963" s="7" t="s">
        <v>13</v>
      </c>
      <c r="B1963" s="18" t="s">
        <v>13</v>
      </c>
      <c r="C1963" s="3" t="s">
        <v>7199</v>
      </c>
    </row>
    <row r="1964">
      <c r="A1964" s="7" t="s">
        <v>13</v>
      </c>
      <c r="B1964" s="18" t="s">
        <v>13</v>
      </c>
      <c r="C1964" s="3" t="s">
        <v>7199</v>
      </c>
    </row>
    <row r="1965">
      <c r="A1965" s="7" t="s">
        <v>13</v>
      </c>
      <c r="B1965" s="18" t="s">
        <v>13</v>
      </c>
      <c r="C1965" s="3" t="s">
        <v>7199</v>
      </c>
    </row>
    <row r="1966">
      <c r="A1966" s="7" t="s">
        <v>13</v>
      </c>
      <c r="B1966" s="18" t="s">
        <v>13</v>
      </c>
      <c r="C1966" s="3" t="s">
        <v>7199</v>
      </c>
    </row>
    <row r="1967">
      <c r="A1967" s="7" t="s">
        <v>13</v>
      </c>
      <c r="B1967" s="18" t="s">
        <v>13</v>
      </c>
      <c r="C1967" s="3" t="s">
        <v>7199</v>
      </c>
    </row>
    <row r="1968">
      <c r="A1968" s="7" t="s">
        <v>13</v>
      </c>
      <c r="B1968" s="18" t="s">
        <v>13</v>
      </c>
      <c r="C1968" s="3" t="s">
        <v>7199</v>
      </c>
    </row>
    <row r="1969">
      <c r="A1969" s="7" t="s">
        <v>13</v>
      </c>
      <c r="B1969" s="18" t="s">
        <v>13</v>
      </c>
      <c r="C1969" s="3" t="s">
        <v>7199</v>
      </c>
    </row>
    <row r="1970">
      <c r="A1970" s="7" t="s">
        <v>13</v>
      </c>
      <c r="B1970" s="18" t="s">
        <v>13</v>
      </c>
      <c r="C1970" s="3" t="s">
        <v>7199</v>
      </c>
    </row>
    <row r="1971">
      <c r="A1971" s="7" t="s">
        <v>13</v>
      </c>
      <c r="B1971" s="18" t="s">
        <v>13</v>
      </c>
      <c r="C1971" s="3" t="s">
        <v>7199</v>
      </c>
    </row>
    <row r="1972">
      <c r="A1972" s="7" t="s">
        <v>13</v>
      </c>
      <c r="B1972" s="18" t="s">
        <v>13</v>
      </c>
      <c r="C1972" s="3" t="s">
        <v>7199</v>
      </c>
    </row>
    <row r="1973">
      <c r="A1973" s="7" t="s">
        <v>13</v>
      </c>
      <c r="B1973" s="18" t="s">
        <v>13</v>
      </c>
      <c r="C1973" s="3" t="s">
        <v>7199</v>
      </c>
    </row>
    <row r="1974">
      <c r="A1974" s="7" t="s">
        <v>13</v>
      </c>
      <c r="B1974" s="18" t="s">
        <v>13</v>
      </c>
      <c r="C1974" s="3" t="s">
        <v>7199</v>
      </c>
    </row>
    <row r="1975">
      <c r="A1975" s="7" t="s">
        <v>13</v>
      </c>
      <c r="B1975" s="18" t="s">
        <v>13</v>
      </c>
      <c r="C1975" s="3" t="s">
        <v>7199</v>
      </c>
    </row>
    <row r="1976">
      <c r="A1976" s="7" t="s">
        <v>13</v>
      </c>
      <c r="B1976" s="18" t="s">
        <v>13</v>
      </c>
      <c r="C1976" s="3" t="s">
        <v>7199</v>
      </c>
    </row>
    <row r="1977">
      <c r="A1977" s="7" t="s">
        <v>13</v>
      </c>
      <c r="B1977" s="18" t="s">
        <v>13</v>
      </c>
      <c r="C1977" s="3" t="s">
        <v>7199</v>
      </c>
    </row>
    <row r="1978">
      <c r="A1978" s="7" t="s">
        <v>13</v>
      </c>
      <c r="B1978" s="18" t="s">
        <v>13</v>
      </c>
      <c r="C1978" s="3" t="s">
        <v>7199</v>
      </c>
    </row>
    <row r="1979">
      <c r="A1979" s="7" t="s">
        <v>13</v>
      </c>
      <c r="B1979" s="18" t="s">
        <v>13</v>
      </c>
      <c r="C1979" s="3" t="s">
        <v>7199</v>
      </c>
    </row>
    <row r="1980">
      <c r="A1980" s="7" t="s">
        <v>13</v>
      </c>
      <c r="B1980" s="18" t="s">
        <v>13</v>
      </c>
      <c r="C1980" s="3" t="s">
        <v>7199</v>
      </c>
    </row>
    <row r="1981">
      <c r="A1981" s="7" t="s">
        <v>13</v>
      </c>
      <c r="B1981" s="18" t="s">
        <v>13</v>
      </c>
      <c r="C1981" s="3" t="s">
        <v>7199</v>
      </c>
    </row>
    <row r="1982">
      <c r="A1982" s="7" t="s">
        <v>13</v>
      </c>
      <c r="B1982" s="18" t="s">
        <v>13</v>
      </c>
      <c r="C1982" s="3" t="s">
        <v>7199</v>
      </c>
    </row>
    <row r="1983">
      <c r="A1983" s="7" t="s">
        <v>13</v>
      </c>
      <c r="B1983" s="18" t="s">
        <v>13</v>
      </c>
      <c r="C1983" s="3" t="s">
        <v>7199</v>
      </c>
    </row>
    <row r="1984">
      <c r="A1984" s="7" t="s">
        <v>13</v>
      </c>
      <c r="B1984" s="18" t="s">
        <v>13</v>
      </c>
      <c r="C1984" s="3" t="s">
        <v>7199</v>
      </c>
    </row>
    <row r="1985">
      <c r="A1985" s="7" t="s">
        <v>13</v>
      </c>
      <c r="B1985" s="18" t="s">
        <v>13</v>
      </c>
      <c r="C1985" s="3" t="s">
        <v>7199</v>
      </c>
    </row>
    <row r="1986">
      <c r="A1986" s="7" t="s">
        <v>13</v>
      </c>
      <c r="B1986" s="18" t="s">
        <v>13</v>
      </c>
      <c r="C1986" s="3" t="s">
        <v>7199</v>
      </c>
    </row>
    <row r="1987">
      <c r="A1987" s="7" t="s">
        <v>13</v>
      </c>
      <c r="B1987" s="18" t="s">
        <v>13</v>
      </c>
      <c r="C1987" s="3" t="s">
        <v>7199</v>
      </c>
    </row>
    <row r="1988">
      <c r="A1988" s="7" t="s">
        <v>13</v>
      </c>
      <c r="B1988" s="18" t="s">
        <v>13</v>
      </c>
      <c r="C1988" s="3" t="s">
        <v>7199</v>
      </c>
    </row>
    <row r="1989">
      <c r="A1989" s="7" t="s">
        <v>13</v>
      </c>
      <c r="B1989" s="18" t="s">
        <v>13</v>
      </c>
      <c r="C1989" s="3" t="s">
        <v>7199</v>
      </c>
    </row>
    <row r="1990">
      <c r="A1990" s="7" t="s">
        <v>13</v>
      </c>
      <c r="B1990" s="18" t="s">
        <v>13</v>
      </c>
      <c r="C1990" s="3" t="s">
        <v>7199</v>
      </c>
    </row>
    <row r="1991">
      <c r="A1991" s="7" t="s">
        <v>13</v>
      </c>
      <c r="B1991" s="18" t="s">
        <v>13</v>
      </c>
      <c r="C1991" s="3" t="s">
        <v>7199</v>
      </c>
    </row>
    <row r="1992">
      <c r="A1992" s="7" t="s">
        <v>13</v>
      </c>
      <c r="B1992" s="18" t="s">
        <v>13</v>
      </c>
      <c r="C1992" s="3" t="s">
        <v>7199</v>
      </c>
    </row>
    <row r="1993">
      <c r="A1993" s="7" t="s">
        <v>13</v>
      </c>
      <c r="B1993" s="18" t="s">
        <v>13</v>
      </c>
      <c r="C1993" s="3" t="s">
        <v>7199</v>
      </c>
    </row>
    <row r="1994">
      <c r="A1994" s="7" t="s">
        <v>13</v>
      </c>
      <c r="B1994" s="18" t="s">
        <v>13</v>
      </c>
      <c r="C1994" s="3" t="s">
        <v>7199</v>
      </c>
    </row>
    <row r="1995">
      <c r="A1995" s="7" t="s">
        <v>13</v>
      </c>
      <c r="B1995" s="18" t="s">
        <v>13</v>
      </c>
      <c r="C1995" s="3" t="s">
        <v>7199</v>
      </c>
    </row>
    <row r="1996">
      <c r="A1996" s="7" t="s">
        <v>13</v>
      </c>
      <c r="B1996" s="18" t="s">
        <v>13</v>
      </c>
      <c r="C1996" s="3" t="s">
        <v>7199</v>
      </c>
    </row>
    <row r="1997">
      <c r="A1997" s="7" t="s">
        <v>13</v>
      </c>
      <c r="B1997" s="18" t="s">
        <v>13</v>
      </c>
      <c r="C1997" s="3" t="s">
        <v>7199</v>
      </c>
    </row>
    <row r="1998">
      <c r="A1998" s="7" t="s">
        <v>13</v>
      </c>
      <c r="B1998" s="18" t="s">
        <v>13</v>
      </c>
      <c r="C1998" s="3" t="s">
        <v>7199</v>
      </c>
    </row>
    <row r="1999">
      <c r="A1999" s="7" t="s">
        <v>13</v>
      </c>
      <c r="B1999" s="18" t="s">
        <v>13</v>
      </c>
      <c r="C1999" s="3" t="s">
        <v>7199</v>
      </c>
    </row>
    <row r="2000">
      <c r="A2000" s="7" t="s">
        <v>13</v>
      </c>
      <c r="B2000" s="18" t="s">
        <v>13</v>
      </c>
      <c r="C2000" s="3" t="s">
        <v>7199</v>
      </c>
    </row>
    <row r="2001">
      <c r="B2001" s="18"/>
    </row>
    <row r="2002">
      <c r="B2002" s="18"/>
    </row>
    <row r="2003">
      <c r="B2003" s="18"/>
    </row>
    <row r="2004">
      <c r="B2004" s="18"/>
    </row>
    <row r="2005">
      <c r="B2005" s="18"/>
    </row>
    <row r="2006">
      <c r="B2006" s="18"/>
    </row>
    <row r="2007">
      <c r="B2007" s="18"/>
    </row>
    <row r="2008">
      <c r="B2008" s="18"/>
    </row>
    <row r="2009">
      <c r="B2009" s="18"/>
    </row>
    <row r="2010">
      <c r="B2010" s="18"/>
    </row>
    <row r="2011">
      <c r="B2011" s="18"/>
    </row>
    <row r="2012">
      <c r="B2012" s="18"/>
    </row>
    <row r="2013">
      <c r="B2013" s="18"/>
    </row>
    <row r="2014">
      <c r="B2014" s="18"/>
    </row>
    <row r="2015">
      <c r="B2015" s="18"/>
    </row>
    <row r="2016">
      <c r="B2016" s="18"/>
    </row>
    <row r="2017">
      <c r="B2017" s="18"/>
    </row>
    <row r="2018">
      <c r="B2018" s="18"/>
    </row>
    <row r="2019">
      <c r="B2019" s="18"/>
    </row>
    <row r="2020">
      <c r="B2020" s="18"/>
    </row>
    <row r="2021">
      <c r="B2021" s="18"/>
    </row>
    <row r="2022">
      <c r="B2022" s="18"/>
    </row>
    <row r="2023">
      <c r="B2023" s="18"/>
    </row>
    <row r="2024">
      <c r="B2024" s="18"/>
    </row>
    <row r="2025">
      <c r="B2025" s="18"/>
    </row>
    <row r="2026">
      <c r="B2026" s="18"/>
    </row>
    <row r="2027">
      <c r="B2027" s="18"/>
    </row>
    <row r="2028">
      <c r="B2028" s="18"/>
    </row>
    <row r="2029">
      <c r="B2029" s="18"/>
    </row>
    <row r="2030">
      <c r="B2030" s="18"/>
    </row>
    <row r="2031">
      <c r="B2031" s="18"/>
    </row>
    <row r="2032">
      <c r="B2032" s="18"/>
    </row>
    <row r="2033">
      <c r="B2033" s="18"/>
    </row>
    <row r="2034">
      <c r="B2034" s="18"/>
    </row>
    <row r="2035">
      <c r="B2035" s="18"/>
    </row>
    <row r="2036">
      <c r="B2036" s="18"/>
    </row>
    <row r="2037">
      <c r="B2037" s="18"/>
    </row>
    <row r="2038">
      <c r="B2038" s="18"/>
    </row>
    <row r="2039">
      <c r="B2039" s="18"/>
    </row>
    <row r="2040">
      <c r="B2040" s="18"/>
    </row>
    <row r="2041">
      <c r="B2041" s="18"/>
    </row>
    <row r="2042">
      <c r="B2042" s="18"/>
    </row>
    <row r="2043">
      <c r="B2043" s="18"/>
    </row>
    <row r="2044">
      <c r="B2044" s="18"/>
    </row>
    <row r="2045">
      <c r="B2045" s="18"/>
    </row>
    <row r="2046">
      <c r="B2046" s="18"/>
    </row>
    <row r="2047">
      <c r="B2047" s="18"/>
    </row>
    <row r="2048">
      <c r="B2048" s="18"/>
    </row>
    <row r="2049">
      <c r="B2049" s="18"/>
    </row>
    <row r="2050">
      <c r="B2050" s="18"/>
    </row>
    <row r="2051">
      <c r="B2051" s="18"/>
    </row>
    <row r="2052">
      <c r="B2052" s="18"/>
    </row>
    <row r="2053">
      <c r="B2053" s="18"/>
    </row>
    <row r="2054">
      <c r="B2054" s="18"/>
    </row>
    <row r="2055">
      <c r="B2055" s="18"/>
    </row>
    <row r="2056">
      <c r="B2056" s="18"/>
    </row>
    <row r="2057">
      <c r="B2057" s="18"/>
    </row>
    <row r="2058">
      <c r="B2058" s="18"/>
    </row>
    <row r="2059">
      <c r="B2059" s="18"/>
    </row>
    <row r="2060">
      <c r="B2060" s="18"/>
    </row>
    <row r="2061">
      <c r="B2061" s="18"/>
    </row>
    <row r="2062">
      <c r="B2062" s="18"/>
    </row>
    <row r="2063">
      <c r="B2063" s="18"/>
    </row>
    <row r="2064">
      <c r="B2064" s="18"/>
    </row>
    <row r="2065">
      <c r="B2065" s="18"/>
    </row>
    <row r="2066">
      <c r="B2066" s="18"/>
    </row>
    <row r="2067">
      <c r="B2067" s="18"/>
    </row>
    <row r="2068">
      <c r="B2068" s="18"/>
    </row>
    <row r="2069">
      <c r="B2069" s="18"/>
    </row>
    <row r="2070">
      <c r="B2070" s="18"/>
    </row>
    <row r="2071">
      <c r="B2071" s="18"/>
    </row>
    <row r="2072">
      <c r="B2072" s="18"/>
    </row>
    <row r="2073">
      <c r="B2073" s="18"/>
    </row>
    <row r="2074">
      <c r="B2074" s="18"/>
    </row>
    <row r="2075">
      <c r="B2075" s="18"/>
    </row>
    <row r="2076">
      <c r="B2076" s="18"/>
    </row>
    <row r="2077">
      <c r="B2077" s="18"/>
    </row>
    <row r="2078">
      <c r="B2078" s="18"/>
    </row>
    <row r="2079">
      <c r="B2079" s="18"/>
    </row>
    <row r="2080">
      <c r="B2080" s="18"/>
    </row>
    <row r="2081">
      <c r="B2081" s="18"/>
    </row>
    <row r="2082">
      <c r="B2082" s="18"/>
    </row>
    <row r="2083">
      <c r="B2083" s="18"/>
    </row>
    <row r="2084">
      <c r="B2084" s="18"/>
    </row>
    <row r="2085">
      <c r="B2085" s="18"/>
    </row>
    <row r="2086">
      <c r="B2086" s="18"/>
    </row>
    <row r="2087">
      <c r="B2087" s="18"/>
    </row>
    <row r="2088">
      <c r="B2088" s="18"/>
    </row>
    <row r="2089">
      <c r="B2089" s="18"/>
    </row>
    <row r="2090">
      <c r="B2090" s="18"/>
    </row>
    <row r="2091">
      <c r="B2091" s="18"/>
    </row>
    <row r="2092">
      <c r="B2092" s="18"/>
    </row>
    <row r="2093">
      <c r="B2093" s="18"/>
    </row>
    <row r="2094">
      <c r="B2094" s="18"/>
    </row>
    <row r="2095">
      <c r="B2095" s="18"/>
    </row>
    <row r="2096">
      <c r="B2096" s="18"/>
    </row>
    <row r="2097">
      <c r="B2097" s="18"/>
    </row>
    <row r="2098">
      <c r="B2098" s="18"/>
    </row>
    <row r="2099">
      <c r="B2099" s="18"/>
    </row>
    <row r="2100">
      <c r="B2100" s="18"/>
    </row>
    <row r="2101">
      <c r="B2101" s="18"/>
    </row>
    <row r="2102">
      <c r="B2102" s="18"/>
    </row>
    <row r="2103">
      <c r="B2103" s="18"/>
    </row>
    <row r="2104">
      <c r="B2104" s="18"/>
    </row>
    <row r="2105">
      <c r="B2105" s="18"/>
    </row>
    <row r="2106">
      <c r="B2106" s="18"/>
    </row>
    <row r="2107">
      <c r="B2107" s="18"/>
    </row>
    <row r="2108">
      <c r="B2108" s="18"/>
    </row>
    <row r="2109">
      <c r="B2109" s="18"/>
    </row>
    <row r="2110">
      <c r="B2110" s="18"/>
    </row>
    <row r="2111">
      <c r="B2111" s="18"/>
    </row>
    <row r="2112">
      <c r="B2112" s="18"/>
    </row>
    <row r="2113">
      <c r="B2113" s="18"/>
    </row>
    <row r="2114">
      <c r="B2114" s="18"/>
    </row>
    <row r="2115">
      <c r="B2115" s="18"/>
    </row>
    <row r="2116">
      <c r="B2116" s="18"/>
    </row>
    <row r="2117">
      <c r="B2117" s="18"/>
    </row>
    <row r="2118">
      <c r="B2118" s="18"/>
    </row>
    <row r="2119">
      <c r="B2119" s="18"/>
    </row>
    <row r="2120">
      <c r="B2120" s="18"/>
    </row>
    <row r="2121">
      <c r="B2121" s="18"/>
    </row>
    <row r="2122">
      <c r="B2122" s="18"/>
    </row>
    <row r="2123">
      <c r="B2123" s="18"/>
    </row>
    <row r="2124">
      <c r="B2124" s="18"/>
    </row>
    <row r="2125">
      <c r="B2125" s="18"/>
    </row>
    <row r="2126">
      <c r="B2126" s="18"/>
    </row>
    <row r="2127">
      <c r="B2127" s="18"/>
    </row>
    <row r="2128">
      <c r="B2128" s="18"/>
    </row>
    <row r="2129">
      <c r="B2129" s="18"/>
    </row>
    <row r="2130">
      <c r="B2130" s="18"/>
    </row>
    <row r="2131">
      <c r="B2131" s="18"/>
    </row>
    <row r="2132">
      <c r="B2132" s="18"/>
    </row>
    <row r="2133">
      <c r="B2133" s="18"/>
    </row>
    <row r="2134">
      <c r="B2134" s="18"/>
    </row>
    <row r="2135">
      <c r="B2135" s="18"/>
    </row>
    <row r="2136">
      <c r="B2136" s="18"/>
    </row>
    <row r="2137">
      <c r="B2137" s="18"/>
    </row>
    <row r="2138">
      <c r="B2138" s="18"/>
    </row>
    <row r="2139">
      <c r="B2139" s="18"/>
    </row>
    <row r="2140">
      <c r="B2140" s="18"/>
    </row>
    <row r="2141">
      <c r="B2141" s="18"/>
    </row>
    <row r="2142">
      <c r="B2142" s="18"/>
    </row>
    <row r="2143">
      <c r="B2143" s="18"/>
    </row>
    <row r="2144">
      <c r="B2144" s="18"/>
    </row>
    <row r="2145">
      <c r="B2145" s="18"/>
    </row>
    <row r="2146">
      <c r="B2146" s="18"/>
    </row>
    <row r="2147">
      <c r="B2147" s="18"/>
    </row>
    <row r="2148">
      <c r="B2148" s="18"/>
    </row>
    <row r="2149">
      <c r="B2149" s="18"/>
    </row>
    <row r="2150">
      <c r="B2150" s="18"/>
    </row>
    <row r="2151">
      <c r="B2151" s="18"/>
    </row>
    <row r="2152">
      <c r="B2152" s="18"/>
    </row>
    <row r="2153">
      <c r="B2153" s="18"/>
    </row>
    <row r="2154">
      <c r="B2154" s="18"/>
    </row>
    <row r="2155">
      <c r="B2155" s="18"/>
    </row>
    <row r="2156">
      <c r="B2156" s="18"/>
    </row>
    <row r="2157">
      <c r="B2157" s="18"/>
    </row>
    <row r="2158">
      <c r="B2158" s="18"/>
    </row>
    <row r="2159">
      <c r="B2159" s="18"/>
    </row>
    <row r="2160">
      <c r="B2160" s="18"/>
    </row>
    <row r="2161">
      <c r="B2161" s="18"/>
    </row>
    <row r="2162">
      <c r="B2162" s="18"/>
    </row>
    <row r="2163">
      <c r="B2163" s="18"/>
    </row>
    <row r="2164">
      <c r="B2164" s="18"/>
    </row>
    <row r="2165">
      <c r="B2165" s="18"/>
    </row>
    <row r="2166">
      <c r="B2166" s="18"/>
    </row>
    <row r="2167">
      <c r="B2167" s="18"/>
    </row>
    <row r="2168">
      <c r="B2168" s="18"/>
    </row>
    <row r="2169">
      <c r="B2169" s="18"/>
    </row>
    <row r="2170">
      <c r="B2170" s="18"/>
    </row>
    <row r="2171">
      <c r="B2171" s="18"/>
    </row>
    <row r="2172">
      <c r="B2172" s="18"/>
    </row>
    <row r="2173">
      <c r="B2173" s="18"/>
    </row>
    <row r="2174">
      <c r="B2174" s="18"/>
    </row>
    <row r="2175">
      <c r="B2175" s="18"/>
    </row>
    <row r="2176">
      <c r="B2176" s="18"/>
    </row>
    <row r="2177">
      <c r="B2177" s="18"/>
    </row>
    <row r="2178">
      <c r="B2178" s="18"/>
    </row>
    <row r="2179">
      <c r="B2179" s="18"/>
    </row>
    <row r="2180">
      <c r="B2180" s="18"/>
    </row>
    <row r="2181">
      <c r="B2181" s="18"/>
    </row>
    <row r="2182">
      <c r="B2182" s="18"/>
    </row>
    <row r="2183">
      <c r="B2183" s="18"/>
    </row>
    <row r="2184">
      <c r="B2184" s="18"/>
    </row>
    <row r="2185">
      <c r="B2185" s="18"/>
    </row>
    <row r="2186">
      <c r="B2186" s="18"/>
    </row>
    <row r="2187">
      <c r="B2187" s="18"/>
    </row>
    <row r="2188">
      <c r="B2188" s="18"/>
    </row>
    <row r="2189">
      <c r="B2189" s="18"/>
    </row>
    <row r="2190">
      <c r="B2190" s="18"/>
    </row>
    <row r="2191">
      <c r="B2191" s="18"/>
    </row>
    <row r="2192">
      <c r="B2192" s="18"/>
    </row>
    <row r="2193">
      <c r="B2193" s="18"/>
    </row>
    <row r="2194">
      <c r="B2194" s="18"/>
    </row>
    <row r="2195">
      <c r="B2195" s="18"/>
    </row>
    <row r="2196">
      <c r="B2196" s="18"/>
    </row>
    <row r="2197">
      <c r="B2197" s="18"/>
    </row>
    <row r="2198">
      <c r="B2198" s="18"/>
    </row>
    <row r="2199">
      <c r="B2199" s="18"/>
    </row>
    <row r="2200">
      <c r="B2200" s="18"/>
    </row>
    <row r="2201">
      <c r="B2201" s="18"/>
    </row>
    <row r="2202">
      <c r="B2202" s="18"/>
    </row>
    <row r="2203">
      <c r="B2203" s="18"/>
    </row>
    <row r="2204">
      <c r="B2204" s="18"/>
    </row>
    <row r="2205">
      <c r="B2205" s="18"/>
    </row>
    <row r="2206">
      <c r="B2206" s="18"/>
    </row>
    <row r="2207">
      <c r="B2207" s="18"/>
    </row>
    <row r="2208">
      <c r="B2208" s="18"/>
    </row>
    <row r="2209">
      <c r="B2209" s="18"/>
    </row>
    <row r="2210">
      <c r="B2210" s="18"/>
    </row>
    <row r="2211">
      <c r="B2211" s="18"/>
    </row>
    <row r="2212">
      <c r="B2212" s="18"/>
    </row>
    <row r="2213">
      <c r="B2213" s="18"/>
    </row>
    <row r="2214">
      <c r="B2214" s="18"/>
    </row>
    <row r="2215">
      <c r="B2215" s="18"/>
    </row>
    <row r="2216">
      <c r="B2216" s="18"/>
    </row>
    <row r="2217">
      <c r="B2217" s="18"/>
    </row>
    <row r="2218">
      <c r="B2218" s="18"/>
    </row>
    <row r="2219">
      <c r="B2219" s="18"/>
    </row>
    <row r="2220">
      <c r="B2220" s="18"/>
    </row>
    <row r="2221">
      <c r="B2221" s="18"/>
    </row>
    <row r="2222">
      <c r="B2222" s="18"/>
    </row>
    <row r="2223">
      <c r="B2223" s="18"/>
    </row>
    <row r="2224">
      <c r="B2224" s="18"/>
    </row>
    <row r="2225">
      <c r="B2225" s="18"/>
    </row>
    <row r="2226">
      <c r="B2226" s="18"/>
    </row>
    <row r="2227">
      <c r="B2227" s="18"/>
    </row>
    <row r="2228">
      <c r="B2228" s="18"/>
    </row>
    <row r="2229">
      <c r="B2229" s="18"/>
    </row>
    <row r="2230">
      <c r="B2230" s="18"/>
    </row>
    <row r="2231">
      <c r="B2231" s="18"/>
    </row>
    <row r="2232">
      <c r="B2232" s="18"/>
    </row>
    <row r="2233">
      <c r="B2233" s="18"/>
    </row>
    <row r="2234">
      <c r="B2234" s="18"/>
    </row>
    <row r="2235">
      <c r="B2235" s="18"/>
    </row>
    <row r="2236">
      <c r="B2236" s="18"/>
    </row>
    <row r="2237">
      <c r="B2237" s="18"/>
    </row>
    <row r="2238">
      <c r="B2238" s="18"/>
    </row>
    <row r="2239">
      <c r="B2239" s="18"/>
    </row>
    <row r="2240">
      <c r="B2240" s="18"/>
    </row>
    <row r="2241">
      <c r="B2241" s="18"/>
    </row>
    <row r="2242">
      <c r="B2242" s="18"/>
    </row>
    <row r="2243">
      <c r="B2243" s="18"/>
    </row>
    <row r="2244">
      <c r="B2244" s="18"/>
    </row>
    <row r="2245">
      <c r="B2245" s="18"/>
    </row>
    <row r="2246">
      <c r="B2246" s="18"/>
    </row>
    <row r="2247">
      <c r="B2247" s="18"/>
    </row>
    <row r="2248">
      <c r="B2248" s="18"/>
    </row>
    <row r="2249">
      <c r="B2249" s="18"/>
    </row>
    <row r="2250">
      <c r="B2250" s="18"/>
    </row>
    <row r="2251">
      <c r="B2251" s="18"/>
    </row>
    <row r="2252">
      <c r="B2252" s="18"/>
    </row>
    <row r="2253">
      <c r="B2253" s="18"/>
    </row>
    <row r="2254">
      <c r="B2254" s="18"/>
    </row>
    <row r="2255">
      <c r="B2255" s="18"/>
    </row>
    <row r="2256">
      <c r="B2256" s="18"/>
    </row>
    <row r="2257">
      <c r="B2257" s="18"/>
    </row>
    <row r="2258">
      <c r="B2258" s="18"/>
    </row>
    <row r="2259">
      <c r="B2259" s="18"/>
    </row>
    <row r="2260">
      <c r="B2260" s="18"/>
    </row>
    <row r="2261">
      <c r="B2261" s="18"/>
    </row>
    <row r="2262">
      <c r="B2262" s="18"/>
    </row>
    <row r="2263">
      <c r="B2263" s="18"/>
    </row>
    <row r="2264">
      <c r="B2264" s="18"/>
    </row>
    <row r="2265">
      <c r="B2265" s="18"/>
    </row>
    <row r="2266">
      <c r="B2266" s="18"/>
    </row>
    <row r="2267">
      <c r="B2267" s="18"/>
    </row>
    <row r="2268">
      <c r="B2268" s="18"/>
    </row>
    <row r="2269">
      <c r="B2269" s="18"/>
    </row>
    <row r="2270">
      <c r="B2270" s="18"/>
    </row>
    <row r="2271">
      <c r="B2271" s="18"/>
    </row>
    <row r="2272">
      <c r="B2272" s="18"/>
    </row>
    <row r="2273">
      <c r="B2273" s="18"/>
    </row>
    <row r="2274">
      <c r="B2274" s="18"/>
    </row>
    <row r="2275">
      <c r="B2275" s="18"/>
    </row>
    <row r="2276">
      <c r="B2276" s="18"/>
    </row>
    <row r="2277">
      <c r="B2277" s="18"/>
    </row>
    <row r="2278">
      <c r="B2278" s="18"/>
    </row>
    <row r="2279">
      <c r="B2279" s="18"/>
    </row>
    <row r="2280">
      <c r="B2280" s="18"/>
    </row>
    <row r="2281">
      <c r="B2281" s="18"/>
    </row>
    <row r="2282">
      <c r="B2282" s="18"/>
    </row>
    <row r="2283">
      <c r="B2283" s="18"/>
    </row>
    <row r="2284">
      <c r="B2284" s="18"/>
    </row>
    <row r="2285">
      <c r="B2285" s="18"/>
    </row>
    <row r="2286">
      <c r="B2286" s="18"/>
    </row>
    <row r="2287">
      <c r="B2287" s="18"/>
    </row>
    <row r="2288">
      <c r="B2288" s="18"/>
    </row>
    <row r="2289">
      <c r="B2289" s="18"/>
    </row>
    <row r="2290">
      <c r="B2290" s="18"/>
    </row>
    <row r="2291">
      <c r="B2291" s="18"/>
    </row>
    <row r="2292">
      <c r="B2292" s="18"/>
    </row>
    <row r="2293">
      <c r="B2293" s="18"/>
    </row>
    <row r="2294">
      <c r="B2294" s="18"/>
    </row>
    <row r="2295">
      <c r="B2295" s="18"/>
    </row>
    <row r="2296">
      <c r="B2296" s="18"/>
    </row>
    <row r="2297">
      <c r="B2297" s="18"/>
    </row>
    <row r="2298">
      <c r="B2298" s="18"/>
    </row>
    <row r="2299">
      <c r="B2299" s="18"/>
    </row>
    <row r="2300">
      <c r="B2300" s="18"/>
    </row>
    <row r="2301">
      <c r="B2301" s="18"/>
    </row>
    <row r="2302">
      <c r="B2302" s="18"/>
    </row>
    <row r="2303">
      <c r="B2303" s="18"/>
    </row>
    <row r="2304">
      <c r="B2304" s="18"/>
    </row>
    <row r="2305">
      <c r="B2305" s="18"/>
    </row>
    <row r="2306">
      <c r="B2306" s="18"/>
    </row>
    <row r="2307">
      <c r="B2307" s="18"/>
    </row>
    <row r="2308">
      <c r="B2308" s="18"/>
    </row>
    <row r="2309">
      <c r="B2309" s="18"/>
    </row>
    <row r="2310">
      <c r="B2310" s="18"/>
    </row>
    <row r="2311">
      <c r="B2311" s="18"/>
    </row>
    <row r="2312">
      <c r="B2312" s="18"/>
    </row>
    <row r="2313">
      <c r="B2313" s="18"/>
    </row>
    <row r="2314">
      <c r="B2314" s="18"/>
    </row>
    <row r="2315">
      <c r="B2315" s="18"/>
    </row>
    <row r="2316">
      <c r="B2316" s="18"/>
    </row>
    <row r="2317">
      <c r="B2317" s="18"/>
    </row>
    <row r="2318">
      <c r="B2318" s="18"/>
    </row>
    <row r="2319">
      <c r="B2319" s="18"/>
    </row>
    <row r="2320">
      <c r="B2320" s="18"/>
    </row>
    <row r="2321">
      <c r="B2321" s="18"/>
    </row>
    <row r="2322">
      <c r="B2322" s="18"/>
    </row>
    <row r="2323">
      <c r="B2323" s="18"/>
    </row>
    <row r="2324">
      <c r="B2324" s="18"/>
    </row>
    <row r="2325">
      <c r="B2325" s="18"/>
    </row>
    <row r="2326">
      <c r="B2326" s="18"/>
    </row>
    <row r="2327">
      <c r="B2327" s="18"/>
    </row>
    <row r="2328">
      <c r="B2328" s="18"/>
    </row>
    <row r="2329">
      <c r="B2329" s="18"/>
    </row>
    <row r="2330">
      <c r="B2330" s="18"/>
    </row>
    <row r="2331">
      <c r="B2331" s="18"/>
    </row>
    <row r="2332">
      <c r="B2332" s="18"/>
    </row>
    <row r="2333">
      <c r="B2333" s="18"/>
    </row>
    <row r="2334">
      <c r="B2334" s="18"/>
    </row>
    <row r="2335">
      <c r="B2335" s="18"/>
    </row>
    <row r="2336">
      <c r="B2336" s="18"/>
    </row>
    <row r="2337">
      <c r="B2337" s="18"/>
    </row>
    <row r="2338">
      <c r="B2338" s="18"/>
    </row>
    <row r="2339">
      <c r="B2339" s="18"/>
    </row>
    <row r="2340">
      <c r="B2340" s="18"/>
    </row>
    <row r="2341">
      <c r="B2341" s="18"/>
    </row>
    <row r="2342">
      <c r="B2342" s="18"/>
    </row>
    <row r="2343">
      <c r="B2343" s="18"/>
    </row>
    <row r="2344">
      <c r="B2344" s="18"/>
    </row>
    <row r="2345">
      <c r="B2345" s="18"/>
    </row>
    <row r="2346">
      <c r="B2346" s="18"/>
    </row>
    <row r="2347">
      <c r="B2347" s="18"/>
    </row>
    <row r="2348">
      <c r="B2348" s="18"/>
    </row>
    <row r="2349">
      <c r="B2349" s="18"/>
    </row>
    <row r="2350">
      <c r="B2350" s="18"/>
    </row>
    <row r="2351">
      <c r="B2351" s="18"/>
    </row>
    <row r="2352">
      <c r="B2352" s="18"/>
    </row>
    <row r="2353">
      <c r="B2353" s="18"/>
    </row>
    <row r="2354">
      <c r="B2354" s="18"/>
    </row>
    <row r="2355">
      <c r="B2355" s="18"/>
    </row>
    <row r="2356">
      <c r="B2356" s="18"/>
    </row>
    <row r="2357">
      <c r="B2357" s="18"/>
    </row>
    <row r="2358">
      <c r="B2358" s="18"/>
    </row>
    <row r="2359">
      <c r="B2359" s="18"/>
    </row>
    <row r="2360">
      <c r="B2360" s="18"/>
    </row>
    <row r="2361">
      <c r="B2361" s="18"/>
    </row>
    <row r="2362">
      <c r="B2362" s="18"/>
    </row>
    <row r="2363">
      <c r="B2363" s="18"/>
    </row>
    <row r="2364">
      <c r="B2364" s="18"/>
    </row>
    <row r="2365">
      <c r="B2365" s="18"/>
    </row>
    <row r="2366">
      <c r="B2366" s="18"/>
    </row>
    <row r="2367">
      <c r="B2367" s="18"/>
    </row>
    <row r="2368">
      <c r="B2368" s="18"/>
    </row>
    <row r="2369">
      <c r="B2369" s="18"/>
    </row>
    <row r="2370">
      <c r="B2370" s="18"/>
    </row>
    <row r="2371">
      <c r="B2371" s="18"/>
    </row>
    <row r="2372">
      <c r="B2372" s="18"/>
    </row>
    <row r="2373">
      <c r="B2373" s="18"/>
    </row>
    <row r="2374">
      <c r="B2374" s="18"/>
    </row>
    <row r="2375">
      <c r="B2375" s="18"/>
    </row>
    <row r="2376">
      <c r="B2376" s="18"/>
    </row>
    <row r="2377">
      <c r="B2377" s="18"/>
    </row>
    <row r="2378">
      <c r="B2378" s="18"/>
    </row>
    <row r="2379">
      <c r="B2379" s="18"/>
    </row>
    <row r="2380">
      <c r="B2380" s="18"/>
    </row>
    <row r="2381">
      <c r="B2381" s="18"/>
    </row>
    <row r="2382">
      <c r="B2382" s="18"/>
    </row>
    <row r="2383">
      <c r="B2383" s="18"/>
    </row>
    <row r="2384">
      <c r="B2384" s="18"/>
    </row>
    <row r="2385">
      <c r="B2385" s="18"/>
    </row>
    <row r="2386">
      <c r="B2386" s="18"/>
    </row>
    <row r="2387">
      <c r="B2387" s="18"/>
    </row>
    <row r="2388">
      <c r="B2388" s="18"/>
    </row>
    <row r="2389">
      <c r="B2389" s="18"/>
    </row>
    <row r="2390">
      <c r="B2390" s="18"/>
    </row>
    <row r="2391">
      <c r="B2391" s="18"/>
    </row>
    <row r="2392">
      <c r="B2392" s="18"/>
    </row>
    <row r="2393">
      <c r="B2393" s="18"/>
    </row>
    <row r="2394">
      <c r="B2394" s="18"/>
    </row>
    <row r="2395">
      <c r="B2395" s="18"/>
    </row>
    <row r="2396">
      <c r="B2396" s="18"/>
    </row>
    <row r="2397">
      <c r="B2397" s="18"/>
    </row>
    <row r="2398">
      <c r="B2398" s="18"/>
    </row>
    <row r="2399">
      <c r="B2399" s="18"/>
    </row>
    <row r="2400">
      <c r="B2400" s="18"/>
    </row>
    <row r="2401">
      <c r="B2401" s="18"/>
    </row>
    <row r="2402">
      <c r="B2402" s="18"/>
    </row>
    <row r="2403">
      <c r="B2403" s="18"/>
    </row>
    <row r="2404">
      <c r="B2404" s="18"/>
    </row>
    <row r="2405">
      <c r="B2405" s="18"/>
    </row>
    <row r="2406">
      <c r="B2406" s="18"/>
    </row>
    <row r="2407">
      <c r="B2407" s="18"/>
    </row>
    <row r="2408">
      <c r="B2408" s="18"/>
    </row>
    <row r="2409">
      <c r="B2409" s="18"/>
    </row>
    <row r="2410">
      <c r="B2410" s="18"/>
    </row>
    <row r="2411">
      <c r="B2411" s="18"/>
    </row>
    <row r="2412">
      <c r="B2412" s="18"/>
    </row>
    <row r="2413">
      <c r="B2413" s="18"/>
    </row>
    <row r="2414">
      <c r="B2414" s="18"/>
    </row>
    <row r="2415">
      <c r="B2415" s="18"/>
    </row>
    <row r="2416">
      <c r="B2416" s="18"/>
    </row>
    <row r="2417">
      <c r="B2417" s="18"/>
    </row>
    <row r="2418">
      <c r="B2418" s="18"/>
    </row>
    <row r="2419">
      <c r="B2419" s="18"/>
    </row>
    <row r="2420">
      <c r="B2420" s="18"/>
    </row>
    <row r="2421">
      <c r="B2421" s="18"/>
    </row>
    <row r="2422">
      <c r="B2422" s="18"/>
    </row>
    <row r="2423">
      <c r="B2423" s="18"/>
    </row>
    <row r="2424">
      <c r="B2424" s="18"/>
    </row>
    <row r="2425">
      <c r="B2425" s="18"/>
    </row>
    <row r="2426">
      <c r="B2426" s="18"/>
    </row>
    <row r="2427">
      <c r="B2427" s="18"/>
    </row>
    <row r="2428">
      <c r="B2428" s="18"/>
    </row>
    <row r="2429">
      <c r="B2429" s="18"/>
    </row>
    <row r="2430">
      <c r="B2430" s="18"/>
    </row>
    <row r="2431">
      <c r="B2431" s="18"/>
    </row>
    <row r="2432">
      <c r="B2432" s="18"/>
    </row>
    <row r="2433">
      <c r="B2433" s="18"/>
    </row>
    <row r="2434">
      <c r="B2434" s="18"/>
    </row>
    <row r="2435">
      <c r="B2435" s="18"/>
    </row>
    <row r="2436">
      <c r="B2436" s="18"/>
    </row>
    <row r="2437">
      <c r="B2437" s="18"/>
    </row>
    <row r="2438">
      <c r="B2438" s="18"/>
    </row>
    <row r="2439">
      <c r="B2439" s="18"/>
    </row>
    <row r="2440">
      <c r="B2440" s="18"/>
    </row>
    <row r="2441">
      <c r="B2441" s="18"/>
    </row>
    <row r="2442">
      <c r="B2442" s="18"/>
    </row>
    <row r="2443">
      <c r="B2443" s="18"/>
    </row>
    <row r="2444">
      <c r="B2444" s="18"/>
    </row>
    <row r="2445">
      <c r="B2445" s="18"/>
    </row>
    <row r="2446">
      <c r="B2446" s="18"/>
    </row>
    <row r="2447">
      <c r="B2447" s="18"/>
    </row>
    <row r="2448">
      <c r="B2448" s="18"/>
    </row>
    <row r="2449">
      <c r="B2449" s="18"/>
    </row>
    <row r="2450">
      <c r="B2450" s="18"/>
    </row>
    <row r="2451">
      <c r="B2451" s="18"/>
    </row>
    <row r="2452">
      <c r="B2452" s="18"/>
    </row>
    <row r="2453">
      <c r="B2453" s="18"/>
    </row>
    <row r="2454">
      <c r="B2454" s="18"/>
    </row>
    <row r="2455">
      <c r="B2455" s="18"/>
    </row>
    <row r="2456">
      <c r="B2456" s="18"/>
    </row>
    <row r="2457">
      <c r="B2457" s="18"/>
    </row>
    <row r="2458">
      <c r="B2458" s="18"/>
    </row>
    <row r="2459">
      <c r="B2459" s="18"/>
    </row>
    <row r="2460">
      <c r="B2460" s="18"/>
    </row>
    <row r="2461">
      <c r="B2461" s="18"/>
    </row>
    <row r="2462">
      <c r="B2462" s="18"/>
    </row>
    <row r="2463">
      <c r="B2463" s="18"/>
    </row>
    <row r="2464">
      <c r="B2464" s="18"/>
    </row>
    <row r="2465">
      <c r="B2465" s="18"/>
    </row>
    <row r="2466">
      <c r="B2466" s="18"/>
    </row>
    <row r="2467">
      <c r="B2467" s="18"/>
    </row>
    <row r="2468">
      <c r="B2468" s="18"/>
    </row>
    <row r="2469">
      <c r="B2469" s="18"/>
    </row>
    <row r="2470">
      <c r="B2470" s="18"/>
    </row>
    <row r="2471">
      <c r="B2471" s="18"/>
    </row>
    <row r="2472">
      <c r="B2472" s="18"/>
    </row>
    <row r="2473">
      <c r="B2473" s="18"/>
    </row>
    <row r="2474">
      <c r="B2474" s="18"/>
    </row>
    <row r="2475">
      <c r="B2475" s="18"/>
    </row>
    <row r="2476">
      <c r="B2476" s="18"/>
    </row>
    <row r="2477">
      <c r="B2477" s="18"/>
    </row>
    <row r="2478">
      <c r="B2478" s="18"/>
    </row>
    <row r="2479">
      <c r="B2479" s="18"/>
    </row>
    <row r="2480">
      <c r="B2480" s="18"/>
    </row>
    <row r="2481">
      <c r="B2481" s="18"/>
    </row>
    <row r="2482">
      <c r="B2482" s="18"/>
    </row>
    <row r="2483">
      <c r="B2483" s="18"/>
    </row>
    <row r="2484">
      <c r="B2484" s="18"/>
    </row>
    <row r="2485">
      <c r="B2485" s="18"/>
    </row>
    <row r="2486">
      <c r="B2486" s="18"/>
    </row>
    <row r="2487">
      <c r="B2487" s="18"/>
    </row>
    <row r="2488">
      <c r="B2488" s="18"/>
    </row>
    <row r="2489">
      <c r="B2489" s="18"/>
    </row>
    <row r="2490">
      <c r="B2490" s="18"/>
    </row>
    <row r="2491">
      <c r="B2491" s="18"/>
    </row>
    <row r="2492">
      <c r="B2492" s="18"/>
    </row>
    <row r="2493">
      <c r="B2493" s="18"/>
    </row>
    <row r="2494">
      <c r="B2494" s="18"/>
    </row>
    <row r="2495">
      <c r="B2495" s="18"/>
    </row>
    <row r="2496">
      <c r="B2496" s="18"/>
    </row>
    <row r="2497">
      <c r="B2497" s="18"/>
    </row>
    <row r="2498">
      <c r="B2498" s="18"/>
    </row>
    <row r="2499">
      <c r="B2499" s="18"/>
    </row>
    <row r="2500">
      <c r="B2500" s="18"/>
    </row>
    <row r="2501">
      <c r="B2501" s="18"/>
    </row>
    <row r="2502">
      <c r="B2502" s="18"/>
    </row>
    <row r="2503">
      <c r="B2503" s="18"/>
    </row>
    <row r="2504">
      <c r="B2504" s="18"/>
    </row>
    <row r="2505">
      <c r="B2505" s="18"/>
    </row>
    <row r="2506">
      <c r="B2506" s="18"/>
    </row>
    <row r="2507">
      <c r="B2507" s="18"/>
    </row>
    <row r="2508">
      <c r="B2508" s="18"/>
    </row>
    <row r="2509">
      <c r="B2509" s="18"/>
    </row>
    <row r="2510">
      <c r="B2510" s="18"/>
    </row>
    <row r="2511">
      <c r="B2511" s="18"/>
    </row>
    <row r="2512">
      <c r="B2512" s="18"/>
    </row>
    <row r="2513">
      <c r="B2513" s="18"/>
    </row>
    <row r="2514">
      <c r="B2514" s="18"/>
    </row>
    <row r="2515">
      <c r="B2515" s="18"/>
    </row>
    <row r="2516">
      <c r="B2516" s="18"/>
    </row>
    <row r="2517">
      <c r="B2517" s="18"/>
    </row>
    <row r="2518">
      <c r="B2518" s="18"/>
    </row>
    <row r="2519">
      <c r="B2519" s="18"/>
    </row>
    <row r="2520">
      <c r="B2520" s="18"/>
    </row>
    <row r="2521">
      <c r="B2521" s="18"/>
    </row>
    <row r="2522">
      <c r="B2522" s="18"/>
    </row>
    <row r="2523">
      <c r="B2523" s="18"/>
    </row>
    <row r="2524">
      <c r="B2524" s="18"/>
    </row>
    <row r="2525">
      <c r="B2525" s="18"/>
    </row>
    <row r="2526">
      <c r="B2526" s="18"/>
    </row>
    <row r="2527">
      <c r="B2527" s="18"/>
    </row>
    <row r="2528">
      <c r="B2528" s="18"/>
    </row>
    <row r="2529">
      <c r="B2529" s="18"/>
    </row>
    <row r="2530">
      <c r="B2530" s="18"/>
    </row>
    <row r="2531">
      <c r="B2531" s="18"/>
    </row>
    <row r="2532">
      <c r="B2532" s="18"/>
    </row>
    <row r="2533">
      <c r="B2533" s="18"/>
    </row>
    <row r="2534">
      <c r="B2534" s="18"/>
    </row>
    <row r="2535">
      <c r="B2535" s="18"/>
    </row>
    <row r="2536">
      <c r="B2536" s="18"/>
    </row>
    <row r="2537">
      <c r="B2537" s="18"/>
    </row>
    <row r="2538">
      <c r="B2538" s="18"/>
    </row>
    <row r="2539">
      <c r="B2539" s="18"/>
    </row>
    <row r="2540">
      <c r="B2540" s="18"/>
    </row>
    <row r="2541">
      <c r="B2541" s="18"/>
    </row>
    <row r="2542">
      <c r="B2542" s="18"/>
    </row>
    <row r="2543">
      <c r="B2543" s="18"/>
    </row>
    <row r="2544">
      <c r="B2544" s="18"/>
    </row>
    <row r="2545">
      <c r="B2545" s="18"/>
    </row>
    <row r="2546">
      <c r="B2546" s="18"/>
    </row>
    <row r="2547">
      <c r="B2547" s="18"/>
    </row>
    <row r="2548">
      <c r="B2548" s="18"/>
    </row>
    <row r="2549">
      <c r="B2549" s="18"/>
    </row>
    <row r="2550">
      <c r="B2550" s="18"/>
    </row>
    <row r="2551">
      <c r="B2551" s="18"/>
    </row>
    <row r="2552">
      <c r="B2552" s="18"/>
    </row>
    <row r="2553">
      <c r="B2553" s="18"/>
    </row>
    <row r="2554">
      <c r="B2554" s="18"/>
    </row>
    <row r="2555">
      <c r="B2555" s="18"/>
    </row>
    <row r="2556">
      <c r="B2556" s="18"/>
    </row>
    <row r="2557">
      <c r="B2557" s="18"/>
    </row>
    <row r="2558">
      <c r="B2558" s="18"/>
    </row>
    <row r="2559">
      <c r="B2559" s="18"/>
    </row>
    <row r="2560">
      <c r="B2560" s="18"/>
    </row>
    <row r="2561">
      <c r="B2561" s="18"/>
    </row>
    <row r="2562">
      <c r="B2562" s="18"/>
    </row>
    <row r="2563">
      <c r="B2563" s="18"/>
    </row>
    <row r="2564">
      <c r="B2564" s="18"/>
    </row>
    <row r="2565">
      <c r="B2565" s="18"/>
    </row>
    <row r="2566">
      <c r="B2566" s="18"/>
    </row>
    <row r="2567">
      <c r="B2567" s="18"/>
    </row>
    <row r="2568">
      <c r="B2568" s="18"/>
    </row>
    <row r="2569">
      <c r="B2569" s="18"/>
    </row>
    <row r="2570">
      <c r="B2570" s="18"/>
    </row>
    <row r="2571">
      <c r="B2571" s="18"/>
    </row>
    <row r="2572">
      <c r="B2572" s="18"/>
    </row>
    <row r="2573">
      <c r="B2573" s="18"/>
    </row>
    <row r="2574">
      <c r="B2574" s="18"/>
    </row>
    <row r="2575">
      <c r="B2575" s="18"/>
    </row>
    <row r="2576">
      <c r="B2576" s="18"/>
    </row>
    <row r="2577">
      <c r="B2577" s="18"/>
    </row>
    <row r="2578">
      <c r="B2578" s="18"/>
    </row>
    <row r="2579">
      <c r="B2579" s="18"/>
    </row>
    <row r="2580">
      <c r="B2580" s="18"/>
    </row>
    <row r="2581">
      <c r="B2581" s="18"/>
    </row>
    <row r="2582">
      <c r="B2582" s="18"/>
    </row>
    <row r="2583">
      <c r="B2583" s="18"/>
    </row>
    <row r="2584">
      <c r="B2584" s="18"/>
    </row>
    <row r="2585">
      <c r="B2585" s="18"/>
    </row>
    <row r="2586">
      <c r="B2586" s="18"/>
    </row>
    <row r="2587">
      <c r="B2587" s="18"/>
    </row>
    <row r="2588">
      <c r="B2588" s="18"/>
    </row>
    <row r="2589">
      <c r="B2589" s="18"/>
    </row>
    <row r="2590">
      <c r="B2590" s="18"/>
    </row>
    <row r="2591">
      <c r="B2591" s="18"/>
    </row>
    <row r="2592">
      <c r="B2592" s="18"/>
    </row>
    <row r="2593">
      <c r="B2593" s="18"/>
    </row>
    <row r="2594">
      <c r="B2594" s="18"/>
    </row>
    <row r="2595">
      <c r="B2595" s="18"/>
    </row>
    <row r="2596">
      <c r="B2596" s="18"/>
    </row>
    <row r="2597">
      <c r="B2597" s="18"/>
    </row>
    <row r="2598">
      <c r="B2598" s="18"/>
    </row>
    <row r="2599">
      <c r="B2599" s="18"/>
    </row>
    <row r="2600">
      <c r="B2600" s="18"/>
    </row>
    <row r="2601">
      <c r="B2601" s="18"/>
    </row>
    <row r="2602">
      <c r="B2602" s="18"/>
    </row>
    <row r="2603">
      <c r="B2603" s="18"/>
    </row>
    <row r="2604">
      <c r="B2604" s="18"/>
    </row>
    <row r="2605">
      <c r="B2605" s="18"/>
    </row>
    <row r="2606">
      <c r="B2606" s="18"/>
    </row>
    <row r="2607">
      <c r="B2607" s="18"/>
    </row>
    <row r="2608">
      <c r="B2608" s="18"/>
    </row>
    <row r="2609">
      <c r="B2609" s="18"/>
    </row>
    <row r="2610">
      <c r="B2610" s="18"/>
    </row>
    <row r="2611">
      <c r="B2611" s="18"/>
    </row>
    <row r="2612">
      <c r="B2612" s="18"/>
    </row>
    <row r="2613">
      <c r="B2613" s="18"/>
    </row>
    <row r="2614">
      <c r="B2614" s="18"/>
    </row>
    <row r="2615">
      <c r="B2615" s="18"/>
    </row>
    <row r="2616">
      <c r="B2616" s="18"/>
    </row>
    <row r="2617">
      <c r="B2617" s="18"/>
    </row>
    <row r="2618">
      <c r="B2618" s="18"/>
    </row>
    <row r="2619">
      <c r="B2619" s="18"/>
    </row>
    <row r="2620">
      <c r="B2620" s="18"/>
    </row>
    <row r="2621">
      <c r="B2621" s="18"/>
    </row>
    <row r="2622">
      <c r="B2622" s="18"/>
    </row>
    <row r="2623">
      <c r="B2623" s="18"/>
    </row>
    <row r="2624">
      <c r="B2624" s="18"/>
    </row>
    <row r="2625">
      <c r="B2625" s="18"/>
    </row>
    <row r="2626">
      <c r="B2626" s="18"/>
    </row>
    <row r="2627">
      <c r="B2627" s="18"/>
    </row>
    <row r="2628">
      <c r="B2628" s="18"/>
    </row>
    <row r="2629">
      <c r="B2629" s="18"/>
    </row>
    <row r="2630">
      <c r="B2630" s="18"/>
    </row>
    <row r="2631">
      <c r="B2631" s="18"/>
    </row>
    <row r="2632">
      <c r="B2632" s="18"/>
    </row>
    <row r="2633">
      <c r="B2633" s="18"/>
    </row>
    <row r="2634">
      <c r="B2634" s="18"/>
    </row>
    <row r="2635">
      <c r="B2635" s="18"/>
    </row>
    <row r="2636">
      <c r="B2636" s="18"/>
    </row>
    <row r="2637">
      <c r="B2637" s="18"/>
    </row>
    <row r="2638">
      <c r="B2638" s="18"/>
    </row>
    <row r="2639">
      <c r="B2639" s="18"/>
    </row>
    <row r="2640">
      <c r="B2640" s="18"/>
    </row>
    <row r="2641">
      <c r="B2641" s="18"/>
    </row>
    <row r="2642">
      <c r="B2642" s="18"/>
    </row>
    <row r="2643">
      <c r="B2643" s="18"/>
    </row>
    <row r="2644">
      <c r="B2644" s="18"/>
    </row>
    <row r="2645">
      <c r="B2645" s="18"/>
    </row>
    <row r="2646">
      <c r="B2646" s="18"/>
    </row>
    <row r="2647">
      <c r="B2647" s="18"/>
    </row>
    <row r="2648">
      <c r="B2648" s="18"/>
    </row>
    <row r="2649">
      <c r="B2649" s="18"/>
    </row>
    <row r="2650">
      <c r="B2650" s="18"/>
    </row>
    <row r="2651">
      <c r="B2651" s="18"/>
    </row>
    <row r="2652">
      <c r="B2652" s="18"/>
    </row>
    <row r="2653">
      <c r="B2653" s="18"/>
    </row>
    <row r="2654">
      <c r="B2654" s="18"/>
    </row>
    <row r="2655">
      <c r="B2655" s="18"/>
    </row>
    <row r="2656">
      <c r="B2656" s="18"/>
    </row>
    <row r="2657">
      <c r="B2657" s="18"/>
    </row>
    <row r="2658">
      <c r="B2658" s="18"/>
    </row>
    <row r="2659">
      <c r="B2659" s="18"/>
    </row>
    <row r="2660">
      <c r="B2660" s="18"/>
    </row>
    <row r="2661">
      <c r="B2661" s="18"/>
    </row>
    <row r="2662">
      <c r="B2662" s="18"/>
    </row>
    <row r="2663">
      <c r="B2663" s="18"/>
    </row>
    <row r="2664">
      <c r="B2664" s="18"/>
    </row>
    <row r="2665">
      <c r="B2665" s="18"/>
    </row>
    <row r="2666">
      <c r="B2666" s="18"/>
    </row>
    <row r="2667">
      <c r="B2667" s="18"/>
    </row>
    <row r="2668">
      <c r="B2668" s="18"/>
    </row>
    <row r="2669">
      <c r="B2669" s="18"/>
    </row>
    <row r="2670">
      <c r="B2670" s="18"/>
    </row>
    <row r="2671">
      <c r="B2671" s="18"/>
    </row>
    <row r="2672">
      <c r="B2672" s="18"/>
    </row>
    <row r="2673">
      <c r="B2673" s="18"/>
    </row>
    <row r="2674">
      <c r="B2674" s="18"/>
    </row>
    <row r="2675">
      <c r="B2675" s="18"/>
    </row>
    <row r="2676">
      <c r="B2676" s="18"/>
    </row>
    <row r="2677">
      <c r="B2677" s="18"/>
    </row>
    <row r="2678">
      <c r="B2678" s="18"/>
    </row>
    <row r="2679">
      <c r="B2679" s="18"/>
    </row>
    <row r="2680">
      <c r="B2680" s="18"/>
    </row>
    <row r="2681">
      <c r="B2681" s="18"/>
    </row>
    <row r="2682">
      <c r="B2682" s="18"/>
    </row>
    <row r="2683">
      <c r="B2683" s="18"/>
    </row>
    <row r="2684">
      <c r="B2684" s="18"/>
    </row>
    <row r="2685">
      <c r="B2685" s="18"/>
    </row>
    <row r="2686">
      <c r="B2686" s="18"/>
    </row>
    <row r="2687">
      <c r="B2687" s="18"/>
    </row>
    <row r="2688">
      <c r="B2688" s="18"/>
    </row>
    <row r="2689">
      <c r="B2689" s="18"/>
    </row>
    <row r="2690">
      <c r="B2690" s="18"/>
    </row>
    <row r="2691">
      <c r="B2691" s="18"/>
    </row>
    <row r="2692">
      <c r="B2692" s="18"/>
    </row>
    <row r="2693">
      <c r="B2693" s="18"/>
    </row>
    <row r="2694">
      <c r="B2694" s="18"/>
    </row>
    <row r="2695">
      <c r="B2695" s="18"/>
    </row>
    <row r="2696">
      <c r="B2696" s="18"/>
    </row>
    <row r="2697">
      <c r="B2697" s="18"/>
    </row>
    <row r="2698">
      <c r="B2698" s="18"/>
    </row>
    <row r="2699">
      <c r="B2699" s="18"/>
    </row>
    <row r="2700">
      <c r="B2700" s="18"/>
    </row>
    <row r="2701">
      <c r="B2701" s="18"/>
    </row>
    <row r="2702">
      <c r="B2702" s="18"/>
    </row>
    <row r="2703">
      <c r="B2703" s="18"/>
    </row>
    <row r="2704">
      <c r="B2704" s="18"/>
    </row>
    <row r="2705">
      <c r="B2705" s="18"/>
    </row>
    <row r="2706">
      <c r="B2706" s="18"/>
    </row>
    <row r="2707">
      <c r="B2707" s="18"/>
    </row>
    <row r="2708">
      <c r="B2708" s="18"/>
    </row>
    <row r="2709">
      <c r="B2709" s="18"/>
    </row>
    <row r="2710">
      <c r="B2710" s="18"/>
    </row>
    <row r="2711">
      <c r="B2711" s="18"/>
    </row>
    <row r="2712">
      <c r="B2712" s="18"/>
    </row>
    <row r="2713">
      <c r="B2713" s="18"/>
    </row>
    <row r="2714">
      <c r="B2714" s="18"/>
    </row>
    <row r="2715">
      <c r="B2715" s="18"/>
    </row>
    <row r="2716">
      <c r="B2716" s="18"/>
    </row>
    <row r="2717">
      <c r="B2717" s="18"/>
    </row>
    <row r="2718">
      <c r="B2718" s="18"/>
    </row>
    <row r="2719">
      <c r="B2719" s="18"/>
    </row>
    <row r="2720">
      <c r="B2720" s="18"/>
    </row>
    <row r="2721">
      <c r="B2721" s="18"/>
    </row>
    <row r="2722">
      <c r="B2722" s="18"/>
    </row>
    <row r="2723">
      <c r="B2723" s="18"/>
    </row>
    <row r="2724">
      <c r="B2724" s="18"/>
    </row>
    <row r="2725">
      <c r="B2725" s="18"/>
    </row>
    <row r="2726">
      <c r="B2726" s="18"/>
    </row>
    <row r="2727">
      <c r="B2727" s="18"/>
    </row>
    <row r="2728">
      <c r="B2728" s="18"/>
    </row>
    <row r="2729">
      <c r="B2729" s="18"/>
    </row>
    <row r="2730">
      <c r="B2730" s="18"/>
    </row>
    <row r="2731">
      <c r="B2731" s="18"/>
    </row>
    <row r="2732">
      <c r="B2732" s="18"/>
    </row>
    <row r="2733">
      <c r="B2733" s="18"/>
    </row>
    <row r="2734">
      <c r="B2734" s="18"/>
    </row>
    <row r="2735">
      <c r="B2735" s="18"/>
    </row>
    <row r="2736">
      <c r="B2736" s="18"/>
    </row>
    <row r="2737">
      <c r="B2737" s="18"/>
    </row>
    <row r="2738">
      <c r="B2738" s="18"/>
    </row>
    <row r="2739">
      <c r="B2739" s="18"/>
    </row>
    <row r="2740">
      <c r="B2740" s="18"/>
    </row>
    <row r="2741">
      <c r="B2741" s="18"/>
    </row>
    <row r="2742">
      <c r="B2742" s="18"/>
    </row>
    <row r="2743">
      <c r="B2743" s="18"/>
    </row>
    <row r="2744">
      <c r="B2744" s="18"/>
    </row>
    <row r="2745">
      <c r="B2745" s="18"/>
    </row>
    <row r="2746">
      <c r="B2746" s="18"/>
    </row>
    <row r="2747">
      <c r="B2747" s="18"/>
    </row>
    <row r="2748">
      <c r="B2748" s="18"/>
    </row>
    <row r="2749">
      <c r="B2749" s="18"/>
    </row>
    <row r="2750">
      <c r="B2750" s="18"/>
    </row>
    <row r="2751">
      <c r="B2751" s="18"/>
    </row>
    <row r="2752">
      <c r="B2752" s="18"/>
    </row>
    <row r="2753">
      <c r="B2753" s="18"/>
    </row>
    <row r="2754">
      <c r="B2754" s="18"/>
    </row>
    <row r="2755">
      <c r="B2755" s="18"/>
    </row>
    <row r="2756">
      <c r="B2756" s="18"/>
    </row>
    <row r="2757">
      <c r="B2757" s="18"/>
    </row>
    <row r="2758">
      <c r="B2758" s="18"/>
    </row>
    <row r="2759">
      <c r="B2759" s="18"/>
    </row>
    <row r="2760">
      <c r="B2760" s="18"/>
    </row>
    <row r="2761">
      <c r="B2761" s="18"/>
    </row>
    <row r="2762">
      <c r="B2762" s="18"/>
    </row>
    <row r="2763">
      <c r="B2763" s="18"/>
    </row>
    <row r="2764">
      <c r="B2764" s="18"/>
    </row>
    <row r="2765">
      <c r="B2765" s="18"/>
    </row>
    <row r="2766">
      <c r="B2766" s="18"/>
    </row>
    <row r="2767">
      <c r="B2767" s="18"/>
    </row>
    <row r="2768">
      <c r="B2768" s="18"/>
    </row>
    <row r="2769">
      <c r="B2769" s="18"/>
    </row>
    <row r="2770">
      <c r="B2770" s="18"/>
    </row>
    <row r="2771">
      <c r="B2771" s="18"/>
    </row>
    <row r="2772">
      <c r="B2772" s="18"/>
    </row>
    <row r="2773">
      <c r="B2773" s="18"/>
    </row>
    <row r="2774">
      <c r="B2774" s="18"/>
    </row>
    <row r="2775">
      <c r="B2775" s="18"/>
    </row>
    <row r="2776">
      <c r="B2776" s="18"/>
    </row>
    <row r="2777">
      <c r="B2777" s="18"/>
    </row>
    <row r="2778">
      <c r="B2778" s="18"/>
    </row>
    <row r="2779">
      <c r="B2779" s="18"/>
    </row>
    <row r="2780">
      <c r="B2780" s="18"/>
    </row>
    <row r="2781">
      <c r="B2781" s="18"/>
    </row>
    <row r="2782">
      <c r="B2782" s="18"/>
    </row>
    <row r="2783">
      <c r="B2783" s="18"/>
    </row>
    <row r="2784">
      <c r="B2784" s="18"/>
    </row>
    <row r="2785">
      <c r="B2785" s="18"/>
    </row>
    <row r="2786">
      <c r="B2786" s="18"/>
    </row>
    <row r="2787">
      <c r="B2787" s="18"/>
    </row>
    <row r="2788">
      <c r="B2788" s="18"/>
    </row>
    <row r="2789">
      <c r="B2789" s="18"/>
    </row>
    <row r="2790">
      <c r="B2790" s="18"/>
    </row>
    <row r="2791">
      <c r="B2791" s="18"/>
    </row>
    <row r="2792">
      <c r="B2792" s="18"/>
    </row>
    <row r="2793">
      <c r="B2793" s="18"/>
    </row>
    <row r="2794">
      <c r="B2794" s="18"/>
    </row>
    <row r="2795">
      <c r="B2795" s="18"/>
    </row>
    <row r="2796">
      <c r="B2796" s="18"/>
    </row>
    <row r="2797">
      <c r="B2797" s="18"/>
    </row>
    <row r="2798">
      <c r="B2798" s="18"/>
    </row>
    <row r="2799">
      <c r="B2799" s="18"/>
    </row>
    <row r="2800">
      <c r="B2800" s="18"/>
    </row>
    <row r="2801">
      <c r="B2801" s="18"/>
    </row>
    <row r="2802">
      <c r="B2802" s="18"/>
    </row>
    <row r="2803">
      <c r="B2803" s="18"/>
    </row>
    <row r="2804">
      <c r="B2804" s="18"/>
    </row>
    <row r="2805">
      <c r="B2805" s="18"/>
    </row>
    <row r="2806">
      <c r="B2806" s="18"/>
    </row>
    <row r="2807">
      <c r="B2807" s="18"/>
    </row>
    <row r="2808">
      <c r="B2808" s="18"/>
    </row>
    <row r="2809">
      <c r="B2809" s="18"/>
    </row>
    <row r="2810">
      <c r="B2810" s="18"/>
    </row>
    <row r="2811">
      <c r="B2811" s="18"/>
    </row>
    <row r="2812">
      <c r="B2812" s="18"/>
    </row>
    <row r="2813">
      <c r="B2813" s="18"/>
    </row>
    <row r="2814">
      <c r="B2814" s="18"/>
    </row>
    <row r="2815">
      <c r="B2815" s="18"/>
    </row>
    <row r="2816">
      <c r="B2816" s="18"/>
    </row>
    <row r="2817">
      <c r="B2817" s="18"/>
    </row>
    <row r="2818">
      <c r="B2818" s="18"/>
    </row>
    <row r="2819">
      <c r="B2819" s="18"/>
    </row>
    <row r="2820">
      <c r="B2820" s="18"/>
    </row>
    <row r="2821">
      <c r="B2821" s="18"/>
    </row>
    <row r="2822">
      <c r="B2822" s="18"/>
    </row>
    <row r="2823">
      <c r="B2823" s="18"/>
    </row>
    <row r="2824">
      <c r="B2824" s="18"/>
    </row>
    <row r="2825">
      <c r="B2825" s="18"/>
    </row>
    <row r="2826">
      <c r="B2826" s="18"/>
    </row>
    <row r="2827">
      <c r="B2827" s="18"/>
    </row>
    <row r="2828">
      <c r="B2828" s="18"/>
    </row>
    <row r="2829">
      <c r="B2829" s="18"/>
    </row>
    <row r="2830">
      <c r="B2830" s="18"/>
    </row>
    <row r="2831">
      <c r="B2831" s="18"/>
    </row>
    <row r="2832">
      <c r="B2832" s="18"/>
    </row>
    <row r="2833">
      <c r="B2833" s="18"/>
    </row>
    <row r="2834">
      <c r="B2834" s="18"/>
    </row>
    <row r="2835">
      <c r="B2835" s="18"/>
    </row>
    <row r="2836">
      <c r="B2836" s="18"/>
    </row>
    <row r="2837">
      <c r="B2837" s="18"/>
    </row>
    <row r="2838">
      <c r="B2838" s="18"/>
    </row>
    <row r="2839">
      <c r="B2839" s="18"/>
    </row>
    <row r="2840">
      <c r="B2840" s="18"/>
    </row>
    <row r="2841">
      <c r="B2841" s="18"/>
    </row>
    <row r="2842">
      <c r="B2842" s="18"/>
    </row>
    <row r="2843">
      <c r="B2843" s="18"/>
    </row>
    <row r="2844">
      <c r="B2844" s="18"/>
    </row>
    <row r="2845">
      <c r="B2845" s="18"/>
    </row>
    <row r="2846">
      <c r="B2846" s="18"/>
    </row>
    <row r="2847">
      <c r="B2847" s="18"/>
    </row>
    <row r="2848">
      <c r="B2848" s="18"/>
    </row>
    <row r="2849">
      <c r="B2849" s="18"/>
    </row>
    <row r="2850">
      <c r="B2850" s="18"/>
    </row>
    <row r="2851">
      <c r="B2851" s="18"/>
    </row>
    <row r="2852">
      <c r="B2852" s="18"/>
    </row>
    <row r="2853">
      <c r="B2853" s="18"/>
    </row>
    <row r="2854">
      <c r="B2854" s="18"/>
    </row>
    <row r="2855">
      <c r="B2855" s="18"/>
    </row>
    <row r="2856">
      <c r="B2856" s="18"/>
    </row>
    <row r="2857">
      <c r="B2857" s="18"/>
    </row>
    <row r="2858">
      <c r="B2858" s="18"/>
    </row>
    <row r="2859">
      <c r="B2859" s="18"/>
    </row>
    <row r="2860">
      <c r="B2860" s="18"/>
    </row>
    <row r="2861">
      <c r="B2861" s="18"/>
    </row>
    <row r="2862">
      <c r="B2862" s="18"/>
    </row>
    <row r="2863">
      <c r="B2863" s="18"/>
    </row>
    <row r="2864">
      <c r="B2864" s="18"/>
    </row>
    <row r="2865">
      <c r="B2865" s="18"/>
    </row>
    <row r="2866">
      <c r="B2866" s="18"/>
    </row>
    <row r="2867">
      <c r="B2867" s="18"/>
    </row>
    <row r="2868">
      <c r="B2868" s="18"/>
    </row>
    <row r="2869">
      <c r="B2869" s="18"/>
    </row>
    <row r="2870">
      <c r="B2870" s="18"/>
    </row>
    <row r="2871">
      <c r="B2871" s="18"/>
    </row>
    <row r="2872">
      <c r="B2872" s="18"/>
    </row>
    <row r="2873">
      <c r="B2873" s="18"/>
    </row>
    <row r="2874">
      <c r="B2874" s="18"/>
    </row>
    <row r="2875">
      <c r="B2875" s="18"/>
    </row>
    <row r="2876">
      <c r="B2876" s="18"/>
    </row>
    <row r="2877">
      <c r="B2877" s="18"/>
    </row>
    <row r="2878">
      <c r="B2878" s="18"/>
    </row>
    <row r="2879">
      <c r="B2879" s="18"/>
    </row>
    <row r="2880">
      <c r="B2880" s="18"/>
    </row>
    <row r="2881">
      <c r="B2881" s="18"/>
    </row>
    <row r="2882">
      <c r="B2882" s="18"/>
    </row>
    <row r="2883">
      <c r="B2883" s="18"/>
    </row>
    <row r="2884">
      <c r="B2884" s="18"/>
    </row>
    <row r="2885">
      <c r="B2885" s="18"/>
    </row>
    <row r="2886">
      <c r="B2886" s="18"/>
    </row>
    <row r="2887">
      <c r="B2887" s="18"/>
    </row>
    <row r="2888">
      <c r="B2888" s="18"/>
    </row>
    <row r="2889">
      <c r="B2889" s="18"/>
    </row>
    <row r="2890">
      <c r="B2890" s="18"/>
    </row>
    <row r="2891">
      <c r="B2891" s="18"/>
    </row>
    <row r="2892">
      <c r="B2892" s="18"/>
    </row>
    <row r="2893">
      <c r="B2893" s="18"/>
    </row>
    <row r="2894">
      <c r="B2894" s="18"/>
    </row>
    <row r="2895">
      <c r="B2895" s="18"/>
    </row>
    <row r="2896">
      <c r="B2896" s="18"/>
    </row>
    <row r="2897">
      <c r="B2897" s="18"/>
    </row>
    <row r="2898">
      <c r="B2898" s="18"/>
    </row>
    <row r="2899">
      <c r="B2899" s="18"/>
    </row>
    <row r="2900">
      <c r="B2900" s="18"/>
    </row>
    <row r="2901">
      <c r="B2901" s="18"/>
    </row>
    <row r="2902">
      <c r="B2902" s="18"/>
    </row>
    <row r="2903">
      <c r="B2903" s="18"/>
    </row>
    <row r="2904">
      <c r="B2904" s="18"/>
    </row>
    <row r="2905">
      <c r="B2905" s="18"/>
    </row>
    <row r="2906">
      <c r="B2906" s="18"/>
    </row>
    <row r="2907">
      <c r="B2907" s="18"/>
    </row>
    <row r="2908">
      <c r="B2908" s="18"/>
    </row>
    <row r="2909">
      <c r="B2909" s="18"/>
    </row>
    <row r="2910">
      <c r="B2910" s="18"/>
    </row>
    <row r="2911">
      <c r="B2911" s="18"/>
    </row>
    <row r="2912">
      <c r="B2912" s="18"/>
    </row>
    <row r="2913">
      <c r="B2913" s="18"/>
    </row>
    <row r="2914">
      <c r="B2914" s="18"/>
    </row>
    <row r="2915">
      <c r="B2915" s="18"/>
    </row>
    <row r="2916">
      <c r="B2916" s="18"/>
    </row>
    <row r="2917">
      <c r="B2917" s="18"/>
    </row>
    <row r="2918">
      <c r="B2918" s="18"/>
    </row>
    <row r="2919">
      <c r="B2919" s="18"/>
    </row>
    <row r="2920">
      <c r="B2920" s="18"/>
    </row>
    <row r="2921">
      <c r="B2921" s="18"/>
    </row>
    <row r="2922">
      <c r="B2922" s="18"/>
    </row>
    <row r="2923">
      <c r="B2923" s="18"/>
    </row>
    <row r="2924">
      <c r="B2924" s="18"/>
    </row>
    <row r="2925">
      <c r="B2925" s="18"/>
    </row>
    <row r="2926">
      <c r="B2926" s="18"/>
    </row>
    <row r="2927">
      <c r="B2927" s="18"/>
    </row>
    <row r="2928">
      <c r="B2928" s="18"/>
    </row>
    <row r="2929">
      <c r="B2929" s="18"/>
    </row>
    <row r="2930">
      <c r="B2930" s="18"/>
    </row>
    <row r="2931">
      <c r="B2931" s="18"/>
    </row>
    <row r="2932">
      <c r="B2932" s="18"/>
    </row>
    <row r="2933">
      <c r="B2933" s="18"/>
    </row>
    <row r="2934">
      <c r="B2934" s="18"/>
    </row>
    <row r="2935">
      <c r="B2935" s="18"/>
    </row>
    <row r="2936">
      <c r="B2936" s="18"/>
    </row>
    <row r="2937">
      <c r="B2937" s="18"/>
    </row>
    <row r="2938">
      <c r="B2938" s="18"/>
    </row>
    <row r="2939">
      <c r="B2939" s="18"/>
    </row>
    <row r="2940">
      <c r="B2940" s="18"/>
    </row>
    <row r="2941">
      <c r="B2941" s="18"/>
    </row>
    <row r="2942">
      <c r="B2942" s="18"/>
    </row>
    <row r="2943">
      <c r="B2943" s="18"/>
    </row>
    <row r="2944">
      <c r="B2944" s="18"/>
    </row>
    <row r="2945">
      <c r="B2945" s="18"/>
    </row>
    <row r="2946">
      <c r="B2946" s="18"/>
    </row>
    <row r="2947">
      <c r="B2947" s="18"/>
    </row>
    <row r="2948">
      <c r="B2948" s="18"/>
    </row>
    <row r="2949">
      <c r="B2949" s="18"/>
    </row>
    <row r="2950">
      <c r="B2950" s="18"/>
    </row>
    <row r="2951">
      <c r="B2951" s="18"/>
    </row>
    <row r="2952">
      <c r="B2952" s="18"/>
    </row>
    <row r="2953">
      <c r="B2953" s="18"/>
    </row>
    <row r="2954">
      <c r="B2954" s="18"/>
    </row>
    <row r="2955">
      <c r="B2955" s="18"/>
    </row>
    <row r="2956">
      <c r="B2956" s="18"/>
    </row>
    <row r="2957">
      <c r="B2957" s="18"/>
    </row>
    <row r="2958">
      <c r="B2958" s="18"/>
    </row>
    <row r="2959">
      <c r="B2959" s="18"/>
    </row>
    <row r="2960">
      <c r="B2960" s="18"/>
    </row>
    <row r="2961">
      <c r="B2961" s="18"/>
    </row>
    <row r="2962">
      <c r="B2962" s="18"/>
    </row>
    <row r="2963">
      <c r="B2963" s="18"/>
    </row>
    <row r="2964">
      <c r="B2964" s="18"/>
    </row>
    <row r="2965">
      <c r="B2965" s="18"/>
    </row>
    <row r="2966">
      <c r="B2966" s="18"/>
    </row>
    <row r="2967">
      <c r="B2967" s="18"/>
    </row>
    <row r="2968">
      <c r="B2968" s="18"/>
    </row>
    <row r="2969">
      <c r="B2969" s="18"/>
    </row>
    <row r="2970">
      <c r="B2970" s="18"/>
    </row>
    <row r="2971">
      <c r="B2971" s="18"/>
    </row>
    <row r="2972">
      <c r="B2972" s="18"/>
    </row>
    <row r="2973">
      <c r="B2973" s="18"/>
    </row>
    <row r="2974">
      <c r="B2974" s="18"/>
    </row>
    <row r="2975">
      <c r="B2975" s="18"/>
    </row>
    <row r="2976">
      <c r="B2976" s="18"/>
    </row>
    <row r="2977">
      <c r="B2977" s="18"/>
    </row>
    <row r="2978">
      <c r="B2978" s="18"/>
    </row>
    <row r="2979">
      <c r="B2979" s="18"/>
    </row>
    <row r="2980">
      <c r="B2980" s="18"/>
    </row>
    <row r="2981">
      <c r="B2981" s="18"/>
    </row>
    <row r="2982">
      <c r="B2982" s="18"/>
    </row>
    <row r="2983">
      <c r="B2983" s="18"/>
    </row>
    <row r="2984">
      <c r="B2984" s="18"/>
    </row>
    <row r="2985">
      <c r="B2985" s="18"/>
    </row>
    <row r="2986">
      <c r="B2986" s="18"/>
    </row>
    <row r="2987">
      <c r="B2987" s="18"/>
    </row>
    <row r="2988">
      <c r="B2988" s="18"/>
    </row>
    <row r="2989">
      <c r="B2989" s="18"/>
    </row>
    <row r="2990">
      <c r="B2990" s="18"/>
    </row>
    <row r="2991">
      <c r="B2991" s="18"/>
    </row>
    <row r="2992">
      <c r="B2992" s="18"/>
    </row>
    <row r="2993">
      <c r="B2993" s="18"/>
    </row>
    <row r="2994">
      <c r="B2994" s="18"/>
    </row>
    <row r="2995">
      <c r="B2995" s="18"/>
    </row>
    <row r="2996">
      <c r="B2996" s="18"/>
    </row>
    <row r="2997">
      <c r="B2997" s="18"/>
    </row>
    <row r="2998">
      <c r="B2998" s="18"/>
    </row>
    <row r="2999">
      <c r="B2999" s="18"/>
    </row>
    <row r="3000">
      <c r="B3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10" max="10" width="20.88"/>
    <col customWidth="1" min="16" max="16" width="35.0"/>
  </cols>
  <sheetData>
    <row r="1">
      <c r="A1" s="3" t="s">
        <v>7200</v>
      </c>
      <c r="B1" s="3" t="s">
        <v>7201</v>
      </c>
      <c r="C1" s="3" t="s">
        <v>7202</v>
      </c>
      <c r="D1" s="3" t="s">
        <v>7203</v>
      </c>
      <c r="E1" s="3" t="s">
        <v>7204</v>
      </c>
      <c r="F1" s="3" t="s">
        <v>7205</v>
      </c>
      <c r="G1" s="3" t="s">
        <v>7206</v>
      </c>
      <c r="H1" s="3" t="s">
        <v>7207</v>
      </c>
      <c r="I1" s="3" t="s">
        <v>7208</v>
      </c>
      <c r="J1" s="3" t="s">
        <v>7209</v>
      </c>
      <c r="K1" s="3" t="s">
        <v>7210</v>
      </c>
      <c r="L1" s="3" t="s">
        <v>7211</v>
      </c>
      <c r="M1" s="3" t="s">
        <v>7212</v>
      </c>
      <c r="N1" s="3" t="s">
        <v>7213</v>
      </c>
      <c r="O1" s="3" t="s">
        <v>7214</v>
      </c>
    </row>
    <row r="2">
      <c r="A2" s="19">
        <f>'Respuestas de formulario 1'!A2</f>
        <v>44865.66299</v>
      </c>
      <c r="B2" s="7" t="str">
        <f>'Respuestas de formulario 1'!B2</f>
        <v>Llanos</v>
      </c>
      <c r="C2" s="7" t="str">
        <f>'Respuestas de formulario 1'!C2</f>
        <v>Cristian</v>
      </c>
      <c r="D2" s="7" t="str">
        <f>'Respuestas de formulario 1'!D2</f>
        <v>Cristian_kobe@hotmail.com </v>
      </c>
      <c r="E2" s="20">
        <f>'Respuestas de formulario 1'!E2</f>
        <v>31427</v>
      </c>
      <c r="F2" s="7">
        <f>'Respuestas de formulario 1'!F2</f>
        <v>32099118</v>
      </c>
      <c r="G2" s="7" t="str">
        <f>IFERROR(__xludf.DUMMYFUNCTION("IF('Respuestas de formulario 1'!G2="""","""",IF(LEFT(REGEXREPLACE(TO_TEXT('Respuestas de formulario 1'!G2),""[^0-9]"",""""),2)=""54"",""+""&amp;REGEXREPLACE(TO_TEXT('Respuestas de formulario 1'!G2),""[^0-9]"",""""),""+54""&amp;REGEXREPLACE(TO_TEXT('Respuestas de "&amp;"formulario 1'!G2),""[^0-9]"","""")))"),"+543518046736")</f>
        <v>+543518046736</v>
      </c>
      <c r="H2" s="7">
        <f>'Respuestas de formulario 1'!S2</f>
        <v>2022</v>
      </c>
      <c r="I2" s="7" t="str">
        <f>IFERROR(__xludf.DUMMYFUNCTION("IF('Respuestas de formulario 1'!I2="""","""",TO_TEXT('Respuestas de formulario 1'!I2))"),"Obra social")</f>
        <v>Obra social</v>
      </c>
      <c r="J2" s="7" t="str">
        <f>IFERROR(__xludf.DUMMYFUNCTION("IF('Respuestas de formulario 1'!J2&lt;&gt;"""",UPPER(TRIM(TO_TEXT('Respuestas de formulario 1'!J2))),IF('Respuestas de formulario 1'!O2&lt;&gt;"""",UPPER(TRIM(TO_TEXT('Respuestas de formulario 1'!O2))),""""))"),"APROSS")</f>
        <v>APROSS</v>
      </c>
      <c r="K2" s="7" t="str">
        <f>IFERROR(__xludf.DUMMYFUNCTION("IF('Respuestas de formulario 1'!K2="""","""",TO_TEXT('Respuestas de formulario 1'!K2))"),"")</f>
        <v/>
      </c>
      <c r="L2" s="7" t="str">
        <f>IFERROR(__xludf.DUMMYFUNCTION("IF('Respuestas de formulario 1'!L2="""","""",TO_TEXT('Respuestas de formulario 1'!L2))"),"")</f>
        <v/>
      </c>
      <c r="M2" s="7" t="str">
        <f>IFERROR(__xludf.DUMMYFUNCTION("IF('Respuestas de formulario 1'!M2="""","""",TO_TEXT('Respuestas de formulario 1'!M2))"),"")</f>
        <v/>
      </c>
      <c r="N2" s="7">
        <f t="shared" ref="N2:N2000" si="1">IF(A2="","",IFERROR(YEAR(A2),""))</f>
        <v>2022</v>
      </c>
      <c r="O2" s="7" t="str">
        <f t="shared" ref="O2:O2000" si="2">IF(A2="","",IFERROR(TEXT(A2,"mmmm"),""))</f>
        <v>octubre</v>
      </c>
      <c r="P2" s="7" t="str">
        <f t="array" ref="P2:P2000">IF(F2:F2000="",,B2:B2000&amp;" "&amp;C2:C2000)</f>
        <v>Llanos Cristian</v>
      </c>
    </row>
    <row r="3">
      <c r="A3" s="19">
        <f>'Respuestas de formulario 1'!A3</f>
        <v>44866.42481</v>
      </c>
      <c r="B3" s="7" t="str">
        <f>'Respuestas de formulario 1'!B3</f>
        <v>Leiva</v>
      </c>
      <c r="C3" s="7" t="str">
        <f>'Respuestas de formulario 1'!C3</f>
        <v>Nilda Carolina </v>
      </c>
      <c r="D3" s="7" t="str">
        <f>'Respuestas de formulario 1'!D3</f>
        <v>caroagus023@gmail.com</v>
      </c>
      <c r="E3" s="20">
        <f>'Respuestas de formulario 1'!E3</f>
        <v>29208</v>
      </c>
      <c r="F3" s="7">
        <f>'Respuestas de formulario 1'!F3</f>
        <v>27671982</v>
      </c>
      <c r="G3" s="7" t="str">
        <f>IFERROR(__xludf.DUMMYFUNCTION("IF('Respuestas de formulario 1'!G3="""","""",IF(LEFT(REGEXREPLACE(TO_TEXT('Respuestas de formulario 1'!G3),""[^0-9]"",""""),2)=""54"",""+""&amp;REGEXREPLACE(TO_TEXT('Respuestas de formulario 1'!G3),""[^0-9]"",""""),""+54""&amp;REGEXREPLACE(TO_TEXT('Respuestas de "&amp;"formulario 1'!G3),""[^0-9]"","""")))"),"+543513844529")</f>
        <v>+543513844529</v>
      </c>
      <c r="H3" s="7">
        <f>'Respuestas de formulario 1'!S3</f>
        <v>2022</v>
      </c>
      <c r="I3" s="7" t="str">
        <f>IFERROR(__xludf.DUMMYFUNCTION("IF('Respuestas de formulario 1'!I3="""","""",TO_TEXT('Respuestas de formulario 1'!I3))"),"Particular")</f>
        <v>Particular</v>
      </c>
      <c r="J3" s="7" t="str">
        <f>IFERROR(__xludf.DUMMYFUNCTION("IF('Respuestas de formulario 1'!J3&lt;&gt;"""",UPPER(TRIM(TO_TEXT('Respuestas de formulario 1'!J3))),IF('Respuestas de formulario 1'!O3&lt;&gt;"""",UPPER(TRIM(TO_TEXT('Respuestas de formulario 1'!O3))),""""))"),"")</f>
        <v/>
      </c>
      <c r="K3" s="7" t="str">
        <f>IFERROR(__xludf.DUMMYFUNCTION("IF('Respuestas de formulario 1'!K3="""","""",TO_TEXT('Respuestas de formulario 1'!K3))"),"")</f>
        <v/>
      </c>
      <c r="L3" s="7" t="str">
        <f>IFERROR(__xludf.DUMMYFUNCTION("IF('Respuestas de formulario 1'!L3="""","""",TO_TEXT('Respuestas de formulario 1'!L3))"),"")</f>
        <v/>
      </c>
      <c r="M3" s="7" t="str">
        <f>IFERROR(__xludf.DUMMYFUNCTION("IF('Respuestas de formulario 1'!M3="""","""",TO_TEXT('Respuestas de formulario 1'!M3))"),"")</f>
        <v/>
      </c>
      <c r="N3" s="7">
        <f t="shared" si="1"/>
        <v>2022</v>
      </c>
      <c r="O3" s="7" t="str">
        <f t="shared" si="2"/>
        <v>noviembre</v>
      </c>
      <c r="P3" s="7" t="s">
        <v>4211</v>
      </c>
    </row>
    <row r="4">
      <c r="A4" s="19">
        <f>'Respuestas de formulario 1'!A4</f>
        <v>44872.859</v>
      </c>
      <c r="B4" s="7" t="str">
        <f>'Respuestas de formulario 1'!B4</f>
        <v>Far</v>
      </c>
      <c r="C4" s="7" t="str">
        <f>'Respuestas de formulario 1'!C4</f>
        <v>Juan Manuel </v>
      </c>
      <c r="D4" s="7" t="str">
        <f>'Respuestas de formulario 1'!D4</f>
        <v>Manufar87@hotmail.com</v>
      </c>
      <c r="E4" s="20">
        <f>'Respuestas de formulario 1'!E4</f>
        <v>31894</v>
      </c>
      <c r="F4" s="7">
        <f>'Respuestas de formulario 1'!F4</f>
        <v>33082576</v>
      </c>
      <c r="G4" s="7" t="str">
        <f>IFERROR(__xludf.DUMMYFUNCTION("IF('Respuestas de formulario 1'!G4="""","""",IF(LEFT(REGEXREPLACE(TO_TEXT('Respuestas de formulario 1'!G4),""[^0-9]"",""""),2)=""54"",""+""&amp;REGEXREPLACE(TO_TEXT('Respuestas de formulario 1'!G4),""[^0-9]"",""""),""+54""&amp;REGEXREPLACE(TO_TEXT('Respuestas de "&amp;"formulario 1'!G4),""[^0-9]"","""")))"),"+543512006711")</f>
        <v>+543512006711</v>
      </c>
      <c r="H4" s="7">
        <f>'Respuestas de formulario 1'!S4</f>
        <v>2022</v>
      </c>
      <c r="I4" s="7" t="str">
        <f>IFERROR(__xludf.DUMMYFUNCTION("IF('Respuestas de formulario 1'!I4="""","""",TO_TEXT('Respuestas de formulario 1'!I4))"),"Particular")</f>
        <v>Particular</v>
      </c>
      <c r="J4" s="7" t="str">
        <f>IFERROR(__xludf.DUMMYFUNCTION("IF('Respuestas de formulario 1'!J4&lt;&gt;"""",UPPER(TRIM(TO_TEXT('Respuestas de formulario 1'!J4))),IF('Respuestas de formulario 1'!O4&lt;&gt;"""",UPPER(TRIM(TO_TEXT('Respuestas de formulario 1'!O4))),""""))"),"")</f>
        <v/>
      </c>
      <c r="K4" s="7" t="str">
        <f>IFERROR(__xludf.DUMMYFUNCTION("IF('Respuestas de formulario 1'!K4="""","""",TO_TEXT('Respuestas de formulario 1'!K4))"),"")</f>
        <v/>
      </c>
      <c r="L4" s="7" t="str">
        <f>IFERROR(__xludf.DUMMYFUNCTION("IF('Respuestas de formulario 1'!L4="""","""",TO_TEXT('Respuestas de formulario 1'!L4))"),"")</f>
        <v/>
      </c>
      <c r="M4" s="7" t="str">
        <f>IFERROR(__xludf.DUMMYFUNCTION("IF('Respuestas de formulario 1'!M4="""","""",TO_TEXT('Respuestas de formulario 1'!M4))"),"")</f>
        <v/>
      </c>
      <c r="N4" s="7">
        <f t="shared" si="1"/>
        <v>2022</v>
      </c>
      <c r="O4" s="7" t="str">
        <f t="shared" si="2"/>
        <v>noviembre</v>
      </c>
      <c r="P4" s="7" t="s">
        <v>4213</v>
      </c>
    </row>
    <row r="5">
      <c r="A5" s="19">
        <f>'Respuestas de formulario 1'!A5</f>
        <v>44879.65375</v>
      </c>
      <c r="B5" s="7" t="str">
        <f>'Respuestas de formulario 1'!B5</f>
        <v>Urquía </v>
      </c>
      <c r="C5" s="7" t="str">
        <f>'Respuestas de formulario 1'!C5</f>
        <v>Yohana</v>
      </c>
      <c r="D5" s="7" t="str">
        <f>'Respuestas de formulario 1'!D5</f>
        <v>yohana.urquia@gmail.com</v>
      </c>
      <c r="E5" s="20">
        <f>'Respuestas de formulario 1'!E5</f>
        <v>31206</v>
      </c>
      <c r="F5" s="7">
        <f>'Respuestas de formulario 1'!F5</f>
        <v>31647631</v>
      </c>
      <c r="G5" s="7" t="str">
        <f>IFERROR(__xludf.DUMMYFUNCTION("IF('Respuestas de formulario 1'!G5="""","""",IF(LEFT(REGEXREPLACE(TO_TEXT('Respuestas de formulario 1'!G5),""[^0-9]"",""""),2)=""54"",""+""&amp;REGEXREPLACE(TO_TEXT('Respuestas de formulario 1'!G5),""[^0-9]"",""""),""+54""&amp;REGEXREPLACE(TO_TEXT('Respuestas de "&amp;"formulario 1'!G5),""[^0-9]"","""")))"),"+543516299562")</f>
        <v>+543516299562</v>
      </c>
      <c r="H5" s="7">
        <f>'Respuestas de formulario 1'!S5</f>
        <v>2022</v>
      </c>
      <c r="I5" s="7" t="str">
        <f>IFERROR(__xludf.DUMMYFUNCTION("IF('Respuestas de formulario 1'!I5="""","""",TO_TEXT('Respuestas de formulario 1'!I5))"),"Particular")</f>
        <v>Particular</v>
      </c>
      <c r="J5" s="7" t="str">
        <f>IFERROR(__xludf.DUMMYFUNCTION("IF('Respuestas de formulario 1'!J5&lt;&gt;"""",UPPER(TRIM(TO_TEXT('Respuestas de formulario 1'!J5))),IF('Respuestas de formulario 1'!O5&lt;&gt;"""",UPPER(TRIM(TO_TEXT('Respuestas de formulario 1'!O5))),""""))"),"")</f>
        <v/>
      </c>
      <c r="K5" s="7" t="str">
        <f>IFERROR(__xludf.DUMMYFUNCTION("IF('Respuestas de formulario 1'!K5="""","""",TO_TEXT('Respuestas de formulario 1'!K5))"),"")</f>
        <v/>
      </c>
      <c r="L5" s="7" t="str">
        <f>IFERROR(__xludf.DUMMYFUNCTION("IF('Respuestas de formulario 1'!L5="""","""",TO_TEXT('Respuestas de formulario 1'!L5))"),"")</f>
        <v/>
      </c>
      <c r="M5" s="7" t="str">
        <f>IFERROR(__xludf.DUMMYFUNCTION("IF('Respuestas de formulario 1'!M5="""","""",TO_TEXT('Respuestas de formulario 1'!M5))"),"")</f>
        <v/>
      </c>
      <c r="N5" s="7">
        <f t="shared" si="1"/>
        <v>2022</v>
      </c>
      <c r="O5" s="7" t="str">
        <f t="shared" si="2"/>
        <v>noviembre</v>
      </c>
      <c r="P5" s="7" t="s">
        <v>4215</v>
      </c>
    </row>
    <row r="6">
      <c r="A6" s="19">
        <f>'Respuestas de formulario 1'!A6</f>
        <v>44879.67125</v>
      </c>
      <c r="B6" s="7" t="str">
        <f>'Respuestas de formulario 1'!B6</f>
        <v>Lopez</v>
      </c>
      <c r="C6" s="7" t="str">
        <f>'Respuestas de formulario 1'!C6</f>
        <v>Gonzalo Daniel</v>
      </c>
      <c r="D6" s="7" t="str">
        <f>'Respuestas de formulario 1'!D6</f>
        <v>Zonlopez10@gmail.com </v>
      </c>
      <c r="E6" s="20">
        <f>'Respuestas de formulario 1'!E6</f>
        <v>34623</v>
      </c>
      <c r="F6" s="7">
        <f>'Respuestas de formulario 1'!F6</f>
        <v>38501250</v>
      </c>
      <c r="G6" s="7" t="str">
        <f>IFERROR(__xludf.DUMMYFUNCTION("IF('Respuestas de formulario 1'!G6="""","""",IF(LEFT(REGEXREPLACE(TO_TEXT('Respuestas de formulario 1'!G6),""[^0-9]"",""""),2)=""54"",""+""&amp;REGEXREPLACE(TO_TEXT('Respuestas de formulario 1'!G6),""[^0-9]"",""""),""+54""&amp;REGEXREPLACE(TO_TEXT('Respuestas de "&amp;"formulario 1'!G6),""[^0-9]"","""")))"),"+543515186768")</f>
        <v>+543515186768</v>
      </c>
      <c r="H6" s="7">
        <f>'Respuestas de formulario 1'!S6</f>
        <v>2022</v>
      </c>
      <c r="I6" s="7" t="str">
        <f>IFERROR(__xludf.DUMMYFUNCTION("IF('Respuestas de formulario 1'!I6="""","""",TO_TEXT('Respuestas de formulario 1'!I6))"),"Obra social")</f>
        <v>Obra social</v>
      </c>
      <c r="J6" s="7" t="str">
        <f>IFERROR(__xludf.DUMMYFUNCTION("IF('Respuestas de formulario 1'!J6&lt;&gt;"""",UPPER(TRIM(TO_TEXT('Respuestas de formulario 1'!J6))),IF('Respuestas de formulario 1'!O6&lt;&gt;"""",UPPER(TRIM(TO_TEXT('Respuestas de formulario 1'!O6))),""""))"),"APROSS")</f>
        <v>APROSS</v>
      </c>
      <c r="K6" s="7" t="str">
        <f>IFERROR(__xludf.DUMMYFUNCTION("IF('Respuestas de formulario 1'!K6="""","""",TO_TEXT('Respuestas de formulario 1'!K6))"),"")</f>
        <v/>
      </c>
      <c r="L6" s="7" t="str">
        <f>IFERROR(__xludf.DUMMYFUNCTION("IF('Respuestas de formulario 1'!L6="""","""",TO_TEXT('Respuestas de formulario 1'!L6))"),"")</f>
        <v/>
      </c>
      <c r="M6" s="7" t="str">
        <f>IFERROR(__xludf.DUMMYFUNCTION("IF('Respuestas de formulario 1'!M6="""","""",TO_TEXT('Respuestas de formulario 1'!M6))"),"")</f>
        <v/>
      </c>
      <c r="N6" s="7">
        <f t="shared" si="1"/>
        <v>2022</v>
      </c>
      <c r="O6" s="7" t="str">
        <f t="shared" si="2"/>
        <v>noviembre</v>
      </c>
      <c r="P6" s="7" t="s">
        <v>4217</v>
      </c>
    </row>
    <row r="7">
      <c r="A7" s="19">
        <f>'Respuestas de formulario 1'!A7</f>
        <v>44880.4708</v>
      </c>
      <c r="B7" s="7" t="str">
        <f>'Respuestas de formulario 1'!B7</f>
        <v>Agüero </v>
      </c>
      <c r="C7" s="7" t="str">
        <f>'Respuestas de formulario 1'!C7</f>
        <v>Juan Manuel </v>
      </c>
      <c r="D7" s="7" t="str">
        <f>'Respuestas de formulario 1'!D7</f>
        <v>juanmamendiolaza@gmail.com </v>
      </c>
      <c r="E7" s="20">
        <f>'Respuestas de formulario 1'!E7</f>
        <v>31846</v>
      </c>
      <c r="F7" s="7">
        <f>'Respuestas de formulario 1'!F7</f>
        <v>32787354</v>
      </c>
      <c r="G7" s="7" t="str">
        <f>IFERROR(__xludf.DUMMYFUNCTION("IF('Respuestas de formulario 1'!G7="""","""",IF(LEFT(REGEXREPLACE(TO_TEXT('Respuestas de formulario 1'!G7),""[^0-9]"",""""),2)=""54"",""+""&amp;REGEXREPLACE(TO_TEXT('Respuestas de formulario 1'!G7),""[^0-9]"",""""),""+54""&amp;REGEXREPLACE(TO_TEXT('Respuestas de "&amp;"formulario 1'!G7),""[^0-9]"","""")))"),"+543516219534")</f>
        <v>+543516219534</v>
      </c>
      <c r="H7" s="7">
        <f>'Respuestas de formulario 1'!S7</f>
        <v>2022</v>
      </c>
      <c r="I7" s="7" t="str">
        <f>IFERROR(__xludf.DUMMYFUNCTION("IF('Respuestas de formulario 1'!I7="""","""",TO_TEXT('Respuestas de formulario 1'!I7))"),"Particular")</f>
        <v>Particular</v>
      </c>
      <c r="J7" s="7" t="str">
        <f>IFERROR(__xludf.DUMMYFUNCTION("IF('Respuestas de formulario 1'!J7&lt;&gt;"""",UPPER(TRIM(TO_TEXT('Respuestas de formulario 1'!J7))),IF('Respuestas de formulario 1'!O7&lt;&gt;"""",UPPER(TRIM(TO_TEXT('Respuestas de formulario 1'!O7))),""""))"),"")</f>
        <v/>
      </c>
      <c r="K7" s="7" t="str">
        <f>IFERROR(__xludf.DUMMYFUNCTION("IF('Respuestas de formulario 1'!K7="""","""",TO_TEXT('Respuestas de formulario 1'!K7))"),"")</f>
        <v/>
      </c>
      <c r="L7" s="7" t="str">
        <f>IFERROR(__xludf.DUMMYFUNCTION("IF('Respuestas de formulario 1'!L7="""","""",TO_TEXT('Respuestas de formulario 1'!L7))"),"")</f>
        <v/>
      </c>
      <c r="M7" s="7" t="str">
        <f>IFERROR(__xludf.DUMMYFUNCTION("IF('Respuestas de formulario 1'!M7="""","""",TO_TEXT('Respuestas de formulario 1'!M7))"),"")</f>
        <v/>
      </c>
      <c r="N7" s="7">
        <f t="shared" si="1"/>
        <v>2022</v>
      </c>
      <c r="O7" s="7" t="str">
        <f t="shared" si="2"/>
        <v>noviembre</v>
      </c>
      <c r="P7" s="7" t="s">
        <v>4219</v>
      </c>
    </row>
    <row r="8">
      <c r="A8" s="19">
        <f>'Respuestas de formulario 1'!A8</f>
        <v>44880.50002</v>
      </c>
      <c r="B8" s="7" t="str">
        <f>'Respuestas de formulario 1'!B8</f>
        <v>Valdez </v>
      </c>
      <c r="C8" s="7" t="str">
        <f>'Respuestas de formulario 1'!C8</f>
        <v>Rubén </v>
      </c>
      <c r="D8" s="7" t="str">
        <f>'Respuestas de formulario 1'!D8</f>
        <v>Rubenavaldez930@gmail.com</v>
      </c>
      <c r="E8" s="20">
        <f>'Respuestas de formulario 1'!E8</f>
        <v>34161</v>
      </c>
      <c r="F8" s="7">
        <f>'Respuestas de formulario 1'!F8</f>
        <v>37733188</v>
      </c>
      <c r="G8" s="7" t="str">
        <f>IFERROR(__xludf.DUMMYFUNCTION("IF('Respuestas de formulario 1'!G8="""","""",IF(LEFT(REGEXREPLACE(TO_TEXT('Respuestas de formulario 1'!G8),""[^0-9]"",""""),2)=""54"",""+""&amp;REGEXREPLACE(TO_TEXT('Respuestas de formulario 1'!G8),""[^0-9]"",""""),""+54""&amp;REGEXREPLACE(TO_TEXT('Respuestas de "&amp;"formulario 1'!G8),""[^0-9]"","""")))"),"+543513374771")</f>
        <v>+543513374771</v>
      </c>
      <c r="H8" s="7">
        <f>'Respuestas de formulario 1'!S8</f>
        <v>2022</v>
      </c>
      <c r="I8" s="7" t="str">
        <f>IFERROR(__xludf.DUMMYFUNCTION("IF('Respuestas de formulario 1'!I8="""","""",TO_TEXT('Respuestas de formulario 1'!I8))"),"")</f>
        <v/>
      </c>
      <c r="J8" s="7" t="str">
        <f>IFERROR(__xludf.DUMMYFUNCTION("IF('Respuestas de formulario 1'!J8&lt;&gt;"""",UPPER(TRIM(TO_TEXT('Respuestas de formulario 1'!J8))),IF('Respuestas de formulario 1'!O8&lt;&gt;"""",UPPER(TRIM(TO_TEXT('Respuestas de formulario 1'!O8))),""""))"),"APROSS")</f>
        <v>APROSS</v>
      </c>
      <c r="K8" s="7" t="str">
        <f>IFERROR(__xludf.DUMMYFUNCTION("IF('Respuestas de formulario 1'!K8="""","""",TO_TEXT('Respuestas de formulario 1'!K8))"),"")</f>
        <v/>
      </c>
      <c r="L8" s="7" t="str">
        <f>IFERROR(__xludf.DUMMYFUNCTION("IF('Respuestas de formulario 1'!L8="""","""",TO_TEXT('Respuestas de formulario 1'!L8))"),"")</f>
        <v/>
      </c>
      <c r="M8" s="7" t="str">
        <f>IFERROR(__xludf.DUMMYFUNCTION("IF('Respuestas de formulario 1'!M8="""","""",TO_TEXT('Respuestas de formulario 1'!M8))"),"")</f>
        <v/>
      </c>
      <c r="N8" s="7">
        <f t="shared" si="1"/>
        <v>2022</v>
      </c>
      <c r="O8" s="7" t="str">
        <f t="shared" si="2"/>
        <v>noviembre</v>
      </c>
      <c r="P8" s="7" t="s">
        <v>4221</v>
      </c>
    </row>
    <row r="9">
      <c r="A9" s="19">
        <f>'Respuestas de formulario 1'!A9</f>
        <v>44881.41323</v>
      </c>
      <c r="B9" s="7" t="str">
        <f>'Respuestas de formulario 1'!B9</f>
        <v>Giménez</v>
      </c>
      <c r="C9" s="7" t="str">
        <f>'Respuestas de formulario 1'!C9</f>
        <v>Fernando</v>
      </c>
      <c r="D9" s="7" t="str">
        <f>'Respuestas de formulario 1'!D9</f>
        <v>gimenezfa@gmail.com</v>
      </c>
      <c r="E9" s="20">
        <f>'Respuestas de formulario 1'!E9</f>
        <v>35171</v>
      </c>
      <c r="F9" s="7">
        <f>'Respuestas de formulario 1'!F9</f>
        <v>30544064</v>
      </c>
      <c r="G9" s="7" t="str">
        <f>IFERROR(__xludf.DUMMYFUNCTION("IF('Respuestas de formulario 1'!G9="""","""",IF(LEFT(REGEXREPLACE(TO_TEXT('Respuestas de formulario 1'!G9),""[^0-9]"",""""),2)=""54"",""+""&amp;REGEXREPLACE(TO_TEXT('Respuestas de formulario 1'!G9),""[^0-9]"",""""),""+54""&amp;REGEXREPLACE(TO_TEXT('Respuestas de "&amp;"formulario 1'!G9),""[^0-9]"","""")))"),"+543516953672")</f>
        <v>+543516953672</v>
      </c>
      <c r="H9" s="7">
        <f>'Respuestas de formulario 1'!S9</f>
        <v>2022</v>
      </c>
      <c r="I9" s="7" t="str">
        <f>IFERROR(__xludf.DUMMYFUNCTION("IF('Respuestas de formulario 1'!I9="""","""",TO_TEXT('Respuestas de formulario 1'!I9))"),"Obra social")</f>
        <v>Obra social</v>
      </c>
      <c r="J9" s="7" t="str">
        <f>IFERROR(__xludf.DUMMYFUNCTION("IF('Respuestas de formulario 1'!J9&lt;&gt;"""",UPPER(TRIM(TO_TEXT('Respuestas de formulario 1'!J9))),IF('Respuestas de formulario 1'!O9&lt;&gt;"""",UPPER(TRIM(TO_TEXT('Respuestas de formulario 1'!O9))),""""))"),"APROSS")</f>
        <v>APROSS</v>
      </c>
      <c r="K9" s="7" t="str">
        <f>IFERROR(__xludf.DUMMYFUNCTION("IF('Respuestas de formulario 1'!K9="""","""",TO_TEXT('Respuestas de formulario 1'!K9))"),"")</f>
        <v/>
      </c>
      <c r="L9" s="7" t="str">
        <f>IFERROR(__xludf.DUMMYFUNCTION("IF('Respuestas de formulario 1'!L9="""","""",TO_TEXT('Respuestas de formulario 1'!L9))"),"")</f>
        <v/>
      </c>
      <c r="M9" s="7" t="str">
        <f>IFERROR(__xludf.DUMMYFUNCTION("IF('Respuestas de formulario 1'!M9="""","""",TO_TEXT('Respuestas de formulario 1'!M9))"),"")</f>
        <v/>
      </c>
      <c r="N9" s="7">
        <f t="shared" si="1"/>
        <v>2022</v>
      </c>
      <c r="O9" s="7" t="str">
        <f t="shared" si="2"/>
        <v>noviembre</v>
      </c>
      <c r="P9" s="7" t="s">
        <v>4223</v>
      </c>
    </row>
    <row r="10">
      <c r="A10" s="19">
        <f>'Respuestas de formulario 1'!A10</f>
        <v>44881.49076</v>
      </c>
      <c r="B10" s="7" t="str">
        <f>'Respuestas de formulario 1'!B10</f>
        <v>JOHNSON</v>
      </c>
      <c r="C10" s="7" t="str">
        <f>'Respuestas de formulario 1'!C10</f>
        <v>GUILLERMO</v>
      </c>
      <c r="D10" s="7" t="str">
        <f>'Respuestas de formulario 1'!D10</f>
        <v>guillermorjohnson@gmail.com</v>
      </c>
      <c r="E10" s="20">
        <f>'Respuestas de formulario 1'!E10</f>
        <v>26996</v>
      </c>
      <c r="F10" s="7">
        <f>'Respuestas de formulario 1'!F10</f>
        <v>23683982</v>
      </c>
      <c r="G10" s="7" t="str">
        <f>IFERROR(__xludf.DUMMYFUNCTION("IF('Respuestas de formulario 1'!G10="""","""",IF(LEFT(REGEXREPLACE(TO_TEXT('Respuestas de formulario 1'!G10),""[^0-9]"",""""),2)=""54"",""+""&amp;REGEXREPLACE(TO_TEXT('Respuestas de formulario 1'!G10),""[^0-9]"",""""),""+54""&amp;REGEXREPLACE(TO_TEXT('Respuestas "&amp;"de formulario 1'!G10),""[^0-9]"","""")))"),"+543515138062")</f>
        <v>+543515138062</v>
      </c>
      <c r="H10" s="7">
        <f>'Respuestas de formulario 1'!S10</f>
        <v>2022</v>
      </c>
      <c r="I10" s="7" t="str">
        <f>IFERROR(__xludf.DUMMYFUNCTION("IF('Respuestas de formulario 1'!I10="""","""",TO_TEXT('Respuestas de formulario 1'!I10))"),"Obra social")</f>
        <v>Obra social</v>
      </c>
      <c r="J10" s="7" t="str">
        <f>IFERROR(__xludf.DUMMYFUNCTION("IF('Respuestas de formulario 1'!J10&lt;&gt;"""",UPPER(TRIM(TO_TEXT('Respuestas de formulario 1'!J10))),IF('Respuestas de formulario 1'!O10&lt;&gt;"""",UPPER(TRIM(TO_TEXT('Respuestas de formulario 1'!O10))),""""))"),"CAJA NOTARIAL")</f>
        <v>CAJA NOTARIAL</v>
      </c>
      <c r="K10" s="7" t="str">
        <f>IFERROR(__xludf.DUMMYFUNCTION("IF('Respuestas de formulario 1'!K10="""","""",TO_TEXT('Respuestas de formulario 1'!K10))"),"")</f>
        <v/>
      </c>
      <c r="L10" s="7" t="str">
        <f>IFERROR(__xludf.DUMMYFUNCTION("IF('Respuestas de formulario 1'!L10="""","""",TO_TEXT('Respuestas de formulario 1'!L10))"),"")</f>
        <v/>
      </c>
      <c r="M10" s="7" t="str">
        <f>IFERROR(__xludf.DUMMYFUNCTION("IF('Respuestas de formulario 1'!M10="""","""",TO_TEXT('Respuestas de formulario 1'!M10))"),"")</f>
        <v/>
      </c>
      <c r="N10" s="7">
        <f t="shared" si="1"/>
        <v>2022</v>
      </c>
      <c r="O10" s="7" t="str">
        <f t="shared" si="2"/>
        <v>noviembre</v>
      </c>
      <c r="P10" s="7" t="s">
        <v>4225</v>
      </c>
    </row>
    <row r="11">
      <c r="A11" s="19">
        <f>'Respuestas de formulario 1'!A11</f>
        <v>44881.68835</v>
      </c>
      <c r="B11" s="7" t="str">
        <f>'Respuestas de formulario 1'!B11</f>
        <v>Carnevale</v>
      </c>
      <c r="C11" s="7" t="str">
        <f>'Respuestas de formulario 1'!C11</f>
        <v>Mariela</v>
      </c>
      <c r="D11" s="7" t="str">
        <f>'Respuestas de formulario 1'!D11</f>
        <v>marielacarnevale533@hotmail.com</v>
      </c>
      <c r="E11" s="20">
        <f>'Respuestas de formulario 1'!E11</f>
        <v>29629</v>
      </c>
      <c r="F11" s="7">
        <f>'Respuestas de formulario 1'!F11</f>
        <v>23683982</v>
      </c>
      <c r="G11" s="7" t="str">
        <f>IFERROR(__xludf.DUMMYFUNCTION("IF('Respuestas de formulario 1'!G11="""","""",IF(LEFT(REGEXREPLACE(TO_TEXT('Respuestas de formulario 1'!G11),""[^0-9]"",""""),2)=""54"",""+""&amp;REGEXREPLACE(TO_TEXT('Respuestas de formulario 1'!G11),""[^0-9]"",""""),""+54""&amp;REGEXREPLACE(TO_TEXT('Respuestas "&amp;"de formulario 1'!G11),""[^0-9]"","""")))"),"+543513040216")</f>
        <v>+543513040216</v>
      </c>
      <c r="H11" s="7">
        <f>'Respuestas de formulario 1'!S11</f>
        <v>2022</v>
      </c>
      <c r="I11" s="7" t="str">
        <f>IFERROR(__xludf.DUMMYFUNCTION("IF('Respuestas de formulario 1'!I11="""","""",TO_TEXT('Respuestas de formulario 1'!I11))"),"Particular")</f>
        <v>Particular</v>
      </c>
      <c r="J11" s="7" t="str">
        <f>IFERROR(__xludf.DUMMYFUNCTION("IF('Respuestas de formulario 1'!J11&lt;&gt;"""",UPPER(TRIM(TO_TEXT('Respuestas de formulario 1'!J11))),IF('Respuestas de formulario 1'!O11&lt;&gt;"""",UPPER(TRIM(TO_TEXT('Respuestas de formulario 1'!O11))),""""))"),"")</f>
        <v/>
      </c>
      <c r="K11" s="7" t="str">
        <f>IFERROR(__xludf.DUMMYFUNCTION("IF('Respuestas de formulario 1'!K11="""","""",TO_TEXT('Respuestas de formulario 1'!K11))"),"")</f>
        <v/>
      </c>
      <c r="L11" s="7" t="str">
        <f>IFERROR(__xludf.DUMMYFUNCTION("IF('Respuestas de formulario 1'!L11="""","""",TO_TEXT('Respuestas de formulario 1'!L11))"),"")</f>
        <v/>
      </c>
      <c r="M11" s="7" t="str">
        <f>IFERROR(__xludf.DUMMYFUNCTION("IF('Respuestas de formulario 1'!M11="""","""",TO_TEXT('Respuestas de formulario 1'!M11))"),"")</f>
        <v/>
      </c>
      <c r="N11" s="7">
        <f t="shared" si="1"/>
        <v>2022</v>
      </c>
      <c r="O11" s="7" t="str">
        <f t="shared" si="2"/>
        <v>noviembre</v>
      </c>
      <c r="P11" s="7" t="s">
        <v>4227</v>
      </c>
    </row>
    <row r="12">
      <c r="A12" s="19">
        <f>'Respuestas de formulario 1'!A12</f>
        <v>44882.45962</v>
      </c>
      <c r="B12" s="7" t="str">
        <f>'Respuestas de formulario 1'!B12</f>
        <v>Isa Minuet</v>
      </c>
      <c r="C12" s="7" t="str">
        <f>'Respuestas de formulario 1'!C12</f>
        <v>Elías</v>
      </c>
      <c r="D12" s="7" t="str">
        <f>'Respuestas de formulario 1'!D12</f>
        <v>eliasisaa@gmail.com</v>
      </c>
      <c r="E12" s="20">
        <f>'Respuestas de formulario 1'!E12</f>
        <v>36108</v>
      </c>
      <c r="F12" s="7">
        <f>'Respuestas de formulario 1'!F12</f>
        <v>41019335</v>
      </c>
      <c r="G12" s="7" t="str">
        <f>IFERROR(__xludf.DUMMYFUNCTION("IF('Respuestas de formulario 1'!G12="""","""",IF(LEFT(REGEXREPLACE(TO_TEXT('Respuestas de formulario 1'!G12),""[^0-9]"",""""),2)=""54"",""+""&amp;REGEXREPLACE(TO_TEXT('Respuestas de formulario 1'!G12),""[^0-9]"",""""),""+54""&amp;REGEXREPLACE(TO_TEXT('Respuestas "&amp;"de formulario 1'!G12),""[^0-9]"","""")))"),"+543517580512")</f>
        <v>+543517580512</v>
      </c>
      <c r="H12" s="7">
        <f>'Respuestas de formulario 1'!S12</f>
        <v>2022</v>
      </c>
      <c r="I12" s="7" t="str">
        <f>IFERROR(__xludf.DUMMYFUNCTION("IF('Respuestas de formulario 1'!I12="""","""",TO_TEXT('Respuestas de formulario 1'!I12))"),"Obra social")</f>
        <v>Obra social</v>
      </c>
      <c r="J12" s="7" t="str">
        <f>IFERROR(__xludf.DUMMYFUNCTION("IF('Respuestas de formulario 1'!J12&lt;&gt;"""",UPPER(TRIM(TO_TEXT('Respuestas de formulario 1'!J12))),IF('Respuestas de formulario 1'!O12&lt;&gt;"""",UPPER(TRIM(TO_TEXT('Respuestas de formulario 1'!O12))),""""))"),"SANCOR")</f>
        <v>SANCOR</v>
      </c>
      <c r="K12" s="7" t="str">
        <f>IFERROR(__xludf.DUMMYFUNCTION("IF('Respuestas de formulario 1'!K12="""","""",TO_TEXT('Respuestas de formulario 1'!K12))"),"")</f>
        <v/>
      </c>
      <c r="L12" s="7" t="str">
        <f>IFERROR(__xludf.DUMMYFUNCTION("IF('Respuestas de formulario 1'!L12="""","""",TO_TEXT('Respuestas de formulario 1'!L12))"),"")</f>
        <v/>
      </c>
      <c r="M12" s="7" t="str">
        <f>IFERROR(__xludf.DUMMYFUNCTION("IF('Respuestas de formulario 1'!M12="""","""",TO_TEXT('Respuestas de formulario 1'!M12))"),"")</f>
        <v/>
      </c>
      <c r="N12" s="7">
        <f t="shared" si="1"/>
        <v>2022</v>
      </c>
      <c r="O12" s="7" t="str">
        <f t="shared" si="2"/>
        <v>noviembre</v>
      </c>
      <c r="P12" s="7" t="s">
        <v>4229</v>
      </c>
    </row>
    <row r="13">
      <c r="A13" s="19">
        <f>'Respuestas de formulario 1'!A13</f>
        <v>44888.4136</v>
      </c>
      <c r="B13" s="7" t="str">
        <f>'Respuestas de formulario 1'!B13</f>
        <v>Ghibaudo</v>
      </c>
      <c r="C13" s="7" t="str">
        <f>'Respuestas de formulario 1'!C13</f>
        <v>Pablo</v>
      </c>
      <c r="D13" s="7" t="str">
        <f>'Respuestas de formulario 1'!D13</f>
        <v>lic.pabloghibaudo@gmail.com</v>
      </c>
      <c r="E13" s="20">
        <f>'Respuestas de formulario 1'!E13</f>
        <v>29137</v>
      </c>
      <c r="F13" s="7">
        <f>'Respuestas de formulario 1'!F13</f>
        <v>27267620</v>
      </c>
      <c r="G13" s="7" t="str">
        <f>IFERROR(__xludf.DUMMYFUNCTION("IF('Respuestas de formulario 1'!G13="""","""",IF(LEFT(REGEXREPLACE(TO_TEXT('Respuestas de formulario 1'!G13),""[^0-9]"",""""),2)=""54"",""+""&amp;REGEXREPLACE(TO_TEXT('Respuestas de formulario 1'!G13),""[^0-9]"",""""),""+54""&amp;REGEXREPLACE(TO_TEXT('Respuestas "&amp;"de formulario 1'!G13),""[^0-9]"","""")))"),"+543515528353")</f>
        <v>+543515528353</v>
      </c>
      <c r="H13" s="7">
        <f>'Respuestas de formulario 1'!S13</f>
        <v>2022</v>
      </c>
      <c r="I13" s="7" t="str">
        <f>IFERROR(__xludf.DUMMYFUNCTION("IF('Respuestas de formulario 1'!I13="""","""",TO_TEXT('Respuestas de formulario 1'!I13))"),"Obra social")</f>
        <v>Obra social</v>
      </c>
      <c r="J13" s="7" t="str">
        <f>IFERROR(__xludf.DUMMYFUNCTION("IF('Respuestas de formulario 1'!J13&lt;&gt;"""",UPPER(TRIM(TO_TEXT('Respuestas de formulario 1'!J13))),IF('Respuestas de formulario 1'!O13&lt;&gt;"""",UPPER(TRIM(TO_TEXT('Respuestas de formulario 1'!O13))),""""))"),"APROSS")</f>
        <v>APROSS</v>
      </c>
      <c r="K13" s="7" t="str">
        <f>IFERROR(__xludf.DUMMYFUNCTION("IF('Respuestas de formulario 1'!K13="""","""",TO_TEXT('Respuestas de formulario 1'!K13))"),"")</f>
        <v/>
      </c>
      <c r="L13" s="7" t="str">
        <f>IFERROR(__xludf.DUMMYFUNCTION("IF('Respuestas de formulario 1'!L13="""","""",TO_TEXT('Respuestas de formulario 1'!L13))"),"")</f>
        <v/>
      </c>
      <c r="M13" s="7" t="str">
        <f>IFERROR(__xludf.DUMMYFUNCTION("IF('Respuestas de formulario 1'!M13="""","""",TO_TEXT('Respuestas de formulario 1'!M13))"),"")</f>
        <v/>
      </c>
      <c r="N13" s="7">
        <f t="shared" si="1"/>
        <v>2022</v>
      </c>
      <c r="O13" s="7" t="str">
        <f t="shared" si="2"/>
        <v>noviembre</v>
      </c>
      <c r="P13" s="7" t="s">
        <v>4231</v>
      </c>
    </row>
    <row r="14">
      <c r="A14" s="19">
        <f>'Respuestas de formulario 1'!A14</f>
        <v>44889.8214</v>
      </c>
      <c r="B14" s="7" t="str">
        <f>'Respuestas de formulario 1'!B14</f>
        <v>Asinari</v>
      </c>
      <c r="C14" s="7" t="str">
        <f>'Respuestas de formulario 1'!C14</f>
        <v>Emanuel</v>
      </c>
      <c r="D14" s="7" t="str">
        <f>'Respuestas de formulario 1'!D14</f>
        <v>lic.pabloghibaudo@gmail.com</v>
      </c>
      <c r="E14" s="20">
        <f>'Respuestas de formulario 1'!E14</f>
        <v>34338</v>
      </c>
      <c r="F14" s="7">
        <f>'Respuestas de formulario 1'!F14</f>
        <v>38001813</v>
      </c>
      <c r="G14" s="7" t="str">
        <f>IFERROR(__xludf.DUMMYFUNCTION("IF('Respuestas de formulario 1'!G14="""","""",IF(LEFT(REGEXREPLACE(TO_TEXT('Respuestas de formulario 1'!G14),""[^0-9]"",""""),2)=""54"",""+""&amp;REGEXREPLACE(TO_TEXT('Respuestas de formulario 1'!G14),""[^0-9]"",""""),""+54""&amp;REGEXREPLACE(TO_TEXT('Respuestas "&amp;"de formulario 1'!G14),""[^0-9]"","""")))"),"+543516098550")</f>
        <v>+543516098550</v>
      </c>
      <c r="H14" s="7">
        <f>'Respuestas de formulario 1'!S14</f>
        <v>2022</v>
      </c>
      <c r="I14" s="7" t="str">
        <f>IFERROR(__xludf.DUMMYFUNCTION("IF('Respuestas de formulario 1'!I14="""","""",TO_TEXT('Respuestas de formulario 1'!I14))"),"Particular")</f>
        <v>Particular</v>
      </c>
      <c r="J14" s="7" t="str">
        <f>IFERROR(__xludf.DUMMYFUNCTION("IF('Respuestas de formulario 1'!J14&lt;&gt;"""",UPPER(TRIM(TO_TEXT('Respuestas de formulario 1'!J14))),IF('Respuestas de formulario 1'!O14&lt;&gt;"""",UPPER(TRIM(TO_TEXT('Respuestas de formulario 1'!O14))),""""))"),"")</f>
        <v/>
      </c>
      <c r="K14" s="7" t="str">
        <f>IFERROR(__xludf.DUMMYFUNCTION("IF('Respuestas de formulario 1'!K14="""","""",TO_TEXT('Respuestas de formulario 1'!K14))"),"")</f>
        <v/>
      </c>
      <c r="L14" s="7" t="str">
        <f>IFERROR(__xludf.DUMMYFUNCTION("IF('Respuestas de formulario 1'!L14="""","""",TO_TEXT('Respuestas de formulario 1'!L14))"),"")</f>
        <v/>
      </c>
      <c r="M14" s="7" t="str">
        <f>IFERROR(__xludf.DUMMYFUNCTION("IF('Respuestas de formulario 1'!M14="""","""",TO_TEXT('Respuestas de formulario 1'!M14))"),"")</f>
        <v/>
      </c>
      <c r="N14" s="7">
        <f t="shared" si="1"/>
        <v>2022</v>
      </c>
      <c r="O14" s="7" t="str">
        <f t="shared" si="2"/>
        <v>noviembre</v>
      </c>
      <c r="P14" s="7" t="s">
        <v>4233</v>
      </c>
    </row>
    <row r="15">
      <c r="A15" s="19">
        <f>'Respuestas de formulario 1'!A15</f>
        <v>44890.79853</v>
      </c>
      <c r="B15" s="7" t="str">
        <f>'Respuestas de formulario 1'!B15</f>
        <v>Rivara</v>
      </c>
      <c r="C15" s="7" t="str">
        <f>'Respuestas de formulario 1'!C15</f>
        <v>Mauro Alejandro</v>
      </c>
      <c r="D15" s="7" t="str">
        <f>'Respuestas de formulario 1'!D15</f>
        <v>rivaramauro@hotmail.com</v>
      </c>
      <c r="E15" s="20">
        <f>'Respuestas de formulario 1'!E15</f>
        <v>22514</v>
      </c>
      <c r="F15" s="7">
        <f>'Respuestas de formulario 1'!F15</f>
        <v>14747390</v>
      </c>
      <c r="G15" s="7" t="str">
        <f>IFERROR(__xludf.DUMMYFUNCTION("IF('Respuestas de formulario 1'!G15="""","""",IF(LEFT(REGEXREPLACE(TO_TEXT('Respuestas de formulario 1'!G15),""[^0-9]"",""""),2)=""54"",""+""&amp;REGEXREPLACE(TO_TEXT('Respuestas de formulario 1'!G15),""[^0-9]"",""""),""+54""&amp;REGEXREPLACE(TO_TEXT('Respuestas "&amp;"de formulario 1'!G15),""[^0-9]"","""")))"),"+543516536874")</f>
        <v>+543516536874</v>
      </c>
      <c r="H15" s="7">
        <f>'Respuestas de formulario 1'!S15</f>
        <v>2022</v>
      </c>
      <c r="I15" s="7" t="str">
        <f>IFERROR(__xludf.DUMMYFUNCTION("IF('Respuestas de formulario 1'!I15="""","""",TO_TEXT('Respuestas de formulario 1'!I15))"),"Obra social")</f>
        <v>Obra social</v>
      </c>
      <c r="J15" s="7" t="str">
        <f>IFERROR(__xludf.DUMMYFUNCTION("IF('Respuestas de formulario 1'!J15&lt;&gt;"""",UPPER(TRIM(TO_TEXT('Respuestas de formulario 1'!J15))),IF('Respuestas de formulario 1'!O15&lt;&gt;"""",UPPER(TRIM(TO_TEXT('Respuestas de formulario 1'!O15))),""""))"),"CPCE")</f>
        <v>CPCE</v>
      </c>
      <c r="K15" s="7" t="str">
        <f>IFERROR(__xludf.DUMMYFUNCTION("IF('Respuestas de formulario 1'!K15="""","""",TO_TEXT('Respuestas de formulario 1'!K15))"),"")</f>
        <v/>
      </c>
      <c r="L15" s="7" t="str">
        <f>IFERROR(__xludf.DUMMYFUNCTION("IF('Respuestas de formulario 1'!L15="""","""",TO_TEXT('Respuestas de formulario 1'!L15))"),"")</f>
        <v/>
      </c>
      <c r="M15" s="7" t="str">
        <f>IFERROR(__xludf.DUMMYFUNCTION("IF('Respuestas de formulario 1'!M15="""","""",TO_TEXT('Respuestas de formulario 1'!M15))"),"")</f>
        <v/>
      </c>
      <c r="N15" s="7">
        <f t="shared" si="1"/>
        <v>2022</v>
      </c>
      <c r="O15" s="7" t="str">
        <f t="shared" si="2"/>
        <v>noviembre</v>
      </c>
      <c r="P15" s="7" t="s">
        <v>4235</v>
      </c>
    </row>
    <row r="16">
      <c r="A16" s="19">
        <f>'Respuestas de formulario 1'!A16</f>
        <v>44891.47483</v>
      </c>
      <c r="B16" s="7" t="str">
        <f>'Respuestas de formulario 1'!B16</f>
        <v>Andino</v>
      </c>
      <c r="C16" s="7" t="str">
        <f>'Respuestas de formulario 1'!C16</f>
        <v>Guillermo Regino</v>
      </c>
      <c r="D16" s="7" t="str">
        <f>'Respuestas de formulario 1'!D16</f>
        <v>puchiandino1@gmail.com</v>
      </c>
      <c r="E16" s="20">
        <f>'Respuestas de formulario 1'!E16</f>
        <v>37207</v>
      </c>
      <c r="F16" s="7">
        <f>'Respuestas de formulario 1'!F16</f>
        <v>43693789</v>
      </c>
      <c r="G16" s="7" t="str">
        <f>IFERROR(__xludf.DUMMYFUNCTION("IF('Respuestas de formulario 1'!G16="""","""",IF(LEFT(REGEXREPLACE(TO_TEXT('Respuestas de formulario 1'!G16),""[^0-9]"",""""),2)=""54"",""+""&amp;REGEXREPLACE(TO_TEXT('Respuestas de formulario 1'!G16),""[^0-9]"",""""),""+54""&amp;REGEXREPLACE(TO_TEXT('Respuestas "&amp;"de formulario 1'!G16),""[^0-9]"","""")))"),"+543517014316")</f>
        <v>+543517014316</v>
      </c>
      <c r="H16" s="7">
        <f>'Respuestas de formulario 1'!S16</f>
        <v>2022</v>
      </c>
      <c r="I16" s="7" t="str">
        <f>IFERROR(__xludf.DUMMYFUNCTION("IF('Respuestas de formulario 1'!I16="""","""",TO_TEXT('Respuestas de formulario 1'!I16))"),"Obra social")</f>
        <v>Obra social</v>
      </c>
      <c r="J16" s="7" t="str">
        <f>IFERROR(__xludf.DUMMYFUNCTION("IF('Respuestas de formulario 1'!J16&lt;&gt;"""",UPPER(TRIM(TO_TEXT('Respuestas de formulario 1'!J16))),IF('Respuestas de formulario 1'!O16&lt;&gt;"""",UPPER(TRIM(TO_TEXT('Respuestas de formulario 1'!O16))),""""))"),"DASPU")</f>
        <v>DASPU</v>
      </c>
      <c r="K16" s="7" t="str">
        <f>IFERROR(__xludf.DUMMYFUNCTION("IF('Respuestas de formulario 1'!K16="""","""",TO_TEXT('Respuestas de formulario 1'!K16))"),"")</f>
        <v/>
      </c>
      <c r="L16" s="7" t="str">
        <f>IFERROR(__xludf.DUMMYFUNCTION("IF('Respuestas de formulario 1'!L16="""","""",TO_TEXT('Respuestas de formulario 1'!L16))"),"")</f>
        <v/>
      </c>
      <c r="M16" s="7" t="str">
        <f>IFERROR(__xludf.DUMMYFUNCTION("IF('Respuestas de formulario 1'!M16="""","""",TO_TEXT('Respuestas de formulario 1'!M16))"),"")</f>
        <v/>
      </c>
      <c r="N16" s="7">
        <f t="shared" si="1"/>
        <v>2022</v>
      </c>
      <c r="O16" s="7" t="str">
        <f t="shared" si="2"/>
        <v>noviembre</v>
      </c>
      <c r="P16" s="7" t="s">
        <v>4237</v>
      </c>
    </row>
    <row r="17">
      <c r="A17" s="19">
        <f>'Respuestas de formulario 1'!A17</f>
        <v>44893.47072</v>
      </c>
      <c r="B17" s="7" t="str">
        <f>'Respuestas de formulario 1'!B17</f>
        <v>MUÑOZ</v>
      </c>
      <c r="C17" s="7" t="str">
        <f>'Respuestas de formulario 1'!C17</f>
        <v>Emery omar</v>
      </c>
      <c r="D17" s="7" t="str">
        <f>'Respuestas de formulario 1'!D17</f>
        <v>escribaniamunoz@gmail.com</v>
      </c>
      <c r="E17" s="20">
        <f>'Respuestas de formulario 1'!E17</f>
        <v>28950</v>
      </c>
      <c r="F17" s="7">
        <f>'Respuestas de formulario 1'!F17</f>
        <v>27303587</v>
      </c>
      <c r="G17" s="7" t="str">
        <f>IFERROR(__xludf.DUMMYFUNCTION("IF('Respuestas de formulario 1'!G17="""","""",IF(LEFT(REGEXREPLACE(TO_TEXT('Respuestas de formulario 1'!G17),""[^0-9]"",""""),2)=""54"",""+""&amp;REGEXREPLACE(TO_TEXT('Respuestas de formulario 1'!G17),""[^0-9]"",""""),""+54""&amp;REGEXREPLACE(TO_TEXT('Respuestas "&amp;"de formulario 1'!G17),""[^0-9]"","""")))"),"+543513493623")</f>
        <v>+543513493623</v>
      </c>
      <c r="H17" s="7">
        <f>'Respuestas de formulario 1'!S17</f>
        <v>2022</v>
      </c>
      <c r="I17" s="7" t="str">
        <f>IFERROR(__xludf.DUMMYFUNCTION("IF('Respuestas de formulario 1'!I17="""","""",TO_TEXT('Respuestas de formulario 1'!I17))"),"Obra social")</f>
        <v>Obra social</v>
      </c>
      <c r="J17" s="7" t="str">
        <f>IFERROR(__xludf.DUMMYFUNCTION("IF('Respuestas de formulario 1'!J17&lt;&gt;"""",UPPER(TRIM(TO_TEXT('Respuestas de formulario 1'!J17))),IF('Respuestas de formulario 1'!O17&lt;&gt;"""",UPPER(TRIM(TO_TEXT('Respuestas de formulario 1'!O17))),""""))"),"CAJA NOTARIAL")</f>
        <v>CAJA NOTARIAL</v>
      </c>
      <c r="K17" s="7" t="str">
        <f>IFERROR(__xludf.DUMMYFUNCTION("IF('Respuestas de formulario 1'!K17="""","""",TO_TEXT('Respuestas de formulario 1'!K17))"),"")</f>
        <v/>
      </c>
      <c r="L17" s="7" t="str">
        <f>IFERROR(__xludf.DUMMYFUNCTION("IF('Respuestas de formulario 1'!L17="""","""",TO_TEXT('Respuestas de formulario 1'!L17))"),"")</f>
        <v/>
      </c>
      <c r="M17" s="7" t="str">
        <f>IFERROR(__xludf.DUMMYFUNCTION("IF('Respuestas de formulario 1'!M17="""","""",TO_TEXT('Respuestas de formulario 1'!M17))"),"")</f>
        <v/>
      </c>
      <c r="N17" s="7">
        <f t="shared" si="1"/>
        <v>2022</v>
      </c>
      <c r="O17" s="7" t="str">
        <f t="shared" si="2"/>
        <v>noviembre</v>
      </c>
      <c r="P17" s="7" t="s">
        <v>4239</v>
      </c>
    </row>
    <row r="18">
      <c r="A18" s="19">
        <f>'Respuestas de formulario 1'!A18</f>
        <v>44893.5012</v>
      </c>
      <c r="B18" s="7" t="str">
        <f>'Respuestas de formulario 1'!B18</f>
        <v>Boasso</v>
      </c>
      <c r="C18" s="7" t="str">
        <f>'Respuestas de formulario 1'!C18</f>
        <v>Lucas</v>
      </c>
      <c r="D18" s="7" t="str">
        <f>'Respuestas de formulario 1'!D18</f>
        <v>sosamariapia@hotmail.com </v>
      </c>
      <c r="E18" s="20">
        <f>'Respuestas de formulario 1'!E18</f>
        <v>42410</v>
      </c>
      <c r="F18" s="7">
        <f>'Respuestas de formulario 1'!F18</f>
        <v>55011829</v>
      </c>
      <c r="G18" s="7" t="str">
        <f>IFERROR(__xludf.DUMMYFUNCTION("IF('Respuestas de formulario 1'!G18="""","""",IF(LEFT(REGEXREPLACE(TO_TEXT('Respuestas de formulario 1'!G18),""[^0-9]"",""""),2)=""54"",""+""&amp;REGEXREPLACE(TO_TEXT('Respuestas de formulario 1'!G18),""[^0-9]"",""""),""+54""&amp;REGEXREPLACE(TO_TEXT('Respuestas "&amp;"de formulario 1'!G18),""[^0-9]"","""")))"),"+543516280350")</f>
        <v>+543516280350</v>
      </c>
      <c r="H18" s="7">
        <f>'Respuestas de formulario 1'!S18</f>
        <v>2022</v>
      </c>
      <c r="I18" s="7" t="str">
        <f>IFERROR(__xludf.DUMMYFUNCTION("IF('Respuestas de formulario 1'!I18="""","""",TO_TEXT('Respuestas de formulario 1'!I18))"),"Obra social")</f>
        <v>Obra social</v>
      </c>
      <c r="J18" s="7" t="str">
        <f>IFERROR(__xludf.DUMMYFUNCTION("IF('Respuestas de formulario 1'!J18&lt;&gt;"""",UPPER(TRIM(TO_TEXT('Respuestas de formulario 1'!J18))),IF('Respuestas de formulario 1'!O18&lt;&gt;"""",UPPER(TRIM(TO_TEXT('Respuestas de formulario 1'!O18))),""""))"),"APROSS")</f>
        <v>APROSS</v>
      </c>
      <c r="K18" s="7" t="str">
        <f>IFERROR(__xludf.DUMMYFUNCTION("IF('Respuestas de formulario 1'!K18="""","""",TO_TEXT('Respuestas de formulario 1'!K18))"),"")</f>
        <v/>
      </c>
      <c r="L18" s="7" t="str">
        <f>IFERROR(__xludf.DUMMYFUNCTION("IF('Respuestas de formulario 1'!L18="""","""",TO_TEXT('Respuestas de formulario 1'!L18))"),"")</f>
        <v/>
      </c>
      <c r="M18" s="7" t="str">
        <f>IFERROR(__xludf.DUMMYFUNCTION("IF('Respuestas de formulario 1'!M18="""","""",TO_TEXT('Respuestas de formulario 1'!M18))"),"")</f>
        <v/>
      </c>
      <c r="N18" s="7">
        <f t="shared" si="1"/>
        <v>2022</v>
      </c>
      <c r="O18" s="7" t="str">
        <f t="shared" si="2"/>
        <v>noviembre</v>
      </c>
      <c r="P18" s="7" t="s">
        <v>4241</v>
      </c>
    </row>
    <row r="19">
      <c r="A19" s="19">
        <f>'Respuestas de formulario 1'!A19</f>
        <v>44895.83769</v>
      </c>
      <c r="B19" s="7" t="str">
        <f>'Respuestas de formulario 1'!B19</f>
        <v>Druetta</v>
      </c>
      <c r="C19" s="7" t="str">
        <f>'Respuestas de formulario 1'!C19</f>
        <v>Joaquín</v>
      </c>
      <c r="D19" s="7" t="str">
        <f>'Respuestas de formulario 1'!D19</f>
        <v>joadruetta@gmail.com</v>
      </c>
      <c r="E19" s="20">
        <f>'Respuestas de formulario 1'!E19</f>
        <v>35936</v>
      </c>
      <c r="F19" s="7">
        <f>'Respuestas de formulario 1'!F19</f>
        <v>4081605</v>
      </c>
      <c r="G19" s="7" t="str">
        <f>IFERROR(__xludf.DUMMYFUNCTION("IF('Respuestas de formulario 1'!G19="""","""",IF(LEFT(REGEXREPLACE(TO_TEXT('Respuestas de formulario 1'!G19),""[^0-9]"",""""),2)=""54"",""+""&amp;REGEXREPLACE(TO_TEXT('Respuestas de formulario 1'!G19),""[^0-9]"",""""),""+54""&amp;REGEXREPLACE(TO_TEXT('Respuestas "&amp;"de formulario 1'!G19),""[^0-9]"","""")))"),"+543513861638")</f>
        <v>+543513861638</v>
      </c>
      <c r="H19" s="7">
        <f>'Respuestas de formulario 1'!S19</f>
        <v>2022</v>
      </c>
      <c r="I19" s="7" t="str">
        <f>IFERROR(__xludf.DUMMYFUNCTION("IF('Respuestas de formulario 1'!I19="""","""",TO_TEXT('Respuestas de formulario 1'!I19))"),"Particular")</f>
        <v>Particular</v>
      </c>
      <c r="J19" s="7" t="str">
        <f>IFERROR(__xludf.DUMMYFUNCTION("IF('Respuestas de formulario 1'!J19&lt;&gt;"""",UPPER(TRIM(TO_TEXT('Respuestas de formulario 1'!J19))),IF('Respuestas de formulario 1'!O19&lt;&gt;"""",UPPER(TRIM(TO_TEXT('Respuestas de formulario 1'!O19))),""""))"),"")</f>
        <v/>
      </c>
      <c r="K19" s="7" t="str">
        <f>IFERROR(__xludf.DUMMYFUNCTION("IF('Respuestas de formulario 1'!K19="""","""",TO_TEXT('Respuestas de formulario 1'!K19))"),"")</f>
        <v/>
      </c>
      <c r="L19" s="7" t="str">
        <f>IFERROR(__xludf.DUMMYFUNCTION("IF('Respuestas de formulario 1'!L19="""","""",TO_TEXT('Respuestas de formulario 1'!L19))"),"")</f>
        <v/>
      </c>
      <c r="M19" s="7" t="str">
        <f>IFERROR(__xludf.DUMMYFUNCTION("IF('Respuestas de formulario 1'!M19="""","""",TO_TEXT('Respuestas de formulario 1'!M19))"),"")</f>
        <v/>
      </c>
      <c r="N19" s="7">
        <f t="shared" si="1"/>
        <v>2022</v>
      </c>
      <c r="O19" s="7" t="str">
        <f t="shared" si="2"/>
        <v>noviembre</v>
      </c>
      <c r="P19" s="7" t="s">
        <v>4243</v>
      </c>
    </row>
    <row r="20">
      <c r="A20" s="19">
        <f>'Respuestas de formulario 1'!A20</f>
        <v>44897.8481</v>
      </c>
      <c r="B20" s="7" t="str">
        <f>'Respuestas de formulario 1'!B20</f>
        <v>Hilbe</v>
      </c>
      <c r="C20" s="7" t="str">
        <f>'Respuestas de formulario 1'!C20</f>
        <v>Estela</v>
      </c>
      <c r="D20" s="7" t="str">
        <f>'Respuestas de formulario 1'!D20</f>
        <v>Estelahilbe5@hotmail.com </v>
      </c>
      <c r="E20" s="20">
        <f>'Respuestas de formulario 1'!E20</f>
        <v>19420</v>
      </c>
      <c r="F20" s="7">
        <f>'Respuestas de formulario 1'!F20</f>
        <v>10756516</v>
      </c>
      <c r="G20" s="7" t="str">
        <f>IFERROR(__xludf.DUMMYFUNCTION("IF('Respuestas de formulario 1'!G20="""","""",IF(LEFT(REGEXREPLACE(TO_TEXT('Respuestas de formulario 1'!G20),""[^0-9]"",""""),2)=""54"",""+""&amp;REGEXREPLACE(TO_TEXT('Respuestas de formulario 1'!G20),""[^0-9]"",""""),""+54""&amp;REGEXREPLACE(TO_TEXT('Respuestas "&amp;"de formulario 1'!G20),""[^0-9]"","""")))"),"+543513123179")</f>
        <v>+543513123179</v>
      </c>
      <c r="H20" s="7">
        <f>'Respuestas de formulario 1'!S20</f>
        <v>2022</v>
      </c>
      <c r="I20" s="7" t="str">
        <f>IFERROR(__xludf.DUMMYFUNCTION("IF('Respuestas de formulario 1'!I20="""","""",TO_TEXT('Respuestas de formulario 1'!I20))"),"Obra social")</f>
        <v>Obra social</v>
      </c>
      <c r="J20" s="7" t="str">
        <f>IFERROR(__xludf.DUMMYFUNCTION("IF('Respuestas de formulario 1'!J20&lt;&gt;"""",UPPER(TRIM(TO_TEXT('Respuestas de formulario 1'!J20))),IF('Respuestas de formulario 1'!O20&lt;&gt;"""",UPPER(TRIM(TO_TEXT('Respuestas de formulario 1'!O20))),""""))"),"JERARQUICO SALUD")</f>
        <v>JERARQUICO SALUD</v>
      </c>
      <c r="K20" s="7" t="str">
        <f>IFERROR(__xludf.DUMMYFUNCTION("IF('Respuestas de formulario 1'!K20="""","""",TO_TEXT('Respuestas de formulario 1'!K20))"),"")</f>
        <v/>
      </c>
      <c r="L20" s="7" t="str">
        <f>IFERROR(__xludf.DUMMYFUNCTION("IF('Respuestas de formulario 1'!L20="""","""",TO_TEXT('Respuestas de formulario 1'!L20))"),"")</f>
        <v/>
      </c>
      <c r="M20" s="7" t="str">
        <f>IFERROR(__xludf.DUMMYFUNCTION("IF('Respuestas de formulario 1'!M20="""","""",TO_TEXT('Respuestas de formulario 1'!M20))"),"")</f>
        <v/>
      </c>
      <c r="N20" s="7">
        <f t="shared" si="1"/>
        <v>2022</v>
      </c>
      <c r="O20" s="7" t="str">
        <f t="shared" si="2"/>
        <v>diciembre</v>
      </c>
      <c r="P20" s="7" t="s">
        <v>4245</v>
      </c>
    </row>
    <row r="21">
      <c r="A21" s="19">
        <f>'Respuestas de formulario 1'!A21</f>
        <v>44901.88307</v>
      </c>
      <c r="B21" s="7" t="str">
        <f>'Respuestas de formulario 1'!B21</f>
        <v>Conrero</v>
      </c>
      <c r="C21" s="7" t="str">
        <f>'Respuestas de formulario 1'!C21</f>
        <v>Valentino</v>
      </c>
      <c r="D21" s="7" t="str">
        <f>'Respuestas de formulario 1'!D21</f>
        <v>vconrero@gmail.com</v>
      </c>
      <c r="E21" s="20">
        <f>'Respuestas de formulario 1'!E21</f>
        <v>37698</v>
      </c>
      <c r="F21" s="7">
        <f>'Respuestas de formulario 1'!F21</f>
        <v>44694075</v>
      </c>
      <c r="G21" s="7" t="str">
        <f>IFERROR(__xludf.DUMMYFUNCTION("IF('Respuestas de formulario 1'!G21="""","""",IF(LEFT(REGEXREPLACE(TO_TEXT('Respuestas de formulario 1'!G21),""[^0-9]"",""""),2)=""54"",""+""&amp;REGEXREPLACE(TO_TEXT('Respuestas de formulario 1'!G21),""[^0-9]"",""""),""+54""&amp;REGEXREPLACE(TO_TEXT('Respuestas "&amp;"de formulario 1'!G21),""[^0-9]"","""")))"),"+543515290969")</f>
        <v>+543515290969</v>
      </c>
      <c r="H21" s="7">
        <f>'Respuestas de formulario 1'!S21</f>
        <v>2022</v>
      </c>
      <c r="I21" s="7" t="str">
        <f>IFERROR(__xludf.DUMMYFUNCTION("IF('Respuestas de formulario 1'!I21="""","""",TO_TEXT('Respuestas de formulario 1'!I21))"),"Obra social")</f>
        <v>Obra social</v>
      </c>
      <c r="J21" s="7" t="str">
        <f>IFERROR(__xludf.DUMMYFUNCTION("IF('Respuestas de formulario 1'!J21&lt;&gt;"""",UPPER(TRIM(TO_TEXT('Respuestas de formulario 1'!J21))),IF('Respuestas de formulario 1'!O21&lt;&gt;"""",UPPER(TRIM(TO_TEXT('Respuestas de formulario 1'!O21))),""""))"),"MEDIFÉ")</f>
        <v>MEDIFÉ</v>
      </c>
      <c r="K21" s="7" t="str">
        <f>IFERROR(__xludf.DUMMYFUNCTION("IF('Respuestas de formulario 1'!K21="""","""",TO_TEXT('Respuestas de formulario 1'!K21))"),"")</f>
        <v/>
      </c>
      <c r="L21" s="7" t="str">
        <f>IFERROR(__xludf.DUMMYFUNCTION("IF('Respuestas de formulario 1'!L21="""","""",TO_TEXT('Respuestas de formulario 1'!L21))"),"")</f>
        <v/>
      </c>
      <c r="M21" s="7" t="str">
        <f>IFERROR(__xludf.DUMMYFUNCTION("IF('Respuestas de formulario 1'!M21="""","""",TO_TEXT('Respuestas de formulario 1'!M21))"),"")</f>
        <v/>
      </c>
      <c r="N21" s="7">
        <f t="shared" si="1"/>
        <v>2022</v>
      </c>
      <c r="O21" s="7" t="str">
        <f t="shared" si="2"/>
        <v>diciembre</v>
      </c>
      <c r="P21" s="7" t="s">
        <v>4247</v>
      </c>
    </row>
    <row r="22">
      <c r="A22" s="19">
        <f>'Respuestas de formulario 1'!A22</f>
        <v>44902.41631</v>
      </c>
      <c r="B22" s="7" t="str">
        <f>'Respuestas de formulario 1'!B22</f>
        <v>Gonzalez</v>
      </c>
      <c r="C22" s="7" t="str">
        <f>'Respuestas de formulario 1'!C22</f>
        <v>Nicolas </v>
      </c>
      <c r="D22" s="7" t="str">
        <f>'Respuestas de formulario 1'!D22</f>
        <v>Nicomatigonzalez@hotmail.com</v>
      </c>
      <c r="E22" s="20">
        <f>'Respuestas de formulario 1'!E22</f>
        <v>34786</v>
      </c>
      <c r="F22" s="7">
        <f>'Respuestas de formulario 1'!F22</f>
        <v>38749170</v>
      </c>
      <c r="G22" s="7" t="str">
        <f>IFERROR(__xludf.DUMMYFUNCTION("IF('Respuestas de formulario 1'!G22="""","""",IF(LEFT(REGEXREPLACE(TO_TEXT('Respuestas de formulario 1'!G22),""[^0-9]"",""""),2)=""54"",""+""&amp;REGEXREPLACE(TO_TEXT('Respuestas de formulario 1'!G22),""[^0-9]"",""""),""+54""&amp;REGEXREPLACE(TO_TEXT('Respuestas "&amp;"de formulario 1'!G22),""[^0-9]"","""")))"),"+543512558234")</f>
        <v>+543512558234</v>
      </c>
      <c r="H22" s="7">
        <f>'Respuestas de formulario 1'!S22</f>
        <v>2022</v>
      </c>
      <c r="I22" s="7" t="str">
        <f>IFERROR(__xludf.DUMMYFUNCTION("IF('Respuestas de formulario 1'!I22="""","""",TO_TEXT('Respuestas de formulario 1'!I22))"),"Particular")</f>
        <v>Particular</v>
      </c>
      <c r="J22" s="7" t="str">
        <f>IFERROR(__xludf.DUMMYFUNCTION("IF('Respuestas de formulario 1'!J22&lt;&gt;"""",UPPER(TRIM(TO_TEXT('Respuestas de formulario 1'!J22))),IF('Respuestas de formulario 1'!O22&lt;&gt;"""",UPPER(TRIM(TO_TEXT('Respuestas de formulario 1'!O22))),""""))"),"")</f>
        <v/>
      </c>
      <c r="K22" s="7" t="str">
        <f>IFERROR(__xludf.DUMMYFUNCTION("IF('Respuestas de formulario 1'!K22="""","""",TO_TEXT('Respuestas de formulario 1'!K22))"),"")</f>
        <v/>
      </c>
      <c r="L22" s="7" t="str">
        <f>IFERROR(__xludf.DUMMYFUNCTION("IF('Respuestas de formulario 1'!L22="""","""",TO_TEXT('Respuestas de formulario 1'!L22))"),"")</f>
        <v/>
      </c>
      <c r="M22" s="7" t="str">
        <f>IFERROR(__xludf.DUMMYFUNCTION("IF('Respuestas de formulario 1'!M22="""","""",TO_TEXT('Respuestas de formulario 1'!M22))"),"")</f>
        <v/>
      </c>
      <c r="N22" s="7">
        <f t="shared" si="1"/>
        <v>2022</v>
      </c>
      <c r="O22" s="7" t="str">
        <f t="shared" si="2"/>
        <v>diciembre</v>
      </c>
      <c r="P22" s="7" t="s">
        <v>4249</v>
      </c>
    </row>
    <row r="23">
      <c r="A23" s="19">
        <f>'Respuestas de formulario 1'!A23</f>
        <v>44907.70007</v>
      </c>
      <c r="B23" s="7" t="str">
        <f>'Respuestas de formulario 1'!B23</f>
        <v>Araujo</v>
      </c>
      <c r="C23" s="7" t="str">
        <f>'Respuestas de formulario 1'!C23</f>
        <v>Dora Susana </v>
      </c>
      <c r="D23" s="7" t="str">
        <f>'Respuestas de formulario 1'!D23</f>
        <v>sietejuana@gmail.com</v>
      </c>
      <c r="E23" s="20">
        <f>'Respuestas de formulario 1'!E23</f>
        <v>16564</v>
      </c>
      <c r="F23" s="7">
        <f>'Respuestas de formulario 1'!F23</f>
        <v>4647485</v>
      </c>
      <c r="G23" s="7" t="str">
        <f>IFERROR(__xludf.DUMMYFUNCTION("IF('Respuestas de formulario 1'!G23="""","""",IF(LEFT(REGEXREPLACE(TO_TEXT('Respuestas de formulario 1'!G23),""[^0-9]"",""""),2)=""54"",""+""&amp;REGEXREPLACE(TO_TEXT('Respuestas de formulario 1'!G23),""[^0-9]"",""""),""+54""&amp;REGEXREPLACE(TO_TEXT('Respuestas "&amp;"de formulario 1'!G23),""[^0-9]"","""")))"),"+543513503636")</f>
        <v>+543513503636</v>
      </c>
      <c r="H23" s="7">
        <f>'Respuestas de formulario 1'!S23</f>
        <v>2022</v>
      </c>
      <c r="I23" s="7" t="str">
        <f>IFERROR(__xludf.DUMMYFUNCTION("IF('Respuestas de formulario 1'!I23="""","""",TO_TEXT('Respuestas de formulario 1'!I23))"),"Obra social")</f>
        <v>Obra social</v>
      </c>
      <c r="J23" s="7" t="str">
        <f>IFERROR(__xludf.DUMMYFUNCTION("IF('Respuestas de formulario 1'!J23&lt;&gt;"""",UPPER(TRIM(TO_TEXT('Respuestas de formulario 1'!J23))),IF('Respuestas de formulario 1'!O23&lt;&gt;"""",UPPER(TRIM(TO_TEXT('Respuestas de formulario 1'!O23))),""""))"),"APROSS")</f>
        <v>APROSS</v>
      </c>
      <c r="K23" s="7" t="str">
        <f>IFERROR(__xludf.DUMMYFUNCTION("IF('Respuestas de formulario 1'!K23="""","""",TO_TEXT('Respuestas de formulario 1'!K23))"),"")</f>
        <v/>
      </c>
      <c r="L23" s="7" t="str">
        <f>IFERROR(__xludf.DUMMYFUNCTION("IF('Respuestas de formulario 1'!L23="""","""",TO_TEXT('Respuestas de formulario 1'!L23))"),"")</f>
        <v/>
      </c>
      <c r="M23" s="7" t="str">
        <f>IFERROR(__xludf.DUMMYFUNCTION("IF('Respuestas de formulario 1'!M23="""","""",TO_TEXT('Respuestas de formulario 1'!M23))"),"")</f>
        <v/>
      </c>
      <c r="N23" s="7">
        <f t="shared" si="1"/>
        <v>2022</v>
      </c>
      <c r="O23" s="7" t="str">
        <f t="shared" si="2"/>
        <v>diciembre</v>
      </c>
      <c r="P23" s="7" t="s">
        <v>4251</v>
      </c>
    </row>
    <row r="24">
      <c r="A24" s="19">
        <f>'Respuestas de formulario 1'!A24</f>
        <v>44908.35121</v>
      </c>
      <c r="B24" s="7" t="str">
        <f>'Respuestas de formulario 1'!B24</f>
        <v>Boasi</v>
      </c>
      <c r="C24" s="7" t="str">
        <f>'Respuestas de formulario 1'!C24</f>
        <v>Ivana</v>
      </c>
      <c r="D24" s="7" t="str">
        <f>'Respuestas de formulario 1'!D24</f>
        <v>ivanaboasi@gmail.com</v>
      </c>
      <c r="E24" s="20">
        <f>'Respuestas de formulario 1'!E24</f>
        <v>30556</v>
      </c>
      <c r="F24" s="7">
        <f>'Respuestas de formulario 1'!F24</f>
        <v>30469315</v>
      </c>
      <c r="G24" s="7" t="str">
        <f>IFERROR(__xludf.DUMMYFUNCTION("IF('Respuestas de formulario 1'!G24="""","""",IF(LEFT(REGEXREPLACE(TO_TEXT('Respuestas de formulario 1'!G24),""[^0-9]"",""""),2)=""54"",""+""&amp;REGEXREPLACE(TO_TEXT('Respuestas de formulario 1'!G24),""[^0-9]"",""""),""+54""&amp;REGEXREPLACE(TO_TEXT('Respuestas "&amp;"de formulario 1'!G24),""[^0-9]"","""")))"),"+543513732026")</f>
        <v>+543513732026</v>
      </c>
      <c r="H24" s="7">
        <f>'Respuestas de formulario 1'!S24</f>
        <v>2022</v>
      </c>
      <c r="I24" s="7" t="str">
        <f>IFERROR(__xludf.DUMMYFUNCTION("IF('Respuestas de formulario 1'!I24="""","""",TO_TEXT('Respuestas de formulario 1'!I24))"),"Particular")</f>
        <v>Particular</v>
      </c>
      <c r="J24" s="7" t="str">
        <f>IFERROR(__xludf.DUMMYFUNCTION("IF('Respuestas de formulario 1'!J24&lt;&gt;"""",UPPER(TRIM(TO_TEXT('Respuestas de formulario 1'!J24))),IF('Respuestas de formulario 1'!O24&lt;&gt;"""",UPPER(TRIM(TO_TEXT('Respuestas de formulario 1'!O24))),""""))"),"")</f>
        <v/>
      </c>
      <c r="K24" s="7" t="str">
        <f>IFERROR(__xludf.DUMMYFUNCTION("IF('Respuestas de formulario 1'!K24="""","""",TO_TEXT('Respuestas de formulario 1'!K24))"),"")</f>
        <v/>
      </c>
      <c r="L24" s="7" t="str">
        <f>IFERROR(__xludf.DUMMYFUNCTION("IF('Respuestas de formulario 1'!L24="""","""",TO_TEXT('Respuestas de formulario 1'!L24))"),"")</f>
        <v/>
      </c>
      <c r="M24" s="7" t="str">
        <f>IFERROR(__xludf.DUMMYFUNCTION("IF('Respuestas de formulario 1'!M24="""","""",TO_TEXT('Respuestas de formulario 1'!M24))"),"")</f>
        <v/>
      </c>
      <c r="N24" s="7">
        <f t="shared" si="1"/>
        <v>2022</v>
      </c>
      <c r="O24" s="7" t="str">
        <f t="shared" si="2"/>
        <v>diciembre</v>
      </c>
      <c r="P24" s="7" t="s">
        <v>4253</v>
      </c>
    </row>
    <row r="25">
      <c r="A25" s="19">
        <f>'Respuestas de formulario 1'!A25</f>
        <v>44908.90204</v>
      </c>
      <c r="B25" s="7" t="str">
        <f>'Respuestas de formulario 1'!B25</f>
        <v>Ferreyra</v>
      </c>
      <c r="C25" s="7" t="str">
        <f>'Respuestas de formulario 1'!C25</f>
        <v>Ariel</v>
      </c>
      <c r="D25" s="7" t="str">
        <f>'Respuestas de formulario 1'!D25</f>
        <v>ariel.jferreyra@gmail.com</v>
      </c>
      <c r="E25" s="7" t="str">
        <f>'Respuestas de formulario 1'!E25</f>
        <v>ramos</v>
      </c>
      <c r="F25" s="7">
        <f>'Respuestas de formulario 1'!F25</f>
        <v>24356325</v>
      </c>
      <c r="G25" s="7" t="str">
        <f>IFERROR(__xludf.DUMMYFUNCTION("IF('Respuestas de formulario 1'!G25="""","""",IF(LEFT(REGEXREPLACE(TO_TEXT('Respuestas de formulario 1'!G25),""[^0-9]"",""""),2)=""54"",""+""&amp;REGEXREPLACE(TO_TEXT('Respuestas de formulario 1'!G25),""[^0-9]"",""""),""+54""&amp;REGEXREPLACE(TO_TEXT('Respuestas "&amp;"de formulario 1'!G25),""[^0-9]"","""")))"),"+543516535435")</f>
        <v>+543516535435</v>
      </c>
      <c r="H25" s="7">
        <f>'Respuestas de formulario 1'!S25</f>
        <v>2022</v>
      </c>
      <c r="I25" s="7" t="str">
        <f>IFERROR(__xludf.DUMMYFUNCTION("IF('Respuestas de formulario 1'!I25="""","""",TO_TEXT('Respuestas de formulario 1'!I25))"),"Obra social")</f>
        <v>Obra social</v>
      </c>
      <c r="J25" s="7" t="str">
        <f>IFERROR(__xludf.DUMMYFUNCTION("IF('Respuestas de formulario 1'!J25&lt;&gt;"""",UPPER(TRIM(TO_TEXT('Respuestas de formulario 1'!J25))),IF('Respuestas de formulario 1'!O25&lt;&gt;"""",UPPER(TRIM(TO_TEXT('Respuestas de formulario 1'!O25))),""""))"),"")</f>
        <v/>
      </c>
      <c r="K25" s="7" t="str">
        <f>IFERROR(__xludf.DUMMYFUNCTION("IF('Respuestas de formulario 1'!K25="""","""",TO_TEXT('Respuestas de formulario 1'!K25))"),"")</f>
        <v/>
      </c>
      <c r="L25" s="7" t="str">
        <f>IFERROR(__xludf.DUMMYFUNCTION("IF('Respuestas de formulario 1'!L25="""","""",TO_TEXT('Respuestas de formulario 1'!L25))"),"")</f>
        <v/>
      </c>
      <c r="M25" s="7" t="str">
        <f>IFERROR(__xludf.DUMMYFUNCTION("IF('Respuestas de formulario 1'!M25="""","""",TO_TEXT('Respuestas de formulario 1'!M25))"),"")</f>
        <v/>
      </c>
      <c r="N25" s="7">
        <f t="shared" si="1"/>
        <v>2022</v>
      </c>
      <c r="O25" s="7" t="str">
        <f t="shared" si="2"/>
        <v>diciembre</v>
      </c>
      <c r="P25" s="7" t="s">
        <v>4255</v>
      </c>
    </row>
    <row r="26">
      <c r="A26" s="19">
        <f>'Respuestas de formulario 1'!A26</f>
        <v>44909.90619</v>
      </c>
      <c r="B26" s="7" t="str">
        <f>'Respuestas de formulario 1'!B26</f>
        <v>Baena </v>
      </c>
      <c r="C26" s="7" t="str">
        <f>'Respuestas de formulario 1'!C26</f>
        <v>Gustavo Ariel </v>
      </c>
      <c r="D26" s="7" t="str">
        <f>'Respuestas de formulario 1'!D26</f>
        <v>arielbaena@hotmail.com.ar </v>
      </c>
      <c r="E26" s="20">
        <f>'Respuestas de formulario 1'!E26</f>
        <v>26901</v>
      </c>
      <c r="F26" s="7">
        <f>'Respuestas de formulario 1'!F26</f>
        <v>23440420</v>
      </c>
      <c r="G26" s="7" t="str">
        <f>IFERROR(__xludf.DUMMYFUNCTION("IF('Respuestas de formulario 1'!G26="""","""",IF(LEFT(REGEXREPLACE(TO_TEXT('Respuestas de formulario 1'!G26),""[^0-9]"",""""),2)=""54"",""+""&amp;REGEXREPLACE(TO_TEXT('Respuestas de formulario 1'!G26),""[^0-9]"",""""),""+54""&amp;REGEXREPLACE(TO_TEXT('Respuestas "&amp;"de formulario 1'!G26),""[^0-9]"","""")))"),"+543516419517")</f>
        <v>+543516419517</v>
      </c>
      <c r="H26" s="7">
        <f>'Respuestas de formulario 1'!S26</f>
        <v>2022</v>
      </c>
      <c r="I26" s="7" t="str">
        <f>IFERROR(__xludf.DUMMYFUNCTION("IF('Respuestas de formulario 1'!I26="""","""",TO_TEXT('Respuestas de formulario 1'!I26))"),"Obra social")</f>
        <v>Obra social</v>
      </c>
      <c r="J26" s="7" t="str">
        <f>IFERROR(__xludf.DUMMYFUNCTION("IF('Respuestas de formulario 1'!J26&lt;&gt;"""",UPPER(TRIM(TO_TEXT('Respuestas de formulario 1'!J26))),IF('Respuestas de formulario 1'!O26&lt;&gt;"""",UPPER(TRIM(TO_TEXT('Respuestas de formulario 1'!O26))),""""))"),"APROSS")</f>
        <v>APROSS</v>
      </c>
      <c r="K26" s="7" t="str">
        <f>IFERROR(__xludf.DUMMYFUNCTION("IF('Respuestas de formulario 1'!K26="""","""",TO_TEXT('Respuestas de formulario 1'!K26))"),"")</f>
        <v/>
      </c>
      <c r="L26" s="7" t="str">
        <f>IFERROR(__xludf.DUMMYFUNCTION("IF('Respuestas de formulario 1'!L26="""","""",TO_TEXT('Respuestas de formulario 1'!L26))"),"")</f>
        <v/>
      </c>
      <c r="M26" s="7" t="str">
        <f>IFERROR(__xludf.DUMMYFUNCTION("IF('Respuestas de formulario 1'!M26="""","""",TO_TEXT('Respuestas de formulario 1'!M26))"),"")</f>
        <v/>
      </c>
      <c r="N26" s="7">
        <f t="shared" si="1"/>
        <v>2022</v>
      </c>
      <c r="O26" s="7" t="str">
        <f t="shared" si="2"/>
        <v>diciembre</v>
      </c>
      <c r="P26" s="7" t="s">
        <v>4257</v>
      </c>
    </row>
    <row r="27">
      <c r="A27" s="19">
        <f>'Respuestas de formulario 1'!A27</f>
        <v>44911.64884</v>
      </c>
      <c r="B27" s="7" t="str">
        <f>'Respuestas de formulario 1'!B27</f>
        <v>Lozano</v>
      </c>
      <c r="C27" s="7" t="str">
        <f>'Respuestas de formulario 1'!C27</f>
        <v>Ezequiel</v>
      </c>
      <c r="D27" s="7" t="str">
        <f>'Respuestas de formulario 1'!D27</f>
        <v>ezelozano7@gmail.com</v>
      </c>
      <c r="E27" s="20">
        <f>'Respuestas de formulario 1'!E27</f>
        <v>34581</v>
      </c>
      <c r="F27" s="7">
        <f>'Respuestas de formulario 1'!F27</f>
        <v>38412070</v>
      </c>
      <c r="G27" s="7" t="str">
        <f>IFERROR(__xludf.DUMMYFUNCTION("IF('Respuestas de formulario 1'!G27="""","""",IF(LEFT(REGEXREPLACE(TO_TEXT('Respuestas de formulario 1'!G27),""[^0-9]"",""""),2)=""54"",""+""&amp;REGEXREPLACE(TO_TEXT('Respuestas de formulario 1'!G27),""[^0-9]"",""""),""+54""&amp;REGEXREPLACE(TO_TEXT('Respuestas "&amp;"de formulario 1'!G27),""[^0-9]"","""")))"),"+543517384848")</f>
        <v>+543517384848</v>
      </c>
      <c r="H27" s="7">
        <f>'Respuestas de formulario 1'!S27</f>
        <v>2022</v>
      </c>
      <c r="I27" s="7" t="str">
        <f>IFERROR(__xludf.DUMMYFUNCTION("IF('Respuestas de formulario 1'!I27="""","""",TO_TEXT('Respuestas de formulario 1'!I27))"),"Particular")</f>
        <v>Particular</v>
      </c>
      <c r="J27" s="7" t="str">
        <f>IFERROR(__xludf.DUMMYFUNCTION("IF('Respuestas de formulario 1'!J27&lt;&gt;"""",UPPER(TRIM(TO_TEXT('Respuestas de formulario 1'!J27))),IF('Respuestas de formulario 1'!O27&lt;&gt;"""",UPPER(TRIM(TO_TEXT('Respuestas de formulario 1'!O27))),""""))"),"")</f>
        <v/>
      </c>
      <c r="K27" s="7" t="str">
        <f>IFERROR(__xludf.DUMMYFUNCTION("IF('Respuestas de formulario 1'!K27="""","""",TO_TEXT('Respuestas de formulario 1'!K27))"),"")</f>
        <v/>
      </c>
      <c r="L27" s="7" t="str">
        <f>IFERROR(__xludf.DUMMYFUNCTION("IF('Respuestas de formulario 1'!L27="""","""",TO_TEXT('Respuestas de formulario 1'!L27))"),"")</f>
        <v/>
      </c>
      <c r="M27" s="7" t="str">
        <f>IFERROR(__xludf.DUMMYFUNCTION("IF('Respuestas de formulario 1'!M27="""","""",TO_TEXT('Respuestas de formulario 1'!M27))"),"")</f>
        <v/>
      </c>
      <c r="N27" s="7">
        <f t="shared" si="1"/>
        <v>2022</v>
      </c>
      <c r="O27" s="7" t="str">
        <f t="shared" si="2"/>
        <v>diciembre</v>
      </c>
      <c r="P27" s="7" t="s">
        <v>4259</v>
      </c>
    </row>
    <row r="28">
      <c r="A28" s="19">
        <f>'Respuestas de formulario 1'!A28</f>
        <v>44918.47613</v>
      </c>
      <c r="B28" s="7" t="str">
        <f>'Respuestas de formulario 1'!B28</f>
        <v>Lazcano</v>
      </c>
      <c r="C28" s="7" t="str">
        <f>'Respuestas de formulario 1'!C28</f>
        <v>Stella</v>
      </c>
      <c r="D28" s="7" t="str">
        <f>'Respuestas de formulario 1'!D28</f>
        <v/>
      </c>
      <c r="E28" s="20">
        <f>'Respuestas de formulario 1'!E28</f>
        <v>16642</v>
      </c>
      <c r="F28" s="7">
        <f>'Respuestas de formulario 1'!F28</f>
        <v>5210099</v>
      </c>
      <c r="G28" s="7" t="str">
        <f>IFERROR(__xludf.DUMMYFUNCTION("IF('Respuestas de formulario 1'!G28="""","""",IF(LEFT(REGEXREPLACE(TO_TEXT('Respuestas de formulario 1'!G28),""[^0-9]"",""""),2)=""54"",""+""&amp;REGEXREPLACE(TO_TEXT('Respuestas de formulario 1'!G28),""[^0-9]"",""""),""+54""&amp;REGEXREPLACE(TO_TEXT('Respuestas "&amp;"de formulario 1'!G28),""[^0-9]"","""")))"),"+543512757694")</f>
        <v>+543512757694</v>
      </c>
      <c r="H28" s="7">
        <f>'Respuestas de formulario 1'!S28</f>
        <v>2022</v>
      </c>
      <c r="I28" s="7" t="str">
        <f>IFERROR(__xludf.DUMMYFUNCTION("IF('Respuestas de formulario 1'!I28="""","""",TO_TEXT('Respuestas de formulario 1'!I28))"),"Obra social")</f>
        <v>Obra social</v>
      </c>
      <c r="J28" s="7" t="str">
        <f>IFERROR(__xludf.DUMMYFUNCTION("IF('Respuestas de formulario 1'!J28&lt;&gt;"""",UPPER(TRIM(TO_TEXT('Respuestas de formulario 1'!J28))),IF('Respuestas de formulario 1'!O28&lt;&gt;"""",UPPER(TRIM(TO_TEXT('Respuestas de formulario 1'!O28))),""""))"),"APROSS")</f>
        <v>APROSS</v>
      </c>
      <c r="K28" s="7" t="str">
        <f>IFERROR(__xludf.DUMMYFUNCTION("IF('Respuestas de formulario 1'!K28="""","""",TO_TEXT('Respuestas de formulario 1'!K28))"),"")</f>
        <v/>
      </c>
      <c r="L28" s="7" t="str">
        <f>IFERROR(__xludf.DUMMYFUNCTION("IF('Respuestas de formulario 1'!L28="""","""",TO_TEXT('Respuestas de formulario 1'!L28))"),"")</f>
        <v/>
      </c>
      <c r="M28" s="7" t="str">
        <f>IFERROR(__xludf.DUMMYFUNCTION("IF('Respuestas de formulario 1'!M28="""","""",TO_TEXT('Respuestas de formulario 1'!M28))"),"")</f>
        <v/>
      </c>
      <c r="N28" s="7">
        <f t="shared" si="1"/>
        <v>2022</v>
      </c>
      <c r="O28" s="7" t="str">
        <f t="shared" si="2"/>
        <v>diciembre</v>
      </c>
      <c r="P28" s="7" t="s">
        <v>4261</v>
      </c>
    </row>
    <row r="29">
      <c r="A29" s="19">
        <f>'Respuestas de formulario 1'!A29</f>
        <v>44920.96545</v>
      </c>
      <c r="B29" s="7" t="str">
        <f>'Respuestas de formulario 1'!B29</f>
        <v>Accornero</v>
      </c>
      <c r="C29" s="7" t="str">
        <f>'Respuestas de formulario 1'!C29</f>
        <v>Ignacio </v>
      </c>
      <c r="D29" s="7" t="str">
        <f>'Respuestas de formulario 1'!D29</f>
        <v>nachoaccornero@hotmail.com</v>
      </c>
      <c r="E29" s="20">
        <f>'Respuestas de formulario 1'!E29</f>
        <v>35767</v>
      </c>
      <c r="F29" s="7">
        <f>'Respuestas de formulario 1'!F29</f>
        <v>40815684</v>
      </c>
      <c r="G29" s="7" t="str">
        <f>IFERROR(__xludf.DUMMYFUNCTION("IF('Respuestas de formulario 1'!G29="""","""",IF(LEFT(REGEXREPLACE(TO_TEXT('Respuestas de formulario 1'!G29),""[^0-9]"",""""),2)=""54"",""+""&amp;REGEXREPLACE(TO_TEXT('Respuestas de formulario 1'!G29),""[^0-9]"",""""),""+54""&amp;REGEXREPLACE(TO_TEXT('Respuestas "&amp;"de formulario 1'!G29),""[^0-9]"","""")))"),"+54665987371")</f>
        <v>+54665987371</v>
      </c>
      <c r="H29" s="7">
        <f>'Respuestas de formulario 1'!S29</f>
        <v>2022</v>
      </c>
      <c r="I29" s="7" t="str">
        <f>IFERROR(__xludf.DUMMYFUNCTION("IF('Respuestas de formulario 1'!I29="""","""",TO_TEXT('Respuestas de formulario 1'!I29))"),"Particular")</f>
        <v>Particular</v>
      </c>
      <c r="J29" s="7" t="str">
        <f>IFERROR(__xludf.DUMMYFUNCTION("IF('Respuestas de formulario 1'!J29&lt;&gt;"""",UPPER(TRIM(TO_TEXT('Respuestas de formulario 1'!J29))),IF('Respuestas de formulario 1'!O29&lt;&gt;"""",UPPER(TRIM(TO_TEXT('Respuestas de formulario 1'!O29))),""""))"),"")</f>
        <v/>
      </c>
      <c r="K29" s="7" t="str">
        <f>IFERROR(__xludf.DUMMYFUNCTION("IF('Respuestas de formulario 1'!K29="""","""",TO_TEXT('Respuestas de formulario 1'!K29))"),"")</f>
        <v/>
      </c>
      <c r="L29" s="7" t="str">
        <f>IFERROR(__xludf.DUMMYFUNCTION("IF('Respuestas de formulario 1'!L29="""","""",TO_TEXT('Respuestas de formulario 1'!L29))"),"")</f>
        <v/>
      </c>
      <c r="M29" s="7" t="str">
        <f>IFERROR(__xludf.DUMMYFUNCTION("IF('Respuestas de formulario 1'!M29="""","""",TO_TEXT('Respuestas de formulario 1'!M29))"),"")</f>
        <v/>
      </c>
      <c r="N29" s="7">
        <f t="shared" si="1"/>
        <v>2022</v>
      </c>
      <c r="O29" s="7" t="str">
        <f t="shared" si="2"/>
        <v>diciembre</v>
      </c>
      <c r="P29" s="7" t="s">
        <v>4263</v>
      </c>
    </row>
    <row r="30">
      <c r="A30" s="19">
        <f>'Respuestas de formulario 1'!A30</f>
        <v>44921.72984</v>
      </c>
      <c r="B30" s="7" t="str">
        <f>'Respuestas de formulario 1'!B30</f>
        <v>Ortelli</v>
      </c>
      <c r="C30" s="7" t="str">
        <f>'Respuestas de formulario 1'!C30</f>
        <v>Esther</v>
      </c>
      <c r="D30" s="7" t="str">
        <f>'Respuestas de formulario 1'!D30</f>
        <v>esther.tarantino@hotmail.com</v>
      </c>
      <c r="E30" s="20">
        <f>'Respuestas de formulario 1'!E30</f>
        <v>16144</v>
      </c>
      <c r="F30" s="21">
        <f>'Respuestas de formulario 1'!F30</f>
        <v>4789045</v>
      </c>
      <c r="G30" s="7" t="str">
        <f>IFERROR(__xludf.DUMMYFUNCTION("IF('Respuestas de formulario 1'!G30="""","""",IF(LEFT(REGEXREPLACE(TO_TEXT('Respuestas de formulario 1'!G30),""[^0-9]"",""""),2)=""54"",""+""&amp;REGEXREPLACE(TO_TEXT('Respuestas de formulario 1'!G30),""[^0-9]"",""""),""+54""&amp;REGEXREPLACE(TO_TEXT('Respuestas "&amp;"de formulario 1'!G30),""[^0-9]"","""")))"),"+543515306152")</f>
        <v>+543515306152</v>
      </c>
      <c r="H30" s="7">
        <f>'Respuestas de formulario 1'!S30</f>
        <v>2022</v>
      </c>
      <c r="I30" s="7" t="str">
        <f>IFERROR(__xludf.DUMMYFUNCTION("IF('Respuestas de formulario 1'!I30="""","""",TO_TEXT('Respuestas de formulario 1'!I30))"),"Obra social")</f>
        <v>Obra social</v>
      </c>
      <c r="J30" s="7" t="str">
        <f>IFERROR(__xludf.DUMMYFUNCTION("IF('Respuestas de formulario 1'!J30&lt;&gt;"""",UPPER(TRIM(TO_TEXT('Respuestas de formulario 1'!J30))),IF('Respuestas de formulario 1'!O30&lt;&gt;"""",UPPER(TRIM(TO_TEXT('Respuestas de formulario 1'!O30))),""""))"),"CPCE")</f>
        <v>CPCE</v>
      </c>
      <c r="K30" s="7" t="str">
        <f>IFERROR(__xludf.DUMMYFUNCTION("IF('Respuestas de formulario 1'!K30="""","""",TO_TEXT('Respuestas de formulario 1'!K30))"),"")</f>
        <v/>
      </c>
      <c r="L30" s="7" t="str">
        <f>IFERROR(__xludf.DUMMYFUNCTION("IF('Respuestas de formulario 1'!L30="""","""",TO_TEXT('Respuestas de formulario 1'!L30))"),"")</f>
        <v/>
      </c>
      <c r="M30" s="7" t="str">
        <f>IFERROR(__xludf.DUMMYFUNCTION("IF('Respuestas de formulario 1'!M30="""","""",TO_TEXT('Respuestas de formulario 1'!M30))"),"")</f>
        <v/>
      </c>
      <c r="N30" s="7">
        <f t="shared" si="1"/>
        <v>2022</v>
      </c>
      <c r="O30" s="7" t="str">
        <f t="shared" si="2"/>
        <v>diciembre</v>
      </c>
      <c r="P30" s="7" t="s">
        <v>4265</v>
      </c>
    </row>
    <row r="31">
      <c r="A31" s="19">
        <f>'Respuestas de formulario 1'!A31</f>
        <v>44923.41139</v>
      </c>
      <c r="B31" s="7" t="str">
        <f>'Respuestas de formulario 1'!B31</f>
        <v>Sibona</v>
      </c>
      <c r="C31" s="7" t="str">
        <f>'Respuestas de formulario 1'!C31</f>
        <v>Karina</v>
      </c>
      <c r="D31" s="7" t="str">
        <f>'Respuestas de formulario 1'!D31</f>
        <v>karinasibona@hotmail.com</v>
      </c>
      <c r="E31" s="20">
        <f>'Respuestas de formulario 1'!E31</f>
        <v>26650</v>
      </c>
      <c r="F31" s="7">
        <f>'Respuestas de formulario 1'!F31</f>
        <v>22795191</v>
      </c>
      <c r="G31" s="7" t="str">
        <f>IFERROR(__xludf.DUMMYFUNCTION("IF('Respuestas de formulario 1'!G31="""","""",IF(LEFT(REGEXREPLACE(TO_TEXT('Respuestas de formulario 1'!G31),""[^0-9]"",""""),2)=""54"",""+""&amp;REGEXREPLACE(TO_TEXT('Respuestas de formulario 1'!G31),""[^0-9]"",""""),""+54""&amp;REGEXREPLACE(TO_TEXT('Respuestas "&amp;"de formulario 1'!G31),""[^0-9]"","""")))"),"+543512588741")</f>
        <v>+543512588741</v>
      </c>
      <c r="H31" s="7">
        <f>'Respuestas de formulario 1'!S31</f>
        <v>2022</v>
      </c>
      <c r="I31" s="7" t="str">
        <f>IFERROR(__xludf.DUMMYFUNCTION("IF('Respuestas de formulario 1'!I31="""","""",TO_TEXT('Respuestas de formulario 1'!I31))"),"Obra social")</f>
        <v>Obra social</v>
      </c>
      <c r="J31" s="7" t="str">
        <f>IFERROR(__xludf.DUMMYFUNCTION("IF('Respuestas de formulario 1'!J31&lt;&gt;"""",UPPER(TRIM(TO_TEXT('Respuestas de formulario 1'!J31))),IF('Respuestas de formulario 1'!O31&lt;&gt;"""",UPPER(TRIM(TO_TEXT('Respuestas de formulario 1'!O31))),""""))"),"CPCE")</f>
        <v>CPCE</v>
      </c>
      <c r="K31" s="7" t="str">
        <f>IFERROR(__xludf.DUMMYFUNCTION("IF('Respuestas de formulario 1'!K31="""","""",TO_TEXT('Respuestas de formulario 1'!K31))"),"")</f>
        <v/>
      </c>
      <c r="L31" s="7" t="str">
        <f>IFERROR(__xludf.DUMMYFUNCTION("IF('Respuestas de formulario 1'!L31="""","""",TO_TEXT('Respuestas de formulario 1'!L31))"),"")</f>
        <v/>
      </c>
      <c r="M31" s="7" t="str">
        <f>IFERROR(__xludf.DUMMYFUNCTION("IF('Respuestas de formulario 1'!M31="""","""",TO_TEXT('Respuestas de formulario 1'!M31))"),"")</f>
        <v/>
      </c>
      <c r="N31" s="7">
        <f t="shared" si="1"/>
        <v>2022</v>
      </c>
      <c r="O31" s="7" t="str">
        <f t="shared" si="2"/>
        <v>diciembre</v>
      </c>
      <c r="P31" s="7" t="s">
        <v>4267</v>
      </c>
    </row>
    <row r="32">
      <c r="A32" s="19">
        <f>'Respuestas de formulario 1'!A32</f>
        <v>44923.41248</v>
      </c>
      <c r="B32" s="7" t="str">
        <f>'Respuestas de formulario 1'!B32</f>
        <v>Pepi</v>
      </c>
      <c r="C32" s="7" t="str">
        <f>'Respuestas de formulario 1'!C32</f>
        <v>Bettina</v>
      </c>
      <c r="D32" s="7" t="str">
        <f>'Respuestas de formulario 1'!D32</f>
        <v>karinasibona@hotmail.com</v>
      </c>
      <c r="E32" s="20">
        <f>'Respuestas de formulario 1'!E32</f>
        <v>41264</v>
      </c>
      <c r="F32" s="7">
        <f>'Respuestas de formulario 1'!F32</f>
        <v>52466966</v>
      </c>
      <c r="G32" s="7" t="str">
        <f>IFERROR(__xludf.DUMMYFUNCTION("IF('Respuestas de formulario 1'!G32="""","""",IF(LEFT(REGEXREPLACE(TO_TEXT('Respuestas de formulario 1'!G32),""[^0-9]"",""""),2)=""54"",""+""&amp;REGEXREPLACE(TO_TEXT('Respuestas de formulario 1'!G32),""[^0-9]"",""""),""+54""&amp;REGEXREPLACE(TO_TEXT('Respuestas "&amp;"de formulario 1'!G32),""[^0-9]"","""")))"),"+543512588741")</f>
        <v>+543512588741</v>
      </c>
      <c r="H32" s="7">
        <f>'Respuestas de formulario 1'!S32</f>
        <v>2022</v>
      </c>
      <c r="I32" s="7" t="str">
        <f>IFERROR(__xludf.DUMMYFUNCTION("IF('Respuestas de formulario 1'!I32="""","""",TO_TEXT('Respuestas de formulario 1'!I32))"),"Obra social")</f>
        <v>Obra social</v>
      </c>
      <c r="J32" s="7" t="str">
        <f>IFERROR(__xludf.DUMMYFUNCTION("IF('Respuestas de formulario 1'!J32&lt;&gt;"""",UPPER(TRIM(TO_TEXT('Respuestas de formulario 1'!J32))),IF('Respuestas de formulario 1'!O32&lt;&gt;"""",UPPER(TRIM(TO_TEXT('Respuestas de formulario 1'!O32))),""""))"),"CPCE")</f>
        <v>CPCE</v>
      </c>
      <c r="K32" s="7" t="str">
        <f>IFERROR(__xludf.DUMMYFUNCTION("IF('Respuestas de formulario 1'!K32="""","""",TO_TEXT('Respuestas de formulario 1'!K32))"),"")</f>
        <v/>
      </c>
      <c r="L32" s="7" t="str">
        <f>IFERROR(__xludf.DUMMYFUNCTION("IF('Respuestas de formulario 1'!L32="""","""",TO_TEXT('Respuestas de formulario 1'!L32))"),"")</f>
        <v/>
      </c>
      <c r="M32" s="7" t="str">
        <f>IFERROR(__xludf.DUMMYFUNCTION("IF('Respuestas de formulario 1'!M32="""","""",TO_TEXT('Respuestas de formulario 1'!M32))"),"")</f>
        <v/>
      </c>
      <c r="N32" s="7">
        <f t="shared" si="1"/>
        <v>2022</v>
      </c>
      <c r="O32" s="7" t="str">
        <f t="shared" si="2"/>
        <v>diciembre</v>
      </c>
      <c r="P32" s="7" t="s">
        <v>4269</v>
      </c>
    </row>
    <row r="33">
      <c r="A33" s="19">
        <f>'Respuestas de formulario 1'!A33</f>
        <v>44924.73001</v>
      </c>
      <c r="B33" s="7" t="str">
        <f>'Respuestas de formulario 1'!B33</f>
        <v>Cardoni</v>
      </c>
      <c r="C33" s="7" t="str">
        <f>'Respuestas de formulario 1'!C33</f>
        <v>Gino</v>
      </c>
      <c r="D33" s="7" t="str">
        <f>'Respuestas de formulario 1'!D33</f>
        <v>gino.baret@gmail.com</v>
      </c>
      <c r="E33" s="20">
        <f>'Respuestas de formulario 1'!E33</f>
        <v>31877</v>
      </c>
      <c r="F33" s="7">
        <f>'Respuestas de formulario 1'!F33</f>
        <v>33117511</v>
      </c>
      <c r="G33" s="7" t="str">
        <f>IFERROR(__xludf.DUMMYFUNCTION("IF('Respuestas de formulario 1'!G33="""","""",IF(LEFT(REGEXREPLACE(TO_TEXT('Respuestas de formulario 1'!G33),""[^0-9]"",""""),2)=""54"",""+""&amp;REGEXREPLACE(TO_TEXT('Respuestas de formulario 1'!G33),""[^0-9]"",""""),""+54""&amp;REGEXREPLACE(TO_TEXT('Respuestas "&amp;"de formulario 1'!G33),""[^0-9]"","""")))"),"+543512287296")</f>
        <v>+543512287296</v>
      </c>
      <c r="H33" s="7">
        <f>'Respuestas de formulario 1'!S33</f>
        <v>2022</v>
      </c>
      <c r="I33" s="7" t="str">
        <f>IFERROR(__xludf.DUMMYFUNCTION("IF('Respuestas de formulario 1'!I33="""","""",TO_TEXT('Respuestas de formulario 1'!I33))"),"Particular")</f>
        <v>Particular</v>
      </c>
      <c r="J33" s="7" t="str">
        <f>IFERROR(__xludf.DUMMYFUNCTION("IF('Respuestas de formulario 1'!J33&lt;&gt;"""",UPPER(TRIM(TO_TEXT('Respuestas de formulario 1'!J33))),IF('Respuestas de formulario 1'!O33&lt;&gt;"""",UPPER(TRIM(TO_TEXT('Respuestas de formulario 1'!O33))),""""))"),"")</f>
        <v/>
      </c>
      <c r="K33" s="7" t="str">
        <f>IFERROR(__xludf.DUMMYFUNCTION("IF('Respuestas de formulario 1'!K33="""","""",TO_TEXT('Respuestas de formulario 1'!K33))"),"")</f>
        <v/>
      </c>
      <c r="L33" s="7" t="str">
        <f>IFERROR(__xludf.DUMMYFUNCTION("IF('Respuestas de formulario 1'!L33="""","""",TO_TEXT('Respuestas de formulario 1'!L33))"),"")</f>
        <v/>
      </c>
      <c r="M33" s="7" t="str">
        <f>IFERROR(__xludf.DUMMYFUNCTION("IF('Respuestas de formulario 1'!M33="""","""",TO_TEXT('Respuestas de formulario 1'!M33))"),"")</f>
        <v/>
      </c>
      <c r="N33" s="7">
        <f t="shared" si="1"/>
        <v>2022</v>
      </c>
      <c r="O33" s="7" t="str">
        <f t="shared" si="2"/>
        <v>diciembre</v>
      </c>
      <c r="P33" s="7" t="s">
        <v>4270</v>
      </c>
    </row>
    <row r="34">
      <c r="A34" s="19">
        <f>'Respuestas de formulario 1'!A34</f>
        <v>44924.8382</v>
      </c>
      <c r="B34" s="7" t="str">
        <f>'Respuestas de formulario 1'!B34</f>
        <v>Gutiérrez </v>
      </c>
      <c r="C34" s="7" t="str">
        <f>'Respuestas de formulario 1'!C34</f>
        <v>Ángela nora</v>
      </c>
      <c r="D34" s="7" t="str">
        <f>'Respuestas de formulario 1'!D34</f>
        <v>angelanoragutierrez03@gmail.com</v>
      </c>
      <c r="E34" s="20">
        <f>'Respuestas de formulario 1'!E34</f>
        <v>18600</v>
      </c>
      <c r="F34" s="7">
        <f>'Respuestas de formulario 1'!F34</f>
        <v>6259516</v>
      </c>
      <c r="G34" s="7" t="str">
        <f>IFERROR(__xludf.DUMMYFUNCTION("IF('Respuestas de formulario 1'!G34="""","""",IF(LEFT(REGEXREPLACE(TO_TEXT('Respuestas de formulario 1'!G34),""[^0-9]"",""""),2)=""54"",""+""&amp;REGEXREPLACE(TO_TEXT('Respuestas de formulario 1'!G34),""[^0-9]"",""""),""+54""&amp;REGEXREPLACE(TO_TEXT('Respuestas "&amp;"de formulario 1'!G34),""[^0-9]"","""")))"),"+543512484269")</f>
        <v>+543512484269</v>
      </c>
      <c r="H34" s="7">
        <f>'Respuestas de formulario 1'!S34</f>
        <v>2022</v>
      </c>
      <c r="I34" s="7" t="str">
        <f>IFERROR(__xludf.DUMMYFUNCTION("IF('Respuestas de formulario 1'!I34="""","""",TO_TEXT('Respuestas de formulario 1'!I34))"),"Obra social")</f>
        <v>Obra social</v>
      </c>
      <c r="J34" s="7" t="str">
        <f>IFERROR(__xludf.DUMMYFUNCTION("IF('Respuestas de formulario 1'!J34&lt;&gt;"""",UPPER(TRIM(TO_TEXT('Respuestas de formulario 1'!J34))),IF('Respuestas de formulario 1'!O34&lt;&gt;"""",UPPER(TRIM(TO_TEXT('Respuestas de formulario 1'!O34))),""""))"),"APROSS")</f>
        <v>APROSS</v>
      </c>
      <c r="K34" s="7" t="str">
        <f>IFERROR(__xludf.DUMMYFUNCTION("IF('Respuestas de formulario 1'!K34="""","""",TO_TEXT('Respuestas de formulario 1'!K34))"),"")</f>
        <v/>
      </c>
      <c r="L34" s="7" t="str">
        <f>IFERROR(__xludf.DUMMYFUNCTION("IF('Respuestas de formulario 1'!L34="""","""",TO_TEXT('Respuestas de formulario 1'!L34))"),"")</f>
        <v/>
      </c>
      <c r="M34" s="7" t="str">
        <f>IFERROR(__xludf.DUMMYFUNCTION("IF('Respuestas de formulario 1'!M34="""","""",TO_TEXT('Respuestas de formulario 1'!M34))"),"")</f>
        <v/>
      </c>
      <c r="N34" s="7">
        <f t="shared" si="1"/>
        <v>2022</v>
      </c>
      <c r="O34" s="7" t="str">
        <f t="shared" si="2"/>
        <v>diciembre</v>
      </c>
      <c r="P34" s="7" t="s">
        <v>4272</v>
      </c>
    </row>
    <row r="35">
      <c r="A35" s="19">
        <f>'Respuestas de formulario 1'!A35</f>
        <v>44926.8116</v>
      </c>
      <c r="B35" s="7" t="str">
        <f>'Respuestas de formulario 1'!B35</f>
        <v>Heredia Pereyra </v>
      </c>
      <c r="C35" s="7" t="str">
        <f>'Respuestas de formulario 1'!C35</f>
        <v>Mercedes Andrea </v>
      </c>
      <c r="D35" s="7" t="str">
        <f>'Respuestas de formulario 1'!D35</f>
        <v>mercedesahp@hotmail.com </v>
      </c>
      <c r="E35" s="20">
        <f>'Respuestas de formulario 1'!E35</f>
        <v>29279</v>
      </c>
      <c r="F35" s="7">
        <f>'Respuestas de formulario 1'!F35</f>
        <v>27955896</v>
      </c>
      <c r="G35" s="7" t="str">
        <f>IFERROR(__xludf.DUMMYFUNCTION("IF('Respuestas de formulario 1'!G35="""","""",IF(LEFT(REGEXREPLACE(TO_TEXT('Respuestas de formulario 1'!G35),""[^0-9]"",""""),2)=""54"",""+""&amp;REGEXREPLACE(TO_TEXT('Respuestas de formulario 1'!G35),""[^0-9]"",""""),""+54""&amp;REGEXREPLACE(TO_TEXT('Respuestas "&amp;"de formulario 1'!G35),""[^0-9]"","""")))"),"+543513401354")</f>
        <v>+543513401354</v>
      </c>
      <c r="H35" s="7">
        <f>'Respuestas de formulario 1'!S35</f>
        <v>2022</v>
      </c>
      <c r="I35" s="7" t="str">
        <f>IFERROR(__xludf.DUMMYFUNCTION("IF('Respuestas de formulario 1'!I35="""","""",TO_TEXT('Respuestas de formulario 1'!I35))"),"Obra social")</f>
        <v>Obra social</v>
      </c>
      <c r="J35" s="7" t="str">
        <f>IFERROR(__xludf.DUMMYFUNCTION("IF('Respuestas de formulario 1'!J35&lt;&gt;"""",UPPER(TRIM(TO_TEXT('Respuestas de formulario 1'!J35))),IF('Respuestas de formulario 1'!O35&lt;&gt;"""",UPPER(TRIM(TO_TEXT('Respuestas de formulario 1'!O35))),""""))"),"APROSS")</f>
        <v>APROSS</v>
      </c>
      <c r="K35" s="7" t="str">
        <f>IFERROR(__xludf.DUMMYFUNCTION("IF('Respuestas de formulario 1'!K35="""","""",TO_TEXT('Respuestas de formulario 1'!K35))"),"")</f>
        <v/>
      </c>
      <c r="L35" s="7" t="str">
        <f>IFERROR(__xludf.DUMMYFUNCTION("IF('Respuestas de formulario 1'!L35="""","""",TO_TEXT('Respuestas de formulario 1'!L35))"),"")</f>
        <v/>
      </c>
      <c r="M35" s="7" t="str">
        <f>IFERROR(__xludf.DUMMYFUNCTION("IF('Respuestas de formulario 1'!M35="""","""",TO_TEXT('Respuestas de formulario 1'!M35))"),"")</f>
        <v/>
      </c>
      <c r="N35" s="7">
        <f t="shared" si="1"/>
        <v>2022</v>
      </c>
      <c r="O35" s="7" t="str">
        <f t="shared" si="2"/>
        <v>diciembre</v>
      </c>
      <c r="P35" s="7" t="s">
        <v>4274</v>
      </c>
    </row>
    <row r="36">
      <c r="A36" s="19">
        <f>'Respuestas de formulario 1'!A36</f>
        <v>44928.44847</v>
      </c>
      <c r="B36" s="7" t="str">
        <f>'Respuestas de formulario 1'!B36</f>
        <v>Perini</v>
      </c>
      <c r="C36" s="7" t="str">
        <f>'Respuestas de formulario 1'!C36</f>
        <v>Leonardo</v>
      </c>
      <c r="D36" s="7" t="str">
        <f>'Respuestas de formulario 1'!D36</f>
        <v>Lf04_cba@hotmail.com</v>
      </c>
      <c r="E36" s="20">
        <f>'Respuestas de formulario 1'!E36</f>
        <v>32451</v>
      </c>
      <c r="F36" s="7">
        <f>'Respuestas de formulario 1'!F36</f>
        <v>34069704</v>
      </c>
      <c r="G36" s="7" t="str">
        <f>IFERROR(__xludf.DUMMYFUNCTION("IF('Respuestas de formulario 1'!G36="""","""",IF(LEFT(REGEXREPLACE(TO_TEXT('Respuestas de formulario 1'!G36),""[^0-9]"",""""),2)=""54"",""+""&amp;REGEXREPLACE(TO_TEXT('Respuestas de formulario 1'!G36),""[^0-9]"",""""),""+54""&amp;REGEXREPLACE(TO_TEXT('Respuestas "&amp;"de formulario 1'!G36),""[^0-9]"","""")))"),"+543512615886")</f>
        <v>+543512615886</v>
      </c>
      <c r="H36" s="7">
        <f>'Respuestas de formulario 1'!S36</f>
        <v>2023</v>
      </c>
      <c r="I36" s="7" t="str">
        <f>IFERROR(__xludf.DUMMYFUNCTION("IF('Respuestas de formulario 1'!I36="""","""",TO_TEXT('Respuestas de formulario 1'!I36))"),"Particular")</f>
        <v>Particular</v>
      </c>
      <c r="J36" s="7" t="str">
        <f>IFERROR(__xludf.DUMMYFUNCTION("IF('Respuestas de formulario 1'!J36&lt;&gt;"""",UPPER(TRIM(TO_TEXT('Respuestas de formulario 1'!J36))),IF('Respuestas de formulario 1'!O36&lt;&gt;"""",UPPER(TRIM(TO_TEXT('Respuestas de formulario 1'!O36))),""""))"),"")</f>
        <v/>
      </c>
      <c r="K36" s="7" t="str">
        <f>IFERROR(__xludf.DUMMYFUNCTION("IF('Respuestas de formulario 1'!K36="""","""",TO_TEXT('Respuestas de formulario 1'!K36))"),"")</f>
        <v/>
      </c>
      <c r="L36" s="7" t="str">
        <f>IFERROR(__xludf.DUMMYFUNCTION("IF('Respuestas de formulario 1'!L36="""","""",TO_TEXT('Respuestas de formulario 1'!L36))"),"")</f>
        <v/>
      </c>
      <c r="M36" s="7" t="str">
        <f>IFERROR(__xludf.DUMMYFUNCTION("IF('Respuestas de formulario 1'!M36="""","""",TO_TEXT('Respuestas de formulario 1'!M36))"),"")</f>
        <v/>
      </c>
      <c r="N36" s="7">
        <f t="shared" si="1"/>
        <v>2023</v>
      </c>
      <c r="O36" s="7" t="str">
        <f t="shared" si="2"/>
        <v>enero</v>
      </c>
      <c r="P36" s="7" t="s">
        <v>4276</v>
      </c>
    </row>
    <row r="37">
      <c r="A37" s="19">
        <f>'Respuestas de formulario 1'!A37</f>
        <v>44928.82616</v>
      </c>
      <c r="B37" s="7" t="str">
        <f>'Respuestas de formulario 1'!B37</f>
        <v>Brun</v>
      </c>
      <c r="C37" s="7" t="str">
        <f>'Respuestas de formulario 1'!C37</f>
        <v>Luciano</v>
      </c>
      <c r="D37" s="7" t="str">
        <f>'Respuestas de formulario 1'!D37</f>
        <v>lucianobrun@hotmail.com</v>
      </c>
      <c r="E37" s="20">
        <f>'Respuestas de formulario 1'!E37</f>
        <v>29722</v>
      </c>
      <c r="F37" s="7">
        <f>'Respuestas de formulario 1'!F37</f>
        <v>28850950</v>
      </c>
      <c r="G37" s="7" t="str">
        <f>IFERROR(__xludf.DUMMYFUNCTION("IF('Respuestas de formulario 1'!G37="""","""",IF(LEFT(REGEXREPLACE(TO_TEXT('Respuestas de formulario 1'!G37),""[^0-9]"",""""),2)=""54"",""+""&amp;REGEXREPLACE(TO_TEXT('Respuestas de formulario 1'!G37),""[^0-9]"",""""),""+54""&amp;REGEXREPLACE(TO_TEXT('Respuestas "&amp;"de formulario 1'!G37),""[^0-9]"","""")))"),"+543513904324")</f>
        <v>+543513904324</v>
      </c>
      <c r="H37" s="7">
        <f>'Respuestas de formulario 1'!S37</f>
        <v>2023</v>
      </c>
      <c r="I37" s="7" t="str">
        <f>IFERROR(__xludf.DUMMYFUNCTION("IF('Respuestas de formulario 1'!I37="""","""",TO_TEXT('Respuestas de formulario 1'!I37))"),"Particular")</f>
        <v>Particular</v>
      </c>
      <c r="J37" s="7" t="str">
        <f>IFERROR(__xludf.DUMMYFUNCTION("IF('Respuestas de formulario 1'!J37&lt;&gt;"""",UPPER(TRIM(TO_TEXT('Respuestas de formulario 1'!J37))),IF('Respuestas de formulario 1'!O37&lt;&gt;"""",UPPER(TRIM(TO_TEXT('Respuestas de formulario 1'!O37))),""""))"),"")</f>
        <v/>
      </c>
      <c r="K37" s="7" t="str">
        <f>IFERROR(__xludf.DUMMYFUNCTION("IF('Respuestas de formulario 1'!K37="""","""",TO_TEXT('Respuestas de formulario 1'!K37))"),"")</f>
        <v/>
      </c>
      <c r="L37" s="7" t="str">
        <f>IFERROR(__xludf.DUMMYFUNCTION("IF('Respuestas de formulario 1'!L37="""","""",TO_TEXT('Respuestas de formulario 1'!L37))"),"")</f>
        <v/>
      </c>
      <c r="M37" s="7" t="str">
        <f>IFERROR(__xludf.DUMMYFUNCTION("IF('Respuestas de formulario 1'!M37="""","""",TO_TEXT('Respuestas de formulario 1'!M37))"),"")</f>
        <v/>
      </c>
      <c r="N37" s="7">
        <f t="shared" si="1"/>
        <v>2023</v>
      </c>
      <c r="O37" s="7" t="str">
        <f t="shared" si="2"/>
        <v>enero</v>
      </c>
      <c r="P37" s="7" t="s">
        <v>4278</v>
      </c>
    </row>
    <row r="38">
      <c r="A38" s="19">
        <f>'Respuestas de formulario 1'!A38</f>
        <v>44930.68617</v>
      </c>
      <c r="B38" s="7" t="str">
        <f>'Respuestas de formulario 1'!B38</f>
        <v>Dolivo</v>
      </c>
      <c r="C38" s="7" t="str">
        <f>'Respuestas de formulario 1'!C38</f>
        <v>Josefina</v>
      </c>
      <c r="D38" s="7" t="str">
        <f>'Respuestas de formulario 1'!D38</f>
        <v>dolivojosefina@gmail.com</v>
      </c>
      <c r="E38" s="20">
        <f>'Respuestas de formulario 1'!E38</f>
        <v>33208</v>
      </c>
      <c r="F38" s="7">
        <f>'Respuestas de formulario 1'!F38</f>
        <v>35564552</v>
      </c>
      <c r="G38" s="7" t="str">
        <f>IFERROR(__xludf.DUMMYFUNCTION("IF('Respuestas de formulario 1'!G38="""","""",IF(LEFT(REGEXREPLACE(TO_TEXT('Respuestas de formulario 1'!G38),""[^0-9]"",""""),2)=""54"",""+""&amp;REGEXREPLACE(TO_TEXT('Respuestas de formulario 1'!G38),""[^0-9]"",""""),""+54""&amp;REGEXREPLACE(TO_TEXT('Respuestas "&amp;"de formulario 1'!G38),""[^0-9]"","""")))"),"+543525454941")</f>
        <v>+543525454941</v>
      </c>
      <c r="H38" s="7">
        <f>'Respuestas de formulario 1'!S38</f>
        <v>2023</v>
      </c>
      <c r="I38" s="7" t="str">
        <f>IFERROR(__xludf.DUMMYFUNCTION("IF('Respuestas de formulario 1'!I38="""","""",TO_TEXT('Respuestas de formulario 1'!I38))"),"Obra social")</f>
        <v>Obra social</v>
      </c>
      <c r="J38" s="7" t="str">
        <f>IFERROR(__xludf.DUMMYFUNCTION("IF('Respuestas de formulario 1'!J38&lt;&gt;"""",UPPER(TRIM(TO_TEXT('Respuestas de formulario 1'!J38))),IF('Respuestas de formulario 1'!O38&lt;&gt;"""",UPPER(TRIM(TO_TEXT('Respuestas de formulario 1'!O38))),""""))"),"SANCOR")</f>
        <v>SANCOR</v>
      </c>
      <c r="K38" s="7" t="str">
        <f>IFERROR(__xludf.DUMMYFUNCTION("IF('Respuestas de formulario 1'!K38="""","""",TO_TEXT('Respuestas de formulario 1'!K38))"),"")</f>
        <v/>
      </c>
      <c r="L38" s="7" t="str">
        <f>IFERROR(__xludf.DUMMYFUNCTION("IF('Respuestas de formulario 1'!L38="""","""",TO_TEXT('Respuestas de formulario 1'!L38))"),"")</f>
        <v/>
      </c>
      <c r="M38" s="7" t="str">
        <f>IFERROR(__xludf.DUMMYFUNCTION("IF('Respuestas de formulario 1'!M38="""","""",TO_TEXT('Respuestas de formulario 1'!M38))"),"")</f>
        <v/>
      </c>
      <c r="N38" s="7">
        <f t="shared" si="1"/>
        <v>2023</v>
      </c>
      <c r="O38" s="7" t="str">
        <f t="shared" si="2"/>
        <v>enero</v>
      </c>
      <c r="P38" s="7" t="s">
        <v>4280</v>
      </c>
    </row>
    <row r="39">
      <c r="A39" s="19">
        <f>'Respuestas de formulario 1'!A39</f>
        <v>44930.97101</v>
      </c>
      <c r="B39" s="7" t="str">
        <f>'Respuestas de formulario 1'!B39</f>
        <v>LASTRA</v>
      </c>
      <c r="C39" s="7" t="str">
        <f>'Respuestas de formulario 1'!C39</f>
        <v>MELISA</v>
      </c>
      <c r="D39" s="7" t="str">
        <f>'Respuestas de formulario 1'!D39</f>
        <v>MELISALASTRA@GMAIL.COM</v>
      </c>
      <c r="E39" s="20">
        <f>'Respuestas de formulario 1'!E39</f>
        <v>32449</v>
      </c>
      <c r="F39" s="7">
        <f>'Respuestas de formulario 1'!F39</f>
        <v>33976093</v>
      </c>
      <c r="G39" s="7" t="str">
        <f>IFERROR(__xludf.DUMMYFUNCTION("IF('Respuestas de formulario 1'!G39="""","""",IF(LEFT(REGEXREPLACE(TO_TEXT('Respuestas de formulario 1'!G39),""[^0-9]"",""""),2)=""54"",""+""&amp;REGEXREPLACE(TO_TEXT('Respuestas de formulario 1'!G39),""[^0-9]"",""""),""+54""&amp;REGEXREPLACE(TO_TEXT('Respuestas "&amp;"de formulario 1'!G39),""[^0-9]"","""")))"),"+543512441614")</f>
        <v>+543512441614</v>
      </c>
      <c r="H39" s="7">
        <f>'Respuestas de formulario 1'!S39</f>
        <v>2023</v>
      </c>
      <c r="I39" s="7" t="str">
        <f>IFERROR(__xludf.DUMMYFUNCTION("IF('Respuestas de formulario 1'!I39="""","""",TO_TEXT('Respuestas de formulario 1'!I39))"),"Obra social")</f>
        <v>Obra social</v>
      </c>
      <c r="J39" s="7" t="str">
        <f>IFERROR(__xludf.DUMMYFUNCTION("IF('Respuestas de formulario 1'!J39&lt;&gt;"""",UPPER(TRIM(TO_TEXT('Respuestas de formulario 1'!J39))),IF('Respuestas de formulario 1'!O39&lt;&gt;"""",UPPER(TRIM(TO_TEXT('Respuestas de formulario 1'!O39))),""""))"),"A.P.M")</f>
        <v>A.P.M</v>
      </c>
      <c r="K39" s="7" t="str">
        <f>IFERROR(__xludf.DUMMYFUNCTION("IF('Respuestas de formulario 1'!K39="""","""",TO_TEXT('Respuestas de formulario 1'!K39))"),"")</f>
        <v/>
      </c>
      <c r="L39" s="7" t="str">
        <f>IFERROR(__xludf.DUMMYFUNCTION("IF('Respuestas de formulario 1'!L39="""","""",TO_TEXT('Respuestas de formulario 1'!L39))"),"")</f>
        <v/>
      </c>
      <c r="M39" s="7" t="str">
        <f>IFERROR(__xludf.DUMMYFUNCTION("IF('Respuestas de formulario 1'!M39="""","""",TO_TEXT('Respuestas de formulario 1'!M39))"),"")</f>
        <v/>
      </c>
      <c r="N39" s="7">
        <f t="shared" si="1"/>
        <v>2023</v>
      </c>
      <c r="O39" s="7" t="str">
        <f t="shared" si="2"/>
        <v>enero</v>
      </c>
      <c r="P39" s="7" t="s">
        <v>4282</v>
      </c>
    </row>
    <row r="40">
      <c r="A40" s="19">
        <f>'Respuestas de formulario 1'!A40</f>
        <v>44932.67119</v>
      </c>
      <c r="B40" s="7" t="str">
        <f>'Respuestas de formulario 1'!B40</f>
        <v>Menzi</v>
      </c>
      <c r="C40" s="7" t="str">
        <f>'Respuestas de formulario 1'!C40</f>
        <v>Antonio</v>
      </c>
      <c r="D40" s="7" t="str">
        <f>'Respuestas de formulario 1'!D40</f>
        <v>tony.menzi@gmail.com</v>
      </c>
      <c r="E40" s="20">
        <f>'Respuestas de formulario 1'!E40</f>
        <v>35720</v>
      </c>
      <c r="F40" s="7">
        <f>'Respuestas de formulario 1'!F40</f>
        <v>40686489</v>
      </c>
      <c r="G40" s="7" t="str">
        <f>IFERROR(__xludf.DUMMYFUNCTION("IF('Respuestas de formulario 1'!G40="""","""",IF(LEFT(REGEXREPLACE(TO_TEXT('Respuestas de formulario 1'!G40),""[^0-9]"",""""),2)=""54"",""+""&amp;REGEXREPLACE(TO_TEXT('Respuestas de formulario 1'!G40),""[^0-9]"",""""),""+54""&amp;REGEXREPLACE(TO_TEXT('Respuestas "&amp;"de formulario 1'!G40),""[^0-9]"","""")))"),"+543512064245")</f>
        <v>+543512064245</v>
      </c>
      <c r="H40" s="7">
        <f>'Respuestas de formulario 1'!S40</f>
        <v>2023</v>
      </c>
      <c r="I40" s="7" t="str">
        <f>IFERROR(__xludf.DUMMYFUNCTION("IF('Respuestas de formulario 1'!I40="""","""",TO_TEXT('Respuestas de formulario 1'!I40))"),"Obra social")</f>
        <v>Obra social</v>
      </c>
      <c r="J40" s="7" t="str">
        <f>IFERROR(__xludf.DUMMYFUNCTION("IF('Respuestas de formulario 1'!J40&lt;&gt;"""",UPPER(TRIM(TO_TEXT('Respuestas de formulario 1'!J40))),IF('Respuestas de formulario 1'!O40&lt;&gt;"""",UPPER(TRIM(TO_TEXT('Respuestas de formulario 1'!O40))),""""))"),"PREVENCIÓN")</f>
        <v>PREVENCIÓN</v>
      </c>
      <c r="K40" s="7" t="str">
        <f>IFERROR(__xludf.DUMMYFUNCTION("IF('Respuestas de formulario 1'!K40="""","""",TO_TEXT('Respuestas de formulario 1'!K40))"),"")</f>
        <v/>
      </c>
      <c r="L40" s="7" t="str">
        <f>IFERROR(__xludf.DUMMYFUNCTION("IF('Respuestas de formulario 1'!L40="""","""",TO_TEXT('Respuestas de formulario 1'!L40))"),"")</f>
        <v/>
      </c>
      <c r="M40" s="7" t="str">
        <f>IFERROR(__xludf.DUMMYFUNCTION("IF('Respuestas de formulario 1'!M40="""","""",TO_TEXT('Respuestas de formulario 1'!M40))"),"")</f>
        <v/>
      </c>
      <c r="N40" s="7">
        <f t="shared" si="1"/>
        <v>2023</v>
      </c>
      <c r="O40" s="7" t="str">
        <f t="shared" si="2"/>
        <v>enero</v>
      </c>
      <c r="P40" s="7" t="s">
        <v>4284</v>
      </c>
    </row>
    <row r="41">
      <c r="A41" s="19">
        <f>'Respuestas de formulario 1'!A41</f>
        <v>44935.81091</v>
      </c>
      <c r="B41" s="7" t="str">
        <f>'Respuestas de formulario 1'!B41</f>
        <v>MARQUEZ</v>
      </c>
      <c r="C41" s="7" t="str">
        <f>'Respuestas de formulario 1'!C41</f>
        <v>ELENA BEATRIZ</v>
      </c>
      <c r="D41" s="7" t="str">
        <f>'Respuestas de formulario 1'!D41</f>
        <v>elenabeatrizmarquez@g.mail.com</v>
      </c>
      <c r="E41" s="20">
        <f>'Respuestas de formulario 1'!E41</f>
        <v>20145</v>
      </c>
      <c r="F41" s="7">
        <f>'Respuestas de formulario 1'!F41</f>
        <v>11745268</v>
      </c>
      <c r="G41" s="7" t="str">
        <f>IFERROR(__xludf.DUMMYFUNCTION("IF('Respuestas de formulario 1'!G41="""","""",IF(LEFT(REGEXREPLACE(TO_TEXT('Respuestas de formulario 1'!G41),""[^0-9]"",""""),2)=""54"",""+""&amp;REGEXREPLACE(TO_TEXT('Respuestas de formulario 1'!G41),""[^0-9]"",""""),""+54""&amp;REGEXREPLACE(TO_TEXT('Respuestas "&amp;"de formulario 1'!G41),""[^0-9]"","""")))"),"+543512770181")</f>
        <v>+543512770181</v>
      </c>
      <c r="H41" s="7">
        <f>'Respuestas de formulario 1'!S41</f>
        <v>2023</v>
      </c>
      <c r="I41" s="7" t="str">
        <f>IFERROR(__xludf.DUMMYFUNCTION("IF('Respuestas de formulario 1'!I41="""","""",TO_TEXT('Respuestas de formulario 1'!I41))"),"Obra social")</f>
        <v>Obra social</v>
      </c>
      <c r="J41" s="7" t="str">
        <f>IFERROR(__xludf.DUMMYFUNCTION("IF('Respuestas de formulario 1'!J41&lt;&gt;"""",UPPER(TRIM(TO_TEXT('Respuestas de formulario 1'!J41))),IF('Respuestas de formulario 1'!O41&lt;&gt;"""",UPPER(TRIM(TO_TEXT('Respuestas de formulario 1'!O41))),""""))"),"APROSS")</f>
        <v>APROSS</v>
      </c>
      <c r="K41" s="7" t="str">
        <f>IFERROR(__xludf.DUMMYFUNCTION("IF('Respuestas de formulario 1'!K41="""","""",TO_TEXT('Respuestas de formulario 1'!K41))"),"")</f>
        <v/>
      </c>
      <c r="L41" s="7" t="str">
        <f>IFERROR(__xludf.DUMMYFUNCTION("IF('Respuestas de formulario 1'!L41="""","""",TO_TEXT('Respuestas de formulario 1'!L41))"),"")</f>
        <v/>
      </c>
      <c r="M41" s="7" t="str">
        <f>IFERROR(__xludf.DUMMYFUNCTION("IF('Respuestas de formulario 1'!M41="""","""",TO_TEXT('Respuestas de formulario 1'!M41))"),"")</f>
        <v/>
      </c>
      <c r="N41" s="7">
        <f t="shared" si="1"/>
        <v>2023</v>
      </c>
      <c r="O41" s="7" t="str">
        <f t="shared" si="2"/>
        <v>enero</v>
      </c>
      <c r="P41" s="7" t="s">
        <v>4286</v>
      </c>
    </row>
    <row r="42">
      <c r="A42" s="19">
        <f>'Respuestas de formulario 1'!A42</f>
        <v>44937.5581</v>
      </c>
      <c r="B42" s="7" t="str">
        <f>'Respuestas de formulario 1'!B42</f>
        <v>Nievas Acosta</v>
      </c>
      <c r="C42" s="7" t="str">
        <f>'Respuestas de formulario 1'!C42</f>
        <v>Marcos Daniel</v>
      </c>
      <c r="D42" s="7" t="str">
        <f>'Respuestas de formulario 1'!D42</f>
        <v>Mnievasacosta@gmail.com</v>
      </c>
      <c r="E42" s="20">
        <f>'Respuestas de formulario 1'!E42</f>
        <v>34033</v>
      </c>
      <c r="F42" s="7">
        <f>'Respuestas de formulario 1'!F42</f>
        <v>37317203</v>
      </c>
      <c r="G42" s="7" t="str">
        <f>IFERROR(__xludf.DUMMYFUNCTION("IF('Respuestas de formulario 1'!G42="""","""",IF(LEFT(REGEXREPLACE(TO_TEXT('Respuestas de formulario 1'!G42),""[^0-9]"",""""),2)=""54"",""+""&amp;REGEXREPLACE(TO_TEXT('Respuestas de formulario 1'!G42),""[^0-9]"",""""),""+54""&amp;REGEXREPLACE(TO_TEXT('Respuestas "&amp;"de formulario 1'!G42),""[^0-9]"","""")))"),"+543516558107")</f>
        <v>+543516558107</v>
      </c>
      <c r="H42" s="7">
        <f>'Respuestas de formulario 1'!S42</f>
        <v>2023</v>
      </c>
      <c r="I42" s="7" t="str">
        <f>IFERROR(__xludf.DUMMYFUNCTION("IF('Respuestas de formulario 1'!I42="""","""",TO_TEXT('Respuestas de formulario 1'!I42))"),"Particular")</f>
        <v>Particular</v>
      </c>
      <c r="J42" s="7" t="str">
        <f>IFERROR(__xludf.DUMMYFUNCTION("IF('Respuestas de formulario 1'!J42&lt;&gt;"""",UPPER(TRIM(TO_TEXT('Respuestas de formulario 1'!J42))),IF('Respuestas de formulario 1'!O42&lt;&gt;"""",UPPER(TRIM(TO_TEXT('Respuestas de formulario 1'!O42))),""""))"),"")</f>
        <v/>
      </c>
      <c r="K42" s="7" t="str">
        <f>IFERROR(__xludf.DUMMYFUNCTION("IF('Respuestas de formulario 1'!K42="""","""",TO_TEXT('Respuestas de formulario 1'!K42))"),"")</f>
        <v/>
      </c>
      <c r="L42" s="7" t="str">
        <f>IFERROR(__xludf.DUMMYFUNCTION("IF('Respuestas de formulario 1'!L42="""","""",TO_TEXT('Respuestas de formulario 1'!L42))"),"")</f>
        <v/>
      </c>
      <c r="M42" s="7" t="str">
        <f>IFERROR(__xludf.DUMMYFUNCTION("IF('Respuestas de formulario 1'!M42="""","""",TO_TEXT('Respuestas de formulario 1'!M42))"),"")</f>
        <v/>
      </c>
      <c r="N42" s="7">
        <f t="shared" si="1"/>
        <v>2023</v>
      </c>
      <c r="O42" s="7" t="str">
        <f t="shared" si="2"/>
        <v>enero</v>
      </c>
      <c r="P42" s="7" t="s">
        <v>4288</v>
      </c>
    </row>
    <row r="43">
      <c r="A43" s="19">
        <f>'Respuestas de formulario 1'!A43</f>
        <v>44942.86967</v>
      </c>
      <c r="B43" s="7" t="str">
        <f>'Respuestas de formulario 1'!B43</f>
        <v>Vocos</v>
      </c>
      <c r="C43" s="7" t="str">
        <f>'Respuestas de formulario 1'!C43</f>
        <v>Lucia</v>
      </c>
      <c r="D43" s="7" t="str">
        <f>'Respuestas de formulario 1'!D43</f>
        <v/>
      </c>
      <c r="E43" s="20">
        <f>'Respuestas de formulario 1'!E43</f>
        <v>32574</v>
      </c>
      <c r="F43" s="7">
        <f>'Respuestas de formulario 1'!F43</f>
        <v>34315567</v>
      </c>
      <c r="G43" s="7" t="str">
        <f>IFERROR(__xludf.DUMMYFUNCTION("IF('Respuestas de formulario 1'!G43="""","""",IF(LEFT(REGEXREPLACE(TO_TEXT('Respuestas de formulario 1'!G43),""[^0-9]"",""""),2)=""54"",""+""&amp;REGEXREPLACE(TO_TEXT('Respuestas de formulario 1'!G43),""[^0-9]"",""""),""+54""&amp;REGEXREPLACE(TO_TEXT('Respuestas "&amp;"de formulario 1'!G43),""[^0-9]"","""")))"),"+5417677271846")</f>
        <v>+5417677271846</v>
      </c>
      <c r="H43" s="7">
        <f>'Respuestas de formulario 1'!S43</f>
        <v>2023</v>
      </c>
      <c r="I43" s="7" t="str">
        <f>IFERROR(__xludf.DUMMYFUNCTION("IF('Respuestas de formulario 1'!I43="""","""",TO_TEXT('Respuestas de formulario 1'!I43))"),"Particular")</f>
        <v>Particular</v>
      </c>
      <c r="J43" s="7" t="str">
        <f>IFERROR(__xludf.DUMMYFUNCTION("IF('Respuestas de formulario 1'!J43&lt;&gt;"""",UPPER(TRIM(TO_TEXT('Respuestas de formulario 1'!J43))),IF('Respuestas de formulario 1'!O43&lt;&gt;"""",UPPER(TRIM(TO_TEXT('Respuestas de formulario 1'!O43))),""""))"),"")</f>
        <v/>
      </c>
      <c r="K43" s="7" t="str">
        <f>IFERROR(__xludf.DUMMYFUNCTION("IF('Respuestas de formulario 1'!K43="""","""",TO_TEXT('Respuestas de formulario 1'!K43))"),"")</f>
        <v/>
      </c>
      <c r="L43" s="7" t="str">
        <f>IFERROR(__xludf.DUMMYFUNCTION("IF('Respuestas de formulario 1'!L43="""","""",TO_TEXT('Respuestas de formulario 1'!L43))"),"")</f>
        <v/>
      </c>
      <c r="M43" s="7" t="str">
        <f>IFERROR(__xludf.DUMMYFUNCTION("IF('Respuestas de formulario 1'!M43="""","""",TO_TEXT('Respuestas de formulario 1'!M43))"),"")</f>
        <v/>
      </c>
      <c r="N43" s="7">
        <f t="shared" si="1"/>
        <v>2023</v>
      </c>
      <c r="O43" s="7" t="str">
        <f t="shared" si="2"/>
        <v>enero</v>
      </c>
      <c r="P43" s="7" t="s">
        <v>4290</v>
      </c>
    </row>
    <row r="44">
      <c r="A44" s="19">
        <f>'Respuestas de formulario 1'!A44</f>
        <v>44951.76343</v>
      </c>
      <c r="B44" s="7" t="str">
        <f>'Respuestas de formulario 1'!B44</f>
        <v>Garino</v>
      </c>
      <c r="C44" s="7" t="str">
        <f>'Respuestas de formulario 1'!C44</f>
        <v>Dario</v>
      </c>
      <c r="D44" s="7" t="str">
        <f>'Respuestas de formulario 1'!D44</f>
        <v>dariog128@hotmail.com</v>
      </c>
      <c r="E44" s="20">
        <f>'Respuestas de formulario 1'!E44</f>
        <v>32583</v>
      </c>
      <c r="F44" s="7">
        <f>'Respuestas de formulario 1'!F44</f>
        <v>34247843</v>
      </c>
      <c r="G44" s="7" t="str">
        <f>IFERROR(__xludf.DUMMYFUNCTION("IF('Respuestas de formulario 1'!G44="""","""",IF(LEFT(REGEXREPLACE(TO_TEXT('Respuestas de formulario 1'!G44),""[^0-9]"",""""),2)=""54"",""+""&amp;REGEXREPLACE(TO_TEXT('Respuestas de formulario 1'!G44),""[^0-9]"",""""),""+54""&amp;REGEXREPLACE(TO_TEXT('Respuestas "&amp;"de formulario 1'!G44),""[^0-9]"","""")))"),"+543515571888")</f>
        <v>+543515571888</v>
      </c>
      <c r="H44" s="7">
        <f>'Respuestas de formulario 1'!S44</f>
        <v>2023</v>
      </c>
      <c r="I44" s="7" t="str">
        <f>IFERROR(__xludf.DUMMYFUNCTION("IF('Respuestas de formulario 1'!I44="""","""",TO_TEXT('Respuestas de formulario 1'!I44))"),"Particular")</f>
        <v>Particular</v>
      </c>
      <c r="J44" s="7" t="str">
        <f>IFERROR(__xludf.DUMMYFUNCTION("IF('Respuestas de formulario 1'!J44&lt;&gt;"""",UPPER(TRIM(TO_TEXT('Respuestas de formulario 1'!J44))),IF('Respuestas de formulario 1'!O44&lt;&gt;"""",UPPER(TRIM(TO_TEXT('Respuestas de formulario 1'!O44))),""""))"),"")</f>
        <v/>
      </c>
      <c r="K44" s="7" t="str">
        <f>IFERROR(__xludf.DUMMYFUNCTION("IF('Respuestas de formulario 1'!K44="""","""",TO_TEXT('Respuestas de formulario 1'!K44))"),"")</f>
        <v/>
      </c>
      <c r="L44" s="7" t="str">
        <f>IFERROR(__xludf.DUMMYFUNCTION("IF('Respuestas de formulario 1'!L44="""","""",TO_TEXT('Respuestas de formulario 1'!L44))"),"")</f>
        <v/>
      </c>
      <c r="M44" s="7" t="str">
        <f>IFERROR(__xludf.DUMMYFUNCTION("IF('Respuestas de formulario 1'!M44="""","""",TO_TEXT('Respuestas de formulario 1'!M44))"),"")</f>
        <v/>
      </c>
      <c r="N44" s="7">
        <f t="shared" si="1"/>
        <v>2023</v>
      </c>
      <c r="O44" s="7" t="str">
        <f t="shared" si="2"/>
        <v>enero</v>
      </c>
      <c r="P44" s="7" t="s">
        <v>4292</v>
      </c>
    </row>
    <row r="45">
      <c r="A45" s="19">
        <f>'Respuestas de formulario 1'!A45</f>
        <v>44953.48924</v>
      </c>
      <c r="B45" s="7" t="str">
        <f>'Respuestas de formulario 1'!B45</f>
        <v>layus</v>
      </c>
      <c r="C45" s="7" t="str">
        <f>'Respuestas de formulario 1'!C45</f>
        <v>Daniel</v>
      </c>
      <c r="D45" s="7" t="str">
        <f>'Respuestas de formulario 1'!D45</f>
        <v>dansocias77@gmail.com</v>
      </c>
      <c r="E45" s="20">
        <f>'Respuestas de formulario 1'!E45</f>
        <v>28046</v>
      </c>
      <c r="F45" s="7">
        <f>'Respuestas de formulario 1'!F45</f>
        <v>26177948</v>
      </c>
      <c r="G45" s="7" t="str">
        <f>IFERROR(__xludf.DUMMYFUNCTION("IF('Respuestas de formulario 1'!G45="""","""",IF(LEFT(REGEXREPLACE(TO_TEXT('Respuestas de formulario 1'!G45),""[^0-9]"",""""),2)=""54"",""+""&amp;REGEXREPLACE(TO_TEXT('Respuestas de formulario 1'!G45),""[^0-9]"",""""),""+54""&amp;REGEXREPLACE(TO_TEXT('Respuestas "&amp;"de formulario 1'!G45),""[^0-9]"","""")))"),"+543515471689")</f>
        <v>+543515471689</v>
      </c>
      <c r="H45" s="7">
        <f>'Respuestas de formulario 1'!S45</f>
        <v>2023</v>
      </c>
      <c r="I45" s="7" t="str">
        <f>IFERROR(__xludf.DUMMYFUNCTION("IF('Respuestas de formulario 1'!I45="""","""",TO_TEXT('Respuestas de formulario 1'!I45))"),"Obra social")</f>
        <v>Obra social</v>
      </c>
      <c r="J45" s="7" t="str">
        <f>IFERROR(__xludf.DUMMYFUNCTION("IF('Respuestas de formulario 1'!J45&lt;&gt;"""",UPPER(TRIM(TO_TEXT('Respuestas de formulario 1'!J45))),IF('Respuestas de formulario 1'!O45&lt;&gt;"""",UPPER(TRIM(TO_TEXT('Respuestas de formulario 1'!O45))),""""))"),"PREVENCIÓN")</f>
        <v>PREVENCIÓN</v>
      </c>
      <c r="K45" s="7" t="str">
        <f>IFERROR(__xludf.DUMMYFUNCTION("IF('Respuestas de formulario 1'!K45="""","""",TO_TEXT('Respuestas de formulario 1'!K45))"),"")</f>
        <v/>
      </c>
      <c r="L45" s="7" t="str">
        <f>IFERROR(__xludf.DUMMYFUNCTION("IF('Respuestas de formulario 1'!L45="""","""",TO_TEXT('Respuestas de formulario 1'!L45))"),"")</f>
        <v/>
      </c>
      <c r="M45" s="7" t="str">
        <f>IFERROR(__xludf.DUMMYFUNCTION("IF('Respuestas de formulario 1'!M45="""","""",TO_TEXT('Respuestas de formulario 1'!M45))"),"")</f>
        <v/>
      </c>
      <c r="N45" s="7">
        <f t="shared" si="1"/>
        <v>2023</v>
      </c>
      <c r="O45" s="7" t="str">
        <f t="shared" si="2"/>
        <v>enero</v>
      </c>
      <c r="P45" s="7" t="s">
        <v>4294</v>
      </c>
    </row>
    <row r="46">
      <c r="A46" s="19">
        <f>'Respuestas de formulario 1'!A46</f>
        <v>44953.49471</v>
      </c>
      <c r="B46" s="7" t="str">
        <f>'Respuestas de formulario 1'!B46</f>
        <v>Retter</v>
      </c>
      <c r="C46" s="7" t="str">
        <f>'Respuestas de formulario 1'!C46</f>
        <v>Norma</v>
      </c>
      <c r="D46" s="7" t="str">
        <f>'Respuestas de formulario 1'!D46</f>
        <v>normaretter@hotmail.com</v>
      </c>
      <c r="E46" s="20">
        <f>'Respuestas de formulario 1'!E46</f>
        <v>18169</v>
      </c>
      <c r="F46" s="7">
        <f>'Respuestas de formulario 1'!F46</f>
        <v>6132407</v>
      </c>
      <c r="G46" s="7" t="str">
        <f>IFERROR(__xludf.DUMMYFUNCTION("IF('Respuestas de formulario 1'!G46="""","""",IF(LEFT(REGEXREPLACE(TO_TEXT('Respuestas de formulario 1'!G46),""[^0-9]"",""""),2)=""54"",""+""&amp;REGEXREPLACE(TO_TEXT('Respuestas de formulario 1'!G46),""[^0-9]"",""""),""+54""&amp;REGEXREPLACE(TO_TEXT('Respuestas "&amp;"de formulario 1'!G46),""[^0-9]"","""")))"),"+543513241502")</f>
        <v>+543513241502</v>
      </c>
      <c r="H46" s="7">
        <f>'Respuestas de formulario 1'!S46</f>
        <v>2023</v>
      </c>
      <c r="I46" s="7" t="str">
        <f>IFERROR(__xludf.DUMMYFUNCTION("IF('Respuestas de formulario 1'!I46="""","""",TO_TEXT('Respuestas de formulario 1'!I46))"),"Obra social")</f>
        <v>Obra social</v>
      </c>
      <c r="J46" s="7" t="str">
        <f>IFERROR(__xludf.DUMMYFUNCTION("IF('Respuestas de formulario 1'!J46&lt;&gt;"""",UPPER(TRIM(TO_TEXT('Respuestas de formulario 1'!J46))),IF('Respuestas de formulario 1'!O46&lt;&gt;"""",UPPER(TRIM(TO_TEXT('Respuestas de formulario 1'!O46))),""""))"),"DASPU")</f>
        <v>DASPU</v>
      </c>
      <c r="K46" s="7" t="str">
        <f>IFERROR(__xludf.DUMMYFUNCTION("IF('Respuestas de formulario 1'!K46="""","""",TO_TEXT('Respuestas de formulario 1'!K46))"),"")</f>
        <v/>
      </c>
      <c r="L46" s="7" t="str">
        <f>IFERROR(__xludf.DUMMYFUNCTION("IF('Respuestas de formulario 1'!L46="""","""",TO_TEXT('Respuestas de formulario 1'!L46))"),"")</f>
        <v/>
      </c>
      <c r="M46" s="7" t="str">
        <f>IFERROR(__xludf.DUMMYFUNCTION("IF('Respuestas de formulario 1'!M46="""","""",TO_TEXT('Respuestas de formulario 1'!M46))"),"")</f>
        <v/>
      </c>
      <c r="N46" s="7">
        <f t="shared" si="1"/>
        <v>2023</v>
      </c>
      <c r="O46" s="7" t="str">
        <f t="shared" si="2"/>
        <v>enero</v>
      </c>
      <c r="P46" s="7" t="s">
        <v>4296</v>
      </c>
    </row>
    <row r="47">
      <c r="A47" s="19">
        <f>'Respuestas de formulario 1'!A47</f>
        <v>44953.50155</v>
      </c>
      <c r="B47" s="7" t="str">
        <f>'Respuestas de formulario 1'!B47</f>
        <v>Bracco</v>
      </c>
      <c r="C47" s="7" t="str">
        <f>'Respuestas de formulario 1'!C47</f>
        <v>Munir</v>
      </c>
      <c r="D47" s="7" t="str">
        <f>'Respuestas de formulario 1'!D47</f>
        <v>munirbracco@hotmail.com</v>
      </c>
      <c r="E47" s="20">
        <f>'Respuestas de formulario 1'!E47</f>
        <v>27251</v>
      </c>
      <c r="F47" s="7">
        <f>'Respuestas de formulario 1'!F47</f>
        <v>24088161</v>
      </c>
      <c r="G47" s="7" t="str">
        <f>IFERROR(__xludf.DUMMYFUNCTION("IF('Respuestas de formulario 1'!G47="""","""",IF(LEFT(REGEXREPLACE(TO_TEXT('Respuestas de formulario 1'!G47),""[^0-9]"",""""),2)=""54"",""+""&amp;REGEXREPLACE(TO_TEXT('Respuestas de formulario 1'!G47),""[^0-9]"",""""),""+54""&amp;REGEXREPLACE(TO_TEXT('Respuestas "&amp;"de formulario 1'!G47),""[^0-9]"","""")))"),"+543515185921")</f>
        <v>+543515185921</v>
      </c>
      <c r="H47" s="7">
        <f>'Respuestas de formulario 1'!S47</f>
        <v>2023</v>
      </c>
      <c r="I47" s="7" t="str">
        <f>IFERROR(__xludf.DUMMYFUNCTION("IF('Respuestas de formulario 1'!I47="""","""",TO_TEXT('Respuestas de formulario 1'!I47))"),"Obra social")</f>
        <v>Obra social</v>
      </c>
      <c r="J47" s="7" t="str">
        <f>IFERROR(__xludf.DUMMYFUNCTION("IF('Respuestas de formulario 1'!J47&lt;&gt;"""",UPPER(TRIM(TO_TEXT('Respuestas de formulario 1'!J47))),IF('Respuestas de formulario 1'!O47&lt;&gt;"""",UPPER(TRIM(TO_TEXT('Respuestas de formulario 1'!O47))),""""))"),"AE SAN PEDRO")</f>
        <v>AE SAN PEDRO</v>
      </c>
      <c r="K47" s="7" t="str">
        <f>IFERROR(__xludf.DUMMYFUNCTION("IF('Respuestas de formulario 1'!K47="""","""",TO_TEXT('Respuestas de formulario 1'!K47))"),"")</f>
        <v/>
      </c>
      <c r="L47" s="7" t="str">
        <f>IFERROR(__xludf.DUMMYFUNCTION("IF('Respuestas de formulario 1'!L47="""","""",TO_TEXT('Respuestas de formulario 1'!L47))"),"")</f>
        <v/>
      </c>
      <c r="M47" s="7" t="str">
        <f>IFERROR(__xludf.DUMMYFUNCTION("IF('Respuestas de formulario 1'!M47="""","""",TO_TEXT('Respuestas de formulario 1'!M47))"),"")</f>
        <v/>
      </c>
      <c r="N47" s="7">
        <f t="shared" si="1"/>
        <v>2023</v>
      </c>
      <c r="O47" s="7" t="str">
        <f t="shared" si="2"/>
        <v>enero</v>
      </c>
      <c r="P47" s="7" t="s">
        <v>4298</v>
      </c>
    </row>
    <row r="48">
      <c r="A48" s="19">
        <f>'Respuestas de formulario 1'!A48</f>
        <v>44953.74153</v>
      </c>
      <c r="B48" s="7" t="str">
        <f>'Respuestas de formulario 1'!B48</f>
        <v>Rodriguez </v>
      </c>
      <c r="C48" s="7" t="str">
        <f>'Respuestas de formulario 1'!C48</f>
        <v>Reinaldo</v>
      </c>
      <c r="D48" s="7" t="str">
        <f>'Respuestas de formulario 1'!D48</f>
        <v>Estelahilbe5@hotmail.com </v>
      </c>
      <c r="E48" s="20">
        <f>'Respuestas de formulario 1'!E48</f>
        <v>18352</v>
      </c>
      <c r="F48" s="7">
        <f>'Respuestas de formulario 1'!F48</f>
        <v>7868456</v>
      </c>
      <c r="G48" s="7" t="str">
        <f>IFERROR(__xludf.DUMMYFUNCTION("IF('Respuestas de formulario 1'!G48="""","""",IF(LEFT(REGEXREPLACE(TO_TEXT('Respuestas de formulario 1'!G48),""[^0-9]"",""""),2)=""54"",""+""&amp;REGEXREPLACE(TO_TEXT('Respuestas de formulario 1'!G48),""[^0-9]"",""""),""+54""&amp;REGEXREPLACE(TO_TEXT('Respuestas "&amp;"de formulario 1'!G48),""[^0-9]"","""")))"),"+543491464298")</f>
        <v>+543491464298</v>
      </c>
      <c r="H48" s="7">
        <f>'Respuestas de formulario 1'!S48</f>
        <v>2023</v>
      </c>
      <c r="I48" s="7" t="str">
        <f>IFERROR(__xludf.DUMMYFUNCTION("IF('Respuestas de formulario 1'!I48="""","""",TO_TEXT('Respuestas de formulario 1'!I48))"),"Obra social")</f>
        <v>Obra social</v>
      </c>
      <c r="J48" s="7" t="str">
        <f>IFERROR(__xludf.DUMMYFUNCTION("IF('Respuestas de formulario 1'!J48&lt;&gt;"""",UPPER(TRIM(TO_TEXT('Respuestas de formulario 1'!J48))),IF('Respuestas de formulario 1'!O48&lt;&gt;"""",UPPER(TRIM(TO_TEXT('Respuestas de formulario 1'!O48))),""""))"),"JERARQUICOS SALUD")</f>
        <v>JERARQUICOS SALUD</v>
      </c>
      <c r="K48" s="7" t="str">
        <f>IFERROR(__xludf.DUMMYFUNCTION("IF('Respuestas de formulario 1'!K48="""","""",TO_TEXT('Respuestas de formulario 1'!K48))"),"")</f>
        <v/>
      </c>
      <c r="L48" s="7" t="str">
        <f>IFERROR(__xludf.DUMMYFUNCTION("IF('Respuestas de formulario 1'!L48="""","""",TO_TEXT('Respuestas de formulario 1'!L48))"),"")</f>
        <v/>
      </c>
      <c r="M48" s="7" t="str">
        <f>IFERROR(__xludf.DUMMYFUNCTION("IF('Respuestas de formulario 1'!M48="""","""",TO_TEXT('Respuestas de formulario 1'!M48))"),"")</f>
        <v/>
      </c>
      <c r="N48" s="7">
        <f t="shared" si="1"/>
        <v>2023</v>
      </c>
      <c r="O48" s="7" t="str">
        <f t="shared" si="2"/>
        <v>enero</v>
      </c>
      <c r="P48" s="7" t="s">
        <v>4300</v>
      </c>
    </row>
    <row r="49">
      <c r="A49" s="19">
        <f>'Respuestas de formulario 1'!A49</f>
        <v>44956.41278</v>
      </c>
      <c r="B49" s="7" t="str">
        <f>'Respuestas de formulario 1'!B49</f>
        <v>Vega Machado</v>
      </c>
      <c r="C49" s="7" t="str">
        <f>'Respuestas de formulario 1'!C49</f>
        <v>Alejandro</v>
      </c>
      <c r="D49" s="7" t="str">
        <f>'Respuestas de formulario 1'!D49</f>
        <v>alejandro.vega79@gmail.com</v>
      </c>
      <c r="E49" s="20">
        <f>'Respuestas de formulario 1'!E49</f>
        <v>28911</v>
      </c>
      <c r="F49" s="7">
        <f>'Respuestas de formulario 1'!F49</f>
        <v>27172103</v>
      </c>
      <c r="G49" s="7" t="str">
        <f>IFERROR(__xludf.DUMMYFUNCTION("IF('Respuestas de formulario 1'!G49="""","""",IF(LEFT(REGEXREPLACE(TO_TEXT('Respuestas de formulario 1'!G49),""[^0-9]"",""""),2)=""54"",""+""&amp;REGEXREPLACE(TO_TEXT('Respuestas de formulario 1'!G49),""[^0-9]"",""""),""+54""&amp;REGEXREPLACE(TO_TEXT('Respuestas "&amp;"de formulario 1'!G49),""[^0-9]"","""")))"),"+543515583969")</f>
        <v>+543515583969</v>
      </c>
      <c r="H49" s="7">
        <f>'Respuestas de formulario 1'!S49</f>
        <v>2023</v>
      </c>
      <c r="I49" s="7" t="str">
        <f>IFERROR(__xludf.DUMMYFUNCTION("IF('Respuestas de formulario 1'!I49="""","""",TO_TEXT('Respuestas de formulario 1'!I49))"),"Particular")</f>
        <v>Particular</v>
      </c>
      <c r="J49" s="7" t="str">
        <f>IFERROR(__xludf.DUMMYFUNCTION("IF('Respuestas de formulario 1'!J49&lt;&gt;"""",UPPER(TRIM(TO_TEXT('Respuestas de formulario 1'!J49))),IF('Respuestas de formulario 1'!O49&lt;&gt;"""",UPPER(TRIM(TO_TEXT('Respuestas de formulario 1'!O49))),""""))"),"")</f>
        <v/>
      </c>
      <c r="K49" s="7" t="str">
        <f>IFERROR(__xludf.DUMMYFUNCTION("IF('Respuestas de formulario 1'!K49="""","""",TO_TEXT('Respuestas de formulario 1'!K49))"),"")</f>
        <v/>
      </c>
      <c r="L49" s="7" t="str">
        <f>IFERROR(__xludf.DUMMYFUNCTION("IF('Respuestas de formulario 1'!L49="""","""",TO_TEXT('Respuestas de formulario 1'!L49))"),"")</f>
        <v/>
      </c>
      <c r="M49" s="7" t="str">
        <f>IFERROR(__xludf.DUMMYFUNCTION("IF('Respuestas de formulario 1'!M49="""","""",TO_TEXT('Respuestas de formulario 1'!M49))"),"")</f>
        <v/>
      </c>
      <c r="N49" s="7">
        <f t="shared" si="1"/>
        <v>2023</v>
      </c>
      <c r="O49" s="7" t="str">
        <f t="shared" si="2"/>
        <v>enero</v>
      </c>
      <c r="P49" s="7" t="s">
        <v>4302</v>
      </c>
    </row>
    <row r="50">
      <c r="A50" s="19">
        <f>'Respuestas de formulario 1'!A50</f>
        <v>44957.46353</v>
      </c>
      <c r="B50" s="7" t="str">
        <f>'Respuestas de formulario 1'!B50</f>
        <v>Vega</v>
      </c>
      <c r="C50" s="7" t="str">
        <f>'Respuestas de formulario 1'!C50</f>
        <v>Maria belen</v>
      </c>
      <c r="D50" s="7" t="str">
        <f>'Respuestas de formulario 1'!D50</f>
        <v/>
      </c>
      <c r="E50" s="20">
        <f>'Respuestas de formulario 1'!E50</f>
        <v>44957</v>
      </c>
      <c r="F50" s="7">
        <f>'Respuestas de formulario 1'!F50</f>
        <v>31523085</v>
      </c>
      <c r="G50" s="7" t="str">
        <f>IFERROR(__xludf.DUMMYFUNCTION("IF('Respuestas de formulario 1'!G50="""","""",IF(LEFT(REGEXREPLACE(TO_TEXT('Respuestas de formulario 1'!G50),""[^0-9]"",""""),2)=""54"",""+""&amp;REGEXREPLACE(TO_TEXT('Respuestas de formulario 1'!G50),""[^0-9]"",""""),""+54""&amp;REGEXREPLACE(TO_TEXT('Respuestas "&amp;"de formulario 1'!G50),""[^0-9]"","""")))"),"+543513798148")</f>
        <v>+543513798148</v>
      </c>
      <c r="H50" s="7">
        <f>'Respuestas de formulario 1'!S50</f>
        <v>2023</v>
      </c>
      <c r="I50" s="7" t="str">
        <f>IFERROR(__xludf.DUMMYFUNCTION("IF('Respuestas de formulario 1'!I50="""","""",TO_TEXT('Respuestas de formulario 1'!I50))"),"Obra social")</f>
        <v>Obra social</v>
      </c>
      <c r="J50" s="7" t="str">
        <f>IFERROR(__xludf.DUMMYFUNCTION("IF('Respuestas de formulario 1'!J50&lt;&gt;"""",UPPER(TRIM(TO_TEXT('Respuestas de formulario 1'!J50))),IF('Respuestas de formulario 1'!O50&lt;&gt;"""",UPPER(TRIM(TO_TEXT('Respuestas de formulario 1'!O50))),""""))"),"APROSS")</f>
        <v>APROSS</v>
      </c>
      <c r="K50" s="7" t="str">
        <f>IFERROR(__xludf.DUMMYFUNCTION("IF('Respuestas de formulario 1'!K50="""","""",TO_TEXT('Respuestas de formulario 1'!K50))"),"")</f>
        <v/>
      </c>
      <c r="L50" s="7" t="str">
        <f>IFERROR(__xludf.DUMMYFUNCTION("IF('Respuestas de formulario 1'!L50="""","""",TO_TEXT('Respuestas de formulario 1'!L50))"),"")</f>
        <v/>
      </c>
      <c r="M50" s="7" t="str">
        <f>IFERROR(__xludf.DUMMYFUNCTION("IF('Respuestas de formulario 1'!M50="""","""",TO_TEXT('Respuestas de formulario 1'!M50))"),"")</f>
        <v/>
      </c>
      <c r="N50" s="7">
        <f t="shared" si="1"/>
        <v>2023</v>
      </c>
      <c r="O50" s="7" t="str">
        <f t="shared" si="2"/>
        <v>enero</v>
      </c>
      <c r="P50" s="7" t="s">
        <v>4304</v>
      </c>
    </row>
    <row r="51">
      <c r="A51" s="19">
        <f>'Respuestas de formulario 1'!A51</f>
        <v>44957.68237</v>
      </c>
      <c r="B51" s="7" t="str">
        <f>'Respuestas de formulario 1'!B51</f>
        <v>Micheloud</v>
      </c>
      <c r="C51" s="7" t="str">
        <f>'Respuestas de formulario 1'!C51</f>
        <v>Santiago</v>
      </c>
      <c r="D51" s="7" t="str">
        <f>'Respuestas de formulario 1'!D51</f>
        <v>caroponce_@hotmail.com</v>
      </c>
      <c r="E51" s="20">
        <f>'Respuestas de formulario 1'!E51</f>
        <v>40598</v>
      </c>
      <c r="F51" s="7">
        <f>'Respuestas de formulario 1'!F51</f>
        <v>50631375</v>
      </c>
      <c r="G51" s="7" t="str">
        <f>IFERROR(__xludf.DUMMYFUNCTION("IF('Respuestas de formulario 1'!G51="""","""",IF(LEFT(REGEXREPLACE(TO_TEXT('Respuestas de formulario 1'!G51),""[^0-9]"",""""),2)=""54"",""+""&amp;REGEXREPLACE(TO_TEXT('Respuestas de formulario 1'!G51),""[^0-9]"",""""),""+54""&amp;REGEXREPLACE(TO_TEXT('Respuestas "&amp;"de formulario 1'!G51),""[^0-9]"","""")))"),"+543513287710")</f>
        <v>+543513287710</v>
      </c>
      <c r="H51" s="7">
        <f>'Respuestas de formulario 1'!S51</f>
        <v>2023</v>
      </c>
      <c r="I51" s="7" t="str">
        <f>IFERROR(__xludf.DUMMYFUNCTION("IF('Respuestas de formulario 1'!I51="""","""",TO_TEXT('Respuestas de formulario 1'!I51))"),"Particular")</f>
        <v>Particular</v>
      </c>
      <c r="J51" s="7" t="str">
        <f>IFERROR(__xludf.DUMMYFUNCTION("IF('Respuestas de formulario 1'!J51&lt;&gt;"""",UPPER(TRIM(TO_TEXT('Respuestas de formulario 1'!J51))),IF('Respuestas de formulario 1'!O51&lt;&gt;"""",UPPER(TRIM(TO_TEXT('Respuestas de formulario 1'!O51))),""""))"),"")</f>
        <v/>
      </c>
      <c r="K51" s="7" t="str">
        <f>IFERROR(__xludf.DUMMYFUNCTION("IF('Respuestas de formulario 1'!K51="""","""",TO_TEXT('Respuestas de formulario 1'!K51))"),"")</f>
        <v/>
      </c>
      <c r="L51" s="7" t="str">
        <f>IFERROR(__xludf.DUMMYFUNCTION("IF('Respuestas de formulario 1'!L51="""","""",TO_TEXT('Respuestas de formulario 1'!L51))"),"")</f>
        <v/>
      </c>
      <c r="M51" s="7" t="str">
        <f>IFERROR(__xludf.DUMMYFUNCTION("IF('Respuestas de formulario 1'!M51="""","""",TO_TEXT('Respuestas de formulario 1'!M51))"),"")</f>
        <v/>
      </c>
      <c r="N51" s="7">
        <f t="shared" si="1"/>
        <v>2023</v>
      </c>
      <c r="O51" s="7" t="str">
        <f t="shared" si="2"/>
        <v>enero</v>
      </c>
      <c r="P51" s="7" t="s">
        <v>4306</v>
      </c>
    </row>
    <row r="52">
      <c r="A52" s="19">
        <f>'Respuestas de formulario 1'!A52</f>
        <v>44957.74573</v>
      </c>
      <c r="B52" s="7" t="str">
        <f>'Respuestas de formulario 1'!B52</f>
        <v>Palacios</v>
      </c>
      <c r="C52" s="7" t="str">
        <f>'Respuestas de formulario 1'!C52</f>
        <v>Santiago</v>
      </c>
      <c r="D52" s="7" t="str">
        <f>'Respuestas de formulario 1'!D52</f>
        <v>santipalacios17@hotmail.com</v>
      </c>
      <c r="E52" s="20">
        <f>'Respuestas de formulario 1'!E52</f>
        <v>36599</v>
      </c>
      <c r="F52" s="7">
        <f>'Respuestas de formulario 1'!F52</f>
        <v>42697056</v>
      </c>
      <c r="G52" s="7" t="str">
        <f>IFERROR(__xludf.DUMMYFUNCTION("IF('Respuestas de formulario 1'!G52="""","""",IF(LEFT(REGEXREPLACE(TO_TEXT('Respuestas de formulario 1'!G52),""[^0-9]"",""""),2)=""54"",""+""&amp;REGEXREPLACE(TO_TEXT('Respuestas de formulario 1'!G52),""[^0-9]"",""""),""+54""&amp;REGEXREPLACE(TO_TEXT('Respuestas "&amp;"de formulario 1'!G52),""[^0-9]"","""")))"),"+543516160854")</f>
        <v>+543516160854</v>
      </c>
      <c r="H52" s="7">
        <f>'Respuestas de formulario 1'!S52</f>
        <v>2023</v>
      </c>
      <c r="I52" s="7" t="str">
        <f>IFERROR(__xludf.DUMMYFUNCTION("IF('Respuestas de formulario 1'!I52="""","""",TO_TEXT('Respuestas de formulario 1'!I52))"),"Particular")</f>
        <v>Particular</v>
      </c>
      <c r="J52" s="7" t="str">
        <f>IFERROR(__xludf.DUMMYFUNCTION("IF('Respuestas de formulario 1'!J52&lt;&gt;"""",UPPER(TRIM(TO_TEXT('Respuestas de formulario 1'!J52))),IF('Respuestas de formulario 1'!O52&lt;&gt;"""",UPPER(TRIM(TO_TEXT('Respuestas de formulario 1'!O52))),""""))"),"")</f>
        <v/>
      </c>
      <c r="K52" s="7" t="str">
        <f>IFERROR(__xludf.DUMMYFUNCTION("IF('Respuestas de formulario 1'!K52="""","""",TO_TEXT('Respuestas de formulario 1'!K52))"),"")</f>
        <v/>
      </c>
      <c r="L52" s="7" t="str">
        <f>IFERROR(__xludf.DUMMYFUNCTION("IF('Respuestas de formulario 1'!L52="""","""",TO_TEXT('Respuestas de formulario 1'!L52))"),"")</f>
        <v/>
      </c>
      <c r="M52" s="7" t="str">
        <f>IFERROR(__xludf.DUMMYFUNCTION("IF('Respuestas de formulario 1'!M52="""","""",TO_TEXT('Respuestas de formulario 1'!M52))"),"")</f>
        <v/>
      </c>
      <c r="N52" s="7">
        <f t="shared" si="1"/>
        <v>2023</v>
      </c>
      <c r="O52" s="7" t="str">
        <f t="shared" si="2"/>
        <v>enero</v>
      </c>
      <c r="P52" s="7" t="s">
        <v>4308</v>
      </c>
    </row>
    <row r="53">
      <c r="A53" s="19">
        <f>'Respuestas de formulario 1'!A53</f>
        <v>44959.75784</v>
      </c>
      <c r="B53" s="7" t="str">
        <f>'Respuestas de formulario 1'!B53</f>
        <v>Viberti </v>
      </c>
      <c r="C53" s="7" t="str">
        <f>'Respuestas de formulario 1'!C53</f>
        <v>Carlos</v>
      </c>
      <c r="D53" s="7" t="str">
        <f>'Respuestas de formulario 1'!D53</f>
        <v/>
      </c>
      <c r="E53" s="20">
        <f>'Respuestas de formulario 1'!E53</f>
        <v>14333</v>
      </c>
      <c r="F53" s="7">
        <f>'Respuestas de formulario 1'!F53</f>
        <v>6385089</v>
      </c>
      <c r="G53" s="7" t="str">
        <f>IFERROR(__xludf.DUMMYFUNCTION("IF('Respuestas de formulario 1'!G53="""","""",IF(LEFT(REGEXREPLACE(TO_TEXT('Respuestas de formulario 1'!G53),""[^0-9]"",""""),2)=""54"",""+""&amp;REGEXREPLACE(TO_TEXT('Respuestas de formulario 1'!G53),""[^0-9]"",""""),""+54""&amp;REGEXREPLACE(TO_TEXT('Respuestas "&amp;"de formulario 1'!G53),""[^0-9]"","""")))"),"+543515385789")</f>
        <v>+543515385789</v>
      </c>
      <c r="H53" s="7">
        <f>'Respuestas de formulario 1'!S53</f>
        <v>2023</v>
      </c>
      <c r="I53" s="7" t="str">
        <f>IFERROR(__xludf.DUMMYFUNCTION("IF('Respuestas de formulario 1'!I53="""","""",TO_TEXT('Respuestas de formulario 1'!I53))"),"Obra social")</f>
        <v>Obra social</v>
      </c>
      <c r="J53" s="7" t="str">
        <f>IFERROR(__xludf.DUMMYFUNCTION("IF('Respuestas de formulario 1'!J53&lt;&gt;"""",UPPER(TRIM(TO_TEXT('Respuestas de formulario 1'!J53))),IF('Respuestas de formulario 1'!O53&lt;&gt;"""",UPPER(TRIM(TO_TEXT('Respuestas de formulario 1'!O53))),""""))"),"APROSS")</f>
        <v>APROSS</v>
      </c>
      <c r="K53" s="7" t="str">
        <f>IFERROR(__xludf.DUMMYFUNCTION("IF('Respuestas de formulario 1'!K53="""","""",TO_TEXT('Respuestas de formulario 1'!K53))"),"")</f>
        <v/>
      </c>
      <c r="L53" s="7" t="str">
        <f>IFERROR(__xludf.DUMMYFUNCTION("IF('Respuestas de formulario 1'!L53="""","""",TO_TEXT('Respuestas de formulario 1'!L53))"),"")</f>
        <v/>
      </c>
      <c r="M53" s="7" t="str">
        <f>IFERROR(__xludf.DUMMYFUNCTION("IF('Respuestas de formulario 1'!M53="""","""",TO_TEXT('Respuestas de formulario 1'!M53))"),"")</f>
        <v/>
      </c>
      <c r="N53" s="7">
        <f t="shared" si="1"/>
        <v>2023</v>
      </c>
      <c r="O53" s="7" t="str">
        <f t="shared" si="2"/>
        <v>febrero</v>
      </c>
      <c r="P53" s="7" t="s">
        <v>4310</v>
      </c>
    </row>
    <row r="54">
      <c r="A54" s="19">
        <f>'Respuestas de formulario 1'!A54</f>
        <v>44959.82012</v>
      </c>
      <c r="B54" s="7" t="str">
        <f>'Respuestas de formulario 1'!B54</f>
        <v>Arrieta</v>
      </c>
      <c r="C54" s="7" t="str">
        <f>'Respuestas de formulario 1'!C54</f>
        <v>Claudio Carlos</v>
      </c>
      <c r="D54" s="7" t="str">
        <f>'Respuestas de formulario 1'!D54</f>
        <v>ccarrieta@gmail.com</v>
      </c>
      <c r="E54" s="20">
        <f>'Respuestas de formulario 1'!E54</f>
        <v>27145</v>
      </c>
      <c r="F54" s="7">
        <f>'Respuestas de formulario 1'!F54</f>
        <v>23824551</v>
      </c>
      <c r="G54" s="7" t="str">
        <f>IFERROR(__xludf.DUMMYFUNCTION("IF('Respuestas de formulario 1'!G54="""","""",IF(LEFT(REGEXREPLACE(TO_TEXT('Respuestas de formulario 1'!G54),""[^0-9]"",""""),2)=""54"",""+""&amp;REGEXREPLACE(TO_TEXT('Respuestas de formulario 1'!G54),""[^0-9]"",""""),""+54""&amp;REGEXREPLACE(TO_TEXT('Respuestas "&amp;"de formulario 1'!G54),""[^0-9]"","""")))"),"+543516137697")</f>
        <v>+543516137697</v>
      </c>
      <c r="H54" s="7">
        <f>'Respuestas de formulario 1'!S54</f>
        <v>2023</v>
      </c>
      <c r="I54" s="7" t="str">
        <f>IFERROR(__xludf.DUMMYFUNCTION("IF('Respuestas de formulario 1'!I54="""","""",TO_TEXT('Respuestas de formulario 1'!I54))"),"Obra social")</f>
        <v>Obra social</v>
      </c>
      <c r="J54" s="7" t="str">
        <f>IFERROR(__xludf.DUMMYFUNCTION("IF('Respuestas de formulario 1'!J54&lt;&gt;"""",UPPER(TRIM(TO_TEXT('Respuestas de formulario 1'!J54))),IF('Respuestas de formulario 1'!O54&lt;&gt;"""",UPPER(TRIM(TO_TEXT('Respuestas de formulario 1'!O54))),""""))"),"APROSS")</f>
        <v>APROSS</v>
      </c>
      <c r="K54" s="7" t="str">
        <f>IFERROR(__xludf.DUMMYFUNCTION("IF('Respuestas de formulario 1'!K54="""","""",TO_TEXT('Respuestas de formulario 1'!K54))"),"")</f>
        <v/>
      </c>
      <c r="L54" s="7" t="str">
        <f>IFERROR(__xludf.DUMMYFUNCTION("IF('Respuestas de formulario 1'!L54="""","""",TO_TEXT('Respuestas de formulario 1'!L54))"),"")</f>
        <v/>
      </c>
      <c r="M54" s="7" t="str">
        <f>IFERROR(__xludf.DUMMYFUNCTION("IF('Respuestas de formulario 1'!M54="""","""",TO_TEXT('Respuestas de formulario 1'!M54))"),"")</f>
        <v/>
      </c>
      <c r="N54" s="7">
        <f t="shared" si="1"/>
        <v>2023</v>
      </c>
      <c r="O54" s="7" t="str">
        <f t="shared" si="2"/>
        <v>febrero</v>
      </c>
      <c r="P54" s="7" t="s">
        <v>4312</v>
      </c>
    </row>
    <row r="55">
      <c r="A55" s="19">
        <f>'Respuestas de formulario 1'!A55</f>
        <v>44959.88308</v>
      </c>
      <c r="B55" s="7" t="str">
        <f>'Respuestas de formulario 1'!B55</f>
        <v>Martinez</v>
      </c>
      <c r="C55" s="7" t="str">
        <f>'Respuestas de formulario 1'!C55</f>
        <v>Sergio dario</v>
      </c>
      <c r="D55" s="7" t="str">
        <f>'Respuestas de formulario 1'!D55</f>
        <v>Sergiooomartinezz.@gmail.</v>
      </c>
      <c r="E55" s="20">
        <f>'Respuestas de formulario 1'!E55</f>
        <v>23655</v>
      </c>
      <c r="F55" s="7">
        <f>'Respuestas de formulario 1'!F55</f>
        <v>17154620</v>
      </c>
      <c r="G55" s="7" t="str">
        <f>IFERROR(__xludf.DUMMYFUNCTION("IF('Respuestas de formulario 1'!G55="""","""",IF(LEFT(REGEXREPLACE(TO_TEXT('Respuestas de formulario 1'!G55),""[^0-9]"",""""),2)=""54"",""+""&amp;REGEXREPLACE(TO_TEXT('Respuestas de formulario 1'!G55),""[^0-9]"",""""),""+54""&amp;REGEXREPLACE(TO_TEXT('Respuestas "&amp;"de formulario 1'!G55),""[^0-9]"","""")))"),"+543513516889")</f>
        <v>+543513516889</v>
      </c>
      <c r="H55" s="7">
        <f>'Respuestas de formulario 1'!S55</f>
        <v>2023</v>
      </c>
      <c r="I55" s="7" t="str">
        <f>IFERROR(__xludf.DUMMYFUNCTION("IF('Respuestas de formulario 1'!I55="""","""",TO_TEXT('Respuestas de formulario 1'!I55))"),"Particular")</f>
        <v>Particular</v>
      </c>
      <c r="J55" s="7" t="str">
        <f>IFERROR(__xludf.DUMMYFUNCTION("IF('Respuestas de formulario 1'!J55&lt;&gt;"""",UPPER(TRIM(TO_TEXT('Respuestas de formulario 1'!J55))),IF('Respuestas de formulario 1'!O55&lt;&gt;"""",UPPER(TRIM(TO_TEXT('Respuestas de formulario 1'!O55))),""""))"),"")</f>
        <v/>
      </c>
      <c r="K55" s="7" t="str">
        <f>IFERROR(__xludf.DUMMYFUNCTION("IF('Respuestas de formulario 1'!K55="""","""",TO_TEXT('Respuestas de formulario 1'!K55))"),"")</f>
        <v/>
      </c>
      <c r="L55" s="7" t="str">
        <f>IFERROR(__xludf.DUMMYFUNCTION("IF('Respuestas de formulario 1'!L55="""","""",TO_TEXT('Respuestas de formulario 1'!L55))"),"")</f>
        <v/>
      </c>
      <c r="M55" s="7" t="str">
        <f>IFERROR(__xludf.DUMMYFUNCTION("IF('Respuestas de formulario 1'!M55="""","""",TO_TEXT('Respuestas de formulario 1'!M55))"),"")</f>
        <v/>
      </c>
      <c r="N55" s="7">
        <f t="shared" si="1"/>
        <v>2023</v>
      </c>
      <c r="O55" s="7" t="str">
        <f t="shared" si="2"/>
        <v>febrero</v>
      </c>
      <c r="P55" s="7" t="s">
        <v>4314</v>
      </c>
    </row>
    <row r="56">
      <c r="A56" s="19">
        <f>'Respuestas de formulario 1'!A56</f>
        <v>44960.45799</v>
      </c>
      <c r="B56" s="7" t="str">
        <f>'Respuestas de formulario 1'!B56</f>
        <v>Ibarra</v>
      </c>
      <c r="C56" s="7" t="str">
        <f>'Respuestas de formulario 1'!C56</f>
        <v>Marta</v>
      </c>
      <c r="D56" s="7" t="str">
        <f>'Respuestas de formulario 1'!D56</f>
        <v>draibarrajaramillo@gmail.com</v>
      </c>
      <c r="E56" s="20">
        <f>'Respuestas de formulario 1'!E56</f>
        <v>19122</v>
      </c>
      <c r="F56" s="7">
        <f>'Respuestas de formulario 1'!F56</f>
        <v>10377891</v>
      </c>
      <c r="G56" s="7" t="str">
        <f>IFERROR(__xludf.DUMMYFUNCTION("IF('Respuestas de formulario 1'!G56="""","""",IF(LEFT(REGEXREPLACE(TO_TEXT('Respuestas de formulario 1'!G56),""[^0-9]"",""""),2)=""54"",""+""&amp;REGEXREPLACE(TO_TEXT('Respuestas de formulario 1'!G56),""[^0-9]"",""""),""+54""&amp;REGEXREPLACE(TO_TEXT('Respuestas "&amp;"de formulario 1'!G56),""[^0-9]"","""")))"),"+543516505375")</f>
        <v>+543516505375</v>
      </c>
      <c r="H56" s="7">
        <f>'Respuestas de formulario 1'!S56</f>
        <v>2023</v>
      </c>
      <c r="I56" s="7" t="str">
        <f>IFERROR(__xludf.DUMMYFUNCTION("IF('Respuestas de formulario 1'!I56="""","""",TO_TEXT('Respuestas de formulario 1'!I56))"),"Obra social")</f>
        <v>Obra social</v>
      </c>
      <c r="J56" s="7" t="str">
        <f>IFERROR(__xludf.DUMMYFUNCTION("IF('Respuestas de formulario 1'!J56&lt;&gt;"""",UPPER(TRIM(TO_TEXT('Respuestas de formulario 1'!J56))),IF('Respuestas de formulario 1'!O56&lt;&gt;"""",UPPER(TRIM(TO_TEXT('Respuestas de formulario 1'!O56))),""""))"),"APROSS")</f>
        <v>APROSS</v>
      </c>
      <c r="K56" s="7" t="str">
        <f>IFERROR(__xludf.DUMMYFUNCTION("IF('Respuestas de formulario 1'!K56="""","""",TO_TEXT('Respuestas de formulario 1'!K56))"),"")</f>
        <v/>
      </c>
      <c r="L56" s="7" t="str">
        <f>IFERROR(__xludf.DUMMYFUNCTION("IF('Respuestas de formulario 1'!L56="""","""",TO_TEXT('Respuestas de formulario 1'!L56))"),"")</f>
        <v/>
      </c>
      <c r="M56" s="7" t="str">
        <f>IFERROR(__xludf.DUMMYFUNCTION("IF('Respuestas de formulario 1'!M56="""","""",TO_TEXT('Respuestas de formulario 1'!M56))"),"")</f>
        <v/>
      </c>
      <c r="N56" s="7">
        <f t="shared" si="1"/>
        <v>2023</v>
      </c>
      <c r="O56" s="7" t="str">
        <f t="shared" si="2"/>
        <v>febrero</v>
      </c>
      <c r="P56" s="7" t="s">
        <v>4316</v>
      </c>
    </row>
    <row r="57">
      <c r="A57" s="19">
        <f>'Respuestas de formulario 1'!A57</f>
        <v>44960.46383</v>
      </c>
      <c r="B57" s="7" t="str">
        <f>'Respuestas de formulario 1'!B57</f>
        <v>Avila</v>
      </c>
      <c r="C57" s="7" t="str">
        <f>'Respuestas de formulario 1'!C57</f>
        <v>Patricia</v>
      </c>
      <c r="D57" s="7" t="str">
        <f>'Respuestas de formulario 1'!D57</f>
        <v>avilapati@hotmail.com</v>
      </c>
      <c r="E57" s="20">
        <f>'Respuestas de formulario 1'!E57</f>
        <v>21135</v>
      </c>
      <c r="F57" s="7">
        <f>'Respuestas de formulario 1'!F57</f>
        <v>13597824</v>
      </c>
      <c r="G57" s="7" t="str">
        <f>IFERROR(__xludf.DUMMYFUNCTION("IF('Respuestas de formulario 1'!G57="""","""",IF(LEFT(REGEXREPLACE(TO_TEXT('Respuestas de formulario 1'!G57),""[^0-9]"",""""),2)=""54"",""+""&amp;REGEXREPLACE(TO_TEXT('Respuestas de formulario 1'!G57),""[^0-9]"",""""),""+54""&amp;REGEXREPLACE(TO_TEXT('Respuestas "&amp;"de formulario 1'!G57),""[^0-9]"","""")))"),"+543512774033")</f>
        <v>+543512774033</v>
      </c>
      <c r="H57" s="7">
        <f>'Respuestas de formulario 1'!S57</f>
        <v>2023</v>
      </c>
      <c r="I57" s="7" t="str">
        <f>IFERROR(__xludf.DUMMYFUNCTION("IF('Respuestas de formulario 1'!I57="""","""",TO_TEXT('Respuestas de formulario 1'!I57))"),"Obra social")</f>
        <v>Obra social</v>
      </c>
      <c r="J57" s="7" t="str">
        <f>IFERROR(__xludf.DUMMYFUNCTION("IF('Respuestas de formulario 1'!J57&lt;&gt;"""",UPPER(TRIM(TO_TEXT('Respuestas de formulario 1'!J57))),IF('Respuestas de formulario 1'!O57&lt;&gt;"""",UPPER(TRIM(TO_TEXT('Respuestas de formulario 1'!O57))),""""))"),"APROSS")</f>
        <v>APROSS</v>
      </c>
      <c r="K57" s="7" t="str">
        <f>IFERROR(__xludf.DUMMYFUNCTION("IF('Respuestas de formulario 1'!K57="""","""",TO_TEXT('Respuestas de formulario 1'!K57))"),"")</f>
        <v/>
      </c>
      <c r="L57" s="7" t="str">
        <f>IFERROR(__xludf.DUMMYFUNCTION("IF('Respuestas de formulario 1'!L57="""","""",TO_TEXT('Respuestas de formulario 1'!L57))"),"")</f>
        <v/>
      </c>
      <c r="M57" s="7" t="str">
        <f>IFERROR(__xludf.DUMMYFUNCTION("IF('Respuestas de formulario 1'!M57="""","""",TO_TEXT('Respuestas de formulario 1'!M57))"),"")</f>
        <v/>
      </c>
      <c r="N57" s="7">
        <f t="shared" si="1"/>
        <v>2023</v>
      </c>
      <c r="O57" s="7" t="str">
        <f t="shared" si="2"/>
        <v>febrero</v>
      </c>
      <c r="P57" s="7" t="s">
        <v>4318</v>
      </c>
    </row>
    <row r="58">
      <c r="A58" s="19">
        <f>'Respuestas de formulario 1'!A58</f>
        <v>44964.13973</v>
      </c>
      <c r="B58" s="7" t="str">
        <f>'Respuestas de formulario 1'!B58</f>
        <v>Teran </v>
      </c>
      <c r="C58" s="7" t="str">
        <f>'Respuestas de formulario 1'!C58</f>
        <v>Emanuel</v>
      </c>
      <c r="D58" s="7" t="str">
        <f>'Respuestas de formulario 1'!D58</f>
        <v>emanuelterande05@gmail.com</v>
      </c>
      <c r="E58" s="20">
        <f>'Respuestas de formulario 1'!E58</f>
        <v>37330</v>
      </c>
      <c r="F58" s="7">
        <f>'Respuestas de formulario 1'!F58</f>
        <v>43812470</v>
      </c>
      <c r="G58" s="7" t="str">
        <f>IFERROR(__xludf.DUMMYFUNCTION("IF('Respuestas de formulario 1'!G58="""","""",IF(LEFT(REGEXREPLACE(TO_TEXT('Respuestas de formulario 1'!G58),""[^0-9]"",""""),2)=""54"",""+""&amp;REGEXREPLACE(TO_TEXT('Respuestas de formulario 1'!G58),""[^0-9]"",""""),""+54""&amp;REGEXREPLACE(TO_TEXT('Respuestas "&amp;"de formulario 1'!G58),""[^0-9]"","""")))"),"+543518137350")</f>
        <v>+543518137350</v>
      </c>
      <c r="H58" s="7">
        <f>'Respuestas de formulario 1'!S58</f>
        <v>2023</v>
      </c>
      <c r="I58" s="7" t="str">
        <f>IFERROR(__xludf.DUMMYFUNCTION("IF('Respuestas de formulario 1'!I58="""","""",TO_TEXT('Respuestas de formulario 1'!I58))"),"Particular")</f>
        <v>Particular</v>
      </c>
      <c r="J58" s="7" t="str">
        <f>IFERROR(__xludf.DUMMYFUNCTION("IF('Respuestas de formulario 1'!J58&lt;&gt;"""",UPPER(TRIM(TO_TEXT('Respuestas de formulario 1'!J58))),IF('Respuestas de formulario 1'!O58&lt;&gt;"""",UPPER(TRIM(TO_TEXT('Respuestas de formulario 1'!O58))),""""))"),"")</f>
        <v/>
      </c>
      <c r="K58" s="7" t="str">
        <f>IFERROR(__xludf.DUMMYFUNCTION("IF('Respuestas de formulario 1'!K58="""","""",TO_TEXT('Respuestas de formulario 1'!K58))"),"")</f>
        <v/>
      </c>
      <c r="L58" s="7" t="str">
        <f>IFERROR(__xludf.DUMMYFUNCTION("IF('Respuestas de formulario 1'!L58="""","""",TO_TEXT('Respuestas de formulario 1'!L58))"),"")</f>
        <v/>
      </c>
      <c r="M58" s="7" t="str">
        <f>IFERROR(__xludf.DUMMYFUNCTION("IF('Respuestas de formulario 1'!M58="""","""",TO_TEXT('Respuestas de formulario 1'!M58))"),"")</f>
        <v/>
      </c>
      <c r="N58" s="7">
        <f t="shared" si="1"/>
        <v>2023</v>
      </c>
      <c r="O58" s="7" t="str">
        <f t="shared" si="2"/>
        <v>febrero</v>
      </c>
      <c r="P58" s="7" t="s">
        <v>4320</v>
      </c>
    </row>
    <row r="59">
      <c r="A59" s="19">
        <f>'Respuestas de formulario 1'!A59</f>
        <v>44964.71296</v>
      </c>
      <c r="B59" s="7" t="str">
        <f>'Respuestas de formulario 1'!B59</f>
        <v>Abadie</v>
      </c>
      <c r="C59" s="7" t="str">
        <f>'Respuestas de formulario 1'!C59</f>
        <v>Raul</v>
      </c>
      <c r="D59" s="7" t="str">
        <f>'Respuestas de formulario 1'!D59</f>
        <v>raulgabadie@hotmail.com</v>
      </c>
      <c r="E59" s="20">
        <f>'Respuestas de formulario 1'!E59</f>
        <v>27999</v>
      </c>
      <c r="F59" s="7">
        <f>'Respuestas de formulario 1'!F59</f>
        <v>25281585</v>
      </c>
      <c r="G59" s="7" t="str">
        <f>IFERROR(__xludf.DUMMYFUNCTION("IF('Respuestas de formulario 1'!G59="""","""",IF(LEFT(REGEXREPLACE(TO_TEXT('Respuestas de formulario 1'!G59),""[^0-9]"",""""),2)=""54"",""+""&amp;REGEXREPLACE(TO_TEXT('Respuestas de formulario 1'!G59),""[^0-9]"",""""),""+54""&amp;REGEXREPLACE(TO_TEXT('Respuestas "&amp;"de formulario 1'!G59),""[^0-9]"","""")))"),"+543516655602")</f>
        <v>+543516655602</v>
      </c>
      <c r="H59" s="7">
        <f>'Respuestas de formulario 1'!S59</f>
        <v>2023</v>
      </c>
      <c r="I59" s="7" t="str">
        <f>IFERROR(__xludf.DUMMYFUNCTION("IF('Respuestas de formulario 1'!I59="""","""",TO_TEXT('Respuestas de formulario 1'!I59))"),"Particular")</f>
        <v>Particular</v>
      </c>
      <c r="J59" s="7" t="str">
        <f>IFERROR(__xludf.DUMMYFUNCTION("IF('Respuestas de formulario 1'!J59&lt;&gt;"""",UPPER(TRIM(TO_TEXT('Respuestas de formulario 1'!J59))),IF('Respuestas de formulario 1'!O59&lt;&gt;"""",UPPER(TRIM(TO_TEXT('Respuestas de formulario 1'!O59))),""""))"),"")</f>
        <v/>
      </c>
      <c r="K59" s="7" t="str">
        <f>IFERROR(__xludf.DUMMYFUNCTION("IF('Respuestas de formulario 1'!K59="""","""",TO_TEXT('Respuestas de formulario 1'!K59))"),"")</f>
        <v/>
      </c>
      <c r="L59" s="7" t="str">
        <f>IFERROR(__xludf.DUMMYFUNCTION("IF('Respuestas de formulario 1'!L59="""","""",TO_TEXT('Respuestas de formulario 1'!L59))"),"")</f>
        <v/>
      </c>
      <c r="M59" s="7" t="str">
        <f>IFERROR(__xludf.DUMMYFUNCTION("IF('Respuestas de formulario 1'!M59="""","""",TO_TEXT('Respuestas de formulario 1'!M59))"),"")</f>
        <v/>
      </c>
      <c r="N59" s="7">
        <f t="shared" si="1"/>
        <v>2023</v>
      </c>
      <c r="O59" s="7" t="str">
        <f t="shared" si="2"/>
        <v>febrero</v>
      </c>
      <c r="P59" s="7" t="s">
        <v>4322</v>
      </c>
    </row>
    <row r="60">
      <c r="A60" s="19">
        <f>'Respuestas de formulario 1'!A60</f>
        <v>44964.886</v>
      </c>
      <c r="B60" s="7" t="str">
        <f>'Respuestas de formulario 1'!B60</f>
        <v>Ceballos</v>
      </c>
      <c r="C60" s="7" t="str">
        <f>'Respuestas de formulario 1'!C60</f>
        <v>José</v>
      </c>
      <c r="D60" s="7" t="str">
        <f>'Respuestas de formulario 1'!D60</f>
        <v>Jose.maria.ceballos94@gmail.com</v>
      </c>
      <c r="E60" s="20">
        <f>'Respuestas de formulario 1'!E60</f>
        <v>34699</v>
      </c>
      <c r="F60" s="7">
        <f>'Respuestas de formulario 1'!F60</f>
        <v>38645431</v>
      </c>
      <c r="G60" s="7" t="str">
        <f>IFERROR(__xludf.DUMMYFUNCTION("IF('Respuestas de formulario 1'!G60="""","""",IF(LEFT(REGEXREPLACE(TO_TEXT('Respuestas de formulario 1'!G60),""[^0-9]"",""""),2)=""54"",""+""&amp;REGEXREPLACE(TO_TEXT('Respuestas de formulario 1'!G60),""[^0-9]"",""""),""+54""&amp;REGEXREPLACE(TO_TEXT('Respuestas "&amp;"de formulario 1'!G60),""[^0-9]"","""")))"),"+543517590683")</f>
        <v>+543517590683</v>
      </c>
      <c r="H60" s="7">
        <f>'Respuestas de formulario 1'!S60</f>
        <v>2023</v>
      </c>
      <c r="I60" s="7" t="str">
        <f>IFERROR(__xludf.DUMMYFUNCTION("IF('Respuestas de formulario 1'!I60="""","""",TO_TEXT('Respuestas de formulario 1'!I60))"),"Obra social")</f>
        <v>Obra social</v>
      </c>
      <c r="J60" s="7" t="str">
        <f>IFERROR(__xludf.DUMMYFUNCTION("IF('Respuestas de formulario 1'!J60&lt;&gt;"""",UPPER(TRIM(TO_TEXT('Respuestas de formulario 1'!J60))),IF('Respuestas de formulario 1'!O60&lt;&gt;"""",UPPER(TRIM(TO_TEXT('Respuestas de formulario 1'!O60))),""""))"),"PREVENCIÓN")</f>
        <v>PREVENCIÓN</v>
      </c>
      <c r="K60" s="7" t="str">
        <f>IFERROR(__xludf.DUMMYFUNCTION("IF('Respuestas de formulario 1'!K60="""","""",TO_TEXT('Respuestas de formulario 1'!K60))"),"")</f>
        <v/>
      </c>
      <c r="L60" s="7" t="str">
        <f>IFERROR(__xludf.DUMMYFUNCTION("IF('Respuestas de formulario 1'!L60="""","""",TO_TEXT('Respuestas de formulario 1'!L60))"),"")</f>
        <v/>
      </c>
      <c r="M60" s="7" t="str">
        <f>IFERROR(__xludf.DUMMYFUNCTION("IF('Respuestas de formulario 1'!M60="""","""",TO_TEXT('Respuestas de formulario 1'!M60))"),"")</f>
        <v/>
      </c>
      <c r="N60" s="7">
        <f t="shared" si="1"/>
        <v>2023</v>
      </c>
      <c r="O60" s="7" t="str">
        <f t="shared" si="2"/>
        <v>febrero</v>
      </c>
      <c r="P60" s="7" t="s">
        <v>4324</v>
      </c>
    </row>
    <row r="61">
      <c r="A61" s="19">
        <f>'Respuestas de formulario 1'!A61</f>
        <v>44967.53269</v>
      </c>
      <c r="B61" s="7" t="str">
        <f>'Respuestas de formulario 1'!B61</f>
        <v>Raffin</v>
      </c>
      <c r="C61" s="7" t="str">
        <f>'Respuestas de formulario 1'!C61</f>
        <v>Vilma Rosa </v>
      </c>
      <c r="D61" s="7" t="str">
        <f>'Respuestas de formulario 1'!D61</f>
        <v>vraffin002@gmail.com</v>
      </c>
      <c r="E61" s="20">
        <f>'Respuestas de formulario 1'!E61</f>
        <v>25111</v>
      </c>
      <c r="F61" s="7">
        <f>'Respuestas de formulario 1'!F61</f>
        <v>20454528</v>
      </c>
      <c r="G61" s="7" t="str">
        <f>IFERROR(__xludf.DUMMYFUNCTION("IF('Respuestas de formulario 1'!G61="""","""",IF(LEFT(REGEXREPLACE(TO_TEXT('Respuestas de formulario 1'!G61),""[^0-9]"",""""),2)=""54"",""+""&amp;REGEXREPLACE(TO_TEXT('Respuestas de formulario 1'!G61),""[^0-9]"",""""),""+54""&amp;REGEXREPLACE(TO_TEXT('Respuestas "&amp;"de formulario 1'!G61),""[^0-9]"","""")))"),"+543515389887")</f>
        <v>+543515389887</v>
      </c>
      <c r="H61" s="7">
        <f>'Respuestas de formulario 1'!S61</f>
        <v>2023</v>
      </c>
      <c r="I61" s="7" t="str">
        <f>IFERROR(__xludf.DUMMYFUNCTION("IF('Respuestas de formulario 1'!I61="""","""",TO_TEXT('Respuestas de formulario 1'!I61))"),"Particular")</f>
        <v>Particular</v>
      </c>
      <c r="J61" s="7" t="str">
        <f>IFERROR(__xludf.DUMMYFUNCTION("IF('Respuestas de formulario 1'!J61&lt;&gt;"""",UPPER(TRIM(TO_TEXT('Respuestas de formulario 1'!J61))),IF('Respuestas de formulario 1'!O61&lt;&gt;"""",UPPER(TRIM(TO_TEXT('Respuestas de formulario 1'!O61))),""""))"),"")</f>
        <v/>
      </c>
      <c r="K61" s="7" t="str">
        <f>IFERROR(__xludf.DUMMYFUNCTION("IF('Respuestas de formulario 1'!K61="""","""",TO_TEXT('Respuestas de formulario 1'!K61))"),"")</f>
        <v/>
      </c>
      <c r="L61" s="7" t="str">
        <f>IFERROR(__xludf.DUMMYFUNCTION("IF('Respuestas de formulario 1'!L61="""","""",TO_TEXT('Respuestas de formulario 1'!L61))"),"")</f>
        <v/>
      </c>
      <c r="M61" s="7" t="str">
        <f>IFERROR(__xludf.DUMMYFUNCTION("IF('Respuestas de formulario 1'!M61="""","""",TO_TEXT('Respuestas de formulario 1'!M61))"),"")</f>
        <v/>
      </c>
      <c r="N61" s="7">
        <f t="shared" si="1"/>
        <v>2023</v>
      </c>
      <c r="O61" s="7" t="str">
        <f t="shared" si="2"/>
        <v>febrero</v>
      </c>
      <c r="P61" s="7" t="s">
        <v>4326</v>
      </c>
    </row>
    <row r="62">
      <c r="A62" s="19">
        <f>'Respuestas de formulario 1'!A62</f>
        <v>44970.4431</v>
      </c>
      <c r="B62" s="7" t="str">
        <f>'Respuestas de formulario 1'!B62</f>
        <v>ICIKSON</v>
      </c>
      <c r="C62" s="7" t="str">
        <f>'Respuestas de formulario 1'!C62</f>
        <v>Tomas</v>
      </c>
      <c r="D62" s="7" t="str">
        <f>'Respuestas de formulario 1'!D62</f>
        <v>tomasicikson@gmail.com</v>
      </c>
      <c r="E62" s="20">
        <f>'Respuestas de formulario 1'!E62</f>
        <v>35040</v>
      </c>
      <c r="F62" s="7">
        <f>'Respuestas de formulario 1'!F62</f>
        <v>40520046</v>
      </c>
      <c r="G62" s="7" t="str">
        <f>IFERROR(__xludf.DUMMYFUNCTION("IF('Respuestas de formulario 1'!G62="""","""",IF(LEFT(REGEXREPLACE(TO_TEXT('Respuestas de formulario 1'!G62),""[^0-9]"",""""),2)=""54"",""+""&amp;REGEXREPLACE(TO_TEXT('Respuestas de formulario 1'!G62),""[^0-9]"",""""),""+54""&amp;REGEXREPLACE(TO_TEXT('Respuestas "&amp;"de formulario 1'!G62),""[^0-9]"","""")))"),"+543516113790")</f>
        <v>+543516113790</v>
      </c>
      <c r="H62" s="7">
        <f>'Respuestas de formulario 1'!S62</f>
        <v>2023</v>
      </c>
      <c r="I62" s="7" t="str">
        <f>IFERROR(__xludf.DUMMYFUNCTION("IF('Respuestas de formulario 1'!I62="""","""",TO_TEXT('Respuestas de formulario 1'!I62))"),"Particular")</f>
        <v>Particular</v>
      </c>
      <c r="J62" s="7" t="str">
        <f>IFERROR(__xludf.DUMMYFUNCTION("IF('Respuestas de formulario 1'!J62&lt;&gt;"""",UPPER(TRIM(TO_TEXT('Respuestas de formulario 1'!J62))),IF('Respuestas de formulario 1'!O62&lt;&gt;"""",UPPER(TRIM(TO_TEXT('Respuestas de formulario 1'!O62))),""""))"),"")</f>
        <v/>
      </c>
      <c r="K62" s="7" t="str">
        <f>IFERROR(__xludf.DUMMYFUNCTION("IF('Respuestas de formulario 1'!K62="""","""",TO_TEXT('Respuestas de formulario 1'!K62))"),"")</f>
        <v/>
      </c>
      <c r="L62" s="7" t="str">
        <f>IFERROR(__xludf.DUMMYFUNCTION("IF('Respuestas de formulario 1'!L62="""","""",TO_TEXT('Respuestas de formulario 1'!L62))"),"")</f>
        <v/>
      </c>
      <c r="M62" s="7" t="str">
        <f>IFERROR(__xludf.DUMMYFUNCTION("IF('Respuestas de formulario 1'!M62="""","""",TO_TEXT('Respuestas de formulario 1'!M62))"),"")</f>
        <v/>
      </c>
      <c r="N62" s="7">
        <f t="shared" si="1"/>
        <v>2023</v>
      </c>
      <c r="O62" s="7" t="str">
        <f t="shared" si="2"/>
        <v>febrero</v>
      </c>
      <c r="P62" s="7" t="s">
        <v>4328</v>
      </c>
    </row>
    <row r="63">
      <c r="A63" s="19">
        <f>'Respuestas de formulario 1'!A63</f>
        <v>44970.64905</v>
      </c>
      <c r="B63" s="7" t="str">
        <f>'Respuestas de formulario 1'!B63</f>
        <v>Rios giache</v>
      </c>
      <c r="C63" s="7" t="str">
        <f>'Respuestas de formulario 1'!C63</f>
        <v>Luciano lucas</v>
      </c>
      <c r="D63" s="7" t="str">
        <f>'Respuestas de formulario 1'!D63</f>
        <v>Lucianolucasrg98@gmail.com </v>
      </c>
      <c r="E63" s="20">
        <f>'Respuestas de formulario 1'!E63</f>
        <v>35949</v>
      </c>
      <c r="F63" s="7">
        <f>'Respuestas de formulario 1'!F63</f>
        <v>41279824</v>
      </c>
      <c r="G63" s="7" t="str">
        <f>IFERROR(__xludf.DUMMYFUNCTION("IF('Respuestas de formulario 1'!G63="""","""",IF(LEFT(REGEXREPLACE(TO_TEXT('Respuestas de formulario 1'!G63),""[^0-9]"",""""),2)=""54"",""+""&amp;REGEXREPLACE(TO_TEXT('Respuestas de formulario 1'!G63),""[^0-9]"",""""),""+54""&amp;REGEXREPLACE(TO_TEXT('Respuestas "&amp;"de formulario 1'!G63),""[^0-9]"","""")))"),"+543512893805")</f>
        <v>+543512893805</v>
      </c>
      <c r="H63" s="7">
        <f>'Respuestas de formulario 1'!S63</f>
        <v>2023</v>
      </c>
      <c r="I63" s="7" t="str">
        <f>IFERROR(__xludf.DUMMYFUNCTION("IF('Respuestas de formulario 1'!I63="""","""",TO_TEXT('Respuestas de formulario 1'!I63))"),"Particular")</f>
        <v>Particular</v>
      </c>
      <c r="J63" s="7" t="str">
        <f>IFERROR(__xludf.DUMMYFUNCTION("IF('Respuestas de formulario 1'!J63&lt;&gt;"""",UPPER(TRIM(TO_TEXT('Respuestas de formulario 1'!J63))),IF('Respuestas de formulario 1'!O63&lt;&gt;"""",UPPER(TRIM(TO_TEXT('Respuestas de formulario 1'!O63))),""""))"),"")</f>
        <v/>
      </c>
      <c r="K63" s="7" t="str">
        <f>IFERROR(__xludf.DUMMYFUNCTION("IF('Respuestas de formulario 1'!K63="""","""",TO_TEXT('Respuestas de formulario 1'!K63))"),"")</f>
        <v/>
      </c>
      <c r="L63" s="7" t="str">
        <f>IFERROR(__xludf.DUMMYFUNCTION("IF('Respuestas de formulario 1'!L63="""","""",TO_TEXT('Respuestas de formulario 1'!L63))"),"")</f>
        <v/>
      </c>
      <c r="M63" s="7" t="str">
        <f>IFERROR(__xludf.DUMMYFUNCTION("IF('Respuestas de formulario 1'!M63="""","""",TO_TEXT('Respuestas de formulario 1'!M63))"),"")</f>
        <v/>
      </c>
      <c r="N63" s="7">
        <f t="shared" si="1"/>
        <v>2023</v>
      </c>
      <c r="O63" s="7" t="str">
        <f t="shared" si="2"/>
        <v>febrero</v>
      </c>
      <c r="P63" s="7" t="s">
        <v>4330</v>
      </c>
    </row>
    <row r="64">
      <c r="A64" s="19">
        <f>'Respuestas de formulario 1'!A64</f>
        <v>44970.79944</v>
      </c>
      <c r="B64" s="7" t="str">
        <f>'Respuestas de formulario 1'!B64</f>
        <v>Ruiz</v>
      </c>
      <c r="C64" s="7" t="str">
        <f>'Respuestas de formulario 1'!C64</f>
        <v>Luis</v>
      </c>
      <c r="D64" s="7" t="str">
        <f>'Respuestas de formulario 1'!D64</f>
        <v>Lruizgalizi@gmail.com</v>
      </c>
      <c r="E64" s="20">
        <f>'Respuestas de formulario 1'!E64</f>
        <v>33653</v>
      </c>
      <c r="F64" s="7">
        <f>'Respuestas de formulario 1'!F64</f>
        <v>36147980</v>
      </c>
      <c r="G64" s="7" t="str">
        <f>IFERROR(__xludf.DUMMYFUNCTION("IF('Respuestas de formulario 1'!G64="""","""",IF(LEFT(REGEXREPLACE(TO_TEXT('Respuestas de formulario 1'!G64),""[^0-9]"",""""),2)=""54"",""+""&amp;REGEXREPLACE(TO_TEXT('Respuestas de formulario 1'!G64),""[^0-9]"",""""),""+54""&amp;REGEXREPLACE(TO_TEXT('Respuestas "&amp;"de formulario 1'!G64),""[^0-9]"","""")))"),"+543518142452")</f>
        <v>+543518142452</v>
      </c>
      <c r="H64" s="7">
        <f>'Respuestas de formulario 1'!S64</f>
        <v>2023</v>
      </c>
      <c r="I64" s="7" t="str">
        <f>IFERROR(__xludf.DUMMYFUNCTION("IF('Respuestas de formulario 1'!I64="""","""",TO_TEXT('Respuestas de formulario 1'!I64))"),"Particular")</f>
        <v>Particular</v>
      </c>
      <c r="J64" s="7" t="str">
        <f>IFERROR(__xludf.DUMMYFUNCTION("IF('Respuestas de formulario 1'!J64&lt;&gt;"""",UPPER(TRIM(TO_TEXT('Respuestas de formulario 1'!J64))),IF('Respuestas de formulario 1'!O64&lt;&gt;"""",UPPER(TRIM(TO_TEXT('Respuestas de formulario 1'!O64))),""""))"),"")</f>
        <v/>
      </c>
      <c r="K64" s="7" t="str">
        <f>IFERROR(__xludf.DUMMYFUNCTION("IF('Respuestas de formulario 1'!K64="""","""",TO_TEXT('Respuestas de formulario 1'!K64))"),"")</f>
        <v/>
      </c>
      <c r="L64" s="7" t="str">
        <f>IFERROR(__xludf.DUMMYFUNCTION("IF('Respuestas de formulario 1'!L64="""","""",TO_TEXT('Respuestas de formulario 1'!L64))"),"")</f>
        <v/>
      </c>
      <c r="M64" s="7" t="str">
        <f>IFERROR(__xludf.DUMMYFUNCTION("IF('Respuestas de formulario 1'!M64="""","""",TO_TEXT('Respuestas de formulario 1'!M64))"),"")</f>
        <v/>
      </c>
      <c r="N64" s="7">
        <f t="shared" si="1"/>
        <v>2023</v>
      </c>
      <c r="O64" s="7" t="str">
        <f t="shared" si="2"/>
        <v>febrero</v>
      </c>
      <c r="P64" s="7" t="s">
        <v>4332</v>
      </c>
    </row>
    <row r="65">
      <c r="A65" s="19">
        <f>'Respuestas de formulario 1'!A65</f>
        <v>44971.42454</v>
      </c>
      <c r="B65" s="7" t="str">
        <f>'Respuestas de formulario 1'!B65</f>
        <v>Martinez</v>
      </c>
      <c r="C65" s="7" t="str">
        <f>'Respuestas de formulario 1'!C65</f>
        <v>Joaquin Adolfo</v>
      </c>
      <c r="D65" s="7" t="str">
        <f>'Respuestas de formulario 1'!D65</f>
        <v/>
      </c>
      <c r="E65" s="20">
        <f>'Respuestas de formulario 1'!E65</f>
        <v>19629</v>
      </c>
      <c r="F65" s="7">
        <f>'Respuestas de formulario 1'!F65</f>
        <v>10903673</v>
      </c>
      <c r="G65" s="7" t="str">
        <f>IFERROR(__xludf.DUMMYFUNCTION("IF('Respuestas de formulario 1'!G65="""","""",IF(LEFT(REGEXREPLACE(TO_TEXT('Respuestas de formulario 1'!G65),""[^0-9]"",""""),2)=""54"",""+""&amp;REGEXREPLACE(TO_TEXT('Respuestas de formulario 1'!G65),""[^0-9]"",""""),""+54""&amp;REGEXREPLACE(TO_TEXT('Respuestas "&amp;"de formulario 1'!G65),""[^0-9]"","""")))"),"+543516566224")</f>
        <v>+543516566224</v>
      </c>
      <c r="H65" s="7">
        <f>'Respuestas de formulario 1'!S65</f>
        <v>2023</v>
      </c>
      <c r="I65" s="7" t="str">
        <f>IFERROR(__xludf.DUMMYFUNCTION("IF('Respuestas de formulario 1'!I65="""","""",TO_TEXT('Respuestas de formulario 1'!I65))"),"Obra social")</f>
        <v>Obra social</v>
      </c>
      <c r="J65" s="7" t="str">
        <f>IFERROR(__xludf.DUMMYFUNCTION("IF('Respuestas de formulario 1'!J65&lt;&gt;"""",UPPER(TRIM(TO_TEXT('Respuestas de formulario 1'!J65))),IF('Respuestas de formulario 1'!O65&lt;&gt;"""",UPPER(TRIM(TO_TEXT('Respuestas de formulario 1'!O65))),""""))"),"APROSS")</f>
        <v>APROSS</v>
      </c>
      <c r="K65" s="7" t="str">
        <f>IFERROR(__xludf.DUMMYFUNCTION("IF('Respuestas de formulario 1'!K65="""","""",TO_TEXT('Respuestas de formulario 1'!K65))"),"")</f>
        <v/>
      </c>
      <c r="L65" s="7" t="str">
        <f>IFERROR(__xludf.DUMMYFUNCTION("IF('Respuestas de formulario 1'!L65="""","""",TO_TEXT('Respuestas de formulario 1'!L65))"),"")</f>
        <v/>
      </c>
      <c r="M65" s="7" t="str">
        <f>IFERROR(__xludf.DUMMYFUNCTION("IF('Respuestas de formulario 1'!M65="""","""",TO_TEXT('Respuestas de formulario 1'!M65))"),"")</f>
        <v/>
      </c>
      <c r="N65" s="7">
        <f t="shared" si="1"/>
        <v>2023</v>
      </c>
      <c r="O65" s="7" t="str">
        <f t="shared" si="2"/>
        <v>febrero</v>
      </c>
      <c r="P65" s="7" t="s">
        <v>4334</v>
      </c>
    </row>
    <row r="66">
      <c r="A66" s="19">
        <f>'Respuestas de formulario 1'!A66</f>
        <v>44971.49563</v>
      </c>
      <c r="B66" s="7" t="str">
        <f>'Respuestas de formulario 1'!B66</f>
        <v> Inbrechts </v>
      </c>
      <c r="C66" s="7" t="str">
        <f>'Respuestas de formulario 1'!C66</f>
        <v>Lisett</v>
      </c>
      <c r="D66" s="7" t="str">
        <f>'Respuestas de formulario 1'!D66</f>
        <v>inbrechts@gmail.com</v>
      </c>
      <c r="E66" s="20">
        <f>'Respuestas de formulario 1'!E66</f>
        <v>31725</v>
      </c>
      <c r="F66" s="7">
        <f>'Respuestas de formulario 1'!F66</f>
        <v>95826217</v>
      </c>
      <c r="G66" s="7" t="str">
        <f>IFERROR(__xludf.DUMMYFUNCTION("IF('Respuestas de formulario 1'!G66="""","""",IF(LEFT(REGEXREPLACE(TO_TEXT('Respuestas de formulario 1'!G66),""[^0-9]"",""""),2)=""54"",""+""&amp;REGEXREPLACE(TO_TEXT('Respuestas de formulario 1'!G66),""[^0-9]"",""""),""+54""&amp;REGEXREPLACE(TO_TEXT('Respuestas "&amp;"de formulario 1'!G66),""[^0-9]"","""")))"),"+543513475295")</f>
        <v>+543513475295</v>
      </c>
      <c r="H66" s="7">
        <f>'Respuestas de formulario 1'!S66</f>
        <v>2023</v>
      </c>
      <c r="I66" s="7" t="str">
        <f>IFERROR(__xludf.DUMMYFUNCTION("IF('Respuestas de formulario 1'!I66="""","""",TO_TEXT('Respuestas de formulario 1'!I66))"),"Particular")</f>
        <v>Particular</v>
      </c>
      <c r="J66" s="7" t="str">
        <f>IFERROR(__xludf.DUMMYFUNCTION("IF('Respuestas de formulario 1'!J66&lt;&gt;"""",UPPER(TRIM(TO_TEXT('Respuestas de formulario 1'!J66))),IF('Respuestas de formulario 1'!O66&lt;&gt;"""",UPPER(TRIM(TO_TEXT('Respuestas de formulario 1'!O66))),""""))"),"")</f>
        <v/>
      </c>
      <c r="K66" s="7" t="str">
        <f>IFERROR(__xludf.DUMMYFUNCTION("IF('Respuestas de formulario 1'!K66="""","""",TO_TEXT('Respuestas de formulario 1'!K66))"),"")</f>
        <v/>
      </c>
      <c r="L66" s="7" t="str">
        <f>IFERROR(__xludf.DUMMYFUNCTION("IF('Respuestas de formulario 1'!L66="""","""",TO_TEXT('Respuestas de formulario 1'!L66))"),"")</f>
        <v/>
      </c>
      <c r="M66" s="7" t="str">
        <f>IFERROR(__xludf.DUMMYFUNCTION("IF('Respuestas de formulario 1'!M66="""","""",TO_TEXT('Respuestas de formulario 1'!M66))"),"")</f>
        <v/>
      </c>
      <c r="N66" s="7">
        <f t="shared" si="1"/>
        <v>2023</v>
      </c>
      <c r="O66" s="7" t="str">
        <f t="shared" si="2"/>
        <v>febrero</v>
      </c>
      <c r="P66" s="7" t="s">
        <v>4336</v>
      </c>
    </row>
    <row r="67">
      <c r="A67" s="19">
        <f>'Respuestas de formulario 1'!A67</f>
        <v>44971.49867</v>
      </c>
      <c r="B67" s="7" t="str">
        <f>'Respuestas de formulario 1'!B67</f>
        <v>Gutiérrez </v>
      </c>
      <c r="C67" s="7" t="str">
        <f>'Respuestas de formulario 1'!C67</f>
        <v>Ledis</v>
      </c>
      <c r="D67" s="7" t="str">
        <f>'Respuestas de formulario 1'!D67</f>
        <v>inbrechts@gmail.com</v>
      </c>
      <c r="E67" s="20">
        <f>'Respuestas de formulario 1'!E67</f>
        <v>23350</v>
      </c>
      <c r="F67" s="7">
        <f>'Respuestas de formulario 1'!F67</f>
        <v>39153938</v>
      </c>
      <c r="G67" s="7" t="str">
        <f>IFERROR(__xludf.DUMMYFUNCTION("IF('Respuestas de formulario 1'!G67="""","""",IF(LEFT(REGEXREPLACE(TO_TEXT('Respuestas de formulario 1'!G67),""[^0-9]"",""""),2)=""54"",""+""&amp;REGEXREPLACE(TO_TEXT('Respuestas de formulario 1'!G67),""[^0-9]"",""""),""+54""&amp;REGEXREPLACE(TO_TEXT('Respuestas "&amp;"de formulario 1'!G67),""[^0-9]"","""")))"),"+543513475295")</f>
        <v>+543513475295</v>
      </c>
      <c r="H67" s="7">
        <f>'Respuestas de formulario 1'!S67</f>
        <v>2023</v>
      </c>
      <c r="I67" s="7" t="str">
        <f>IFERROR(__xludf.DUMMYFUNCTION("IF('Respuestas de formulario 1'!I67="""","""",TO_TEXT('Respuestas de formulario 1'!I67))"),"Particular")</f>
        <v>Particular</v>
      </c>
      <c r="J67" s="7" t="str">
        <f>IFERROR(__xludf.DUMMYFUNCTION("IF('Respuestas de formulario 1'!J67&lt;&gt;"""",UPPER(TRIM(TO_TEXT('Respuestas de formulario 1'!J67))),IF('Respuestas de formulario 1'!O67&lt;&gt;"""",UPPER(TRIM(TO_TEXT('Respuestas de formulario 1'!O67))),""""))"),"")</f>
        <v/>
      </c>
      <c r="K67" s="7" t="str">
        <f>IFERROR(__xludf.DUMMYFUNCTION("IF('Respuestas de formulario 1'!K67="""","""",TO_TEXT('Respuestas de formulario 1'!K67))"),"")</f>
        <v/>
      </c>
      <c r="L67" s="7" t="str">
        <f>IFERROR(__xludf.DUMMYFUNCTION("IF('Respuestas de formulario 1'!L67="""","""",TO_TEXT('Respuestas de formulario 1'!L67))"),"")</f>
        <v/>
      </c>
      <c r="M67" s="7" t="str">
        <f>IFERROR(__xludf.DUMMYFUNCTION("IF('Respuestas de formulario 1'!M67="""","""",TO_TEXT('Respuestas de formulario 1'!M67))"),"")</f>
        <v/>
      </c>
      <c r="N67" s="7">
        <f t="shared" si="1"/>
        <v>2023</v>
      </c>
      <c r="O67" s="7" t="str">
        <f t="shared" si="2"/>
        <v>febrero</v>
      </c>
      <c r="P67" s="7" t="s">
        <v>4338</v>
      </c>
    </row>
    <row r="68">
      <c r="A68" s="19">
        <f>'Respuestas de formulario 1'!A68</f>
        <v>44972.48358</v>
      </c>
      <c r="B68" s="7" t="str">
        <f>'Respuestas de formulario 1'!B68</f>
        <v>Galarce </v>
      </c>
      <c r="C68" s="7" t="str">
        <f>'Respuestas de formulario 1'!C68</f>
        <v>Carlos</v>
      </c>
      <c r="D68" s="7" t="str">
        <f>'Respuestas de formulario 1'!D68</f>
        <v>Cag1@hotmail.com.ar </v>
      </c>
      <c r="E68" s="20">
        <f>'Respuestas de formulario 1'!E68</f>
        <v>28696</v>
      </c>
      <c r="F68" s="7">
        <f>'Respuestas de formulario 1'!F68</f>
        <v>26672639</v>
      </c>
      <c r="G68" s="7" t="str">
        <f>IFERROR(__xludf.DUMMYFUNCTION("IF('Respuestas de formulario 1'!G68="""","""",IF(LEFT(REGEXREPLACE(TO_TEXT('Respuestas de formulario 1'!G68),""[^0-9]"",""""),2)=""54"",""+""&amp;REGEXREPLACE(TO_TEXT('Respuestas de formulario 1'!G68),""[^0-9]"",""""),""+54""&amp;REGEXREPLACE(TO_TEXT('Respuestas "&amp;"de formulario 1'!G68),""[^0-9]"","""")))"),"+543513642210")</f>
        <v>+543513642210</v>
      </c>
      <c r="H68" s="7">
        <f>'Respuestas de formulario 1'!S68</f>
        <v>2023</v>
      </c>
      <c r="I68" s="7" t="str">
        <f>IFERROR(__xludf.DUMMYFUNCTION("IF('Respuestas de formulario 1'!I68="""","""",TO_TEXT('Respuestas de formulario 1'!I68))"),"Particular")</f>
        <v>Particular</v>
      </c>
      <c r="J68" s="7" t="str">
        <f>IFERROR(__xludf.DUMMYFUNCTION("IF('Respuestas de formulario 1'!J68&lt;&gt;"""",UPPER(TRIM(TO_TEXT('Respuestas de formulario 1'!J68))),IF('Respuestas de formulario 1'!O68&lt;&gt;"""",UPPER(TRIM(TO_TEXT('Respuestas de formulario 1'!O68))),""""))"),"")</f>
        <v/>
      </c>
      <c r="K68" s="7" t="str">
        <f>IFERROR(__xludf.DUMMYFUNCTION("IF('Respuestas de formulario 1'!K68="""","""",TO_TEXT('Respuestas de formulario 1'!K68))"),"")</f>
        <v/>
      </c>
      <c r="L68" s="7" t="str">
        <f>IFERROR(__xludf.DUMMYFUNCTION("IF('Respuestas de formulario 1'!L68="""","""",TO_TEXT('Respuestas de formulario 1'!L68))"),"")</f>
        <v/>
      </c>
      <c r="M68" s="7" t="str">
        <f>IFERROR(__xludf.DUMMYFUNCTION("IF('Respuestas de formulario 1'!M68="""","""",TO_TEXT('Respuestas de formulario 1'!M68))"),"")</f>
        <v/>
      </c>
      <c r="N68" s="7">
        <f t="shared" si="1"/>
        <v>2023</v>
      </c>
      <c r="O68" s="7" t="str">
        <f t="shared" si="2"/>
        <v>febrero</v>
      </c>
      <c r="P68" s="7" t="s">
        <v>4340</v>
      </c>
    </row>
    <row r="69">
      <c r="A69" s="19">
        <f>'Respuestas de formulario 1'!A69</f>
        <v>44972.78221</v>
      </c>
      <c r="B69" s="7" t="str">
        <f>'Respuestas de formulario 1'!B69</f>
        <v>Aisa</v>
      </c>
      <c r="C69" s="7" t="str">
        <f>'Respuestas de formulario 1'!C69</f>
        <v>Ruben</v>
      </c>
      <c r="D69" s="7" t="str">
        <f>'Respuestas de formulario 1'!D69</f>
        <v>rubenelderaisa@hotmail.com</v>
      </c>
      <c r="E69" s="20">
        <f>'Respuestas de formulario 1'!E69</f>
        <v>21530</v>
      </c>
      <c r="F69" s="7">
        <f>'Respuestas de formulario 1'!F69</f>
        <v>12671913</v>
      </c>
      <c r="G69" s="7" t="str">
        <f>IFERROR(__xludf.DUMMYFUNCTION("IF('Respuestas de formulario 1'!G69="""","""",IF(LEFT(REGEXREPLACE(TO_TEXT('Respuestas de formulario 1'!G69),""[^0-9]"",""""),2)=""54"",""+""&amp;REGEXREPLACE(TO_TEXT('Respuestas de formulario 1'!G69),""[^0-9]"",""""),""+54""&amp;REGEXREPLACE(TO_TEXT('Respuestas "&amp;"de formulario 1'!G69),""[^0-9]"","""")))"),"+543515415895")</f>
        <v>+543515415895</v>
      </c>
      <c r="H69" s="7">
        <f>'Respuestas de formulario 1'!S69</f>
        <v>2023</v>
      </c>
      <c r="I69" s="7" t="str">
        <f>IFERROR(__xludf.DUMMYFUNCTION("IF('Respuestas de formulario 1'!I69="""","""",TO_TEXT('Respuestas de formulario 1'!I69))"),"Particular")</f>
        <v>Particular</v>
      </c>
      <c r="J69" s="7" t="str">
        <f>IFERROR(__xludf.DUMMYFUNCTION("IF('Respuestas de formulario 1'!J69&lt;&gt;"""",UPPER(TRIM(TO_TEXT('Respuestas de formulario 1'!J69))),IF('Respuestas de formulario 1'!O69&lt;&gt;"""",UPPER(TRIM(TO_TEXT('Respuestas de formulario 1'!O69))),""""))"),"")</f>
        <v/>
      </c>
      <c r="K69" s="7" t="str">
        <f>IFERROR(__xludf.DUMMYFUNCTION("IF('Respuestas de formulario 1'!K69="""","""",TO_TEXT('Respuestas de formulario 1'!K69))"),"")</f>
        <v/>
      </c>
      <c r="L69" s="7" t="str">
        <f>IFERROR(__xludf.DUMMYFUNCTION("IF('Respuestas de formulario 1'!L69="""","""",TO_TEXT('Respuestas de formulario 1'!L69))"),"")</f>
        <v/>
      </c>
      <c r="M69" s="7" t="str">
        <f>IFERROR(__xludf.DUMMYFUNCTION("IF('Respuestas de formulario 1'!M69="""","""",TO_TEXT('Respuestas de formulario 1'!M69))"),"")</f>
        <v/>
      </c>
      <c r="N69" s="7">
        <f t="shared" si="1"/>
        <v>2023</v>
      </c>
      <c r="O69" s="7" t="str">
        <f t="shared" si="2"/>
        <v>febrero</v>
      </c>
      <c r="P69" s="7" t="s">
        <v>4342</v>
      </c>
    </row>
    <row r="70">
      <c r="A70" s="19">
        <f>'Respuestas de formulario 1'!A70</f>
        <v>44972.79647</v>
      </c>
      <c r="B70" s="7" t="str">
        <f>'Respuestas de formulario 1'!B70</f>
        <v>Reyna</v>
      </c>
      <c r="C70" s="7" t="str">
        <f>'Respuestas de formulario 1'!C70</f>
        <v>Lucas</v>
      </c>
      <c r="D70" s="7" t="str">
        <f>'Respuestas de formulario 1'!D70</f>
        <v>lucasereyna@gmail.com</v>
      </c>
      <c r="E70" s="20">
        <f>'Respuestas de formulario 1'!E70</f>
        <v>31862</v>
      </c>
      <c r="F70" s="7">
        <f>'Respuestas de formulario 1'!F70</f>
        <v>32925170</v>
      </c>
      <c r="G70" s="7" t="str">
        <f>IFERROR(__xludf.DUMMYFUNCTION("IF('Respuestas de formulario 1'!G70="""","""",IF(LEFT(REGEXREPLACE(TO_TEXT('Respuestas de formulario 1'!G70),""[^0-9]"",""""),2)=""54"",""+""&amp;REGEXREPLACE(TO_TEXT('Respuestas de formulario 1'!G70),""[^0-9]"",""""),""+54""&amp;REGEXREPLACE(TO_TEXT('Respuestas "&amp;"de formulario 1'!G70),""[^0-9]"","""")))"),"+543515131485")</f>
        <v>+543515131485</v>
      </c>
      <c r="H70" s="7">
        <f>'Respuestas de formulario 1'!S70</f>
        <v>2023</v>
      </c>
      <c r="I70" s="7" t="str">
        <f>IFERROR(__xludf.DUMMYFUNCTION("IF('Respuestas de formulario 1'!I70="""","""",TO_TEXT('Respuestas de formulario 1'!I70))"),"Particular")</f>
        <v>Particular</v>
      </c>
      <c r="J70" s="7" t="str">
        <f>IFERROR(__xludf.DUMMYFUNCTION("IF('Respuestas de formulario 1'!J70&lt;&gt;"""",UPPER(TRIM(TO_TEXT('Respuestas de formulario 1'!J70))),IF('Respuestas de formulario 1'!O70&lt;&gt;"""",UPPER(TRIM(TO_TEXT('Respuestas de formulario 1'!O70))),""""))"),"")</f>
        <v/>
      </c>
      <c r="K70" s="7" t="str">
        <f>IFERROR(__xludf.DUMMYFUNCTION("IF('Respuestas de formulario 1'!K70="""","""",TO_TEXT('Respuestas de formulario 1'!K70))"),"")</f>
        <v/>
      </c>
      <c r="L70" s="7" t="str">
        <f>IFERROR(__xludf.DUMMYFUNCTION("IF('Respuestas de formulario 1'!L70="""","""",TO_TEXT('Respuestas de formulario 1'!L70))"),"")</f>
        <v/>
      </c>
      <c r="M70" s="7" t="str">
        <f>IFERROR(__xludf.DUMMYFUNCTION("IF('Respuestas de formulario 1'!M70="""","""",TO_TEXT('Respuestas de formulario 1'!M70))"),"")</f>
        <v/>
      </c>
      <c r="N70" s="7">
        <f t="shared" si="1"/>
        <v>2023</v>
      </c>
      <c r="O70" s="7" t="str">
        <f t="shared" si="2"/>
        <v>febrero</v>
      </c>
      <c r="P70" s="7" t="s">
        <v>4344</v>
      </c>
    </row>
    <row r="71">
      <c r="A71" s="19">
        <f>'Respuestas de formulario 1'!A71</f>
        <v>44974.51329</v>
      </c>
      <c r="B71" s="7" t="str">
        <f>'Respuestas de formulario 1'!B71</f>
        <v>Quiligotti</v>
      </c>
      <c r="C71" s="7" t="str">
        <f>'Respuestas de formulario 1'!C71</f>
        <v>Pablo</v>
      </c>
      <c r="D71" s="7" t="str">
        <f>'Respuestas de formulario 1'!D71</f>
        <v>pabloquiligotti@gmail.com</v>
      </c>
      <c r="E71" s="20">
        <f>'Respuestas de formulario 1'!E71</f>
        <v>30214</v>
      </c>
      <c r="F71" s="7">
        <f>'Respuestas de formulario 1'!F71</f>
        <v>29706314</v>
      </c>
      <c r="G71" s="7" t="str">
        <f>IFERROR(__xludf.DUMMYFUNCTION("IF('Respuestas de formulario 1'!G71="""","""",IF(LEFT(REGEXREPLACE(TO_TEXT('Respuestas de formulario 1'!G71),""[^0-9]"",""""),2)=""54"",""+""&amp;REGEXREPLACE(TO_TEXT('Respuestas de formulario 1'!G71),""[^0-9]"",""""),""+54""&amp;REGEXREPLACE(TO_TEXT('Respuestas "&amp;"de formulario 1'!G71),""[^0-9]"","""")))"),"+543516870843")</f>
        <v>+543516870843</v>
      </c>
      <c r="H71" s="7">
        <f>'Respuestas de formulario 1'!S71</f>
        <v>2023</v>
      </c>
      <c r="I71" s="7" t="str">
        <f>IFERROR(__xludf.DUMMYFUNCTION("IF('Respuestas de formulario 1'!I71="""","""",TO_TEXT('Respuestas de formulario 1'!I71))"),"Obra social")</f>
        <v>Obra social</v>
      </c>
      <c r="J71" s="7" t="str">
        <f>IFERROR(__xludf.DUMMYFUNCTION("IF('Respuestas de formulario 1'!J71&lt;&gt;"""",UPPER(TRIM(TO_TEXT('Respuestas de formulario 1'!J71))),IF('Respuestas de formulario 1'!O71&lt;&gt;"""",UPPER(TRIM(TO_TEXT('Respuestas de formulario 1'!O71))),""""))"),"FEDERADA SALUD")</f>
        <v>FEDERADA SALUD</v>
      </c>
      <c r="K71" s="7" t="str">
        <f>IFERROR(__xludf.DUMMYFUNCTION("IF('Respuestas de formulario 1'!K71="""","""",TO_TEXT('Respuestas de formulario 1'!K71))"),"")</f>
        <v/>
      </c>
      <c r="L71" s="7" t="str">
        <f>IFERROR(__xludf.DUMMYFUNCTION("IF('Respuestas de formulario 1'!L71="""","""",TO_TEXT('Respuestas de formulario 1'!L71))"),"")</f>
        <v/>
      </c>
      <c r="M71" s="7" t="str">
        <f>IFERROR(__xludf.DUMMYFUNCTION("IF('Respuestas de formulario 1'!M71="""","""",TO_TEXT('Respuestas de formulario 1'!M71))"),"")</f>
        <v/>
      </c>
      <c r="N71" s="7">
        <f t="shared" si="1"/>
        <v>2023</v>
      </c>
      <c r="O71" s="7" t="str">
        <f t="shared" si="2"/>
        <v>febrero</v>
      </c>
      <c r="P71" s="7" t="s">
        <v>4346</v>
      </c>
    </row>
    <row r="72">
      <c r="A72" s="19">
        <f>'Respuestas de formulario 1'!A72</f>
        <v>44978.72341</v>
      </c>
      <c r="B72" s="7" t="str">
        <f>'Respuestas de formulario 1'!B72</f>
        <v>Armando</v>
      </c>
      <c r="C72" s="7" t="str">
        <f>'Respuestas de formulario 1'!C72</f>
        <v>Marcos</v>
      </c>
      <c r="D72" s="7" t="str">
        <f>'Respuestas de formulario 1'!D72</f>
        <v>marcos.armando1@gmail.com</v>
      </c>
      <c r="E72" s="20">
        <f>'Respuestas de formulario 1'!E72</f>
        <v>32509</v>
      </c>
      <c r="F72" s="7">
        <f>'Respuestas de formulario 1'!F72</f>
        <v>34130395</v>
      </c>
      <c r="G72" s="7" t="str">
        <f>IFERROR(__xludf.DUMMYFUNCTION("IF('Respuestas de formulario 1'!G72="""","""",IF(LEFT(REGEXREPLACE(TO_TEXT('Respuestas de formulario 1'!G72),""[^0-9]"",""""),2)=""54"",""+""&amp;REGEXREPLACE(TO_TEXT('Respuestas de formulario 1'!G72),""[^0-9]"",""""),""+54""&amp;REGEXREPLACE(TO_TEXT('Respuestas "&amp;"de formulario 1'!G72),""[^0-9]"","""")))"),"+543513887184")</f>
        <v>+543513887184</v>
      </c>
      <c r="H72" s="7">
        <f>'Respuestas de formulario 1'!S72</f>
        <v>2023</v>
      </c>
      <c r="I72" s="7" t="str">
        <f>IFERROR(__xludf.DUMMYFUNCTION("IF('Respuestas de formulario 1'!I72="""","""",TO_TEXT('Respuestas de formulario 1'!I72))"),"Particular")</f>
        <v>Particular</v>
      </c>
      <c r="J72" s="7" t="str">
        <f>IFERROR(__xludf.DUMMYFUNCTION("IF('Respuestas de formulario 1'!J72&lt;&gt;"""",UPPER(TRIM(TO_TEXT('Respuestas de formulario 1'!J72))),IF('Respuestas de formulario 1'!O72&lt;&gt;"""",UPPER(TRIM(TO_TEXT('Respuestas de formulario 1'!O72))),""""))"),"")</f>
        <v/>
      </c>
      <c r="K72" s="7" t="str">
        <f>IFERROR(__xludf.DUMMYFUNCTION("IF('Respuestas de formulario 1'!K72="""","""",TO_TEXT('Respuestas de formulario 1'!K72))"),"")</f>
        <v/>
      </c>
      <c r="L72" s="7" t="str">
        <f>IFERROR(__xludf.DUMMYFUNCTION("IF('Respuestas de formulario 1'!L72="""","""",TO_TEXT('Respuestas de formulario 1'!L72))"),"")</f>
        <v/>
      </c>
      <c r="M72" s="7" t="str">
        <f>IFERROR(__xludf.DUMMYFUNCTION("IF('Respuestas de formulario 1'!M72="""","""",TO_TEXT('Respuestas de formulario 1'!M72))"),"")</f>
        <v/>
      </c>
      <c r="N72" s="7">
        <f t="shared" si="1"/>
        <v>2023</v>
      </c>
      <c r="O72" s="7" t="str">
        <f t="shared" si="2"/>
        <v>febrero</v>
      </c>
      <c r="P72" s="7" t="s">
        <v>4348</v>
      </c>
    </row>
    <row r="73">
      <c r="A73" s="19">
        <f>'Respuestas de formulario 1'!A73</f>
        <v>44978.80189</v>
      </c>
      <c r="B73" s="7" t="str">
        <f>'Respuestas de formulario 1'!B73</f>
        <v>Heredia</v>
      </c>
      <c r="C73" s="7" t="str">
        <f>'Respuestas de formulario 1'!C73</f>
        <v>Andres</v>
      </c>
      <c r="D73" s="7" t="str">
        <f>'Respuestas de formulario 1'!D73</f>
        <v>andresheredia911@gmail.com </v>
      </c>
      <c r="E73" s="20">
        <f>'Respuestas de formulario 1'!E73</f>
        <v>35500</v>
      </c>
      <c r="F73" s="7">
        <f>'Respuestas de formulario 1'!F73</f>
        <v>40248804</v>
      </c>
      <c r="G73" s="7" t="str">
        <f>IFERROR(__xludf.DUMMYFUNCTION("IF('Respuestas de formulario 1'!G73="""","""",IF(LEFT(REGEXREPLACE(TO_TEXT('Respuestas de formulario 1'!G73),""[^0-9]"",""""),2)=""54"",""+""&amp;REGEXREPLACE(TO_TEXT('Respuestas de formulario 1'!G73),""[^0-9]"",""""),""+54""&amp;REGEXREPLACE(TO_TEXT('Respuestas "&amp;"de formulario 1'!G73),""[^0-9]"","""")))"),"+543515331363")</f>
        <v>+543515331363</v>
      </c>
      <c r="H73" s="7">
        <f>'Respuestas de formulario 1'!S73</f>
        <v>2023</v>
      </c>
      <c r="I73" s="7" t="str">
        <f>IFERROR(__xludf.DUMMYFUNCTION("IF('Respuestas de formulario 1'!I73="""","""",TO_TEXT('Respuestas de formulario 1'!I73))"),"Obra social")</f>
        <v>Obra social</v>
      </c>
      <c r="J73" s="7" t="str">
        <f>IFERROR(__xludf.DUMMYFUNCTION("IF('Respuestas de formulario 1'!J73&lt;&gt;"""",UPPER(TRIM(TO_TEXT('Respuestas de formulario 1'!J73))),IF('Respuestas de formulario 1'!O73&lt;&gt;"""",UPPER(TRIM(TO_TEXT('Respuestas de formulario 1'!O73))),""""))"),"DASPU")</f>
        <v>DASPU</v>
      </c>
      <c r="K73" s="7" t="str">
        <f>IFERROR(__xludf.DUMMYFUNCTION("IF('Respuestas de formulario 1'!K73="""","""",TO_TEXT('Respuestas de formulario 1'!K73))"),"")</f>
        <v/>
      </c>
      <c r="L73" s="7" t="str">
        <f>IFERROR(__xludf.DUMMYFUNCTION("IF('Respuestas de formulario 1'!L73="""","""",TO_TEXT('Respuestas de formulario 1'!L73))"),"")</f>
        <v/>
      </c>
      <c r="M73" s="7" t="str">
        <f>IFERROR(__xludf.DUMMYFUNCTION("IF('Respuestas de formulario 1'!M73="""","""",TO_TEXT('Respuestas de formulario 1'!M73))"),"")</f>
        <v/>
      </c>
      <c r="N73" s="7">
        <f t="shared" si="1"/>
        <v>2023</v>
      </c>
      <c r="O73" s="7" t="str">
        <f t="shared" si="2"/>
        <v>febrero</v>
      </c>
      <c r="P73" s="7" t="s">
        <v>4350</v>
      </c>
    </row>
    <row r="74">
      <c r="A74" s="19">
        <f>'Respuestas de formulario 1'!A74</f>
        <v>44979.69198</v>
      </c>
      <c r="B74" s="7" t="str">
        <f>'Respuestas de formulario 1'!B74</f>
        <v>Sebastián</v>
      </c>
      <c r="C74" s="7" t="str">
        <f>'Respuestas de formulario 1'!C74</f>
        <v>Octavio</v>
      </c>
      <c r="D74" s="7" t="str">
        <f>'Respuestas de formulario 1'!D74</f>
        <v>octaviosebastiann@gmail.com</v>
      </c>
      <c r="E74" s="20">
        <f>'Respuestas de formulario 1'!E74</f>
        <v>34072</v>
      </c>
      <c r="F74" s="7">
        <f>'Respuestas de formulario 1'!F74</f>
        <v>37476306</v>
      </c>
      <c r="G74" s="7" t="str">
        <f>IFERROR(__xludf.DUMMYFUNCTION("IF('Respuestas de formulario 1'!G74="""","""",IF(LEFT(REGEXREPLACE(TO_TEXT('Respuestas de formulario 1'!G74),""[^0-9]"",""""),2)=""54"",""+""&amp;REGEXREPLACE(TO_TEXT('Respuestas de formulario 1'!G74),""[^0-9]"",""""),""+54""&amp;REGEXREPLACE(TO_TEXT('Respuestas "&amp;"de formulario 1'!G74),""[^0-9]"","""")))"),"+543517060825")</f>
        <v>+543517060825</v>
      </c>
      <c r="H74" s="7">
        <f>'Respuestas de formulario 1'!S74</f>
        <v>2023</v>
      </c>
      <c r="I74" s="7" t="str">
        <f>IFERROR(__xludf.DUMMYFUNCTION("IF('Respuestas de formulario 1'!I74="""","""",TO_TEXT('Respuestas de formulario 1'!I74))"),"Particular")</f>
        <v>Particular</v>
      </c>
      <c r="J74" s="7" t="str">
        <f>IFERROR(__xludf.DUMMYFUNCTION("IF('Respuestas de formulario 1'!J74&lt;&gt;"""",UPPER(TRIM(TO_TEXT('Respuestas de formulario 1'!J74))),IF('Respuestas de formulario 1'!O74&lt;&gt;"""",UPPER(TRIM(TO_TEXT('Respuestas de formulario 1'!O74))),""""))"),"")</f>
        <v/>
      </c>
      <c r="K74" s="7" t="str">
        <f>IFERROR(__xludf.DUMMYFUNCTION("IF('Respuestas de formulario 1'!K74="""","""",TO_TEXT('Respuestas de formulario 1'!K74))"),"")</f>
        <v/>
      </c>
      <c r="L74" s="7" t="str">
        <f>IFERROR(__xludf.DUMMYFUNCTION("IF('Respuestas de formulario 1'!L74="""","""",TO_TEXT('Respuestas de formulario 1'!L74))"),"")</f>
        <v/>
      </c>
      <c r="M74" s="7" t="str">
        <f>IFERROR(__xludf.DUMMYFUNCTION("IF('Respuestas de formulario 1'!M74="""","""",TO_TEXT('Respuestas de formulario 1'!M74))"),"")</f>
        <v/>
      </c>
      <c r="N74" s="7">
        <f t="shared" si="1"/>
        <v>2023</v>
      </c>
      <c r="O74" s="7" t="str">
        <f t="shared" si="2"/>
        <v>febrero</v>
      </c>
      <c r="P74" s="7" t="s">
        <v>4352</v>
      </c>
    </row>
    <row r="75">
      <c r="A75" s="19">
        <f>'Respuestas de formulario 1'!A75</f>
        <v>44979.80101</v>
      </c>
      <c r="B75" s="7" t="str">
        <f>'Respuestas de formulario 1'!B75</f>
        <v>Fernández </v>
      </c>
      <c r="C75" s="7" t="str">
        <f>'Respuestas de formulario 1'!C75</f>
        <v>Marcos Gabriel</v>
      </c>
      <c r="D75" s="7" t="str">
        <f>'Respuestas de formulario 1'!D75</f>
        <v>markosgabriel_1206@hotmail.com </v>
      </c>
      <c r="E75" s="20">
        <f>'Respuestas de formulario 1'!E75</f>
        <v>28653</v>
      </c>
      <c r="F75" s="7">
        <f>'Respuestas de formulario 1'!F75</f>
        <v>26484703</v>
      </c>
      <c r="G75" s="7" t="str">
        <f>IFERROR(__xludf.DUMMYFUNCTION("IF('Respuestas de formulario 1'!G75="""","""",IF(LEFT(REGEXREPLACE(TO_TEXT('Respuestas de formulario 1'!G75),""[^0-9]"",""""),2)=""54"",""+""&amp;REGEXREPLACE(TO_TEXT('Respuestas de formulario 1'!G75),""[^0-9]"",""""),""+54""&amp;REGEXREPLACE(TO_TEXT('Respuestas "&amp;"de formulario 1'!G75),""[^0-9]"","""")))"),"+543516324625")</f>
        <v>+543516324625</v>
      </c>
      <c r="H75" s="7">
        <f>'Respuestas de formulario 1'!S75</f>
        <v>2023</v>
      </c>
      <c r="I75" s="7" t="str">
        <f>IFERROR(__xludf.DUMMYFUNCTION("IF('Respuestas de formulario 1'!I75="""","""",TO_TEXT('Respuestas de formulario 1'!I75))"),"Obra social")</f>
        <v>Obra social</v>
      </c>
      <c r="J75" s="7" t="str">
        <f>IFERROR(__xludf.DUMMYFUNCTION("IF('Respuestas de formulario 1'!J75&lt;&gt;"""",UPPER(TRIM(TO_TEXT('Respuestas de formulario 1'!J75))),IF('Respuestas de formulario 1'!O75&lt;&gt;"""",UPPER(TRIM(TO_TEXT('Respuestas de formulario 1'!O75))),""""))"),"APROMED")</f>
        <v>APROMED</v>
      </c>
      <c r="K75" s="7" t="str">
        <f>IFERROR(__xludf.DUMMYFUNCTION("IF('Respuestas de formulario 1'!K75="""","""",TO_TEXT('Respuestas de formulario 1'!K75))"),"")</f>
        <v/>
      </c>
      <c r="L75" s="7" t="str">
        <f>IFERROR(__xludf.DUMMYFUNCTION("IF('Respuestas de formulario 1'!L75="""","""",TO_TEXT('Respuestas de formulario 1'!L75))"),"")</f>
        <v/>
      </c>
      <c r="M75" s="7" t="str">
        <f>IFERROR(__xludf.DUMMYFUNCTION("IF('Respuestas de formulario 1'!M75="""","""",TO_TEXT('Respuestas de formulario 1'!M75))"),"")</f>
        <v/>
      </c>
      <c r="N75" s="7">
        <f t="shared" si="1"/>
        <v>2023</v>
      </c>
      <c r="O75" s="7" t="str">
        <f t="shared" si="2"/>
        <v>febrero</v>
      </c>
      <c r="P75" s="7" t="s">
        <v>4354</v>
      </c>
    </row>
    <row r="76">
      <c r="A76" s="19">
        <f>'Respuestas de formulario 1'!A76</f>
        <v>44985.69754</v>
      </c>
      <c r="B76" s="7" t="str">
        <f>'Respuestas de formulario 1'!B76</f>
        <v>Cantonati</v>
      </c>
      <c r="C76" s="7" t="str">
        <f>'Respuestas de formulario 1'!C76</f>
        <v>María Belén </v>
      </c>
      <c r="D76" s="7" t="str">
        <f>'Respuestas de formulario 1'!D76</f>
        <v>Belcantonati@hotmail.com</v>
      </c>
      <c r="E76" s="20">
        <f>'Respuestas de formulario 1'!E76</f>
        <v>31031</v>
      </c>
      <c r="F76" s="7">
        <f>'Respuestas de formulario 1'!F76</f>
        <v>31187943</v>
      </c>
      <c r="G76" s="7" t="str">
        <f>IFERROR(__xludf.DUMMYFUNCTION("IF('Respuestas de formulario 1'!G76="""","""",IF(LEFT(REGEXREPLACE(TO_TEXT('Respuestas de formulario 1'!G76),""[^0-9]"",""""),2)=""54"",""+""&amp;REGEXREPLACE(TO_TEXT('Respuestas de formulario 1'!G76),""[^0-9]"",""""),""+54""&amp;REGEXREPLACE(TO_TEXT('Respuestas "&amp;"de formulario 1'!G76),""[^0-9]"","""")))"),"+543516330590")</f>
        <v>+543516330590</v>
      </c>
      <c r="H76" s="7">
        <f>'Respuestas de formulario 1'!S76</f>
        <v>2023</v>
      </c>
      <c r="I76" s="7" t="str">
        <f>IFERROR(__xludf.DUMMYFUNCTION("IF('Respuestas de formulario 1'!I76="""","""",TO_TEXT('Respuestas de formulario 1'!I76))"),"Particular")</f>
        <v>Particular</v>
      </c>
      <c r="J76" s="7" t="str">
        <f>IFERROR(__xludf.DUMMYFUNCTION("IF('Respuestas de formulario 1'!J76&lt;&gt;"""",UPPER(TRIM(TO_TEXT('Respuestas de formulario 1'!J76))),IF('Respuestas de formulario 1'!O76&lt;&gt;"""",UPPER(TRIM(TO_TEXT('Respuestas de formulario 1'!O76))),""""))"),"")</f>
        <v/>
      </c>
      <c r="K76" s="7" t="str">
        <f>IFERROR(__xludf.DUMMYFUNCTION("IF('Respuestas de formulario 1'!K76="""","""",TO_TEXT('Respuestas de formulario 1'!K76))"),"")</f>
        <v/>
      </c>
      <c r="L76" s="7" t="str">
        <f>IFERROR(__xludf.DUMMYFUNCTION("IF('Respuestas de formulario 1'!L76="""","""",TO_TEXT('Respuestas de formulario 1'!L76))"),"")</f>
        <v/>
      </c>
      <c r="M76" s="7" t="str">
        <f>IFERROR(__xludf.DUMMYFUNCTION("IF('Respuestas de formulario 1'!M76="""","""",TO_TEXT('Respuestas de formulario 1'!M76))"),"")</f>
        <v/>
      </c>
      <c r="N76" s="7">
        <f t="shared" si="1"/>
        <v>2023</v>
      </c>
      <c r="O76" s="7" t="str">
        <f t="shared" si="2"/>
        <v>febrero</v>
      </c>
      <c r="P76" s="7" t="s">
        <v>4356</v>
      </c>
    </row>
    <row r="77">
      <c r="A77" s="19">
        <f>'Respuestas de formulario 1'!A77</f>
        <v>44986.359</v>
      </c>
      <c r="B77" s="7" t="str">
        <f>'Respuestas de formulario 1'!B77</f>
        <v>Druetta</v>
      </c>
      <c r="C77" s="7" t="str">
        <f>'Respuestas de formulario 1'!C77</f>
        <v>Camila</v>
      </c>
      <c r="D77" s="7" t="str">
        <f>'Respuestas de formulario 1'!D77</f>
        <v>camidrue@gmail.com</v>
      </c>
      <c r="E77" s="20">
        <f>'Respuestas de formulario 1'!E77</f>
        <v>36796</v>
      </c>
      <c r="F77" s="7">
        <f>'Respuestas de formulario 1'!F77</f>
        <v>42892997</v>
      </c>
      <c r="G77" s="7" t="str">
        <f>IFERROR(__xludf.DUMMYFUNCTION("IF('Respuestas de formulario 1'!G77="""","""",IF(LEFT(REGEXREPLACE(TO_TEXT('Respuestas de formulario 1'!G77),""[^0-9]"",""""),2)=""54"",""+""&amp;REGEXREPLACE(TO_TEXT('Respuestas de formulario 1'!G77),""[^0-9]"",""""),""+54""&amp;REGEXREPLACE(TO_TEXT('Respuestas "&amp;"de formulario 1'!G77),""[^0-9]"","""")))"),"+543512024838")</f>
        <v>+543512024838</v>
      </c>
      <c r="H77" s="7">
        <f>'Respuestas de formulario 1'!S77</f>
        <v>2023</v>
      </c>
      <c r="I77" s="7" t="str">
        <f>IFERROR(__xludf.DUMMYFUNCTION("IF('Respuestas de formulario 1'!I77="""","""",TO_TEXT('Respuestas de formulario 1'!I77))"),"Particular")</f>
        <v>Particular</v>
      </c>
      <c r="J77" s="7" t="str">
        <f>IFERROR(__xludf.DUMMYFUNCTION("IF('Respuestas de formulario 1'!J77&lt;&gt;"""",UPPER(TRIM(TO_TEXT('Respuestas de formulario 1'!J77))),IF('Respuestas de formulario 1'!O77&lt;&gt;"""",UPPER(TRIM(TO_TEXT('Respuestas de formulario 1'!O77))),""""))"),"")</f>
        <v/>
      </c>
      <c r="K77" s="7" t="str">
        <f>IFERROR(__xludf.DUMMYFUNCTION("IF('Respuestas de formulario 1'!K77="""","""",TO_TEXT('Respuestas de formulario 1'!K77))"),"")</f>
        <v/>
      </c>
      <c r="L77" s="7" t="str">
        <f>IFERROR(__xludf.DUMMYFUNCTION("IF('Respuestas de formulario 1'!L77="""","""",TO_TEXT('Respuestas de formulario 1'!L77))"),"")</f>
        <v/>
      </c>
      <c r="M77" s="7" t="str">
        <f>IFERROR(__xludf.DUMMYFUNCTION("IF('Respuestas de formulario 1'!M77="""","""",TO_TEXT('Respuestas de formulario 1'!M77))"),"")</f>
        <v/>
      </c>
      <c r="N77" s="7">
        <f t="shared" si="1"/>
        <v>2023</v>
      </c>
      <c r="O77" s="7" t="str">
        <f t="shared" si="2"/>
        <v>marzo</v>
      </c>
      <c r="P77" s="7" t="s">
        <v>4358</v>
      </c>
    </row>
    <row r="78">
      <c r="A78" s="19">
        <f>'Respuestas de formulario 1'!A78</f>
        <v>44986.47433</v>
      </c>
      <c r="B78" s="7" t="str">
        <f>'Respuestas de formulario 1'!B78</f>
        <v>CASTRO</v>
      </c>
      <c r="C78" s="7" t="str">
        <f>'Respuestas de formulario 1'!C78</f>
        <v>Mirta Cristina</v>
      </c>
      <c r="D78" s="7" t="str">
        <f>'Respuestas de formulario 1'!D78</f>
        <v>micricas@hotmail.com</v>
      </c>
      <c r="E78" s="20">
        <f>'Respuestas de formulario 1'!E78</f>
        <v>26826</v>
      </c>
      <c r="F78" s="7">
        <f>'Respuestas de formulario 1'!F78</f>
        <v>23198663</v>
      </c>
      <c r="G78" s="7" t="str">
        <f>IFERROR(__xludf.DUMMYFUNCTION("IF('Respuestas de formulario 1'!G78="""","""",IF(LEFT(REGEXREPLACE(TO_TEXT('Respuestas de formulario 1'!G78),""[^0-9]"",""""),2)=""54"",""+""&amp;REGEXREPLACE(TO_TEXT('Respuestas de formulario 1'!G78),""[^0-9]"",""""),""+54""&amp;REGEXREPLACE(TO_TEXT('Respuestas "&amp;"de formulario 1'!G78),""[^0-9]"","""")))"),"+543516520221")</f>
        <v>+543516520221</v>
      </c>
      <c r="H78" s="7">
        <f>'Respuestas de formulario 1'!S78</f>
        <v>2023</v>
      </c>
      <c r="I78" s="7" t="str">
        <f>IFERROR(__xludf.DUMMYFUNCTION("IF('Respuestas de formulario 1'!I78="""","""",TO_TEXT('Respuestas de formulario 1'!I78))"),"Obra social")</f>
        <v>Obra social</v>
      </c>
      <c r="J78" s="7" t="str">
        <f>IFERROR(__xludf.DUMMYFUNCTION("IF('Respuestas de formulario 1'!J78&lt;&gt;"""",UPPER(TRIM(TO_TEXT('Respuestas de formulario 1'!J78))),IF('Respuestas de formulario 1'!O78&lt;&gt;"""",UPPER(TRIM(TO_TEXT('Respuestas de formulario 1'!O78))),""""))"),"DASPU")</f>
        <v>DASPU</v>
      </c>
      <c r="K78" s="7" t="str">
        <f>IFERROR(__xludf.DUMMYFUNCTION("IF('Respuestas de formulario 1'!K78="""","""",TO_TEXT('Respuestas de formulario 1'!K78))"),"")</f>
        <v/>
      </c>
      <c r="L78" s="7" t="str">
        <f>IFERROR(__xludf.DUMMYFUNCTION("IF('Respuestas de formulario 1'!L78="""","""",TO_TEXT('Respuestas de formulario 1'!L78))"),"")</f>
        <v/>
      </c>
      <c r="M78" s="7" t="str">
        <f>IFERROR(__xludf.DUMMYFUNCTION("IF('Respuestas de formulario 1'!M78="""","""",TO_TEXT('Respuestas de formulario 1'!M78))"),"")</f>
        <v/>
      </c>
      <c r="N78" s="7">
        <f t="shared" si="1"/>
        <v>2023</v>
      </c>
      <c r="O78" s="7" t="str">
        <f t="shared" si="2"/>
        <v>marzo</v>
      </c>
      <c r="P78" s="7" t="s">
        <v>4360</v>
      </c>
    </row>
    <row r="79">
      <c r="A79" s="19">
        <f>'Respuestas de formulario 1'!A79</f>
        <v>44986.64439</v>
      </c>
      <c r="B79" s="7" t="str">
        <f>'Respuestas de formulario 1'!B79</f>
        <v>Semeraro</v>
      </c>
      <c r="C79" s="7" t="str">
        <f>'Respuestas de formulario 1'!C79</f>
        <v>Nora</v>
      </c>
      <c r="D79" s="7" t="str">
        <f>'Respuestas de formulario 1'!D79</f>
        <v>norasemeraro@gmail.com</v>
      </c>
      <c r="E79" s="20">
        <f>'Respuestas de formulario 1'!E79</f>
        <v>21195</v>
      </c>
      <c r="F79" s="7">
        <f>'Respuestas de formulario 1'!F79</f>
        <v>12270859</v>
      </c>
      <c r="G79" s="7" t="str">
        <f>IFERROR(__xludf.DUMMYFUNCTION("IF('Respuestas de formulario 1'!G79="""","""",IF(LEFT(REGEXREPLACE(TO_TEXT('Respuestas de formulario 1'!G79),""[^0-9]"",""""),2)=""54"",""+""&amp;REGEXREPLACE(TO_TEXT('Respuestas de formulario 1'!G79),""[^0-9]"",""""),""+54""&amp;REGEXREPLACE(TO_TEXT('Respuestas "&amp;"de formulario 1'!G79),""[^0-9]"","""")))"),"+543516608455")</f>
        <v>+543516608455</v>
      </c>
      <c r="H79" s="7">
        <f>'Respuestas de formulario 1'!S79</f>
        <v>2023</v>
      </c>
      <c r="I79" s="7" t="str">
        <f>IFERROR(__xludf.DUMMYFUNCTION("IF('Respuestas de formulario 1'!I79="""","""",TO_TEXT('Respuestas de formulario 1'!I79))"),"Obra social")</f>
        <v>Obra social</v>
      </c>
      <c r="J79" s="7" t="str">
        <f>IFERROR(__xludf.DUMMYFUNCTION("IF('Respuestas de formulario 1'!J79&lt;&gt;"""",UPPER(TRIM(TO_TEXT('Respuestas de formulario 1'!J79))),IF('Respuestas de formulario 1'!O79&lt;&gt;"""",UPPER(TRIM(TO_TEXT('Respuestas de formulario 1'!O79))),""""))"),"OSSEG")</f>
        <v>OSSEG</v>
      </c>
      <c r="K79" s="7" t="str">
        <f>IFERROR(__xludf.DUMMYFUNCTION("IF('Respuestas de formulario 1'!K79="""","""",TO_TEXT('Respuestas de formulario 1'!K79))"),"")</f>
        <v/>
      </c>
      <c r="L79" s="7" t="str">
        <f>IFERROR(__xludf.DUMMYFUNCTION("IF('Respuestas de formulario 1'!L79="""","""",TO_TEXT('Respuestas de formulario 1'!L79))"),"")</f>
        <v/>
      </c>
      <c r="M79" s="7" t="str">
        <f>IFERROR(__xludf.DUMMYFUNCTION("IF('Respuestas de formulario 1'!M79="""","""",TO_TEXT('Respuestas de formulario 1'!M79))"),"")</f>
        <v/>
      </c>
      <c r="N79" s="7">
        <f t="shared" si="1"/>
        <v>2023</v>
      </c>
      <c r="O79" s="7" t="str">
        <f t="shared" si="2"/>
        <v>marzo</v>
      </c>
      <c r="P79" s="7" t="s">
        <v>4362</v>
      </c>
    </row>
    <row r="80">
      <c r="A80" s="19">
        <f>'Respuestas de formulario 1'!A80</f>
        <v>44986.80323</v>
      </c>
      <c r="B80" s="7" t="str">
        <f>'Respuestas de formulario 1'!B80</f>
        <v>Sueldo</v>
      </c>
      <c r="C80" s="7" t="str">
        <f>'Respuestas de formulario 1'!C80</f>
        <v>Belkis Anabella</v>
      </c>
      <c r="D80" s="7" t="str">
        <f>'Respuestas de formulario 1'!D80</f>
        <v>basueldo@gmail.com</v>
      </c>
      <c r="E80" s="20">
        <f>'Respuestas de formulario 1'!E80</f>
        <v>31671</v>
      </c>
      <c r="F80" s="7">
        <f>'Respuestas de formulario 1'!F80</f>
        <v>32518805</v>
      </c>
      <c r="G80" s="7" t="str">
        <f>IFERROR(__xludf.DUMMYFUNCTION("IF('Respuestas de formulario 1'!G80="""","""",IF(LEFT(REGEXREPLACE(TO_TEXT('Respuestas de formulario 1'!G80),""[^0-9]"",""""),2)=""54"",""+""&amp;REGEXREPLACE(TO_TEXT('Respuestas de formulario 1'!G80),""[^0-9]"",""""),""+54""&amp;REGEXREPLACE(TO_TEXT('Respuestas "&amp;"de formulario 1'!G80),""[^0-9]"","""")))"),"+543512466755")</f>
        <v>+543512466755</v>
      </c>
      <c r="H80" s="7">
        <f>'Respuestas de formulario 1'!S80</f>
        <v>2023</v>
      </c>
      <c r="I80" s="7" t="str">
        <f>IFERROR(__xludf.DUMMYFUNCTION("IF('Respuestas de formulario 1'!I80="""","""",TO_TEXT('Respuestas de formulario 1'!I80))"),"Particular")</f>
        <v>Particular</v>
      </c>
      <c r="J80" s="7" t="str">
        <f>IFERROR(__xludf.DUMMYFUNCTION("IF('Respuestas de formulario 1'!J80&lt;&gt;"""",UPPER(TRIM(TO_TEXT('Respuestas de formulario 1'!J80))),IF('Respuestas de formulario 1'!O80&lt;&gt;"""",UPPER(TRIM(TO_TEXT('Respuestas de formulario 1'!O80))),""""))"),"")</f>
        <v/>
      </c>
      <c r="K80" s="7" t="str">
        <f>IFERROR(__xludf.DUMMYFUNCTION("IF('Respuestas de formulario 1'!K80="""","""",TO_TEXT('Respuestas de formulario 1'!K80))"),"")</f>
        <v/>
      </c>
      <c r="L80" s="7" t="str">
        <f>IFERROR(__xludf.DUMMYFUNCTION("IF('Respuestas de formulario 1'!L80="""","""",TO_TEXT('Respuestas de formulario 1'!L80))"),"")</f>
        <v/>
      </c>
      <c r="M80" s="7" t="str">
        <f>IFERROR(__xludf.DUMMYFUNCTION("IF('Respuestas de formulario 1'!M80="""","""",TO_TEXT('Respuestas de formulario 1'!M80))"),"")</f>
        <v/>
      </c>
      <c r="N80" s="7">
        <f t="shared" si="1"/>
        <v>2023</v>
      </c>
      <c r="O80" s="7" t="str">
        <f t="shared" si="2"/>
        <v>marzo</v>
      </c>
      <c r="P80" s="7" t="s">
        <v>4364</v>
      </c>
    </row>
    <row r="81">
      <c r="A81" s="19">
        <f>'Respuestas de formulario 1'!A81</f>
        <v>44987.38946</v>
      </c>
      <c r="B81" s="7" t="str">
        <f>'Respuestas de formulario 1'!B81</f>
        <v>Ponce</v>
      </c>
      <c r="C81" s="7" t="str">
        <f>'Respuestas de formulario 1'!C81</f>
        <v>Federico</v>
      </c>
      <c r="D81" s="7" t="str">
        <f>'Respuestas de formulario 1'!D81</f>
        <v>federico.jponce@gmail.com</v>
      </c>
      <c r="E81" s="20">
        <f>'Respuestas de formulario 1'!E81</f>
        <v>34895</v>
      </c>
      <c r="F81" s="7">
        <f>'Respuestas de formulario 1'!F81</f>
        <v>39072489</v>
      </c>
      <c r="G81" s="7" t="str">
        <f>IFERROR(__xludf.DUMMYFUNCTION("IF('Respuestas de formulario 1'!G81="""","""",IF(LEFT(REGEXREPLACE(TO_TEXT('Respuestas de formulario 1'!G81),""[^0-9]"",""""),2)=""54"",""+""&amp;REGEXREPLACE(TO_TEXT('Respuestas de formulario 1'!G81),""[^0-9]"",""""),""+54""&amp;REGEXREPLACE(TO_TEXT('Respuestas "&amp;"de formulario 1'!G81),""[^0-9]"","""")))"),"+543517502384")</f>
        <v>+543517502384</v>
      </c>
      <c r="H81" s="7">
        <f>'Respuestas de formulario 1'!S81</f>
        <v>2023</v>
      </c>
      <c r="I81" s="7" t="str">
        <f>IFERROR(__xludf.DUMMYFUNCTION("IF('Respuestas de formulario 1'!I81="""","""",TO_TEXT('Respuestas de formulario 1'!I81))"),"Obra social")</f>
        <v>Obra social</v>
      </c>
      <c r="J81" s="7" t="str">
        <f>IFERROR(__xludf.DUMMYFUNCTION("IF('Respuestas de formulario 1'!J81&lt;&gt;"""",UPPER(TRIM(TO_TEXT('Respuestas de formulario 1'!J81))),IF('Respuestas de formulario 1'!O81&lt;&gt;"""",UPPER(TRIM(TO_TEXT('Respuestas de formulario 1'!O81))),""""))"),"APROSS")</f>
        <v>APROSS</v>
      </c>
      <c r="K81" s="7" t="str">
        <f>IFERROR(__xludf.DUMMYFUNCTION("IF('Respuestas de formulario 1'!K81="""","""",TO_TEXT('Respuestas de formulario 1'!K81))"),"")</f>
        <v/>
      </c>
      <c r="L81" s="7" t="str">
        <f>IFERROR(__xludf.DUMMYFUNCTION("IF('Respuestas de formulario 1'!L81="""","""",TO_TEXT('Respuestas de formulario 1'!L81))"),"")</f>
        <v/>
      </c>
      <c r="M81" s="7" t="str">
        <f>IFERROR(__xludf.DUMMYFUNCTION("IF('Respuestas de formulario 1'!M81="""","""",TO_TEXT('Respuestas de formulario 1'!M81))"),"")</f>
        <v/>
      </c>
      <c r="N81" s="7">
        <f t="shared" si="1"/>
        <v>2023</v>
      </c>
      <c r="O81" s="7" t="str">
        <f t="shared" si="2"/>
        <v>marzo</v>
      </c>
      <c r="P81" s="7" t="s">
        <v>4366</v>
      </c>
    </row>
    <row r="82">
      <c r="A82" s="19">
        <f>'Respuestas de formulario 1'!A82</f>
        <v>44987.45748</v>
      </c>
      <c r="B82" s="7" t="str">
        <f>'Respuestas de formulario 1'!B82</f>
        <v>Baigorri </v>
      </c>
      <c r="C82" s="7" t="str">
        <f>'Respuestas de formulario 1'!C82</f>
        <v>Joel</v>
      </c>
      <c r="D82" s="7" t="str">
        <f>'Respuestas de formulario 1'!D82</f>
        <v>Baigorri.joel@gmail.com</v>
      </c>
      <c r="E82" s="20">
        <f>'Respuestas de formulario 1'!E82</f>
        <v>31593</v>
      </c>
      <c r="F82" s="7">
        <f>'Respuestas de formulario 1'!F82</f>
        <v>32372182</v>
      </c>
      <c r="G82" s="7" t="str">
        <f>IFERROR(__xludf.DUMMYFUNCTION("IF('Respuestas de formulario 1'!G82="""","""",IF(LEFT(REGEXREPLACE(TO_TEXT('Respuestas de formulario 1'!G82),""[^0-9]"",""""),2)=""54"",""+""&amp;REGEXREPLACE(TO_TEXT('Respuestas de formulario 1'!G82),""[^0-9]"",""""),""+54""&amp;REGEXREPLACE(TO_TEXT('Respuestas "&amp;"de formulario 1'!G82),""[^0-9]"","""")))"),"+543513471220")</f>
        <v>+543513471220</v>
      </c>
      <c r="H82" s="7">
        <f>'Respuestas de formulario 1'!S82</f>
        <v>2023</v>
      </c>
      <c r="I82" s="7" t="str">
        <f>IFERROR(__xludf.DUMMYFUNCTION("IF('Respuestas de formulario 1'!I82="""","""",TO_TEXT('Respuestas de formulario 1'!I82))"),"Particular")</f>
        <v>Particular</v>
      </c>
      <c r="J82" s="7" t="str">
        <f>IFERROR(__xludf.DUMMYFUNCTION("IF('Respuestas de formulario 1'!J82&lt;&gt;"""",UPPER(TRIM(TO_TEXT('Respuestas de formulario 1'!J82))),IF('Respuestas de formulario 1'!O82&lt;&gt;"""",UPPER(TRIM(TO_TEXT('Respuestas de formulario 1'!O82))),""""))"),"")</f>
        <v/>
      </c>
      <c r="K82" s="7" t="str">
        <f>IFERROR(__xludf.DUMMYFUNCTION("IF('Respuestas de formulario 1'!K82="""","""",TO_TEXT('Respuestas de formulario 1'!K82))"),"")</f>
        <v/>
      </c>
      <c r="L82" s="7" t="str">
        <f>IFERROR(__xludf.DUMMYFUNCTION("IF('Respuestas de formulario 1'!L82="""","""",TO_TEXT('Respuestas de formulario 1'!L82))"),"")</f>
        <v/>
      </c>
      <c r="M82" s="7" t="str">
        <f>IFERROR(__xludf.DUMMYFUNCTION("IF('Respuestas de formulario 1'!M82="""","""",TO_TEXT('Respuestas de formulario 1'!M82))"),"")</f>
        <v/>
      </c>
      <c r="N82" s="7">
        <f t="shared" si="1"/>
        <v>2023</v>
      </c>
      <c r="O82" s="7" t="str">
        <f t="shared" si="2"/>
        <v>marzo</v>
      </c>
      <c r="P82" s="7" t="s">
        <v>4368</v>
      </c>
    </row>
    <row r="83">
      <c r="A83" s="19">
        <f>'Respuestas de formulario 1'!A83</f>
        <v>44988.74689</v>
      </c>
      <c r="B83" s="7" t="str">
        <f>'Respuestas de formulario 1'!B83</f>
        <v>Grion</v>
      </c>
      <c r="C83" s="7" t="str">
        <f>'Respuestas de formulario 1'!C83</f>
        <v>Alejandro</v>
      </c>
      <c r="D83" s="7" t="str">
        <f>'Respuestas de formulario 1'!D83</f>
        <v>alejandrogrion@gmail.com</v>
      </c>
      <c r="E83" s="20">
        <f>'Respuestas de formulario 1'!E83</f>
        <v>25928</v>
      </c>
      <c r="F83" s="7">
        <f>'Respuestas de formulario 1'!F83</f>
        <v>21967210</v>
      </c>
      <c r="G83" s="7" t="str">
        <f>IFERROR(__xludf.DUMMYFUNCTION("IF('Respuestas de formulario 1'!G83="""","""",IF(LEFT(REGEXREPLACE(TO_TEXT('Respuestas de formulario 1'!G83),""[^0-9]"",""""),2)=""54"",""+""&amp;REGEXREPLACE(TO_TEXT('Respuestas de formulario 1'!G83),""[^0-9]"",""""),""+54""&amp;REGEXREPLACE(TO_TEXT('Respuestas "&amp;"de formulario 1'!G83),""[^0-9]"","""")))"),"+543512388424")</f>
        <v>+543512388424</v>
      </c>
      <c r="H83" s="7">
        <f>'Respuestas de formulario 1'!S83</f>
        <v>2023</v>
      </c>
      <c r="I83" s="7" t="str">
        <f>IFERROR(__xludf.DUMMYFUNCTION("IF('Respuestas de formulario 1'!I83="""","""",TO_TEXT('Respuestas de formulario 1'!I83))"),"Particular")</f>
        <v>Particular</v>
      </c>
      <c r="J83" s="7" t="str">
        <f>IFERROR(__xludf.DUMMYFUNCTION("IF('Respuestas de formulario 1'!J83&lt;&gt;"""",UPPER(TRIM(TO_TEXT('Respuestas de formulario 1'!J83))),IF('Respuestas de formulario 1'!O83&lt;&gt;"""",UPPER(TRIM(TO_TEXT('Respuestas de formulario 1'!O83))),""""))"),"")</f>
        <v/>
      </c>
      <c r="K83" s="7" t="str">
        <f>IFERROR(__xludf.DUMMYFUNCTION("IF('Respuestas de formulario 1'!K83="""","""",TO_TEXT('Respuestas de formulario 1'!K83))"),"")</f>
        <v/>
      </c>
      <c r="L83" s="7" t="str">
        <f>IFERROR(__xludf.DUMMYFUNCTION("IF('Respuestas de formulario 1'!L83="""","""",TO_TEXT('Respuestas de formulario 1'!L83))"),"")</f>
        <v/>
      </c>
      <c r="M83" s="7" t="str">
        <f>IFERROR(__xludf.DUMMYFUNCTION("IF('Respuestas de formulario 1'!M83="""","""",TO_TEXT('Respuestas de formulario 1'!M83))"),"")</f>
        <v/>
      </c>
      <c r="N83" s="7">
        <f t="shared" si="1"/>
        <v>2023</v>
      </c>
      <c r="O83" s="7" t="str">
        <f t="shared" si="2"/>
        <v>marzo</v>
      </c>
      <c r="P83" s="7" t="s">
        <v>4370</v>
      </c>
    </row>
    <row r="84">
      <c r="A84" s="19">
        <f>'Respuestas de formulario 1'!A84</f>
        <v>44991.5103</v>
      </c>
      <c r="B84" s="7" t="str">
        <f>'Respuestas de formulario 1'!B84</f>
        <v>Biani</v>
      </c>
      <c r="C84" s="7" t="str">
        <f>'Respuestas de formulario 1'!C84</f>
        <v>Jeremias </v>
      </c>
      <c r="D84" s="7" t="str">
        <f>'Respuestas de formulario 1'!D84</f>
        <v>diegoivanbiani79@gmail.com</v>
      </c>
      <c r="E84" s="20">
        <f>'Respuestas de formulario 1'!E84</f>
        <v>39526</v>
      </c>
      <c r="F84" s="7">
        <f>'Respuestas de formulario 1'!F84</f>
        <v>48124818</v>
      </c>
      <c r="G84" s="7" t="str">
        <f>IFERROR(__xludf.DUMMYFUNCTION("IF('Respuestas de formulario 1'!G84="""","""",IF(LEFT(REGEXREPLACE(TO_TEXT('Respuestas de formulario 1'!G84),""[^0-9]"",""""),2)=""54"",""+""&amp;REGEXREPLACE(TO_TEXT('Respuestas de formulario 1'!G84),""[^0-9]"",""""),""+54""&amp;REGEXREPLACE(TO_TEXT('Respuestas "&amp;"de formulario 1'!G84),""[^0-9]"","""")))"),"+543513357046")</f>
        <v>+543513357046</v>
      </c>
      <c r="H84" s="7">
        <f>'Respuestas de formulario 1'!S84</f>
        <v>2023</v>
      </c>
      <c r="I84" s="7" t="str">
        <f>IFERROR(__xludf.DUMMYFUNCTION("IF('Respuestas de formulario 1'!I84="""","""",TO_TEXT('Respuestas de formulario 1'!I84))"),"Particular")</f>
        <v>Particular</v>
      </c>
      <c r="J84" s="7" t="str">
        <f>IFERROR(__xludf.DUMMYFUNCTION("IF('Respuestas de formulario 1'!J84&lt;&gt;"""",UPPER(TRIM(TO_TEXT('Respuestas de formulario 1'!J84))),IF('Respuestas de formulario 1'!O84&lt;&gt;"""",UPPER(TRIM(TO_TEXT('Respuestas de formulario 1'!O84))),""""))"),"")</f>
        <v/>
      </c>
      <c r="K84" s="7" t="str">
        <f>IFERROR(__xludf.DUMMYFUNCTION("IF('Respuestas de formulario 1'!K84="""","""",TO_TEXT('Respuestas de formulario 1'!K84))"),"")</f>
        <v/>
      </c>
      <c r="L84" s="7" t="str">
        <f>IFERROR(__xludf.DUMMYFUNCTION("IF('Respuestas de formulario 1'!L84="""","""",TO_TEXT('Respuestas de formulario 1'!L84))"),"")</f>
        <v/>
      </c>
      <c r="M84" s="7" t="str">
        <f>IFERROR(__xludf.DUMMYFUNCTION("IF('Respuestas de formulario 1'!M84="""","""",TO_TEXT('Respuestas de formulario 1'!M84))"),"")</f>
        <v/>
      </c>
      <c r="N84" s="7">
        <f t="shared" si="1"/>
        <v>2023</v>
      </c>
      <c r="O84" s="7" t="str">
        <f t="shared" si="2"/>
        <v>marzo</v>
      </c>
      <c r="P84" s="7" t="s">
        <v>4372</v>
      </c>
    </row>
    <row r="85">
      <c r="A85" s="19">
        <f>'Respuestas de formulario 1'!A85</f>
        <v>44991.86336</v>
      </c>
      <c r="B85" s="7" t="str">
        <f>'Respuestas de formulario 1'!B85</f>
        <v>Castro </v>
      </c>
      <c r="C85" s="7" t="str">
        <f>'Respuestas de formulario 1'!C85</f>
        <v>Facundo </v>
      </c>
      <c r="D85" s="7" t="str">
        <f>'Respuestas de formulario 1'!D85</f>
        <v>castrofacundo265@gmail.com</v>
      </c>
      <c r="E85" s="20">
        <f>'Respuestas de formulario 1'!E85</f>
        <v>36204</v>
      </c>
      <c r="F85" s="7">
        <f>'Respuestas de formulario 1'!F85</f>
        <v>40506846</v>
      </c>
      <c r="G85" s="7" t="str">
        <f>IFERROR(__xludf.DUMMYFUNCTION("IF('Respuestas de formulario 1'!G85="""","""",IF(LEFT(REGEXREPLACE(TO_TEXT('Respuestas de formulario 1'!G85),""[^0-9]"",""""),2)=""54"",""+""&amp;REGEXREPLACE(TO_TEXT('Respuestas de formulario 1'!G85),""[^0-9]"",""""),""+54""&amp;REGEXREPLACE(TO_TEXT('Respuestas "&amp;"de formulario 1'!G85),""[^0-9]"","""")))"),"+543542461695")</f>
        <v>+543542461695</v>
      </c>
      <c r="H85" s="7">
        <f>'Respuestas de formulario 1'!S85</f>
        <v>2023</v>
      </c>
      <c r="I85" s="7" t="str">
        <f>IFERROR(__xludf.DUMMYFUNCTION("IF('Respuestas de formulario 1'!I85="""","""",TO_TEXT('Respuestas de formulario 1'!I85))"),"Obra social")</f>
        <v>Obra social</v>
      </c>
      <c r="J85" s="7" t="str">
        <f>IFERROR(__xludf.DUMMYFUNCTION("IF('Respuestas de formulario 1'!J85&lt;&gt;"""",UPPER(TRIM(TO_TEXT('Respuestas de formulario 1'!J85))),IF('Respuestas de formulario 1'!O85&lt;&gt;"""",UPPER(TRIM(TO_TEXT('Respuestas de formulario 1'!O85))),""""))"),"APROSS")</f>
        <v>APROSS</v>
      </c>
      <c r="K85" s="7" t="str">
        <f>IFERROR(__xludf.DUMMYFUNCTION("IF('Respuestas de formulario 1'!K85="""","""",TO_TEXT('Respuestas de formulario 1'!K85))"),"")</f>
        <v/>
      </c>
      <c r="L85" s="7" t="str">
        <f>IFERROR(__xludf.DUMMYFUNCTION("IF('Respuestas de formulario 1'!L85="""","""",TO_TEXT('Respuestas de formulario 1'!L85))"),"")</f>
        <v/>
      </c>
      <c r="M85" s="7" t="str">
        <f>IFERROR(__xludf.DUMMYFUNCTION("IF('Respuestas de formulario 1'!M85="""","""",TO_TEXT('Respuestas de formulario 1'!M85))"),"")</f>
        <v/>
      </c>
      <c r="N85" s="7">
        <f t="shared" si="1"/>
        <v>2023</v>
      </c>
      <c r="O85" s="7" t="str">
        <f t="shared" si="2"/>
        <v>marzo</v>
      </c>
      <c r="P85" s="7" t="s">
        <v>4374</v>
      </c>
    </row>
    <row r="86">
      <c r="A86" s="19">
        <f>'Respuestas de formulario 1'!A86</f>
        <v>44992.49795</v>
      </c>
      <c r="B86" s="7" t="str">
        <f>'Respuestas de formulario 1'!B86</f>
        <v>DUARTE POLANCO</v>
      </c>
      <c r="C86" s="7" t="str">
        <f>'Respuestas de formulario 1'!C86</f>
        <v>AXEL MATIAS</v>
      </c>
      <c r="D86" s="7" t="str">
        <f>'Respuestas de formulario 1'!D86</f>
        <v>amatiasduarte@gmail.com</v>
      </c>
      <c r="E86" s="20">
        <f>'Respuestas de formulario 1'!E86</f>
        <v>32925</v>
      </c>
      <c r="F86" s="7">
        <f>'Respuestas de formulario 1'!F86</f>
        <v>35054004</v>
      </c>
      <c r="G86" s="7" t="str">
        <f>IFERROR(__xludf.DUMMYFUNCTION("IF('Respuestas de formulario 1'!G86="""","""",IF(LEFT(REGEXREPLACE(TO_TEXT('Respuestas de formulario 1'!G86),""[^0-9]"",""""),2)=""54"",""+""&amp;REGEXREPLACE(TO_TEXT('Respuestas de formulario 1'!G86),""[^0-9]"",""""),""+54""&amp;REGEXREPLACE(TO_TEXT('Respuestas "&amp;"de formulario 1'!G86),""[^0-9]"","""")))"),"+543513792102")</f>
        <v>+543513792102</v>
      </c>
      <c r="H86" s="7">
        <f>'Respuestas de formulario 1'!S86</f>
        <v>2023</v>
      </c>
      <c r="I86" s="7" t="str">
        <f>IFERROR(__xludf.DUMMYFUNCTION("IF('Respuestas de formulario 1'!I86="""","""",TO_TEXT('Respuestas de formulario 1'!I86))"),"Obra social")</f>
        <v>Obra social</v>
      </c>
      <c r="J86" s="7" t="str">
        <f>IFERROR(__xludf.DUMMYFUNCTION("IF('Respuestas de formulario 1'!J86&lt;&gt;"""",UPPER(TRIM(TO_TEXT('Respuestas de formulario 1'!J86))),IF('Respuestas de formulario 1'!O86&lt;&gt;"""",UPPER(TRIM(TO_TEXT('Respuestas de formulario 1'!O86))),""""))"),"SANCOR")</f>
        <v>SANCOR</v>
      </c>
      <c r="K86" s="7" t="str">
        <f>IFERROR(__xludf.DUMMYFUNCTION("IF('Respuestas de formulario 1'!K86="""","""",TO_TEXT('Respuestas de formulario 1'!K86))"),"")</f>
        <v/>
      </c>
      <c r="L86" s="7" t="str">
        <f>IFERROR(__xludf.DUMMYFUNCTION("IF('Respuestas de formulario 1'!L86="""","""",TO_TEXT('Respuestas de formulario 1'!L86))"),"")</f>
        <v/>
      </c>
      <c r="M86" s="7" t="str">
        <f>IFERROR(__xludf.DUMMYFUNCTION("IF('Respuestas de formulario 1'!M86="""","""",TO_TEXT('Respuestas de formulario 1'!M86))"),"")</f>
        <v/>
      </c>
      <c r="N86" s="7">
        <f t="shared" si="1"/>
        <v>2023</v>
      </c>
      <c r="O86" s="7" t="str">
        <f t="shared" si="2"/>
        <v>marzo</v>
      </c>
      <c r="P86" s="7" t="s">
        <v>4376</v>
      </c>
    </row>
    <row r="87">
      <c r="A87" s="19">
        <f>'Respuestas de formulario 1'!A87</f>
        <v>44992.86875</v>
      </c>
      <c r="B87" s="7" t="str">
        <f>'Respuestas de formulario 1'!B87</f>
        <v>Bordino</v>
      </c>
      <c r="C87" s="7" t="str">
        <f>'Respuestas de formulario 1'!C87</f>
        <v>Alvaro </v>
      </c>
      <c r="D87" s="7" t="str">
        <f>'Respuestas de formulario 1'!D87</f>
        <v>Alvarobordino1995@gmail.com </v>
      </c>
      <c r="E87" s="20">
        <f>'Respuestas de formulario 1'!E87</f>
        <v>34460</v>
      </c>
      <c r="F87" s="7">
        <f>'Respuestas de formulario 1'!F87</f>
        <v>38183134</v>
      </c>
      <c r="G87" s="7" t="str">
        <f>IFERROR(__xludf.DUMMYFUNCTION("IF('Respuestas de formulario 1'!G87="""","""",IF(LEFT(REGEXREPLACE(TO_TEXT('Respuestas de formulario 1'!G87),""[^0-9]"",""""),2)=""54"",""+""&amp;REGEXREPLACE(TO_TEXT('Respuestas de formulario 1'!G87),""[^0-9]"",""""),""+54""&amp;REGEXREPLACE(TO_TEXT('Respuestas "&amp;"de formulario 1'!G87),""[^0-9]"","""")))"),"+543515337720")</f>
        <v>+543515337720</v>
      </c>
      <c r="H87" s="7">
        <f>'Respuestas de formulario 1'!S87</f>
        <v>2023</v>
      </c>
      <c r="I87" s="7" t="str">
        <f>IFERROR(__xludf.DUMMYFUNCTION("IF('Respuestas de formulario 1'!I87="""","""",TO_TEXT('Respuestas de formulario 1'!I87))"),"Particular")</f>
        <v>Particular</v>
      </c>
      <c r="J87" s="7" t="str">
        <f>IFERROR(__xludf.DUMMYFUNCTION("IF('Respuestas de formulario 1'!J87&lt;&gt;"""",UPPER(TRIM(TO_TEXT('Respuestas de formulario 1'!J87))),IF('Respuestas de formulario 1'!O87&lt;&gt;"""",UPPER(TRIM(TO_TEXT('Respuestas de formulario 1'!O87))),""""))"),"")</f>
        <v/>
      </c>
      <c r="K87" s="7" t="str">
        <f>IFERROR(__xludf.DUMMYFUNCTION("IF('Respuestas de formulario 1'!K87="""","""",TO_TEXT('Respuestas de formulario 1'!K87))"),"")</f>
        <v/>
      </c>
      <c r="L87" s="7" t="str">
        <f>IFERROR(__xludf.DUMMYFUNCTION("IF('Respuestas de formulario 1'!L87="""","""",TO_TEXT('Respuestas de formulario 1'!L87))"),"")</f>
        <v/>
      </c>
      <c r="M87" s="7" t="str">
        <f>IFERROR(__xludf.DUMMYFUNCTION("IF('Respuestas de formulario 1'!M87="""","""",TO_TEXT('Respuestas de formulario 1'!M87))"),"")</f>
        <v/>
      </c>
      <c r="N87" s="7">
        <f t="shared" si="1"/>
        <v>2023</v>
      </c>
      <c r="O87" s="7" t="str">
        <f t="shared" si="2"/>
        <v>marzo</v>
      </c>
      <c r="P87" s="7" t="s">
        <v>4378</v>
      </c>
    </row>
    <row r="88">
      <c r="A88" s="19">
        <f>'Respuestas de formulario 1'!A88</f>
        <v>44993.77411</v>
      </c>
      <c r="B88" s="7" t="str">
        <f>'Respuestas de formulario 1'!B88</f>
        <v>Freno</v>
      </c>
      <c r="C88" s="7" t="str">
        <f>'Respuestas de formulario 1'!C88</f>
        <v>Pablo Manuel</v>
      </c>
      <c r="D88" s="7" t="str">
        <f>'Respuestas de formulario 1'!D88</f>
        <v>pablomanuelfreno@gmail.com</v>
      </c>
      <c r="E88" s="20">
        <f>'Respuestas de formulario 1'!E88</f>
        <v>21433</v>
      </c>
      <c r="F88" s="7">
        <f>'Respuestas de formulario 1'!F88</f>
        <v>12613243</v>
      </c>
      <c r="G88" s="7" t="str">
        <f>IFERROR(__xludf.DUMMYFUNCTION("IF('Respuestas de formulario 1'!G88="""","""",IF(LEFT(REGEXREPLACE(TO_TEXT('Respuestas de formulario 1'!G88),""[^0-9]"",""""),2)=""54"",""+""&amp;REGEXREPLACE(TO_TEXT('Respuestas de formulario 1'!G88),""[^0-9]"",""""),""+54""&amp;REGEXREPLACE(TO_TEXT('Respuestas "&amp;"de formulario 1'!G88),""[^0-9]"","""")))"),"+543515435327")</f>
        <v>+543515435327</v>
      </c>
      <c r="H88" s="7">
        <f>'Respuestas de formulario 1'!S88</f>
        <v>2023</v>
      </c>
      <c r="I88" s="7" t="str">
        <f>IFERROR(__xludf.DUMMYFUNCTION("IF('Respuestas de formulario 1'!I88="""","""",TO_TEXT('Respuestas de formulario 1'!I88))"),"Obra social")</f>
        <v>Obra social</v>
      </c>
      <c r="J88" s="7" t="str">
        <f>IFERROR(__xludf.DUMMYFUNCTION("IF('Respuestas de formulario 1'!J88&lt;&gt;"""",UPPER(TRIM(TO_TEXT('Respuestas de formulario 1'!J88))),IF('Respuestas de formulario 1'!O88&lt;&gt;"""",UPPER(TRIM(TO_TEXT('Respuestas de formulario 1'!O88))),""""))"),"MEDIFE")</f>
        <v>MEDIFE</v>
      </c>
      <c r="K88" s="7" t="str">
        <f>IFERROR(__xludf.DUMMYFUNCTION("IF('Respuestas de formulario 1'!K88="""","""",TO_TEXT('Respuestas de formulario 1'!K88))"),"")</f>
        <v/>
      </c>
      <c r="L88" s="7" t="str">
        <f>IFERROR(__xludf.DUMMYFUNCTION("IF('Respuestas de formulario 1'!L88="""","""",TO_TEXT('Respuestas de formulario 1'!L88))"),"")</f>
        <v/>
      </c>
      <c r="M88" s="7" t="str">
        <f>IFERROR(__xludf.DUMMYFUNCTION("IF('Respuestas de formulario 1'!M88="""","""",TO_TEXT('Respuestas de formulario 1'!M88))"),"")</f>
        <v/>
      </c>
      <c r="N88" s="7">
        <f t="shared" si="1"/>
        <v>2023</v>
      </c>
      <c r="O88" s="7" t="str">
        <f t="shared" si="2"/>
        <v>marzo</v>
      </c>
      <c r="P88" s="7" t="s">
        <v>4380</v>
      </c>
    </row>
    <row r="89">
      <c r="A89" s="19">
        <f>'Respuestas de formulario 1'!A89</f>
        <v>44998.42286</v>
      </c>
      <c r="B89" s="7" t="str">
        <f>'Respuestas de formulario 1'!B89</f>
        <v>Gadea</v>
      </c>
      <c r="C89" s="7" t="str">
        <f>'Respuestas de formulario 1'!C89</f>
        <v>Erik paul</v>
      </c>
      <c r="D89" s="7" t="str">
        <f>'Respuestas de formulario 1'!D89</f>
        <v>erikgadea@hotmail.com.ar </v>
      </c>
      <c r="E89" s="20">
        <f>'Respuestas de formulario 1'!E89</f>
        <v>35542</v>
      </c>
      <c r="F89" s="7">
        <f>'Respuestas de formulario 1'!F89</f>
        <v>40203248</v>
      </c>
      <c r="G89" s="7" t="str">
        <f>IFERROR(__xludf.DUMMYFUNCTION("IF('Respuestas de formulario 1'!G89="""","""",IF(LEFT(REGEXREPLACE(TO_TEXT('Respuestas de formulario 1'!G89),""[^0-9]"",""""),2)=""54"",""+""&amp;REGEXREPLACE(TO_TEXT('Respuestas de formulario 1'!G89),""[^0-9]"",""""),""+54""&amp;REGEXREPLACE(TO_TEXT('Respuestas "&amp;"de formulario 1'!G89),""[^0-9]"","""")))"),"+543522400613")</f>
        <v>+543522400613</v>
      </c>
      <c r="H89" s="7">
        <f>'Respuestas de formulario 1'!S89</f>
        <v>2023</v>
      </c>
      <c r="I89" s="7" t="str">
        <f>IFERROR(__xludf.DUMMYFUNCTION("IF('Respuestas de formulario 1'!I89="""","""",TO_TEXT('Respuestas de formulario 1'!I89))"),"Obra social")</f>
        <v>Obra social</v>
      </c>
      <c r="J89" s="7" t="str">
        <f>IFERROR(__xludf.DUMMYFUNCTION("IF('Respuestas de formulario 1'!J89&lt;&gt;"""",UPPER(TRIM(TO_TEXT('Respuestas de formulario 1'!J89))),IF('Respuestas de formulario 1'!O89&lt;&gt;"""",UPPER(TRIM(TO_TEXT('Respuestas de formulario 1'!O89))),""""))"),"UNIMED")</f>
        <v>UNIMED</v>
      </c>
      <c r="K89" s="7" t="str">
        <f>IFERROR(__xludf.DUMMYFUNCTION("IF('Respuestas de formulario 1'!K89="""","""",TO_TEXT('Respuestas de formulario 1'!K89))"),"")</f>
        <v/>
      </c>
      <c r="L89" s="7" t="str">
        <f>IFERROR(__xludf.DUMMYFUNCTION("IF('Respuestas de formulario 1'!L89="""","""",TO_TEXT('Respuestas de formulario 1'!L89))"),"")</f>
        <v/>
      </c>
      <c r="M89" s="7" t="str">
        <f>IFERROR(__xludf.DUMMYFUNCTION("IF('Respuestas de formulario 1'!M89="""","""",TO_TEXT('Respuestas de formulario 1'!M89))"),"")</f>
        <v/>
      </c>
      <c r="N89" s="7">
        <f t="shared" si="1"/>
        <v>2023</v>
      </c>
      <c r="O89" s="7" t="str">
        <f t="shared" si="2"/>
        <v>marzo</v>
      </c>
      <c r="P89" s="7" t="s">
        <v>4382</v>
      </c>
    </row>
    <row r="90">
      <c r="A90" s="19">
        <f>'Respuestas de formulario 1'!A90</f>
        <v>44999.48172</v>
      </c>
      <c r="B90" s="7" t="str">
        <f>'Respuestas de formulario 1'!B90</f>
        <v>Charif</v>
      </c>
      <c r="C90" s="7" t="str">
        <f>'Respuestas de formulario 1'!C90</f>
        <v>Asdrubal </v>
      </c>
      <c r="D90" s="7" t="str">
        <f>'Respuestas de formulario 1'!D90</f>
        <v>Ivoncharif556@gmail.com </v>
      </c>
      <c r="E90" s="20">
        <f>'Respuestas de formulario 1'!E90</f>
        <v>26823</v>
      </c>
      <c r="F90" s="7">
        <f>'Respuestas de formulario 1'!F90</f>
        <v>23458302</v>
      </c>
      <c r="G90" s="7" t="str">
        <f>IFERROR(__xludf.DUMMYFUNCTION("IF('Respuestas de formulario 1'!G90="""","""",IF(LEFT(REGEXREPLACE(TO_TEXT('Respuestas de formulario 1'!G90),""[^0-9]"",""""),2)=""54"",""+""&amp;REGEXREPLACE(TO_TEXT('Respuestas de formulario 1'!G90),""[^0-9]"",""""),""+54""&amp;REGEXREPLACE(TO_TEXT('Respuestas "&amp;"de formulario 1'!G90),""[^0-9]"","""")))"),"+543513537495")</f>
        <v>+543513537495</v>
      </c>
      <c r="H90" s="7">
        <f>'Respuestas de formulario 1'!S90</f>
        <v>2023</v>
      </c>
      <c r="I90" s="7" t="str">
        <f>IFERROR(__xludf.DUMMYFUNCTION("IF('Respuestas de formulario 1'!I90="""","""",TO_TEXT('Respuestas de formulario 1'!I90))"),"Particular")</f>
        <v>Particular</v>
      </c>
      <c r="J90" s="7" t="str">
        <f>IFERROR(__xludf.DUMMYFUNCTION("IF('Respuestas de formulario 1'!J90&lt;&gt;"""",UPPER(TRIM(TO_TEXT('Respuestas de formulario 1'!J90))),IF('Respuestas de formulario 1'!O90&lt;&gt;"""",UPPER(TRIM(TO_TEXT('Respuestas de formulario 1'!O90))),""""))"),"")</f>
        <v/>
      </c>
      <c r="K90" s="7" t="str">
        <f>IFERROR(__xludf.DUMMYFUNCTION("IF('Respuestas de formulario 1'!K90="""","""",TO_TEXT('Respuestas de formulario 1'!K90))"),"")</f>
        <v/>
      </c>
      <c r="L90" s="7" t="str">
        <f>IFERROR(__xludf.DUMMYFUNCTION("IF('Respuestas de formulario 1'!L90="""","""",TO_TEXT('Respuestas de formulario 1'!L90))"),"")</f>
        <v/>
      </c>
      <c r="M90" s="7" t="str">
        <f>IFERROR(__xludf.DUMMYFUNCTION("IF('Respuestas de formulario 1'!M90="""","""",TO_TEXT('Respuestas de formulario 1'!M90))"),"")</f>
        <v/>
      </c>
      <c r="N90" s="7">
        <f t="shared" si="1"/>
        <v>2023</v>
      </c>
      <c r="O90" s="7" t="str">
        <f t="shared" si="2"/>
        <v>marzo</v>
      </c>
      <c r="P90" s="7" t="s">
        <v>4384</v>
      </c>
    </row>
    <row r="91">
      <c r="A91" s="19">
        <f>'Respuestas de formulario 1'!A91</f>
        <v>45005.43751</v>
      </c>
      <c r="B91" s="7" t="str">
        <f>'Respuestas de formulario 1'!B91</f>
        <v>Oña</v>
      </c>
      <c r="C91" s="7" t="str">
        <f>'Respuestas de formulario 1'!C91</f>
        <v>Ignacio</v>
      </c>
      <c r="D91" s="7" t="str">
        <f>'Respuestas de formulario 1'!D91</f>
        <v>ignaona@gmail.com</v>
      </c>
      <c r="E91" s="20">
        <f>'Respuestas de formulario 1'!E91</f>
        <v>31219</v>
      </c>
      <c r="F91" s="7">
        <f>'Respuestas de formulario 1'!F91</f>
        <v>31669854</v>
      </c>
      <c r="G91" s="7" t="str">
        <f>IFERROR(__xludf.DUMMYFUNCTION("IF('Respuestas de formulario 1'!G91="""","""",IF(LEFT(REGEXREPLACE(TO_TEXT('Respuestas de formulario 1'!G91),""[^0-9]"",""""),2)=""54"",""+""&amp;REGEXREPLACE(TO_TEXT('Respuestas de formulario 1'!G91),""[^0-9]"",""""),""+54""&amp;REGEXREPLACE(TO_TEXT('Respuestas "&amp;"de formulario 1'!G91),""[^0-9]"","""")))"),"+543513746660")</f>
        <v>+543513746660</v>
      </c>
      <c r="H91" s="7">
        <f>'Respuestas de formulario 1'!S91</f>
        <v>2023</v>
      </c>
      <c r="I91" s="7" t="str">
        <f>IFERROR(__xludf.DUMMYFUNCTION("IF('Respuestas de formulario 1'!I91="""","""",TO_TEXT('Respuestas de formulario 1'!I91))"),"Obra social")</f>
        <v>Obra social</v>
      </c>
      <c r="J91" s="7" t="str">
        <f>IFERROR(__xludf.DUMMYFUNCTION("IF('Respuestas de formulario 1'!J91&lt;&gt;"""",UPPER(TRIM(TO_TEXT('Respuestas de formulario 1'!J91))),IF('Respuestas de formulario 1'!O91&lt;&gt;"""",UPPER(TRIM(TO_TEXT('Respuestas de formulario 1'!O91))),""""))"),"PREVENCIÓN")</f>
        <v>PREVENCIÓN</v>
      </c>
      <c r="K91" s="7" t="str">
        <f>IFERROR(__xludf.DUMMYFUNCTION("IF('Respuestas de formulario 1'!K91="""","""",TO_TEXT('Respuestas de formulario 1'!K91))"),"")</f>
        <v/>
      </c>
      <c r="L91" s="7" t="str">
        <f>IFERROR(__xludf.DUMMYFUNCTION("IF('Respuestas de formulario 1'!L91="""","""",TO_TEXT('Respuestas de formulario 1'!L91))"),"")</f>
        <v/>
      </c>
      <c r="M91" s="7" t="str">
        <f>IFERROR(__xludf.DUMMYFUNCTION("IF('Respuestas de formulario 1'!M91="""","""",TO_TEXT('Respuestas de formulario 1'!M91))"),"")</f>
        <v/>
      </c>
      <c r="N91" s="7">
        <f t="shared" si="1"/>
        <v>2023</v>
      </c>
      <c r="O91" s="7" t="str">
        <f t="shared" si="2"/>
        <v>marzo</v>
      </c>
      <c r="P91" s="7" t="s">
        <v>4386</v>
      </c>
    </row>
    <row r="92">
      <c r="A92" s="19">
        <f>'Respuestas de formulario 1'!A92</f>
        <v>45005.45457</v>
      </c>
      <c r="B92" s="7" t="str">
        <f>'Respuestas de formulario 1'!B92</f>
        <v>Depaul</v>
      </c>
      <c r="C92" s="7" t="str">
        <f>'Respuestas de formulario 1'!C92</f>
        <v>Emilia</v>
      </c>
      <c r="D92" s="7" t="str">
        <f>'Respuestas de formulario 1'!D92</f>
        <v>emiliadepaul.mkt@gmail.com</v>
      </c>
      <c r="E92" s="20">
        <f>'Respuestas de formulario 1'!E92</f>
        <v>36598</v>
      </c>
      <c r="F92" s="7">
        <f>'Respuestas de formulario 1'!F92</f>
        <v>42383051</v>
      </c>
      <c r="G92" s="7" t="str">
        <f>IFERROR(__xludf.DUMMYFUNCTION("IF('Respuestas de formulario 1'!G92="""","""",IF(LEFT(REGEXREPLACE(TO_TEXT('Respuestas de formulario 1'!G92),""[^0-9]"",""""),2)=""54"",""+""&amp;REGEXREPLACE(TO_TEXT('Respuestas de formulario 1'!G92),""[^0-9]"",""""),""+54""&amp;REGEXREPLACE(TO_TEXT('Respuestas "&amp;"de formulario 1'!G92),""[^0-9]"","""")))"),"+543517680758")</f>
        <v>+543517680758</v>
      </c>
      <c r="H92" s="7">
        <f>'Respuestas de formulario 1'!S92</f>
        <v>2023</v>
      </c>
      <c r="I92" s="7" t="str">
        <f>IFERROR(__xludf.DUMMYFUNCTION("IF('Respuestas de formulario 1'!I92="""","""",TO_TEXT('Respuestas de formulario 1'!I92))"),"Obra social")</f>
        <v>Obra social</v>
      </c>
      <c r="J92" s="7" t="str">
        <f>IFERROR(__xludf.DUMMYFUNCTION("IF('Respuestas de formulario 1'!J92&lt;&gt;"""",UPPER(TRIM(TO_TEXT('Respuestas de formulario 1'!J92))),IF('Respuestas de formulario 1'!O92&lt;&gt;"""",UPPER(TRIM(TO_TEXT('Respuestas de formulario 1'!O92))),""""))"),"PREVENCIÓN")</f>
        <v>PREVENCIÓN</v>
      </c>
      <c r="K92" s="7" t="str">
        <f>IFERROR(__xludf.DUMMYFUNCTION("IF('Respuestas de formulario 1'!K92="""","""",TO_TEXT('Respuestas de formulario 1'!K92))"),"")</f>
        <v/>
      </c>
      <c r="L92" s="7" t="str">
        <f>IFERROR(__xludf.DUMMYFUNCTION("IF('Respuestas de formulario 1'!L92="""","""",TO_TEXT('Respuestas de formulario 1'!L92))"),"")</f>
        <v/>
      </c>
      <c r="M92" s="7" t="str">
        <f>IFERROR(__xludf.DUMMYFUNCTION("IF('Respuestas de formulario 1'!M92="""","""",TO_TEXT('Respuestas de formulario 1'!M92))"),"")</f>
        <v/>
      </c>
      <c r="N92" s="7">
        <f t="shared" si="1"/>
        <v>2023</v>
      </c>
      <c r="O92" s="7" t="str">
        <f t="shared" si="2"/>
        <v>marzo</v>
      </c>
      <c r="P92" s="7" t="s">
        <v>4388</v>
      </c>
    </row>
    <row r="93">
      <c r="A93" s="19">
        <f>'Respuestas de formulario 1'!A93</f>
        <v>45005.54801</v>
      </c>
      <c r="B93" s="7" t="str">
        <f>'Respuestas de formulario 1'!B93</f>
        <v>Menacho </v>
      </c>
      <c r="C93" s="7" t="str">
        <f>'Respuestas de formulario 1'!C93</f>
        <v>Silvia </v>
      </c>
      <c r="D93" s="7" t="str">
        <f>'Respuestas de formulario 1'!D93</f>
        <v>silviambaigorri@gmail.com</v>
      </c>
      <c r="E93" s="20">
        <f>'Respuestas de formulario 1'!E93</f>
        <v>24935</v>
      </c>
      <c r="F93" s="7">
        <f>'Respuestas de formulario 1'!F93</f>
        <v>20346063</v>
      </c>
      <c r="G93" s="7" t="str">
        <f>IFERROR(__xludf.DUMMYFUNCTION("IF('Respuestas de formulario 1'!G93="""","""",IF(LEFT(REGEXREPLACE(TO_TEXT('Respuestas de formulario 1'!G93),""[^0-9]"",""""),2)=""54"",""+""&amp;REGEXREPLACE(TO_TEXT('Respuestas de formulario 1'!G93),""[^0-9]"",""""),""+54""&amp;REGEXREPLACE(TO_TEXT('Respuestas "&amp;"de formulario 1'!G93),""[^0-9]"","""")))"),"+543513854962")</f>
        <v>+543513854962</v>
      </c>
      <c r="H93" s="7">
        <f>'Respuestas de formulario 1'!S93</f>
        <v>2023</v>
      </c>
      <c r="I93" s="7" t="str">
        <f>IFERROR(__xludf.DUMMYFUNCTION("IF('Respuestas de formulario 1'!I93="""","""",TO_TEXT('Respuestas de formulario 1'!I93))"),"Particular")</f>
        <v>Particular</v>
      </c>
      <c r="J93" s="7" t="str">
        <f>IFERROR(__xludf.DUMMYFUNCTION("IF('Respuestas de formulario 1'!J93&lt;&gt;"""",UPPER(TRIM(TO_TEXT('Respuestas de formulario 1'!J93))),IF('Respuestas de formulario 1'!O93&lt;&gt;"""",UPPER(TRIM(TO_TEXT('Respuestas de formulario 1'!O93))),""""))"),"")</f>
        <v/>
      </c>
      <c r="K93" s="7" t="str">
        <f>IFERROR(__xludf.DUMMYFUNCTION("IF('Respuestas de formulario 1'!K93="""","""",TO_TEXT('Respuestas de formulario 1'!K93))"),"")</f>
        <v/>
      </c>
      <c r="L93" s="7" t="str">
        <f>IFERROR(__xludf.DUMMYFUNCTION("IF('Respuestas de formulario 1'!L93="""","""",TO_TEXT('Respuestas de formulario 1'!L93))"),"")</f>
        <v/>
      </c>
      <c r="M93" s="7" t="str">
        <f>IFERROR(__xludf.DUMMYFUNCTION("IF('Respuestas de formulario 1'!M93="""","""",TO_TEXT('Respuestas de formulario 1'!M93))"),"")</f>
        <v/>
      </c>
      <c r="N93" s="7">
        <f t="shared" si="1"/>
        <v>2023</v>
      </c>
      <c r="O93" s="7" t="str">
        <f t="shared" si="2"/>
        <v>marzo</v>
      </c>
      <c r="P93" s="7" t="s">
        <v>4390</v>
      </c>
    </row>
    <row r="94">
      <c r="A94" s="19">
        <f>'Respuestas de formulario 1'!A94</f>
        <v>45005.79445</v>
      </c>
      <c r="B94" s="7" t="str">
        <f>'Respuestas de formulario 1'!B94</f>
        <v>Fernandez Lopez</v>
      </c>
      <c r="C94" s="7" t="str">
        <f>'Respuestas de formulario 1'!C94</f>
        <v>Jeronimo</v>
      </c>
      <c r="D94" s="7" t="str">
        <f>'Respuestas de formulario 1'!D94</f>
        <v>jerofernandezlopez@gmail.com</v>
      </c>
      <c r="E94" s="20">
        <f>'Respuestas de formulario 1'!E94</f>
        <v>39119</v>
      </c>
      <c r="F94" s="7">
        <f>'Respuestas de formulario 1'!F94</f>
        <v>47662640</v>
      </c>
      <c r="G94" s="7" t="str">
        <f>IFERROR(__xludf.DUMMYFUNCTION("IF('Respuestas de formulario 1'!G94="""","""",IF(LEFT(REGEXREPLACE(TO_TEXT('Respuestas de formulario 1'!G94),""[^0-9]"",""""),2)=""54"",""+""&amp;REGEXREPLACE(TO_TEXT('Respuestas de formulario 1'!G94),""[^0-9]"",""""),""+54""&amp;REGEXREPLACE(TO_TEXT('Respuestas "&amp;"de formulario 1'!G94),""[^0-9]"","""")))"),"+543518069982")</f>
        <v>+543518069982</v>
      </c>
      <c r="H94" s="7">
        <f>'Respuestas de formulario 1'!S94</f>
        <v>2023</v>
      </c>
      <c r="I94" s="7" t="str">
        <f>IFERROR(__xludf.DUMMYFUNCTION("IF('Respuestas de formulario 1'!I94="""","""",TO_TEXT('Respuestas de formulario 1'!I94))"),"Particular")</f>
        <v>Particular</v>
      </c>
      <c r="J94" s="7" t="str">
        <f>IFERROR(__xludf.DUMMYFUNCTION("IF('Respuestas de formulario 1'!J94&lt;&gt;"""",UPPER(TRIM(TO_TEXT('Respuestas de formulario 1'!J94))),IF('Respuestas de formulario 1'!O94&lt;&gt;"""",UPPER(TRIM(TO_TEXT('Respuestas de formulario 1'!O94))),""""))"),"")</f>
        <v/>
      </c>
      <c r="K94" s="7" t="str">
        <f>IFERROR(__xludf.DUMMYFUNCTION("IF('Respuestas de formulario 1'!K94="""","""",TO_TEXT('Respuestas de formulario 1'!K94))"),"")</f>
        <v/>
      </c>
      <c r="L94" s="7" t="str">
        <f>IFERROR(__xludf.DUMMYFUNCTION("IF('Respuestas de formulario 1'!L94="""","""",TO_TEXT('Respuestas de formulario 1'!L94))"),"")</f>
        <v/>
      </c>
      <c r="M94" s="7" t="str">
        <f>IFERROR(__xludf.DUMMYFUNCTION("IF('Respuestas de formulario 1'!M94="""","""",TO_TEXT('Respuestas de formulario 1'!M94))"),"")</f>
        <v/>
      </c>
      <c r="N94" s="7">
        <f t="shared" si="1"/>
        <v>2023</v>
      </c>
      <c r="O94" s="7" t="str">
        <f t="shared" si="2"/>
        <v>marzo</v>
      </c>
      <c r="P94" s="7" t="s">
        <v>4392</v>
      </c>
    </row>
    <row r="95">
      <c r="A95" s="19">
        <f>'Respuestas de formulario 1'!A95</f>
        <v>45006.65513</v>
      </c>
      <c r="B95" s="7" t="str">
        <f>'Respuestas de formulario 1'!B95</f>
        <v>Sosa</v>
      </c>
      <c r="C95" s="7" t="str">
        <f>'Respuestas de formulario 1'!C95</f>
        <v>Carlos Alberto </v>
      </c>
      <c r="D95" s="7" t="str">
        <f>'Respuestas de formulario 1'!D95</f>
        <v>caro-elstein@hotmail.com</v>
      </c>
      <c r="E95" s="20">
        <f>'Respuestas de formulario 1'!E95</f>
        <v>25511</v>
      </c>
      <c r="F95" s="7">
        <f>'Respuestas de formulario 1'!F95</f>
        <v>21013856</v>
      </c>
      <c r="G95" s="7" t="str">
        <f>IFERROR(__xludf.DUMMYFUNCTION("IF('Respuestas de formulario 1'!G95="""","""",IF(LEFT(REGEXREPLACE(TO_TEXT('Respuestas de formulario 1'!G95),""[^0-9]"",""""),2)=""54"",""+""&amp;REGEXREPLACE(TO_TEXT('Respuestas de formulario 1'!G95),""[^0-9]"",""""),""+54""&amp;REGEXREPLACE(TO_TEXT('Respuestas "&amp;"de formulario 1'!G95),""[^0-9]"","""")))"),"+543513242191")</f>
        <v>+543513242191</v>
      </c>
      <c r="H95" s="7">
        <f>'Respuestas de formulario 1'!S95</f>
        <v>2023</v>
      </c>
      <c r="I95" s="7" t="str">
        <f>IFERROR(__xludf.DUMMYFUNCTION("IF('Respuestas de formulario 1'!I95="""","""",TO_TEXT('Respuestas de formulario 1'!I95))"),"Obra social")</f>
        <v>Obra social</v>
      </c>
      <c r="J95" s="7" t="str">
        <f>IFERROR(__xludf.DUMMYFUNCTION("IF('Respuestas de formulario 1'!J95&lt;&gt;"""",UPPER(TRIM(TO_TEXT('Respuestas de formulario 1'!J95))),IF('Respuestas de formulario 1'!O95&lt;&gt;"""",UPPER(TRIM(TO_TEXT('Respuestas de formulario 1'!O95))),""""))"),"OSITAC")</f>
        <v>OSITAC</v>
      </c>
      <c r="K95" s="7" t="str">
        <f>IFERROR(__xludf.DUMMYFUNCTION("IF('Respuestas de formulario 1'!K95="""","""",TO_TEXT('Respuestas de formulario 1'!K95))"),"")</f>
        <v/>
      </c>
      <c r="L95" s="7" t="str">
        <f>IFERROR(__xludf.DUMMYFUNCTION("IF('Respuestas de formulario 1'!L95="""","""",TO_TEXT('Respuestas de formulario 1'!L95))"),"")</f>
        <v/>
      </c>
      <c r="M95" s="7" t="str">
        <f>IFERROR(__xludf.DUMMYFUNCTION("IF('Respuestas de formulario 1'!M95="""","""",TO_TEXT('Respuestas de formulario 1'!M95))"),"")</f>
        <v/>
      </c>
      <c r="N95" s="7">
        <f t="shared" si="1"/>
        <v>2023</v>
      </c>
      <c r="O95" s="7" t="str">
        <f t="shared" si="2"/>
        <v>marzo</v>
      </c>
      <c r="P95" s="7" t="s">
        <v>4394</v>
      </c>
    </row>
    <row r="96">
      <c r="A96" s="19">
        <f>'Respuestas de formulario 1'!A96</f>
        <v>45007.5184</v>
      </c>
      <c r="B96" s="7" t="str">
        <f>'Respuestas de formulario 1'!B96</f>
        <v>Romano</v>
      </c>
      <c r="C96" s="7" t="str">
        <f>'Respuestas de formulario 1'!C96</f>
        <v>Camilo Francisco</v>
      </c>
      <c r="D96" s="7" t="str">
        <f>'Respuestas de formulario 1'!D96</f>
        <v>camilofranciscoromano@gmail.com</v>
      </c>
      <c r="E96" s="20">
        <f>'Respuestas de formulario 1'!E96</f>
        <v>38540</v>
      </c>
      <c r="F96" s="7">
        <f>'Respuestas de formulario 1'!F96</f>
        <v>46283518</v>
      </c>
      <c r="G96" s="7" t="str">
        <f>IFERROR(__xludf.DUMMYFUNCTION("IF('Respuestas de formulario 1'!G96="""","""",IF(LEFT(REGEXREPLACE(TO_TEXT('Respuestas de formulario 1'!G96),""[^0-9]"",""""),2)=""54"",""+""&amp;REGEXREPLACE(TO_TEXT('Respuestas de formulario 1'!G96),""[^0-9]"",""""),""+54""&amp;REGEXREPLACE(TO_TEXT('Respuestas "&amp;"de formulario 1'!G96),""[^0-9]"","""")))"),"+543512486914")</f>
        <v>+543512486914</v>
      </c>
      <c r="H96" s="7">
        <f>'Respuestas de formulario 1'!S96</f>
        <v>2023</v>
      </c>
      <c r="I96" s="7" t="str">
        <f>IFERROR(__xludf.DUMMYFUNCTION("IF('Respuestas de formulario 1'!I96="""","""",TO_TEXT('Respuestas de formulario 1'!I96))"),"Obra social")</f>
        <v>Obra social</v>
      </c>
      <c r="J96" s="7" t="str">
        <f>IFERROR(__xludf.DUMMYFUNCTION("IF('Respuestas de formulario 1'!J96&lt;&gt;"""",UPPER(TRIM(TO_TEXT('Respuestas de formulario 1'!J96))),IF('Respuestas de formulario 1'!O96&lt;&gt;"""",UPPER(TRIM(TO_TEXT('Respuestas de formulario 1'!O96))),""""))"),"MEDIFE")</f>
        <v>MEDIFE</v>
      </c>
      <c r="K96" s="7" t="str">
        <f>IFERROR(__xludf.DUMMYFUNCTION("IF('Respuestas de formulario 1'!K96="""","""",TO_TEXT('Respuestas de formulario 1'!K96))"),"")</f>
        <v/>
      </c>
      <c r="L96" s="7" t="str">
        <f>IFERROR(__xludf.DUMMYFUNCTION("IF('Respuestas de formulario 1'!L96="""","""",TO_TEXT('Respuestas de formulario 1'!L96))"),"")</f>
        <v/>
      </c>
      <c r="M96" s="7" t="str">
        <f>IFERROR(__xludf.DUMMYFUNCTION("IF('Respuestas de formulario 1'!M96="""","""",TO_TEXT('Respuestas de formulario 1'!M96))"),"")</f>
        <v/>
      </c>
      <c r="N96" s="7">
        <f t="shared" si="1"/>
        <v>2023</v>
      </c>
      <c r="O96" s="7" t="str">
        <f t="shared" si="2"/>
        <v>marzo</v>
      </c>
      <c r="P96" s="7" t="s">
        <v>4396</v>
      </c>
    </row>
    <row r="97">
      <c r="A97" s="19">
        <f>'Respuestas de formulario 1'!A97</f>
        <v>45012.67115</v>
      </c>
      <c r="B97" s="7" t="str">
        <f>'Respuestas de formulario 1'!B97</f>
        <v>España luppo</v>
      </c>
      <c r="C97" s="7" t="str">
        <f>'Respuestas de formulario 1'!C97</f>
        <v>Emilia</v>
      </c>
      <c r="D97" s="7" t="str">
        <f>'Respuestas de formulario 1'!D97</f>
        <v>Emilia040905@gmail.com </v>
      </c>
      <c r="E97" s="20">
        <f>'Respuestas de formulario 1'!E97</f>
        <v>38599</v>
      </c>
      <c r="F97" s="7">
        <f>'Respuestas de formulario 1'!F97</f>
        <v>46505684</v>
      </c>
      <c r="G97" s="7" t="str">
        <f>IFERROR(__xludf.DUMMYFUNCTION("IF('Respuestas de formulario 1'!G97="""","""",IF(LEFT(REGEXREPLACE(TO_TEXT('Respuestas de formulario 1'!G97),""[^0-9]"",""""),2)=""54"",""+""&amp;REGEXREPLACE(TO_TEXT('Respuestas de formulario 1'!G97),""[^0-9]"",""""),""+54""&amp;REGEXREPLACE(TO_TEXT('Respuestas "&amp;"de formulario 1'!G97),""[^0-9]"","""")))"),"+543516166272")</f>
        <v>+543516166272</v>
      </c>
      <c r="H97" s="7">
        <f>'Respuestas de formulario 1'!S97</f>
        <v>2023</v>
      </c>
      <c r="I97" s="7" t="str">
        <f>IFERROR(__xludf.DUMMYFUNCTION("IF('Respuestas de formulario 1'!I97="""","""",TO_TEXT('Respuestas de formulario 1'!I97))"),"Particular")</f>
        <v>Particular</v>
      </c>
      <c r="J97" s="7" t="str">
        <f>IFERROR(__xludf.DUMMYFUNCTION("IF('Respuestas de formulario 1'!J97&lt;&gt;"""",UPPER(TRIM(TO_TEXT('Respuestas de formulario 1'!J97))),IF('Respuestas de formulario 1'!O97&lt;&gt;"""",UPPER(TRIM(TO_TEXT('Respuestas de formulario 1'!O97))),""""))"),"")</f>
        <v/>
      </c>
      <c r="K97" s="7" t="str">
        <f>IFERROR(__xludf.DUMMYFUNCTION("IF('Respuestas de formulario 1'!K97="""","""",TO_TEXT('Respuestas de formulario 1'!K97))"),"")</f>
        <v/>
      </c>
      <c r="L97" s="7" t="str">
        <f>IFERROR(__xludf.DUMMYFUNCTION("IF('Respuestas de formulario 1'!L97="""","""",TO_TEXT('Respuestas de formulario 1'!L97))"),"")</f>
        <v/>
      </c>
      <c r="M97" s="7" t="str">
        <f>IFERROR(__xludf.DUMMYFUNCTION("IF('Respuestas de formulario 1'!M97="""","""",TO_TEXT('Respuestas de formulario 1'!M97))"),"")</f>
        <v/>
      </c>
      <c r="N97" s="7">
        <f t="shared" si="1"/>
        <v>2023</v>
      </c>
      <c r="O97" s="7" t="str">
        <f t="shared" si="2"/>
        <v>marzo</v>
      </c>
      <c r="P97" s="7" t="s">
        <v>4398</v>
      </c>
    </row>
    <row r="98">
      <c r="A98" s="19">
        <f>'Respuestas de formulario 1'!A98</f>
        <v>45012.67588</v>
      </c>
      <c r="B98" s="7" t="str">
        <f>'Respuestas de formulario 1'!B98</f>
        <v>Caminoa</v>
      </c>
      <c r="C98" s="7" t="str">
        <f>'Respuestas de formulario 1'!C98</f>
        <v>Abril </v>
      </c>
      <c r="D98" s="7" t="str">
        <f>'Respuestas de formulario 1'!D98</f>
        <v>Abril.caminoa16@gmail.com</v>
      </c>
      <c r="E98" s="20">
        <f>'Respuestas de formulario 1'!E98</f>
        <v>36516</v>
      </c>
      <c r="F98" s="7">
        <f>'Respuestas de formulario 1'!F98</f>
        <v>42208997</v>
      </c>
      <c r="G98" s="7" t="str">
        <f>IFERROR(__xludf.DUMMYFUNCTION("IF('Respuestas de formulario 1'!G98="""","""",IF(LEFT(REGEXREPLACE(TO_TEXT('Respuestas de formulario 1'!G98),""[^0-9]"",""""),2)=""54"",""+""&amp;REGEXREPLACE(TO_TEXT('Respuestas de formulario 1'!G98),""[^0-9]"",""""),""+54""&amp;REGEXREPLACE(TO_TEXT('Respuestas "&amp;"de formulario 1'!G98),""[^0-9]"","""")))"),"+542235414440")</f>
        <v>+542235414440</v>
      </c>
      <c r="H98" s="7">
        <f>'Respuestas de formulario 1'!S98</f>
        <v>2023</v>
      </c>
      <c r="I98" s="7" t="str">
        <f>IFERROR(__xludf.DUMMYFUNCTION("IF('Respuestas de formulario 1'!I98="""","""",TO_TEXT('Respuestas de formulario 1'!I98))"),"Particular")</f>
        <v>Particular</v>
      </c>
      <c r="J98" s="7" t="str">
        <f>IFERROR(__xludf.DUMMYFUNCTION("IF('Respuestas de formulario 1'!J98&lt;&gt;"""",UPPER(TRIM(TO_TEXT('Respuestas de formulario 1'!J98))),IF('Respuestas de formulario 1'!O98&lt;&gt;"""",UPPER(TRIM(TO_TEXT('Respuestas de formulario 1'!O98))),""""))"),"")</f>
        <v/>
      </c>
      <c r="K98" s="7" t="str">
        <f>IFERROR(__xludf.DUMMYFUNCTION("IF('Respuestas de formulario 1'!K98="""","""",TO_TEXT('Respuestas de formulario 1'!K98))"),"")</f>
        <v/>
      </c>
      <c r="L98" s="7" t="str">
        <f>IFERROR(__xludf.DUMMYFUNCTION("IF('Respuestas de formulario 1'!L98="""","""",TO_TEXT('Respuestas de formulario 1'!L98))"),"")</f>
        <v/>
      </c>
      <c r="M98" s="7" t="str">
        <f>IFERROR(__xludf.DUMMYFUNCTION("IF('Respuestas de formulario 1'!M98="""","""",TO_TEXT('Respuestas de formulario 1'!M98))"),"")</f>
        <v/>
      </c>
      <c r="N98" s="7">
        <f t="shared" si="1"/>
        <v>2023</v>
      </c>
      <c r="O98" s="7" t="str">
        <f t="shared" si="2"/>
        <v>marzo</v>
      </c>
      <c r="P98" s="7" t="s">
        <v>4400</v>
      </c>
    </row>
    <row r="99">
      <c r="A99" s="19">
        <f>'Respuestas de formulario 1'!A99</f>
        <v>45012.80352</v>
      </c>
      <c r="B99" s="7" t="str">
        <f>'Respuestas de formulario 1'!B99</f>
        <v>Prieto Marconi</v>
      </c>
      <c r="C99" s="7" t="str">
        <f>'Respuestas de formulario 1'!C99</f>
        <v>Sofia</v>
      </c>
      <c r="D99" s="7" t="str">
        <f>'Respuestas de formulario 1'!D99</f>
        <v>sofiprieto070215@gmail.com</v>
      </c>
      <c r="E99" s="20">
        <f>'Respuestas de formulario 1'!E99</f>
        <v>37294</v>
      </c>
      <c r="F99" s="7">
        <f>'Respuestas de formulario 1'!F99</f>
        <v>43879802</v>
      </c>
      <c r="G99" s="7" t="str">
        <f>IFERROR(__xludf.DUMMYFUNCTION("IF('Respuestas de formulario 1'!G99="""","""",IF(LEFT(REGEXREPLACE(TO_TEXT('Respuestas de formulario 1'!G99),""[^0-9]"",""""),2)=""54"",""+""&amp;REGEXREPLACE(TO_TEXT('Respuestas de formulario 1'!G99),""[^0-9]"",""""),""+54""&amp;REGEXREPLACE(TO_TEXT('Respuestas "&amp;"de formulario 1'!G99),""[^0-9]"","""")))"),"+543515485039")</f>
        <v>+543515485039</v>
      </c>
      <c r="H99" s="7">
        <f>'Respuestas de formulario 1'!S99</f>
        <v>2023</v>
      </c>
      <c r="I99" s="7" t="str">
        <f>IFERROR(__xludf.DUMMYFUNCTION("IF('Respuestas de formulario 1'!I99="""","""",TO_TEXT('Respuestas de formulario 1'!I99))"),"Particular")</f>
        <v>Particular</v>
      </c>
      <c r="J99" s="7" t="str">
        <f>IFERROR(__xludf.DUMMYFUNCTION("IF('Respuestas de formulario 1'!J99&lt;&gt;"""",UPPER(TRIM(TO_TEXT('Respuestas de formulario 1'!J99))),IF('Respuestas de formulario 1'!O99&lt;&gt;"""",UPPER(TRIM(TO_TEXT('Respuestas de formulario 1'!O99))),""""))"),"")</f>
        <v/>
      </c>
      <c r="K99" s="7" t="str">
        <f>IFERROR(__xludf.DUMMYFUNCTION("IF('Respuestas de formulario 1'!K99="""","""",TO_TEXT('Respuestas de formulario 1'!K99))"),"")</f>
        <v/>
      </c>
      <c r="L99" s="7" t="str">
        <f>IFERROR(__xludf.DUMMYFUNCTION("IF('Respuestas de formulario 1'!L99="""","""",TO_TEXT('Respuestas de formulario 1'!L99))"),"")</f>
        <v/>
      </c>
      <c r="M99" s="7" t="str">
        <f>IFERROR(__xludf.DUMMYFUNCTION("IF('Respuestas de formulario 1'!M99="""","""",TO_TEXT('Respuestas de formulario 1'!M99))"),"")</f>
        <v/>
      </c>
      <c r="N99" s="7">
        <f t="shared" si="1"/>
        <v>2023</v>
      </c>
      <c r="O99" s="7" t="str">
        <f t="shared" si="2"/>
        <v>marzo</v>
      </c>
      <c r="P99" s="7" t="s">
        <v>4402</v>
      </c>
    </row>
    <row r="100">
      <c r="A100" s="19">
        <f>'Respuestas de formulario 1'!A100</f>
        <v>45013.83646</v>
      </c>
      <c r="B100" s="7" t="str">
        <f>'Respuestas de formulario 1'!B100</f>
        <v>Abaca</v>
      </c>
      <c r="C100" s="7" t="str">
        <f>'Respuestas de formulario 1'!C100</f>
        <v>Lucas Hernan</v>
      </c>
      <c r="D100" s="7" t="str">
        <f>'Respuestas de formulario 1'!D100</f>
        <v>lucasabaca@hotmail.como</v>
      </c>
      <c r="E100" s="20">
        <f>'Respuestas de formulario 1'!E100</f>
        <v>29889</v>
      </c>
      <c r="F100" s="7">
        <f>'Respuestas de formulario 1'!F100</f>
        <v>29136743</v>
      </c>
      <c r="G100" s="7" t="str">
        <f>IFERROR(__xludf.DUMMYFUNCTION("IF('Respuestas de formulario 1'!G100="""","""",IF(LEFT(REGEXREPLACE(TO_TEXT('Respuestas de formulario 1'!G100),""[^0-9]"",""""),2)=""54"",""+""&amp;REGEXREPLACE(TO_TEXT('Respuestas de formulario 1'!G100),""[^0-9]"",""""),""+54""&amp;REGEXREPLACE(TO_TEXT('Respuest"&amp;"as de formulario 1'!G100),""[^0-9]"","""")))"),"+543517582118")</f>
        <v>+543517582118</v>
      </c>
      <c r="H100" s="7">
        <f>'Respuestas de formulario 1'!S100</f>
        <v>2023</v>
      </c>
      <c r="I100" s="7" t="str">
        <f>IFERROR(__xludf.DUMMYFUNCTION("IF('Respuestas de formulario 1'!I100="""","""",TO_TEXT('Respuestas de formulario 1'!I100))"),"Obra social")</f>
        <v>Obra social</v>
      </c>
      <c r="J100" s="7" t="str">
        <f>IFERROR(__xludf.DUMMYFUNCTION("IF('Respuestas de formulario 1'!J100&lt;&gt;"""",UPPER(TRIM(TO_TEXT('Respuestas de formulario 1'!J100))),IF('Respuestas de formulario 1'!O100&lt;&gt;"""",UPPER(TRIM(TO_TEXT('Respuestas de formulario 1'!O100))),""""))"),"AVALIAN")</f>
        <v>AVALIAN</v>
      </c>
      <c r="K100" s="7" t="str">
        <f>IFERROR(__xludf.DUMMYFUNCTION("IF('Respuestas de formulario 1'!K100="""","""",TO_TEXT('Respuestas de formulario 1'!K100))"),"")</f>
        <v/>
      </c>
      <c r="L100" s="7" t="str">
        <f>IFERROR(__xludf.DUMMYFUNCTION("IF('Respuestas de formulario 1'!L100="""","""",TO_TEXT('Respuestas de formulario 1'!L100))"),"")</f>
        <v/>
      </c>
      <c r="M100" s="7" t="str">
        <f>IFERROR(__xludf.DUMMYFUNCTION("IF('Respuestas de formulario 1'!M100="""","""",TO_TEXT('Respuestas de formulario 1'!M100))"),"")</f>
        <v/>
      </c>
      <c r="N100" s="7">
        <f t="shared" si="1"/>
        <v>2023</v>
      </c>
      <c r="O100" s="7" t="str">
        <f t="shared" si="2"/>
        <v>marzo</v>
      </c>
      <c r="P100" s="7" t="s">
        <v>4404</v>
      </c>
    </row>
    <row r="101">
      <c r="A101" s="19">
        <f>'Respuestas de formulario 1'!A101</f>
        <v>45013.84624</v>
      </c>
      <c r="B101" s="7" t="str">
        <f>'Respuestas de formulario 1'!B101</f>
        <v>Lake</v>
      </c>
      <c r="C101" s="7" t="str">
        <f>'Respuestas de formulario 1'!C101</f>
        <v>Matías Eduardo </v>
      </c>
      <c r="D101" s="7" t="str">
        <f>'Respuestas de formulario 1'!D101</f>
        <v>matiaslake23@gmail.com</v>
      </c>
      <c r="E101" s="20">
        <f>'Respuestas de formulario 1'!E101</f>
        <v>33267</v>
      </c>
      <c r="F101" s="7">
        <f>'Respuestas de formulario 1'!F101</f>
        <v>35575473</v>
      </c>
      <c r="G101" s="7" t="str">
        <f>IFERROR(__xludf.DUMMYFUNCTION("IF('Respuestas de formulario 1'!G101="""","""",IF(LEFT(REGEXREPLACE(TO_TEXT('Respuestas de formulario 1'!G101),""[^0-9]"",""""),2)=""54"",""+""&amp;REGEXREPLACE(TO_TEXT('Respuestas de formulario 1'!G101),""[^0-9]"",""""),""+54""&amp;REGEXREPLACE(TO_TEXT('Respuest"&amp;"as de formulario 1'!G101),""[^0-9]"","""")))"),"+543543310724")</f>
        <v>+543543310724</v>
      </c>
      <c r="H101" s="7">
        <f>'Respuestas de formulario 1'!S101</f>
        <v>2023</v>
      </c>
      <c r="I101" s="7" t="str">
        <f>IFERROR(__xludf.DUMMYFUNCTION("IF('Respuestas de formulario 1'!I101="""","""",TO_TEXT('Respuestas de formulario 1'!I101))"),"Particular")</f>
        <v>Particular</v>
      </c>
      <c r="J101" s="7" t="str">
        <f>IFERROR(__xludf.DUMMYFUNCTION("IF('Respuestas de formulario 1'!J101&lt;&gt;"""",UPPER(TRIM(TO_TEXT('Respuestas de formulario 1'!J101))),IF('Respuestas de formulario 1'!O101&lt;&gt;"""",UPPER(TRIM(TO_TEXT('Respuestas de formulario 1'!O101))),""""))"),"")</f>
        <v/>
      </c>
      <c r="K101" s="7" t="str">
        <f>IFERROR(__xludf.DUMMYFUNCTION("IF('Respuestas de formulario 1'!K101="""","""",TO_TEXT('Respuestas de formulario 1'!K101))"),"")</f>
        <v/>
      </c>
      <c r="L101" s="7" t="str">
        <f>IFERROR(__xludf.DUMMYFUNCTION("IF('Respuestas de formulario 1'!L101="""","""",TO_TEXT('Respuestas de formulario 1'!L101))"),"")</f>
        <v/>
      </c>
      <c r="M101" s="7" t="str">
        <f>IFERROR(__xludf.DUMMYFUNCTION("IF('Respuestas de formulario 1'!M101="""","""",TO_TEXT('Respuestas de formulario 1'!M101))"),"")</f>
        <v/>
      </c>
      <c r="N101" s="7">
        <f t="shared" si="1"/>
        <v>2023</v>
      </c>
      <c r="O101" s="7" t="str">
        <f t="shared" si="2"/>
        <v>marzo</v>
      </c>
      <c r="P101" s="7" t="s">
        <v>4406</v>
      </c>
    </row>
    <row r="102">
      <c r="A102" s="19">
        <f>'Respuestas de formulario 1'!A102</f>
        <v>45014.65211</v>
      </c>
      <c r="B102" s="7" t="str">
        <f>'Respuestas de formulario 1'!B102</f>
        <v>Daniele</v>
      </c>
      <c r="C102" s="7" t="str">
        <f>'Respuestas de formulario 1'!C102</f>
        <v>Maria teresa</v>
      </c>
      <c r="D102" s="7" t="str">
        <f>'Respuestas de formulario 1'!D102</f>
        <v>danielemariateresa83@gmail.com </v>
      </c>
      <c r="E102" s="20">
        <f>'Respuestas de formulario 1'!E102</f>
        <v>18833</v>
      </c>
      <c r="F102" s="7">
        <f>'Respuestas de formulario 1'!F102</f>
        <v>6683127</v>
      </c>
      <c r="G102" s="7" t="str">
        <f>IFERROR(__xludf.DUMMYFUNCTION("IF('Respuestas de formulario 1'!G102="""","""",IF(LEFT(REGEXREPLACE(TO_TEXT('Respuestas de formulario 1'!G102),""[^0-9]"",""""),2)=""54"",""+""&amp;REGEXREPLACE(TO_TEXT('Respuestas de formulario 1'!G102),""[^0-9]"",""""),""+54""&amp;REGEXREPLACE(TO_TEXT('Respuest"&amp;"as de formulario 1'!G102),""[^0-9]"","""")))"),"+543572528274")</f>
        <v>+543572528274</v>
      </c>
      <c r="H102" s="7">
        <f>'Respuestas de formulario 1'!S102</f>
        <v>2023</v>
      </c>
      <c r="I102" s="7" t="str">
        <f>IFERROR(__xludf.DUMMYFUNCTION("IF('Respuestas de formulario 1'!I102="""","""",TO_TEXT('Respuestas de formulario 1'!I102))"),"Obra social")</f>
        <v>Obra social</v>
      </c>
      <c r="J102" s="7" t="str">
        <f>IFERROR(__xludf.DUMMYFUNCTION("IF('Respuestas de formulario 1'!J102&lt;&gt;"""",UPPER(TRIM(TO_TEXT('Respuestas de formulario 1'!J102))),IF('Respuestas de formulario 1'!O102&lt;&gt;"""",UPPER(TRIM(TO_TEXT('Respuestas de formulario 1'!O102))),""""))"),"CPCE")</f>
        <v>CPCE</v>
      </c>
      <c r="K102" s="7" t="str">
        <f>IFERROR(__xludf.DUMMYFUNCTION("IF('Respuestas de formulario 1'!K102="""","""",TO_TEXT('Respuestas de formulario 1'!K102))"),"")</f>
        <v/>
      </c>
      <c r="L102" s="7" t="str">
        <f>IFERROR(__xludf.DUMMYFUNCTION("IF('Respuestas de formulario 1'!L102="""","""",TO_TEXT('Respuestas de formulario 1'!L102))"),"")</f>
        <v/>
      </c>
      <c r="M102" s="7" t="str">
        <f>IFERROR(__xludf.DUMMYFUNCTION("IF('Respuestas de formulario 1'!M102="""","""",TO_TEXT('Respuestas de formulario 1'!M102))"),"")</f>
        <v/>
      </c>
      <c r="N102" s="7">
        <f t="shared" si="1"/>
        <v>2023</v>
      </c>
      <c r="O102" s="7" t="str">
        <f t="shared" si="2"/>
        <v>marzo</v>
      </c>
      <c r="P102" s="7" t="s">
        <v>4408</v>
      </c>
    </row>
    <row r="103">
      <c r="A103" s="19">
        <f>'Respuestas de formulario 1'!A103</f>
        <v>45014.83136</v>
      </c>
      <c r="B103" s="7" t="str">
        <f>'Respuestas de formulario 1'!B103</f>
        <v>Chantre</v>
      </c>
      <c r="C103" s="7" t="str">
        <f>'Respuestas de formulario 1'!C103</f>
        <v>Diego agustin</v>
      </c>
      <c r="D103" s="7" t="str">
        <f>'Respuestas de formulario 1'!D103</f>
        <v>diegochantre@gmail.com</v>
      </c>
      <c r="E103" s="20">
        <f>'Respuestas de formulario 1'!E103</f>
        <v>28415</v>
      </c>
      <c r="F103" s="7">
        <f>'Respuestas de formulario 1'!F103</f>
        <v>26178254</v>
      </c>
      <c r="G103" s="7" t="str">
        <f>IFERROR(__xludf.DUMMYFUNCTION("IF('Respuestas de formulario 1'!G103="""","""",IF(LEFT(REGEXREPLACE(TO_TEXT('Respuestas de formulario 1'!G103),""[^0-9]"",""""),2)=""54"",""+""&amp;REGEXREPLACE(TO_TEXT('Respuestas de formulario 1'!G103),""[^0-9]"",""""),""+54""&amp;REGEXREPLACE(TO_TEXT('Respuest"&amp;"as de formulario 1'!G103),""[^0-9]"","""")))"),"+543515916832")</f>
        <v>+543515916832</v>
      </c>
      <c r="H103" s="7">
        <f>'Respuestas de formulario 1'!S103</f>
        <v>2023</v>
      </c>
      <c r="I103" s="7" t="str">
        <f>IFERROR(__xludf.DUMMYFUNCTION("IF('Respuestas de formulario 1'!I103="""","""",TO_TEXT('Respuestas de formulario 1'!I103))"),"Obra social")</f>
        <v>Obra social</v>
      </c>
      <c r="J103" s="7" t="str">
        <f>IFERROR(__xludf.DUMMYFUNCTION("IF('Respuestas de formulario 1'!J103&lt;&gt;"""",UPPER(TRIM(TO_TEXT('Respuestas de formulario 1'!J103))),IF('Respuestas de formulario 1'!O103&lt;&gt;"""",UPPER(TRIM(TO_TEXT('Respuestas de formulario 1'!O103))),""""))"),"MEDIFE")</f>
        <v>MEDIFE</v>
      </c>
      <c r="K103" s="7" t="str">
        <f>IFERROR(__xludf.DUMMYFUNCTION("IF('Respuestas de formulario 1'!K103="""","""",TO_TEXT('Respuestas de formulario 1'!K103))"),"")</f>
        <v/>
      </c>
      <c r="L103" s="7" t="str">
        <f>IFERROR(__xludf.DUMMYFUNCTION("IF('Respuestas de formulario 1'!L103="""","""",TO_TEXT('Respuestas de formulario 1'!L103))"),"")</f>
        <v/>
      </c>
      <c r="M103" s="7" t="str">
        <f>IFERROR(__xludf.DUMMYFUNCTION("IF('Respuestas de formulario 1'!M103="""","""",TO_TEXT('Respuestas de formulario 1'!M103))"),"")</f>
        <v/>
      </c>
      <c r="N103" s="7">
        <f t="shared" si="1"/>
        <v>2023</v>
      </c>
      <c r="O103" s="7" t="str">
        <f t="shared" si="2"/>
        <v>marzo</v>
      </c>
      <c r="P103" s="7" t="s">
        <v>4410</v>
      </c>
    </row>
    <row r="104">
      <c r="A104" s="19">
        <f>'Respuestas de formulario 1'!A104</f>
        <v>45015.68873</v>
      </c>
      <c r="B104" s="7" t="str">
        <f>'Respuestas de formulario 1'!B104</f>
        <v>Rizzi</v>
      </c>
      <c r="C104" s="7" t="str">
        <f>'Respuestas de formulario 1'!C104</f>
        <v>Diego</v>
      </c>
      <c r="D104" s="7" t="str">
        <f>'Respuestas de formulario 1'!D104</f>
        <v>Diegorizzi17@gmail.com.ar</v>
      </c>
      <c r="E104" s="20">
        <f>'Respuestas de formulario 1'!E104</f>
        <v>33718</v>
      </c>
      <c r="F104" s="7">
        <f>'Respuestas de formulario 1'!F104</f>
        <v>36234317</v>
      </c>
      <c r="G104" s="7" t="str">
        <f>IFERROR(__xludf.DUMMYFUNCTION("IF('Respuestas de formulario 1'!G104="""","""",IF(LEFT(REGEXREPLACE(TO_TEXT('Respuestas de formulario 1'!G104),""[^0-9]"",""""),2)=""54"",""+""&amp;REGEXREPLACE(TO_TEXT('Respuestas de formulario 1'!G104),""[^0-9]"",""""),""+54""&amp;REGEXREPLACE(TO_TEXT('Respuest"&amp;"as de formulario 1'!G104),""[^0-9]"","""")))"),"+543512194317")</f>
        <v>+543512194317</v>
      </c>
      <c r="H104" s="7">
        <f>'Respuestas de formulario 1'!S104</f>
        <v>2023</v>
      </c>
      <c r="I104" s="7" t="str">
        <f>IFERROR(__xludf.DUMMYFUNCTION("IF('Respuestas de formulario 1'!I104="""","""",TO_TEXT('Respuestas de formulario 1'!I104))"),"Particular")</f>
        <v>Particular</v>
      </c>
      <c r="J104" s="7" t="str">
        <f>IFERROR(__xludf.DUMMYFUNCTION("IF('Respuestas de formulario 1'!J104&lt;&gt;"""",UPPER(TRIM(TO_TEXT('Respuestas de formulario 1'!J104))),IF('Respuestas de formulario 1'!O104&lt;&gt;"""",UPPER(TRIM(TO_TEXT('Respuestas de formulario 1'!O104))),""""))"),"")</f>
        <v/>
      </c>
      <c r="K104" s="7" t="str">
        <f>IFERROR(__xludf.DUMMYFUNCTION("IF('Respuestas de formulario 1'!K104="""","""",TO_TEXT('Respuestas de formulario 1'!K104))"),"")</f>
        <v/>
      </c>
      <c r="L104" s="7" t="str">
        <f>IFERROR(__xludf.DUMMYFUNCTION("IF('Respuestas de formulario 1'!L104="""","""",TO_TEXT('Respuestas de formulario 1'!L104))"),"")</f>
        <v/>
      </c>
      <c r="M104" s="7" t="str">
        <f>IFERROR(__xludf.DUMMYFUNCTION("IF('Respuestas de formulario 1'!M104="""","""",TO_TEXT('Respuestas de formulario 1'!M104))"),"")</f>
        <v/>
      </c>
      <c r="N104" s="7">
        <f t="shared" si="1"/>
        <v>2023</v>
      </c>
      <c r="O104" s="7" t="str">
        <f t="shared" si="2"/>
        <v>marzo</v>
      </c>
      <c r="P104" s="7" t="s">
        <v>4412</v>
      </c>
    </row>
    <row r="105">
      <c r="A105" s="19">
        <f>'Respuestas de formulario 1'!A105</f>
        <v>45017.49173</v>
      </c>
      <c r="B105" s="7" t="str">
        <f>'Respuestas de formulario 1'!B105</f>
        <v>Diaz</v>
      </c>
      <c r="C105" s="7" t="str">
        <f>'Respuestas de formulario 1'!C105</f>
        <v>Jose Angel</v>
      </c>
      <c r="D105" s="7" t="str">
        <f>'Respuestas de formulario 1'!D105</f>
        <v>rubenjdiaz@yahoo.com</v>
      </c>
      <c r="E105" s="20">
        <f>'Respuestas de formulario 1'!E105</f>
        <v>16036</v>
      </c>
      <c r="F105" s="7">
        <f>'Respuestas de formulario 1'!F105</f>
        <v>6393584</v>
      </c>
      <c r="G105" s="7" t="str">
        <f>IFERROR(__xludf.DUMMYFUNCTION("IF('Respuestas de formulario 1'!G105="""","""",IF(LEFT(REGEXREPLACE(TO_TEXT('Respuestas de formulario 1'!G105),""[^0-9]"",""""),2)=""54"",""+""&amp;REGEXREPLACE(TO_TEXT('Respuestas de formulario 1'!G105),""[^0-9]"",""""),""+54""&amp;REGEXREPLACE(TO_TEXT('Respuest"&amp;"as de formulario 1'!G105),""[^0-9]"","""")))"),"+543514765141")</f>
        <v>+543514765141</v>
      </c>
      <c r="H105" s="7">
        <f>'Respuestas de formulario 1'!S105</f>
        <v>2023</v>
      </c>
      <c r="I105" s="7" t="str">
        <f>IFERROR(__xludf.DUMMYFUNCTION("IF('Respuestas de formulario 1'!I105="""","""",TO_TEXT('Respuestas de formulario 1'!I105))"),"Particular")</f>
        <v>Particular</v>
      </c>
      <c r="J105" s="7" t="str">
        <f>IFERROR(__xludf.DUMMYFUNCTION("IF('Respuestas de formulario 1'!J105&lt;&gt;"""",UPPER(TRIM(TO_TEXT('Respuestas de formulario 1'!J105))),IF('Respuestas de formulario 1'!O105&lt;&gt;"""",UPPER(TRIM(TO_TEXT('Respuestas de formulario 1'!O105))),""""))"),"")</f>
        <v/>
      </c>
      <c r="K105" s="7" t="str">
        <f>IFERROR(__xludf.DUMMYFUNCTION("IF('Respuestas de formulario 1'!K105="""","""",TO_TEXT('Respuestas de formulario 1'!K105))"),"")</f>
        <v/>
      </c>
      <c r="L105" s="7" t="str">
        <f>IFERROR(__xludf.DUMMYFUNCTION("IF('Respuestas de formulario 1'!L105="""","""",TO_TEXT('Respuestas de formulario 1'!L105))"),"")</f>
        <v/>
      </c>
      <c r="M105" s="7" t="str">
        <f>IFERROR(__xludf.DUMMYFUNCTION("IF('Respuestas de formulario 1'!M105="""","""",TO_TEXT('Respuestas de formulario 1'!M105))"),"")</f>
        <v/>
      </c>
      <c r="N105" s="7">
        <f t="shared" si="1"/>
        <v>2023</v>
      </c>
      <c r="O105" s="7" t="str">
        <f t="shared" si="2"/>
        <v>abril</v>
      </c>
      <c r="P105" s="7" t="s">
        <v>4414</v>
      </c>
    </row>
    <row r="106">
      <c r="A106" s="19">
        <f>'Respuestas de formulario 1'!A106</f>
        <v>45019.51245</v>
      </c>
      <c r="B106" s="7" t="str">
        <f>'Respuestas de formulario 1'!B106</f>
        <v>Cabrera</v>
      </c>
      <c r="C106" s="7" t="str">
        <f>'Respuestas de formulario 1'!C106</f>
        <v>Rodrigo</v>
      </c>
      <c r="D106" s="7" t="str">
        <f>'Respuestas de formulario 1'!D106</f>
        <v>lrcabrera85@gmail.com </v>
      </c>
      <c r="E106" s="20">
        <f>'Respuestas de formulario 1'!E106</f>
        <v>31404</v>
      </c>
      <c r="F106" s="7">
        <f>'Respuestas de formulario 1'!F106</f>
        <v>32099410</v>
      </c>
      <c r="G106" s="7" t="str">
        <f>IFERROR(__xludf.DUMMYFUNCTION("IF('Respuestas de formulario 1'!G106="""","""",IF(LEFT(REGEXREPLACE(TO_TEXT('Respuestas de formulario 1'!G106),""[^0-9]"",""""),2)=""54"",""+""&amp;REGEXREPLACE(TO_TEXT('Respuestas de formulario 1'!G106),""[^0-9]"",""""),""+54""&amp;REGEXREPLACE(TO_TEXT('Respuest"&amp;"as de formulario 1'!G106),""[^0-9]"","""")))"),"+543517451367")</f>
        <v>+543517451367</v>
      </c>
      <c r="H106" s="7">
        <f>'Respuestas de formulario 1'!S106</f>
        <v>2023</v>
      </c>
      <c r="I106" s="7" t="str">
        <f>IFERROR(__xludf.DUMMYFUNCTION("IF('Respuestas de formulario 1'!I106="""","""",TO_TEXT('Respuestas de formulario 1'!I106))"),"Obra social")</f>
        <v>Obra social</v>
      </c>
      <c r="J106" s="7" t="str">
        <f>IFERROR(__xludf.DUMMYFUNCTION("IF('Respuestas de formulario 1'!J106&lt;&gt;"""",UPPER(TRIM(TO_TEXT('Respuestas de formulario 1'!J106))),IF('Respuestas de formulario 1'!O106&lt;&gt;"""",UPPER(TRIM(TO_TEXT('Respuestas de formulario 1'!O106))),""""))"),"AVALIAN")</f>
        <v>AVALIAN</v>
      </c>
      <c r="K106" s="7" t="str">
        <f>IFERROR(__xludf.DUMMYFUNCTION("IF('Respuestas de formulario 1'!K106="""","""",TO_TEXT('Respuestas de formulario 1'!K106))"),"")</f>
        <v/>
      </c>
      <c r="L106" s="7" t="str">
        <f>IFERROR(__xludf.DUMMYFUNCTION("IF('Respuestas de formulario 1'!L106="""","""",TO_TEXT('Respuestas de formulario 1'!L106))"),"")</f>
        <v/>
      </c>
      <c r="M106" s="7" t="str">
        <f>IFERROR(__xludf.DUMMYFUNCTION("IF('Respuestas de formulario 1'!M106="""","""",TO_TEXT('Respuestas de formulario 1'!M106))"),"")</f>
        <v/>
      </c>
      <c r="N106" s="7">
        <f t="shared" si="1"/>
        <v>2023</v>
      </c>
      <c r="O106" s="7" t="str">
        <f t="shared" si="2"/>
        <v>abril</v>
      </c>
      <c r="P106" s="7" t="s">
        <v>4416</v>
      </c>
    </row>
    <row r="107">
      <c r="A107" s="19">
        <f>'Respuestas de formulario 1'!A107</f>
        <v>45019.55415</v>
      </c>
      <c r="B107" s="7" t="str">
        <f>'Respuestas de formulario 1'!B107</f>
        <v>Gauna </v>
      </c>
      <c r="C107" s="7" t="str">
        <f>'Respuestas de formulario 1'!C107</f>
        <v>Kevin Maico </v>
      </c>
      <c r="D107" s="7" t="str">
        <f>'Respuestas de formulario 1'!D107</f>
        <v>Kevingauna123@gmail.com </v>
      </c>
      <c r="E107" s="20">
        <f>'Respuestas de formulario 1'!E107</f>
        <v>36152</v>
      </c>
      <c r="F107" s="7">
        <f>'Respuestas de formulario 1'!F107</f>
        <v>42691545</v>
      </c>
      <c r="G107" s="7" t="str">
        <f>IFERROR(__xludf.DUMMYFUNCTION("IF('Respuestas de formulario 1'!G107="""","""",IF(LEFT(REGEXREPLACE(TO_TEXT('Respuestas de formulario 1'!G107),""[^0-9]"",""""),2)=""54"",""+""&amp;REGEXREPLACE(TO_TEXT('Respuestas de formulario 1'!G107),""[^0-9]"",""""),""+54""&amp;REGEXREPLACE(TO_TEXT('Respuest"&amp;"as de formulario 1'!G107),""[^0-9]"","""")))"),"+543515170701")</f>
        <v>+543515170701</v>
      </c>
      <c r="H107" s="7">
        <f>'Respuestas de formulario 1'!S107</f>
        <v>2023</v>
      </c>
      <c r="I107" s="7" t="str">
        <f>IFERROR(__xludf.DUMMYFUNCTION("IF('Respuestas de formulario 1'!I107="""","""",TO_TEXT('Respuestas de formulario 1'!I107))"),"Particular")</f>
        <v>Particular</v>
      </c>
      <c r="J107" s="7" t="str">
        <f>IFERROR(__xludf.DUMMYFUNCTION("IF('Respuestas de formulario 1'!J107&lt;&gt;"""",UPPER(TRIM(TO_TEXT('Respuestas de formulario 1'!J107))),IF('Respuestas de formulario 1'!O107&lt;&gt;"""",UPPER(TRIM(TO_TEXT('Respuestas de formulario 1'!O107))),""""))"),"")</f>
        <v/>
      </c>
      <c r="K107" s="7" t="str">
        <f>IFERROR(__xludf.DUMMYFUNCTION("IF('Respuestas de formulario 1'!K107="""","""",TO_TEXT('Respuestas de formulario 1'!K107))"),"")</f>
        <v/>
      </c>
      <c r="L107" s="7" t="str">
        <f>IFERROR(__xludf.DUMMYFUNCTION("IF('Respuestas de formulario 1'!L107="""","""",TO_TEXT('Respuestas de formulario 1'!L107))"),"")</f>
        <v/>
      </c>
      <c r="M107" s="7" t="str">
        <f>IFERROR(__xludf.DUMMYFUNCTION("IF('Respuestas de formulario 1'!M107="""","""",TO_TEXT('Respuestas de formulario 1'!M107))"),"")</f>
        <v/>
      </c>
      <c r="N107" s="7">
        <f t="shared" si="1"/>
        <v>2023</v>
      </c>
      <c r="O107" s="7" t="str">
        <f t="shared" si="2"/>
        <v>abril</v>
      </c>
      <c r="P107" s="7" t="s">
        <v>4418</v>
      </c>
    </row>
    <row r="108">
      <c r="A108" s="19">
        <f>'Respuestas de formulario 1'!A108</f>
        <v>45019.57329</v>
      </c>
      <c r="B108" s="7" t="str">
        <f>'Respuestas de formulario 1'!B108</f>
        <v>Ande </v>
      </c>
      <c r="C108" s="7" t="str">
        <f>'Respuestas de formulario 1'!C108</f>
        <v>Jazmin</v>
      </c>
      <c r="D108" s="7" t="str">
        <f>'Respuestas de formulario 1'!D108</f>
        <v>jazminande@icloud.com</v>
      </c>
      <c r="E108" s="20">
        <f>'Respuestas de formulario 1'!E108</f>
        <v>37171</v>
      </c>
      <c r="F108" s="7">
        <f>'Respuestas de formulario 1'!F108</f>
        <v>43560849</v>
      </c>
      <c r="G108" s="7" t="str">
        <f>IFERROR(__xludf.DUMMYFUNCTION("IF('Respuestas de formulario 1'!G108="""","""",IF(LEFT(REGEXREPLACE(TO_TEXT('Respuestas de formulario 1'!G108),""[^0-9]"",""""),2)=""54"",""+""&amp;REGEXREPLACE(TO_TEXT('Respuestas de formulario 1'!G108),""[^0-9]"",""""),""+54""&amp;REGEXREPLACE(TO_TEXT('Respuest"&amp;"as de formulario 1'!G108),""[^0-9]"","""")))"),"+543513959141")</f>
        <v>+543513959141</v>
      </c>
      <c r="H108" s="7">
        <f>'Respuestas de formulario 1'!S108</f>
        <v>2023</v>
      </c>
      <c r="I108" s="7" t="str">
        <f>IFERROR(__xludf.DUMMYFUNCTION("IF('Respuestas de formulario 1'!I108="""","""",TO_TEXT('Respuestas de formulario 1'!I108))"),"Particular")</f>
        <v>Particular</v>
      </c>
      <c r="J108" s="7" t="str">
        <f>IFERROR(__xludf.DUMMYFUNCTION("IF('Respuestas de formulario 1'!J108&lt;&gt;"""",UPPER(TRIM(TO_TEXT('Respuestas de formulario 1'!J108))),IF('Respuestas de formulario 1'!O108&lt;&gt;"""",UPPER(TRIM(TO_TEXT('Respuestas de formulario 1'!O108))),""""))"),"")</f>
        <v/>
      </c>
      <c r="K108" s="7" t="str">
        <f>IFERROR(__xludf.DUMMYFUNCTION("IF('Respuestas de formulario 1'!K108="""","""",TO_TEXT('Respuestas de formulario 1'!K108))"),"")</f>
        <v/>
      </c>
      <c r="L108" s="7" t="str">
        <f>IFERROR(__xludf.DUMMYFUNCTION("IF('Respuestas de formulario 1'!L108="""","""",TO_TEXT('Respuestas de formulario 1'!L108))"),"")</f>
        <v/>
      </c>
      <c r="M108" s="7" t="str">
        <f>IFERROR(__xludf.DUMMYFUNCTION("IF('Respuestas de formulario 1'!M108="""","""",TO_TEXT('Respuestas de formulario 1'!M108))"),"")</f>
        <v/>
      </c>
      <c r="N108" s="7">
        <f t="shared" si="1"/>
        <v>2023</v>
      </c>
      <c r="O108" s="7" t="str">
        <f t="shared" si="2"/>
        <v>abril</v>
      </c>
      <c r="P108" s="7" t="s">
        <v>4420</v>
      </c>
    </row>
    <row r="109">
      <c r="A109" s="19">
        <f>'Respuestas de formulario 1'!A109</f>
        <v>45019.64</v>
      </c>
      <c r="B109" s="7" t="str">
        <f>'Respuestas de formulario 1'!B109</f>
        <v>España</v>
      </c>
      <c r="C109" s="7" t="str">
        <f>'Respuestas de formulario 1'!C109</f>
        <v>Ezequiel Mariano </v>
      </c>
      <c r="D109" s="7" t="str">
        <f>'Respuestas de formulario 1'!D109</f>
        <v>marianoezequiel79@gmail.com</v>
      </c>
      <c r="E109" s="20">
        <f>'Respuestas de formulario 1'!E109</f>
        <v>45019</v>
      </c>
      <c r="F109" s="7">
        <f>'Respuestas de formulario 1'!F109</f>
        <v>27077240</v>
      </c>
      <c r="G109" s="7" t="str">
        <f>IFERROR(__xludf.DUMMYFUNCTION("IF('Respuestas de formulario 1'!G109="""","""",IF(LEFT(REGEXREPLACE(TO_TEXT('Respuestas de formulario 1'!G109),""[^0-9]"",""""),2)=""54"",""+""&amp;REGEXREPLACE(TO_TEXT('Respuestas de formulario 1'!G109),""[^0-9]"",""""),""+54""&amp;REGEXREPLACE(TO_TEXT('Respuest"&amp;"as de formulario 1'!G109),""[^0-9]"","""")))"),"+543515165404")</f>
        <v>+543515165404</v>
      </c>
      <c r="H109" s="7">
        <f>'Respuestas de formulario 1'!S109</f>
        <v>2023</v>
      </c>
      <c r="I109" s="7" t="str">
        <f>IFERROR(__xludf.DUMMYFUNCTION("IF('Respuestas de formulario 1'!I109="""","""",TO_TEXT('Respuestas de formulario 1'!I109))"),"Particular")</f>
        <v>Particular</v>
      </c>
      <c r="J109" s="7" t="str">
        <f>IFERROR(__xludf.DUMMYFUNCTION("IF('Respuestas de formulario 1'!J109&lt;&gt;"""",UPPER(TRIM(TO_TEXT('Respuestas de formulario 1'!J109))),IF('Respuestas de formulario 1'!O109&lt;&gt;"""",UPPER(TRIM(TO_TEXT('Respuestas de formulario 1'!O109))),""""))"),"")</f>
        <v/>
      </c>
      <c r="K109" s="7" t="str">
        <f>IFERROR(__xludf.DUMMYFUNCTION("IF('Respuestas de formulario 1'!K109="""","""",TO_TEXT('Respuestas de formulario 1'!K109))"),"")</f>
        <v/>
      </c>
      <c r="L109" s="7" t="str">
        <f>IFERROR(__xludf.DUMMYFUNCTION("IF('Respuestas de formulario 1'!L109="""","""",TO_TEXT('Respuestas de formulario 1'!L109))"),"")</f>
        <v/>
      </c>
      <c r="M109" s="7" t="str">
        <f>IFERROR(__xludf.DUMMYFUNCTION("IF('Respuestas de formulario 1'!M109="""","""",TO_TEXT('Respuestas de formulario 1'!M109))"),"")</f>
        <v/>
      </c>
      <c r="N109" s="7">
        <f t="shared" si="1"/>
        <v>2023</v>
      </c>
      <c r="O109" s="7" t="str">
        <f t="shared" si="2"/>
        <v>abril</v>
      </c>
      <c r="P109" s="7" t="s">
        <v>4422</v>
      </c>
    </row>
    <row r="110">
      <c r="A110" s="19">
        <f>'Respuestas de formulario 1'!A110</f>
        <v>45019.66564</v>
      </c>
      <c r="B110" s="7" t="str">
        <f>'Respuestas de formulario 1'!B110</f>
        <v>Morales </v>
      </c>
      <c r="C110" s="7" t="str">
        <f>'Respuestas de formulario 1'!C110</f>
        <v>Francisco</v>
      </c>
      <c r="D110" s="7" t="str">
        <f>'Respuestas de formulario 1'!D110</f>
        <v>Cra_mcs@hotmail.com</v>
      </c>
      <c r="E110" s="20">
        <f>'Respuestas de formulario 1'!E110</f>
        <v>38395</v>
      </c>
      <c r="F110" s="7">
        <f>'Respuestas de formulario 1'!F110</f>
        <v>46309945</v>
      </c>
      <c r="G110" s="7" t="str">
        <f>IFERROR(__xludf.DUMMYFUNCTION("IF('Respuestas de formulario 1'!G110="""","""",IF(LEFT(REGEXREPLACE(TO_TEXT('Respuestas de formulario 1'!G110),""[^0-9]"",""""),2)=""54"",""+""&amp;REGEXREPLACE(TO_TEXT('Respuestas de formulario 1'!G110),""[^0-9]"",""""),""+54""&amp;REGEXREPLACE(TO_TEXT('Respuest"&amp;"as de formulario 1'!G110),""[^0-9]"","""")))"),"+543516524747")</f>
        <v>+543516524747</v>
      </c>
      <c r="H110" s="7">
        <f>'Respuestas de formulario 1'!S110</f>
        <v>2023</v>
      </c>
      <c r="I110" s="7" t="str">
        <f>IFERROR(__xludf.DUMMYFUNCTION("IF('Respuestas de formulario 1'!I110="""","""",TO_TEXT('Respuestas de formulario 1'!I110))"),"Obra social")</f>
        <v>Obra social</v>
      </c>
      <c r="J110" s="7" t="str">
        <f>IFERROR(__xludf.DUMMYFUNCTION("IF('Respuestas de formulario 1'!J110&lt;&gt;"""",UPPER(TRIM(TO_TEXT('Respuestas de formulario 1'!J110))),IF('Respuestas de formulario 1'!O110&lt;&gt;"""",UPPER(TRIM(TO_TEXT('Respuestas de formulario 1'!O110))),""""))"),"AVALIAN")</f>
        <v>AVALIAN</v>
      </c>
      <c r="K110" s="7" t="str">
        <f>IFERROR(__xludf.DUMMYFUNCTION("IF('Respuestas de formulario 1'!K110="""","""",TO_TEXT('Respuestas de formulario 1'!K110))"),"")</f>
        <v/>
      </c>
      <c r="L110" s="7" t="str">
        <f>IFERROR(__xludf.DUMMYFUNCTION("IF('Respuestas de formulario 1'!L110="""","""",TO_TEXT('Respuestas de formulario 1'!L110))"),"")</f>
        <v/>
      </c>
      <c r="M110" s="7" t="str">
        <f>IFERROR(__xludf.DUMMYFUNCTION("IF('Respuestas de formulario 1'!M110="""","""",TO_TEXT('Respuestas de formulario 1'!M110))"),"")</f>
        <v/>
      </c>
      <c r="N110" s="7">
        <f t="shared" si="1"/>
        <v>2023</v>
      </c>
      <c r="O110" s="7" t="str">
        <f t="shared" si="2"/>
        <v>abril</v>
      </c>
      <c r="P110" s="7" t="s">
        <v>4424</v>
      </c>
    </row>
    <row r="111">
      <c r="A111" s="19">
        <f>'Respuestas de formulario 1'!A111</f>
        <v>45019.79656</v>
      </c>
      <c r="B111" s="7" t="str">
        <f>'Respuestas de formulario 1'!B111</f>
        <v>Garcia</v>
      </c>
      <c r="C111" s="7" t="str">
        <f>'Respuestas de formulario 1'!C111</f>
        <v>Miriam Beatriz</v>
      </c>
      <c r="D111" s="7" t="str">
        <f>'Respuestas de formulario 1'!D111</f>
        <v>miriamkica245@gmail.com</v>
      </c>
      <c r="E111" s="20">
        <f>'Respuestas de formulario 1'!E111</f>
        <v>26253</v>
      </c>
      <c r="F111" s="7">
        <f>'Respuestas de formulario 1'!F111</f>
        <v>22361234</v>
      </c>
      <c r="G111" s="7" t="str">
        <f>IFERROR(__xludf.DUMMYFUNCTION("IF('Respuestas de formulario 1'!G111="""","""",IF(LEFT(REGEXREPLACE(TO_TEXT('Respuestas de formulario 1'!G111),""[^0-9]"",""""),2)=""54"",""+""&amp;REGEXREPLACE(TO_TEXT('Respuestas de formulario 1'!G111),""[^0-9]"",""""),""+54""&amp;REGEXREPLACE(TO_TEXT('Respuest"&amp;"as de formulario 1'!G111),""[^0-9]"","""")))"),"+543518196953")</f>
        <v>+543518196953</v>
      </c>
      <c r="H111" s="7">
        <f>'Respuestas de formulario 1'!S111</f>
        <v>2023</v>
      </c>
      <c r="I111" s="7" t="str">
        <f>IFERROR(__xludf.DUMMYFUNCTION("IF('Respuestas de formulario 1'!I111="""","""",TO_TEXT('Respuestas de formulario 1'!I111))"),"Particular")</f>
        <v>Particular</v>
      </c>
      <c r="J111" s="7" t="str">
        <f>IFERROR(__xludf.DUMMYFUNCTION("IF('Respuestas de formulario 1'!J111&lt;&gt;"""",UPPER(TRIM(TO_TEXT('Respuestas de formulario 1'!J111))),IF('Respuestas de formulario 1'!O111&lt;&gt;"""",UPPER(TRIM(TO_TEXT('Respuestas de formulario 1'!O111))),""""))"),"")</f>
        <v/>
      </c>
      <c r="K111" s="7" t="str">
        <f>IFERROR(__xludf.DUMMYFUNCTION("IF('Respuestas de formulario 1'!K111="""","""",TO_TEXT('Respuestas de formulario 1'!K111))"),"")</f>
        <v/>
      </c>
      <c r="L111" s="7" t="str">
        <f>IFERROR(__xludf.DUMMYFUNCTION("IF('Respuestas de formulario 1'!L111="""","""",TO_TEXT('Respuestas de formulario 1'!L111))"),"")</f>
        <v/>
      </c>
      <c r="M111" s="7" t="str">
        <f>IFERROR(__xludf.DUMMYFUNCTION("IF('Respuestas de formulario 1'!M111="""","""",TO_TEXT('Respuestas de formulario 1'!M111))"),"")</f>
        <v/>
      </c>
      <c r="N111" s="7">
        <f t="shared" si="1"/>
        <v>2023</v>
      </c>
      <c r="O111" s="7" t="str">
        <f t="shared" si="2"/>
        <v>abril</v>
      </c>
      <c r="P111" s="7" t="s">
        <v>4426</v>
      </c>
    </row>
    <row r="112">
      <c r="A112" s="19">
        <f>'Respuestas de formulario 1'!A112</f>
        <v>45019.91267</v>
      </c>
      <c r="B112" s="7" t="str">
        <f>'Respuestas de formulario 1'!B112</f>
        <v>Polesel </v>
      </c>
      <c r="C112" s="7" t="str">
        <f>'Respuestas de formulario 1'!C112</f>
        <v>Facundo Tiziano</v>
      </c>
      <c r="D112" s="7" t="str">
        <f>'Respuestas de formulario 1'!D112</f>
        <v>facundopolesel@gmail.com </v>
      </c>
      <c r="E112" s="20">
        <f>'Respuestas de formulario 1'!E112</f>
        <v>36262</v>
      </c>
      <c r="F112" s="7">
        <f>'Respuestas de formulario 1'!F112</f>
        <v>41697667</v>
      </c>
      <c r="G112" s="7" t="str">
        <f>IFERROR(__xludf.DUMMYFUNCTION("IF('Respuestas de formulario 1'!G112="""","""",IF(LEFT(REGEXREPLACE(TO_TEXT('Respuestas de formulario 1'!G112),""[^0-9]"",""""),2)=""54"",""+""&amp;REGEXREPLACE(TO_TEXT('Respuestas de formulario 1'!G112),""[^0-9]"",""""),""+54""&amp;REGEXREPLACE(TO_TEXT('Respuest"&amp;"as de formulario 1'!G112),""[^0-9]"","""")))"),"+543522650239")</f>
        <v>+543522650239</v>
      </c>
      <c r="H112" s="7">
        <f>'Respuestas de formulario 1'!S112</f>
        <v>2023</v>
      </c>
      <c r="I112" s="7" t="str">
        <f>IFERROR(__xludf.DUMMYFUNCTION("IF('Respuestas de formulario 1'!I112="""","""",TO_TEXT('Respuestas de formulario 1'!I112))"),"Obra social")</f>
        <v>Obra social</v>
      </c>
      <c r="J112" s="7" t="str">
        <f>IFERROR(__xludf.DUMMYFUNCTION("IF('Respuestas de formulario 1'!J112&lt;&gt;"""",UPPER(TRIM(TO_TEXT('Respuestas de formulario 1'!J112))),IF('Respuestas de formulario 1'!O112&lt;&gt;"""",UPPER(TRIM(TO_TEXT('Respuestas de formulario 1'!O112))),""""))"),"APROSS")</f>
        <v>APROSS</v>
      </c>
      <c r="K112" s="7" t="str">
        <f>IFERROR(__xludf.DUMMYFUNCTION("IF('Respuestas de formulario 1'!K112="""","""",TO_TEXT('Respuestas de formulario 1'!K112))"),"")</f>
        <v/>
      </c>
      <c r="L112" s="7" t="str">
        <f>IFERROR(__xludf.DUMMYFUNCTION("IF('Respuestas de formulario 1'!L112="""","""",TO_TEXT('Respuestas de formulario 1'!L112))"),"")</f>
        <v/>
      </c>
      <c r="M112" s="7" t="str">
        <f>IFERROR(__xludf.DUMMYFUNCTION("IF('Respuestas de formulario 1'!M112="""","""",TO_TEXT('Respuestas de formulario 1'!M112))"),"")</f>
        <v/>
      </c>
      <c r="N112" s="7">
        <f t="shared" si="1"/>
        <v>2023</v>
      </c>
      <c r="O112" s="7" t="str">
        <f t="shared" si="2"/>
        <v>abril</v>
      </c>
      <c r="P112" s="7" t="s">
        <v>4428</v>
      </c>
    </row>
    <row r="113">
      <c r="A113" s="19">
        <f>'Respuestas de formulario 1'!A113</f>
        <v>45020.59384</v>
      </c>
      <c r="B113" s="7" t="str">
        <f>'Respuestas de formulario 1'!B113</f>
        <v>Diaz</v>
      </c>
      <c r="C113" s="7" t="str">
        <f>'Respuestas de formulario 1'!C113</f>
        <v>Kevin</v>
      </c>
      <c r="D113" s="7" t="str">
        <f>'Respuestas de formulario 1'!D113</f>
        <v>agustina.ramirez.582001@gmail.com</v>
      </c>
      <c r="E113" s="20">
        <f>'Respuestas de formulario 1'!E113</f>
        <v>36084</v>
      </c>
      <c r="F113" s="7">
        <f>'Respuestas de formulario 1'!F113</f>
        <v>41600420</v>
      </c>
      <c r="G113" s="7" t="str">
        <f>IFERROR(__xludf.DUMMYFUNCTION("IF('Respuestas de formulario 1'!G113="""","""",IF(LEFT(REGEXREPLACE(TO_TEXT('Respuestas de formulario 1'!G113),""[^0-9]"",""""),2)=""54"",""+""&amp;REGEXREPLACE(TO_TEXT('Respuestas de formulario 1'!G113),""[^0-9]"",""""),""+54""&amp;REGEXREPLACE(TO_TEXT('Respuest"&amp;"as de formulario 1'!G113),""[^0-9]"","""")))"),"+543541644433")</f>
        <v>+543541644433</v>
      </c>
      <c r="H113" s="7">
        <f>'Respuestas de formulario 1'!S113</f>
        <v>2023</v>
      </c>
      <c r="I113" s="7" t="str">
        <f>IFERROR(__xludf.DUMMYFUNCTION("IF('Respuestas de formulario 1'!I113="""","""",TO_TEXT('Respuestas de formulario 1'!I113))"),"Particular")</f>
        <v>Particular</v>
      </c>
      <c r="J113" s="7" t="str">
        <f>IFERROR(__xludf.DUMMYFUNCTION("IF('Respuestas de formulario 1'!J113&lt;&gt;"""",UPPER(TRIM(TO_TEXT('Respuestas de formulario 1'!J113))),IF('Respuestas de formulario 1'!O113&lt;&gt;"""",UPPER(TRIM(TO_TEXT('Respuestas de formulario 1'!O113))),""""))"),"")</f>
        <v/>
      </c>
      <c r="K113" s="7" t="str">
        <f>IFERROR(__xludf.DUMMYFUNCTION("IF('Respuestas de formulario 1'!K113="""","""",TO_TEXT('Respuestas de formulario 1'!K113))"),"")</f>
        <v/>
      </c>
      <c r="L113" s="7" t="str">
        <f>IFERROR(__xludf.DUMMYFUNCTION("IF('Respuestas de formulario 1'!L113="""","""",TO_TEXT('Respuestas de formulario 1'!L113))"),"")</f>
        <v/>
      </c>
      <c r="M113" s="7" t="str">
        <f>IFERROR(__xludf.DUMMYFUNCTION("IF('Respuestas de formulario 1'!M113="""","""",TO_TEXT('Respuestas de formulario 1'!M113))"),"")</f>
        <v/>
      </c>
      <c r="N113" s="7">
        <f t="shared" si="1"/>
        <v>2023</v>
      </c>
      <c r="O113" s="7" t="str">
        <f t="shared" si="2"/>
        <v>abril</v>
      </c>
      <c r="P113" s="7" t="s">
        <v>4430</v>
      </c>
    </row>
    <row r="114">
      <c r="A114" s="19">
        <f>'Respuestas de formulario 1'!A114</f>
        <v>45021.72223</v>
      </c>
      <c r="B114" s="7" t="str">
        <f>'Respuestas de formulario 1'!B114</f>
        <v>FRAIRE</v>
      </c>
      <c r="C114" s="7" t="str">
        <f>'Respuestas de formulario 1'!C114</f>
        <v>Fernando</v>
      </c>
      <c r="D114" s="7" t="str">
        <f>'Respuestas de formulario 1'!D114</f>
        <v>fluisf59@gmail.com</v>
      </c>
      <c r="E114" s="20">
        <f>'Respuestas de formulario 1'!E114</f>
        <v>21846</v>
      </c>
      <c r="F114" s="7">
        <f>'Respuestas de formulario 1'!F114</f>
        <v>13682442</v>
      </c>
      <c r="G114" s="7" t="str">
        <f>IFERROR(__xludf.DUMMYFUNCTION("IF('Respuestas de formulario 1'!G114="""","""",IF(LEFT(REGEXREPLACE(TO_TEXT('Respuestas de formulario 1'!G114),""[^0-9]"",""""),2)=""54"",""+""&amp;REGEXREPLACE(TO_TEXT('Respuestas de formulario 1'!G114),""[^0-9]"",""""),""+54""&amp;REGEXREPLACE(TO_TEXT('Respuest"&amp;"as de formulario 1'!G114),""[^0-9]"","""")))"),"+543513878291")</f>
        <v>+543513878291</v>
      </c>
      <c r="H114" s="7">
        <f>'Respuestas de formulario 1'!S114</f>
        <v>2023</v>
      </c>
      <c r="I114" s="7" t="str">
        <f>IFERROR(__xludf.DUMMYFUNCTION("IF('Respuestas de formulario 1'!I114="""","""",TO_TEXT('Respuestas de formulario 1'!I114))"),"Particular")</f>
        <v>Particular</v>
      </c>
      <c r="J114" s="7" t="str">
        <f>IFERROR(__xludf.DUMMYFUNCTION("IF('Respuestas de formulario 1'!J114&lt;&gt;"""",UPPER(TRIM(TO_TEXT('Respuestas de formulario 1'!J114))),IF('Respuestas de formulario 1'!O114&lt;&gt;"""",UPPER(TRIM(TO_TEXT('Respuestas de formulario 1'!O114))),""""))"),"")</f>
        <v/>
      </c>
      <c r="K114" s="7" t="str">
        <f>IFERROR(__xludf.DUMMYFUNCTION("IF('Respuestas de formulario 1'!K114="""","""",TO_TEXT('Respuestas de formulario 1'!K114))"),"")</f>
        <v/>
      </c>
      <c r="L114" s="7" t="str">
        <f>IFERROR(__xludf.DUMMYFUNCTION("IF('Respuestas de formulario 1'!L114="""","""",TO_TEXT('Respuestas de formulario 1'!L114))"),"")</f>
        <v/>
      </c>
      <c r="M114" s="7" t="str">
        <f>IFERROR(__xludf.DUMMYFUNCTION("IF('Respuestas de formulario 1'!M114="""","""",TO_TEXT('Respuestas de formulario 1'!M114))"),"")</f>
        <v/>
      </c>
      <c r="N114" s="7">
        <f t="shared" si="1"/>
        <v>2023</v>
      </c>
      <c r="O114" s="7" t="str">
        <f t="shared" si="2"/>
        <v>abril</v>
      </c>
      <c r="P114" s="7" t="s">
        <v>4432</v>
      </c>
    </row>
    <row r="115">
      <c r="A115" s="19">
        <f>'Respuestas de formulario 1'!A115</f>
        <v>45021.81251</v>
      </c>
      <c r="B115" s="7" t="str">
        <f>'Respuestas de formulario 1'!B115</f>
        <v>Bonaldi</v>
      </c>
      <c r="C115" s="7" t="str">
        <f>'Respuestas de formulario 1'!C115</f>
        <v>Damián </v>
      </c>
      <c r="D115" s="7" t="str">
        <f>'Respuestas de formulario 1'!D115</f>
        <v>damianbadbonaldi@yahoo.com.ar</v>
      </c>
      <c r="E115" s="20">
        <f>'Respuestas de formulario 1'!E115</f>
        <v>28411</v>
      </c>
      <c r="F115" s="7">
        <f>'Respuestas de formulario 1'!F115</f>
        <v>26178025</v>
      </c>
      <c r="G115" s="7" t="str">
        <f>IFERROR(__xludf.DUMMYFUNCTION("IF('Respuestas de formulario 1'!G115="""","""",IF(LEFT(REGEXREPLACE(TO_TEXT('Respuestas de formulario 1'!G115),""[^0-9]"",""""),2)=""54"",""+""&amp;REGEXREPLACE(TO_TEXT('Respuestas de formulario 1'!G115),""[^0-9]"",""""),""+54""&amp;REGEXREPLACE(TO_TEXT('Respuest"&amp;"as de formulario 1'!G115),""[^0-9]"","""")))"),"+543512261804")</f>
        <v>+543512261804</v>
      </c>
      <c r="H115" s="7">
        <f>'Respuestas de formulario 1'!S115</f>
        <v>2023</v>
      </c>
      <c r="I115" s="7" t="str">
        <f>IFERROR(__xludf.DUMMYFUNCTION("IF('Respuestas de formulario 1'!I115="""","""",TO_TEXT('Respuestas de formulario 1'!I115))"),"Obra social")</f>
        <v>Obra social</v>
      </c>
      <c r="J115" s="7" t="str">
        <f>IFERROR(__xludf.DUMMYFUNCTION("IF('Respuestas de formulario 1'!J115&lt;&gt;"""",UPPER(TRIM(TO_TEXT('Respuestas de formulario 1'!J115))),IF('Respuestas de formulario 1'!O115&lt;&gt;"""",UPPER(TRIM(TO_TEXT('Respuestas de formulario 1'!O115))),""""))"),"MEDIFE")</f>
        <v>MEDIFE</v>
      </c>
      <c r="K115" s="7" t="str">
        <f>IFERROR(__xludf.DUMMYFUNCTION("IF('Respuestas de formulario 1'!K115="""","""",TO_TEXT('Respuestas de formulario 1'!K115))"),"")</f>
        <v/>
      </c>
      <c r="L115" s="7" t="str">
        <f>IFERROR(__xludf.DUMMYFUNCTION("IF('Respuestas de formulario 1'!L115="""","""",TO_TEXT('Respuestas de formulario 1'!L115))"),"")</f>
        <v/>
      </c>
      <c r="M115" s="7" t="str">
        <f>IFERROR(__xludf.DUMMYFUNCTION("IF('Respuestas de formulario 1'!M115="""","""",TO_TEXT('Respuestas de formulario 1'!M115))"),"")</f>
        <v/>
      </c>
      <c r="N115" s="7">
        <f t="shared" si="1"/>
        <v>2023</v>
      </c>
      <c r="O115" s="7" t="str">
        <f t="shared" si="2"/>
        <v>abril</v>
      </c>
      <c r="P115" s="7" t="s">
        <v>4434</v>
      </c>
    </row>
    <row r="116">
      <c r="A116" s="19">
        <f>'Respuestas de formulario 1'!A116</f>
        <v>45026.44073</v>
      </c>
      <c r="B116" s="7" t="str">
        <f>'Respuestas de formulario 1'!B116</f>
        <v>Pussetto</v>
      </c>
      <c r="C116" s="7" t="str">
        <f>'Respuestas de formulario 1'!C116</f>
        <v>Lucas</v>
      </c>
      <c r="D116" s="7" t="str">
        <f>'Respuestas de formulario 1'!D116</f>
        <v>lucaspussetto@gmail.com</v>
      </c>
      <c r="E116" s="20">
        <f>'Respuestas de formulario 1'!E116</f>
        <v>45026</v>
      </c>
      <c r="F116" s="7">
        <f>'Respuestas de formulario 1'!F116</f>
        <v>34850736</v>
      </c>
      <c r="G116" s="7" t="str">
        <f>IFERROR(__xludf.DUMMYFUNCTION("IF('Respuestas de formulario 1'!G116="""","""",IF(LEFT(REGEXREPLACE(TO_TEXT('Respuestas de formulario 1'!G116),""[^0-9]"",""""),2)=""54"",""+""&amp;REGEXREPLACE(TO_TEXT('Respuestas de formulario 1'!G116),""[^0-9]"",""""),""+54""&amp;REGEXREPLACE(TO_TEXT('Respuest"&amp;"as de formulario 1'!G116),""[^0-9]"","""")))"),"+543512350238")</f>
        <v>+543512350238</v>
      </c>
      <c r="H116" s="7">
        <f>'Respuestas de formulario 1'!S116</f>
        <v>2023</v>
      </c>
      <c r="I116" s="7" t="str">
        <f>IFERROR(__xludf.DUMMYFUNCTION("IF('Respuestas de formulario 1'!I116="""","""",TO_TEXT('Respuestas de formulario 1'!I116))"),"Obra social")</f>
        <v>Obra social</v>
      </c>
      <c r="J116" s="7" t="str">
        <f>IFERROR(__xludf.DUMMYFUNCTION("IF('Respuestas de formulario 1'!J116&lt;&gt;"""",UPPER(TRIM(TO_TEXT('Respuestas de formulario 1'!J116))),IF('Respuestas de formulario 1'!O116&lt;&gt;"""",UPPER(TRIM(TO_TEXT('Respuestas de formulario 1'!O116))),""""))"),"FEDERADA SALUD")</f>
        <v>FEDERADA SALUD</v>
      </c>
      <c r="K116" s="7" t="str">
        <f>IFERROR(__xludf.DUMMYFUNCTION("IF('Respuestas de formulario 1'!K116="""","""",TO_TEXT('Respuestas de formulario 1'!K116))"),"")</f>
        <v/>
      </c>
      <c r="L116" s="7" t="str">
        <f>IFERROR(__xludf.DUMMYFUNCTION("IF('Respuestas de formulario 1'!L116="""","""",TO_TEXT('Respuestas de formulario 1'!L116))"),"")</f>
        <v/>
      </c>
      <c r="M116" s="7" t="str">
        <f>IFERROR(__xludf.DUMMYFUNCTION("IF('Respuestas de formulario 1'!M116="""","""",TO_TEXT('Respuestas de formulario 1'!M116))"),"")</f>
        <v/>
      </c>
      <c r="N116" s="7">
        <f t="shared" si="1"/>
        <v>2023</v>
      </c>
      <c r="O116" s="7" t="str">
        <f t="shared" si="2"/>
        <v>abril</v>
      </c>
      <c r="P116" s="7" t="s">
        <v>4436</v>
      </c>
    </row>
    <row r="117">
      <c r="A117" s="19">
        <f>'Respuestas de formulario 1'!A117</f>
        <v>45026.61465</v>
      </c>
      <c r="B117" s="7" t="str">
        <f>'Respuestas de formulario 1'!B117</f>
        <v>Medina</v>
      </c>
      <c r="C117" s="7" t="str">
        <f>'Respuestas de formulario 1'!C117</f>
        <v>Ana Paula </v>
      </c>
      <c r="D117" s="7" t="str">
        <f>'Respuestas de formulario 1'!D117</f>
        <v>apaulamedina26@gmail.com</v>
      </c>
      <c r="E117" s="20">
        <f>'Respuestas de formulario 1'!E117</f>
        <v>37433</v>
      </c>
      <c r="F117" s="7">
        <f>'Respuestas de formulario 1'!F117</f>
        <v>44193031</v>
      </c>
      <c r="G117" s="7" t="str">
        <f>IFERROR(__xludf.DUMMYFUNCTION("IF('Respuestas de formulario 1'!G117="""","""",IF(LEFT(REGEXREPLACE(TO_TEXT('Respuestas de formulario 1'!G117),""[^0-9]"",""""),2)=""54"",""+""&amp;REGEXREPLACE(TO_TEXT('Respuestas de formulario 1'!G117),""[^0-9]"",""""),""+54""&amp;REGEXREPLACE(TO_TEXT('Respuest"&amp;"as de formulario 1'!G117),""[^0-9]"","""")))"),"+543517184341")</f>
        <v>+543517184341</v>
      </c>
      <c r="H117" s="7">
        <f>'Respuestas de formulario 1'!S117</f>
        <v>2023</v>
      </c>
      <c r="I117" s="7" t="str">
        <f>IFERROR(__xludf.DUMMYFUNCTION("IF('Respuestas de formulario 1'!I117="""","""",TO_TEXT('Respuestas de formulario 1'!I117))"),"Particular")</f>
        <v>Particular</v>
      </c>
      <c r="J117" s="7" t="str">
        <f>IFERROR(__xludf.DUMMYFUNCTION("IF('Respuestas de formulario 1'!J117&lt;&gt;"""",UPPER(TRIM(TO_TEXT('Respuestas de formulario 1'!J117))),IF('Respuestas de formulario 1'!O117&lt;&gt;"""",UPPER(TRIM(TO_TEXT('Respuestas de formulario 1'!O117))),""""))"),"")</f>
        <v/>
      </c>
      <c r="K117" s="7" t="str">
        <f>IFERROR(__xludf.DUMMYFUNCTION("IF('Respuestas de formulario 1'!K117="""","""",TO_TEXT('Respuestas de formulario 1'!K117))"),"")</f>
        <v/>
      </c>
      <c r="L117" s="7" t="str">
        <f>IFERROR(__xludf.DUMMYFUNCTION("IF('Respuestas de formulario 1'!L117="""","""",TO_TEXT('Respuestas de formulario 1'!L117))"),"")</f>
        <v/>
      </c>
      <c r="M117" s="7" t="str">
        <f>IFERROR(__xludf.DUMMYFUNCTION("IF('Respuestas de formulario 1'!M117="""","""",TO_TEXT('Respuestas de formulario 1'!M117))"),"")</f>
        <v/>
      </c>
      <c r="N117" s="7">
        <f t="shared" si="1"/>
        <v>2023</v>
      </c>
      <c r="O117" s="7" t="str">
        <f t="shared" si="2"/>
        <v>abril</v>
      </c>
      <c r="P117" s="7" t="s">
        <v>4438</v>
      </c>
    </row>
    <row r="118">
      <c r="A118" s="19">
        <f>'Respuestas de formulario 1'!A118</f>
        <v>45027.44064</v>
      </c>
      <c r="B118" s="7" t="str">
        <f>'Respuestas de formulario 1'!B118</f>
        <v>Olivera</v>
      </c>
      <c r="C118" s="7" t="str">
        <f>'Respuestas de formulario 1'!C118</f>
        <v>Franco Emanuel</v>
      </c>
      <c r="D118" s="7" t="str">
        <f>'Respuestas de formulario 1'!D118</f>
        <v>franco_boca48@hotmail.com</v>
      </c>
      <c r="E118" s="20">
        <f>'Respuestas de formulario 1'!E118</f>
        <v>34465</v>
      </c>
      <c r="F118" s="7">
        <f>'Respuestas de formulario 1'!F118</f>
        <v>38411002</v>
      </c>
      <c r="G118" s="7" t="str">
        <f>IFERROR(__xludf.DUMMYFUNCTION("IF('Respuestas de formulario 1'!G118="""","""",IF(LEFT(REGEXREPLACE(TO_TEXT('Respuestas de formulario 1'!G118),""[^0-9]"",""""),2)=""54"",""+""&amp;REGEXREPLACE(TO_TEXT('Respuestas de formulario 1'!G118),""[^0-9]"",""""),""+54""&amp;REGEXREPLACE(TO_TEXT('Respuest"&amp;"as de formulario 1'!G118),""[^0-9]"","""")))"),"+543647613949")</f>
        <v>+543647613949</v>
      </c>
      <c r="H118" s="7">
        <f>'Respuestas de formulario 1'!S118</f>
        <v>2023</v>
      </c>
      <c r="I118" s="7" t="str">
        <f>IFERROR(__xludf.DUMMYFUNCTION("IF('Respuestas de formulario 1'!I118="""","""",TO_TEXT('Respuestas de formulario 1'!I118))"),"Particular")</f>
        <v>Particular</v>
      </c>
      <c r="J118" s="7" t="str">
        <f>IFERROR(__xludf.DUMMYFUNCTION("IF('Respuestas de formulario 1'!J118&lt;&gt;"""",UPPER(TRIM(TO_TEXT('Respuestas de formulario 1'!J118))),IF('Respuestas de formulario 1'!O118&lt;&gt;"""",UPPER(TRIM(TO_TEXT('Respuestas de formulario 1'!O118))),""""))"),"")</f>
        <v/>
      </c>
      <c r="K118" s="7" t="str">
        <f>IFERROR(__xludf.DUMMYFUNCTION("IF('Respuestas de formulario 1'!K118="""","""",TO_TEXT('Respuestas de formulario 1'!K118))"),"")</f>
        <v/>
      </c>
      <c r="L118" s="7" t="str">
        <f>IFERROR(__xludf.DUMMYFUNCTION("IF('Respuestas de formulario 1'!L118="""","""",TO_TEXT('Respuestas de formulario 1'!L118))"),"")</f>
        <v/>
      </c>
      <c r="M118" s="7" t="str">
        <f>IFERROR(__xludf.DUMMYFUNCTION("IF('Respuestas de formulario 1'!M118="""","""",TO_TEXT('Respuestas de formulario 1'!M118))"),"")</f>
        <v/>
      </c>
      <c r="N118" s="7">
        <f t="shared" si="1"/>
        <v>2023</v>
      </c>
      <c r="O118" s="7" t="str">
        <f t="shared" si="2"/>
        <v>abril</v>
      </c>
      <c r="P118" s="7" t="s">
        <v>4440</v>
      </c>
    </row>
    <row r="119">
      <c r="A119" s="19">
        <f>'Respuestas de formulario 1'!A119</f>
        <v>45028.66004</v>
      </c>
      <c r="B119" s="7" t="str">
        <f>'Respuestas de formulario 1'!B119</f>
        <v>Cavalli</v>
      </c>
      <c r="C119" s="7" t="str">
        <f>'Respuestas de formulario 1'!C119</f>
        <v>Cesar Matias </v>
      </c>
      <c r="D119" s="7" t="str">
        <f>'Respuestas de formulario 1'!D119</f>
        <v>cavallicesarmatias@gmail.com</v>
      </c>
      <c r="E119" s="20">
        <f>'Respuestas de formulario 1'!E119</f>
        <v>31438</v>
      </c>
      <c r="F119" s="7">
        <f>'Respuestas de formulario 1'!F119</f>
        <v>32099584</v>
      </c>
      <c r="G119" s="7" t="str">
        <f>IFERROR(__xludf.DUMMYFUNCTION("IF('Respuestas de formulario 1'!G119="""","""",IF(LEFT(REGEXREPLACE(TO_TEXT('Respuestas de formulario 1'!G119),""[^0-9]"",""""),2)=""54"",""+""&amp;REGEXREPLACE(TO_TEXT('Respuestas de formulario 1'!G119),""[^0-9]"",""""),""+54""&amp;REGEXREPLACE(TO_TEXT('Respuest"&amp;"as de formulario 1'!G119),""[^0-9]"","""")))"),"+543513967686")</f>
        <v>+543513967686</v>
      </c>
      <c r="H119" s="7">
        <f>'Respuestas de formulario 1'!S119</f>
        <v>2023</v>
      </c>
      <c r="I119" s="7" t="str">
        <f>IFERROR(__xludf.DUMMYFUNCTION("IF('Respuestas de formulario 1'!I119="""","""",TO_TEXT('Respuestas de formulario 1'!I119))"),"Obra social")</f>
        <v>Obra social</v>
      </c>
      <c r="J119" s="7" t="str">
        <f>IFERROR(__xludf.DUMMYFUNCTION("IF('Respuestas de formulario 1'!J119&lt;&gt;"""",UPPER(TRIM(TO_TEXT('Respuestas de formulario 1'!J119))),IF('Respuestas de formulario 1'!O119&lt;&gt;"""",UPPER(TRIM(TO_TEXT('Respuestas de formulario 1'!O119))),""""))"),"SANCOR")</f>
        <v>SANCOR</v>
      </c>
      <c r="K119" s="7" t="str">
        <f>IFERROR(__xludf.DUMMYFUNCTION("IF('Respuestas de formulario 1'!K119="""","""",TO_TEXT('Respuestas de formulario 1'!K119))"),"")</f>
        <v/>
      </c>
      <c r="L119" s="7" t="str">
        <f>IFERROR(__xludf.DUMMYFUNCTION("IF('Respuestas de formulario 1'!L119="""","""",TO_TEXT('Respuestas de formulario 1'!L119))"),"")</f>
        <v/>
      </c>
      <c r="M119" s="7" t="str">
        <f>IFERROR(__xludf.DUMMYFUNCTION("IF('Respuestas de formulario 1'!M119="""","""",TO_TEXT('Respuestas de formulario 1'!M119))"),"")</f>
        <v/>
      </c>
      <c r="N119" s="7">
        <f t="shared" si="1"/>
        <v>2023</v>
      </c>
      <c r="O119" s="7" t="str">
        <f t="shared" si="2"/>
        <v>abril</v>
      </c>
      <c r="P119" s="7" t="s">
        <v>4442</v>
      </c>
    </row>
    <row r="120">
      <c r="A120" s="19">
        <f>'Respuestas de formulario 1'!A120</f>
        <v>45028.73433</v>
      </c>
      <c r="B120" s="7" t="str">
        <f>'Respuestas de formulario 1'!B120</f>
        <v>Martinez</v>
      </c>
      <c r="C120" s="7" t="str">
        <f>'Respuestas de formulario 1'!C120</f>
        <v>Horacio </v>
      </c>
      <c r="D120" s="7" t="str">
        <f>'Respuestas de formulario 1'!D120</f>
        <v>mhoracioagustin@gmail.com</v>
      </c>
      <c r="E120" s="20">
        <f>'Respuestas de formulario 1'!E120</f>
        <v>35701</v>
      </c>
      <c r="F120" s="7">
        <f>'Respuestas de formulario 1'!F120</f>
        <v>40683198</v>
      </c>
      <c r="G120" s="7" t="str">
        <f>IFERROR(__xludf.DUMMYFUNCTION("IF('Respuestas de formulario 1'!G120="""","""",IF(LEFT(REGEXREPLACE(TO_TEXT('Respuestas de formulario 1'!G120),""[^0-9]"",""""),2)=""54"",""+""&amp;REGEXREPLACE(TO_TEXT('Respuestas de formulario 1'!G120),""[^0-9]"",""""),""+54""&amp;REGEXREPLACE(TO_TEXT('Respuest"&amp;"as de formulario 1'!G120),""[^0-9]"","""")))"),"+543512280898")</f>
        <v>+543512280898</v>
      </c>
      <c r="H120" s="7">
        <f>'Respuestas de formulario 1'!S120</f>
        <v>2023</v>
      </c>
      <c r="I120" s="7" t="str">
        <f>IFERROR(__xludf.DUMMYFUNCTION("IF('Respuestas de formulario 1'!I120="""","""",TO_TEXT('Respuestas de formulario 1'!I120))"),"Obra social")</f>
        <v>Obra social</v>
      </c>
      <c r="J120" s="7" t="str">
        <f>IFERROR(__xludf.DUMMYFUNCTION("IF('Respuestas de formulario 1'!J120&lt;&gt;"""",UPPER(TRIM(TO_TEXT('Respuestas de formulario 1'!J120))),IF('Respuestas de formulario 1'!O120&lt;&gt;"""",UPPER(TRIM(TO_TEXT('Respuestas de formulario 1'!O120))),""""))"),"DASPU")</f>
        <v>DASPU</v>
      </c>
      <c r="K120" s="7" t="str">
        <f>IFERROR(__xludf.DUMMYFUNCTION("IF('Respuestas de formulario 1'!K120="""","""",TO_TEXT('Respuestas de formulario 1'!K120))"),"")</f>
        <v/>
      </c>
      <c r="L120" s="7" t="str">
        <f>IFERROR(__xludf.DUMMYFUNCTION("IF('Respuestas de formulario 1'!L120="""","""",TO_TEXT('Respuestas de formulario 1'!L120))"),"")</f>
        <v/>
      </c>
      <c r="M120" s="7" t="str">
        <f>IFERROR(__xludf.DUMMYFUNCTION("IF('Respuestas de formulario 1'!M120="""","""",TO_TEXT('Respuestas de formulario 1'!M120))"),"")</f>
        <v/>
      </c>
      <c r="N120" s="7">
        <f t="shared" si="1"/>
        <v>2023</v>
      </c>
      <c r="O120" s="7" t="str">
        <f t="shared" si="2"/>
        <v>abril</v>
      </c>
      <c r="P120" s="7" t="s">
        <v>4444</v>
      </c>
    </row>
    <row r="121">
      <c r="A121" s="19">
        <f>'Respuestas de formulario 1'!A121</f>
        <v>45028.82723</v>
      </c>
      <c r="B121" s="7" t="str">
        <f>'Respuestas de formulario 1'!B121</f>
        <v>Ordóñez</v>
      </c>
      <c r="C121" s="7" t="str">
        <f>'Respuestas de formulario 1'!C121</f>
        <v>Santiago </v>
      </c>
      <c r="D121" s="7" t="str">
        <f>'Respuestas de formulario 1'!D121</f>
        <v>sordonez1951@gmail.com</v>
      </c>
      <c r="E121" s="20">
        <f>'Respuestas de formulario 1'!E121</f>
        <v>18645</v>
      </c>
      <c r="F121" s="7">
        <f>'Respuestas de formulario 1'!F121</f>
        <v>8531201</v>
      </c>
      <c r="G121" s="7" t="str">
        <f>IFERROR(__xludf.DUMMYFUNCTION("IF('Respuestas de formulario 1'!G121="""","""",IF(LEFT(REGEXREPLACE(TO_TEXT('Respuestas de formulario 1'!G121),""[^0-9]"",""""),2)=""54"",""+""&amp;REGEXREPLACE(TO_TEXT('Respuestas de formulario 1'!G121),""[^0-9]"",""""),""+54""&amp;REGEXREPLACE(TO_TEXT('Respuest"&amp;"as de formulario 1'!G121),""[^0-9]"","""")))"),"+543518070833")</f>
        <v>+543518070833</v>
      </c>
      <c r="H121" s="7">
        <f>'Respuestas de formulario 1'!S121</f>
        <v>2023</v>
      </c>
      <c r="I121" s="7" t="str">
        <f>IFERROR(__xludf.DUMMYFUNCTION("IF('Respuestas de formulario 1'!I121="""","""",TO_TEXT('Respuestas de formulario 1'!I121))"),"Particular")</f>
        <v>Particular</v>
      </c>
      <c r="J121" s="7" t="str">
        <f>IFERROR(__xludf.DUMMYFUNCTION("IF('Respuestas de formulario 1'!J121&lt;&gt;"""",UPPER(TRIM(TO_TEXT('Respuestas de formulario 1'!J121))),IF('Respuestas de formulario 1'!O121&lt;&gt;"""",UPPER(TRIM(TO_TEXT('Respuestas de formulario 1'!O121))),""""))"),"")</f>
        <v/>
      </c>
      <c r="K121" s="7" t="str">
        <f>IFERROR(__xludf.DUMMYFUNCTION("IF('Respuestas de formulario 1'!K121="""","""",TO_TEXT('Respuestas de formulario 1'!K121))"),"")</f>
        <v/>
      </c>
      <c r="L121" s="7" t="str">
        <f>IFERROR(__xludf.DUMMYFUNCTION("IF('Respuestas de formulario 1'!L121="""","""",TO_TEXT('Respuestas de formulario 1'!L121))"),"")</f>
        <v/>
      </c>
      <c r="M121" s="7" t="str">
        <f>IFERROR(__xludf.DUMMYFUNCTION("IF('Respuestas de formulario 1'!M121="""","""",TO_TEXT('Respuestas de formulario 1'!M121))"),"")</f>
        <v/>
      </c>
      <c r="N121" s="7">
        <f t="shared" si="1"/>
        <v>2023</v>
      </c>
      <c r="O121" s="7" t="str">
        <f t="shared" si="2"/>
        <v>abril</v>
      </c>
      <c r="P121" s="7" t="s">
        <v>4446</v>
      </c>
    </row>
    <row r="122">
      <c r="A122" s="19">
        <f>'Respuestas de formulario 1'!A122</f>
        <v>45030.457</v>
      </c>
      <c r="B122" s="7" t="str">
        <f>'Respuestas de formulario 1'!B122</f>
        <v>LIBRETTI</v>
      </c>
      <c r="C122" s="7" t="str">
        <f>'Respuestas de formulario 1'!C122</f>
        <v>Vanessa del rosario</v>
      </c>
      <c r="D122" s="7" t="str">
        <f>'Respuestas de formulario 1'!D122</f>
        <v>Vanelibretti@hotmail.com </v>
      </c>
      <c r="E122" s="20">
        <f>'Respuestas de formulario 1'!E122</f>
        <v>33214</v>
      </c>
      <c r="F122" s="7">
        <f>'Respuestas de formulario 1'!F122</f>
        <v>35572961</v>
      </c>
      <c r="G122" s="7" t="str">
        <f>IFERROR(__xludf.DUMMYFUNCTION("IF('Respuestas de formulario 1'!G122="""","""",IF(LEFT(REGEXREPLACE(TO_TEXT('Respuestas de formulario 1'!G122),""[^0-9]"",""""),2)=""54"",""+""&amp;REGEXREPLACE(TO_TEXT('Respuestas de formulario 1'!G122),""[^0-9]"",""""),""+54""&amp;REGEXREPLACE(TO_TEXT('Respuest"&amp;"as de formulario 1'!G122),""[^0-9]"","""")))"),"+543516427771")</f>
        <v>+543516427771</v>
      </c>
      <c r="H122" s="7">
        <f>'Respuestas de formulario 1'!S122</f>
        <v>2023</v>
      </c>
      <c r="I122" s="7" t="str">
        <f>IFERROR(__xludf.DUMMYFUNCTION("IF('Respuestas de formulario 1'!I122="""","""",TO_TEXT('Respuestas de formulario 1'!I122))"),"Obra social")</f>
        <v>Obra social</v>
      </c>
      <c r="J122" s="7" t="str">
        <f>IFERROR(__xludf.DUMMYFUNCTION("IF('Respuestas de formulario 1'!J122&lt;&gt;"""",UPPER(TRIM(TO_TEXT('Respuestas de formulario 1'!J122))),IF('Respuestas de formulario 1'!O122&lt;&gt;"""",UPPER(TRIM(TO_TEXT('Respuestas de formulario 1'!O122))),""""))"),"APROSS")</f>
        <v>APROSS</v>
      </c>
      <c r="K122" s="7" t="str">
        <f>IFERROR(__xludf.DUMMYFUNCTION("IF('Respuestas de formulario 1'!K122="""","""",TO_TEXT('Respuestas de formulario 1'!K122))"),"")</f>
        <v/>
      </c>
      <c r="L122" s="7" t="str">
        <f>IFERROR(__xludf.DUMMYFUNCTION("IF('Respuestas de formulario 1'!L122="""","""",TO_TEXT('Respuestas de formulario 1'!L122))"),"")</f>
        <v/>
      </c>
      <c r="M122" s="7" t="str">
        <f>IFERROR(__xludf.DUMMYFUNCTION("IF('Respuestas de formulario 1'!M122="""","""",TO_TEXT('Respuestas de formulario 1'!M122))"),"")</f>
        <v/>
      </c>
      <c r="N122" s="7">
        <f t="shared" si="1"/>
        <v>2023</v>
      </c>
      <c r="O122" s="7" t="str">
        <f t="shared" si="2"/>
        <v>abril</v>
      </c>
      <c r="P122" s="7" t="s">
        <v>4448</v>
      </c>
    </row>
    <row r="123">
      <c r="A123" s="19">
        <f>'Respuestas de formulario 1'!A123</f>
        <v>45033.71914</v>
      </c>
      <c r="B123" s="7" t="str">
        <f>'Respuestas de formulario 1'!B123</f>
        <v>Moretto</v>
      </c>
      <c r="C123" s="7" t="str">
        <f>'Respuestas de formulario 1'!C123</f>
        <v>Marcos</v>
      </c>
      <c r="D123" s="7" t="str">
        <f>'Respuestas de formulario 1'!D123</f>
        <v>Paco_95_pl@outlook.es</v>
      </c>
      <c r="E123" s="20">
        <f>'Respuestas de formulario 1'!E123</f>
        <v>34729</v>
      </c>
      <c r="F123" s="7">
        <f>'Respuestas de formulario 1'!F123</f>
        <v>38647401</v>
      </c>
      <c r="G123" s="7" t="str">
        <f>IFERROR(__xludf.DUMMYFUNCTION("IF('Respuestas de formulario 1'!G123="""","""",IF(LEFT(REGEXREPLACE(TO_TEXT('Respuestas de formulario 1'!G123),""[^0-9]"",""""),2)=""54"",""+""&amp;REGEXREPLACE(TO_TEXT('Respuestas de formulario 1'!G123),""[^0-9]"",""""),""+54""&amp;REGEXREPLACE(TO_TEXT('Respuest"&amp;"as de formulario 1'!G123),""[^0-9]"","""")))"),"+543512012248")</f>
        <v>+543512012248</v>
      </c>
      <c r="H123" s="7">
        <f>'Respuestas de formulario 1'!S123</f>
        <v>2023</v>
      </c>
      <c r="I123" s="7" t="str">
        <f>IFERROR(__xludf.DUMMYFUNCTION("IF('Respuestas de formulario 1'!I123="""","""",TO_TEXT('Respuestas de formulario 1'!I123))"),"Particular")</f>
        <v>Particular</v>
      </c>
      <c r="J123" s="7" t="str">
        <f>IFERROR(__xludf.DUMMYFUNCTION("IF('Respuestas de formulario 1'!J123&lt;&gt;"""",UPPER(TRIM(TO_TEXT('Respuestas de formulario 1'!J123))),IF('Respuestas de formulario 1'!O123&lt;&gt;"""",UPPER(TRIM(TO_TEXT('Respuestas de formulario 1'!O123))),""""))"),"")</f>
        <v/>
      </c>
      <c r="K123" s="7" t="str">
        <f>IFERROR(__xludf.DUMMYFUNCTION("IF('Respuestas de formulario 1'!K123="""","""",TO_TEXT('Respuestas de formulario 1'!K123))"),"")</f>
        <v/>
      </c>
      <c r="L123" s="7" t="str">
        <f>IFERROR(__xludf.DUMMYFUNCTION("IF('Respuestas de formulario 1'!L123="""","""",TO_TEXT('Respuestas de formulario 1'!L123))"),"")</f>
        <v/>
      </c>
      <c r="M123" s="7" t="str">
        <f>IFERROR(__xludf.DUMMYFUNCTION("IF('Respuestas de formulario 1'!M123="""","""",TO_TEXT('Respuestas de formulario 1'!M123))"),"")</f>
        <v/>
      </c>
      <c r="N123" s="7">
        <f t="shared" si="1"/>
        <v>2023</v>
      </c>
      <c r="O123" s="7" t="str">
        <f t="shared" si="2"/>
        <v>abril</v>
      </c>
      <c r="P123" s="7" t="s">
        <v>4450</v>
      </c>
    </row>
    <row r="124">
      <c r="A124" s="19">
        <f>'Respuestas de formulario 1'!A124</f>
        <v>45033.79089</v>
      </c>
      <c r="B124" s="7" t="str">
        <f>'Respuestas de formulario 1'!B124</f>
        <v>Gandini</v>
      </c>
      <c r="C124" s="7" t="str">
        <f>'Respuestas de formulario 1'!C124</f>
        <v>Sofia</v>
      </c>
      <c r="D124" s="7" t="str">
        <f>'Respuestas de formulario 1'!D124</f>
        <v>sofigandini93@gmail.com</v>
      </c>
      <c r="E124" s="20">
        <f>'Respuestas de formulario 1'!E124</f>
        <v>34228</v>
      </c>
      <c r="F124" s="7">
        <f>'Respuestas de formulario 1'!F124</f>
        <v>37618465</v>
      </c>
      <c r="G124" s="7" t="str">
        <f>IFERROR(__xludf.DUMMYFUNCTION("IF('Respuestas de formulario 1'!G124="""","""",IF(LEFT(REGEXREPLACE(TO_TEXT('Respuestas de formulario 1'!G124),""[^0-9]"",""""),2)=""54"",""+""&amp;REGEXREPLACE(TO_TEXT('Respuestas de formulario 1'!G124),""[^0-9]"",""""),""+54""&amp;REGEXREPLACE(TO_TEXT('Respuest"&amp;"as de formulario 1'!G124),""[^0-9]"","""")))"),"+543513082496")</f>
        <v>+543513082496</v>
      </c>
      <c r="H124" s="7">
        <f>'Respuestas de formulario 1'!S124</f>
        <v>2023</v>
      </c>
      <c r="I124" s="7" t="str">
        <f>IFERROR(__xludf.DUMMYFUNCTION("IF('Respuestas de formulario 1'!I124="""","""",TO_TEXT('Respuestas de formulario 1'!I124))"),"Obra social")</f>
        <v>Obra social</v>
      </c>
      <c r="J124" s="7" t="str">
        <f>IFERROR(__xludf.DUMMYFUNCTION("IF('Respuestas de formulario 1'!J124&lt;&gt;"""",UPPER(TRIM(TO_TEXT('Respuestas de formulario 1'!J124))),IF('Respuestas de formulario 1'!O124&lt;&gt;"""",UPPER(TRIM(TO_TEXT('Respuestas de formulario 1'!O124))),""""))"),"CPCE")</f>
        <v>CPCE</v>
      </c>
      <c r="K124" s="7" t="str">
        <f>IFERROR(__xludf.DUMMYFUNCTION("IF('Respuestas de formulario 1'!K124="""","""",TO_TEXT('Respuestas de formulario 1'!K124))"),"")</f>
        <v/>
      </c>
      <c r="L124" s="7" t="str">
        <f>IFERROR(__xludf.DUMMYFUNCTION("IF('Respuestas de formulario 1'!L124="""","""",TO_TEXT('Respuestas de formulario 1'!L124))"),"")</f>
        <v/>
      </c>
      <c r="M124" s="7" t="str">
        <f>IFERROR(__xludf.DUMMYFUNCTION("IF('Respuestas de formulario 1'!M124="""","""",TO_TEXT('Respuestas de formulario 1'!M124))"),"")</f>
        <v/>
      </c>
      <c r="N124" s="7">
        <f t="shared" si="1"/>
        <v>2023</v>
      </c>
      <c r="O124" s="7" t="str">
        <f t="shared" si="2"/>
        <v>abril</v>
      </c>
      <c r="P124" s="7" t="s">
        <v>4452</v>
      </c>
    </row>
    <row r="125">
      <c r="A125" s="19">
        <f>'Respuestas de formulario 1'!A125</f>
        <v>45035.46702</v>
      </c>
      <c r="B125" s="7" t="str">
        <f>'Respuestas de formulario 1'!B125</f>
        <v>LASCANO</v>
      </c>
      <c r="C125" s="7" t="str">
        <f>'Respuestas de formulario 1'!C125</f>
        <v>Stella</v>
      </c>
      <c r="D125" s="7" t="str">
        <f>'Respuestas de formulario 1'!D125</f>
        <v/>
      </c>
      <c r="E125" s="20">
        <f>'Respuestas de formulario 1'!E125</f>
        <v>16642</v>
      </c>
      <c r="F125" s="7">
        <f>'Respuestas de formulario 1'!F125</f>
        <v>5210099</v>
      </c>
      <c r="G125" s="7" t="str">
        <f>IFERROR(__xludf.DUMMYFUNCTION("IF('Respuestas de formulario 1'!G125="""","""",IF(LEFT(REGEXREPLACE(TO_TEXT('Respuestas de formulario 1'!G125),""[^0-9]"",""""),2)=""54"",""+""&amp;REGEXREPLACE(TO_TEXT('Respuestas de formulario 1'!G125),""[^0-9]"",""""),""+54""&amp;REGEXREPLACE(TO_TEXT('Respuest"&amp;"as de formulario 1'!G125),""[^0-9]"","""")))"),"+543512757694")</f>
        <v>+543512757694</v>
      </c>
      <c r="H125" s="7">
        <f>'Respuestas de formulario 1'!S125</f>
        <v>2023</v>
      </c>
      <c r="I125" s="7" t="str">
        <f>IFERROR(__xludf.DUMMYFUNCTION("IF('Respuestas de formulario 1'!I125="""","""",TO_TEXT('Respuestas de formulario 1'!I125))"),"Obra social")</f>
        <v>Obra social</v>
      </c>
      <c r="J125" s="7" t="str">
        <f>IFERROR(__xludf.DUMMYFUNCTION("IF('Respuestas de formulario 1'!J125&lt;&gt;"""",UPPER(TRIM(TO_TEXT('Respuestas de formulario 1'!J125))),IF('Respuestas de formulario 1'!O125&lt;&gt;"""",UPPER(TRIM(TO_TEXT('Respuestas de formulario 1'!O125))),""""))"),"APROSS")</f>
        <v>APROSS</v>
      </c>
      <c r="K125" s="7" t="str">
        <f>IFERROR(__xludf.DUMMYFUNCTION("IF('Respuestas de formulario 1'!K125="""","""",TO_TEXT('Respuestas de formulario 1'!K125))"),"")</f>
        <v/>
      </c>
      <c r="L125" s="7" t="str">
        <f>IFERROR(__xludf.DUMMYFUNCTION("IF('Respuestas de formulario 1'!L125="""","""",TO_TEXT('Respuestas de formulario 1'!L125))"),"")</f>
        <v/>
      </c>
      <c r="M125" s="7" t="str">
        <f>IFERROR(__xludf.DUMMYFUNCTION("IF('Respuestas de formulario 1'!M125="""","""",TO_TEXT('Respuestas de formulario 1'!M125))"),"")</f>
        <v/>
      </c>
      <c r="N125" s="7">
        <f t="shared" si="1"/>
        <v>2023</v>
      </c>
      <c r="O125" s="7" t="str">
        <f t="shared" si="2"/>
        <v>abril</v>
      </c>
      <c r="P125" s="7" t="s">
        <v>4454</v>
      </c>
    </row>
    <row r="126">
      <c r="A126" s="19">
        <f>'Respuestas de formulario 1'!A126</f>
        <v>45035.83349</v>
      </c>
      <c r="B126" s="7" t="str">
        <f>'Respuestas de formulario 1'!B126</f>
        <v>Brusco</v>
      </c>
      <c r="C126" s="7" t="str">
        <f>'Respuestas de formulario 1'!C126</f>
        <v>Lillian Maria</v>
      </c>
      <c r="D126" s="7" t="str">
        <f>'Respuestas de formulario 1'!D126</f>
        <v>lilibrusco@yahoo.com.ar</v>
      </c>
      <c r="E126" s="20">
        <f>'Respuestas de formulario 1'!E126</f>
        <v>24608</v>
      </c>
      <c r="F126" s="7">
        <f>'Respuestas de formulario 1'!F126</f>
        <v>18568759</v>
      </c>
      <c r="G126" s="7" t="str">
        <f>IFERROR(__xludf.DUMMYFUNCTION("IF('Respuestas de formulario 1'!G126="""","""",IF(LEFT(REGEXREPLACE(TO_TEXT('Respuestas de formulario 1'!G126),""[^0-9]"",""""),2)=""54"",""+""&amp;REGEXREPLACE(TO_TEXT('Respuestas de formulario 1'!G126),""[^0-9]"",""""),""+54""&amp;REGEXREPLACE(TO_TEXT('Respuest"&amp;"as de formulario 1'!G126),""[^0-9]"","""")))"),"+543516208417")</f>
        <v>+543516208417</v>
      </c>
      <c r="H126" s="7">
        <f>'Respuestas de formulario 1'!S126</f>
        <v>2023</v>
      </c>
      <c r="I126" s="7" t="str">
        <f>IFERROR(__xludf.DUMMYFUNCTION("IF('Respuestas de formulario 1'!I126="""","""",TO_TEXT('Respuestas de formulario 1'!I126))"),"Obra social")</f>
        <v>Obra social</v>
      </c>
      <c r="J126" s="7" t="str">
        <f>IFERROR(__xludf.DUMMYFUNCTION("IF('Respuestas de formulario 1'!J126&lt;&gt;"""",UPPER(TRIM(TO_TEXT('Respuestas de formulario 1'!J126))),IF('Respuestas de formulario 1'!O126&lt;&gt;"""",UPPER(TRIM(TO_TEXT('Respuestas de formulario 1'!O126))),""""))"),"APROSS")</f>
        <v>APROSS</v>
      </c>
      <c r="K126" s="7" t="str">
        <f>IFERROR(__xludf.DUMMYFUNCTION("IF('Respuestas de formulario 1'!K126="""","""",TO_TEXT('Respuestas de formulario 1'!K126))"),"")</f>
        <v/>
      </c>
      <c r="L126" s="7" t="str">
        <f>IFERROR(__xludf.DUMMYFUNCTION("IF('Respuestas de formulario 1'!L126="""","""",TO_TEXT('Respuestas de formulario 1'!L126))"),"")</f>
        <v/>
      </c>
      <c r="M126" s="7" t="str">
        <f>IFERROR(__xludf.DUMMYFUNCTION("IF('Respuestas de formulario 1'!M126="""","""",TO_TEXT('Respuestas de formulario 1'!M126))"),"")</f>
        <v/>
      </c>
      <c r="N126" s="7">
        <f t="shared" si="1"/>
        <v>2023</v>
      </c>
      <c r="O126" s="7" t="str">
        <f t="shared" si="2"/>
        <v>abril</v>
      </c>
      <c r="P126" s="7" t="s">
        <v>4455</v>
      </c>
    </row>
    <row r="127">
      <c r="A127" s="19">
        <f>'Respuestas de formulario 1'!A127</f>
        <v>45036.72471</v>
      </c>
      <c r="B127" s="7" t="str">
        <f>'Respuestas de formulario 1'!B127</f>
        <v>Pereyra </v>
      </c>
      <c r="C127" s="7" t="str">
        <f>'Respuestas de formulario 1'!C127</f>
        <v>Guadalupe </v>
      </c>
      <c r="D127" s="7" t="str">
        <f>'Respuestas de formulario 1'!D127</f>
        <v>Guadalupepereyrabrusco@gmail.com</v>
      </c>
      <c r="E127" s="20">
        <f>'Respuestas de formulario 1'!E127</f>
        <v>39972</v>
      </c>
      <c r="F127" s="7">
        <f>'Respuestas de formulario 1'!F127</f>
        <v>49555747</v>
      </c>
      <c r="G127" s="7" t="str">
        <f>IFERROR(__xludf.DUMMYFUNCTION("IF('Respuestas de formulario 1'!G127="""","""",IF(LEFT(REGEXREPLACE(TO_TEXT('Respuestas de formulario 1'!G127),""[^0-9]"",""""),2)=""54"",""+""&amp;REGEXREPLACE(TO_TEXT('Respuestas de formulario 1'!G127),""[^0-9]"",""""),""+54""&amp;REGEXREPLACE(TO_TEXT('Respuest"&amp;"as de formulario 1'!G127),""[^0-9]"","""")))"),"+543513565463")</f>
        <v>+543513565463</v>
      </c>
      <c r="H127" s="7">
        <f>'Respuestas de formulario 1'!S127</f>
        <v>2023</v>
      </c>
      <c r="I127" s="7" t="str">
        <f>IFERROR(__xludf.DUMMYFUNCTION("IF('Respuestas de formulario 1'!I127="""","""",TO_TEXT('Respuestas de formulario 1'!I127))"),"Obra social")</f>
        <v>Obra social</v>
      </c>
      <c r="J127" s="7" t="str">
        <f>IFERROR(__xludf.DUMMYFUNCTION("IF('Respuestas de formulario 1'!J127&lt;&gt;"""",UPPER(TRIM(TO_TEXT('Respuestas de formulario 1'!J127))),IF('Respuestas de formulario 1'!O127&lt;&gt;"""",UPPER(TRIM(TO_TEXT('Respuestas de formulario 1'!O127))),""""))"),"APROSS")</f>
        <v>APROSS</v>
      </c>
      <c r="K127" s="7" t="str">
        <f>IFERROR(__xludf.DUMMYFUNCTION("IF('Respuestas de formulario 1'!K127="""","""",TO_TEXT('Respuestas de formulario 1'!K127))"),"")</f>
        <v/>
      </c>
      <c r="L127" s="7" t="str">
        <f>IFERROR(__xludf.DUMMYFUNCTION("IF('Respuestas de formulario 1'!L127="""","""",TO_TEXT('Respuestas de formulario 1'!L127))"),"")</f>
        <v/>
      </c>
      <c r="M127" s="7" t="str">
        <f>IFERROR(__xludf.DUMMYFUNCTION("IF('Respuestas de formulario 1'!M127="""","""",TO_TEXT('Respuestas de formulario 1'!M127))"),"")</f>
        <v/>
      </c>
      <c r="N127" s="7">
        <f t="shared" si="1"/>
        <v>2023</v>
      </c>
      <c r="O127" s="7" t="str">
        <f t="shared" si="2"/>
        <v>abril</v>
      </c>
      <c r="P127" s="7" t="s">
        <v>4457</v>
      </c>
    </row>
    <row r="128">
      <c r="A128" s="19">
        <f>'Respuestas de formulario 1'!A128</f>
        <v>45037.46774</v>
      </c>
      <c r="B128" s="7" t="str">
        <f>'Respuestas de formulario 1'!B128</f>
        <v>Pucheta</v>
      </c>
      <c r="C128" s="7" t="str">
        <f>'Respuestas de formulario 1'!C128</f>
        <v>Facundo</v>
      </c>
      <c r="D128" s="7" t="str">
        <f>'Respuestas de formulario 1'!D128</f>
        <v>facupuche1995@gmail.com</v>
      </c>
      <c r="E128" s="20">
        <f>'Respuestas de formulario 1'!E128</f>
        <v>35043</v>
      </c>
      <c r="F128" s="7">
        <f>'Respuestas de formulario 1'!F128</f>
        <v>39421166</v>
      </c>
      <c r="G128" s="7" t="str">
        <f>IFERROR(__xludf.DUMMYFUNCTION("IF('Respuestas de formulario 1'!G128="""","""",IF(LEFT(REGEXREPLACE(TO_TEXT('Respuestas de formulario 1'!G128),""[^0-9]"",""""),2)=""54"",""+""&amp;REGEXREPLACE(TO_TEXT('Respuestas de formulario 1'!G128),""[^0-9]"",""""),""+54""&amp;REGEXREPLACE(TO_TEXT('Respuest"&amp;"as de formulario 1'!G128),""[^0-9]"","""")))"),"+543518061862")</f>
        <v>+543518061862</v>
      </c>
      <c r="H128" s="7">
        <f>'Respuestas de formulario 1'!S128</f>
        <v>2023</v>
      </c>
      <c r="I128" s="7" t="str">
        <f>IFERROR(__xludf.DUMMYFUNCTION("IF('Respuestas de formulario 1'!I128="""","""",TO_TEXT('Respuestas de formulario 1'!I128))"),"Obra social")</f>
        <v>Obra social</v>
      </c>
      <c r="J128" s="7" t="str">
        <f>IFERROR(__xludf.DUMMYFUNCTION("IF('Respuestas de formulario 1'!J128&lt;&gt;"""",UPPER(TRIM(TO_TEXT('Respuestas de formulario 1'!J128))),IF('Respuestas de formulario 1'!O128&lt;&gt;"""",UPPER(TRIM(TO_TEXT('Respuestas de formulario 1'!O128))),""""))"),"OSPIA")</f>
        <v>OSPIA</v>
      </c>
      <c r="K128" s="7" t="str">
        <f>IFERROR(__xludf.DUMMYFUNCTION("IF('Respuestas de formulario 1'!K128="""","""",TO_TEXT('Respuestas de formulario 1'!K128))"),"")</f>
        <v/>
      </c>
      <c r="L128" s="7" t="str">
        <f>IFERROR(__xludf.DUMMYFUNCTION("IF('Respuestas de formulario 1'!L128="""","""",TO_TEXT('Respuestas de formulario 1'!L128))"),"")</f>
        <v/>
      </c>
      <c r="M128" s="7" t="str">
        <f>IFERROR(__xludf.DUMMYFUNCTION("IF('Respuestas de formulario 1'!M128="""","""",TO_TEXT('Respuestas de formulario 1'!M128))"),"")</f>
        <v/>
      </c>
      <c r="N128" s="7">
        <f t="shared" si="1"/>
        <v>2023</v>
      </c>
      <c r="O128" s="7" t="str">
        <f t="shared" si="2"/>
        <v>abril</v>
      </c>
      <c r="P128" s="7" t="s">
        <v>4459</v>
      </c>
    </row>
    <row r="129">
      <c r="A129" s="19">
        <f>'Respuestas de formulario 1'!A129</f>
        <v>45040.46408</v>
      </c>
      <c r="B129" s="7" t="str">
        <f>'Respuestas de formulario 1'!B129</f>
        <v>Castro</v>
      </c>
      <c r="C129" s="7" t="str">
        <f>'Respuestas de formulario 1'!C129</f>
        <v>Ramiro</v>
      </c>
      <c r="D129" s="7" t="str">
        <f>'Respuestas de formulario 1'!D129</f>
        <v> Cesatro@hotmail.com</v>
      </c>
      <c r="E129" s="20">
        <f>'Respuestas de formulario 1'!E129</f>
        <v>38549</v>
      </c>
      <c r="F129" s="7">
        <f>'Respuestas de formulario 1'!F129</f>
        <v>49863919</v>
      </c>
      <c r="G129" s="7" t="str">
        <f>IFERROR(__xludf.DUMMYFUNCTION("IF('Respuestas de formulario 1'!G129="""","""",IF(LEFT(REGEXREPLACE(TO_TEXT('Respuestas de formulario 1'!G129),""[^0-9]"",""""),2)=""54"",""+""&amp;REGEXREPLACE(TO_TEXT('Respuestas de formulario 1'!G129),""[^0-9]"",""""),""+54""&amp;REGEXREPLACE(TO_TEXT('Respuest"&amp;"as de formulario 1'!G129),""[^0-9]"","""")))"),"+543517691077")</f>
        <v>+543517691077</v>
      </c>
      <c r="H129" s="7">
        <f>'Respuestas de formulario 1'!S129</f>
        <v>2023</v>
      </c>
      <c r="I129" s="7" t="str">
        <f>IFERROR(__xludf.DUMMYFUNCTION("IF('Respuestas de formulario 1'!I129="""","""",TO_TEXT('Respuestas de formulario 1'!I129))"),"Particular")</f>
        <v>Particular</v>
      </c>
      <c r="J129" s="7" t="str">
        <f>IFERROR(__xludf.DUMMYFUNCTION("IF('Respuestas de formulario 1'!J129&lt;&gt;"""",UPPER(TRIM(TO_TEXT('Respuestas de formulario 1'!J129))),IF('Respuestas de formulario 1'!O129&lt;&gt;"""",UPPER(TRIM(TO_TEXT('Respuestas de formulario 1'!O129))),""""))"),"")</f>
        <v/>
      </c>
      <c r="K129" s="7" t="str">
        <f>IFERROR(__xludf.DUMMYFUNCTION("IF('Respuestas de formulario 1'!K129="""","""",TO_TEXT('Respuestas de formulario 1'!K129))"),"")</f>
        <v/>
      </c>
      <c r="L129" s="7" t="str">
        <f>IFERROR(__xludf.DUMMYFUNCTION("IF('Respuestas de formulario 1'!L129="""","""",TO_TEXT('Respuestas de formulario 1'!L129))"),"")</f>
        <v/>
      </c>
      <c r="M129" s="7" t="str">
        <f>IFERROR(__xludf.DUMMYFUNCTION("IF('Respuestas de formulario 1'!M129="""","""",TO_TEXT('Respuestas de formulario 1'!M129))"),"")</f>
        <v/>
      </c>
      <c r="N129" s="7">
        <f t="shared" si="1"/>
        <v>2023</v>
      </c>
      <c r="O129" s="7" t="str">
        <f t="shared" si="2"/>
        <v>abril</v>
      </c>
      <c r="P129" s="7" t="s">
        <v>4461</v>
      </c>
    </row>
    <row r="130">
      <c r="A130" s="19">
        <f>'Respuestas de formulario 1'!A130</f>
        <v>45040.66878</v>
      </c>
      <c r="B130" s="7" t="str">
        <f>'Respuestas de formulario 1'!B130</f>
        <v>Ponce </v>
      </c>
      <c r="C130" s="7" t="str">
        <f>'Respuestas de formulario 1'!C130</f>
        <v>Lucas </v>
      </c>
      <c r="D130" s="7" t="str">
        <f>'Respuestas de formulario 1'!D130</f>
        <v>Lucasiponcev@gmail.com </v>
      </c>
      <c r="E130" s="20">
        <f>'Respuestas de formulario 1'!E130</f>
        <v>28488</v>
      </c>
      <c r="F130" s="7">
        <f>'Respuestas de formulario 1'!F130</f>
        <v>26313432</v>
      </c>
      <c r="G130" s="7" t="str">
        <f>IFERROR(__xludf.DUMMYFUNCTION("IF('Respuestas de formulario 1'!G130="""","""",IF(LEFT(REGEXREPLACE(TO_TEXT('Respuestas de formulario 1'!G130),""[^0-9]"",""""),2)=""54"",""+""&amp;REGEXREPLACE(TO_TEXT('Respuestas de formulario 1'!G130),""[^0-9]"",""""),""+54""&amp;REGEXREPLACE(TO_TEXT('Respuest"&amp;"as de formulario 1'!G130),""[^0-9]"","""")))"),"+543516789198")</f>
        <v>+543516789198</v>
      </c>
      <c r="H130" s="7">
        <f>'Respuestas de formulario 1'!S130</f>
        <v>2023</v>
      </c>
      <c r="I130" s="7" t="str">
        <f>IFERROR(__xludf.DUMMYFUNCTION("IF('Respuestas de formulario 1'!I130="""","""",TO_TEXT('Respuestas de formulario 1'!I130))"),"Particular")</f>
        <v>Particular</v>
      </c>
      <c r="J130" s="7" t="str">
        <f>IFERROR(__xludf.DUMMYFUNCTION("IF('Respuestas de formulario 1'!J130&lt;&gt;"""",UPPER(TRIM(TO_TEXT('Respuestas de formulario 1'!J130))),IF('Respuestas de formulario 1'!O130&lt;&gt;"""",UPPER(TRIM(TO_TEXT('Respuestas de formulario 1'!O130))),""""))"),"")</f>
        <v/>
      </c>
      <c r="K130" s="7" t="str">
        <f>IFERROR(__xludf.DUMMYFUNCTION("IF('Respuestas de formulario 1'!K130="""","""",TO_TEXT('Respuestas de formulario 1'!K130))"),"")</f>
        <v/>
      </c>
      <c r="L130" s="7" t="str">
        <f>IFERROR(__xludf.DUMMYFUNCTION("IF('Respuestas de formulario 1'!L130="""","""",TO_TEXT('Respuestas de formulario 1'!L130))"),"")</f>
        <v/>
      </c>
      <c r="M130" s="7" t="str">
        <f>IFERROR(__xludf.DUMMYFUNCTION("IF('Respuestas de formulario 1'!M130="""","""",TO_TEXT('Respuestas de formulario 1'!M130))"),"")</f>
        <v/>
      </c>
      <c r="N130" s="7">
        <f t="shared" si="1"/>
        <v>2023</v>
      </c>
      <c r="O130" s="7" t="str">
        <f t="shared" si="2"/>
        <v>abril</v>
      </c>
      <c r="P130" s="7" t="s">
        <v>4463</v>
      </c>
    </row>
    <row r="131">
      <c r="A131" s="19">
        <f>'Respuestas de formulario 1'!A131</f>
        <v>45040.67917</v>
      </c>
      <c r="B131" s="7" t="str">
        <f>'Respuestas de formulario 1'!B131</f>
        <v>ANTUNEZ</v>
      </c>
      <c r="C131" s="7" t="str">
        <f>'Respuestas de formulario 1'!C131</f>
        <v>JORGE ALEXANDER</v>
      </c>
      <c r="D131" s="7" t="str">
        <f>'Respuestas de formulario 1'!D131</f>
        <v>JORGEALEXANDERANTUNEZ@GMAIL.COM</v>
      </c>
      <c r="E131" s="20">
        <f>'Respuestas de formulario 1'!E131</f>
        <v>35977</v>
      </c>
      <c r="F131" s="7">
        <f>'Respuestas de formulario 1'!F131</f>
        <v>41502844</v>
      </c>
      <c r="G131" s="7" t="str">
        <f>IFERROR(__xludf.DUMMYFUNCTION("IF('Respuestas de formulario 1'!G131="""","""",IF(LEFT(REGEXREPLACE(TO_TEXT('Respuestas de formulario 1'!G131),""[^0-9]"",""""),2)=""54"",""+""&amp;REGEXREPLACE(TO_TEXT('Respuestas de formulario 1'!G131),""[^0-9]"",""""),""+54""&amp;REGEXREPLACE(TO_TEXT('Respuest"&amp;"as de formulario 1'!G131),""[^0-9]"","""")))"),"+543765221448")</f>
        <v>+543765221448</v>
      </c>
      <c r="H131" s="7">
        <f>'Respuestas de formulario 1'!S131</f>
        <v>2023</v>
      </c>
      <c r="I131" s="7" t="str">
        <f>IFERROR(__xludf.DUMMYFUNCTION("IF('Respuestas de formulario 1'!I131="""","""",TO_TEXT('Respuestas de formulario 1'!I131))"),"Particular")</f>
        <v>Particular</v>
      </c>
      <c r="J131" s="7" t="str">
        <f>IFERROR(__xludf.DUMMYFUNCTION("IF('Respuestas de formulario 1'!J131&lt;&gt;"""",UPPER(TRIM(TO_TEXT('Respuestas de formulario 1'!J131))),IF('Respuestas de formulario 1'!O131&lt;&gt;"""",UPPER(TRIM(TO_TEXT('Respuestas de formulario 1'!O131))),""""))"),"")</f>
        <v/>
      </c>
      <c r="K131" s="7" t="str">
        <f>IFERROR(__xludf.DUMMYFUNCTION("IF('Respuestas de formulario 1'!K131="""","""",TO_TEXT('Respuestas de formulario 1'!K131))"),"")</f>
        <v/>
      </c>
      <c r="L131" s="7" t="str">
        <f>IFERROR(__xludf.DUMMYFUNCTION("IF('Respuestas de formulario 1'!L131="""","""",TO_TEXT('Respuestas de formulario 1'!L131))"),"")</f>
        <v/>
      </c>
      <c r="M131" s="7" t="str">
        <f>IFERROR(__xludf.DUMMYFUNCTION("IF('Respuestas de formulario 1'!M131="""","""",TO_TEXT('Respuestas de formulario 1'!M131))"),"")</f>
        <v/>
      </c>
      <c r="N131" s="7">
        <f t="shared" si="1"/>
        <v>2023</v>
      </c>
      <c r="O131" s="7" t="str">
        <f t="shared" si="2"/>
        <v>abril</v>
      </c>
      <c r="P131" s="7" t="s">
        <v>4465</v>
      </c>
    </row>
    <row r="132">
      <c r="A132" s="19">
        <f>'Respuestas de formulario 1'!A132</f>
        <v>45041.35484</v>
      </c>
      <c r="B132" s="7" t="str">
        <f>'Respuestas de formulario 1'!B132</f>
        <v>AGUIRRE</v>
      </c>
      <c r="C132" s="7" t="str">
        <f>'Respuestas de formulario 1'!C132</f>
        <v>Juan</v>
      </c>
      <c r="D132" s="7" t="str">
        <f>'Respuestas de formulario 1'!D132</f>
        <v>-</v>
      </c>
      <c r="E132" s="20">
        <f>'Respuestas de formulario 1'!E132</f>
        <v>28464</v>
      </c>
      <c r="F132" s="7">
        <f>'Respuestas de formulario 1'!F132</f>
        <v>26181107</v>
      </c>
      <c r="G132" s="7" t="str">
        <f>IFERROR(__xludf.DUMMYFUNCTION("IF('Respuestas de formulario 1'!G132="""","""",IF(LEFT(REGEXREPLACE(TO_TEXT('Respuestas de formulario 1'!G132),""[^0-9]"",""""),2)=""54"",""+""&amp;REGEXREPLACE(TO_TEXT('Respuestas de formulario 1'!G132),""[^0-9]"",""""),""+54""&amp;REGEXREPLACE(TO_TEXT('Respuest"&amp;"as de formulario 1'!G132),""[^0-9]"","""")))"),"+543515094262")</f>
        <v>+543515094262</v>
      </c>
      <c r="H132" s="7">
        <f>'Respuestas de formulario 1'!S132</f>
        <v>2023</v>
      </c>
      <c r="I132" s="7" t="str">
        <f>IFERROR(__xludf.DUMMYFUNCTION("IF('Respuestas de formulario 1'!I132="""","""",TO_TEXT('Respuestas de formulario 1'!I132))"),"Obra social")</f>
        <v>Obra social</v>
      </c>
      <c r="J132" s="7" t="str">
        <f>IFERROR(__xludf.DUMMYFUNCTION("IF('Respuestas de formulario 1'!J132&lt;&gt;"""",UPPER(TRIM(TO_TEXT('Respuestas de formulario 1'!J132))),IF('Respuestas de formulario 1'!O132&lt;&gt;"""",UPPER(TRIM(TO_TEXT('Respuestas de formulario 1'!O132))),""""))"),"INTEGRAL SALUD")</f>
        <v>INTEGRAL SALUD</v>
      </c>
      <c r="K132" s="7" t="str">
        <f>IFERROR(__xludf.DUMMYFUNCTION("IF('Respuestas de formulario 1'!K132="""","""",TO_TEXT('Respuestas de formulario 1'!K132))"),"")</f>
        <v/>
      </c>
      <c r="L132" s="7" t="str">
        <f>IFERROR(__xludf.DUMMYFUNCTION("IF('Respuestas de formulario 1'!L132="""","""",TO_TEXT('Respuestas de formulario 1'!L132))"),"")</f>
        <v/>
      </c>
      <c r="M132" s="7" t="str">
        <f>IFERROR(__xludf.DUMMYFUNCTION("IF('Respuestas de formulario 1'!M132="""","""",TO_TEXT('Respuestas de formulario 1'!M132))"),"")</f>
        <v/>
      </c>
      <c r="N132" s="7">
        <f t="shared" si="1"/>
        <v>2023</v>
      </c>
      <c r="O132" s="7" t="str">
        <f t="shared" si="2"/>
        <v>abril</v>
      </c>
      <c r="P132" s="7" t="s">
        <v>4467</v>
      </c>
    </row>
    <row r="133">
      <c r="A133" s="19">
        <f>'Respuestas de formulario 1'!A133</f>
        <v>45041.92086</v>
      </c>
      <c r="B133" s="7" t="str">
        <f>'Respuestas de formulario 1'!B133</f>
        <v>Martinez</v>
      </c>
      <c r="C133" s="7" t="str">
        <f>'Respuestas de formulario 1'!C133</f>
        <v>Facundo</v>
      </c>
      <c r="D133" s="7" t="str">
        <f>'Respuestas de formulario 1'!D133</f>
        <v>Facundom_15@hotmail.com</v>
      </c>
      <c r="E133" s="20">
        <f>'Respuestas de formulario 1'!E133</f>
        <v>35598</v>
      </c>
      <c r="F133" s="7">
        <f>'Respuestas de formulario 1'!F133</f>
        <v>40401993</v>
      </c>
      <c r="G133" s="7" t="str">
        <f>IFERROR(__xludf.DUMMYFUNCTION("IF('Respuestas de formulario 1'!G133="""","""",IF(LEFT(REGEXREPLACE(TO_TEXT('Respuestas de formulario 1'!G133),""[^0-9]"",""""),2)=""54"",""+""&amp;REGEXREPLACE(TO_TEXT('Respuestas de formulario 1'!G133),""[^0-9]"",""""),""+54""&amp;REGEXREPLACE(TO_TEXT('Respuest"&amp;"as de formulario 1'!G133),""[^0-9]"","""")))"),"+543513890655")</f>
        <v>+543513890655</v>
      </c>
      <c r="H133" s="7">
        <f>'Respuestas de formulario 1'!S133</f>
        <v>2023</v>
      </c>
      <c r="I133" s="7" t="str">
        <f>IFERROR(__xludf.DUMMYFUNCTION("IF('Respuestas de formulario 1'!I133="""","""",TO_TEXT('Respuestas de formulario 1'!I133))"),"Obra social")</f>
        <v>Obra social</v>
      </c>
      <c r="J133" s="7" t="str">
        <f>IFERROR(__xludf.DUMMYFUNCTION("IF('Respuestas de formulario 1'!J133&lt;&gt;"""",UPPER(TRIM(TO_TEXT('Respuestas de formulario 1'!J133))),IF('Respuestas de formulario 1'!O133&lt;&gt;"""",UPPER(TRIM(TO_TEXT('Respuestas de formulario 1'!O133))),""""))"),"PREVENCIÓN")</f>
        <v>PREVENCIÓN</v>
      </c>
      <c r="K133" s="7" t="str">
        <f>IFERROR(__xludf.DUMMYFUNCTION("IF('Respuestas de formulario 1'!K133="""","""",TO_TEXT('Respuestas de formulario 1'!K133))"),"")</f>
        <v/>
      </c>
      <c r="L133" s="7" t="str">
        <f>IFERROR(__xludf.DUMMYFUNCTION("IF('Respuestas de formulario 1'!L133="""","""",TO_TEXT('Respuestas de formulario 1'!L133))"),"")</f>
        <v/>
      </c>
      <c r="M133" s="7" t="str">
        <f>IFERROR(__xludf.DUMMYFUNCTION("IF('Respuestas de formulario 1'!M133="""","""",TO_TEXT('Respuestas de formulario 1'!M133))"),"")</f>
        <v/>
      </c>
      <c r="N133" s="7">
        <f t="shared" si="1"/>
        <v>2023</v>
      </c>
      <c r="O133" s="7" t="str">
        <f t="shared" si="2"/>
        <v>abril</v>
      </c>
      <c r="P133" s="7" t="s">
        <v>4469</v>
      </c>
    </row>
    <row r="134">
      <c r="A134" s="19">
        <f>'Respuestas de formulario 1'!A134</f>
        <v>45042.75548</v>
      </c>
      <c r="B134" s="7" t="str">
        <f>'Respuestas de formulario 1'!B134</f>
        <v>Marques</v>
      </c>
      <c r="C134" s="7" t="str">
        <f>'Respuestas de formulario 1'!C134</f>
        <v>Patricia</v>
      </c>
      <c r="D134" s="7" t="str">
        <f>'Respuestas de formulario 1'!D134</f>
        <v/>
      </c>
      <c r="E134" s="20">
        <f>'Respuestas de formulario 1'!E134</f>
        <v>23601</v>
      </c>
      <c r="F134" s="7">
        <f>'Respuestas de formulario 1'!F134</f>
        <v>16731338</v>
      </c>
      <c r="G134" s="7" t="str">
        <f>IFERROR(__xludf.DUMMYFUNCTION("IF('Respuestas de formulario 1'!G134="""","""",IF(LEFT(REGEXREPLACE(TO_TEXT('Respuestas de formulario 1'!G134),""[^0-9]"",""""),2)=""54"",""+""&amp;REGEXREPLACE(TO_TEXT('Respuestas de formulario 1'!G134),""[^0-9]"",""""),""+54""&amp;REGEXREPLACE(TO_TEXT('Respuest"&amp;"as de formulario 1'!G134),""[^0-9]"","""")))"),"+542964454765")</f>
        <v>+542964454765</v>
      </c>
      <c r="H134" s="7">
        <f>'Respuestas de formulario 1'!S134</f>
        <v>2023</v>
      </c>
      <c r="I134" s="7" t="str">
        <f>IFERROR(__xludf.DUMMYFUNCTION("IF('Respuestas de formulario 1'!I134="""","""",TO_TEXT('Respuestas de formulario 1'!I134))"),"Particular")</f>
        <v>Particular</v>
      </c>
      <c r="J134" s="7" t="str">
        <f>IFERROR(__xludf.DUMMYFUNCTION("IF('Respuestas de formulario 1'!J134&lt;&gt;"""",UPPER(TRIM(TO_TEXT('Respuestas de formulario 1'!J134))),IF('Respuestas de formulario 1'!O134&lt;&gt;"""",UPPER(TRIM(TO_TEXT('Respuestas de formulario 1'!O134))),""""))"),"")</f>
        <v/>
      </c>
      <c r="K134" s="7" t="str">
        <f>IFERROR(__xludf.DUMMYFUNCTION("IF('Respuestas de formulario 1'!K134="""","""",TO_TEXT('Respuestas de formulario 1'!K134))"),"")</f>
        <v/>
      </c>
      <c r="L134" s="7" t="str">
        <f>IFERROR(__xludf.DUMMYFUNCTION("IF('Respuestas de formulario 1'!L134="""","""",TO_TEXT('Respuestas de formulario 1'!L134))"),"")</f>
        <v/>
      </c>
      <c r="M134" s="7" t="str">
        <f>IFERROR(__xludf.DUMMYFUNCTION("IF('Respuestas de formulario 1'!M134="""","""",TO_TEXT('Respuestas de formulario 1'!M134))"),"")</f>
        <v/>
      </c>
      <c r="N134" s="7">
        <f t="shared" si="1"/>
        <v>2023</v>
      </c>
      <c r="O134" s="7" t="str">
        <f t="shared" si="2"/>
        <v>abril</v>
      </c>
      <c r="P134" s="7" t="s">
        <v>4471</v>
      </c>
    </row>
    <row r="135">
      <c r="A135" s="19">
        <f>'Respuestas de formulario 1'!A135</f>
        <v>45043.77889</v>
      </c>
      <c r="B135" s="7" t="str">
        <f>'Respuestas de formulario 1'!B135</f>
        <v>Araujo</v>
      </c>
      <c r="C135" s="7" t="str">
        <f>'Respuestas de formulario 1'!C135</f>
        <v>Cledy</v>
      </c>
      <c r="D135" s="7" t="str">
        <f>'Respuestas de formulario 1'!D135</f>
        <v/>
      </c>
      <c r="E135" s="20">
        <f>'Respuestas de formulario 1'!E135</f>
        <v>12837</v>
      </c>
      <c r="F135" s="7">
        <f>'Respuestas de formulario 1'!F135</f>
        <v>1398602</v>
      </c>
      <c r="G135" s="7" t="str">
        <f>IFERROR(__xludf.DUMMYFUNCTION("IF('Respuestas de formulario 1'!G135="""","""",IF(LEFT(REGEXREPLACE(TO_TEXT('Respuestas de formulario 1'!G135),""[^0-9]"",""""),2)=""54"",""+""&amp;REGEXREPLACE(TO_TEXT('Respuestas de formulario 1'!G135),""[^0-9]"",""""),""+54""&amp;REGEXREPLACE(TO_TEXT('Respuest"&amp;"as de formulario 1'!G135),""[^0-9]"","""")))"),"+543584838207")</f>
        <v>+543584838207</v>
      </c>
      <c r="H135" s="7">
        <f>'Respuestas de formulario 1'!S135</f>
        <v>2023</v>
      </c>
      <c r="I135" s="7" t="str">
        <f>IFERROR(__xludf.DUMMYFUNCTION("IF('Respuestas de formulario 1'!I135="""","""",TO_TEXT('Respuestas de formulario 1'!I135))"),"Obra social")</f>
        <v>Obra social</v>
      </c>
      <c r="J135" s="7" t="str">
        <f>IFERROR(__xludf.DUMMYFUNCTION("IF('Respuestas de formulario 1'!J135&lt;&gt;"""",UPPER(TRIM(TO_TEXT('Respuestas de formulario 1'!J135))),IF('Respuestas de formulario 1'!O135&lt;&gt;"""",UPPER(TRIM(TO_TEXT('Respuestas de formulario 1'!O135))),""""))"),"APROSS")</f>
        <v>APROSS</v>
      </c>
      <c r="K135" s="7" t="str">
        <f>IFERROR(__xludf.DUMMYFUNCTION("IF('Respuestas de formulario 1'!K135="""","""",TO_TEXT('Respuestas de formulario 1'!K135))"),"")</f>
        <v/>
      </c>
      <c r="L135" s="7" t="str">
        <f>IFERROR(__xludf.DUMMYFUNCTION("IF('Respuestas de formulario 1'!L135="""","""",TO_TEXT('Respuestas de formulario 1'!L135))"),"")</f>
        <v/>
      </c>
      <c r="M135" s="7" t="str">
        <f>IFERROR(__xludf.DUMMYFUNCTION("IF('Respuestas de formulario 1'!M135="""","""",TO_TEXT('Respuestas de formulario 1'!M135))"),"")</f>
        <v/>
      </c>
      <c r="N135" s="7">
        <f t="shared" si="1"/>
        <v>2023</v>
      </c>
      <c r="O135" s="7" t="str">
        <f t="shared" si="2"/>
        <v>abril</v>
      </c>
      <c r="P135" s="7" t="s">
        <v>4473</v>
      </c>
    </row>
    <row r="136">
      <c r="A136" s="19">
        <f>'Respuestas de formulario 1'!A136</f>
        <v>45043.82226</v>
      </c>
      <c r="B136" s="7" t="str">
        <f>'Respuestas de formulario 1'!B136</f>
        <v>Barrios </v>
      </c>
      <c r="C136" s="7" t="str">
        <f>'Respuestas de formulario 1'!C136</f>
        <v>Rita</v>
      </c>
      <c r="D136" s="7" t="str">
        <f>'Respuestas de formulario 1'!D136</f>
        <v>ritaebarrios@hotmail.com</v>
      </c>
      <c r="E136" s="20">
        <f>'Respuestas de formulario 1'!E136</f>
        <v>45037</v>
      </c>
      <c r="F136" s="7">
        <f>'Respuestas de formulario 1'!F136</f>
        <v>27585767</v>
      </c>
      <c r="G136" s="7" t="str">
        <f>IFERROR(__xludf.DUMMYFUNCTION("IF('Respuestas de formulario 1'!G136="""","""",IF(LEFT(REGEXREPLACE(TO_TEXT('Respuestas de formulario 1'!G136),""[^0-9]"",""""),2)=""54"",""+""&amp;REGEXREPLACE(TO_TEXT('Respuestas de formulario 1'!G136),""[^0-9]"",""""),""+54""&amp;REGEXREPLACE(TO_TEXT('Respuest"&amp;"as de formulario 1'!G136),""[^0-9]"","""")))"),"+543515217761")</f>
        <v>+543515217761</v>
      </c>
      <c r="H136" s="7">
        <f>'Respuestas de formulario 1'!S136</f>
        <v>2023</v>
      </c>
      <c r="I136" s="7" t="str">
        <f>IFERROR(__xludf.DUMMYFUNCTION("IF('Respuestas de formulario 1'!I136="""","""",TO_TEXT('Respuestas de formulario 1'!I136))"),"Obra social")</f>
        <v>Obra social</v>
      </c>
      <c r="J136" s="7" t="str">
        <f>IFERROR(__xludf.DUMMYFUNCTION("IF('Respuestas de formulario 1'!J136&lt;&gt;"""",UPPER(TRIM(TO_TEXT('Respuestas de formulario 1'!J136))),IF('Respuestas de formulario 1'!O136&lt;&gt;"""",UPPER(TRIM(TO_TEXT('Respuestas de formulario 1'!O136))),""""))"),"DASPU")</f>
        <v>DASPU</v>
      </c>
      <c r="K136" s="7" t="str">
        <f>IFERROR(__xludf.DUMMYFUNCTION("IF('Respuestas de formulario 1'!K136="""","""",TO_TEXT('Respuestas de formulario 1'!K136))"),"")</f>
        <v/>
      </c>
      <c r="L136" s="7" t="str">
        <f>IFERROR(__xludf.DUMMYFUNCTION("IF('Respuestas de formulario 1'!L136="""","""",TO_TEXT('Respuestas de formulario 1'!L136))"),"")</f>
        <v/>
      </c>
      <c r="M136" s="7" t="str">
        <f>IFERROR(__xludf.DUMMYFUNCTION("IF('Respuestas de formulario 1'!M136="""","""",TO_TEXT('Respuestas de formulario 1'!M136))"),"")</f>
        <v/>
      </c>
      <c r="N136" s="7">
        <f t="shared" si="1"/>
        <v>2023</v>
      </c>
      <c r="O136" s="7" t="str">
        <f t="shared" si="2"/>
        <v>abril</v>
      </c>
      <c r="P136" s="7" t="s">
        <v>4475</v>
      </c>
    </row>
    <row r="137">
      <c r="A137" s="19">
        <f>'Respuestas de formulario 1'!A137</f>
        <v>45044.47808</v>
      </c>
      <c r="B137" s="7" t="str">
        <f>'Respuestas de formulario 1'!B137</f>
        <v>CARRION</v>
      </c>
      <c r="C137" s="7" t="str">
        <f>'Respuestas de formulario 1'!C137</f>
        <v>Miriam</v>
      </c>
      <c r="D137" s="7" t="str">
        <f>'Respuestas de formulario 1'!D137</f>
        <v>-</v>
      </c>
      <c r="E137" s="20">
        <f>'Respuestas de formulario 1'!E137</f>
        <v>19873</v>
      </c>
      <c r="F137" s="7">
        <f>'Respuestas de formulario 1'!F137</f>
        <v>11054167</v>
      </c>
      <c r="G137" s="7" t="str">
        <f>IFERROR(__xludf.DUMMYFUNCTION("IF('Respuestas de formulario 1'!G137="""","""",IF(LEFT(REGEXREPLACE(TO_TEXT('Respuestas de formulario 1'!G137),""[^0-9]"",""""),2)=""54"",""+""&amp;REGEXREPLACE(TO_TEXT('Respuestas de formulario 1'!G137),""[^0-9]"",""""),""+54""&amp;REGEXREPLACE(TO_TEXT('Respuest"&amp;"as de formulario 1'!G137),""[^0-9]"","""")))"),"+543513026863")</f>
        <v>+543513026863</v>
      </c>
      <c r="H137" s="7">
        <f>'Respuestas de formulario 1'!S137</f>
        <v>2023</v>
      </c>
      <c r="I137" s="7" t="str">
        <f>IFERROR(__xludf.DUMMYFUNCTION("IF('Respuestas de formulario 1'!I137="""","""",TO_TEXT('Respuestas de formulario 1'!I137))"),"Particular")</f>
        <v>Particular</v>
      </c>
      <c r="J137" s="7" t="str">
        <f>IFERROR(__xludf.DUMMYFUNCTION("IF('Respuestas de formulario 1'!J137&lt;&gt;"""",UPPER(TRIM(TO_TEXT('Respuestas de formulario 1'!J137))),IF('Respuestas de formulario 1'!O137&lt;&gt;"""",UPPER(TRIM(TO_TEXT('Respuestas de formulario 1'!O137))),""""))"),"")</f>
        <v/>
      </c>
      <c r="K137" s="7" t="str">
        <f>IFERROR(__xludf.DUMMYFUNCTION("IF('Respuestas de formulario 1'!K137="""","""",TO_TEXT('Respuestas de formulario 1'!K137))"),"")</f>
        <v/>
      </c>
      <c r="L137" s="7" t="str">
        <f>IFERROR(__xludf.DUMMYFUNCTION("IF('Respuestas de formulario 1'!L137="""","""",TO_TEXT('Respuestas de formulario 1'!L137))"),"")</f>
        <v/>
      </c>
      <c r="M137" s="7" t="str">
        <f>IFERROR(__xludf.DUMMYFUNCTION("IF('Respuestas de formulario 1'!M137="""","""",TO_TEXT('Respuestas de formulario 1'!M137))"),"")</f>
        <v/>
      </c>
      <c r="N137" s="7">
        <f t="shared" si="1"/>
        <v>2023</v>
      </c>
      <c r="O137" s="7" t="str">
        <f t="shared" si="2"/>
        <v>abril</v>
      </c>
      <c r="P137" s="7" t="s">
        <v>4477</v>
      </c>
    </row>
    <row r="138">
      <c r="A138" s="19">
        <f>'Respuestas de formulario 1'!A138</f>
        <v>45044.77125</v>
      </c>
      <c r="B138" s="7" t="str">
        <f>'Respuestas de formulario 1'!B138</f>
        <v>Velez</v>
      </c>
      <c r="C138" s="7" t="str">
        <f>'Respuestas de formulario 1'!C138</f>
        <v>Soledad</v>
      </c>
      <c r="D138" s="7" t="str">
        <f>'Respuestas de formulario 1'!D138</f>
        <v>mariasoledad.velez@gmail.com</v>
      </c>
      <c r="E138" s="20">
        <f>'Respuestas de formulario 1'!E138</f>
        <v>28732</v>
      </c>
      <c r="F138" s="7">
        <f>'Respuestas de formulario 1'!F138</f>
        <v>26815242</v>
      </c>
      <c r="G138" s="7" t="str">
        <f>IFERROR(__xludf.DUMMYFUNCTION("IF('Respuestas de formulario 1'!G138="""","""",IF(LEFT(REGEXREPLACE(TO_TEXT('Respuestas de formulario 1'!G138),""[^0-9]"",""""),2)=""54"",""+""&amp;REGEXREPLACE(TO_TEXT('Respuestas de formulario 1'!G138),""[^0-9]"",""""),""+54""&amp;REGEXREPLACE(TO_TEXT('Respuest"&amp;"as de formulario 1'!G138),""[^0-9]"","""")))"),"+543513918579")</f>
        <v>+543513918579</v>
      </c>
      <c r="H138" s="7">
        <f>'Respuestas de formulario 1'!S138</f>
        <v>2023</v>
      </c>
      <c r="I138" s="7" t="str">
        <f>IFERROR(__xludf.DUMMYFUNCTION("IF('Respuestas de formulario 1'!I138="""","""",TO_TEXT('Respuestas de formulario 1'!I138))"),"Obra social")</f>
        <v>Obra social</v>
      </c>
      <c r="J138" s="7" t="str">
        <f>IFERROR(__xludf.DUMMYFUNCTION("IF('Respuestas de formulario 1'!J138&lt;&gt;"""",UPPER(TRIM(TO_TEXT('Respuestas de formulario 1'!J138))),IF('Respuestas de formulario 1'!O138&lt;&gt;"""",UPPER(TRIM(TO_TEXT('Respuestas de formulario 1'!O138))),""""))"),"MEDIFE")</f>
        <v>MEDIFE</v>
      </c>
      <c r="K138" s="7" t="str">
        <f>IFERROR(__xludf.DUMMYFUNCTION("IF('Respuestas de formulario 1'!K138="""","""",TO_TEXT('Respuestas de formulario 1'!K138))"),"")</f>
        <v/>
      </c>
      <c r="L138" s="7" t="str">
        <f>IFERROR(__xludf.DUMMYFUNCTION("IF('Respuestas de formulario 1'!L138="""","""",TO_TEXT('Respuestas de formulario 1'!L138))"),"")</f>
        <v/>
      </c>
      <c r="M138" s="7" t="str">
        <f>IFERROR(__xludf.DUMMYFUNCTION("IF('Respuestas de formulario 1'!M138="""","""",TO_TEXT('Respuestas de formulario 1'!M138))"),"")</f>
        <v/>
      </c>
      <c r="N138" s="7">
        <f t="shared" si="1"/>
        <v>2023</v>
      </c>
      <c r="O138" s="7" t="str">
        <f t="shared" si="2"/>
        <v>abril</v>
      </c>
      <c r="P138" s="7" t="s">
        <v>4479</v>
      </c>
    </row>
    <row r="139">
      <c r="A139" s="19">
        <f>'Respuestas de formulario 1'!A139</f>
        <v>45044.80884</v>
      </c>
      <c r="B139" s="7" t="str">
        <f>'Respuestas de formulario 1'!B139</f>
        <v>RUIZ</v>
      </c>
      <c r="C139" s="7" t="str">
        <f>'Respuestas de formulario 1'!C139</f>
        <v>Eduardo</v>
      </c>
      <c r="D139" s="7" t="str">
        <f>'Respuestas de formulario 1'!D139</f>
        <v/>
      </c>
      <c r="E139" s="20">
        <f>'Respuestas de formulario 1'!E139</f>
        <v>18748</v>
      </c>
      <c r="F139" s="7">
        <f>'Respuestas de formulario 1'!F139</f>
        <v>8625059</v>
      </c>
      <c r="G139" s="7" t="str">
        <f>IFERROR(__xludf.DUMMYFUNCTION("IF('Respuestas de formulario 1'!G139="""","""",IF(LEFT(REGEXREPLACE(TO_TEXT('Respuestas de formulario 1'!G139),""[^0-9]"",""""),2)=""54"",""+""&amp;REGEXREPLACE(TO_TEXT('Respuestas de formulario 1'!G139),""[^0-9]"",""""),""+54""&amp;REGEXREPLACE(TO_TEXT('Respuest"&amp;"as de formulario 1'!G139),""[^0-9]"","""")))"),"+543515462813")</f>
        <v>+543515462813</v>
      </c>
      <c r="H139" s="7">
        <f>'Respuestas de formulario 1'!S139</f>
        <v>2023</v>
      </c>
      <c r="I139" s="7" t="str">
        <f>IFERROR(__xludf.DUMMYFUNCTION("IF('Respuestas de formulario 1'!I139="""","""",TO_TEXT('Respuestas de formulario 1'!I139))"),"Particular")</f>
        <v>Particular</v>
      </c>
      <c r="J139" s="7" t="str">
        <f>IFERROR(__xludf.DUMMYFUNCTION("IF('Respuestas de formulario 1'!J139&lt;&gt;"""",UPPER(TRIM(TO_TEXT('Respuestas de formulario 1'!J139))),IF('Respuestas de formulario 1'!O139&lt;&gt;"""",UPPER(TRIM(TO_TEXT('Respuestas de formulario 1'!O139))),""""))"),"")</f>
        <v/>
      </c>
      <c r="K139" s="7" t="str">
        <f>IFERROR(__xludf.DUMMYFUNCTION("IF('Respuestas de formulario 1'!K139="""","""",TO_TEXT('Respuestas de formulario 1'!K139))"),"")</f>
        <v/>
      </c>
      <c r="L139" s="7" t="str">
        <f>IFERROR(__xludf.DUMMYFUNCTION("IF('Respuestas de formulario 1'!L139="""","""",TO_TEXT('Respuestas de formulario 1'!L139))"),"")</f>
        <v/>
      </c>
      <c r="M139" s="7" t="str">
        <f>IFERROR(__xludf.DUMMYFUNCTION("IF('Respuestas de formulario 1'!M139="""","""",TO_TEXT('Respuestas de formulario 1'!M139))"),"")</f>
        <v/>
      </c>
      <c r="N139" s="7">
        <f t="shared" si="1"/>
        <v>2023</v>
      </c>
      <c r="O139" s="7" t="str">
        <f t="shared" si="2"/>
        <v>abril</v>
      </c>
      <c r="P139" s="7" t="s">
        <v>4481</v>
      </c>
    </row>
    <row r="140">
      <c r="A140" s="19">
        <f>'Respuestas de formulario 1'!A140</f>
        <v>45048.63293</v>
      </c>
      <c r="B140" s="7" t="str">
        <f>'Respuestas de formulario 1'!B140</f>
        <v>Lascano</v>
      </c>
      <c r="C140" s="7" t="str">
        <f>'Respuestas de formulario 1'!C140</f>
        <v>Daniel</v>
      </c>
      <c r="D140" s="7" t="str">
        <f>'Respuestas de formulario 1'!D140</f>
        <v>lascano.daniel@gmail.com</v>
      </c>
      <c r="E140" s="20">
        <f>'Respuestas de formulario 1'!E140</f>
        <v>25105</v>
      </c>
      <c r="F140" s="7">
        <f>'Respuestas de formulario 1'!F140</f>
        <v>20531002</v>
      </c>
      <c r="G140" s="7" t="str">
        <f>IFERROR(__xludf.DUMMYFUNCTION("IF('Respuestas de formulario 1'!G140="""","""",IF(LEFT(REGEXREPLACE(TO_TEXT('Respuestas de formulario 1'!G140),""[^0-9]"",""""),2)=""54"",""+""&amp;REGEXREPLACE(TO_TEXT('Respuestas de formulario 1'!G140),""[^0-9]"",""""),""+54""&amp;REGEXREPLACE(TO_TEXT('Respuest"&amp;"as de formulario 1'!G140),""[^0-9]"","""")))"),"+543512860038")</f>
        <v>+543512860038</v>
      </c>
      <c r="H140" s="7">
        <f>'Respuestas de formulario 1'!S140</f>
        <v>2023</v>
      </c>
      <c r="I140" s="7" t="str">
        <f>IFERROR(__xludf.DUMMYFUNCTION("IF('Respuestas de formulario 1'!I140="""","""",TO_TEXT('Respuestas de formulario 1'!I140))"),"Obra social")</f>
        <v>Obra social</v>
      </c>
      <c r="J140" s="7" t="str">
        <f>IFERROR(__xludf.DUMMYFUNCTION("IF('Respuestas de formulario 1'!J140&lt;&gt;"""",UPPER(TRIM(TO_TEXT('Respuestas de formulario 1'!J140))),IF('Respuestas de formulario 1'!O140&lt;&gt;"""",UPPER(TRIM(TO_TEXT('Respuestas de formulario 1'!O140))),""""))"),"AVALIAN")</f>
        <v>AVALIAN</v>
      </c>
      <c r="K140" s="7" t="str">
        <f>IFERROR(__xludf.DUMMYFUNCTION("IF('Respuestas de formulario 1'!K140="""","""",TO_TEXT('Respuestas de formulario 1'!K140))"),"")</f>
        <v/>
      </c>
      <c r="L140" s="7" t="str">
        <f>IFERROR(__xludf.DUMMYFUNCTION("IF('Respuestas de formulario 1'!L140="""","""",TO_TEXT('Respuestas de formulario 1'!L140))"),"")</f>
        <v/>
      </c>
      <c r="M140" s="7" t="str">
        <f>IFERROR(__xludf.DUMMYFUNCTION("IF('Respuestas de formulario 1'!M140="""","""",TO_TEXT('Respuestas de formulario 1'!M140))"),"")</f>
        <v/>
      </c>
      <c r="N140" s="7">
        <f t="shared" si="1"/>
        <v>2023</v>
      </c>
      <c r="O140" s="7" t="str">
        <f t="shared" si="2"/>
        <v>mayo</v>
      </c>
      <c r="P140" s="7" t="s">
        <v>4483</v>
      </c>
    </row>
    <row r="141">
      <c r="A141" s="19">
        <f>'Respuestas de formulario 1'!A141</f>
        <v>45048.76809</v>
      </c>
      <c r="B141" s="7" t="str">
        <f>'Respuestas de formulario 1'!B141</f>
        <v>Ramirez </v>
      </c>
      <c r="C141" s="7" t="str">
        <f>'Respuestas de formulario 1'!C141</f>
        <v>Paula vanesa </v>
      </c>
      <c r="D141" s="7" t="str">
        <f>'Respuestas de formulario 1'!D141</f>
        <v>Pauu8439@gmail.com</v>
      </c>
      <c r="E141" s="20">
        <f>'Respuestas de formulario 1'!E141</f>
        <v>30580</v>
      </c>
      <c r="F141" s="7">
        <f>'Respuestas de formulario 1'!F141</f>
        <v>30472452</v>
      </c>
      <c r="G141" s="7" t="str">
        <f>IFERROR(__xludf.DUMMYFUNCTION("IF('Respuestas de formulario 1'!G141="""","""",IF(LEFT(REGEXREPLACE(TO_TEXT('Respuestas de formulario 1'!G141),""[^0-9]"",""""),2)=""54"",""+""&amp;REGEXREPLACE(TO_TEXT('Respuestas de formulario 1'!G141),""[^0-9]"",""""),""+54""&amp;REGEXREPLACE(TO_TEXT('Respuest"&amp;"as de formulario 1'!G141),""[^0-9]"","""")))"),"+543513994011")</f>
        <v>+543513994011</v>
      </c>
      <c r="H141" s="7">
        <f>'Respuestas de formulario 1'!S141</f>
        <v>2023</v>
      </c>
      <c r="I141" s="7" t="str">
        <f>IFERROR(__xludf.DUMMYFUNCTION("IF('Respuestas de formulario 1'!I141="""","""",TO_TEXT('Respuestas de formulario 1'!I141))"),"Particular")</f>
        <v>Particular</v>
      </c>
      <c r="J141" s="7" t="str">
        <f>IFERROR(__xludf.DUMMYFUNCTION("IF('Respuestas de formulario 1'!J141&lt;&gt;"""",UPPER(TRIM(TO_TEXT('Respuestas de formulario 1'!J141))),IF('Respuestas de formulario 1'!O141&lt;&gt;"""",UPPER(TRIM(TO_TEXT('Respuestas de formulario 1'!O141))),""""))"),"")</f>
        <v/>
      </c>
      <c r="K141" s="7" t="str">
        <f>IFERROR(__xludf.DUMMYFUNCTION("IF('Respuestas de formulario 1'!K141="""","""",TO_TEXT('Respuestas de formulario 1'!K141))"),"")</f>
        <v/>
      </c>
      <c r="L141" s="7" t="str">
        <f>IFERROR(__xludf.DUMMYFUNCTION("IF('Respuestas de formulario 1'!L141="""","""",TO_TEXT('Respuestas de formulario 1'!L141))"),"")</f>
        <v/>
      </c>
      <c r="M141" s="7" t="str">
        <f>IFERROR(__xludf.DUMMYFUNCTION("IF('Respuestas de formulario 1'!M141="""","""",TO_TEXT('Respuestas de formulario 1'!M141))"),"")</f>
        <v/>
      </c>
      <c r="N141" s="7">
        <f t="shared" si="1"/>
        <v>2023</v>
      </c>
      <c r="O141" s="7" t="str">
        <f t="shared" si="2"/>
        <v>mayo</v>
      </c>
      <c r="P141" s="7" t="s">
        <v>4485</v>
      </c>
    </row>
    <row r="142">
      <c r="A142" s="19">
        <f>'Respuestas de formulario 1'!A142</f>
        <v>45048.81634</v>
      </c>
      <c r="B142" s="7" t="str">
        <f>'Respuestas de formulario 1'!B142</f>
        <v>Llorens</v>
      </c>
      <c r="C142" s="7" t="str">
        <f>'Respuestas de formulario 1'!C142</f>
        <v>Juan</v>
      </c>
      <c r="D142" s="7" t="str">
        <f>'Respuestas de formulario 1'!D142</f>
        <v>juansellorens@msn.com</v>
      </c>
      <c r="E142" s="20">
        <f>'Respuestas de formulario 1'!E142</f>
        <v>28154</v>
      </c>
      <c r="F142" s="7">
        <f>'Respuestas de formulario 1'!F142</f>
        <v>25247505</v>
      </c>
      <c r="G142" s="7" t="str">
        <f>IFERROR(__xludf.DUMMYFUNCTION("IF('Respuestas de formulario 1'!G142="""","""",IF(LEFT(REGEXREPLACE(TO_TEXT('Respuestas de formulario 1'!G142),""[^0-9]"",""""),2)=""54"",""+""&amp;REGEXREPLACE(TO_TEXT('Respuestas de formulario 1'!G142),""[^0-9]"",""""),""+54""&amp;REGEXREPLACE(TO_TEXT('Respuest"&amp;"as de formulario 1'!G142),""[^0-9]"","""")))"),"+543516515677")</f>
        <v>+543516515677</v>
      </c>
      <c r="H142" s="7">
        <f>'Respuestas de formulario 1'!S142</f>
        <v>2023</v>
      </c>
      <c r="I142" s="7" t="str">
        <f>IFERROR(__xludf.DUMMYFUNCTION("IF('Respuestas de formulario 1'!I142="""","""",TO_TEXT('Respuestas de formulario 1'!I142))"),"Obra social")</f>
        <v>Obra social</v>
      </c>
      <c r="J142" s="7" t="str">
        <f>IFERROR(__xludf.DUMMYFUNCTION("IF('Respuestas de formulario 1'!J142&lt;&gt;"""",UPPER(TRIM(TO_TEXT('Respuestas de formulario 1'!J142))),IF('Respuestas de formulario 1'!O142&lt;&gt;"""",UPPER(TRIM(TO_TEXT('Respuestas de formulario 1'!O142))),""""))"),"DASPU")</f>
        <v>DASPU</v>
      </c>
      <c r="K142" s="7" t="str">
        <f>IFERROR(__xludf.DUMMYFUNCTION("IF('Respuestas de formulario 1'!K142="""","""",TO_TEXT('Respuestas de formulario 1'!K142))"),"")</f>
        <v/>
      </c>
      <c r="L142" s="7" t="str">
        <f>IFERROR(__xludf.DUMMYFUNCTION("IF('Respuestas de formulario 1'!L142="""","""",TO_TEXT('Respuestas de formulario 1'!L142))"),"")</f>
        <v/>
      </c>
      <c r="M142" s="7" t="str">
        <f>IFERROR(__xludf.DUMMYFUNCTION("IF('Respuestas de formulario 1'!M142="""","""",TO_TEXT('Respuestas de formulario 1'!M142))"),"")</f>
        <v/>
      </c>
      <c r="N142" s="7">
        <f t="shared" si="1"/>
        <v>2023</v>
      </c>
      <c r="O142" s="7" t="str">
        <f t="shared" si="2"/>
        <v>mayo</v>
      </c>
      <c r="P142" s="7" t="s">
        <v>4487</v>
      </c>
    </row>
    <row r="143">
      <c r="A143" s="19">
        <f>'Respuestas de formulario 1'!A143</f>
        <v>45048.87084</v>
      </c>
      <c r="B143" s="7" t="str">
        <f>'Respuestas de formulario 1'!B143</f>
        <v>Alaye</v>
      </c>
      <c r="C143" s="7" t="str">
        <f>'Respuestas de formulario 1'!C143</f>
        <v>María Alejandra </v>
      </c>
      <c r="D143" s="7" t="str">
        <f>'Respuestas de formulario 1'!D143</f>
        <v>alejandra.alaye@gmail.com</v>
      </c>
      <c r="E143" s="20">
        <f>'Respuestas de formulario 1'!E143</f>
        <v>45103</v>
      </c>
      <c r="F143" s="7">
        <f>'Respuestas de formulario 1'!F143</f>
        <v>13680768</v>
      </c>
      <c r="G143" s="7" t="str">
        <f>IFERROR(__xludf.DUMMYFUNCTION("IF('Respuestas de formulario 1'!G143="""","""",IF(LEFT(REGEXREPLACE(TO_TEXT('Respuestas de formulario 1'!G143),""[^0-9]"",""""),2)=""54"",""+""&amp;REGEXREPLACE(TO_TEXT('Respuestas de formulario 1'!G143),""[^0-9]"",""""),""+54""&amp;REGEXREPLACE(TO_TEXT('Respuest"&amp;"as de formulario 1'!G143),""[^0-9]"","""")))"),"+543516174560")</f>
        <v>+543516174560</v>
      </c>
      <c r="H143" s="7">
        <f>'Respuestas de formulario 1'!S143</f>
        <v>2023</v>
      </c>
      <c r="I143" s="7" t="str">
        <f>IFERROR(__xludf.DUMMYFUNCTION("IF('Respuestas de formulario 1'!I143="""","""",TO_TEXT('Respuestas de formulario 1'!I143))"),"Obra social")</f>
        <v>Obra social</v>
      </c>
      <c r="J143" s="7" t="str">
        <f>IFERROR(__xludf.DUMMYFUNCTION("IF('Respuestas de formulario 1'!J143&lt;&gt;"""",UPPER(TRIM(TO_TEXT('Respuestas de formulario 1'!J143))),IF('Respuestas de formulario 1'!O143&lt;&gt;"""",UPPER(TRIM(TO_TEXT('Respuestas de formulario 1'!O143))),""""))"),"SANCOR")</f>
        <v>SANCOR</v>
      </c>
      <c r="K143" s="7" t="str">
        <f>IFERROR(__xludf.DUMMYFUNCTION("IF('Respuestas de formulario 1'!K143="""","""",TO_TEXT('Respuestas de formulario 1'!K143))"),"")</f>
        <v/>
      </c>
      <c r="L143" s="7" t="str">
        <f>IFERROR(__xludf.DUMMYFUNCTION("IF('Respuestas de formulario 1'!L143="""","""",TO_TEXT('Respuestas de formulario 1'!L143))"),"")</f>
        <v/>
      </c>
      <c r="M143" s="7" t="str">
        <f>IFERROR(__xludf.DUMMYFUNCTION("IF('Respuestas de formulario 1'!M143="""","""",TO_TEXT('Respuestas de formulario 1'!M143))"),"")</f>
        <v/>
      </c>
      <c r="N143" s="7">
        <f t="shared" si="1"/>
        <v>2023</v>
      </c>
      <c r="O143" s="7" t="str">
        <f t="shared" si="2"/>
        <v>mayo</v>
      </c>
      <c r="P143" s="7" t="s">
        <v>4489</v>
      </c>
    </row>
    <row r="144">
      <c r="A144" s="19">
        <f>'Respuestas de formulario 1'!A144</f>
        <v>45049.69735</v>
      </c>
      <c r="B144" s="7" t="str">
        <f>'Respuestas de formulario 1'!B144</f>
        <v>Costamagna</v>
      </c>
      <c r="C144" s="7" t="str">
        <f>'Respuestas de formulario 1'!C144</f>
        <v>Franco</v>
      </c>
      <c r="D144" s="7" t="str">
        <f>'Respuestas de formulario 1'!D144</f>
        <v>francolcosta1@gmail.com</v>
      </c>
      <c r="E144" s="20">
        <f>'Respuestas de formulario 1'!E144</f>
        <v>34401</v>
      </c>
      <c r="F144" s="7">
        <f>'Respuestas de formulario 1'!F144</f>
        <v>38136223</v>
      </c>
      <c r="G144" s="7" t="str">
        <f>IFERROR(__xludf.DUMMYFUNCTION("IF('Respuestas de formulario 1'!G144="""","""",IF(LEFT(REGEXREPLACE(TO_TEXT('Respuestas de formulario 1'!G144),""[^0-9]"",""""),2)=""54"",""+""&amp;REGEXREPLACE(TO_TEXT('Respuestas de formulario 1'!G144),""[^0-9]"",""""),""+54""&amp;REGEXREPLACE(TO_TEXT('Respuest"&amp;"as de formulario 1'!G144),""[^0-9]"","""")))"),"+543512127858")</f>
        <v>+543512127858</v>
      </c>
      <c r="H144" s="7">
        <f>'Respuestas de formulario 1'!S144</f>
        <v>2023</v>
      </c>
      <c r="I144" s="7" t="str">
        <f>IFERROR(__xludf.DUMMYFUNCTION("IF('Respuestas de formulario 1'!I144="""","""",TO_TEXT('Respuestas de formulario 1'!I144))"),"Particular")</f>
        <v>Particular</v>
      </c>
      <c r="J144" s="7" t="str">
        <f>IFERROR(__xludf.DUMMYFUNCTION("IF('Respuestas de formulario 1'!J144&lt;&gt;"""",UPPER(TRIM(TO_TEXT('Respuestas de formulario 1'!J144))),IF('Respuestas de formulario 1'!O144&lt;&gt;"""",UPPER(TRIM(TO_TEXT('Respuestas de formulario 1'!O144))),""""))"),"")</f>
        <v/>
      </c>
      <c r="K144" s="7" t="str">
        <f>IFERROR(__xludf.DUMMYFUNCTION("IF('Respuestas de formulario 1'!K144="""","""",TO_TEXT('Respuestas de formulario 1'!K144))"),"")</f>
        <v/>
      </c>
      <c r="L144" s="7" t="str">
        <f>IFERROR(__xludf.DUMMYFUNCTION("IF('Respuestas de formulario 1'!L144="""","""",TO_TEXT('Respuestas de formulario 1'!L144))"),"")</f>
        <v/>
      </c>
      <c r="M144" s="7" t="str">
        <f>IFERROR(__xludf.DUMMYFUNCTION("IF('Respuestas de formulario 1'!M144="""","""",TO_TEXT('Respuestas de formulario 1'!M144))"),"")</f>
        <v/>
      </c>
      <c r="N144" s="7">
        <f t="shared" si="1"/>
        <v>2023</v>
      </c>
      <c r="O144" s="7" t="str">
        <f t="shared" si="2"/>
        <v>mayo</v>
      </c>
      <c r="P144" s="7" t="s">
        <v>4491</v>
      </c>
    </row>
    <row r="145">
      <c r="A145" s="19">
        <f>'Respuestas de formulario 1'!A145</f>
        <v>45049.70807</v>
      </c>
      <c r="B145" s="7" t="str">
        <f>'Respuestas de formulario 1'!B145</f>
        <v>Núñez </v>
      </c>
      <c r="C145" s="7" t="str">
        <f>'Respuestas de formulario 1'!C145</f>
        <v>Viviana del Valle</v>
      </c>
      <c r="D145" s="7" t="str">
        <f>'Respuestas de formulario 1'!D145</f>
        <v>videval10@gmail.com</v>
      </c>
      <c r="E145" s="20">
        <f>'Respuestas de formulario 1'!E145</f>
        <v>22887</v>
      </c>
      <c r="F145" s="7">
        <f>'Respuestas de formulario 1'!F145</f>
        <v>16157552</v>
      </c>
      <c r="G145" s="7" t="str">
        <f>IFERROR(__xludf.DUMMYFUNCTION("IF('Respuestas de formulario 1'!G145="""","""",IF(LEFT(REGEXREPLACE(TO_TEXT('Respuestas de formulario 1'!G145),""[^0-9]"",""""),2)=""54"",""+""&amp;REGEXREPLACE(TO_TEXT('Respuestas de formulario 1'!G145),""[^0-9]"",""""),""+54""&amp;REGEXREPLACE(TO_TEXT('Respuest"&amp;"as de formulario 1'!G145),""[^0-9]"","""")))"),"+543515644065")</f>
        <v>+543515644065</v>
      </c>
      <c r="H145" s="7">
        <f>'Respuestas de formulario 1'!S145</f>
        <v>2023</v>
      </c>
      <c r="I145" s="7" t="str">
        <f>IFERROR(__xludf.DUMMYFUNCTION("IF('Respuestas de formulario 1'!I145="""","""",TO_TEXT('Respuestas de formulario 1'!I145))"),"Obra social")</f>
        <v>Obra social</v>
      </c>
      <c r="J145" s="7" t="str">
        <f>IFERROR(__xludf.DUMMYFUNCTION("IF('Respuestas de formulario 1'!J145&lt;&gt;"""",UPPER(TRIM(TO_TEXT('Respuestas de formulario 1'!J145))),IF('Respuestas de formulario 1'!O145&lt;&gt;"""",UPPER(TRIM(TO_TEXT('Respuestas de formulario 1'!O145))),""""))"),"APROSS")</f>
        <v>APROSS</v>
      </c>
      <c r="K145" s="7" t="str">
        <f>IFERROR(__xludf.DUMMYFUNCTION("IF('Respuestas de formulario 1'!K145="""","""",TO_TEXT('Respuestas de formulario 1'!K145))"),"")</f>
        <v/>
      </c>
      <c r="L145" s="7" t="str">
        <f>IFERROR(__xludf.DUMMYFUNCTION("IF('Respuestas de formulario 1'!L145="""","""",TO_TEXT('Respuestas de formulario 1'!L145))"),"")</f>
        <v/>
      </c>
      <c r="M145" s="7" t="str">
        <f>IFERROR(__xludf.DUMMYFUNCTION("IF('Respuestas de formulario 1'!M145="""","""",TO_TEXT('Respuestas de formulario 1'!M145))"),"")</f>
        <v/>
      </c>
      <c r="N145" s="7">
        <f t="shared" si="1"/>
        <v>2023</v>
      </c>
      <c r="O145" s="7" t="str">
        <f t="shared" si="2"/>
        <v>mayo</v>
      </c>
      <c r="P145" s="7" t="s">
        <v>4493</v>
      </c>
    </row>
    <row r="146">
      <c r="A146" s="19">
        <f>'Respuestas de formulario 1'!A146</f>
        <v>45050.56772</v>
      </c>
      <c r="B146" s="7" t="str">
        <f>'Respuestas de formulario 1'!B146</f>
        <v>Balbin </v>
      </c>
      <c r="C146" s="7" t="str">
        <f>'Respuestas de formulario 1'!C146</f>
        <v>Nicolas </v>
      </c>
      <c r="D146" s="7" t="str">
        <f>'Respuestas de formulario 1'!D146</f>
        <v>nicolasebalbin@gmail.com</v>
      </c>
      <c r="E146" s="20">
        <f>'Respuestas de formulario 1'!E146</f>
        <v>34144</v>
      </c>
      <c r="F146" s="7">
        <f>'Respuestas de formulario 1'!F146</f>
        <v>37359279</v>
      </c>
      <c r="G146" s="7" t="str">
        <f>IFERROR(__xludf.DUMMYFUNCTION("IF('Respuestas de formulario 1'!G146="""","""",IF(LEFT(REGEXREPLACE(TO_TEXT('Respuestas de formulario 1'!G146),""[^0-9]"",""""),2)=""54"",""+""&amp;REGEXREPLACE(TO_TEXT('Respuestas de formulario 1'!G146),""[^0-9]"",""""),""+54""&amp;REGEXREPLACE(TO_TEXT('Respuest"&amp;"as de formulario 1'!G146),""[^0-9]"","""")))"),"+543517527822")</f>
        <v>+543517527822</v>
      </c>
      <c r="H146" s="7">
        <f>'Respuestas de formulario 1'!S146</f>
        <v>2023</v>
      </c>
      <c r="I146" s="7" t="str">
        <f>IFERROR(__xludf.DUMMYFUNCTION("IF('Respuestas de formulario 1'!I146="""","""",TO_TEXT('Respuestas de formulario 1'!I146))"),"Obra social")</f>
        <v>Obra social</v>
      </c>
      <c r="J146" s="7" t="str">
        <f>IFERROR(__xludf.DUMMYFUNCTION("IF('Respuestas de formulario 1'!J146&lt;&gt;"""",UPPER(TRIM(TO_TEXT('Respuestas de formulario 1'!J146))),IF('Respuestas de formulario 1'!O146&lt;&gt;"""",UPPER(TRIM(TO_TEXT('Respuestas de formulario 1'!O146))),""""))"),"FEDERADA SALUD")</f>
        <v>FEDERADA SALUD</v>
      </c>
      <c r="K146" s="7" t="str">
        <f>IFERROR(__xludf.DUMMYFUNCTION("IF('Respuestas de formulario 1'!K146="""","""",TO_TEXT('Respuestas de formulario 1'!K146))"),"")</f>
        <v/>
      </c>
      <c r="L146" s="7" t="str">
        <f>IFERROR(__xludf.DUMMYFUNCTION("IF('Respuestas de formulario 1'!L146="""","""",TO_TEXT('Respuestas de formulario 1'!L146))"),"")</f>
        <v/>
      </c>
      <c r="M146" s="7" t="str">
        <f>IFERROR(__xludf.DUMMYFUNCTION("IF('Respuestas de formulario 1'!M146="""","""",TO_TEXT('Respuestas de formulario 1'!M146))"),"")</f>
        <v/>
      </c>
      <c r="N146" s="7">
        <f t="shared" si="1"/>
        <v>2023</v>
      </c>
      <c r="O146" s="7" t="str">
        <f t="shared" si="2"/>
        <v>mayo</v>
      </c>
      <c r="P146" s="7" t="s">
        <v>4495</v>
      </c>
    </row>
    <row r="147">
      <c r="A147" s="19">
        <f>'Respuestas de formulario 1'!A147</f>
        <v>45056.66654</v>
      </c>
      <c r="B147" s="7" t="str">
        <f>'Respuestas de formulario 1'!B147</f>
        <v>Messina</v>
      </c>
      <c r="C147" s="7" t="str">
        <f>'Respuestas de formulario 1'!C147</f>
        <v>Ana</v>
      </c>
      <c r="D147" s="7" t="str">
        <f>'Respuestas de formulario 1'!D147</f>
        <v>Ana-messina@hotmail.com</v>
      </c>
      <c r="E147" s="20">
        <f>'Respuestas de formulario 1'!E147</f>
        <v>23687</v>
      </c>
      <c r="F147" s="7">
        <f>'Respuestas de formulario 1'!F147</f>
        <v>17099540</v>
      </c>
      <c r="G147" s="7" t="str">
        <f>IFERROR(__xludf.DUMMYFUNCTION("IF('Respuestas de formulario 1'!G147="""","""",IF(LEFT(REGEXREPLACE(TO_TEXT('Respuestas de formulario 1'!G147),""[^0-9]"",""""),2)=""54"",""+""&amp;REGEXREPLACE(TO_TEXT('Respuestas de formulario 1'!G147),""[^0-9]"",""""),""+54""&amp;REGEXREPLACE(TO_TEXT('Respuest"&amp;"as de formulario 1'!G147),""[^0-9]"","""")))"),"+543515915922")</f>
        <v>+543515915922</v>
      </c>
      <c r="H147" s="7">
        <f>'Respuestas de formulario 1'!S147</f>
        <v>2023</v>
      </c>
      <c r="I147" s="7" t="str">
        <f>IFERROR(__xludf.DUMMYFUNCTION("IF('Respuestas de formulario 1'!I147="""","""",TO_TEXT('Respuestas de formulario 1'!I147))"),"Obra social")</f>
        <v>Obra social</v>
      </c>
      <c r="J147" s="7" t="str">
        <f>IFERROR(__xludf.DUMMYFUNCTION("IF('Respuestas de formulario 1'!J147&lt;&gt;"""",UPPER(TRIM(TO_TEXT('Respuestas de formulario 1'!J147))),IF('Respuestas de formulario 1'!O147&lt;&gt;"""",UPPER(TRIM(TO_TEXT('Respuestas de formulario 1'!O147))),""""))"),"BRAMED")</f>
        <v>BRAMED</v>
      </c>
      <c r="K147" s="7" t="str">
        <f>IFERROR(__xludf.DUMMYFUNCTION("IF('Respuestas de formulario 1'!K147="""","""",TO_TEXT('Respuestas de formulario 1'!K147))"),"")</f>
        <v/>
      </c>
      <c r="L147" s="7" t="str">
        <f>IFERROR(__xludf.DUMMYFUNCTION("IF('Respuestas de formulario 1'!L147="""","""",TO_TEXT('Respuestas de formulario 1'!L147))"),"")</f>
        <v/>
      </c>
      <c r="M147" s="7" t="str">
        <f>IFERROR(__xludf.DUMMYFUNCTION("IF('Respuestas de formulario 1'!M147="""","""",TO_TEXT('Respuestas de formulario 1'!M147))"),"")</f>
        <v/>
      </c>
      <c r="N147" s="7">
        <f t="shared" si="1"/>
        <v>2023</v>
      </c>
      <c r="O147" s="7" t="str">
        <f t="shared" si="2"/>
        <v>mayo</v>
      </c>
      <c r="P147" s="7" t="s">
        <v>4497</v>
      </c>
    </row>
    <row r="148">
      <c r="A148" s="19">
        <f>'Respuestas de formulario 1'!A148</f>
        <v>45057.45226</v>
      </c>
      <c r="B148" s="7" t="str">
        <f>'Respuestas de formulario 1'!B148</f>
        <v>Pedroni</v>
      </c>
      <c r="C148" s="7" t="str">
        <f>'Respuestas de formulario 1'!C148</f>
        <v>Pablo</v>
      </c>
      <c r="D148" s="7" t="str">
        <f>'Respuestas de formulario 1'!D148</f>
        <v>ingpablopedroni@yahoo.com.ar</v>
      </c>
      <c r="E148" s="20">
        <f>'Respuestas de formulario 1'!E148</f>
        <v>16472</v>
      </c>
      <c r="F148" s="7">
        <f>'Respuestas de formulario 1'!F148</f>
        <v>7981772</v>
      </c>
      <c r="G148" s="7" t="str">
        <f>IFERROR(__xludf.DUMMYFUNCTION("IF('Respuestas de formulario 1'!G148="""","""",IF(LEFT(REGEXREPLACE(TO_TEXT('Respuestas de formulario 1'!G148),""[^0-9]"",""""),2)=""54"",""+""&amp;REGEXREPLACE(TO_TEXT('Respuestas de formulario 1'!G148),""[^0-9]"",""""),""+54""&amp;REGEXREPLACE(TO_TEXT('Respuest"&amp;"as de formulario 1'!G148),""[^0-9]"","""")))"),"+543514597882")</f>
        <v>+543514597882</v>
      </c>
      <c r="H148" s="7">
        <f>'Respuestas de formulario 1'!S148</f>
        <v>2023</v>
      </c>
      <c r="I148" s="7" t="str">
        <f>IFERROR(__xludf.DUMMYFUNCTION("IF('Respuestas de formulario 1'!I148="""","""",TO_TEXT('Respuestas de formulario 1'!I148))"),"Obra social")</f>
        <v>Obra social</v>
      </c>
      <c r="J148" s="7" t="str">
        <f>IFERROR(__xludf.DUMMYFUNCTION("IF('Respuestas de formulario 1'!J148&lt;&gt;"""",UPPER(TRIM(TO_TEXT('Respuestas de formulario 1'!J148))),IF('Respuestas de formulario 1'!O148&lt;&gt;"""",UPPER(TRIM(TO_TEXT('Respuestas de formulario 1'!O148))),""""))"),"DASUTEN")</f>
        <v>DASUTEN</v>
      </c>
      <c r="K148" s="7" t="str">
        <f>IFERROR(__xludf.DUMMYFUNCTION("IF('Respuestas de formulario 1'!K148="""","""",TO_TEXT('Respuestas de formulario 1'!K148))"),"")</f>
        <v/>
      </c>
      <c r="L148" s="7" t="str">
        <f>IFERROR(__xludf.DUMMYFUNCTION("IF('Respuestas de formulario 1'!L148="""","""",TO_TEXT('Respuestas de formulario 1'!L148))"),"")</f>
        <v/>
      </c>
      <c r="M148" s="7" t="str">
        <f>IFERROR(__xludf.DUMMYFUNCTION("IF('Respuestas de formulario 1'!M148="""","""",TO_TEXT('Respuestas de formulario 1'!M148))"),"")</f>
        <v/>
      </c>
      <c r="N148" s="7">
        <f t="shared" si="1"/>
        <v>2023</v>
      </c>
      <c r="O148" s="7" t="str">
        <f t="shared" si="2"/>
        <v>mayo</v>
      </c>
      <c r="P148" s="7" t="s">
        <v>4499</v>
      </c>
    </row>
    <row r="149">
      <c r="A149" s="19">
        <f>'Respuestas de formulario 1'!A149</f>
        <v>45057.86763</v>
      </c>
      <c r="B149" s="7" t="str">
        <f>'Respuestas de formulario 1'!B149</f>
        <v>Pereira</v>
      </c>
      <c r="C149" s="7" t="str">
        <f>'Respuestas de formulario 1'!C149</f>
        <v>Americo</v>
      </c>
      <c r="D149" s="7" t="str">
        <f>'Respuestas de formulario 1'!D149</f>
        <v/>
      </c>
      <c r="E149" s="20">
        <f>'Respuestas de formulario 1'!E149</f>
        <v>27643</v>
      </c>
      <c r="F149" s="7">
        <f>'Respuestas de formulario 1'!F149</f>
        <v>24884061</v>
      </c>
      <c r="G149" s="7" t="str">
        <f>IFERROR(__xludf.DUMMYFUNCTION("IF('Respuestas de formulario 1'!G149="""","""",IF(LEFT(REGEXREPLACE(TO_TEXT('Respuestas de formulario 1'!G149),""[^0-9]"",""""),2)=""54"",""+""&amp;REGEXREPLACE(TO_TEXT('Respuestas de formulario 1'!G149),""[^0-9]"",""""),""+54""&amp;REGEXREPLACE(TO_TEXT('Respuest"&amp;"as de formulario 1'!G149),""[^0-9]"","""")))"),"+543515177527")</f>
        <v>+543515177527</v>
      </c>
      <c r="H149" s="7">
        <f>'Respuestas de formulario 1'!S149</f>
        <v>2023</v>
      </c>
      <c r="I149" s="7" t="str">
        <f>IFERROR(__xludf.DUMMYFUNCTION("IF('Respuestas de formulario 1'!I149="""","""",TO_TEXT('Respuestas de formulario 1'!I149))"),"Obra social")</f>
        <v>Obra social</v>
      </c>
      <c r="J149" s="7" t="str">
        <f>IFERROR(__xludf.DUMMYFUNCTION("IF('Respuestas de formulario 1'!J149&lt;&gt;"""",UPPER(TRIM(TO_TEXT('Respuestas de formulario 1'!J149))),IF('Respuestas de formulario 1'!O149&lt;&gt;"""",UPPER(TRIM(TO_TEXT('Respuestas de formulario 1'!O149))),""""))"),"INTEGRAL")</f>
        <v>INTEGRAL</v>
      </c>
      <c r="K149" s="7" t="str">
        <f>IFERROR(__xludf.DUMMYFUNCTION("IF('Respuestas de formulario 1'!K149="""","""",TO_TEXT('Respuestas de formulario 1'!K149))"),"")</f>
        <v/>
      </c>
      <c r="L149" s="7" t="str">
        <f>IFERROR(__xludf.DUMMYFUNCTION("IF('Respuestas de formulario 1'!L149="""","""",TO_TEXT('Respuestas de formulario 1'!L149))"),"")</f>
        <v/>
      </c>
      <c r="M149" s="7" t="str">
        <f>IFERROR(__xludf.DUMMYFUNCTION("IF('Respuestas de formulario 1'!M149="""","""",TO_TEXT('Respuestas de formulario 1'!M149))"),"")</f>
        <v/>
      </c>
      <c r="N149" s="7">
        <f t="shared" si="1"/>
        <v>2023</v>
      </c>
      <c r="O149" s="7" t="str">
        <f t="shared" si="2"/>
        <v>mayo</v>
      </c>
      <c r="P149" s="7" t="s">
        <v>4501</v>
      </c>
    </row>
    <row r="150">
      <c r="A150" s="19">
        <f>'Respuestas de formulario 1'!A150</f>
        <v>45058.52993</v>
      </c>
      <c r="B150" s="7" t="str">
        <f>'Respuestas de formulario 1'!B150</f>
        <v>CONTE</v>
      </c>
      <c r="C150" s="7" t="str">
        <f>'Respuestas de formulario 1'!C150</f>
        <v>Andrea</v>
      </c>
      <c r="D150" s="7" t="str">
        <f>'Respuestas de formulario 1'!D150</f>
        <v>fabianmolinajr@hotmail.com</v>
      </c>
      <c r="E150" s="20">
        <f>'Respuestas de formulario 1'!E150</f>
        <v>25397</v>
      </c>
      <c r="F150" s="7">
        <f>'Respuestas de formulario 1'!F150</f>
        <v>20785005</v>
      </c>
      <c r="G150" s="7" t="str">
        <f>IFERROR(__xludf.DUMMYFUNCTION("IF('Respuestas de formulario 1'!G150="""","""",IF(LEFT(REGEXREPLACE(TO_TEXT('Respuestas de formulario 1'!G150),""[^0-9]"",""""),2)=""54"",""+""&amp;REGEXREPLACE(TO_TEXT('Respuestas de formulario 1'!G150),""[^0-9]"",""""),""+54""&amp;REGEXREPLACE(TO_TEXT('Respuest"&amp;"as de formulario 1'!G150),""[^0-9]"","""")))"),"+543515902432")</f>
        <v>+543515902432</v>
      </c>
      <c r="H150" s="7">
        <f>'Respuestas de formulario 1'!S150</f>
        <v>2023</v>
      </c>
      <c r="I150" s="7" t="str">
        <f>IFERROR(__xludf.DUMMYFUNCTION("IF('Respuestas de formulario 1'!I150="""","""",TO_TEXT('Respuestas de formulario 1'!I150))"),"Obra social")</f>
        <v>Obra social</v>
      </c>
      <c r="J150" s="7" t="str">
        <f>IFERROR(__xludf.DUMMYFUNCTION("IF('Respuestas de formulario 1'!J150&lt;&gt;"""",UPPER(TRIM(TO_TEXT('Respuestas de formulario 1'!J150))),IF('Respuestas de formulario 1'!O150&lt;&gt;"""",UPPER(TRIM(TO_TEXT('Respuestas de formulario 1'!O150))),""""))"),"APROSS")</f>
        <v>APROSS</v>
      </c>
      <c r="K150" s="7" t="str">
        <f>IFERROR(__xludf.DUMMYFUNCTION("IF('Respuestas de formulario 1'!K150="""","""",TO_TEXT('Respuestas de formulario 1'!K150))"),"")</f>
        <v/>
      </c>
      <c r="L150" s="7" t="str">
        <f>IFERROR(__xludf.DUMMYFUNCTION("IF('Respuestas de formulario 1'!L150="""","""",TO_TEXT('Respuestas de formulario 1'!L150))"),"")</f>
        <v/>
      </c>
      <c r="M150" s="7" t="str">
        <f>IFERROR(__xludf.DUMMYFUNCTION("IF('Respuestas de formulario 1'!M150="""","""",TO_TEXT('Respuestas de formulario 1'!M150))"),"")</f>
        <v/>
      </c>
      <c r="N150" s="7">
        <f t="shared" si="1"/>
        <v>2023</v>
      </c>
      <c r="O150" s="7" t="str">
        <f t="shared" si="2"/>
        <v>mayo</v>
      </c>
      <c r="P150" s="7" t="s">
        <v>4503</v>
      </c>
    </row>
    <row r="151">
      <c r="A151" s="19">
        <f>'Respuestas de formulario 1'!A151</f>
        <v>45061.45098</v>
      </c>
      <c r="B151" s="7" t="str">
        <f>'Respuestas de formulario 1'!B151</f>
        <v>Silva</v>
      </c>
      <c r="C151" s="7" t="str">
        <f>'Respuestas de formulario 1'!C151</f>
        <v>Grisel </v>
      </c>
      <c r="D151" s="7" t="str">
        <f>'Respuestas de formulario 1'!D151</f>
        <v>gdani1981@gmail.com </v>
      </c>
      <c r="E151" s="20">
        <f>'Respuestas de formulario 1'!E151</f>
        <v>21656</v>
      </c>
      <c r="F151" s="7">
        <f>'Respuestas de formulario 1'!F151</f>
        <v>92419231</v>
      </c>
      <c r="G151" s="7" t="str">
        <f>IFERROR(__xludf.DUMMYFUNCTION("IF('Respuestas de formulario 1'!G151="""","""",IF(LEFT(REGEXREPLACE(TO_TEXT('Respuestas de formulario 1'!G151),""[^0-9]"",""""),2)=""54"",""+""&amp;REGEXREPLACE(TO_TEXT('Respuestas de formulario 1'!G151),""[^0-9]"",""""),""+54""&amp;REGEXREPLACE(TO_TEXT('Respuest"&amp;"as de formulario 1'!G151),""[^0-9]"","""")))"),"+543513031330")</f>
        <v>+543513031330</v>
      </c>
      <c r="H151" s="7">
        <f>'Respuestas de formulario 1'!S151</f>
        <v>2023</v>
      </c>
      <c r="I151" s="7" t="str">
        <f>IFERROR(__xludf.DUMMYFUNCTION("IF('Respuestas de formulario 1'!I151="""","""",TO_TEXT('Respuestas de formulario 1'!I151))"),"Obra social")</f>
        <v>Obra social</v>
      </c>
      <c r="J151" s="7" t="str">
        <f>IFERROR(__xludf.DUMMYFUNCTION("IF('Respuestas de formulario 1'!J151&lt;&gt;"""",UPPER(TRIM(TO_TEXT('Respuestas de formulario 1'!J151))),IF('Respuestas de formulario 1'!O151&lt;&gt;"""",UPPER(TRIM(TO_TEXT('Respuestas de formulario 1'!O151))),""""))"),"APROSS")</f>
        <v>APROSS</v>
      </c>
      <c r="K151" s="7" t="str">
        <f>IFERROR(__xludf.DUMMYFUNCTION("IF('Respuestas de formulario 1'!K151="""","""",TO_TEXT('Respuestas de formulario 1'!K151))"),"")</f>
        <v/>
      </c>
      <c r="L151" s="7" t="str">
        <f>IFERROR(__xludf.DUMMYFUNCTION("IF('Respuestas de formulario 1'!L151="""","""",TO_TEXT('Respuestas de formulario 1'!L151))"),"")</f>
        <v/>
      </c>
      <c r="M151" s="7" t="str">
        <f>IFERROR(__xludf.DUMMYFUNCTION("IF('Respuestas de formulario 1'!M151="""","""",TO_TEXT('Respuestas de formulario 1'!M151))"),"")</f>
        <v/>
      </c>
      <c r="N151" s="7">
        <f t="shared" si="1"/>
        <v>2023</v>
      </c>
      <c r="O151" s="7" t="str">
        <f t="shared" si="2"/>
        <v>mayo</v>
      </c>
      <c r="P151" s="7" t="s">
        <v>4505</v>
      </c>
    </row>
    <row r="152">
      <c r="A152" s="19">
        <f>'Respuestas de formulario 1'!A152</f>
        <v>45062.53034</v>
      </c>
      <c r="B152" s="7" t="str">
        <f>'Respuestas de formulario 1'!B152</f>
        <v>SERAFINI </v>
      </c>
      <c r="C152" s="7" t="str">
        <f>'Respuestas de formulario 1'!C152</f>
        <v>Jorgelina </v>
      </c>
      <c r="D152" s="7" t="str">
        <f>'Respuestas de formulario 1'!D152</f>
        <v>jor.serafini@gmail.com</v>
      </c>
      <c r="E152" s="20">
        <f>'Respuestas de formulario 1'!E152</f>
        <v>29090</v>
      </c>
      <c r="F152" s="7">
        <f>'Respuestas de formulario 1'!F152</f>
        <v>27357952</v>
      </c>
      <c r="G152" s="7" t="str">
        <f>IFERROR(__xludf.DUMMYFUNCTION("IF('Respuestas de formulario 1'!G152="""","""",IF(LEFT(REGEXREPLACE(TO_TEXT('Respuestas de formulario 1'!G152),""[^0-9]"",""""),2)=""54"",""+""&amp;REGEXREPLACE(TO_TEXT('Respuestas de formulario 1'!G152),""[^0-9]"",""""),""+54""&amp;REGEXREPLACE(TO_TEXT('Respuest"&amp;"as de formulario 1'!G152),""[^0-9]"","""")))"),"+543513843569")</f>
        <v>+543513843569</v>
      </c>
      <c r="H152" s="7">
        <f>'Respuestas de formulario 1'!S152</f>
        <v>2023</v>
      </c>
      <c r="I152" s="7" t="str">
        <f>IFERROR(__xludf.DUMMYFUNCTION("IF('Respuestas de formulario 1'!I152="""","""",TO_TEXT('Respuestas de formulario 1'!I152))"),"Obra social")</f>
        <v>Obra social</v>
      </c>
      <c r="J152" s="7" t="str">
        <f>IFERROR(__xludf.DUMMYFUNCTION("IF('Respuestas de formulario 1'!J152&lt;&gt;"""",UPPER(TRIM(TO_TEXT('Respuestas de formulario 1'!J152))),IF('Respuestas de formulario 1'!O152&lt;&gt;"""",UPPER(TRIM(TO_TEXT('Respuestas de formulario 1'!O152))),""""))"),"APROSS")</f>
        <v>APROSS</v>
      </c>
      <c r="K152" s="7" t="str">
        <f>IFERROR(__xludf.DUMMYFUNCTION("IF('Respuestas de formulario 1'!K152="""","""",TO_TEXT('Respuestas de formulario 1'!K152))"),"")</f>
        <v/>
      </c>
      <c r="L152" s="7" t="str">
        <f>IFERROR(__xludf.DUMMYFUNCTION("IF('Respuestas de formulario 1'!L152="""","""",TO_TEXT('Respuestas de formulario 1'!L152))"),"")</f>
        <v/>
      </c>
      <c r="M152" s="7" t="str">
        <f>IFERROR(__xludf.DUMMYFUNCTION("IF('Respuestas de formulario 1'!M152="""","""",TO_TEXT('Respuestas de formulario 1'!M152))"),"")</f>
        <v/>
      </c>
      <c r="N152" s="7">
        <f t="shared" si="1"/>
        <v>2023</v>
      </c>
      <c r="O152" s="7" t="str">
        <f t="shared" si="2"/>
        <v>mayo</v>
      </c>
      <c r="P152" s="7" t="s">
        <v>4507</v>
      </c>
    </row>
    <row r="153">
      <c r="A153" s="19">
        <f>'Respuestas de formulario 1'!A153</f>
        <v>45064.69338</v>
      </c>
      <c r="B153" s="7" t="str">
        <f>'Respuestas de formulario 1'!B153</f>
        <v>Seveso</v>
      </c>
      <c r="C153" s="7" t="str">
        <f>'Respuestas de formulario 1'!C153</f>
        <v>Federico</v>
      </c>
      <c r="D153" s="7" t="str">
        <f>'Respuestas de formulario 1'!D153</f>
        <v>fseveso@gmail.com</v>
      </c>
      <c r="E153" s="20">
        <f>'Respuestas de formulario 1'!E153</f>
        <v>32000</v>
      </c>
      <c r="F153" s="7">
        <f>'Respuestas de formulario 1'!F153</f>
        <v>33162363</v>
      </c>
      <c r="G153" s="7" t="str">
        <f>IFERROR(__xludf.DUMMYFUNCTION("IF('Respuestas de formulario 1'!G153="""","""",IF(LEFT(REGEXREPLACE(TO_TEXT('Respuestas de formulario 1'!G153),""[^0-9]"",""""),2)=""54"",""+""&amp;REGEXREPLACE(TO_TEXT('Respuestas de formulario 1'!G153),""[^0-9]"",""""),""+54""&amp;REGEXREPLACE(TO_TEXT('Respuest"&amp;"as de formulario 1'!G153),""[^0-9]"","""")))"),"+543516241259")</f>
        <v>+543516241259</v>
      </c>
      <c r="H153" s="7">
        <f>'Respuestas de formulario 1'!S153</f>
        <v>2023</v>
      </c>
      <c r="I153" s="7" t="str">
        <f>IFERROR(__xludf.DUMMYFUNCTION("IF('Respuestas de formulario 1'!I153="""","""",TO_TEXT('Respuestas de formulario 1'!I153))"),"Obra social")</f>
        <v>Obra social</v>
      </c>
      <c r="J153" s="7" t="str">
        <f>IFERROR(__xludf.DUMMYFUNCTION("IF('Respuestas de formulario 1'!J153&lt;&gt;"""",UPPER(TRIM(TO_TEXT('Respuestas de formulario 1'!J153))),IF('Respuestas de formulario 1'!O153&lt;&gt;"""",UPPER(TRIM(TO_TEXT('Respuestas de formulario 1'!O153))),""""))"),"APROSS")</f>
        <v>APROSS</v>
      </c>
      <c r="K153" s="7" t="str">
        <f>IFERROR(__xludf.DUMMYFUNCTION("IF('Respuestas de formulario 1'!K153="""","""",TO_TEXT('Respuestas de formulario 1'!K153))"),"")</f>
        <v/>
      </c>
      <c r="L153" s="7" t="str">
        <f>IFERROR(__xludf.DUMMYFUNCTION("IF('Respuestas de formulario 1'!L153="""","""",TO_TEXT('Respuestas de formulario 1'!L153))"),"")</f>
        <v/>
      </c>
      <c r="M153" s="7" t="str">
        <f>IFERROR(__xludf.DUMMYFUNCTION("IF('Respuestas de formulario 1'!M153="""","""",TO_TEXT('Respuestas de formulario 1'!M153))"),"")</f>
        <v/>
      </c>
      <c r="N153" s="7">
        <f t="shared" si="1"/>
        <v>2023</v>
      </c>
      <c r="O153" s="7" t="str">
        <f t="shared" si="2"/>
        <v>mayo</v>
      </c>
      <c r="P153" s="7" t="s">
        <v>4509</v>
      </c>
    </row>
    <row r="154">
      <c r="A154" s="19">
        <f>'Respuestas de formulario 1'!A154</f>
        <v>45065.81205</v>
      </c>
      <c r="B154" s="7" t="str">
        <f>'Respuestas de formulario 1'!B154</f>
        <v>COUFIS</v>
      </c>
      <c r="C154" s="7" t="str">
        <f>'Respuestas de formulario 1'!C154</f>
        <v>ELENA</v>
      </c>
      <c r="D154" s="7" t="str">
        <f>'Respuestas de formulario 1'!D154</f>
        <v>MIKONOS_CBA@HOTMAIL.COM</v>
      </c>
      <c r="E154" s="20">
        <f>'Respuestas de formulario 1'!E154</f>
        <v>45048</v>
      </c>
      <c r="F154" s="7">
        <f>'Respuestas de formulario 1'!F154</f>
        <v>20871395</v>
      </c>
      <c r="G154" s="7" t="str">
        <f>IFERROR(__xludf.DUMMYFUNCTION("IF('Respuestas de formulario 1'!G154="""","""",IF(LEFT(REGEXREPLACE(TO_TEXT('Respuestas de formulario 1'!G154),""[^0-9]"",""""),2)=""54"",""+""&amp;REGEXREPLACE(TO_TEXT('Respuestas de formulario 1'!G154),""[^0-9]"",""""),""+54""&amp;REGEXREPLACE(TO_TEXT('Respuest"&amp;"as de formulario 1'!G154),""[^0-9]"","""")))"),"+543517639805")</f>
        <v>+543517639805</v>
      </c>
      <c r="H154" s="7">
        <f>'Respuestas de formulario 1'!S154</f>
        <v>2023</v>
      </c>
      <c r="I154" s="7" t="str">
        <f>IFERROR(__xludf.DUMMYFUNCTION("IF('Respuestas de formulario 1'!I154="""","""",TO_TEXT('Respuestas de formulario 1'!I154))"),"Particular")</f>
        <v>Particular</v>
      </c>
      <c r="J154" s="7" t="str">
        <f>IFERROR(__xludf.DUMMYFUNCTION("IF('Respuestas de formulario 1'!J154&lt;&gt;"""",UPPER(TRIM(TO_TEXT('Respuestas de formulario 1'!J154))),IF('Respuestas de formulario 1'!O154&lt;&gt;"""",UPPER(TRIM(TO_TEXT('Respuestas de formulario 1'!O154))),""""))"),"")</f>
        <v/>
      </c>
      <c r="K154" s="7" t="str">
        <f>IFERROR(__xludf.DUMMYFUNCTION("IF('Respuestas de formulario 1'!K154="""","""",TO_TEXT('Respuestas de formulario 1'!K154))"),"")</f>
        <v/>
      </c>
      <c r="L154" s="7" t="str">
        <f>IFERROR(__xludf.DUMMYFUNCTION("IF('Respuestas de formulario 1'!L154="""","""",TO_TEXT('Respuestas de formulario 1'!L154))"),"")</f>
        <v/>
      </c>
      <c r="M154" s="7" t="str">
        <f>IFERROR(__xludf.DUMMYFUNCTION("IF('Respuestas de formulario 1'!M154="""","""",TO_TEXT('Respuestas de formulario 1'!M154))"),"")</f>
        <v/>
      </c>
      <c r="N154" s="7">
        <f t="shared" si="1"/>
        <v>2023</v>
      </c>
      <c r="O154" s="7" t="str">
        <f t="shared" si="2"/>
        <v>mayo</v>
      </c>
      <c r="P154" s="7" t="s">
        <v>4511</v>
      </c>
    </row>
    <row r="155">
      <c r="A155" s="19">
        <f>'Respuestas de formulario 1'!A155</f>
        <v>45068.80765</v>
      </c>
      <c r="B155" s="7" t="str">
        <f>'Respuestas de formulario 1'!B155</f>
        <v>Loyola</v>
      </c>
      <c r="C155" s="7" t="str">
        <f>'Respuestas de formulario 1'!C155</f>
        <v>Antonio </v>
      </c>
      <c r="D155" s="7" t="str">
        <f>'Respuestas de formulario 1'!D155</f>
        <v>carmenolariaga1@gmail.com</v>
      </c>
      <c r="E155" s="20">
        <f>'Respuestas de formulario 1'!E155</f>
        <v>23031</v>
      </c>
      <c r="F155" s="7">
        <f>'Respuestas de formulario 1'!F155</f>
        <v>16507379</v>
      </c>
      <c r="G155" s="7" t="str">
        <f>IFERROR(__xludf.DUMMYFUNCTION("IF('Respuestas de formulario 1'!G155="""","""",IF(LEFT(REGEXREPLACE(TO_TEXT('Respuestas de formulario 1'!G155),""[^0-9]"",""""),2)=""54"",""+""&amp;REGEXREPLACE(TO_TEXT('Respuestas de formulario 1'!G155),""[^0-9]"",""""),""+54""&amp;REGEXREPLACE(TO_TEXT('Respuest"&amp;"as de formulario 1'!G155),""[^0-9]"","""")))"),"+543512634458")</f>
        <v>+543512634458</v>
      </c>
      <c r="H155" s="7">
        <f>'Respuestas de formulario 1'!S155</f>
        <v>2023</v>
      </c>
      <c r="I155" s="7" t="str">
        <f>IFERROR(__xludf.DUMMYFUNCTION("IF('Respuestas de formulario 1'!I155="""","""",TO_TEXT('Respuestas de formulario 1'!I155))"),"Obra social")</f>
        <v>Obra social</v>
      </c>
      <c r="J155" s="7" t="str">
        <f>IFERROR(__xludf.DUMMYFUNCTION("IF('Respuestas de formulario 1'!J155&lt;&gt;"""",UPPER(TRIM(TO_TEXT('Respuestas de formulario 1'!J155))),IF('Respuestas de formulario 1'!O155&lt;&gt;"""",UPPER(TRIM(TO_TEXT('Respuestas de formulario 1'!O155))),""""))"),"APROSS")</f>
        <v>APROSS</v>
      </c>
      <c r="K155" s="7" t="str">
        <f>IFERROR(__xludf.DUMMYFUNCTION("IF('Respuestas de formulario 1'!K155="""","""",TO_TEXT('Respuestas de formulario 1'!K155))"),"")</f>
        <v/>
      </c>
      <c r="L155" s="7" t="str">
        <f>IFERROR(__xludf.DUMMYFUNCTION("IF('Respuestas de formulario 1'!L155="""","""",TO_TEXT('Respuestas de formulario 1'!L155))"),"")</f>
        <v/>
      </c>
      <c r="M155" s="7" t="str">
        <f>IFERROR(__xludf.DUMMYFUNCTION("IF('Respuestas de formulario 1'!M155="""","""",TO_TEXT('Respuestas de formulario 1'!M155))"),"")</f>
        <v/>
      </c>
      <c r="N155" s="7">
        <f t="shared" si="1"/>
        <v>2023</v>
      </c>
      <c r="O155" s="7" t="str">
        <f t="shared" si="2"/>
        <v>mayo</v>
      </c>
      <c r="P155" s="7" t="s">
        <v>4513</v>
      </c>
    </row>
    <row r="156">
      <c r="A156" s="19">
        <f>'Respuestas de formulario 1'!A156</f>
        <v>45069.46701</v>
      </c>
      <c r="B156" s="7" t="str">
        <f>'Respuestas de formulario 1'!B156</f>
        <v>FARIAS</v>
      </c>
      <c r="C156" s="7" t="str">
        <f>'Respuestas de formulario 1'!C156</f>
        <v>Mercedes Cristina</v>
      </c>
      <c r="D156" s="7" t="str">
        <f>'Respuestas de formulario 1'!D156</f>
        <v/>
      </c>
      <c r="E156" s="20">
        <f>'Respuestas de formulario 1'!E156</f>
        <v>20826</v>
      </c>
      <c r="F156" s="7">
        <f>'Respuestas de formulario 1'!F156</f>
        <v>12763616</v>
      </c>
      <c r="G156" s="7" t="str">
        <f>IFERROR(__xludf.DUMMYFUNCTION("IF('Respuestas de formulario 1'!G156="""","""",IF(LEFT(REGEXREPLACE(TO_TEXT('Respuestas de formulario 1'!G156),""[^0-9]"",""""),2)=""54"",""+""&amp;REGEXREPLACE(TO_TEXT('Respuestas de formulario 1'!G156),""[^0-9]"",""""),""+54""&amp;REGEXREPLACE(TO_TEXT('Respuest"&amp;"as de formulario 1'!G156),""[^0-9]"","""")))"),"+543512606736")</f>
        <v>+543512606736</v>
      </c>
      <c r="H156" s="7">
        <f>'Respuestas de formulario 1'!S156</f>
        <v>2023</v>
      </c>
      <c r="I156" s="7" t="str">
        <f>IFERROR(__xludf.DUMMYFUNCTION("IF('Respuestas de formulario 1'!I156="""","""",TO_TEXT('Respuestas de formulario 1'!I156))"),"Particular")</f>
        <v>Particular</v>
      </c>
      <c r="J156" s="7" t="str">
        <f>IFERROR(__xludf.DUMMYFUNCTION("IF('Respuestas de formulario 1'!J156&lt;&gt;"""",UPPER(TRIM(TO_TEXT('Respuestas de formulario 1'!J156))),IF('Respuestas de formulario 1'!O156&lt;&gt;"""",UPPER(TRIM(TO_TEXT('Respuestas de formulario 1'!O156))),""""))"),"")</f>
        <v/>
      </c>
      <c r="K156" s="7" t="str">
        <f>IFERROR(__xludf.DUMMYFUNCTION("IF('Respuestas de formulario 1'!K156="""","""",TO_TEXT('Respuestas de formulario 1'!K156))"),"")</f>
        <v/>
      </c>
      <c r="L156" s="7" t="str">
        <f>IFERROR(__xludf.DUMMYFUNCTION("IF('Respuestas de formulario 1'!L156="""","""",TO_TEXT('Respuestas de formulario 1'!L156))"),"")</f>
        <v/>
      </c>
      <c r="M156" s="7" t="str">
        <f>IFERROR(__xludf.DUMMYFUNCTION("IF('Respuestas de formulario 1'!M156="""","""",TO_TEXT('Respuestas de formulario 1'!M156))"),"")</f>
        <v/>
      </c>
      <c r="N156" s="7">
        <f t="shared" si="1"/>
        <v>2023</v>
      </c>
      <c r="O156" s="7" t="str">
        <f t="shared" si="2"/>
        <v>mayo</v>
      </c>
      <c r="P156" s="7" t="s">
        <v>4515</v>
      </c>
    </row>
    <row r="157">
      <c r="A157" s="19">
        <f>'Respuestas de formulario 1'!A157</f>
        <v>45069.47081</v>
      </c>
      <c r="B157" s="7" t="str">
        <f>'Respuestas de formulario 1'!B157</f>
        <v>Torres</v>
      </c>
      <c r="C157" s="7" t="str">
        <f>'Respuestas de formulario 1'!C157</f>
        <v>Cecilia</v>
      </c>
      <c r="D157" s="7" t="str">
        <f>'Respuestas de formulario 1'!D157</f>
        <v>Ceciliatbazzini@gmail.com</v>
      </c>
      <c r="E157" s="20">
        <f>'Respuestas de formulario 1'!E157</f>
        <v>20619</v>
      </c>
      <c r="F157" s="7">
        <f>'Respuestas de formulario 1'!F157</f>
        <v>12995415</v>
      </c>
      <c r="G157" s="7" t="str">
        <f>IFERROR(__xludf.DUMMYFUNCTION("IF('Respuestas de formulario 1'!G157="""","""",IF(LEFT(REGEXREPLACE(TO_TEXT('Respuestas de formulario 1'!G157),""[^0-9]"",""""),2)=""54"",""+""&amp;REGEXREPLACE(TO_TEXT('Respuestas de formulario 1'!G157),""[^0-9]"",""""),""+54""&amp;REGEXREPLACE(TO_TEXT('Respuest"&amp;"as de formulario 1'!G157),""[^0-9]"","""")))"),"+543511528811")</f>
        <v>+543511528811</v>
      </c>
      <c r="H157" s="7">
        <f>'Respuestas de formulario 1'!S157</f>
        <v>2023</v>
      </c>
      <c r="I157" s="7" t="str">
        <f>IFERROR(__xludf.DUMMYFUNCTION("IF('Respuestas de formulario 1'!I157="""","""",TO_TEXT('Respuestas de formulario 1'!I157))"),"Particular")</f>
        <v>Particular</v>
      </c>
      <c r="J157" s="7" t="str">
        <f>IFERROR(__xludf.DUMMYFUNCTION("IF('Respuestas de formulario 1'!J157&lt;&gt;"""",UPPER(TRIM(TO_TEXT('Respuestas de formulario 1'!J157))),IF('Respuestas de formulario 1'!O157&lt;&gt;"""",UPPER(TRIM(TO_TEXT('Respuestas de formulario 1'!O157))),""""))"),"")</f>
        <v/>
      </c>
      <c r="K157" s="7" t="str">
        <f>IFERROR(__xludf.DUMMYFUNCTION("IF('Respuestas de formulario 1'!K157="""","""",TO_TEXT('Respuestas de formulario 1'!K157))"),"")</f>
        <v/>
      </c>
      <c r="L157" s="7" t="str">
        <f>IFERROR(__xludf.DUMMYFUNCTION("IF('Respuestas de formulario 1'!L157="""","""",TO_TEXT('Respuestas de formulario 1'!L157))"),"")</f>
        <v/>
      </c>
      <c r="M157" s="7" t="str">
        <f>IFERROR(__xludf.DUMMYFUNCTION("IF('Respuestas de formulario 1'!M157="""","""",TO_TEXT('Respuestas de formulario 1'!M157))"),"")</f>
        <v/>
      </c>
      <c r="N157" s="7">
        <f t="shared" si="1"/>
        <v>2023</v>
      </c>
      <c r="O157" s="7" t="str">
        <f t="shared" si="2"/>
        <v>mayo</v>
      </c>
      <c r="P157" s="7" t="s">
        <v>4517</v>
      </c>
    </row>
    <row r="158">
      <c r="A158" s="19">
        <f>'Respuestas de formulario 1'!A158</f>
        <v>45069.66036</v>
      </c>
      <c r="B158" s="7" t="str">
        <f>'Respuestas de formulario 1'!B158</f>
        <v>Garlati</v>
      </c>
      <c r="C158" s="7" t="str">
        <f>'Respuestas de formulario 1'!C158</f>
        <v>Alexia</v>
      </c>
      <c r="D158" s="7" t="str">
        <f>'Respuestas de formulario 1'!D158</f>
        <v>ale_garlati8@hotmail.com</v>
      </c>
      <c r="E158" s="20">
        <f>'Respuestas de formulario 1'!E158</f>
        <v>33792</v>
      </c>
      <c r="F158" s="7">
        <f>'Respuestas de formulario 1'!F158</f>
        <v>36357904</v>
      </c>
      <c r="G158" s="7" t="str">
        <f>IFERROR(__xludf.DUMMYFUNCTION("IF('Respuestas de formulario 1'!G158="""","""",IF(LEFT(REGEXREPLACE(TO_TEXT('Respuestas de formulario 1'!G158),""[^0-9]"",""""),2)=""54"",""+""&amp;REGEXREPLACE(TO_TEXT('Respuestas de formulario 1'!G158),""[^0-9]"",""""),""+54""&amp;REGEXREPLACE(TO_TEXT('Respuest"&amp;"as de formulario 1'!G158),""[^0-9]"","""")))"),"+543517632469")</f>
        <v>+543517632469</v>
      </c>
      <c r="H158" s="7">
        <f>'Respuestas de formulario 1'!S158</f>
        <v>2023</v>
      </c>
      <c r="I158" s="7" t="str">
        <f>IFERROR(__xludf.DUMMYFUNCTION("IF('Respuestas de formulario 1'!I158="""","""",TO_TEXT('Respuestas de formulario 1'!I158))"),"Obra social")</f>
        <v>Obra social</v>
      </c>
      <c r="J158" s="7" t="str">
        <f>IFERROR(__xludf.DUMMYFUNCTION("IF('Respuestas de formulario 1'!J158&lt;&gt;"""",UPPER(TRIM(TO_TEXT('Respuestas de formulario 1'!J158))),IF('Respuestas de formulario 1'!O158&lt;&gt;"""",UPPER(TRIM(TO_TEXT('Respuestas de formulario 1'!O158))),""""))"),"DASPU")</f>
        <v>DASPU</v>
      </c>
      <c r="K158" s="7" t="str">
        <f>IFERROR(__xludf.DUMMYFUNCTION("IF('Respuestas de formulario 1'!K158="""","""",TO_TEXT('Respuestas de formulario 1'!K158))"),"")</f>
        <v/>
      </c>
      <c r="L158" s="7" t="str">
        <f>IFERROR(__xludf.DUMMYFUNCTION("IF('Respuestas de formulario 1'!L158="""","""",TO_TEXT('Respuestas de formulario 1'!L158))"),"")</f>
        <v/>
      </c>
      <c r="M158" s="7" t="str">
        <f>IFERROR(__xludf.DUMMYFUNCTION("IF('Respuestas de formulario 1'!M158="""","""",TO_TEXT('Respuestas de formulario 1'!M158))"),"")</f>
        <v/>
      </c>
      <c r="N158" s="7">
        <f t="shared" si="1"/>
        <v>2023</v>
      </c>
      <c r="O158" s="7" t="str">
        <f t="shared" si="2"/>
        <v>mayo</v>
      </c>
      <c r="P158" s="7" t="s">
        <v>4519</v>
      </c>
    </row>
    <row r="159">
      <c r="A159" s="19">
        <f>'Respuestas de formulario 1'!A159</f>
        <v>45069.75106</v>
      </c>
      <c r="B159" s="7" t="str">
        <f>'Respuestas de formulario 1'!B159</f>
        <v>Casartelli</v>
      </c>
      <c r="C159" s="7" t="str">
        <f>'Respuestas de formulario 1'!C159</f>
        <v>Graciela</v>
      </c>
      <c r="D159" s="7" t="str">
        <f>'Respuestas de formulario 1'!D159</f>
        <v>-</v>
      </c>
      <c r="E159" s="20">
        <f>'Respuestas de formulario 1'!E159</f>
        <v>17139</v>
      </c>
      <c r="F159" s="7">
        <f>'Respuestas de formulario 1'!F159</f>
        <v>5489581</v>
      </c>
      <c r="G159" s="7" t="str">
        <f>IFERROR(__xludf.DUMMYFUNCTION("IF('Respuestas de formulario 1'!G159="""","""",IF(LEFT(REGEXREPLACE(TO_TEXT('Respuestas de formulario 1'!G159),""[^0-9]"",""""),2)=""54"",""+""&amp;REGEXREPLACE(TO_TEXT('Respuestas de formulario 1'!G159),""[^0-9]"",""""),""+54""&amp;REGEXREPLACE(TO_TEXT('Respuest"&amp;"as de formulario 1'!G159),""[^0-9]"","""")))"),"+543512116536")</f>
        <v>+543512116536</v>
      </c>
      <c r="H159" s="7">
        <f>'Respuestas de formulario 1'!S159</f>
        <v>2023</v>
      </c>
      <c r="I159" s="7" t="str">
        <f>IFERROR(__xludf.DUMMYFUNCTION("IF('Respuestas de formulario 1'!I159="""","""",TO_TEXT('Respuestas de formulario 1'!I159))"),"Obra social")</f>
        <v>Obra social</v>
      </c>
      <c r="J159" s="7" t="str">
        <f>IFERROR(__xludf.DUMMYFUNCTION("IF('Respuestas de formulario 1'!J159&lt;&gt;"""",UPPER(TRIM(TO_TEXT('Respuestas de formulario 1'!J159))),IF('Respuestas de formulario 1'!O159&lt;&gt;"""",UPPER(TRIM(TO_TEXT('Respuestas de formulario 1'!O159))),""""))"),"APROSS")</f>
        <v>APROSS</v>
      </c>
      <c r="K159" s="7" t="str">
        <f>IFERROR(__xludf.DUMMYFUNCTION("IF('Respuestas de formulario 1'!K159="""","""",TO_TEXT('Respuestas de formulario 1'!K159))"),"")</f>
        <v/>
      </c>
      <c r="L159" s="7" t="str">
        <f>IFERROR(__xludf.DUMMYFUNCTION("IF('Respuestas de formulario 1'!L159="""","""",TO_TEXT('Respuestas de formulario 1'!L159))"),"")</f>
        <v/>
      </c>
      <c r="M159" s="7" t="str">
        <f>IFERROR(__xludf.DUMMYFUNCTION("IF('Respuestas de formulario 1'!M159="""","""",TO_TEXT('Respuestas de formulario 1'!M159))"),"")</f>
        <v/>
      </c>
      <c r="N159" s="7">
        <f t="shared" si="1"/>
        <v>2023</v>
      </c>
      <c r="O159" s="7" t="str">
        <f t="shared" si="2"/>
        <v>mayo</v>
      </c>
      <c r="P159" s="7" t="s">
        <v>4521</v>
      </c>
    </row>
    <row r="160">
      <c r="A160" s="19">
        <f>'Respuestas de formulario 1'!A160</f>
        <v>45069.8045</v>
      </c>
      <c r="B160" s="7" t="str">
        <f>'Respuestas de formulario 1'!B160</f>
        <v>Tejeda</v>
      </c>
      <c r="C160" s="7" t="str">
        <f>'Respuestas de formulario 1'!C160</f>
        <v>Silvana</v>
      </c>
      <c r="D160" s="7" t="str">
        <f>'Respuestas de formulario 1'!D160</f>
        <v>Sikitejeda@gmail.com</v>
      </c>
      <c r="E160" s="20">
        <f>'Respuestas de formulario 1'!E160</f>
        <v>28133</v>
      </c>
      <c r="F160" s="7">
        <f>'Respuestas de formulario 1'!F160</f>
        <v>25570768</v>
      </c>
      <c r="G160" s="7" t="str">
        <f>IFERROR(__xludf.DUMMYFUNCTION("IF('Respuestas de formulario 1'!G160="""","""",IF(LEFT(REGEXREPLACE(TO_TEXT('Respuestas de formulario 1'!G160),""[^0-9]"",""""),2)=""54"",""+""&amp;REGEXREPLACE(TO_TEXT('Respuestas de formulario 1'!G160),""[^0-9]"",""""),""+54""&amp;REGEXREPLACE(TO_TEXT('Respuest"&amp;"as de formulario 1'!G160),""[^0-9]"","""")))"),"+543515125167")</f>
        <v>+543515125167</v>
      </c>
      <c r="H160" s="7">
        <f>'Respuestas de formulario 1'!S160</f>
        <v>2023</v>
      </c>
      <c r="I160" s="7" t="str">
        <f>IFERROR(__xludf.DUMMYFUNCTION("IF('Respuestas de formulario 1'!I160="""","""",TO_TEXT('Respuestas de formulario 1'!I160))"),"Obra social")</f>
        <v>Obra social</v>
      </c>
      <c r="J160" s="7" t="str">
        <f>IFERROR(__xludf.DUMMYFUNCTION("IF('Respuestas de formulario 1'!J160&lt;&gt;"""",UPPER(TRIM(TO_TEXT('Respuestas de formulario 1'!J160))),IF('Respuestas de formulario 1'!O160&lt;&gt;"""",UPPER(TRIM(TO_TEXT('Respuestas de formulario 1'!O160))),""""))"),"PREVENCIÓN")</f>
        <v>PREVENCIÓN</v>
      </c>
      <c r="K160" s="7" t="str">
        <f>IFERROR(__xludf.DUMMYFUNCTION("IF('Respuestas de formulario 1'!K160="""","""",TO_TEXT('Respuestas de formulario 1'!K160))"),"")</f>
        <v/>
      </c>
      <c r="L160" s="7" t="str">
        <f>IFERROR(__xludf.DUMMYFUNCTION("IF('Respuestas de formulario 1'!L160="""","""",TO_TEXT('Respuestas de formulario 1'!L160))"),"")</f>
        <v/>
      </c>
      <c r="M160" s="7" t="str">
        <f>IFERROR(__xludf.DUMMYFUNCTION("IF('Respuestas de formulario 1'!M160="""","""",TO_TEXT('Respuestas de formulario 1'!M160))"),"")</f>
        <v/>
      </c>
      <c r="N160" s="7">
        <f t="shared" si="1"/>
        <v>2023</v>
      </c>
      <c r="O160" s="7" t="str">
        <f t="shared" si="2"/>
        <v>mayo</v>
      </c>
      <c r="P160" s="7" t="s">
        <v>4523</v>
      </c>
    </row>
    <row r="161">
      <c r="A161" s="19">
        <f>'Respuestas de formulario 1'!A161</f>
        <v>45071.79775</v>
      </c>
      <c r="B161" s="7" t="str">
        <f>'Respuestas de formulario 1'!B161</f>
        <v>Najle</v>
      </c>
      <c r="C161" s="7" t="str">
        <f>'Respuestas de formulario 1'!C161</f>
        <v>Pedro</v>
      </c>
      <c r="D161" s="7" t="str">
        <f>'Respuestas de formulario 1'!D161</f>
        <v>pedronajle2003@gmail.com</v>
      </c>
      <c r="E161" s="20">
        <f>'Respuestas de formulario 1'!E161</f>
        <v>37904</v>
      </c>
      <c r="F161" s="7">
        <f>'Respuestas de formulario 1'!F161</f>
        <v>45234593</v>
      </c>
      <c r="G161" s="7" t="str">
        <f>IFERROR(__xludf.DUMMYFUNCTION("IF('Respuestas de formulario 1'!G161="""","""",IF(LEFT(REGEXREPLACE(TO_TEXT('Respuestas de formulario 1'!G161),""[^0-9]"",""""),2)=""54"",""+""&amp;REGEXREPLACE(TO_TEXT('Respuestas de formulario 1'!G161),""[^0-9]"",""""),""+54""&amp;REGEXREPLACE(TO_TEXT('Respuest"&amp;"as de formulario 1'!G161),""[^0-9]"","""")))"),"+543512396381")</f>
        <v>+543512396381</v>
      </c>
      <c r="H161" s="7">
        <f>'Respuestas de formulario 1'!S161</f>
        <v>2023</v>
      </c>
      <c r="I161" s="7" t="str">
        <f>IFERROR(__xludf.DUMMYFUNCTION("IF('Respuestas de formulario 1'!I161="""","""",TO_TEXT('Respuestas de formulario 1'!I161))"),"Particular")</f>
        <v>Particular</v>
      </c>
      <c r="J161" s="7" t="str">
        <f>IFERROR(__xludf.DUMMYFUNCTION("IF('Respuestas de formulario 1'!J161&lt;&gt;"""",UPPER(TRIM(TO_TEXT('Respuestas de formulario 1'!J161))),IF('Respuestas de formulario 1'!O161&lt;&gt;"""",UPPER(TRIM(TO_TEXT('Respuestas de formulario 1'!O161))),""""))"),"")</f>
        <v/>
      </c>
      <c r="K161" s="7" t="str">
        <f>IFERROR(__xludf.DUMMYFUNCTION("IF('Respuestas de formulario 1'!K161="""","""",TO_TEXT('Respuestas de formulario 1'!K161))"),"")</f>
        <v/>
      </c>
      <c r="L161" s="7" t="str">
        <f>IFERROR(__xludf.DUMMYFUNCTION("IF('Respuestas de formulario 1'!L161="""","""",TO_TEXT('Respuestas de formulario 1'!L161))"),"")</f>
        <v/>
      </c>
      <c r="M161" s="7" t="str">
        <f>IFERROR(__xludf.DUMMYFUNCTION("IF('Respuestas de formulario 1'!M161="""","""",TO_TEXT('Respuestas de formulario 1'!M161))"),"")</f>
        <v/>
      </c>
      <c r="N161" s="7">
        <f t="shared" si="1"/>
        <v>2023</v>
      </c>
      <c r="O161" s="7" t="str">
        <f t="shared" si="2"/>
        <v>mayo</v>
      </c>
      <c r="P161" s="7" t="s">
        <v>4525</v>
      </c>
    </row>
    <row r="162">
      <c r="A162" s="19">
        <f>'Respuestas de formulario 1'!A162</f>
        <v>45075.75126</v>
      </c>
      <c r="B162" s="7" t="str">
        <f>'Respuestas de formulario 1'!B162</f>
        <v>Monzon</v>
      </c>
      <c r="C162" s="7" t="str">
        <f>'Respuestas de formulario 1'!C162</f>
        <v>Juan Manuel</v>
      </c>
      <c r="D162" s="7" t="str">
        <f>'Respuestas de formulario 1'!D162</f>
        <v>juanmonzon9713@gmail.com</v>
      </c>
      <c r="E162" s="20">
        <f>'Respuestas de formulario 1'!E162</f>
        <v>35500</v>
      </c>
      <c r="F162" s="7">
        <f>'Respuestas de formulario 1'!F162</f>
        <v>40248074</v>
      </c>
      <c r="G162" s="7" t="str">
        <f>IFERROR(__xludf.DUMMYFUNCTION("IF('Respuestas de formulario 1'!G162="""","""",IF(LEFT(REGEXREPLACE(TO_TEXT('Respuestas de formulario 1'!G162),""[^0-9]"",""""),2)=""54"",""+""&amp;REGEXREPLACE(TO_TEXT('Respuestas de formulario 1'!G162),""[^0-9]"",""""),""+54""&amp;REGEXREPLACE(TO_TEXT('Respuest"&amp;"as de formulario 1'!G162),""[^0-9]"","""")))"),"+543512534884")</f>
        <v>+543512534884</v>
      </c>
      <c r="H162" s="7">
        <f>'Respuestas de formulario 1'!S162</f>
        <v>2023</v>
      </c>
      <c r="I162" s="7" t="str">
        <f>IFERROR(__xludf.DUMMYFUNCTION("IF('Respuestas de formulario 1'!I162="""","""",TO_TEXT('Respuestas de formulario 1'!I162))"),"Obra social")</f>
        <v>Obra social</v>
      </c>
      <c r="J162" s="7" t="str">
        <f>IFERROR(__xludf.DUMMYFUNCTION("IF('Respuestas de formulario 1'!J162&lt;&gt;"""",UPPER(TRIM(TO_TEXT('Respuestas de formulario 1'!J162))),IF('Respuestas de formulario 1'!O162&lt;&gt;"""",UPPER(TRIM(TO_TEXT('Respuestas de formulario 1'!O162))),""""))"),"APROSS")</f>
        <v>APROSS</v>
      </c>
      <c r="K162" s="7" t="str">
        <f>IFERROR(__xludf.DUMMYFUNCTION("IF('Respuestas de formulario 1'!K162="""","""",TO_TEXT('Respuestas de formulario 1'!K162))"),"")</f>
        <v/>
      </c>
      <c r="L162" s="7" t="str">
        <f>IFERROR(__xludf.DUMMYFUNCTION("IF('Respuestas de formulario 1'!L162="""","""",TO_TEXT('Respuestas de formulario 1'!L162))"),"")</f>
        <v/>
      </c>
      <c r="M162" s="7" t="str">
        <f>IFERROR(__xludf.DUMMYFUNCTION("IF('Respuestas de formulario 1'!M162="""","""",TO_TEXT('Respuestas de formulario 1'!M162))"),"")</f>
        <v/>
      </c>
      <c r="N162" s="7">
        <f t="shared" si="1"/>
        <v>2023</v>
      </c>
      <c r="O162" s="7" t="str">
        <f t="shared" si="2"/>
        <v>mayo</v>
      </c>
      <c r="P162" s="7" t="s">
        <v>4527</v>
      </c>
    </row>
    <row r="163">
      <c r="A163" s="19">
        <f>'Respuestas de formulario 1'!A163</f>
        <v>45076.69244</v>
      </c>
      <c r="B163" s="7" t="str">
        <f>'Respuestas de formulario 1'!B163</f>
        <v>Castro</v>
      </c>
      <c r="C163" s="7" t="str">
        <f>'Respuestas de formulario 1'!C163</f>
        <v>Susana</v>
      </c>
      <c r="D163" s="7" t="str">
        <f>'Respuestas de formulario 1'!D163</f>
        <v>susamelia1941@hotmail.com</v>
      </c>
      <c r="E163" s="20">
        <f>'Respuestas de formulario 1'!E163</f>
        <v>16853</v>
      </c>
      <c r="F163" s="7">
        <f>'Respuestas de formulario 1'!F163</f>
        <v>5148843</v>
      </c>
      <c r="G163" s="7" t="str">
        <f>IFERROR(__xludf.DUMMYFUNCTION("IF('Respuestas de formulario 1'!G163="""","""",IF(LEFT(REGEXREPLACE(TO_TEXT('Respuestas de formulario 1'!G163),""[^0-9]"",""""),2)=""54"",""+""&amp;REGEXREPLACE(TO_TEXT('Respuestas de formulario 1'!G163),""[^0-9]"",""""),""+54""&amp;REGEXREPLACE(TO_TEXT('Respuest"&amp;"as de formulario 1'!G163),""[^0-9]"","""")))"),"+543512022176")</f>
        <v>+543512022176</v>
      </c>
      <c r="H163" s="7">
        <f>'Respuestas de formulario 1'!S163</f>
        <v>2023</v>
      </c>
      <c r="I163" s="7" t="str">
        <f>IFERROR(__xludf.DUMMYFUNCTION("IF('Respuestas de formulario 1'!I163="""","""",TO_TEXT('Respuestas de formulario 1'!I163))"),"Particular")</f>
        <v>Particular</v>
      </c>
      <c r="J163" s="7" t="str">
        <f>IFERROR(__xludf.DUMMYFUNCTION("IF('Respuestas de formulario 1'!J163&lt;&gt;"""",UPPER(TRIM(TO_TEXT('Respuestas de formulario 1'!J163))),IF('Respuestas de formulario 1'!O163&lt;&gt;"""",UPPER(TRIM(TO_TEXT('Respuestas de formulario 1'!O163))),""""))"),"")</f>
        <v/>
      </c>
      <c r="K163" s="7" t="str">
        <f>IFERROR(__xludf.DUMMYFUNCTION("IF('Respuestas de formulario 1'!K163="""","""",TO_TEXT('Respuestas de formulario 1'!K163))"),"")</f>
        <v/>
      </c>
      <c r="L163" s="7" t="str">
        <f>IFERROR(__xludf.DUMMYFUNCTION("IF('Respuestas de formulario 1'!L163="""","""",TO_TEXT('Respuestas de formulario 1'!L163))"),"")</f>
        <v/>
      </c>
      <c r="M163" s="7" t="str">
        <f>IFERROR(__xludf.DUMMYFUNCTION("IF('Respuestas de formulario 1'!M163="""","""",TO_TEXT('Respuestas de formulario 1'!M163))"),"")</f>
        <v/>
      </c>
      <c r="N163" s="7">
        <f t="shared" si="1"/>
        <v>2023</v>
      </c>
      <c r="O163" s="7" t="str">
        <f t="shared" si="2"/>
        <v>mayo</v>
      </c>
      <c r="P163" s="7" t="s">
        <v>4529</v>
      </c>
    </row>
    <row r="164">
      <c r="A164" s="19">
        <f>'Respuestas de formulario 1'!A164</f>
        <v>45076.79968</v>
      </c>
      <c r="B164" s="7" t="str">
        <f>'Respuestas de formulario 1'!B164</f>
        <v>Franciosi</v>
      </c>
      <c r="C164" s="7" t="str">
        <f>'Respuestas de formulario 1'!C164</f>
        <v>Augusto</v>
      </c>
      <c r="D164" s="7" t="str">
        <f>'Respuestas de formulario 1'!D164</f>
        <v>augustogfranciosi@gmail.com</v>
      </c>
      <c r="E164" s="20">
        <f>'Respuestas de formulario 1'!E164</f>
        <v>35075</v>
      </c>
      <c r="F164" s="7">
        <f>'Respuestas de formulario 1'!F164</f>
        <v>39445328</v>
      </c>
      <c r="G164" s="7" t="str">
        <f>IFERROR(__xludf.DUMMYFUNCTION("IF('Respuestas de formulario 1'!G164="""","""",IF(LEFT(REGEXREPLACE(TO_TEXT('Respuestas de formulario 1'!G164),""[^0-9]"",""""),2)=""54"",""+""&amp;REGEXREPLACE(TO_TEXT('Respuestas de formulario 1'!G164),""[^0-9]"",""""),""+54""&amp;REGEXREPLACE(TO_TEXT('Respuest"&amp;"as de formulario 1'!G164),""[^0-9]"","""")))"),"+543516143218")</f>
        <v>+543516143218</v>
      </c>
      <c r="H164" s="7">
        <f>'Respuestas de formulario 1'!S164</f>
        <v>2023</v>
      </c>
      <c r="I164" s="7" t="str">
        <f>IFERROR(__xludf.DUMMYFUNCTION("IF('Respuestas de formulario 1'!I164="""","""",TO_TEXT('Respuestas de formulario 1'!I164))"),"Particular")</f>
        <v>Particular</v>
      </c>
      <c r="J164" s="7" t="str">
        <f>IFERROR(__xludf.DUMMYFUNCTION("IF('Respuestas de formulario 1'!J164&lt;&gt;"""",UPPER(TRIM(TO_TEXT('Respuestas de formulario 1'!J164))),IF('Respuestas de formulario 1'!O164&lt;&gt;"""",UPPER(TRIM(TO_TEXT('Respuestas de formulario 1'!O164))),""""))"),"")</f>
        <v/>
      </c>
      <c r="K164" s="7" t="str">
        <f>IFERROR(__xludf.DUMMYFUNCTION("IF('Respuestas de formulario 1'!K164="""","""",TO_TEXT('Respuestas de formulario 1'!K164))"),"")</f>
        <v/>
      </c>
      <c r="L164" s="7" t="str">
        <f>IFERROR(__xludf.DUMMYFUNCTION("IF('Respuestas de formulario 1'!L164="""","""",TO_TEXT('Respuestas de formulario 1'!L164))"),"")</f>
        <v/>
      </c>
      <c r="M164" s="7" t="str">
        <f>IFERROR(__xludf.DUMMYFUNCTION("IF('Respuestas de formulario 1'!M164="""","""",TO_TEXT('Respuestas de formulario 1'!M164))"),"")</f>
        <v/>
      </c>
      <c r="N164" s="7">
        <f t="shared" si="1"/>
        <v>2023</v>
      </c>
      <c r="O164" s="7" t="str">
        <f t="shared" si="2"/>
        <v>mayo</v>
      </c>
      <c r="P164" s="7" t="s">
        <v>4531</v>
      </c>
    </row>
    <row r="165">
      <c r="A165" s="19">
        <f>'Respuestas de formulario 1'!A165</f>
        <v>45077.38944</v>
      </c>
      <c r="B165" s="7" t="str">
        <f>'Respuestas de formulario 1'!B165</f>
        <v>Bazan</v>
      </c>
      <c r="C165" s="7" t="str">
        <f>'Respuestas de formulario 1'!C165</f>
        <v>Santiago</v>
      </c>
      <c r="D165" s="7" t="str">
        <f>'Respuestas de formulario 1'!D165</f>
        <v>santibazan@hotmail.com</v>
      </c>
      <c r="E165" s="20">
        <f>'Respuestas de formulario 1'!E165</f>
        <v>31185</v>
      </c>
      <c r="F165" s="7">
        <f>'Respuestas de formulario 1'!F165</f>
        <v>31646048</v>
      </c>
      <c r="G165" s="7" t="str">
        <f>IFERROR(__xludf.DUMMYFUNCTION("IF('Respuestas de formulario 1'!G165="""","""",IF(LEFT(REGEXREPLACE(TO_TEXT('Respuestas de formulario 1'!G165),""[^0-9]"",""""),2)=""54"",""+""&amp;REGEXREPLACE(TO_TEXT('Respuestas de formulario 1'!G165),""[^0-9]"",""""),""+54""&amp;REGEXREPLACE(TO_TEXT('Respuest"&amp;"as de formulario 1'!G165),""[^0-9]"","""")))"),"+543516090602")</f>
        <v>+543516090602</v>
      </c>
      <c r="H165" s="7">
        <f>'Respuestas de formulario 1'!S165</f>
        <v>2023</v>
      </c>
      <c r="I165" s="7" t="str">
        <f>IFERROR(__xludf.DUMMYFUNCTION("IF('Respuestas de formulario 1'!I165="""","""",TO_TEXT('Respuestas de formulario 1'!I165))"),"Obra social")</f>
        <v>Obra social</v>
      </c>
      <c r="J165" s="7" t="str">
        <f>IFERROR(__xludf.DUMMYFUNCTION("IF('Respuestas de formulario 1'!J165&lt;&gt;"""",UPPER(TRIM(TO_TEXT('Respuestas de formulario 1'!J165))),IF('Respuestas de formulario 1'!O165&lt;&gt;"""",UPPER(TRIM(TO_TEXT('Respuestas de formulario 1'!O165))),""""))"),"DASPU")</f>
        <v>DASPU</v>
      </c>
      <c r="K165" s="7" t="str">
        <f>IFERROR(__xludf.DUMMYFUNCTION("IF('Respuestas de formulario 1'!K165="""","""",TO_TEXT('Respuestas de formulario 1'!K165))"),"")</f>
        <v/>
      </c>
      <c r="L165" s="7" t="str">
        <f>IFERROR(__xludf.DUMMYFUNCTION("IF('Respuestas de formulario 1'!L165="""","""",TO_TEXT('Respuestas de formulario 1'!L165))"),"")</f>
        <v/>
      </c>
      <c r="M165" s="7" t="str">
        <f>IFERROR(__xludf.DUMMYFUNCTION("IF('Respuestas de formulario 1'!M165="""","""",TO_TEXT('Respuestas de formulario 1'!M165))"),"")</f>
        <v/>
      </c>
      <c r="N165" s="7">
        <f t="shared" si="1"/>
        <v>2023</v>
      </c>
      <c r="O165" s="7" t="str">
        <f t="shared" si="2"/>
        <v>mayo</v>
      </c>
      <c r="P165" s="7" t="s">
        <v>4533</v>
      </c>
    </row>
    <row r="166">
      <c r="A166" s="19">
        <f>'Respuestas de formulario 1'!A166</f>
        <v>45077.68621</v>
      </c>
      <c r="B166" s="7" t="str">
        <f>'Respuestas de formulario 1'!B166</f>
        <v>Gaite</v>
      </c>
      <c r="C166" s="7" t="str">
        <f>'Respuestas de formulario 1'!C166</f>
        <v>Gaston</v>
      </c>
      <c r="D166" s="7" t="str">
        <f>'Respuestas de formulario 1'!D166</f>
        <v>gastongabrielgaite@gmail.com</v>
      </c>
      <c r="E166" s="20">
        <f>'Respuestas de formulario 1'!E166</f>
        <v>36594</v>
      </c>
      <c r="F166" s="7">
        <f>'Respuestas de formulario 1'!F166</f>
        <v>42384668</v>
      </c>
      <c r="G166" s="7" t="str">
        <f>IFERROR(__xludf.DUMMYFUNCTION("IF('Respuestas de formulario 1'!G166="""","""",IF(LEFT(REGEXREPLACE(TO_TEXT('Respuestas de formulario 1'!G166),""[^0-9]"",""""),2)=""54"",""+""&amp;REGEXREPLACE(TO_TEXT('Respuestas de formulario 1'!G166),""[^0-9]"",""""),""+54""&amp;REGEXREPLACE(TO_TEXT('Respuest"&amp;"as de formulario 1'!G166),""[^0-9]"","""")))"),"+543513510356")</f>
        <v>+543513510356</v>
      </c>
      <c r="H166" s="7">
        <f>'Respuestas de formulario 1'!S166</f>
        <v>2023</v>
      </c>
      <c r="I166" s="7" t="str">
        <f>IFERROR(__xludf.DUMMYFUNCTION("IF('Respuestas de formulario 1'!I166="""","""",TO_TEXT('Respuestas de formulario 1'!I166))"),"Particular")</f>
        <v>Particular</v>
      </c>
      <c r="J166" s="7" t="str">
        <f>IFERROR(__xludf.DUMMYFUNCTION("IF('Respuestas de formulario 1'!J166&lt;&gt;"""",UPPER(TRIM(TO_TEXT('Respuestas de formulario 1'!J166))),IF('Respuestas de formulario 1'!O166&lt;&gt;"""",UPPER(TRIM(TO_TEXT('Respuestas de formulario 1'!O166))),""""))"),"")</f>
        <v/>
      </c>
      <c r="K166" s="7" t="str">
        <f>IFERROR(__xludf.DUMMYFUNCTION("IF('Respuestas de formulario 1'!K166="""","""",TO_TEXT('Respuestas de formulario 1'!K166))"),"")</f>
        <v/>
      </c>
      <c r="L166" s="7" t="str">
        <f>IFERROR(__xludf.DUMMYFUNCTION("IF('Respuestas de formulario 1'!L166="""","""",TO_TEXT('Respuestas de formulario 1'!L166))"),"")</f>
        <v/>
      </c>
      <c r="M166" s="7" t="str">
        <f>IFERROR(__xludf.DUMMYFUNCTION("IF('Respuestas de formulario 1'!M166="""","""",TO_TEXT('Respuestas de formulario 1'!M166))"),"")</f>
        <v/>
      </c>
      <c r="N166" s="7">
        <f t="shared" si="1"/>
        <v>2023</v>
      </c>
      <c r="O166" s="7" t="str">
        <f t="shared" si="2"/>
        <v>mayo</v>
      </c>
      <c r="P166" s="7" t="s">
        <v>4535</v>
      </c>
    </row>
    <row r="167">
      <c r="A167" s="19">
        <f>'Respuestas de formulario 1'!A167</f>
        <v>45077.83589</v>
      </c>
      <c r="B167" s="7" t="str">
        <f>'Respuestas de formulario 1'!B167</f>
        <v>Cordoba </v>
      </c>
      <c r="C167" s="7" t="str">
        <f>'Respuestas de formulario 1'!C167</f>
        <v>Ariel</v>
      </c>
      <c r="D167" s="7" t="str">
        <f>'Respuestas de formulario 1'!D167</f>
        <v>arielcordoba79@gmail.com</v>
      </c>
      <c r="E167" s="20">
        <f>'Respuestas de formulario 1'!E167</f>
        <v>28993</v>
      </c>
      <c r="F167" s="7">
        <f>'Respuestas de formulario 1'!F167</f>
        <v>27248386</v>
      </c>
      <c r="G167" s="7" t="str">
        <f>IFERROR(__xludf.DUMMYFUNCTION("IF('Respuestas de formulario 1'!G167="""","""",IF(LEFT(REGEXREPLACE(TO_TEXT('Respuestas de formulario 1'!G167),""[^0-9]"",""""),2)=""54"",""+""&amp;REGEXREPLACE(TO_TEXT('Respuestas de formulario 1'!G167),""[^0-9]"",""""),""+54""&amp;REGEXREPLACE(TO_TEXT('Respuest"&amp;"as de formulario 1'!G167),""[^0-9]"","""")))"),"+543516831832")</f>
        <v>+543516831832</v>
      </c>
      <c r="H167" s="7">
        <f>'Respuestas de formulario 1'!S167</f>
        <v>2023</v>
      </c>
      <c r="I167" s="7" t="str">
        <f>IFERROR(__xludf.DUMMYFUNCTION("IF('Respuestas de formulario 1'!I167="""","""",TO_TEXT('Respuestas de formulario 1'!I167))"),"Obra social")</f>
        <v>Obra social</v>
      </c>
      <c r="J167" s="7" t="str">
        <f>IFERROR(__xludf.DUMMYFUNCTION("IF('Respuestas de formulario 1'!J167&lt;&gt;"""",UPPER(TRIM(TO_TEXT('Respuestas de formulario 1'!J167))),IF('Respuestas de formulario 1'!O167&lt;&gt;"""",UPPER(TRIM(TO_TEXT('Respuestas de formulario 1'!O167))),""""))"),"SANCOR")</f>
        <v>SANCOR</v>
      </c>
      <c r="K167" s="7" t="str">
        <f>IFERROR(__xludf.DUMMYFUNCTION("IF('Respuestas de formulario 1'!K167="""","""",TO_TEXT('Respuestas de formulario 1'!K167))"),"")</f>
        <v/>
      </c>
      <c r="L167" s="7" t="str">
        <f>IFERROR(__xludf.DUMMYFUNCTION("IF('Respuestas de formulario 1'!L167="""","""",TO_TEXT('Respuestas de formulario 1'!L167))"),"")</f>
        <v/>
      </c>
      <c r="M167" s="7" t="str">
        <f>IFERROR(__xludf.DUMMYFUNCTION("IF('Respuestas de formulario 1'!M167="""","""",TO_TEXT('Respuestas de formulario 1'!M167))"),"")</f>
        <v/>
      </c>
      <c r="N167" s="7">
        <f t="shared" si="1"/>
        <v>2023</v>
      </c>
      <c r="O167" s="7" t="str">
        <f t="shared" si="2"/>
        <v>mayo</v>
      </c>
      <c r="P167" s="7" t="s">
        <v>4537</v>
      </c>
    </row>
    <row r="168">
      <c r="A168" s="19">
        <f>'Respuestas de formulario 1'!A168</f>
        <v>45078.51433</v>
      </c>
      <c r="B168" s="7" t="str">
        <f>'Respuestas de formulario 1'!B168</f>
        <v>Yunes</v>
      </c>
      <c r="C168" s="7" t="str">
        <f>'Respuestas de formulario 1'!C168</f>
        <v>Miguel</v>
      </c>
      <c r="D168" s="7" t="str">
        <f>'Respuestas de formulario 1'!D168</f>
        <v>arqyunes@gmail.com</v>
      </c>
      <c r="E168" s="20">
        <f>'Respuestas de formulario 1'!E168</f>
        <v>16566</v>
      </c>
      <c r="F168" s="7">
        <f>'Respuestas de formulario 1'!F168</f>
        <v>7984098</v>
      </c>
      <c r="G168" s="7" t="str">
        <f>IFERROR(__xludf.DUMMYFUNCTION("IF('Respuestas de formulario 1'!G168="""","""",IF(LEFT(REGEXREPLACE(TO_TEXT('Respuestas de formulario 1'!G168),""[^0-9]"",""""),2)=""54"",""+""&amp;REGEXREPLACE(TO_TEXT('Respuestas de formulario 1'!G168),""[^0-9]"",""""),""+54""&amp;REGEXREPLACE(TO_TEXT('Respuest"&amp;"as de formulario 1'!G168),""[^0-9]"","""")))"),"+543515105133")</f>
        <v>+543515105133</v>
      </c>
      <c r="H168" s="7">
        <f>'Respuestas de formulario 1'!S168</f>
        <v>2023</v>
      </c>
      <c r="I168" s="7" t="str">
        <f>IFERROR(__xludf.DUMMYFUNCTION("IF('Respuestas de formulario 1'!I168="""","""",TO_TEXT('Respuestas de formulario 1'!I168))"),"Obra social")</f>
        <v>Obra social</v>
      </c>
      <c r="J168" s="7" t="str">
        <f>IFERROR(__xludf.DUMMYFUNCTION("IF('Respuestas de formulario 1'!J168&lt;&gt;"""",UPPER(TRIM(TO_TEXT('Respuestas de formulario 1'!J168))),IF('Respuestas de formulario 1'!O168&lt;&gt;"""",UPPER(TRIM(TO_TEXT('Respuestas de formulario 1'!O168))),""""))"),"APROSS")</f>
        <v>APROSS</v>
      </c>
      <c r="K168" s="7" t="str">
        <f>IFERROR(__xludf.DUMMYFUNCTION("IF('Respuestas de formulario 1'!K168="""","""",TO_TEXT('Respuestas de formulario 1'!K168))"),"")</f>
        <v/>
      </c>
      <c r="L168" s="7" t="str">
        <f>IFERROR(__xludf.DUMMYFUNCTION("IF('Respuestas de formulario 1'!L168="""","""",TO_TEXT('Respuestas de formulario 1'!L168))"),"")</f>
        <v/>
      </c>
      <c r="M168" s="7" t="str">
        <f>IFERROR(__xludf.DUMMYFUNCTION("IF('Respuestas de formulario 1'!M168="""","""",TO_TEXT('Respuestas de formulario 1'!M168))"),"")</f>
        <v/>
      </c>
      <c r="N168" s="7">
        <f t="shared" si="1"/>
        <v>2023</v>
      </c>
      <c r="O168" s="7" t="str">
        <f t="shared" si="2"/>
        <v>junio</v>
      </c>
      <c r="P168" s="7" t="s">
        <v>4539</v>
      </c>
    </row>
    <row r="169">
      <c r="A169" s="19">
        <f>'Respuestas de formulario 1'!A169</f>
        <v>45078.57197</v>
      </c>
      <c r="B169" s="7" t="str">
        <f>'Respuestas de formulario 1'!B169</f>
        <v>Issoglio</v>
      </c>
      <c r="C169" s="7" t="str">
        <f>'Respuestas de formulario 1'!C169</f>
        <v>Javier</v>
      </c>
      <c r="D169" s="7" t="str">
        <f>'Respuestas de formulario 1'!D169</f>
        <v>javier.issoglio@gmail.com</v>
      </c>
      <c r="E169" s="20">
        <f>'Respuestas de formulario 1'!E169</f>
        <v>30677</v>
      </c>
      <c r="F169" s="7">
        <f>'Respuestas de formulario 1'!F169</f>
        <v>30657915</v>
      </c>
      <c r="G169" s="7" t="str">
        <f>IFERROR(__xludf.DUMMYFUNCTION("IF('Respuestas de formulario 1'!G169="""","""",IF(LEFT(REGEXREPLACE(TO_TEXT('Respuestas de formulario 1'!G169),""[^0-9]"",""""),2)=""54"",""+""&amp;REGEXREPLACE(TO_TEXT('Respuestas de formulario 1'!G169),""[^0-9]"",""""),""+54""&amp;REGEXREPLACE(TO_TEXT('Respuest"&amp;"as de formulario 1'!G169),""[^0-9]"","""")))"),"+543513902940")</f>
        <v>+543513902940</v>
      </c>
      <c r="H169" s="7">
        <f>'Respuestas de formulario 1'!S169</f>
        <v>2023</v>
      </c>
      <c r="I169" s="7" t="str">
        <f>IFERROR(__xludf.DUMMYFUNCTION("IF('Respuestas de formulario 1'!I169="""","""",TO_TEXT('Respuestas de formulario 1'!I169))"),"Obra social")</f>
        <v>Obra social</v>
      </c>
      <c r="J169" s="7" t="str">
        <f>IFERROR(__xludf.DUMMYFUNCTION("IF('Respuestas de formulario 1'!J169&lt;&gt;"""",UPPER(TRIM(TO_TEXT('Respuestas de formulario 1'!J169))),IF('Respuestas de formulario 1'!O169&lt;&gt;"""",UPPER(TRIM(TO_TEXT('Respuestas de formulario 1'!O169))),""""))"),"PREVENCIÓN")</f>
        <v>PREVENCIÓN</v>
      </c>
      <c r="K169" s="7" t="str">
        <f>IFERROR(__xludf.DUMMYFUNCTION("IF('Respuestas de formulario 1'!K169="""","""",TO_TEXT('Respuestas de formulario 1'!K169))"),"")</f>
        <v/>
      </c>
      <c r="L169" s="7" t="str">
        <f>IFERROR(__xludf.DUMMYFUNCTION("IF('Respuestas de formulario 1'!L169="""","""",TO_TEXT('Respuestas de formulario 1'!L169))"),"")</f>
        <v/>
      </c>
      <c r="M169" s="7" t="str">
        <f>IFERROR(__xludf.DUMMYFUNCTION("IF('Respuestas de formulario 1'!M169="""","""",TO_TEXT('Respuestas de formulario 1'!M169))"),"")</f>
        <v/>
      </c>
      <c r="N169" s="7">
        <f t="shared" si="1"/>
        <v>2023</v>
      </c>
      <c r="O169" s="7" t="str">
        <f t="shared" si="2"/>
        <v>junio</v>
      </c>
      <c r="P169" s="7" t="s">
        <v>4541</v>
      </c>
    </row>
    <row r="170">
      <c r="A170" s="19">
        <f>'Respuestas de formulario 1'!A170</f>
        <v>45079.45363</v>
      </c>
      <c r="B170" s="7" t="str">
        <f>'Respuestas de formulario 1'!B170</f>
        <v>Cuello</v>
      </c>
      <c r="C170" s="7" t="str">
        <f>'Respuestas de formulario 1'!C170</f>
        <v>Alexis</v>
      </c>
      <c r="D170" s="7" t="str">
        <f>'Respuestas de formulario 1'!D170</f>
        <v>alexiscuello98@gmail.com</v>
      </c>
      <c r="E170" s="20">
        <f>'Respuestas de formulario 1'!E170</f>
        <v>35910</v>
      </c>
      <c r="F170" s="7">
        <f>'Respuestas de formulario 1'!F170</f>
        <v>41115237</v>
      </c>
      <c r="G170" s="7" t="str">
        <f>IFERROR(__xludf.DUMMYFUNCTION("IF('Respuestas de formulario 1'!G170="""","""",IF(LEFT(REGEXREPLACE(TO_TEXT('Respuestas de formulario 1'!G170),""[^0-9]"",""""),2)=""54"",""+""&amp;REGEXREPLACE(TO_TEXT('Respuestas de formulario 1'!G170),""[^0-9]"",""""),""+54""&amp;REGEXREPLACE(TO_TEXT('Respuest"&amp;"as de formulario 1'!G170),""[^0-9]"","""")))"),"+543516627280")</f>
        <v>+543516627280</v>
      </c>
      <c r="H170" s="7">
        <f>'Respuestas de formulario 1'!S170</f>
        <v>2023</v>
      </c>
      <c r="I170" s="7" t="str">
        <f>IFERROR(__xludf.DUMMYFUNCTION("IF('Respuestas de formulario 1'!I170="""","""",TO_TEXT('Respuestas de formulario 1'!I170))"),"Particular")</f>
        <v>Particular</v>
      </c>
      <c r="J170" s="7" t="str">
        <f>IFERROR(__xludf.DUMMYFUNCTION("IF('Respuestas de formulario 1'!J170&lt;&gt;"""",UPPER(TRIM(TO_TEXT('Respuestas de formulario 1'!J170))),IF('Respuestas de formulario 1'!O170&lt;&gt;"""",UPPER(TRIM(TO_TEXT('Respuestas de formulario 1'!O170))),""""))"),"")</f>
        <v/>
      </c>
      <c r="K170" s="7" t="str">
        <f>IFERROR(__xludf.DUMMYFUNCTION("IF('Respuestas de formulario 1'!K170="""","""",TO_TEXT('Respuestas de formulario 1'!K170))"),"")</f>
        <v/>
      </c>
      <c r="L170" s="7" t="str">
        <f>IFERROR(__xludf.DUMMYFUNCTION("IF('Respuestas de formulario 1'!L170="""","""",TO_TEXT('Respuestas de formulario 1'!L170))"),"")</f>
        <v/>
      </c>
      <c r="M170" s="7" t="str">
        <f>IFERROR(__xludf.DUMMYFUNCTION("IF('Respuestas de formulario 1'!M170="""","""",TO_TEXT('Respuestas de formulario 1'!M170))"),"")</f>
        <v/>
      </c>
      <c r="N170" s="7">
        <f t="shared" si="1"/>
        <v>2023</v>
      </c>
      <c r="O170" s="7" t="str">
        <f t="shared" si="2"/>
        <v>junio</v>
      </c>
      <c r="P170" s="7" t="s">
        <v>4543</v>
      </c>
    </row>
    <row r="171">
      <c r="A171" s="19">
        <f>'Respuestas de formulario 1'!A171</f>
        <v>45079.54665</v>
      </c>
      <c r="B171" s="7" t="str">
        <f>'Respuestas de formulario 1'!B171</f>
        <v>Oviedo</v>
      </c>
      <c r="C171" s="7" t="str">
        <f>'Respuestas de formulario 1'!C171</f>
        <v>Federico</v>
      </c>
      <c r="D171" s="7" t="str">
        <f>'Respuestas de formulario 1'!D171</f>
        <v>Fedeoviedo1992@gmail.com</v>
      </c>
      <c r="E171" s="20">
        <f>'Respuestas de formulario 1'!E171</f>
        <v>33831</v>
      </c>
      <c r="F171" s="7">
        <f>'Respuestas de formulario 1'!F171</f>
        <v>36429292</v>
      </c>
      <c r="G171" s="7" t="str">
        <f>IFERROR(__xludf.DUMMYFUNCTION("IF('Respuestas de formulario 1'!G171="""","""",IF(LEFT(REGEXREPLACE(TO_TEXT('Respuestas de formulario 1'!G171),""[^0-9]"",""""),2)=""54"",""+""&amp;REGEXREPLACE(TO_TEXT('Respuestas de formulario 1'!G171),""[^0-9]"",""""),""+54""&amp;REGEXREPLACE(TO_TEXT('Respuest"&amp;"as de formulario 1'!G171),""[^0-9]"","""")))"),"+543516826366")</f>
        <v>+543516826366</v>
      </c>
      <c r="H171" s="7">
        <f>'Respuestas de formulario 1'!S171</f>
        <v>2023</v>
      </c>
      <c r="I171" s="7" t="str">
        <f>IFERROR(__xludf.DUMMYFUNCTION("IF('Respuestas de formulario 1'!I171="""","""",TO_TEXT('Respuestas de formulario 1'!I171))"),"Obra social")</f>
        <v>Obra social</v>
      </c>
      <c r="J171" s="7" t="str">
        <f>IFERROR(__xludf.DUMMYFUNCTION("IF('Respuestas de formulario 1'!J171&lt;&gt;"""",UPPER(TRIM(TO_TEXT('Respuestas de formulario 1'!J171))),IF('Respuestas de formulario 1'!O171&lt;&gt;"""",UPPER(TRIM(TO_TEXT('Respuestas de formulario 1'!O171))),""""))"),"PREVENCIÓN")</f>
        <v>PREVENCIÓN</v>
      </c>
      <c r="K171" s="7" t="str">
        <f>IFERROR(__xludf.DUMMYFUNCTION("IF('Respuestas de formulario 1'!K171="""","""",TO_TEXT('Respuestas de formulario 1'!K171))"),"")</f>
        <v/>
      </c>
      <c r="L171" s="7" t="str">
        <f>IFERROR(__xludf.DUMMYFUNCTION("IF('Respuestas de formulario 1'!L171="""","""",TO_TEXT('Respuestas de formulario 1'!L171))"),"")</f>
        <v/>
      </c>
      <c r="M171" s="7" t="str">
        <f>IFERROR(__xludf.DUMMYFUNCTION("IF('Respuestas de formulario 1'!M171="""","""",TO_TEXT('Respuestas de formulario 1'!M171))"),"")</f>
        <v/>
      </c>
      <c r="N171" s="7">
        <f t="shared" si="1"/>
        <v>2023</v>
      </c>
      <c r="O171" s="7" t="str">
        <f t="shared" si="2"/>
        <v>junio</v>
      </c>
      <c r="P171" s="7" t="s">
        <v>4545</v>
      </c>
    </row>
    <row r="172">
      <c r="A172" s="19">
        <f>'Respuestas de formulario 1'!A172</f>
        <v>45079.78996</v>
      </c>
      <c r="B172" s="7" t="str">
        <f>'Respuestas de formulario 1'!B172</f>
        <v>Petenian</v>
      </c>
      <c r="C172" s="7" t="str">
        <f>'Respuestas de formulario 1'!C172</f>
        <v>Mariana</v>
      </c>
      <c r="D172" s="7" t="str">
        <f>'Respuestas de formulario 1'!D172</f>
        <v>petenianmariana @gmail.com</v>
      </c>
      <c r="E172" s="20">
        <f>'Respuestas de formulario 1'!E172</f>
        <v>29674</v>
      </c>
      <c r="F172" s="7">
        <f>'Respuestas de formulario 1'!F172</f>
        <v>28654734</v>
      </c>
      <c r="G172" s="7" t="str">
        <f>IFERROR(__xludf.DUMMYFUNCTION("IF('Respuestas de formulario 1'!G172="""","""",IF(LEFT(REGEXREPLACE(TO_TEXT('Respuestas de formulario 1'!G172),""[^0-9]"",""""),2)=""54"",""+""&amp;REGEXREPLACE(TO_TEXT('Respuestas de formulario 1'!G172),""[^0-9]"",""""),""+54""&amp;REGEXREPLACE(TO_TEXT('Respuest"&amp;"as de formulario 1'!G172),""[^0-9]"","""")))"),"+543512050186")</f>
        <v>+543512050186</v>
      </c>
      <c r="H172" s="7">
        <f>'Respuestas de formulario 1'!S172</f>
        <v>2023</v>
      </c>
      <c r="I172" s="7" t="str">
        <f>IFERROR(__xludf.DUMMYFUNCTION("IF('Respuestas de formulario 1'!I172="""","""",TO_TEXT('Respuestas de formulario 1'!I172))"),"Particular")</f>
        <v>Particular</v>
      </c>
      <c r="J172" s="7" t="str">
        <f>IFERROR(__xludf.DUMMYFUNCTION("IF('Respuestas de formulario 1'!J172&lt;&gt;"""",UPPER(TRIM(TO_TEXT('Respuestas de formulario 1'!J172))),IF('Respuestas de formulario 1'!O172&lt;&gt;"""",UPPER(TRIM(TO_TEXT('Respuestas de formulario 1'!O172))),""""))"),"")</f>
        <v/>
      </c>
      <c r="K172" s="7" t="str">
        <f>IFERROR(__xludf.DUMMYFUNCTION("IF('Respuestas de formulario 1'!K172="""","""",TO_TEXT('Respuestas de formulario 1'!K172))"),"")</f>
        <v/>
      </c>
      <c r="L172" s="7" t="str">
        <f>IFERROR(__xludf.DUMMYFUNCTION("IF('Respuestas de formulario 1'!L172="""","""",TO_TEXT('Respuestas de formulario 1'!L172))"),"")</f>
        <v/>
      </c>
      <c r="M172" s="7" t="str">
        <f>IFERROR(__xludf.DUMMYFUNCTION("IF('Respuestas de formulario 1'!M172="""","""",TO_TEXT('Respuestas de formulario 1'!M172))"),"")</f>
        <v/>
      </c>
      <c r="N172" s="7">
        <f t="shared" si="1"/>
        <v>2023</v>
      </c>
      <c r="O172" s="7" t="str">
        <f t="shared" si="2"/>
        <v>junio</v>
      </c>
      <c r="P172" s="7" t="s">
        <v>4547</v>
      </c>
    </row>
    <row r="173">
      <c r="A173" s="19">
        <f>'Respuestas de formulario 1'!A173</f>
        <v>45079.80055</v>
      </c>
      <c r="B173" s="7" t="str">
        <f>'Respuestas de formulario 1'!B173</f>
        <v>Butiler </v>
      </c>
      <c r="C173" s="7" t="str">
        <f>'Respuestas de formulario 1'!C173</f>
        <v>Kevin</v>
      </c>
      <c r="D173" s="7" t="str">
        <f>'Respuestas de formulario 1'!D173</f>
        <v>kevin22-03@hotmail.com</v>
      </c>
      <c r="E173" s="20">
        <f>'Respuestas de formulario 1'!E173</f>
        <v>45079</v>
      </c>
      <c r="F173" s="7">
        <f>'Respuestas de formulario 1'!F173</f>
        <v>41827735</v>
      </c>
      <c r="G173" s="7" t="str">
        <f>IFERROR(__xludf.DUMMYFUNCTION("IF('Respuestas de formulario 1'!G173="""","""",IF(LEFT(REGEXREPLACE(TO_TEXT('Respuestas de formulario 1'!G173),""[^0-9]"",""""),2)=""54"",""+""&amp;REGEXREPLACE(TO_TEXT('Respuestas de formulario 1'!G173),""[^0-9]"",""""),""+54""&amp;REGEXREPLACE(TO_TEXT('Respuest"&amp;"as de formulario 1'!G173),""[^0-9]"","""")))"),"+543517028458")</f>
        <v>+543517028458</v>
      </c>
      <c r="H173" s="7">
        <f>'Respuestas de formulario 1'!S173</f>
        <v>2023</v>
      </c>
      <c r="I173" s="7" t="str">
        <f>IFERROR(__xludf.DUMMYFUNCTION("IF('Respuestas de formulario 1'!I173="""","""",TO_TEXT('Respuestas de formulario 1'!I173))"),"Particular")</f>
        <v>Particular</v>
      </c>
      <c r="J173" s="7" t="str">
        <f>IFERROR(__xludf.DUMMYFUNCTION("IF('Respuestas de formulario 1'!J173&lt;&gt;"""",UPPER(TRIM(TO_TEXT('Respuestas de formulario 1'!J173))),IF('Respuestas de formulario 1'!O173&lt;&gt;"""",UPPER(TRIM(TO_TEXT('Respuestas de formulario 1'!O173))),""""))"),"")</f>
        <v/>
      </c>
      <c r="K173" s="7" t="str">
        <f>IFERROR(__xludf.DUMMYFUNCTION("IF('Respuestas de formulario 1'!K173="""","""",TO_TEXT('Respuestas de formulario 1'!K173))"),"")</f>
        <v/>
      </c>
      <c r="L173" s="7" t="str">
        <f>IFERROR(__xludf.DUMMYFUNCTION("IF('Respuestas de formulario 1'!L173="""","""",TO_TEXT('Respuestas de formulario 1'!L173))"),"")</f>
        <v/>
      </c>
      <c r="M173" s="7" t="str">
        <f>IFERROR(__xludf.DUMMYFUNCTION("IF('Respuestas de formulario 1'!M173="""","""",TO_TEXT('Respuestas de formulario 1'!M173))"),"")</f>
        <v/>
      </c>
      <c r="N173" s="7">
        <f t="shared" si="1"/>
        <v>2023</v>
      </c>
      <c r="O173" s="7" t="str">
        <f t="shared" si="2"/>
        <v>junio</v>
      </c>
      <c r="P173" s="7" t="s">
        <v>4549</v>
      </c>
    </row>
    <row r="174">
      <c r="A174" s="19">
        <f>'Respuestas de formulario 1'!A174</f>
        <v>45082.49003</v>
      </c>
      <c r="B174" s="7" t="str">
        <f>'Respuestas de formulario 1'!B174</f>
        <v>Johnson</v>
      </c>
      <c r="C174" s="7" t="str">
        <f>'Respuestas de formulario 1'!C174</f>
        <v>Benjamín</v>
      </c>
      <c r="D174" s="7" t="str">
        <f>'Respuestas de formulario 1'!D174</f>
        <v>benjawamba@gmail.com</v>
      </c>
      <c r="E174" s="20">
        <f>'Respuestas de formulario 1'!E174</f>
        <v>35675</v>
      </c>
      <c r="F174" s="7">
        <f>'Respuestas de formulario 1'!F174</f>
        <v>40661818</v>
      </c>
      <c r="G174" s="7" t="str">
        <f>IFERROR(__xludf.DUMMYFUNCTION("IF('Respuestas de formulario 1'!G174="""","""",IF(LEFT(REGEXREPLACE(TO_TEXT('Respuestas de formulario 1'!G174),""[^0-9]"",""""),2)=""54"",""+""&amp;REGEXREPLACE(TO_TEXT('Respuestas de formulario 1'!G174),""[^0-9]"",""""),""+54""&amp;REGEXREPLACE(TO_TEXT('Respuest"&amp;"as de formulario 1'!G174),""[^0-9]"","""")))"),"+543515159997")</f>
        <v>+543515159997</v>
      </c>
      <c r="H174" s="7">
        <f>'Respuestas de formulario 1'!S174</f>
        <v>2023</v>
      </c>
      <c r="I174" s="7" t="str">
        <f>IFERROR(__xludf.DUMMYFUNCTION("IF('Respuestas de formulario 1'!I174="""","""",TO_TEXT('Respuestas de formulario 1'!I174))"),"Obra social")</f>
        <v>Obra social</v>
      </c>
      <c r="J174" s="7" t="str">
        <f>IFERROR(__xludf.DUMMYFUNCTION("IF('Respuestas de formulario 1'!J174&lt;&gt;"""",UPPER(TRIM(TO_TEXT('Respuestas de formulario 1'!J174))),IF('Respuestas de formulario 1'!O174&lt;&gt;"""",UPPER(TRIM(TO_TEXT('Respuestas de formulario 1'!O174))),""""))"),"CAJA NOTARIAL")</f>
        <v>CAJA NOTARIAL</v>
      </c>
      <c r="K174" s="7" t="str">
        <f>IFERROR(__xludf.DUMMYFUNCTION("IF('Respuestas de formulario 1'!K174="""","""",TO_TEXT('Respuestas de formulario 1'!K174))"),"")</f>
        <v/>
      </c>
      <c r="L174" s="7" t="str">
        <f>IFERROR(__xludf.DUMMYFUNCTION("IF('Respuestas de formulario 1'!L174="""","""",TO_TEXT('Respuestas de formulario 1'!L174))"),"")</f>
        <v/>
      </c>
      <c r="M174" s="7" t="str">
        <f>IFERROR(__xludf.DUMMYFUNCTION("IF('Respuestas de formulario 1'!M174="""","""",TO_TEXT('Respuestas de formulario 1'!M174))"),"")</f>
        <v/>
      </c>
      <c r="N174" s="7">
        <f t="shared" si="1"/>
        <v>2023</v>
      </c>
      <c r="O174" s="7" t="str">
        <f t="shared" si="2"/>
        <v>junio</v>
      </c>
      <c r="P174" s="7" t="s">
        <v>4551</v>
      </c>
    </row>
    <row r="175">
      <c r="A175" s="19">
        <f>'Respuestas de formulario 1'!A175</f>
        <v>45082.66309</v>
      </c>
      <c r="B175" s="7" t="str">
        <f>'Respuestas de formulario 1'!B175</f>
        <v>Di Gregorio Soria </v>
      </c>
      <c r="C175" s="7" t="str">
        <f>'Respuestas de formulario 1'!C175</f>
        <v>Lucas </v>
      </c>
      <c r="D175" s="7" t="str">
        <f>'Respuestas de formulario 1'!D175</f>
        <v>andreasoria70@live.com.ar</v>
      </c>
      <c r="E175" s="20">
        <f>'Respuestas de formulario 1'!E175</f>
        <v>38974</v>
      </c>
      <c r="F175" s="7">
        <f>'Respuestas de formulario 1'!F175</f>
        <v>46656787</v>
      </c>
      <c r="G175" s="7" t="str">
        <f>IFERROR(__xludf.DUMMYFUNCTION("IF('Respuestas de formulario 1'!G175="""","""",IF(LEFT(REGEXREPLACE(TO_TEXT('Respuestas de formulario 1'!G175),""[^0-9]"",""""),2)=""54"",""+""&amp;REGEXREPLACE(TO_TEXT('Respuestas de formulario 1'!G175),""[^0-9]"",""""),""+54""&amp;REGEXREPLACE(TO_TEXT('Respuest"&amp;"as de formulario 1'!G175),""[^0-9]"","""")))"),"+543512328741")</f>
        <v>+543512328741</v>
      </c>
      <c r="H175" s="7">
        <f>'Respuestas de formulario 1'!S175</f>
        <v>2023</v>
      </c>
      <c r="I175" s="7" t="str">
        <f>IFERROR(__xludf.DUMMYFUNCTION("IF('Respuestas de formulario 1'!I175="""","""",TO_TEXT('Respuestas de formulario 1'!I175))"),"Particular")</f>
        <v>Particular</v>
      </c>
      <c r="J175" s="7" t="str">
        <f>IFERROR(__xludf.DUMMYFUNCTION("IF('Respuestas de formulario 1'!J175&lt;&gt;"""",UPPER(TRIM(TO_TEXT('Respuestas de formulario 1'!J175))),IF('Respuestas de formulario 1'!O175&lt;&gt;"""",UPPER(TRIM(TO_TEXT('Respuestas de formulario 1'!O175))),""""))"),"")</f>
        <v/>
      </c>
      <c r="K175" s="7" t="str">
        <f>IFERROR(__xludf.DUMMYFUNCTION("IF('Respuestas de formulario 1'!K175="""","""",TO_TEXT('Respuestas de formulario 1'!K175))"),"")</f>
        <v/>
      </c>
      <c r="L175" s="7" t="str">
        <f>IFERROR(__xludf.DUMMYFUNCTION("IF('Respuestas de formulario 1'!L175="""","""",TO_TEXT('Respuestas de formulario 1'!L175))"),"")</f>
        <v/>
      </c>
      <c r="M175" s="7" t="str">
        <f>IFERROR(__xludf.DUMMYFUNCTION("IF('Respuestas de formulario 1'!M175="""","""",TO_TEXT('Respuestas de formulario 1'!M175))"),"")</f>
        <v/>
      </c>
      <c r="N175" s="7">
        <f t="shared" si="1"/>
        <v>2023</v>
      </c>
      <c r="O175" s="7" t="str">
        <f t="shared" si="2"/>
        <v>junio</v>
      </c>
      <c r="P175" s="7" t="s">
        <v>4553</v>
      </c>
    </row>
    <row r="176">
      <c r="A176" s="19">
        <f>'Respuestas de formulario 1'!A176</f>
        <v>45082.76693</v>
      </c>
      <c r="B176" s="7" t="str">
        <f>'Respuestas de formulario 1'!B176</f>
        <v>Dominguez </v>
      </c>
      <c r="C176" s="7" t="str">
        <f>'Respuestas de formulario 1'!C176</f>
        <v>Maria Florencia </v>
      </c>
      <c r="D176" s="7" t="str">
        <f>'Respuestas de formulario 1'!D176</f>
        <v>flopid@hotmail.com</v>
      </c>
      <c r="E176" s="20">
        <f>'Respuestas de formulario 1'!E176</f>
        <v>33193</v>
      </c>
      <c r="F176" s="7">
        <f>'Respuestas de formulario 1'!F176</f>
        <v>35574790</v>
      </c>
      <c r="G176" s="7" t="str">
        <f>IFERROR(__xludf.DUMMYFUNCTION("IF('Respuestas de formulario 1'!G176="""","""",IF(LEFT(REGEXREPLACE(TO_TEXT('Respuestas de formulario 1'!G176),""[^0-9]"",""""),2)=""54"",""+""&amp;REGEXREPLACE(TO_TEXT('Respuestas de formulario 1'!G176),""[^0-9]"",""""),""+54""&amp;REGEXREPLACE(TO_TEXT('Respuest"&amp;"as de formulario 1'!G176),""[^0-9]"","""")))"),"+543512894700")</f>
        <v>+543512894700</v>
      </c>
      <c r="H176" s="7">
        <f>'Respuestas de formulario 1'!S176</f>
        <v>2023</v>
      </c>
      <c r="I176" s="7" t="str">
        <f>IFERROR(__xludf.DUMMYFUNCTION("IF('Respuestas de formulario 1'!I176="""","""",TO_TEXT('Respuestas de formulario 1'!I176))"),"Obra social")</f>
        <v>Obra social</v>
      </c>
      <c r="J176" s="7" t="str">
        <f>IFERROR(__xludf.DUMMYFUNCTION("IF('Respuestas de formulario 1'!J176&lt;&gt;"""",UPPER(TRIM(TO_TEXT('Respuestas de formulario 1'!J176))),IF('Respuestas de formulario 1'!O176&lt;&gt;"""",UPPER(TRIM(TO_TEXT('Respuestas de formulario 1'!O176))),""""))"),"APM")</f>
        <v>APM</v>
      </c>
      <c r="K176" s="7" t="str">
        <f>IFERROR(__xludf.DUMMYFUNCTION("IF('Respuestas de formulario 1'!K176="""","""",TO_TEXT('Respuestas de formulario 1'!K176))"),"")</f>
        <v/>
      </c>
      <c r="L176" s="7" t="str">
        <f>IFERROR(__xludf.DUMMYFUNCTION("IF('Respuestas de formulario 1'!L176="""","""",TO_TEXT('Respuestas de formulario 1'!L176))"),"")</f>
        <v/>
      </c>
      <c r="M176" s="7" t="str">
        <f>IFERROR(__xludf.DUMMYFUNCTION("IF('Respuestas de formulario 1'!M176="""","""",TO_TEXT('Respuestas de formulario 1'!M176))"),"")</f>
        <v/>
      </c>
      <c r="N176" s="7">
        <f t="shared" si="1"/>
        <v>2023</v>
      </c>
      <c r="O176" s="7" t="str">
        <f t="shared" si="2"/>
        <v>junio</v>
      </c>
      <c r="P176" s="7" t="s">
        <v>4555</v>
      </c>
    </row>
    <row r="177">
      <c r="A177" s="19">
        <f>'Respuestas de formulario 1'!A177</f>
        <v>45082.78397</v>
      </c>
      <c r="B177" s="7" t="str">
        <f>'Respuestas de formulario 1'!B177</f>
        <v>Loza</v>
      </c>
      <c r="C177" s="7" t="str">
        <f>'Respuestas de formulario 1'!C177</f>
        <v>Delfina</v>
      </c>
      <c r="D177" s="7" t="str">
        <f>'Respuestas de formulario 1'!D177</f>
        <v>gabrieladagatti6@gmail.com</v>
      </c>
      <c r="E177" s="20">
        <f>'Respuestas de formulario 1'!E177</f>
        <v>40549</v>
      </c>
      <c r="F177" s="7">
        <f>'Respuestas de formulario 1'!F177</f>
        <v>50628769</v>
      </c>
      <c r="G177" s="7" t="str">
        <f>IFERROR(__xludf.DUMMYFUNCTION("IF('Respuestas de formulario 1'!G177="""","""",IF(LEFT(REGEXREPLACE(TO_TEXT('Respuestas de formulario 1'!G177),""[^0-9]"",""""),2)=""54"",""+""&amp;REGEXREPLACE(TO_TEXT('Respuestas de formulario 1'!G177),""[^0-9]"",""""),""+54""&amp;REGEXREPLACE(TO_TEXT('Respuest"&amp;"as de formulario 1'!G177),""[^0-9]"","""")))"),"+543516960587")</f>
        <v>+543516960587</v>
      </c>
      <c r="H177" s="7">
        <f>'Respuestas de formulario 1'!S177</f>
        <v>2023</v>
      </c>
      <c r="I177" s="7" t="str">
        <f>IFERROR(__xludf.DUMMYFUNCTION("IF('Respuestas de formulario 1'!I177="""","""",TO_TEXT('Respuestas de formulario 1'!I177))"),"Particular")</f>
        <v>Particular</v>
      </c>
      <c r="J177" s="7" t="str">
        <f>IFERROR(__xludf.DUMMYFUNCTION("IF('Respuestas de formulario 1'!J177&lt;&gt;"""",UPPER(TRIM(TO_TEXT('Respuestas de formulario 1'!J177))),IF('Respuestas de formulario 1'!O177&lt;&gt;"""",UPPER(TRIM(TO_TEXT('Respuestas de formulario 1'!O177))),""""))"),"")</f>
        <v/>
      </c>
      <c r="K177" s="7" t="str">
        <f>IFERROR(__xludf.DUMMYFUNCTION("IF('Respuestas de formulario 1'!K177="""","""",TO_TEXT('Respuestas de formulario 1'!K177))"),"")</f>
        <v/>
      </c>
      <c r="L177" s="7" t="str">
        <f>IFERROR(__xludf.DUMMYFUNCTION("IF('Respuestas de formulario 1'!L177="""","""",TO_TEXT('Respuestas de formulario 1'!L177))"),"")</f>
        <v/>
      </c>
      <c r="M177" s="7" t="str">
        <f>IFERROR(__xludf.DUMMYFUNCTION("IF('Respuestas de formulario 1'!M177="""","""",TO_TEXT('Respuestas de formulario 1'!M177))"),"")</f>
        <v/>
      </c>
      <c r="N177" s="7">
        <f t="shared" si="1"/>
        <v>2023</v>
      </c>
      <c r="O177" s="7" t="str">
        <f t="shared" si="2"/>
        <v>junio</v>
      </c>
      <c r="P177" s="7" t="s">
        <v>4557</v>
      </c>
    </row>
    <row r="178">
      <c r="A178" s="19">
        <f>'Respuestas de formulario 1'!A178</f>
        <v>45083.62755</v>
      </c>
      <c r="B178" s="7" t="str">
        <f>'Respuestas de formulario 1'!B178</f>
        <v>Ramos </v>
      </c>
      <c r="C178" s="7" t="str">
        <f>'Respuestas de formulario 1'!C178</f>
        <v>Mario jose</v>
      </c>
      <c r="D178" s="7" t="str">
        <f>'Respuestas de formulario 1'!D178</f>
        <v>ramosmariojose@gmail.com</v>
      </c>
      <c r="E178" s="20">
        <f>'Respuestas de formulario 1'!E178</f>
        <v>36179</v>
      </c>
      <c r="F178" s="7">
        <f>'Respuestas de formulario 1'!F178</f>
        <v>94668323</v>
      </c>
      <c r="G178" s="7" t="str">
        <f>IFERROR(__xludf.DUMMYFUNCTION("IF('Respuestas de formulario 1'!G178="""","""",IF(LEFT(REGEXREPLACE(TO_TEXT('Respuestas de formulario 1'!G178),""[^0-9]"",""""),2)=""54"",""+""&amp;REGEXREPLACE(TO_TEXT('Respuestas de formulario 1'!G178),""[^0-9]"",""""),""+54""&amp;REGEXREPLACE(TO_TEXT('Respuest"&amp;"as de formulario 1'!G178),""[^0-9]"","""")))"),"+543512785708")</f>
        <v>+543512785708</v>
      </c>
      <c r="H178" s="7">
        <f>'Respuestas de formulario 1'!S178</f>
        <v>2023</v>
      </c>
      <c r="I178" s="7" t="str">
        <f>IFERROR(__xludf.DUMMYFUNCTION("IF('Respuestas de formulario 1'!I178="""","""",TO_TEXT('Respuestas de formulario 1'!I178))"),"Particular")</f>
        <v>Particular</v>
      </c>
      <c r="J178" s="7" t="str">
        <f>IFERROR(__xludf.DUMMYFUNCTION("IF('Respuestas de formulario 1'!J178&lt;&gt;"""",UPPER(TRIM(TO_TEXT('Respuestas de formulario 1'!J178))),IF('Respuestas de formulario 1'!O178&lt;&gt;"""",UPPER(TRIM(TO_TEXT('Respuestas de formulario 1'!O178))),""""))"),"")</f>
        <v/>
      </c>
      <c r="K178" s="7" t="str">
        <f>IFERROR(__xludf.DUMMYFUNCTION("IF('Respuestas de formulario 1'!K178="""","""",TO_TEXT('Respuestas de formulario 1'!K178))"),"")</f>
        <v/>
      </c>
      <c r="L178" s="7" t="str">
        <f>IFERROR(__xludf.DUMMYFUNCTION("IF('Respuestas de formulario 1'!L178="""","""",TO_TEXT('Respuestas de formulario 1'!L178))"),"")</f>
        <v/>
      </c>
      <c r="M178" s="7" t="str">
        <f>IFERROR(__xludf.DUMMYFUNCTION("IF('Respuestas de formulario 1'!M178="""","""",TO_TEXT('Respuestas de formulario 1'!M178))"),"")</f>
        <v/>
      </c>
      <c r="N178" s="7">
        <f t="shared" si="1"/>
        <v>2023</v>
      </c>
      <c r="O178" s="7" t="str">
        <f t="shared" si="2"/>
        <v>junio</v>
      </c>
      <c r="P178" s="7" t="s">
        <v>4559</v>
      </c>
    </row>
    <row r="179">
      <c r="A179" s="19">
        <f>'Respuestas de formulario 1'!A179</f>
        <v>45083.8373</v>
      </c>
      <c r="B179" s="7" t="str">
        <f>'Respuestas de formulario 1'!B179</f>
        <v>Quilaleo</v>
      </c>
      <c r="C179" s="7" t="str">
        <f>'Respuestas de formulario 1'!C179</f>
        <v>Alejandra</v>
      </c>
      <c r="D179" s="7" t="str">
        <f>'Respuestas de formulario 1'!D179</f>
        <v>alebquilaleo@gmail.com </v>
      </c>
      <c r="E179" s="20">
        <f>'Respuestas de formulario 1'!E179</f>
        <v>30933</v>
      </c>
      <c r="F179" s="7">
        <f>'Respuestas de formulario 1'!F179</f>
        <v>31132590</v>
      </c>
      <c r="G179" s="7" t="str">
        <f>IFERROR(__xludf.DUMMYFUNCTION("IF('Respuestas de formulario 1'!G179="""","""",IF(LEFT(REGEXREPLACE(TO_TEXT('Respuestas de formulario 1'!G179),""[^0-9]"",""""),2)=""54"",""+""&amp;REGEXREPLACE(TO_TEXT('Respuestas de formulario 1'!G179),""[^0-9]"",""""),""+54""&amp;REGEXREPLACE(TO_TEXT('Respuest"&amp;"as de formulario 1'!G179),""[^0-9]"","""")))"),"+543516123681")</f>
        <v>+543516123681</v>
      </c>
      <c r="H179" s="7">
        <f>'Respuestas de formulario 1'!S179</f>
        <v>2023</v>
      </c>
      <c r="I179" s="7" t="str">
        <f>IFERROR(__xludf.DUMMYFUNCTION("IF('Respuestas de formulario 1'!I179="""","""",TO_TEXT('Respuestas de formulario 1'!I179))"),"Obra social")</f>
        <v>Obra social</v>
      </c>
      <c r="J179" s="7" t="str">
        <f>IFERROR(__xludf.DUMMYFUNCTION("IF('Respuestas de formulario 1'!J179&lt;&gt;"""",UPPER(TRIM(TO_TEXT('Respuestas de formulario 1'!J179))),IF('Respuestas de formulario 1'!O179&lt;&gt;"""",UPPER(TRIM(TO_TEXT('Respuestas de formulario 1'!O179))),""""))"),"PREVENCIÓN")</f>
        <v>PREVENCIÓN</v>
      </c>
      <c r="K179" s="7" t="str">
        <f>IFERROR(__xludf.DUMMYFUNCTION("IF('Respuestas de formulario 1'!K179="""","""",TO_TEXT('Respuestas de formulario 1'!K179))"),"")</f>
        <v/>
      </c>
      <c r="L179" s="7" t="str">
        <f>IFERROR(__xludf.DUMMYFUNCTION("IF('Respuestas de formulario 1'!L179="""","""",TO_TEXT('Respuestas de formulario 1'!L179))"),"")</f>
        <v/>
      </c>
      <c r="M179" s="7" t="str">
        <f>IFERROR(__xludf.DUMMYFUNCTION("IF('Respuestas de formulario 1'!M179="""","""",TO_TEXT('Respuestas de formulario 1'!M179))"),"")</f>
        <v/>
      </c>
      <c r="N179" s="7">
        <f t="shared" si="1"/>
        <v>2023</v>
      </c>
      <c r="O179" s="7" t="str">
        <f t="shared" si="2"/>
        <v>junio</v>
      </c>
      <c r="P179" s="7" t="s">
        <v>4561</v>
      </c>
    </row>
    <row r="180">
      <c r="A180" s="19">
        <f>'Respuestas de formulario 1'!A180</f>
        <v>45084.79482</v>
      </c>
      <c r="B180" s="7" t="str">
        <f>'Respuestas de formulario 1'!B180</f>
        <v>Ardiles</v>
      </c>
      <c r="C180" s="7" t="str">
        <f>'Respuestas de formulario 1'!C180</f>
        <v>Constanza</v>
      </c>
      <c r="D180" s="7" t="str">
        <f>'Respuestas de formulario 1'!D180</f>
        <v>cotyard4@hotmail.com</v>
      </c>
      <c r="E180" s="20">
        <f>'Respuestas de formulario 1'!E180</f>
        <v>31675</v>
      </c>
      <c r="F180" s="7">
        <f>'Respuestas de formulario 1'!F180</f>
        <v>32492462</v>
      </c>
      <c r="G180" s="7" t="str">
        <f>IFERROR(__xludf.DUMMYFUNCTION("IF('Respuestas de formulario 1'!G180="""","""",IF(LEFT(REGEXREPLACE(TO_TEXT('Respuestas de formulario 1'!G180),""[^0-9]"",""""),2)=""54"",""+""&amp;REGEXREPLACE(TO_TEXT('Respuestas de formulario 1'!G180),""[^0-9]"",""""),""+54""&amp;REGEXREPLACE(TO_TEXT('Respuest"&amp;"as de formulario 1'!G180),""[^0-9]"","""")))"),"+543516372470")</f>
        <v>+543516372470</v>
      </c>
      <c r="H180" s="7">
        <f>'Respuestas de formulario 1'!S180</f>
        <v>2023</v>
      </c>
      <c r="I180" s="7" t="str">
        <f>IFERROR(__xludf.DUMMYFUNCTION("IF('Respuestas de formulario 1'!I180="""","""",TO_TEXT('Respuestas de formulario 1'!I180))"),"Particular")</f>
        <v>Particular</v>
      </c>
      <c r="J180" s="7" t="str">
        <f>IFERROR(__xludf.DUMMYFUNCTION("IF('Respuestas de formulario 1'!J180&lt;&gt;"""",UPPER(TRIM(TO_TEXT('Respuestas de formulario 1'!J180))),IF('Respuestas de formulario 1'!O180&lt;&gt;"""",UPPER(TRIM(TO_TEXT('Respuestas de formulario 1'!O180))),""""))"),"")</f>
        <v/>
      </c>
      <c r="K180" s="7" t="str">
        <f>IFERROR(__xludf.DUMMYFUNCTION("IF('Respuestas de formulario 1'!K180="""","""",TO_TEXT('Respuestas de formulario 1'!K180))"),"")</f>
        <v/>
      </c>
      <c r="L180" s="7" t="str">
        <f>IFERROR(__xludf.DUMMYFUNCTION("IF('Respuestas de formulario 1'!L180="""","""",TO_TEXT('Respuestas de formulario 1'!L180))"),"")</f>
        <v/>
      </c>
      <c r="M180" s="7" t="str">
        <f>IFERROR(__xludf.DUMMYFUNCTION("IF('Respuestas de formulario 1'!M180="""","""",TO_TEXT('Respuestas de formulario 1'!M180))"),"")</f>
        <v/>
      </c>
      <c r="N180" s="7">
        <f t="shared" si="1"/>
        <v>2023</v>
      </c>
      <c r="O180" s="7" t="str">
        <f t="shared" si="2"/>
        <v>junio</v>
      </c>
      <c r="P180" s="7" t="s">
        <v>4563</v>
      </c>
    </row>
    <row r="181">
      <c r="A181" s="19">
        <f>'Respuestas de formulario 1'!A181</f>
        <v>45084.86501</v>
      </c>
      <c r="B181" s="7" t="str">
        <f>'Respuestas de formulario 1'!B181</f>
        <v>Ruiz </v>
      </c>
      <c r="C181" s="7" t="str">
        <f>'Respuestas de formulario 1'!C181</f>
        <v>Raul </v>
      </c>
      <c r="D181" s="7" t="str">
        <f>'Respuestas de formulario 1'!D181</f>
        <v>Raulruize05@gmail.com</v>
      </c>
      <c r="E181" s="20">
        <f>'Respuestas de formulario 1'!E181</f>
        <v>36615</v>
      </c>
      <c r="F181" s="7">
        <f>'Respuestas de formulario 1'!F181</f>
        <v>42439034</v>
      </c>
      <c r="G181" s="7" t="str">
        <f>IFERROR(__xludf.DUMMYFUNCTION("IF('Respuestas de formulario 1'!G181="""","""",IF(LEFT(REGEXREPLACE(TO_TEXT('Respuestas de formulario 1'!G181),""[^0-9]"",""""),2)=""54"",""+""&amp;REGEXREPLACE(TO_TEXT('Respuestas de formulario 1'!G181),""[^0-9]"",""""),""+54""&amp;REGEXREPLACE(TO_TEXT('Respuest"&amp;"as de formulario 1'!G181),""[^0-9]"","""")))"),"+543516725368")</f>
        <v>+543516725368</v>
      </c>
      <c r="H181" s="7">
        <f>'Respuestas de formulario 1'!S181</f>
        <v>2023</v>
      </c>
      <c r="I181" s="7" t="str">
        <f>IFERROR(__xludf.DUMMYFUNCTION("IF('Respuestas de formulario 1'!I181="""","""",TO_TEXT('Respuestas de formulario 1'!I181))"),"Particular")</f>
        <v>Particular</v>
      </c>
      <c r="J181" s="7" t="str">
        <f>IFERROR(__xludf.DUMMYFUNCTION("IF('Respuestas de formulario 1'!J181&lt;&gt;"""",UPPER(TRIM(TO_TEXT('Respuestas de formulario 1'!J181))),IF('Respuestas de formulario 1'!O181&lt;&gt;"""",UPPER(TRIM(TO_TEXT('Respuestas de formulario 1'!O181))),""""))"),"")</f>
        <v/>
      </c>
      <c r="K181" s="7" t="str">
        <f>IFERROR(__xludf.DUMMYFUNCTION("IF('Respuestas de formulario 1'!K181="""","""",TO_TEXT('Respuestas de formulario 1'!K181))"),"")</f>
        <v/>
      </c>
      <c r="L181" s="7" t="str">
        <f>IFERROR(__xludf.DUMMYFUNCTION("IF('Respuestas de formulario 1'!L181="""","""",TO_TEXT('Respuestas de formulario 1'!L181))"),"")</f>
        <v/>
      </c>
      <c r="M181" s="7" t="str">
        <f>IFERROR(__xludf.DUMMYFUNCTION("IF('Respuestas de formulario 1'!M181="""","""",TO_TEXT('Respuestas de formulario 1'!M181))"),"")</f>
        <v/>
      </c>
      <c r="N181" s="7">
        <f t="shared" si="1"/>
        <v>2023</v>
      </c>
      <c r="O181" s="7" t="str">
        <f t="shared" si="2"/>
        <v>junio</v>
      </c>
      <c r="P181" s="7" t="s">
        <v>4565</v>
      </c>
    </row>
    <row r="182">
      <c r="A182" s="19">
        <f>'Respuestas de formulario 1'!A182</f>
        <v>45085.8077</v>
      </c>
      <c r="B182" s="7" t="str">
        <f>'Respuestas de formulario 1'!B182</f>
        <v>Maidana</v>
      </c>
      <c r="C182" s="7" t="str">
        <f>'Respuestas de formulario 1'!C182</f>
        <v>Tomas</v>
      </c>
      <c r="D182" s="7" t="str">
        <f>'Respuestas de formulario 1'!D182</f>
        <v>tomasmaidana08@gmail.com</v>
      </c>
      <c r="E182" s="20">
        <f>'Respuestas de formulario 1'!E182</f>
        <v>38930</v>
      </c>
      <c r="F182" s="7">
        <f>'Respuestas de formulario 1'!F182</f>
        <v>47350605</v>
      </c>
      <c r="G182" s="7" t="str">
        <f>IFERROR(__xludf.DUMMYFUNCTION("IF('Respuestas de formulario 1'!G182="""","""",IF(LEFT(REGEXREPLACE(TO_TEXT('Respuestas de formulario 1'!G182),""[^0-9]"",""""),2)=""54"",""+""&amp;REGEXREPLACE(TO_TEXT('Respuestas de formulario 1'!G182),""[^0-9]"",""""),""+54""&amp;REGEXREPLACE(TO_TEXT('Respuest"&amp;"as de formulario 1'!G182),""[^0-9]"","""")))"),"+543517307004")</f>
        <v>+543517307004</v>
      </c>
      <c r="H182" s="7">
        <f>'Respuestas de formulario 1'!S182</f>
        <v>2023</v>
      </c>
      <c r="I182" s="7" t="str">
        <f>IFERROR(__xludf.DUMMYFUNCTION("IF('Respuestas de formulario 1'!I182="""","""",TO_TEXT('Respuestas de formulario 1'!I182))"),"Obra social")</f>
        <v>Obra social</v>
      </c>
      <c r="J182" s="7" t="str">
        <f>IFERROR(__xludf.DUMMYFUNCTION("IF('Respuestas de formulario 1'!J182&lt;&gt;"""",UPPER(TRIM(TO_TEXT('Respuestas de formulario 1'!J182))),IF('Respuestas de formulario 1'!O182&lt;&gt;"""",UPPER(TRIM(TO_TEXT('Respuestas de formulario 1'!O182))),""""))"),"APROSS")</f>
        <v>APROSS</v>
      </c>
      <c r="K182" s="7" t="str">
        <f>IFERROR(__xludf.DUMMYFUNCTION("IF('Respuestas de formulario 1'!K182="""","""",TO_TEXT('Respuestas de formulario 1'!K182))"),"")</f>
        <v/>
      </c>
      <c r="L182" s="7" t="str">
        <f>IFERROR(__xludf.DUMMYFUNCTION("IF('Respuestas de formulario 1'!L182="""","""",TO_TEXT('Respuestas de formulario 1'!L182))"),"")</f>
        <v/>
      </c>
      <c r="M182" s="7" t="str">
        <f>IFERROR(__xludf.DUMMYFUNCTION("IF('Respuestas de formulario 1'!M182="""","""",TO_TEXT('Respuestas de formulario 1'!M182))"),"")</f>
        <v/>
      </c>
      <c r="N182" s="7">
        <f t="shared" si="1"/>
        <v>2023</v>
      </c>
      <c r="O182" s="7" t="str">
        <f t="shared" si="2"/>
        <v>junio</v>
      </c>
      <c r="P182" s="7" t="s">
        <v>4567</v>
      </c>
    </row>
    <row r="183">
      <c r="A183" s="19">
        <f>'Respuestas de formulario 1'!A183</f>
        <v>45085.85143</v>
      </c>
      <c r="B183" s="7" t="str">
        <f>'Respuestas de formulario 1'!B183</f>
        <v>ARAYA CORNEJO</v>
      </c>
      <c r="C183" s="7" t="str">
        <f>'Respuestas de formulario 1'!C183</f>
        <v>LAUTARO</v>
      </c>
      <c r="D183" s="7" t="str">
        <f>'Respuestas de formulario 1'!D183</f>
        <v>GABITOCORNEJO@HOTMAIL.COM</v>
      </c>
      <c r="E183" s="20">
        <f>'Respuestas de formulario 1'!E183</f>
        <v>41169</v>
      </c>
      <c r="F183" s="7">
        <f>'Respuestas de formulario 1'!F183</f>
        <v>52233982</v>
      </c>
      <c r="G183" s="7" t="str">
        <f>IFERROR(__xludf.DUMMYFUNCTION("IF('Respuestas de formulario 1'!G183="""","""",IF(LEFT(REGEXREPLACE(TO_TEXT('Respuestas de formulario 1'!G183),""[^0-9]"",""""),2)=""54"",""+""&amp;REGEXREPLACE(TO_TEXT('Respuestas de formulario 1'!G183),""[^0-9]"",""""),""+54""&amp;REGEXREPLACE(TO_TEXT('Respuest"&amp;"as de formulario 1'!G183),""[^0-9]"","""")))"),"+543512187399")</f>
        <v>+543512187399</v>
      </c>
      <c r="H183" s="7">
        <f>'Respuestas de formulario 1'!S183</f>
        <v>2023</v>
      </c>
      <c r="I183" s="7" t="str">
        <f>IFERROR(__xludf.DUMMYFUNCTION("IF('Respuestas de formulario 1'!I183="""","""",TO_TEXT('Respuestas de formulario 1'!I183))"),"Particular")</f>
        <v>Particular</v>
      </c>
      <c r="J183" s="7" t="str">
        <f>IFERROR(__xludf.DUMMYFUNCTION("IF('Respuestas de formulario 1'!J183&lt;&gt;"""",UPPER(TRIM(TO_TEXT('Respuestas de formulario 1'!J183))),IF('Respuestas de formulario 1'!O183&lt;&gt;"""",UPPER(TRIM(TO_TEXT('Respuestas de formulario 1'!O183))),""""))"),"")</f>
        <v/>
      </c>
      <c r="K183" s="7" t="str">
        <f>IFERROR(__xludf.DUMMYFUNCTION("IF('Respuestas de formulario 1'!K183="""","""",TO_TEXT('Respuestas de formulario 1'!K183))"),"")</f>
        <v/>
      </c>
      <c r="L183" s="7" t="str">
        <f>IFERROR(__xludf.DUMMYFUNCTION("IF('Respuestas de formulario 1'!L183="""","""",TO_TEXT('Respuestas de formulario 1'!L183))"),"")</f>
        <v/>
      </c>
      <c r="M183" s="7" t="str">
        <f>IFERROR(__xludf.DUMMYFUNCTION("IF('Respuestas de formulario 1'!M183="""","""",TO_TEXT('Respuestas de formulario 1'!M183))"),"")</f>
        <v/>
      </c>
      <c r="N183" s="7">
        <f t="shared" si="1"/>
        <v>2023</v>
      </c>
      <c r="O183" s="7" t="str">
        <f t="shared" si="2"/>
        <v>junio</v>
      </c>
      <c r="P183" s="7" t="s">
        <v>4569</v>
      </c>
    </row>
    <row r="184">
      <c r="A184" s="19">
        <f>'Respuestas de formulario 1'!A184</f>
        <v>45086.45173</v>
      </c>
      <c r="B184" s="7" t="str">
        <f>'Respuestas de formulario 1'!B184</f>
        <v>WAMBA</v>
      </c>
      <c r="C184" s="7" t="str">
        <f>'Respuestas de formulario 1'!C184</f>
        <v>MARIA VICTORIA</v>
      </c>
      <c r="D184" s="7" t="str">
        <f>'Respuestas de formulario 1'!D184</f>
        <v>vickywamba@hotmail.com</v>
      </c>
      <c r="E184" s="20">
        <f>'Respuestas de formulario 1'!E184</f>
        <v>28249</v>
      </c>
      <c r="F184" s="7">
        <f>'Respuestas de formulario 1'!F184</f>
        <v>25917273</v>
      </c>
      <c r="G184" s="7" t="str">
        <f>IFERROR(__xludf.DUMMYFUNCTION("IF('Respuestas de formulario 1'!G184="""","""",IF(LEFT(REGEXREPLACE(TO_TEXT('Respuestas de formulario 1'!G184),""[^0-9]"",""""),2)=""54"",""+""&amp;REGEXREPLACE(TO_TEXT('Respuestas de formulario 1'!G184),""[^0-9]"",""""),""+54""&amp;REGEXREPLACE(TO_TEXT('Respuest"&amp;"as de formulario 1'!G184),""[^0-9]"","""")))"),"+543515138175")</f>
        <v>+543515138175</v>
      </c>
      <c r="H184" s="7">
        <f>'Respuestas de formulario 1'!S184</f>
        <v>2023</v>
      </c>
      <c r="I184" s="7" t="str">
        <f>IFERROR(__xludf.DUMMYFUNCTION("IF('Respuestas de formulario 1'!I184="""","""",TO_TEXT('Respuestas de formulario 1'!I184))"),"Obra social")</f>
        <v>Obra social</v>
      </c>
      <c r="J184" s="7" t="str">
        <f>IFERROR(__xludf.DUMMYFUNCTION("IF('Respuestas de formulario 1'!J184&lt;&gt;"""",UPPER(TRIM(TO_TEXT('Respuestas de formulario 1'!J184))),IF('Respuestas de formulario 1'!O184&lt;&gt;"""",UPPER(TRIM(TO_TEXT('Respuestas de formulario 1'!O184))),""""))"),"CAJA NOTARIAL")</f>
        <v>CAJA NOTARIAL</v>
      </c>
      <c r="K184" s="7" t="str">
        <f>IFERROR(__xludf.DUMMYFUNCTION("IF('Respuestas de formulario 1'!K184="""","""",TO_TEXT('Respuestas de formulario 1'!K184))"),"")</f>
        <v/>
      </c>
      <c r="L184" s="7" t="str">
        <f>IFERROR(__xludf.DUMMYFUNCTION("IF('Respuestas de formulario 1'!L184="""","""",TO_TEXT('Respuestas de formulario 1'!L184))"),"")</f>
        <v/>
      </c>
      <c r="M184" s="7" t="str">
        <f>IFERROR(__xludf.DUMMYFUNCTION("IF('Respuestas de formulario 1'!M184="""","""",TO_TEXT('Respuestas de formulario 1'!M184))"),"")</f>
        <v/>
      </c>
      <c r="N184" s="7">
        <f t="shared" si="1"/>
        <v>2023</v>
      </c>
      <c r="O184" s="7" t="str">
        <f t="shared" si="2"/>
        <v>junio</v>
      </c>
      <c r="P184" s="7" t="s">
        <v>4571</v>
      </c>
    </row>
    <row r="185">
      <c r="A185" s="19">
        <f>'Respuestas de formulario 1'!A185</f>
        <v>45086.82634</v>
      </c>
      <c r="B185" s="7" t="str">
        <f>'Respuestas de formulario 1'!B185</f>
        <v>Vartanian</v>
      </c>
      <c r="C185" s="7" t="str">
        <f>'Respuestas de formulario 1'!C185</f>
        <v>Marcelo</v>
      </c>
      <c r="D185" s="7" t="str">
        <f>'Respuestas de formulario 1'!D185</f>
        <v>vartanianmarcelo@hotmail.com</v>
      </c>
      <c r="E185" s="20">
        <f>'Respuestas de formulario 1'!E185</f>
        <v>26319</v>
      </c>
      <c r="F185" s="7">
        <f>'Respuestas de formulario 1'!F185</f>
        <v>22563620</v>
      </c>
      <c r="G185" s="7" t="str">
        <f>IFERROR(__xludf.DUMMYFUNCTION("IF('Respuestas de formulario 1'!G185="""","""",IF(LEFT(REGEXREPLACE(TO_TEXT('Respuestas de formulario 1'!G185),""[^0-9]"",""""),2)=""54"",""+""&amp;REGEXREPLACE(TO_TEXT('Respuestas de formulario 1'!G185),""[^0-9]"",""""),""+54""&amp;REGEXREPLACE(TO_TEXT('Respuest"&amp;"as de formulario 1'!G185),""[^0-9]"","""")))"),"+543512050168")</f>
        <v>+543512050168</v>
      </c>
      <c r="H185" s="7">
        <f>'Respuestas de formulario 1'!S185</f>
        <v>2023</v>
      </c>
      <c r="I185" s="7" t="str">
        <f>IFERROR(__xludf.DUMMYFUNCTION("IF('Respuestas de formulario 1'!I185="""","""",TO_TEXT('Respuestas de formulario 1'!I185))"),"Particular")</f>
        <v>Particular</v>
      </c>
      <c r="J185" s="7" t="str">
        <f>IFERROR(__xludf.DUMMYFUNCTION("IF('Respuestas de formulario 1'!J185&lt;&gt;"""",UPPER(TRIM(TO_TEXT('Respuestas de formulario 1'!J185))),IF('Respuestas de formulario 1'!O185&lt;&gt;"""",UPPER(TRIM(TO_TEXT('Respuestas de formulario 1'!O185))),""""))"),"")</f>
        <v/>
      </c>
      <c r="K185" s="7" t="str">
        <f>IFERROR(__xludf.DUMMYFUNCTION("IF('Respuestas de formulario 1'!K185="""","""",TO_TEXT('Respuestas de formulario 1'!K185))"),"")</f>
        <v/>
      </c>
      <c r="L185" s="7" t="str">
        <f>IFERROR(__xludf.DUMMYFUNCTION("IF('Respuestas de formulario 1'!L185="""","""",TO_TEXT('Respuestas de formulario 1'!L185))"),"")</f>
        <v/>
      </c>
      <c r="M185" s="7" t="str">
        <f>IFERROR(__xludf.DUMMYFUNCTION("IF('Respuestas de formulario 1'!M185="""","""",TO_TEXT('Respuestas de formulario 1'!M185))"),"")</f>
        <v/>
      </c>
      <c r="N185" s="7">
        <f t="shared" si="1"/>
        <v>2023</v>
      </c>
      <c r="O185" s="7" t="str">
        <f t="shared" si="2"/>
        <v>junio</v>
      </c>
      <c r="P185" s="7" t="s">
        <v>4573</v>
      </c>
    </row>
    <row r="186">
      <c r="A186" s="19">
        <f>'Respuestas de formulario 1'!A186</f>
        <v>45089.63113</v>
      </c>
      <c r="B186" s="7" t="str">
        <f>'Respuestas de formulario 1'!B186</f>
        <v>Pucheta</v>
      </c>
      <c r="C186" s="7" t="str">
        <f>'Respuestas de formulario 1'!C186</f>
        <v>Jorge luis</v>
      </c>
      <c r="D186" s="7" t="str">
        <f>'Respuestas de formulario 1'!D186</f>
        <v>Puchetajorge498@gmail.com</v>
      </c>
      <c r="E186" s="20">
        <f>'Respuestas de formulario 1'!E186</f>
        <v>23013</v>
      </c>
      <c r="F186" s="7">
        <f>'Respuestas de formulario 1'!F186</f>
        <v>16123236</v>
      </c>
      <c r="G186" s="7" t="str">
        <f>IFERROR(__xludf.DUMMYFUNCTION("IF('Respuestas de formulario 1'!G186="""","""",IF(LEFT(REGEXREPLACE(TO_TEXT('Respuestas de formulario 1'!G186),""[^0-9]"",""""),2)=""54"",""+""&amp;REGEXREPLACE(TO_TEXT('Respuestas de formulario 1'!G186),""[^0-9]"",""""),""+54""&amp;REGEXREPLACE(TO_TEXT('Respuest"&amp;"as de formulario 1'!G186),""[^0-9]"","""")))"),"+543515631119")</f>
        <v>+543515631119</v>
      </c>
      <c r="H186" s="7">
        <f>'Respuestas de formulario 1'!S186</f>
        <v>2023</v>
      </c>
      <c r="I186" s="7" t="str">
        <f>IFERROR(__xludf.DUMMYFUNCTION("IF('Respuestas de formulario 1'!I186="""","""",TO_TEXT('Respuestas de formulario 1'!I186))"),"Particular")</f>
        <v>Particular</v>
      </c>
      <c r="J186" s="7" t="str">
        <f>IFERROR(__xludf.DUMMYFUNCTION("IF('Respuestas de formulario 1'!J186&lt;&gt;"""",UPPER(TRIM(TO_TEXT('Respuestas de formulario 1'!J186))),IF('Respuestas de formulario 1'!O186&lt;&gt;"""",UPPER(TRIM(TO_TEXT('Respuestas de formulario 1'!O186))),""""))"),"")</f>
        <v/>
      </c>
      <c r="K186" s="7" t="str">
        <f>IFERROR(__xludf.DUMMYFUNCTION("IF('Respuestas de formulario 1'!K186="""","""",TO_TEXT('Respuestas de formulario 1'!K186))"),"")</f>
        <v/>
      </c>
      <c r="L186" s="7" t="str">
        <f>IFERROR(__xludf.DUMMYFUNCTION("IF('Respuestas de formulario 1'!L186="""","""",TO_TEXT('Respuestas de formulario 1'!L186))"),"")</f>
        <v/>
      </c>
      <c r="M186" s="7" t="str">
        <f>IFERROR(__xludf.DUMMYFUNCTION("IF('Respuestas de formulario 1'!M186="""","""",TO_TEXT('Respuestas de formulario 1'!M186))"),"")</f>
        <v/>
      </c>
      <c r="N186" s="7">
        <f t="shared" si="1"/>
        <v>2023</v>
      </c>
      <c r="O186" s="7" t="str">
        <f t="shared" si="2"/>
        <v>junio</v>
      </c>
      <c r="P186" s="7" t="s">
        <v>4575</v>
      </c>
    </row>
    <row r="187">
      <c r="A187" s="19">
        <f>'Respuestas de formulario 1'!A187</f>
        <v>45089.7305</v>
      </c>
      <c r="B187" s="7" t="str">
        <f>'Respuestas de formulario 1'!B187</f>
        <v>Rivero </v>
      </c>
      <c r="C187" s="7" t="str">
        <f>'Respuestas de formulario 1'!C187</f>
        <v>Cecilia del Valle </v>
      </c>
      <c r="D187" s="7" t="str">
        <f>'Respuestas de formulario 1'!D187</f>
        <v>ceciliarivero1975@yahoo.com.ar</v>
      </c>
      <c r="E187" s="20">
        <f>'Respuestas de formulario 1'!E187</f>
        <v>27578</v>
      </c>
      <c r="F187" s="21">
        <f>'Respuestas de formulario 1'!F187</f>
        <v>24726469</v>
      </c>
      <c r="G187" s="7" t="str">
        <f>IFERROR(__xludf.DUMMYFUNCTION("IF('Respuestas de formulario 1'!G187="""","""",IF(LEFT(REGEXREPLACE(TO_TEXT('Respuestas de formulario 1'!G187),""[^0-9]"",""""),2)=""54"",""+""&amp;REGEXREPLACE(TO_TEXT('Respuestas de formulario 1'!G187),""[^0-9]"",""""),""+54""&amp;REGEXREPLACE(TO_TEXT('Respuest"&amp;"as de formulario 1'!G187),""[^0-9]"","""")))"),"+543516575554")</f>
        <v>+543516575554</v>
      </c>
      <c r="H187" s="7">
        <f>'Respuestas de formulario 1'!S187</f>
        <v>2023</v>
      </c>
      <c r="I187" s="7" t="str">
        <f>IFERROR(__xludf.DUMMYFUNCTION("IF('Respuestas de formulario 1'!I187="""","""",TO_TEXT('Respuestas de formulario 1'!I187))"),"Obra social")</f>
        <v>Obra social</v>
      </c>
      <c r="J187" s="7" t="str">
        <f>IFERROR(__xludf.DUMMYFUNCTION("IF('Respuestas de formulario 1'!J187&lt;&gt;"""",UPPER(TRIM(TO_TEXT('Respuestas de formulario 1'!J187))),IF('Respuestas de formulario 1'!O187&lt;&gt;"""",UPPER(TRIM(TO_TEXT('Respuestas de formulario 1'!O187))),""""))"),"PREVENCIÓN")</f>
        <v>PREVENCIÓN</v>
      </c>
      <c r="K187" s="7" t="str">
        <f>IFERROR(__xludf.DUMMYFUNCTION("IF('Respuestas de formulario 1'!K187="""","""",TO_TEXT('Respuestas de formulario 1'!K187))"),"")</f>
        <v/>
      </c>
      <c r="L187" s="7" t="str">
        <f>IFERROR(__xludf.DUMMYFUNCTION("IF('Respuestas de formulario 1'!L187="""","""",TO_TEXT('Respuestas de formulario 1'!L187))"),"")</f>
        <v/>
      </c>
      <c r="M187" s="7" t="str">
        <f>IFERROR(__xludf.DUMMYFUNCTION("IF('Respuestas de formulario 1'!M187="""","""",TO_TEXT('Respuestas de formulario 1'!M187))"),"")</f>
        <v/>
      </c>
      <c r="N187" s="7">
        <f t="shared" si="1"/>
        <v>2023</v>
      </c>
      <c r="O187" s="7" t="str">
        <f t="shared" si="2"/>
        <v>junio</v>
      </c>
      <c r="P187" s="7" t="s">
        <v>4577</v>
      </c>
    </row>
    <row r="188">
      <c r="A188" s="19">
        <f>'Respuestas de formulario 1'!A188</f>
        <v>45090.72352</v>
      </c>
      <c r="B188" s="7" t="str">
        <f>'Respuestas de formulario 1'!B188</f>
        <v>Bellido </v>
      </c>
      <c r="C188" s="7" t="str">
        <f>'Respuestas de formulario 1'!C188</f>
        <v>Alberto </v>
      </c>
      <c r="D188" s="7" t="str">
        <f>'Respuestas de formulario 1'!D188</f>
        <v>Albertobell@gmail.com</v>
      </c>
      <c r="E188" s="20">
        <f>'Respuestas de formulario 1'!E188</f>
        <v>27482</v>
      </c>
      <c r="F188" s="7">
        <f>'Respuestas de formulario 1'!F188</f>
        <v>24504732</v>
      </c>
      <c r="G188" s="7" t="str">
        <f>IFERROR(__xludf.DUMMYFUNCTION("IF('Respuestas de formulario 1'!G188="""","""",IF(LEFT(REGEXREPLACE(TO_TEXT('Respuestas de formulario 1'!G188),""[^0-9]"",""""),2)=""54"",""+""&amp;REGEXREPLACE(TO_TEXT('Respuestas de formulario 1'!G188),""[^0-9]"",""""),""+54""&amp;REGEXREPLACE(TO_TEXT('Respuest"&amp;"as de formulario 1'!G188),""[^0-9]"","""")))"),"+543512191091")</f>
        <v>+543512191091</v>
      </c>
      <c r="H188" s="7">
        <f>'Respuestas de formulario 1'!S188</f>
        <v>2023</v>
      </c>
      <c r="I188" s="7" t="str">
        <f>IFERROR(__xludf.DUMMYFUNCTION("IF('Respuestas de formulario 1'!I188="""","""",TO_TEXT('Respuestas de formulario 1'!I188))"),"Particular")</f>
        <v>Particular</v>
      </c>
      <c r="J188" s="7" t="str">
        <f>IFERROR(__xludf.DUMMYFUNCTION("IF('Respuestas de formulario 1'!J188&lt;&gt;"""",UPPER(TRIM(TO_TEXT('Respuestas de formulario 1'!J188))),IF('Respuestas de formulario 1'!O188&lt;&gt;"""",UPPER(TRIM(TO_TEXT('Respuestas de formulario 1'!O188))),""""))"),"")</f>
        <v/>
      </c>
      <c r="K188" s="7" t="str">
        <f>IFERROR(__xludf.DUMMYFUNCTION("IF('Respuestas de formulario 1'!K188="""","""",TO_TEXT('Respuestas de formulario 1'!K188))"),"")</f>
        <v/>
      </c>
      <c r="L188" s="7" t="str">
        <f>IFERROR(__xludf.DUMMYFUNCTION("IF('Respuestas de formulario 1'!L188="""","""",TO_TEXT('Respuestas de formulario 1'!L188))"),"")</f>
        <v/>
      </c>
      <c r="M188" s="7" t="str">
        <f>IFERROR(__xludf.DUMMYFUNCTION("IF('Respuestas de formulario 1'!M188="""","""",TO_TEXT('Respuestas de formulario 1'!M188))"),"")</f>
        <v/>
      </c>
      <c r="N188" s="7">
        <f t="shared" si="1"/>
        <v>2023</v>
      </c>
      <c r="O188" s="7" t="str">
        <f t="shared" si="2"/>
        <v>junio</v>
      </c>
      <c r="P188" s="7" t="s">
        <v>4579</v>
      </c>
    </row>
    <row r="189">
      <c r="A189" s="19">
        <f>'Respuestas de formulario 1'!A189</f>
        <v>45090.73406</v>
      </c>
      <c r="B189" s="7" t="str">
        <f>'Respuestas de formulario 1'!B189</f>
        <v>Agundez </v>
      </c>
      <c r="C189" s="7" t="str">
        <f>'Respuestas de formulario 1'!C189</f>
        <v>Alejo</v>
      </c>
      <c r="D189" s="7" t="str">
        <f>'Respuestas de formulario 1'!D189</f>
        <v>alejoagundez13@gmail.com</v>
      </c>
      <c r="E189" s="20">
        <f>'Respuestas de formulario 1'!E189</f>
        <v>37677</v>
      </c>
      <c r="F189" s="7">
        <f>'Respuestas de formulario 1'!F189</f>
        <v>44672704</v>
      </c>
      <c r="G189" s="7" t="str">
        <f>IFERROR(__xludf.DUMMYFUNCTION("IF('Respuestas de formulario 1'!G189="""","""",IF(LEFT(REGEXREPLACE(TO_TEXT('Respuestas de formulario 1'!G189),""[^0-9]"",""""),2)=""54"",""+""&amp;REGEXREPLACE(TO_TEXT('Respuestas de formulario 1'!G189),""[^0-9]"",""""),""+54""&amp;REGEXREPLACE(TO_TEXT('Respuest"&amp;"as de formulario 1'!G189),""[^0-9]"","""")))"),"+543513739600")</f>
        <v>+543513739600</v>
      </c>
      <c r="H189" s="7">
        <f>'Respuestas de formulario 1'!S189</f>
        <v>2023</v>
      </c>
      <c r="I189" s="7" t="str">
        <f>IFERROR(__xludf.DUMMYFUNCTION("IF('Respuestas de formulario 1'!I189="""","""",TO_TEXT('Respuestas de formulario 1'!I189))"),"Obra social")</f>
        <v>Obra social</v>
      </c>
      <c r="J189" s="7" t="str">
        <f>IFERROR(__xludf.DUMMYFUNCTION("IF('Respuestas de formulario 1'!J189&lt;&gt;"""",UPPER(TRIM(TO_TEXT('Respuestas de formulario 1'!J189))),IF('Respuestas de formulario 1'!O189&lt;&gt;"""",UPPER(TRIM(TO_TEXT('Respuestas de formulario 1'!O189))),""""))"),"MEDIFE")</f>
        <v>MEDIFE</v>
      </c>
      <c r="K189" s="7" t="str">
        <f>IFERROR(__xludf.DUMMYFUNCTION("IF('Respuestas de formulario 1'!K189="""","""",TO_TEXT('Respuestas de formulario 1'!K189))"),"")</f>
        <v/>
      </c>
      <c r="L189" s="7" t="str">
        <f>IFERROR(__xludf.DUMMYFUNCTION("IF('Respuestas de formulario 1'!L189="""","""",TO_TEXT('Respuestas de formulario 1'!L189))"),"")</f>
        <v/>
      </c>
      <c r="M189" s="7" t="str">
        <f>IFERROR(__xludf.DUMMYFUNCTION("IF('Respuestas de formulario 1'!M189="""","""",TO_TEXT('Respuestas de formulario 1'!M189))"),"")</f>
        <v/>
      </c>
      <c r="N189" s="7">
        <f t="shared" si="1"/>
        <v>2023</v>
      </c>
      <c r="O189" s="7" t="str">
        <f t="shared" si="2"/>
        <v>junio</v>
      </c>
      <c r="P189" s="7" t="s">
        <v>4581</v>
      </c>
    </row>
    <row r="190">
      <c r="A190" s="19">
        <f>'Respuestas de formulario 1'!A190</f>
        <v>45090.83396</v>
      </c>
      <c r="B190" s="7" t="str">
        <f>'Respuestas de formulario 1'!B190</f>
        <v>Piechenstainer </v>
      </c>
      <c r="C190" s="7" t="str">
        <f>'Respuestas de formulario 1'!C190</f>
        <v>Estefania </v>
      </c>
      <c r="D190" s="7" t="str">
        <f>'Respuestas de formulario 1'!D190</f>
        <v>estefaniapiechenstainer@gmail.com</v>
      </c>
      <c r="E190" s="20">
        <f>'Respuestas de formulario 1'!E190</f>
        <v>29738</v>
      </c>
      <c r="F190" s="7">
        <f>'Respuestas de formulario 1'!F190</f>
        <v>28850930</v>
      </c>
      <c r="G190" s="7" t="str">
        <f>IFERROR(__xludf.DUMMYFUNCTION("IF('Respuestas de formulario 1'!G190="""","""",IF(LEFT(REGEXREPLACE(TO_TEXT('Respuestas de formulario 1'!G190),""[^0-9]"",""""),2)=""54"",""+""&amp;REGEXREPLACE(TO_TEXT('Respuestas de formulario 1'!G190),""[^0-9]"",""""),""+54""&amp;REGEXREPLACE(TO_TEXT('Respuest"&amp;"as de formulario 1'!G190),""[^0-9]"","""")))"),"+543513235241")</f>
        <v>+543513235241</v>
      </c>
      <c r="H190" s="7">
        <f>'Respuestas de formulario 1'!S190</f>
        <v>2023</v>
      </c>
      <c r="I190" s="7" t="str">
        <f>IFERROR(__xludf.DUMMYFUNCTION("IF('Respuestas de formulario 1'!I190="""","""",TO_TEXT('Respuestas de formulario 1'!I190))"),"Obra social")</f>
        <v>Obra social</v>
      </c>
      <c r="J190" s="7" t="str">
        <f>IFERROR(__xludf.DUMMYFUNCTION("IF('Respuestas de formulario 1'!J190&lt;&gt;"""",UPPER(TRIM(TO_TEXT('Respuestas de formulario 1'!J190))),IF('Respuestas de formulario 1'!O190&lt;&gt;"""",UPPER(TRIM(TO_TEXT('Respuestas de formulario 1'!O190))),""""))"),"DASPU")</f>
        <v>DASPU</v>
      </c>
      <c r="K190" s="7" t="str">
        <f>IFERROR(__xludf.DUMMYFUNCTION("IF('Respuestas de formulario 1'!K190="""","""",TO_TEXT('Respuestas de formulario 1'!K190))"),"")</f>
        <v/>
      </c>
      <c r="L190" s="7" t="str">
        <f>IFERROR(__xludf.DUMMYFUNCTION("IF('Respuestas de formulario 1'!L190="""","""",TO_TEXT('Respuestas de formulario 1'!L190))"),"")</f>
        <v/>
      </c>
      <c r="M190" s="7" t="str">
        <f>IFERROR(__xludf.DUMMYFUNCTION("IF('Respuestas de formulario 1'!M190="""","""",TO_TEXT('Respuestas de formulario 1'!M190))"),"")</f>
        <v/>
      </c>
      <c r="N190" s="7">
        <f t="shared" si="1"/>
        <v>2023</v>
      </c>
      <c r="O190" s="7" t="str">
        <f t="shared" si="2"/>
        <v>junio</v>
      </c>
      <c r="P190" s="7" t="s">
        <v>4583</v>
      </c>
    </row>
    <row r="191">
      <c r="A191" s="19">
        <f>'Respuestas de formulario 1'!A191</f>
        <v>45091.51153</v>
      </c>
      <c r="B191" s="7" t="str">
        <f>'Respuestas de formulario 1'!B191</f>
        <v>Rosso</v>
      </c>
      <c r="C191" s="7" t="str">
        <f>'Respuestas de formulario 1'!C191</f>
        <v>Maximiliano </v>
      </c>
      <c r="D191" s="7" t="str">
        <f>'Respuestas de formulario 1'!D191</f>
        <v>maxirosso271@gmail.com</v>
      </c>
      <c r="E191" s="20">
        <f>'Respuestas de formulario 1'!E191</f>
        <v>37806</v>
      </c>
      <c r="F191" s="7">
        <f>'Respuestas de formulario 1'!F191</f>
        <v>44872734</v>
      </c>
      <c r="G191" s="7" t="str">
        <f>IFERROR(__xludf.DUMMYFUNCTION("IF('Respuestas de formulario 1'!G191="""","""",IF(LEFT(REGEXREPLACE(TO_TEXT('Respuestas de formulario 1'!G191),""[^0-9]"",""""),2)=""54"",""+""&amp;REGEXREPLACE(TO_TEXT('Respuestas de formulario 1'!G191),""[^0-9]"",""""),""+54""&amp;REGEXREPLACE(TO_TEXT('Respuest"&amp;"as de formulario 1'!G191),""[^0-9]"","""")))"),"+543512254247")</f>
        <v>+543512254247</v>
      </c>
      <c r="H191" s="7">
        <f>'Respuestas de formulario 1'!S191</f>
        <v>2023</v>
      </c>
      <c r="I191" s="7" t="str">
        <f>IFERROR(__xludf.DUMMYFUNCTION("IF('Respuestas de formulario 1'!I191="""","""",TO_TEXT('Respuestas de formulario 1'!I191))"),"Obra social")</f>
        <v>Obra social</v>
      </c>
      <c r="J191" s="7" t="str">
        <f>IFERROR(__xludf.DUMMYFUNCTION("IF('Respuestas de formulario 1'!J191&lt;&gt;"""",UPPER(TRIM(TO_TEXT('Respuestas de formulario 1'!J191))),IF('Respuestas de formulario 1'!O191&lt;&gt;"""",UPPER(TRIM(TO_TEXT('Respuestas de formulario 1'!O191))),""""))"),"MEDIFÉ")</f>
        <v>MEDIFÉ</v>
      </c>
      <c r="K191" s="7" t="str">
        <f>IFERROR(__xludf.DUMMYFUNCTION("IF('Respuestas de formulario 1'!K191="""","""",TO_TEXT('Respuestas de formulario 1'!K191))"),"")</f>
        <v/>
      </c>
      <c r="L191" s="7" t="str">
        <f>IFERROR(__xludf.DUMMYFUNCTION("IF('Respuestas de formulario 1'!L191="""","""",TO_TEXT('Respuestas de formulario 1'!L191))"),"")</f>
        <v/>
      </c>
      <c r="M191" s="7" t="str">
        <f>IFERROR(__xludf.DUMMYFUNCTION("IF('Respuestas de formulario 1'!M191="""","""",TO_TEXT('Respuestas de formulario 1'!M191))"),"")</f>
        <v/>
      </c>
      <c r="N191" s="7">
        <f t="shared" si="1"/>
        <v>2023</v>
      </c>
      <c r="O191" s="7" t="str">
        <f t="shared" si="2"/>
        <v>junio</v>
      </c>
      <c r="P191" s="7" t="s">
        <v>4585</v>
      </c>
    </row>
    <row r="192">
      <c r="A192" s="19">
        <f>'Respuestas de formulario 1'!A192</f>
        <v>45098.63362</v>
      </c>
      <c r="B192" s="7" t="str">
        <f>'Respuestas de formulario 1'!B192</f>
        <v>Maldona</v>
      </c>
      <c r="C192" s="7" t="str">
        <f>'Respuestas de formulario 1'!C192</f>
        <v>Lucas</v>
      </c>
      <c r="D192" s="7" t="str">
        <f>'Respuestas de formulario 1'!D192</f>
        <v>lucasmaldonado1960@gmail.com</v>
      </c>
      <c r="E192" s="20">
        <f>'Respuestas de formulario 1'!E192</f>
        <v>22094</v>
      </c>
      <c r="F192" s="7">
        <f>'Respuestas de formulario 1'!F192</f>
        <v>13269689</v>
      </c>
      <c r="G192" s="7" t="str">
        <f>IFERROR(__xludf.DUMMYFUNCTION("IF('Respuestas de formulario 1'!G192="""","""",IF(LEFT(REGEXREPLACE(TO_TEXT('Respuestas de formulario 1'!G192),""[^0-9]"",""""),2)=""54"",""+""&amp;REGEXREPLACE(TO_TEXT('Respuestas de formulario 1'!G192),""[^0-9]"",""""),""+54""&amp;REGEXREPLACE(TO_TEXT('Respuest"&amp;"as de formulario 1'!G192),""[^0-9]"","""")))"),"+543513609800")</f>
        <v>+543513609800</v>
      </c>
      <c r="H192" s="7">
        <f>'Respuestas de formulario 1'!S192</f>
        <v>2023</v>
      </c>
      <c r="I192" s="7" t="str">
        <f>IFERROR(__xludf.DUMMYFUNCTION("IF('Respuestas de formulario 1'!I192="""","""",TO_TEXT('Respuestas de formulario 1'!I192))"),"Obra social")</f>
        <v>Obra social</v>
      </c>
      <c r="J192" s="7" t="str">
        <f>IFERROR(__xludf.DUMMYFUNCTION("IF('Respuestas de formulario 1'!J192&lt;&gt;"""",UPPER(TRIM(TO_TEXT('Respuestas de formulario 1'!J192))),IF('Respuestas de formulario 1'!O192&lt;&gt;"""",UPPER(TRIM(TO_TEXT('Respuestas de formulario 1'!O192))),""""))"),"CPCE")</f>
        <v>CPCE</v>
      </c>
      <c r="K192" s="7" t="str">
        <f>IFERROR(__xludf.DUMMYFUNCTION("IF('Respuestas de formulario 1'!K192="""","""",TO_TEXT('Respuestas de formulario 1'!K192))"),"")</f>
        <v/>
      </c>
      <c r="L192" s="7" t="str">
        <f>IFERROR(__xludf.DUMMYFUNCTION("IF('Respuestas de formulario 1'!L192="""","""",TO_TEXT('Respuestas de formulario 1'!L192))"),"")</f>
        <v/>
      </c>
      <c r="M192" s="7" t="str">
        <f>IFERROR(__xludf.DUMMYFUNCTION("IF('Respuestas de formulario 1'!M192="""","""",TO_TEXT('Respuestas de formulario 1'!M192))"),"")</f>
        <v/>
      </c>
      <c r="N192" s="7">
        <f t="shared" si="1"/>
        <v>2023</v>
      </c>
      <c r="O192" s="7" t="str">
        <f t="shared" si="2"/>
        <v>junio</v>
      </c>
      <c r="P192" s="7" t="s">
        <v>4587</v>
      </c>
    </row>
    <row r="193">
      <c r="A193" s="19">
        <f>'Respuestas de formulario 1'!A193</f>
        <v>45098.86861</v>
      </c>
      <c r="B193" s="7" t="str">
        <f>'Respuestas de formulario 1'!B193</f>
        <v>Caballero</v>
      </c>
      <c r="C193" s="7" t="str">
        <f>'Respuestas de formulario 1'!C193</f>
        <v>Daina</v>
      </c>
      <c r="D193" s="7" t="str">
        <f>'Respuestas de formulario 1'!D193</f>
        <v>daianacaballero063@gmail.com</v>
      </c>
      <c r="E193" s="20">
        <f>'Respuestas de formulario 1'!E193</f>
        <v>35140</v>
      </c>
      <c r="F193" s="7">
        <f>'Respuestas de formulario 1'!F193</f>
        <v>39605038</v>
      </c>
      <c r="G193" s="7" t="str">
        <f>IFERROR(__xludf.DUMMYFUNCTION("IF('Respuestas de formulario 1'!G193="""","""",IF(LEFT(REGEXREPLACE(TO_TEXT('Respuestas de formulario 1'!G193),""[^0-9]"",""""),2)=""54"",""+""&amp;REGEXREPLACE(TO_TEXT('Respuestas de formulario 1'!G193),""[^0-9]"",""""),""+54""&amp;REGEXREPLACE(TO_TEXT('Respuest"&amp;"as de formulario 1'!G193),""[^0-9]"","""")))"),"+543516456821")</f>
        <v>+543516456821</v>
      </c>
      <c r="H193" s="7">
        <f>'Respuestas de formulario 1'!S193</f>
        <v>2023</v>
      </c>
      <c r="I193" s="7" t="str">
        <f>IFERROR(__xludf.DUMMYFUNCTION("IF('Respuestas de formulario 1'!I193="""","""",TO_TEXT('Respuestas de formulario 1'!I193))"),"Obra social")</f>
        <v>Obra social</v>
      </c>
      <c r="J193" s="7" t="str">
        <f>IFERROR(__xludf.DUMMYFUNCTION("IF('Respuestas de formulario 1'!J193&lt;&gt;"""",UPPER(TRIM(TO_TEXT('Respuestas de formulario 1'!J193))),IF('Respuestas de formulario 1'!O193&lt;&gt;"""",UPPER(TRIM(TO_TEXT('Respuestas de formulario 1'!O193))),""""))"),"OSSOELSAC")</f>
        <v>OSSOELSAC</v>
      </c>
      <c r="K193" s="7" t="str">
        <f>IFERROR(__xludf.DUMMYFUNCTION("IF('Respuestas de formulario 1'!K193="""","""",TO_TEXT('Respuestas de formulario 1'!K193))"),"")</f>
        <v/>
      </c>
      <c r="L193" s="7" t="str">
        <f>IFERROR(__xludf.DUMMYFUNCTION("IF('Respuestas de formulario 1'!L193="""","""",TO_TEXT('Respuestas de formulario 1'!L193))"),"")</f>
        <v/>
      </c>
      <c r="M193" s="7" t="str">
        <f>IFERROR(__xludf.DUMMYFUNCTION("IF('Respuestas de formulario 1'!M193="""","""",TO_TEXT('Respuestas de formulario 1'!M193))"),"")</f>
        <v/>
      </c>
      <c r="N193" s="7">
        <f t="shared" si="1"/>
        <v>2023</v>
      </c>
      <c r="O193" s="7" t="str">
        <f t="shared" si="2"/>
        <v>junio</v>
      </c>
      <c r="P193" s="7" t="s">
        <v>4589</v>
      </c>
    </row>
    <row r="194">
      <c r="A194" s="19">
        <f>'Respuestas de formulario 1'!A194</f>
        <v>45099.7916</v>
      </c>
      <c r="B194" s="7" t="str">
        <f>'Respuestas de formulario 1'!B194</f>
        <v>Bianchi</v>
      </c>
      <c r="C194" s="7" t="str">
        <f>'Respuestas de formulario 1'!C194</f>
        <v>Chiara</v>
      </c>
      <c r="D194" s="7" t="str">
        <f>'Respuestas de formulario 1'!D194</f>
        <v>chiaribianchi378@gmail.com</v>
      </c>
      <c r="E194" s="20">
        <f>'Respuestas de formulario 1'!E194</f>
        <v>37261</v>
      </c>
      <c r="F194" s="7">
        <f>'Respuestas de formulario 1'!F194</f>
        <v>43812698</v>
      </c>
      <c r="G194" s="7" t="str">
        <f>IFERROR(__xludf.DUMMYFUNCTION("IF('Respuestas de formulario 1'!G194="""","""",IF(LEFT(REGEXREPLACE(TO_TEXT('Respuestas de formulario 1'!G194),""[^0-9]"",""""),2)=""54"",""+""&amp;REGEXREPLACE(TO_TEXT('Respuestas de formulario 1'!G194),""[^0-9]"",""""),""+54""&amp;REGEXREPLACE(TO_TEXT('Respuest"&amp;"as de formulario 1'!G194),""[^0-9]"","""")))"),"+543512834841")</f>
        <v>+543512834841</v>
      </c>
      <c r="H194" s="7">
        <f>'Respuestas de formulario 1'!S194</f>
        <v>2023</v>
      </c>
      <c r="I194" s="7" t="str">
        <f>IFERROR(__xludf.DUMMYFUNCTION("IF('Respuestas de formulario 1'!I194="""","""",TO_TEXT('Respuestas de formulario 1'!I194))"),"Obra social")</f>
        <v>Obra social</v>
      </c>
      <c r="J194" s="7" t="str">
        <f>IFERROR(__xludf.DUMMYFUNCTION("IF('Respuestas de formulario 1'!J194&lt;&gt;"""",UPPER(TRIM(TO_TEXT('Respuestas de formulario 1'!J194))),IF('Respuestas de formulario 1'!O194&lt;&gt;"""",UPPER(TRIM(TO_TEXT('Respuestas de formulario 1'!O194))),""""))"),"APROSS")</f>
        <v>APROSS</v>
      </c>
      <c r="K194" s="7" t="str">
        <f>IFERROR(__xludf.DUMMYFUNCTION("IF('Respuestas de formulario 1'!K194="""","""",TO_TEXT('Respuestas de formulario 1'!K194))"),"")</f>
        <v/>
      </c>
      <c r="L194" s="7" t="str">
        <f>IFERROR(__xludf.DUMMYFUNCTION("IF('Respuestas de formulario 1'!L194="""","""",TO_TEXT('Respuestas de formulario 1'!L194))"),"")</f>
        <v/>
      </c>
      <c r="M194" s="7" t="str">
        <f>IFERROR(__xludf.DUMMYFUNCTION("IF('Respuestas de formulario 1'!M194="""","""",TO_TEXT('Respuestas de formulario 1'!M194))"),"")</f>
        <v/>
      </c>
      <c r="N194" s="7">
        <f t="shared" si="1"/>
        <v>2023</v>
      </c>
      <c r="O194" s="7" t="str">
        <f t="shared" si="2"/>
        <v>junio</v>
      </c>
      <c r="P194" s="7" t="s">
        <v>4591</v>
      </c>
    </row>
    <row r="195">
      <c r="A195" s="19">
        <f>'Respuestas de formulario 1'!A195</f>
        <v>45099.83224</v>
      </c>
      <c r="B195" s="7" t="str">
        <f>'Respuestas de formulario 1'!B195</f>
        <v>Albarracin</v>
      </c>
      <c r="C195" s="7" t="str">
        <f>'Respuestas de formulario 1'!C195</f>
        <v>Alberto</v>
      </c>
      <c r="D195" s="7" t="str">
        <f>'Respuestas de formulario 1'!D195</f>
        <v>Ventas@gtecdesarrollosyservicios.com</v>
      </c>
      <c r="E195" s="20">
        <f>'Respuestas de formulario 1'!E195</f>
        <v>31941</v>
      </c>
      <c r="F195" s="7">
        <f>'Respuestas de formulario 1'!F195</f>
        <v>33101207</v>
      </c>
      <c r="G195" s="7" t="str">
        <f>IFERROR(__xludf.DUMMYFUNCTION("IF('Respuestas de formulario 1'!G195="""","""",IF(LEFT(REGEXREPLACE(TO_TEXT('Respuestas de formulario 1'!G195),""[^0-9]"",""""),2)=""54"",""+""&amp;REGEXREPLACE(TO_TEXT('Respuestas de formulario 1'!G195),""[^0-9]"",""""),""+54""&amp;REGEXREPLACE(TO_TEXT('Respuest"&amp;"as de formulario 1'!G195),""[^0-9]"","""")))"),"+543513165406")</f>
        <v>+543513165406</v>
      </c>
      <c r="H195" s="7">
        <f>'Respuestas de formulario 1'!S195</f>
        <v>2023</v>
      </c>
      <c r="I195" s="7" t="str">
        <f>IFERROR(__xludf.DUMMYFUNCTION("IF('Respuestas de formulario 1'!I195="""","""",TO_TEXT('Respuestas de formulario 1'!I195))"),"Particular")</f>
        <v>Particular</v>
      </c>
      <c r="J195" s="7" t="str">
        <f>IFERROR(__xludf.DUMMYFUNCTION("IF('Respuestas de formulario 1'!J195&lt;&gt;"""",UPPER(TRIM(TO_TEXT('Respuestas de formulario 1'!J195))),IF('Respuestas de formulario 1'!O195&lt;&gt;"""",UPPER(TRIM(TO_TEXT('Respuestas de formulario 1'!O195))),""""))"),"")</f>
        <v/>
      </c>
      <c r="K195" s="7" t="str">
        <f>IFERROR(__xludf.DUMMYFUNCTION("IF('Respuestas de formulario 1'!K195="""","""",TO_TEXT('Respuestas de formulario 1'!K195))"),"")</f>
        <v/>
      </c>
      <c r="L195" s="7" t="str">
        <f>IFERROR(__xludf.DUMMYFUNCTION("IF('Respuestas de formulario 1'!L195="""","""",TO_TEXT('Respuestas de formulario 1'!L195))"),"")</f>
        <v/>
      </c>
      <c r="M195" s="7" t="str">
        <f>IFERROR(__xludf.DUMMYFUNCTION("IF('Respuestas de formulario 1'!M195="""","""",TO_TEXT('Respuestas de formulario 1'!M195))"),"")</f>
        <v/>
      </c>
      <c r="N195" s="7">
        <f t="shared" si="1"/>
        <v>2023</v>
      </c>
      <c r="O195" s="7" t="str">
        <f t="shared" si="2"/>
        <v>junio</v>
      </c>
      <c r="P195" s="7" t="s">
        <v>4593</v>
      </c>
    </row>
    <row r="196">
      <c r="A196" s="19">
        <f>'Respuestas de formulario 1'!A196</f>
        <v>45100.63431</v>
      </c>
      <c r="B196" s="7" t="str">
        <f>'Respuestas de formulario 1'!B196</f>
        <v>ROQUE</v>
      </c>
      <c r="C196" s="7" t="str">
        <f>'Respuestas de formulario 1'!C196</f>
        <v>MARIA EMILIA</v>
      </c>
      <c r="D196" s="7" t="str">
        <f>'Respuestas de formulario 1'!D196</f>
        <v>maraiemiliaroque@gmail.com</v>
      </c>
      <c r="E196" s="20">
        <f>'Respuestas de formulario 1'!E196</f>
        <v>33540</v>
      </c>
      <c r="F196" s="7">
        <f>'Respuestas de formulario 1'!F196</f>
        <v>36141845</v>
      </c>
      <c r="G196" s="7" t="str">
        <f>IFERROR(__xludf.DUMMYFUNCTION("IF('Respuestas de formulario 1'!G196="""","""",IF(LEFT(REGEXREPLACE(TO_TEXT('Respuestas de formulario 1'!G196),""[^0-9]"",""""),2)=""54"",""+""&amp;REGEXREPLACE(TO_TEXT('Respuestas de formulario 1'!G196),""[^0-9]"",""""),""+54""&amp;REGEXREPLACE(TO_TEXT('Respuest"&amp;"as de formulario 1'!G196),""[^0-9]"","""")))"),"+543516367337")</f>
        <v>+543516367337</v>
      </c>
      <c r="H196" s="7">
        <f>'Respuestas de formulario 1'!S196</f>
        <v>2023</v>
      </c>
      <c r="I196" s="7" t="str">
        <f>IFERROR(__xludf.DUMMYFUNCTION("IF('Respuestas de formulario 1'!I196="""","""",TO_TEXT('Respuestas de formulario 1'!I196))"),"Particular")</f>
        <v>Particular</v>
      </c>
      <c r="J196" s="7" t="str">
        <f>IFERROR(__xludf.DUMMYFUNCTION("IF('Respuestas de formulario 1'!J196&lt;&gt;"""",UPPER(TRIM(TO_TEXT('Respuestas de formulario 1'!J196))),IF('Respuestas de formulario 1'!O196&lt;&gt;"""",UPPER(TRIM(TO_TEXT('Respuestas de formulario 1'!O196))),""""))"),"")</f>
        <v/>
      </c>
      <c r="K196" s="7" t="str">
        <f>IFERROR(__xludf.DUMMYFUNCTION("IF('Respuestas de formulario 1'!K196="""","""",TO_TEXT('Respuestas de formulario 1'!K196))"),"")</f>
        <v/>
      </c>
      <c r="L196" s="7" t="str">
        <f>IFERROR(__xludf.DUMMYFUNCTION("IF('Respuestas de formulario 1'!L196="""","""",TO_TEXT('Respuestas de formulario 1'!L196))"),"")</f>
        <v/>
      </c>
      <c r="M196" s="7" t="str">
        <f>IFERROR(__xludf.DUMMYFUNCTION("IF('Respuestas de formulario 1'!M196="""","""",TO_TEXT('Respuestas de formulario 1'!M196))"),"")</f>
        <v/>
      </c>
      <c r="N196" s="7">
        <f t="shared" si="1"/>
        <v>2023</v>
      </c>
      <c r="O196" s="7" t="str">
        <f t="shared" si="2"/>
        <v>junio</v>
      </c>
      <c r="P196" s="7" t="s">
        <v>4595</v>
      </c>
    </row>
    <row r="197">
      <c r="A197" s="19">
        <f>'Respuestas de formulario 1'!A197</f>
        <v>45103.70874</v>
      </c>
      <c r="B197" s="7" t="str">
        <f>'Respuestas de formulario 1'!B197</f>
        <v>RIVELLO</v>
      </c>
      <c r="C197" s="7" t="str">
        <f>'Respuestas de formulario 1'!C197</f>
        <v>Nora</v>
      </c>
      <c r="D197" s="7" t="str">
        <f>'Respuestas de formulario 1'!D197</f>
        <v>norasrivello@gmail.com</v>
      </c>
      <c r="E197" s="20">
        <f>'Respuestas de formulario 1'!E197</f>
        <v>22168</v>
      </c>
      <c r="F197" s="7">
        <f>'Respuestas de formulario 1'!F197</f>
        <v>14292414</v>
      </c>
      <c r="G197" s="7" t="str">
        <f>IFERROR(__xludf.DUMMYFUNCTION("IF('Respuestas de formulario 1'!G197="""","""",IF(LEFT(REGEXREPLACE(TO_TEXT('Respuestas de formulario 1'!G197),""[^0-9]"",""""),2)=""54"",""+""&amp;REGEXREPLACE(TO_TEXT('Respuestas de formulario 1'!G197),""[^0-9]"",""""),""+54""&amp;REGEXREPLACE(TO_TEXT('Respuest"&amp;"as de formulario 1'!G197),""[^0-9]"","""")))"),"+543517606768")</f>
        <v>+543517606768</v>
      </c>
      <c r="H197" s="7">
        <f>'Respuestas de formulario 1'!S197</f>
        <v>2023</v>
      </c>
      <c r="I197" s="7" t="str">
        <f>IFERROR(__xludf.DUMMYFUNCTION("IF('Respuestas de formulario 1'!I197="""","""",TO_TEXT('Respuestas de formulario 1'!I197))"),"Obra social")</f>
        <v>Obra social</v>
      </c>
      <c r="J197" s="7" t="str">
        <f>IFERROR(__xludf.DUMMYFUNCTION("IF('Respuestas de formulario 1'!J197&lt;&gt;"""",UPPER(TRIM(TO_TEXT('Respuestas de formulario 1'!J197))),IF('Respuestas de formulario 1'!O197&lt;&gt;"""",UPPER(TRIM(TO_TEXT('Respuestas de formulario 1'!O197))),""""))"),"CPCE")</f>
        <v>CPCE</v>
      </c>
      <c r="K197" s="7" t="str">
        <f>IFERROR(__xludf.DUMMYFUNCTION("IF('Respuestas de formulario 1'!K197="""","""",TO_TEXT('Respuestas de formulario 1'!K197))"),"")</f>
        <v/>
      </c>
      <c r="L197" s="7" t="str">
        <f>IFERROR(__xludf.DUMMYFUNCTION("IF('Respuestas de formulario 1'!L197="""","""",TO_TEXT('Respuestas de formulario 1'!L197))"),"")</f>
        <v/>
      </c>
      <c r="M197" s="7" t="str">
        <f>IFERROR(__xludf.DUMMYFUNCTION("IF('Respuestas de formulario 1'!M197="""","""",TO_TEXT('Respuestas de formulario 1'!M197))"),"")</f>
        <v/>
      </c>
      <c r="N197" s="7">
        <f t="shared" si="1"/>
        <v>2023</v>
      </c>
      <c r="O197" s="7" t="str">
        <f t="shared" si="2"/>
        <v>junio</v>
      </c>
      <c r="P197" s="7" t="s">
        <v>4597</v>
      </c>
    </row>
    <row r="198">
      <c r="A198" s="19">
        <f>'Respuestas de formulario 1'!A198</f>
        <v>45103.8409</v>
      </c>
      <c r="B198" s="7" t="str">
        <f>'Respuestas de formulario 1'!B198</f>
        <v>Amilibia</v>
      </c>
      <c r="C198" s="7" t="str">
        <f>'Respuestas de formulario 1'!C198</f>
        <v>Camila</v>
      </c>
      <c r="D198" s="7" t="str">
        <f>'Respuestas de formulario 1'!D198</f>
        <v>cami-amilibia@hotmail.com</v>
      </c>
      <c r="E198" s="20">
        <f>'Respuestas de formulario 1'!E198</f>
        <v>36460</v>
      </c>
      <c r="F198" s="7">
        <f>'Respuestas de formulario 1'!F198</f>
        <v>42160571</v>
      </c>
      <c r="G198" s="7" t="str">
        <f>IFERROR(__xludf.DUMMYFUNCTION("IF('Respuestas de formulario 1'!G198="""","""",IF(LEFT(REGEXREPLACE(TO_TEXT('Respuestas de formulario 1'!G198),""[^0-9]"",""""),2)=""54"",""+""&amp;REGEXREPLACE(TO_TEXT('Respuestas de formulario 1'!G198),""[^0-9]"",""""),""+54""&amp;REGEXREPLACE(TO_TEXT('Respuest"&amp;"as de formulario 1'!G198),""[^0-9]"","""")))"),"+543513492216")</f>
        <v>+543513492216</v>
      </c>
      <c r="H198" s="7">
        <f>'Respuestas de formulario 1'!S198</f>
        <v>2023</v>
      </c>
      <c r="I198" s="7" t="str">
        <f>IFERROR(__xludf.DUMMYFUNCTION("IF('Respuestas de formulario 1'!I198="""","""",TO_TEXT('Respuestas de formulario 1'!I198))"),"Obra social")</f>
        <v>Obra social</v>
      </c>
      <c r="J198" s="7" t="str">
        <f>IFERROR(__xludf.DUMMYFUNCTION("IF('Respuestas de formulario 1'!J198&lt;&gt;"""",UPPER(TRIM(TO_TEXT('Respuestas de formulario 1'!J198))),IF('Respuestas de formulario 1'!O198&lt;&gt;"""",UPPER(TRIM(TO_TEXT('Respuestas de formulario 1'!O198))),""""))"),"SANCOR")</f>
        <v>SANCOR</v>
      </c>
      <c r="K198" s="7" t="str">
        <f>IFERROR(__xludf.DUMMYFUNCTION("IF('Respuestas de formulario 1'!K198="""","""",TO_TEXT('Respuestas de formulario 1'!K198))"),"")</f>
        <v/>
      </c>
      <c r="L198" s="7" t="str">
        <f>IFERROR(__xludf.DUMMYFUNCTION("IF('Respuestas de formulario 1'!L198="""","""",TO_TEXT('Respuestas de formulario 1'!L198))"),"")</f>
        <v/>
      </c>
      <c r="M198" s="7" t="str">
        <f>IFERROR(__xludf.DUMMYFUNCTION("IF('Respuestas de formulario 1'!M198="""","""",TO_TEXT('Respuestas de formulario 1'!M198))"),"")</f>
        <v/>
      </c>
      <c r="N198" s="7">
        <f t="shared" si="1"/>
        <v>2023</v>
      </c>
      <c r="O198" s="7" t="str">
        <f t="shared" si="2"/>
        <v>junio</v>
      </c>
      <c r="P198" s="7" t="s">
        <v>4599</v>
      </c>
    </row>
    <row r="199">
      <c r="A199" s="19">
        <f>'Respuestas de formulario 1'!A199</f>
        <v>45104.86477</v>
      </c>
      <c r="B199" s="7" t="str">
        <f>'Respuestas de formulario 1'!B199</f>
        <v>Barbero Gatica</v>
      </c>
      <c r="C199" s="7" t="str">
        <f>'Respuestas de formulario 1'!C199</f>
        <v>Bautista</v>
      </c>
      <c r="D199" s="7" t="str">
        <f>'Respuestas de formulario 1'!D199</f>
        <v>barberogaticabautista@gmail.com</v>
      </c>
      <c r="E199" s="20">
        <f>'Respuestas de formulario 1'!E199</f>
        <v>39045</v>
      </c>
      <c r="F199" s="7">
        <f>'Respuestas de formulario 1'!F199</f>
        <v>47351636</v>
      </c>
      <c r="G199" s="7" t="str">
        <f>IFERROR(__xludf.DUMMYFUNCTION("IF('Respuestas de formulario 1'!G199="""","""",IF(LEFT(REGEXREPLACE(TO_TEXT('Respuestas de formulario 1'!G199),""[^0-9]"",""""),2)=""54"",""+""&amp;REGEXREPLACE(TO_TEXT('Respuestas de formulario 1'!G199),""[^0-9]"",""""),""+54""&amp;REGEXREPLACE(TO_TEXT('Respuest"&amp;"as de formulario 1'!G199),""[^0-9]"","""")))"),"+543515306105")</f>
        <v>+543515306105</v>
      </c>
      <c r="H199" s="7">
        <f>'Respuestas de formulario 1'!S199</f>
        <v>2023</v>
      </c>
      <c r="I199" s="7" t="str">
        <f>IFERROR(__xludf.DUMMYFUNCTION("IF('Respuestas de formulario 1'!I199="""","""",TO_TEXT('Respuestas de formulario 1'!I199))"),"Obra social")</f>
        <v>Obra social</v>
      </c>
      <c r="J199" s="7" t="str">
        <f>IFERROR(__xludf.DUMMYFUNCTION("IF('Respuestas de formulario 1'!J199&lt;&gt;"""",UPPER(TRIM(TO_TEXT('Respuestas de formulario 1'!J199))),IF('Respuestas de formulario 1'!O199&lt;&gt;"""",UPPER(TRIM(TO_TEXT('Respuestas de formulario 1'!O199))),""""))"),"APROSS")</f>
        <v>APROSS</v>
      </c>
      <c r="K199" s="7" t="str">
        <f>IFERROR(__xludf.DUMMYFUNCTION("IF('Respuestas de formulario 1'!K199="""","""",TO_TEXT('Respuestas de formulario 1'!K199))"),"")</f>
        <v/>
      </c>
      <c r="L199" s="7" t="str">
        <f>IFERROR(__xludf.DUMMYFUNCTION("IF('Respuestas de formulario 1'!L199="""","""",TO_TEXT('Respuestas de formulario 1'!L199))"),"")</f>
        <v/>
      </c>
      <c r="M199" s="7" t="str">
        <f>IFERROR(__xludf.DUMMYFUNCTION("IF('Respuestas de formulario 1'!M199="""","""",TO_TEXT('Respuestas de formulario 1'!M199))"),"")</f>
        <v/>
      </c>
      <c r="N199" s="7">
        <f t="shared" si="1"/>
        <v>2023</v>
      </c>
      <c r="O199" s="7" t="str">
        <f t="shared" si="2"/>
        <v>junio</v>
      </c>
      <c r="P199" s="7" t="s">
        <v>4601</v>
      </c>
    </row>
    <row r="200">
      <c r="A200" s="19">
        <f>'Respuestas de formulario 1'!A200</f>
        <v>45105.66255</v>
      </c>
      <c r="B200" s="7" t="str">
        <f>'Respuestas de formulario 1'!B200</f>
        <v>Fantin</v>
      </c>
      <c r="C200" s="7" t="str">
        <f>'Respuestas de formulario 1'!C200</f>
        <v>Augusto</v>
      </c>
      <c r="D200" s="7" t="str">
        <f>'Respuestas de formulario 1'!D200</f>
        <v>augustofantinf@gmail.com</v>
      </c>
      <c r="E200" s="20">
        <f>'Respuestas de formulario 1'!E200</f>
        <v>37264</v>
      </c>
      <c r="F200" s="7">
        <f>'Respuestas de formulario 1'!F200</f>
        <v>43880406</v>
      </c>
      <c r="G200" s="7" t="str">
        <f>IFERROR(__xludf.DUMMYFUNCTION("IF('Respuestas de formulario 1'!G200="""","""",IF(LEFT(REGEXREPLACE(TO_TEXT('Respuestas de formulario 1'!G200),""[^0-9]"",""""),2)=""54"",""+""&amp;REGEXREPLACE(TO_TEXT('Respuestas de formulario 1'!G200),""[^0-9]"",""""),""+54""&amp;REGEXREPLACE(TO_TEXT('Respuest"&amp;"as de formulario 1'!G200),""[^0-9]"","""")))"),"+543513302736")</f>
        <v>+543513302736</v>
      </c>
      <c r="H200" s="7">
        <f>'Respuestas de formulario 1'!S200</f>
        <v>2023</v>
      </c>
      <c r="I200" s="7" t="str">
        <f>IFERROR(__xludf.DUMMYFUNCTION("IF('Respuestas de formulario 1'!I200="""","""",TO_TEXT('Respuestas de formulario 1'!I200))"),"Particular")</f>
        <v>Particular</v>
      </c>
      <c r="J200" s="7" t="str">
        <f>IFERROR(__xludf.DUMMYFUNCTION("IF('Respuestas de formulario 1'!J200&lt;&gt;"""",UPPER(TRIM(TO_TEXT('Respuestas de formulario 1'!J200))),IF('Respuestas de formulario 1'!O200&lt;&gt;"""",UPPER(TRIM(TO_TEXT('Respuestas de formulario 1'!O200))),""""))"),"")</f>
        <v/>
      </c>
      <c r="K200" s="7" t="str">
        <f>IFERROR(__xludf.DUMMYFUNCTION("IF('Respuestas de formulario 1'!K200="""","""",TO_TEXT('Respuestas de formulario 1'!K200))"),"")</f>
        <v/>
      </c>
      <c r="L200" s="7" t="str">
        <f>IFERROR(__xludf.DUMMYFUNCTION("IF('Respuestas de formulario 1'!L200="""","""",TO_TEXT('Respuestas de formulario 1'!L200))"),"")</f>
        <v/>
      </c>
      <c r="M200" s="7" t="str">
        <f>IFERROR(__xludf.DUMMYFUNCTION("IF('Respuestas de formulario 1'!M200="""","""",TO_TEXT('Respuestas de formulario 1'!M200))"),"")</f>
        <v/>
      </c>
      <c r="N200" s="7">
        <f t="shared" si="1"/>
        <v>2023</v>
      </c>
      <c r="O200" s="7" t="str">
        <f t="shared" si="2"/>
        <v>junio</v>
      </c>
      <c r="P200" s="7" t="s">
        <v>4603</v>
      </c>
    </row>
    <row r="201">
      <c r="A201" s="19">
        <f>'Respuestas de formulario 1'!A201</f>
        <v>45105.81766</v>
      </c>
      <c r="B201" s="7" t="str">
        <f>'Respuestas de formulario 1'!B201</f>
        <v>Baez</v>
      </c>
      <c r="C201" s="7" t="str">
        <f>'Respuestas de formulario 1'!C201</f>
        <v>Carolina</v>
      </c>
      <c r="D201" s="7" t="str">
        <f>'Respuestas de formulario 1'!D201</f>
        <v>Caro_Baez_97@hotmail.com</v>
      </c>
      <c r="E201" s="20">
        <f>'Respuestas de formulario 1'!E201</f>
        <v>35508</v>
      </c>
      <c r="F201" s="7">
        <f>'Respuestas de formulario 1'!F201</f>
        <v>40108393</v>
      </c>
      <c r="G201" s="7" t="str">
        <f>IFERROR(__xludf.DUMMYFUNCTION("IF('Respuestas de formulario 1'!G201="""","""",IF(LEFT(REGEXREPLACE(TO_TEXT('Respuestas de formulario 1'!G201),""[^0-9]"",""""),2)=""54"",""+""&amp;REGEXREPLACE(TO_TEXT('Respuestas de formulario 1'!G201),""[^0-9]"",""""),""+54""&amp;REGEXREPLACE(TO_TEXT('Respuest"&amp;"as de formulario 1'!G201),""[^0-9]"","""")))"),"+543515488755")</f>
        <v>+543515488755</v>
      </c>
      <c r="H201" s="7">
        <f>'Respuestas de formulario 1'!S201</f>
        <v>2023</v>
      </c>
      <c r="I201" s="7" t="str">
        <f>IFERROR(__xludf.DUMMYFUNCTION("IF('Respuestas de formulario 1'!I201="""","""",TO_TEXT('Respuestas de formulario 1'!I201))"),"Obra social")</f>
        <v>Obra social</v>
      </c>
      <c r="J201" s="7" t="str">
        <f>IFERROR(__xludf.DUMMYFUNCTION("IF('Respuestas de formulario 1'!J201&lt;&gt;"""",UPPER(TRIM(TO_TEXT('Respuestas de formulario 1'!J201))),IF('Respuestas de formulario 1'!O201&lt;&gt;"""",UPPER(TRIM(TO_TEXT('Respuestas de formulario 1'!O201))),""""))"),"SANCOR")</f>
        <v>SANCOR</v>
      </c>
      <c r="K201" s="7" t="str">
        <f>IFERROR(__xludf.DUMMYFUNCTION("IF('Respuestas de formulario 1'!K201="""","""",TO_TEXT('Respuestas de formulario 1'!K201))"),"")</f>
        <v/>
      </c>
      <c r="L201" s="7" t="str">
        <f>IFERROR(__xludf.DUMMYFUNCTION("IF('Respuestas de formulario 1'!L201="""","""",TO_TEXT('Respuestas de formulario 1'!L201))"),"")</f>
        <v/>
      </c>
      <c r="M201" s="7" t="str">
        <f>IFERROR(__xludf.DUMMYFUNCTION("IF('Respuestas de formulario 1'!M201="""","""",TO_TEXT('Respuestas de formulario 1'!M201))"),"")</f>
        <v/>
      </c>
      <c r="N201" s="7">
        <f t="shared" si="1"/>
        <v>2023</v>
      </c>
      <c r="O201" s="7" t="str">
        <f t="shared" si="2"/>
        <v>junio</v>
      </c>
      <c r="P201" s="7" t="s">
        <v>4605</v>
      </c>
    </row>
    <row r="202">
      <c r="A202" s="19">
        <f>'Respuestas de formulario 1'!A202</f>
        <v>45106.79437</v>
      </c>
      <c r="B202" s="7" t="str">
        <f>'Respuestas de formulario 1'!B202</f>
        <v>FARIAS</v>
      </c>
      <c r="C202" s="7" t="str">
        <f>'Respuestas de formulario 1'!C202</f>
        <v>Mayra Paola</v>
      </c>
      <c r="D202" s="7" t="str">
        <f>'Respuestas de formulario 1'!D202</f>
        <v>mpfariasq@gmail.com</v>
      </c>
      <c r="E202" s="20">
        <f>'Respuestas de formulario 1'!E202</f>
        <v>25443</v>
      </c>
      <c r="F202" s="7">
        <f>'Respuestas de formulario 1'!F202</f>
        <v>20785446</v>
      </c>
      <c r="G202" s="7" t="str">
        <f>IFERROR(__xludf.DUMMYFUNCTION("IF('Respuestas de formulario 1'!G202="""","""",IF(LEFT(REGEXREPLACE(TO_TEXT('Respuestas de formulario 1'!G202),""[^0-9]"",""""),2)=""54"",""+""&amp;REGEXREPLACE(TO_TEXT('Respuestas de formulario 1'!G202),""[^0-9]"",""""),""+54""&amp;REGEXREPLACE(TO_TEXT('Respuest"&amp;"as de formulario 1'!G202),""[^0-9]"","""")))"),"+543513755004")</f>
        <v>+543513755004</v>
      </c>
      <c r="H202" s="7">
        <f>'Respuestas de formulario 1'!S202</f>
        <v>2023</v>
      </c>
      <c r="I202" s="7" t="str">
        <f>IFERROR(__xludf.DUMMYFUNCTION("IF('Respuestas de formulario 1'!I202="""","""",TO_TEXT('Respuestas de formulario 1'!I202))"),"Obra social")</f>
        <v>Obra social</v>
      </c>
      <c r="J202" s="7" t="str">
        <f>IFERROR(__xludf.DUMMYFUNCTION("IF('Respuestas de formulario 1'!J202&lt;&gt;"""",UPPER(TRIM(TO_TEXT('Respuestas de formulario 1'!J202))),IF('Respuestas de formulario 1'!O202&lt;&gt;"""",UPPER(TRIM(TO_TEXT('Respuestas de formulario 1'!O202))),""""))"),"APROSS")</f>
        <v>APROSS</v>
      </c>
      <c r="K202" s="7" t="str">
        <f>IFERROR(__xludf.DUMMYFUNCTION("IF('Respuestas de formulario 1'!K202="""","""",TO_TEXT('Respuestas de formulario 1'!K202))"),"")</f>
        <v/>
      </c>
      <c r="L202" s="7" t="str">
        <f>IFERROR(__xludf.DUMMYFUNCTION("IF('Respuestas de formulario 1'!L202="""","""",TO_TEXT('Respuestas de formulario 1'!L202))"),"")</f>
        <v/>
      </c>
      <c r="M202" s="7" t="str">
        <f>IFERROR(__xludf.DUMMYFUNCTION("IF('Respuestas de formulario 1'!M202="""","""",TO_TEXT('Respuestas de formulario 1'!M202))"),"")</f>
        <v/>
      </c>
      <c r="N202" s="7">
        <f t="shared" si="1"/>
        <v>2023</v>
      </c>
      <c r="O202" s="7" t="str">
        <f t="shared" si="2"/>
        <v>junio</v>
      </c>
      <c r="P202" s="7" t="s">
        <v>4607</v>
      </c>
    </row>
    <row r="203">
      <c r="A203" s="19">
        <f>'Respuestas de formulario 1'!A203</f>
        <v>45106.80147</v>
      </c>
      <c r="B203" s="7" t="str">
        <f>'Respuestas de formulario 1'!B203</f>
        <v>Lavezzo</v>
      </c>
      <c r="C203" s="7" t="str">
        <f>'Respuestas de formulario 1'!C203</f>
        <v>Ignacio</v>
      </c>
      <c r="D203" s="7" t="str">
        <f>'Respuestas de formulario 1'!D203</f>
        <v>ilavezzo@yahoo.com.ar</v>
      </c>
      <c r="E203" s="20">
        <f>'Respuestas de formulario 1'!E203</f>
        <v>32258</v>
      </c>
      <c r="F203" s="7">
        <f>'Respuestas de formulario 1'!F203</f>
        <v>33701488</v>
      </c>
      <c r="G203" s="7" t="str">
        <f>IFERROR(__xludf.DUMMYFUNCTION("IF('Respuestas de formulario 1'!G203="""","""",IF(LEFT(REGEXREPLACE(TO_TEXT('Respuestas de formulario 1'!G203),""[^0-9]"",""""),2)=""54"",""+""&amp;REGEXREPLACE(TO_TEXT('Respuestas de formulario 1'!G203),""[^0-9]"",""""),""+54""&amp;REGEXREPLACE(TO_TEXT('Respuest"&amp;"as de formulario 1'!G203),""[^0-9]"","""")))"),"+543515720444")</f>
        <v>+543515720444</v>
      </c>
      <c r="H203" s="7">
        <f>'Respuestas de formulario 1'!S203</f>
        <v>2023</v>
      </c>
      <c r="I203" s="7" t="str">
        <f>IFERROR(__xludf.DUMMYFUNCTION("IF('Respuestas de formulario 1'!I203="""","""",TO_TEXT('Respuestas de formulario 1'!I203))"),"Particular")</f>
        <v>Particular</v>
      </c>
      <c r="J203" s="7" t="str">
        <f>IFERROR(__xludf.DUMMYFUNCTION("IF('Respuestas de formulario 1'!J203&lt;&gt;"""",UPPER(TRIM(TO_TEXT('Respuestas de formulario 1'!J203))),IF('Respuestas de formulario 1'!O203&lt;&gt;"""",UPPER(TRIM(TO_TEXT('Respuestas de formulario 1'!O203))),""""))"),"")</f>
        <v/>
      </c>
      <c r="K203" s="7" t="str">
        <f>IFERROR(__xludf.DUMMYFUNCTION("IF('Respuestas de formulario 1'!K203="""","""",TO_TEXT('Respuestas de formulario 1'!K203))"),"")</f>
        <v/>
      </c>
      <c r="L203" s="7" t="str">
        <f>IFERROR(__xludf.DUMMYFUNCTION("IF('Respuestas de formulario 1'!L203="""","""",TO_TEXT('Respuestas de formulario 1'!L203))"),"")</f>
        <v/>
      </c>
      <c r="M203" s="7" t="str">
        <f>IFERROR(__xludf.DUMMYFUNCTION("IF('Respuestas de formulario 1'!M203="""","""",TO_TEXT('Respuestas de formulario 1'!M203))"),"")</f>
        <v/>
      </c>
      <c r="N203" s="7">
        <f t="shared" si="1"/>
        <v>2023</v>
      </c>
      <c r="O203" s="7" t="str">
        <f t="shared" si="2"/>
        <v>junio</v>
      </c>
      <c r="P203" s="7" t="s">
        <v>4609</v>
      </c>
    </row>
    <row r="204">
      <c r="A204" s="19">
        <f>'Respuestas de formulario 1'!A204</f>
        <v>45107.77327</v>
      </c>
      <c r="B204" s="7" t="str">
        <f>'Respuestas de formulario 1'!B204</f>
        <v>Martinez </v>
      </c>
      <c r="C204" s="7" t="str">
        <f>'Respuestas de formulario 1'!C204</f>
        <v>Haydee </v>
      </c>
      <c r="D204" s="7" t="str">
        <f>'Respuestas de formulario 1'!D204</f>
        <v>m.oviedomarce@gmail.com</v>
      </c>
      <c r="E204" s="20">
        <f>'Respuestas de formulario 1'!E204</f>
        <v>45107</v>
      </c>
      <c r="F204" s="7">
        <f>'Respuestas de formulario 1'!F204</f>
        <v>3749490</v>
      </c>
      <c r="G204" s="7" t="str">
        <f>IFERROR(__xludf.DUMMYFUNCTION("IF('Respuestas de formulario 1'!G204="""","""",IF(LEFT(REGEXREPLACE(TO_TEXT('Respuestas de formulario 1'!G204),""[^0-9]"",""""),2)=""54"",""+""&amp;REGEXREPLACE(TO_TEXT('Respuestas de formulario 1'!G204),""[^0-9]"",""""),""+54""&amp;REGEXREPLACE(TO_TEXT('Respuest"&amp;"as de formulario 1'!G204),""[^0-9]"","""")))"),"+543512357242")</f>
        <v>+543512357242</v>
      </c>
      <c r="H204" s="7">
        <f>'Respuestas de formulario 1'!S204</f>
        <v>2023</v>
      </c>
      <c r="I204" s="7" t="str">
        <f>IFERROR(__xludf.DUMMYFUNCTION("IF('Respuestas de formulario 1'!I204="""","""",TO_TEXT('Respuestas de formulario 1'!I204))"),"Particular")</f>
        <v>Particular</v>
      </c>
      <c r="J204" s="7" t="str">
        <f>IFERROR(__xludf.DUMMYFUNCTION("IF('Respuestas de formulario 1'!J204&lt;&gt;"""",UPPER(TRIM(TO_TEXT('Respuestas de formulario 1'!J204))),IF('Respuestas de formulario 1'!O204&lt;&gt;"""",UPPER(TRIM(TO_TEXT('Respuestas de formulario 1'!O204))),""""))"),"")</f>
        <v/>
      </c>
      <c r="K204" s="7" t="str">
        <f>IFERROR(__xludf.DUMMYFUNCTION("IF('Respuestas de formulario 1'!K204="""","""",TO_TEXT('Respuestas de formulario 1'!K204))"),"")</f>
        <v/>
      </c>
      <c r="L204" s="7" t="str">
        <f>IFERROR(__xludf.DUMMYFUNCTION("IF('Respuestas de formulario 1'!L204="""","""",TO_TEXT('Respuestas de formulario 1'!L204))"),"")</f>
        <v/>
      </c>
      <c r="M204" s="7" t="str">
        <f>IFERROR(__xludf.DUMMYFUNCTION("IF('Respuestas de formulario 1'!M204="""","""",TO_TEXT('Respuestas de formulario 1'!M204))"),"")</f>
        <v/>
      </c>
      <c r="N204" s="7">
        <f t="shared" si="1"/>
        <v>2023</v>
      </c>
      <c r="O204" s="7" t="str">
        <f t="shared" si="2"/>
        <v>junio</v>
      </c>
      <c r="P204" s="7" t="s">
        <v>4611</v>
      </c>
    </row>
    <row r="205">
      <c r="A205" s="19">
        <f>'Respuestas de formulario 1'!A205</f>
        <v>45110.39509</v>
      </c>
      <c r="B205" s="7" t="str">
        <f>'Respuestas de formulario 1'!B205</f>
        <v>Cortez</v>
      </c>
      <c r="C205" s="7" t="str">
        <f>'Respuestas de formulario 1'!C205</f>
        <v>Bárbara Melisa </v>
      </c>
      <c r="D205" s="7" t="str">
        <f>'Respuestas de formulario 1'!D205</f>
        <v>melisacortez@hotmail.com.ar</v>
      </c>
      <c r="E205" s="20">
        <f>'Respuestas de formulario 1'!E205</f>
        <v>30315</v>
      </c>
      <c r="F205" s="7">
        <f>'Respuestas de formulario 1'!F205</f>
        <v>29858145</v>
      </c>
      <c r="G205" s="7" t="str">
        <f>IFERROR(__xludf.DUMMYFUNCTION("IF('Respuestas de formulario 1'!G205="""","""",IF(LEFT(REGEXREPLACE(TO_TEXT('Respuestas de formulario 1'!G205),""[^0-9]"",""""),2)=""54"",""+""&amp;REGEXREPLACE(TO_TEXT('Respuestas de formulario 1'!G205),""[^0-9]"",""""),""+54""&amp;REGEXREPLACE(TO_TEXT('Respuest"&amp;"as de formulario 1'!G205),""[^0-9]"","""")))"),"+543513272243")</f>
        <v>+543513272243</v>
      </c>
      <c r="H205" s="7">
        <f>'Respuestas de formulario 1'!S205</f>
        <v>2023</v>
      </c>
      <c r="I205" s="7" t="str">
        <f>IFERROR(__xludf.DUMMYFUNCTION("IF('Respuestas de formulario 1'!I205="""","""",TO_TEXT('Respuestas de formulario 1'!I205))"),"Obra social")</f>
        <v>Obra social</v>
      </c>
      <c r="J205" s="7" t="str">
        <f>IFERROR(__xludf.DUMMYFUNCTION("IF('Respuestas de formulario 1'!J205&lt;&gt;"""",UPPER(TRIM(TO_TEXT('Respuestas de formulario 1'!J205))),IF('Respuestas de formulario 1'!O205&lt;&gt;"""",UPPER(TRIM(TO_TEXT('Respuestas de formulario 1'!O205))),""""))"),"DASPU")</f>
        <v>DASPU</v>
      </c>
      <c r="K205" s="7" t="str">
        <f>IFERROR(__xludf.DUMMYFUNCTION("IF('Respuestas de formulario 1'!K205="""","""",TO_TEXT('Respuestas de formulario 1'!K205))"),"")</f>
        <v/>
      </c>
      <c r="L205" s="7" t="str">
        <f>IFERROR(__xludf.DUMMYFUNCTION("IF('Respuestas de formulario 1'!L205="""","""",TO_TEXT('Respuestas de formulario 1'!L205))"),"")</f>
        <v/>
      </c>
      <c r="M205" s="7" t="str">
        <f>IFERROR(__xludf.DUMMYFUNCTION("IF('Respuestas de formulario 1'!M205="""","""",TO_TEXT('Respuestas de formulario 1'!M205))"),"")</f>
        <v/>
      </c>
      <c r="N205" s="7">
        <f t="shared" si="1"/>
        <v>2023</v>
      </c>
      <c r="O205" s="7" t="str">
        <f t="shared" si="2"/>
        <v>julio</v>
      </c>
      <c r="P205" s="7" t="s">
        <v>4613</v>
      </c>
    </row>
    <row r="206">
      <c r="A206" s="19">
        <f>'Respuestas de formulario 1'!A206</f>
        <v>45110.6233</v>
      </c>
      <c r="B206" s="7" t="str">
        <f>'Respuestas de formulario 1'!B206</f>
        <v>Lastra</v>
      </c>
      <c r="C206" s="7" t="str">
        <f>'Respuestas de formulario 1'!C206</f>
        <v>Alberto</v>
      </c>
      <c r="D206" s="7" t="str">
        <f>'Respuestas de formulario 1'!D206</f>
        <v/>
      </c>
      <c r="E206" s="20">
        <f>'Respuestas de formulario 1'!E206</f>
        <v>19428</v>
      </c>
      <c r="F206" s="7">
        <f>'Respuestas de formulario 1'!F206</f>
        <v>10420633</v>
      </c>
      <c r="G206" s="7" t="str">
        <f>IFERROR(__xludf.DUMMYFUNCTION("IF('Respuestas de formulario 1'!G206="""","""",IF(LEFT(REGEXREPLACE(TO_TEXT('Respuestas de formulario 1'!G206),""[^0-9]"",""""),2)=""54"",""+""&amp;REGEXREPLACE(TO_TEXT('Respuestas de formulario 1'!G206),""[^0-9]"",""""),""+54""&amp;REGEXREPLACE(TO_TEXT('Respuest"&amp;"as de formulario 1'!G206),""[^0-9]"","""")))"),"+543517664617")</f>
        <v>+543517664617</v>
      </c>
      <c r="H206" s="7">
        <f>'Respuestas de formulario 1'!S206</f>
        <v>2023</v>
      </c>
      <c r="I206" s="7" t="str">
        <f>IFERROR(__xludf.DUMMYFUNCTION("IF('Respuestas de formulario 1'!I206="""","""",TO_TEXT('Respuestas de formulario 1'!I206))"),"Obra social")</f>
        <v>Obra social</v>
      </c>
      <c r="J206" s="7" t="str">
        <f>IFERROR(__xludf.DUMMYFUNCTION("IF('Respuestas de formulario 1'!J206&lt;&gt;"""",UPPER(TRIM(TO_TEXT('Respuestas de formulario 1'!J206))),IF('Respuestas de formulario 1'!O206&lt;&gt;"""",UPPER(TRIM(TO_TEXT('Respuestas de formulario 1'!O206))),""""))"),"APM")</f>
        <v>APM</v>
      </c>
      <c r="K206" s="7" t="str">
        <f>IFERROR(__xludf.DUMMYFUNCTION("IF('Respuestas de formulario 1'!K206="""","""",TO_TEXT('Respuestas de formulario 1'!K206))"),"")</f>
        <v/>
      </c>
      <c r="L206" s="7" t="str">
        <f>IFERROR(__xludf.DUMMYFUNCTION("IF('Respuestas de formulario 1'!L206="""","""",TO_TEXT('Respuestas de formulario 1'!L206))"),"")</f>
        <v/>
      </c>
      <c r="M206" s="7" t="str">
        <f>IFERROR(__xludf.DUMMYFUNCTION("IF('Respuestas de formulario 1'!M206="""","""",TO_TEXT('Respuestas de formulario 1'!M206))"),"")</f>
        <v/>
      </c>
      <c r="N206" s="7">
        <f t="shared" si="1"/>
        <v>2023</v>
      </c>
      <c r="O206" s="7" t="str">
        <f t="shared" si="2"/>
        <v>julio</v>
      </c>
      <c r="P206" s="7" t="s">
        <v>4615</v>
      </c>
    </row>
    <row r="207">
      <c r="A207" s="19">
        <f>'Respuestas de formulario 1'!A207</f>
        <v>45110.74514</v>
      </c>
      <c r="B207" s="7" t="str">
        <f>'Respuestas de formulario 1'!B207</f>
        <v>Labraga</v>
      </c>
      <c r="C207" s="7" t="str">
        <f>'Respuestas de formulario 1'!C207</f>
        <v>Mercedes</v>
      </c>
      <c r="D207" s="7" t="str">
        <f>'Respuestas de formulario 1'!D207</f>
        <v>labraga3204@gmail.com</v>
      </c>
      <c r="E207" s="20">
        <f>'Respuestas de formulario 1'!E207</f>
        <v>22912</v>
      </c>
      <c r="F207" s="7">
        <f>'Respuestas de formulario 1'!F207</f>
        <v>16322891</v>
      </c>
      <c r="G207" s="7" t="str">
        <f>IFERROR(__xludf.DUMMYFUNCTION("IF('Respuestas de formulario 1'!G207="""","""",IF(LEFT(REGEXREPLACE(TO_TEXT('Respuestas de formulario 1'!G207),""[^0-9]"",""""),2)=""54"",""+""&amp;REGEXREPLACE(TO_TEXT('Respuestas de formulario 1'!G207),""[^0-9]"",""""),""+54""&amp;REGEXREPLACE(TO_TEXT('Respuest"&amp;"as de formulario 1'!G207),""[^0-9]"","""")))"),"+542944663487")</f>
        <v>+542944663487</v>
      </c>
      <c r="H207" s="7">
        <f>'Respuestas de formulario 1'!S207</f>
        <v>2023</v>
      </c>
      <c r="I207" s="7" t="str">
        <f>IFERROR(__xludf.DUMMYFUNCTION("IF('Respuestas de formulario 1'!I207="""","""",TO_TEXT('Respuestas de formulario 1'!I207))"),"Obra social")</f>
        <v>Obra social</v>
      </c>
      <c r="J207" s="7" t="str">
        <f>IFERROR(__xludf.DUMMYFUNCTION("IF('Respuestas de formulario 1'!J207&lt;&gt;"""",UPPER(TRIM(TO_TEXT('Respuestas de formulario 1'!J207))),IF('Respuestas de formulario 1'!O207&lt;&gt;"""",UPPER(TRIM(TO_TEXT('Respuestas de formulario 1'!O207))),""""))"),"APROSS")</f>
        <v>APROSS</v>
      </c>
      <c r="K207" s="7" t="str">
        <f>IFERROR(__xludf.DUMMYFUNCTION("IF('Respuestas de formulario 1'!K207="""","""",TO_TEXT('Respuestas de formulario 1'!K207))"),"")</f>
        <v/>
      </c>
      <c r="L207" s="7" t="str">
        <f>IFERROR(__xludf.DUMMYFUNCTION("IF('Respuestas de formulario 1'!L207="""","""",TO_TEXT('Respuestas de formulario 1'!L207))"),"")</f>
        <v/>
      </c>
      <c r="M207" s="7" t="str">
        <f>IFERROR(__xludf.DUMMYFUNCTION("IF('Respuestas de formulario 1'!M207="""","""",TO_TEXT('Respuestas de formulario 1'!M207))"),"")</f>
        <v/>
      </c>
      <c r="N207" s="7">
        <f t="shared" si="1"/>
        <v>2023</v>
      </c>
      <c r="O207" s="7" t="str">
        <f t="shared" si="2"/>
        <v>julio</v>
      </c>
      <c r="P207" s="7" t="s">
        <v>4617</v>
      </c>
    </row>
    <row r="208">
      <c r="A208" s="19">
        <f>'Respuestas de formulario 1'!A208</f>
        <v>45110.84843</v>
      </c>
      <c r="B208" s="7" t="str">
        <f>'Respuestas de formulario 1'!B208</f>
        <v>Aranda </v>
      </c>
      <c r="C208" s="7" t="str">
        <f>'Respuestas de formulario 1'!C208</f>
        <v>Estela monica </v>
      </c>
      <c r="D208" s="7" t="str">
        <f>'Respuestas de formulario 1'!D208</f>
        <v>arandamoni@hotmail.com</v>
      </c>
      <c r="E208" s="20">
        <f>'Respuestas de formulario 1'!E208</f>
        <v>25003</v>
      </c>
      <c r="F208" s="7">
        <f>'Respuestas de formulario 1'!F208</f>
        <v>20314883</v>
      </c>
      <c r="G208" s="7" t="str">
        <f>IFERROR(__xludf.DUMMYFUNCTION("IF('Respuestas de formulario 1'!G208="""","""",IF(LEFT(REGEXREPLACE(TO_TEXT('Respuestas de formulario 1'!G208),""[^0-9]"",""""),2)=""54"",""+""&amp;REGEXREPLACE(TO_TEXT('Respuestas de formulario 1'!G208),""[^0-9]"",""""),""+54""&amp;REGEXREPLACE(TO_TEXT('Respuest"&amp;"as de formulario 1'!G208),""[^0-9]"","""")))"),"+543512804614")</f>
        <v>+543512804614</v>
      </c>
      <c r="H208" s="7">
        <f>'Respuestas de formulario 1'!S208</f>
        <v>2023</v>
      </c>
      <c r="I208" s="7" t="str">
        <f>IFERROR(__xludf.DUMMYFUNCTION("IF('Respuestas de formulario 1'!I208="""","""",TO_TEXT('Respuestas de formulario 1'!I208))"),"Obra social")</f>
        <v>Obra social</v>
      </c>
      <c r="J208" s="7" t="str">
        <f>IFERROR(__xludf.DUMMYFUNCTION("IF('Respuestas de formulario 1'!J208&lt;&gt;"""",UPPER(TRIM(TO_TEXT('Respuestas de formulario 1'!J208))),IF('Respuestas de formulario 1'!O208&lt;&gt;"""",UPPER(TRIM(TO_TEXT('Respuestas de formulario 1'!O208))),""""))"),"APROSS")</f>
        <v>APROSS</v>
      </c>
      <c r="K208" s="7" t="str">
        <f>IFERROR(__xludf.DUMMYFUNCTION("IF('Respuestas de formulario 1'!K208="""","""",TO_TEXT('Respuestas de formulario 1'!K208))"),"")</f>
        <v/>
      </c>
      <c r="L208" s="7" t="str">
        <f>IFERROR(__xludf.DUMMYFUNCTION("IF('Respuestas de formulario 1'!L208="""","""",TO_TEXT('Respuestas de formulario 1'!L208))"),"")</f>
        <v/>
      </c>
      <c r="M208" s="7" t="str">
        <f>IFERROR(__xludf.DUMMYFUNCTION("IF('Respuestas de formulario 1'!M208="""","""",TO_TEXT('Respuestas de formulario 1'!M208))"),"")</f>
        <v/>
      </c>
      <c r="N208" s="7">
        <f t="shared" si="1"/>
        <v>2023</v>
      </c>
      <c r="O208" s="7" t="str">
        <f t="shared" si="2"/>
        <v>julio</v>
      </c>
      <c r="P208" s="7" t="s">
        <v>4619</v>
      </c>
    </row>
    <row r="209">
      <c r="A209" s="19">
        <f>'Respuestas de formulario 1'!A209</f>
        <v>45110.86271</v>
      </c>
      <c r="B209" s="7" t="str">
        <f>'Respuestas de formulario 1'!B209</f>
        <v>Heinzen</v>
      </c>
      <c r="C209" s="7" t="str">
        <f>'Respuestas de formulario 1'!C209</f>
        <v>Lidia Claudia</v>
      </c>
      <c r="D209" s="7" t="str">
        <f>'Respuestas de formulario 1'!D209</f>
        <v>indiaheinzen@gmial.com</v>
      </c>
      <c r="E209" s="20">
        <f>'Respuestas de formulario 1'!E209</f>
        <v>32509</v>
      </c>
      <c r="F209" s="7">
        <f>'Respuestas de formulario 1'!F209</f>
        <v>34359932</v>
      </c>
      <c r="G209" s="7" t="str">
        <f>IFERROR(__xludf.DUMMYFUNCTION("IF('Respuestas de formulario 1'!G209="""","""",IF(LEFT(REGEXREPLACE(TO_TEXT('Respuestas de formulario 1'!G209),""[^0-9]"",""""),2)=""54"",""+""&amp;REGEXREPLACE(TO_TEXT('Respuestas de formulario 1'!G209),""[^0-9]"",""""),""+54""&amp;REGEXREPLACE(TO_TEXT('Respuest"&amp;"as de formulario 1'!G209),""[^0-9]"","""")))"),"+543496547548")</f>
        <v>+543496547548</v>
      </c>
      <c r="H209" s="7">
        <f>'Respuestas de formulario 1'!S209</f>
        <v>2023</v>
      </c>
      <c r="I209" s="7" t="str">
        <f>IFERROR(__xludf.DUMMYFUNCTION("IF('Respuestas de formulario 1'!I209="""","""",TO_TEXT('Respuestas de formulario 1'!I209))"),"Particular")</f>
        <v>Particular</v>
      </c>
      <c r="J209" s="7" t="str">
        <f>IFERROR(__xludf.DUMMYFUNCTION("IF('Respuestas de formulario 1'!J209&lt;&gt;"""",UPPER(TRIM(TO_TEXT('Respuestas de formulario 1'!J209))),IF('Respuestas de formulario 1'!O209&lt;&gt;"""",UPPER(TRIM(TO_TEXT('Respuestas de formulario 1'!O209))),""""))"),"")</f>
        <v/>
      </c>
      <c r="K209" s="7" t="str">
        <f>IFERROR(__xludf.DUMMYFUNCTION("IF('Respuestas de formulario 1'!K209="""","""",TO_TEXT('Respuestas de formulario 1'!K209))"),"")</f>
        <v/>
      </c>
      <c r="L209" s="7" t="str">
        <f>IFERROR(__xludf.DUMMYFUNCTION("IF('Respuestas de formulario 1'!L209="""","""",TO_TEXT('Respuestas de formulario 1'!L209))"),"")</f>
        <v/>
      </c>
      <c r="M209" s="7" t="str">
        <f>IFERROR(__xludf.DUMMYFUNCTION("IF('Respuestas de formulario 1'!M209="""","""",TO_TEXT('Respuestas de formulario 1'!M209))"),"")</f>
        <v/>
      </c>
      <c r="N209" s="7">
        <f t="shared" si="1"/>
        <v>2023</v>
      </c>
      <c r="O209" s="7" t="str">
        <f t="shared" si="2"/>
        <v>julio</v>
      </c>
      <c r="P209" s="7" t="s">
        <v>4621</v>
      </c>
    </row>
    <row r="210">
      <c r="A210" s="19">
        <f>'Respuestas de formulario 1'!A210</f>
        <v>45111.86217</v>
      </c>
      <c r="B210" s="7" t="str">
        <f>'Respuestas de formulario 1'!B210</f>
        <v>Capdevila</v>
      </c>
      <c r="C210" s="7" t="str">
        <f>'Respuestas de formulario 1'!C210</f>
        <v>Leonardo</v>
      </c>
      <c r="D210" s="7" t="str">
        <f>'Respuestas de formulario 1'!D210</f>
        <v>leo.capdevila@hotmail.com</v>
      </c>
      <c r="E210" s="20">
        <f>'Respuestas de formulario 1'!E210</f>
        <v>31591</v>
      </c>
      <c r="F210" s="7">
        <f>'Respuestas de formulario 1'!F210</f>
        <v>32346839</v>
      </c>
      <c r="G210" s="7" t="str">
        <f>IFERROR(__xludf.DUMMYFUNCTION("IF('Respuestas de formulario 1'!G210="""","""",IF(LEFT(REGEXREPLACE(TO_TEXT('Respuestas de formulario 1'!G210),""[^0-9]"",""""),2)=""54"",""+""&amp;REGEXREPLACE(TO_TEXT('Respuestas de formulario 1'!G210),""[^0-9]"",""""),""+54""&amp;REGEXREPLACE(TO_TEXT('Respuest"&amp;"as de formulario 1'!G210),""[^0-9]"","""")))"),"+543512482920")</f>
        <v>+543512482920</v>
      </c>
      <c r="H210" s="7">
        <f>'Respuestas de formulario 1'!S210</f>
        <v>2023</v>
      </c>
      <c r="I210" s="7" t="str">
        <f>IFERROR(__xludf.DUMMYFUNCTION("IF('Respuestas de formulario 1'!I210="""","""",TO_TEXT('Respuestas de formulario 1'!I210))"),"Obra social")</f>
        <v>Obra social</v>
      </c>
      <c r="J210" s="7" t="str">
        <f>IFERROR(__xludf.DUMMYFUNCTION("IF('Respuestas de formulario 1'!J210&lt;&gt;"""",UPPER(TRIM(TO_TEXT('Respuestas de formulario 1'!J210))),IF('Respuestas de formulario 1'!O210&lt;&gt;"""",UPPER(TRIM(TO_TEXT('Respuestas de formulario 1'!O210))),""""))"),"OMINT")</f>
        <v>OMINT</v>
      </c>
      <c r="K210" s="7" t="str">
        <f>IFERROR(__xludf.DUMMYFUNCTION("IF('Respuestas de formulario 1'!K210="""","""",TO_TEXT('Respuestas de formulario 1'!K210))"),"")</f>
        <v/>
      </c>
      <c r="L210" s="7" t="str">
        <f>IFERROR(__xludf.DUMMYFUNCTION("IF('Respuestas de formulario 1'!L210="""","""",TO_TEXT('Respuestas de formulario 1'!L210))"),"")</f>
        <v/>
      </c>
      <c r="M210" s="7" t="str">
        <f>IFERROR(__xludf.DUMMYFUNCTION("IF('Respuestas de formulario 1'!M210="""","""",TO_TEXT('Respuestas de formulario 1'!M210))"),"")</f>
        <v/>
      </c>
      <c r="N210" s="7">
        <f t="shared" si="1"/>
        <v>2023</v>
      </c>
      <c r="O210" s="7" t="str">
        <f t="shared" si="2"/>
        <v>julio</v>
      </c>
      <c r="P210" s="7" t="s">
        <v>4623</v>
      </c>
    </row>
    <row r="211">
      <c r="A211" s="19">
        <f>'Respuestas de formulario 1'!A211</f>
        <v>45112.41862</v>
      </c>
      <c r="B211" s="7" t="str">
        <f>'Respuestas de formulario 1'!B211</f>
        <v>Sánchez Gavier</v>
      </c>
      <c r="C211" s="7" t="str">
        <f>'Respuestas de formulario 1'!C211</f>
        <v>Joaquín </v>
      </c>
      <c r="D211" s="7" t="str">
        <f>'Respuestas de formulario 1'!D211</f>
        <v>Sanchezgavierj@gmail.com</v>
      </c>
      <c r="E211" s="20">
        <f>'Respuestas de formulario 1'!E211</f>
        <v>36227</v>
      </c>
      <c r="F211" s="7">
        <f>'Respuestas de formulario 1'!F211</f>
        <v>41711554</v>
      </c>
      <c r="G211" s="7" t="str">
        <f>IFERROR(__xludf.DUMMYFUNCTION("IF('Respuestas de formulario 1'!G211="""","""",IF(LEFT(REGEXREPLACE(TO_TEXT('Respuestas de formulario 1'!G211),""[^0-9]"",""""),2)=""54"",""+""&amp;REGEXREPLACE(TO_TEXT('Respuestas de formulario 1'!G211),""[^0-9]"",""""),""+54""&amp;REGEXREPLACE(TO_TEXT('Respuest"&amp;"as de formulario 1'!G211),""[^0-9]"","""")))"),"+543518082314")</f>
        <v>+543518082314</v>
      </c>
      <c r="H211" s="7">
        <f>'Respuestas de formulario 1'!S211</f>
        <v>2023</v>
      </c>
      <c r="I211" s="7" t="str">
        <f>IFERROR(__xludf.DUMMYFUNCTION("IF('Respuestas de formulario 1'!I211="""","""",TO_TEXT('Respuestas de formulario 1'!I211))"),"Particular")</f>
        <v>Particular</v>
      </c>
      <c r="J211" s="7" t="str">
        <f>IFERROR(__xludf.DUMMYFUNCTION("IF('Respuestas de formulario 1'!J211&lt;&gt;"""",UPPER(TRIM(TO_TEXT('Respuestas de formulario 1'!J211))),IF('Respuestas de formulario 1'!O211&lt;&gt;"""",UPPER(TRIM(TO_TEXT('Respuestas de formulario 1'!O211))),""""))"),"")</f>
        <v/>
      </c>
      <c r="K211" s="7" t="str">
        <f>IFERROR(__xludf.DUMMYFUNCTION("IF('Respuestas de formulario 1'!K211="""","""",TO_TEXT('Respuestas de formulario 1'!K211))"),"")</f>
        <v/>
      </c>
      <c r="L211" s="7" t="str">
        <f>IFERROR(__xludf.DUMMYFUNCTION("IF('Respuestas de formulario 1'!L211="""","""",TO_TEXT('Respuestas de formulario 1'!L211))"),"")</f>
        <v/>
      </c>
      <c r="M211" s="7" t="str">
        <f>IFERROR(__xludf.DUMMYFUNCTION("IF('Respuestas de formulario 1'!M211="""","""",TO_TEXT('Respuestas de formulario 1'!M211))"),"")</f>
        <v/>
      </c>
      <c r="N211" s="7">
        <f t="shared" si="1"/>
        <v>2023</v>
      </c>
      <c r="O211" s="7" t="str">
        <f t="shared" si="2"/>
        <v>julio</v>
      </c>
      <c r="P211" s="7" t="s">
        <v>4625</v>
      </c>
    </row>
    <row r="212">
      <c r="A212" s="19">
        <f>'Respuestas de formulario 1'!A212</f>
        <v>45112.79439</v>
      </c>
      <c r="B212" s="7" t="str">
        <f>'Respuestas de formulario 1'!B212</f>
        <v>Tambussi</v>
      </c>
      <c r="C212" s="7" t="str">
        <f>'Respuestas de formulario 1'!C212</f>
        <v>Raquel</v>
      </c>
      <c r="D212" s="7" t="str">
        <f>'Respuestas de formulario 1'!D212</f>
        <v/>
      </c>
      <c r="E212" s="20">
        <f>'Respuestas de formulario 1'!E212</f>
        <v>17510</v>
      </c>
      <c r="F212" s="7">
        <f>'Respuestas de formulario 1'!F212</f>
        <v>5720058</v>
      </c>
      <c r="G212" s="7" t="str">
        <f>IFERROR(__xludf.DUMMYFUNCTION("IF('Respuestas de formulario 1'!G212="""","""",IF(LEFT(REGEXREPLACE(TO_TEXT('Respuestas de formulario 1'!G212),""[^0-9]"",""""),2)=""54"",""+""&amp;REGEXREPLACE(TO_TEXT('Respuestas de formulario 1'!G212),""[^0-9]"",""""),""+54""&amp;REGEXREPLACE(TO_TEXT('Respuest"&amp;"as de formulario 1'!G212),""[^0-9]"","""")))"),"+543514084599")</f>
        <v>+543514084599</v>
      </c>
      <c r="H212" s="7">
        <f>'Respuestas de formulario 1'!S212</f>
        <v>2023</v>
      </c>
      <c r="I212" s="7" t="str">
        <f>IFERROR(__xludf.DUMMYFUNCTION("IF('Respuestas de formulario 1'!I212="""","""",TO_TEXT('Respuestas de formulario 1'!I212))"),"Particular")</f>
        <v>Particular</v>
      </c>
      <c r="J212" s="7" t="str">
        <f>IFERROR(__xludf.DUMMYFUNCTION("IF('Respuestas de formulario 1'!J212&lt;&gt;"""",UPPER(TRIM(TO_TEXT('Respuestas de formulario 1'!J212))),IF('Respuestas de formulario 1'!O212&lt;&gt;"""",UPPER(TRIM(TO_TEXT('Respuestas de formulario 1'!O212))),""""))"),"")</f>
        <v/>
      </c>
      <c r="K212" s="7" t="str">
        <f>IFERROR(__xludf.DUMMYFUNCTION("IF('Respuestas de formulario 1'!K212="""","""",TO_TEXT('Respuestas de formulario 1'!K212))"),"")</f>
        <v/>
      </c>
      <c r="L212" s="7" t="str">
        <f>IFERROR(__xludf.DUMMYFUNCTION("IF('Respuestas de formulario 1'!L212="""","""",TO_TEXT('Respuestas de formulario 1'!L212))"),"")</f>
        <v/>
      </c>
      <c r="M212" s="7" t="str">
        <f>IFERROR(__xludf.DUMMYFUNCTION("IF('Respuestas de formulario 1'!M212="""","""",TO_TEXT('Respuestas de formulario 1'!M212))"),"")</f>
        <v/>
      </c>
      <c r="N212" s="7">
        <f t="shared" si="1"/>
        <v>2023</v>
      </c>
      <c r="O212" s="7" t="str">
        <f t="shared" si="2"/>
        <v>julio</v>
      </c>
      <c r="P212" s="7" t="s">
        <v>4627</v>
      </c>
    </row>
    <row r="213">
      <c r="A213" s="19">
        <f>'Respuestas de formulario 1'!A213</f>
        <v>45113.77731</v>
      </c>
      <c r="B213" s="7" t="str">
        <f>'Respuestas de formulario 1'!B213</f>
        <v>Correa</v>
      </c>
      <c r="C213" s="7" t="str">
        <f>'Respuestas de formulario 1'!C213</f>
        <v>Jonathan</v>
      </c>
      <c r="D213" s="7" t="str">
        <f>'Respuestas de formulario 1'!D213</f>
        <v>correin_88@hotmail.com</v>
      </c>
      <c r="E213" s="20">
        <f>'Respuestas de formulario 1'!E213</f>
        <v>32273</v>
      </c>
      <c r="F213" s="7">
        <f>'Respuestas de formulario 1'!F213</f>
        <v>33750088</v>
      </c>
      <c r="G213" s="7" t="str">
        <f>IFERROR(__xludf.DUMMYFUNCTION("IF('Respuestas de formulario 1'!G213="""","""",IF(LEFT(REGEXREPLACE(TO_TEXT('Respuestas de formulario 1'!G213),""[^0-9]"",""""),2)=""54"",""+""&amp;REGEXREPLACE(TO_TEXT('Respuestas de formulario 1'!G213),""[^0-9]"",""""),""+54""&amp;REGEXREPLACE(TO_TEXT('Respuest"&amp;"as de formulario 1'!G213),""[^0-9]"","""")))"),"+543516638041")</f>
        <v>+543516638041</v>
      </c>
      <c r="H213" s="7">
        <f>'Respuestas de formulario 1'!S213</f>
        <v>2023</v>
      </c>
      <c r="I213" s="7" t="str">
        <f>IFERROR(__xludf.DUMMYFUNCTION("IF('Respuestas de formulario 1'!I213="""","""",TO_TEXT('Respuestas de formulario 1'!I213))"),"Particular")</f>
        <v>Particular</v>
      </c>
      <c r="J213" s="7" t="str">
        <f>IFERROR(__xludf.DUMMYFUNCTION("IF('Respuestas de formulario 1'!J213&lt;&gt;"""",UPPER(TRIM(TO_TEXT('Respuestas de formulario 1'!J213))),IF('Respuestas de formulario 1'!O213&lt;&gt;"""",UPPER(TRIM(TO_TEXT('Respuestas de formulario 1'!O213))),""""))"),"")</f>
        <v/>
      </c>
      <c r="K213" s="7" t="str">
        <f>IFERROR(__xludf.DUMMYFUNCTION("IF('Respuestas de formulario 1'!K213="""","""",TO_TEXT('Respuestas de formulario 1'!K213))"),"")</f>
        <v/>
      </c>
      <c r="L213" s="7" t="str">
        <f>IFERROR(__xludf.DUMMYFUNCTION("IF('Respuestas de formulario 1'!L213="""","""",TO_TEXT('Respuestas de formulario 1'!L213))"),"")</f>
        <v/>
      </c>
      <c r="M213" s="7" t="str">
        <f>IFERROR(__xludf.DUMMYFUNCTION("IF('Respuestas de formulario 1'!M213="""","""",TO_TEXT('Respuestas de formulario 1'!M213))"),"")</f>
        <v/>
      </c>
      <c r="N213" s="7">
        <f t="shared" si="1"/>
        <v>2023</v>
      </c>
      <c r="O213" s="7" t="str">
        <f t="shared" si="2"/>
        <v>julio</v>
      </c>
      <c r="P213" s="7" t="s">
        <v>4629</v>
      </c>
    </row>
    <row r="214">
      <c r="A214" s="19">
        <f>'Respuestas de formulario 1'!A214</f>
        <v>45113.83555</v>
      </c>
      <c r="B214" s="7" t="str">
        <f>'Respuestas de formulario 1'!B214</f>
        <v>Eguiluz</v>
      </c>
      <c r="C214" s="7" t="str">
        <f>'Respuestas de formulario 1'!C214</f>
        <v>María Liliana</v>
      </c>
      <c r="D214" s="7" t="str">
        <f>'Respuestas de formulario 1'!D214</f>
        <v>lilianaeguiluz@gmail.com</v>
      </c>
      <c r="E214" s="20">
        <f>'Respuestas de formulario 1'!E214</f>
        <v>21061</v>
      </c>
      <c r="F214" s="7">
        <f>'Respuestas de formulario 1'!F214</f>
        <v>13015797</v>
      </c>
      <c r="G214" s="7" t="str">
        <f>IFERROR(__xludf.DUMMYFUNCTION("IF('Respuestas de formulario 1'!G214="""","""",IF(LEFT(REGEXREPLACE(TO_TEXT('Respuestas de formulario 1'!G214),""[^0-9]"",""""),2)=""54"",""+""&amp;REGEXREPLACE(TO_TEXT('Respuestas de formulario 1'!G214),""[^0-9]"",""""),""+54""&amp;REGEXREPLACE(TO_TEXT('Respuest"&amp;"as de formulario 1'!G214),""[^0-9]"","""")))"),"+543512411843")</f>
        <v>+543512411843</v>
      </c>
      <c r="H214" s="7">
        <f>'Respuestas de formulario 1'!S214</f>
        <v>2023</v>
      </c>
      <c r="I214" s="7" t="str">
        <f>IFERROR(__xludf.DUMMYFUNCTION("IF('Respuestas de formulario 1'!I214="""","""",TO_TEXT('Respuestas de formulario 1'!I214))"),"Obra social")</f>
        <v>Obra social</v>
      </c>
      <c r="J214" s="7" t="str">
        <f>IFERROR(__xludf.DUMMYFUNCTION("IF('Respuestas de formulario 1'!J214&lt;&gt;"""",UPPER(TRIM(TO_TEXT('Respuestas de formulario 1'!J214))),IF('Respuestas de formulario 1'!O214&lt;&gt;"""",UPPER(TRIM(TO_TEXT('Respuestas de formulario 1'!O214))),""""))"),"APROSS")</f>
        <v>APROSS</v>
      </c>
      <c r="K214" s="7" t="str">
        <f>IFERROR(__xludf.DUMMYFUNCTION("IF('Respuestas de formulario 1'!K214="""","""",TO_TEXT('Respuestas de formulario 1'!K214))"),"")</f>
        <v/>
      </c>
      <c r="L214" s="7" t="str">
        <f>IFERROR(__xludf.DUMMYFUNCTION("IF('Respuestas de formulario 1'!L214="""","""",TO_TEXT('Respuestas de formulario 1'!L214))"),"")</f>
        <v/>
      </c>
      <c r="M214" s="7" t="str">
        <f>IFERROR(__xludf.DUMMYFUNCTION("IF('Respuestas de formulario 1'!M214="""","""",TO_TEXT('Respuestas de formulario 1'!M214))"),"")</f>
        <v/>
      </c>
      <c r="N214" s="7">
        <f t="shared" si="1"/>
        <v>2023</v>
      </c>
      <c r="O214" s="7" t="str">
        <f t="shared" si="2"/>
        <v>julio</v>
      </c>
      <c r="P214" s="7" t="s">
        <v>4631</v>
      </c>
    </row>
    <row r="215">
      <c r="A215" s="19">
        <f>'Respuestas de formulario 1'!A215</f>
        <v>45114.85701</v>
      </c>
      <c r="B215" s="7" t="str">
        <f>'Respuestas de formulario 1'!B215</f>
        <v>Giannoboli </v>
      </c>
      <c r="C215" s="7" t="str">
        <f>'Respuestas de formulario 1'!C215</f>
        <v>Luciano </v>
      </c>
      <c r="D215" s="7" t="str">
        <f>'Respuestas de formulario 1'!D215</f>
        <v>luchogianno@hotmail.com</v>
      </c>
      <c r="E215" s="20">
        <f>'Respuestas de formulario 1'!E215</f>
        <v>27060</v>
      </c>
      <c r="F215" s="7">
        <f>'Respuestas de formulario 1'!F215</f>
        <v>23855018</v>
      </c>
      <c r="G215" s="7" t="str">
        <f>IFERROR(__xludf.DUMMYFUNCTION("IF('Respuestas de formulario 1'!G215="""","""",IF(LEFT(REGEXREPLACE(TO_TEXT('Respuestas de formulario 1'!G215),""[^0-9]"",""""),2)=""54"",""+""&amp;REGEXREPLACE(TO_TEXT('Respuestas de formulario 1'!G215),""[^0-9]"",""""),""+54""&amp;REGEXREPLACE(TO_TEXT('Respuest"&amp;"as de formulario 1'!G215),""[^0-9]"","""")))"),"+543516635355")</f>
        <v>+543516635355</v>
      </c>
      <c r="H215" s="7">
        <f>'Respuestas de formulario 1'!S215</f>
        <v>2023</v>
      </c>
      <c r="I215" s="7" t="str">
        <f>IFERROR(__xludf.DUMMYFUNCTION("IF('Respuestas de formulario 1'!I215="""","""",TO_TEXT('Respuestas de formulario 1'!I215))"),"Particular")</f>
        <v>Particular</v>
      </c>
      <c r="J215" s="7" t="str">
        <f>IFERROR(__xludf.DUMMYFUNCTION("IF('Respuestas de formulario 1'!J215&lt;&gt;"""",UPPER(TRIM(TO_TEXT('Respuestas de formulario 1'!J215))),IF('Respuestas de formulario 1'!O215&lt;&gt;"""",UPPER(TRIM(TO_TEXT('Respuestas de formulario 1'!O215))),""""))"),"")</f>
        <v/>
      </c>
      <c r="K215" s="7" t="str">
        <f>IFERROR(__xludf.DUMMYFUNCTION("IF('Respuestas de formulario 1'!K215="""","""",TO_TEXT('Respuestas de formulario 1'!K215))"),"")</f>
        <v/>
      </c>
      <c r="L215" s="7" t="str">
        <f>IFERROR(__xludf.DUMMYFUNCTION("IF('Respuestas de formulario 1'!L215="""","""",TO_TEXT('Respuestas de formulario 1'!L215))"),"")</f>
        <v/>
      </c>
      <c r="M215" s="7" t="str">
        <f>IFERROR(__xludf.DUMMYFUNCTION("IF('Respuestas de formulario 1'!M215="""","""",TO_TEXT('Respuestas de formulario 1'!M215))"),"")</f>
        <v/>
      </c>
      <c r="N215" s="7">
        <f t="shared" si="1"/>
        <v>2023</v>
      </c>
      <c r="O215" s="7" t="str">
        <f t="shared" si="2"/>
        <v>julio</v>
      </c>
      <c r="P215" s="7" t="s">
        <v>4633</v>
      </c>
    </row>
    <row r="216">
      <c r="A216" s="19">
        <f>'Respuestas de formulario 1'!A216</f>
        <v>45117.50744</v>
      </c>
      <c r="B216" s="7" t="str">
        <f>'Respuestas de formulario 1'!B216</f>
        <v>Altamirano</v>
      </c>
      <c r="C216" s="7" t="str">
        <f>'Respuestas de formulario 1'!C216</f>
        <v>Enzo Gustavo</v>
      </c>
      <c r="D216" s="7" t="str">
        <f>'Respuestas de formulario 1'!D216</f>
        <v>enzo.altamirano@hotmail.com</v>
      </c>
      <c r="E216" s="20">
        <f>'Respuestas de formulario 1'!E216</f>
        <v>-668324</v>
      </c>
      <c r="F216" s="7">
        <f>'Respuestas de formulario 1'!F216</f>
        <v>21408913</v>
      </c>
      <c r="G216" s="7" t="str">
        <f>IFERROR(__xludf.DUMMYFUNCTION("IF('Respuestas de formulario 1'!G216="""","""",IF(LEFT(REGEXREPLACE(TO_TEXT('Respuestas de formulario 1'!G216),""[^0-9]"",""""),2)=""54"",""+""&amp;REGEXREPLACE(TO_TEXT('Respuestas de formulario 1'!G216),""[^0-9]"",""""),""+54""&amp;REGEXREPLACE(TO_TEXT('Respuest"&amp;"as de formulario 1'!G216),""[^0-9]"","""")))"),"+543516777328")</f>
        <v>+543516777328</v>
      </c>
      <c r="H216" s="7">
        <f>'Respuestas de formulario 1'!S216</f>
        <v>2023</v>
      </c>
      <c r="I216" s="7" t="str">
        <f>IFERROR(__xludf.DUMMYFUNCTION("IF('Respuestas de formulario 1'!I216="""","""",TO_TEXT('Respuestas de formulario 1'!I216))"),"Obra social")</f>
        <v>Obra social</v>
      </c>
      <c r="J216" s="7" t="str">
        <f>IFERROR(__xludf.DUMMYFUNCTION("IF('Respuestas de formulario 1'!J216&lt;&gt;"""",UPPER(TRIM(TO_TEXT('Respuestas de formulario 1'!J216))),IF('Respuestas de formulario 1'!O216&lt;&gt;"""",UPPER(TRIM(TO_TEXT('Respuestas de formulario 1'!O216))),""""))"),"APROSS")</f>
        <v>APROSS</v>
      </c>
      <c r="K216" s="7" t="str">
        <f>IFERROR(__xludf.DUMMYFUNCTION("IF('Respuestas de formulario 1'!K216="""","""",TO_TEXT('Respuestas de formulario 1'!K216))"),"")</f>
        <v/>
      </c>
      <c r="L216" s="7" t="str">
        <f>IFERROR(__xludf.DUMMYFUNCTION("IF('Respuestas de formulario 1'!L216="""","""",TO_TEXT('Respuestas de formulario 1'!L216))"),"")</f>
        <v/>
      </c>
      <c r="M216" s="7" t="str">
        <f>IFERROR(__xludf.DUMMYFUNCTION("IF('Respuestas de formulario 1'!M216="""","""",TO_TEXT('Respuestas de formulario 1'!M216))"),"")</f>
        <v/>
      </c>
      <c r="N216" s="7">
        <f t="shared" si="1"/>
        <v>2023</v>
      </c>
      <c r="O216" s="7" t="str">
        <f t="shared" si="2"/>
        <v>julio</v>
      </c>
      <c r="P216" s="7" t="s">
        <v>4635</v>
      </c>
    </row>
    <row r="217">
      <c r="A217" s="19">
        <f>'Respuestas de formulario 1'!A217</f>
        <v>45117.74695</v>
      </c>
      <c r="B217" s="7" t="str">
        <f>'Respuestas de formulario 1'!B217</f>
        <v>Castro</v>
      </c>
      <c r="C217" s="7" t="str">
        <f>'Respuestas de formulario 1'!C217</f>
        <v>Alicia </v>
      </c>
      <c r="D217" s="7" t="str">
        <f>'Respuestas de formulario 1'!D217</f>
        <v>aliciae_castro@hotmail.com</v>
      </c>
      <c r="E217" s="20">
        <f>'Respuestas de formulario 1'!E217</f>
        <v>14901</v>
      </c>
      <c r="F217" s="7">
        <f>'Respuestas de formulario 1'!F217</f>
        <v>3969031</v>
      </c>
      <c r="G217" s="7" t="str">
        <f>IFERROR(__xludf.DUMMYFUNCTION("IF('Respuestas de formulario 1'!G217="""","""",IF(LEFT(REGEXREPLACE(TO_TEXT('Respuestas de formulario 1'!G217),""[^0-9]"",""""),2)=""54"",""+""&amp;REGEXREPLACE(TO_TEXT('Respuestas de formulario 1'!G217),""[^0-9]"",""""),""+54""&amp;REGEXREPLACE(TO_TEXT('Respuest"&amp;"as de formulario 1'!G217),""[^0-9]"","""")))"),"+5493855093215")</f>
        <v>+5493855093215</v>
      </c>
      <c r="H217" s="7">
        <f>'Respuestas de formulario 1'!S217</f>
        <v>2023</v>
      </c>
      <c r="I217" s="7" t="str">
        <f>IFERROR(__xludf.DUMMYFUNCTION("IF('Respuestas de formulario 1'!I217="""","""",TO_TEXT('Respuestas de formulario 1'!I217))"),"Obra social")</f>
        <v>Obra social</v>
      </c>
      <c r="J217" s="7" t="str">
        <f>IFERROR(__xludf.DUMMYFUNCTION("IF('Respuestas de formulario 1'!J217&lt;&gt;"""",UPPER(TRIM(TO_TEXT('Respuestas de formulario 1'!J217))),IF('Respuestas de formulario 1'!O217&lt;&gt;"""",UPPER(TRIM(TO_TEXT('Respuestas de formulario 1'!O217))),""""))"),"APROSS")</f>
        <v>APROSS</v>
      </c>
      <c r="K217" s="7" t="str">
        <f>IFERROR(__xludf.DUMMYFUNCTION("IF('Respuestas de formulario 1'!K217="""","""",TO_TEXT('Respuestas de formulario 1'!K217))"),"")</f>
        <v/>
      </c>
      <c r="L217" s="7" t="str">
        <f>IFERROR(__xludf.DUMMYFUNCTION("IF('Respuestas de formulario 1'!L217="""","""",TO_TEXT('Respuestas de formulario 1'!L217))"),"")</f>
        <v/>
      </c>
      <c r="M217" s="7" t="str">
        <f>IFERROR(__xludf.DUMMYFUNCTION("IF('Respuestas de formulario 1'!M217="""","""",TO_TEXT('Respuestas de formulario 1'!M217))"),"")</f>
        <v/>
      </c>
      <c r="N217" s="7">
        <f t="shared" si="1"/>
        <v>2023</v>
      </c>
      <c r="O217" s="7" t="str">
        <f t="shared" si="2"/>
        <v>julio</v>
      </c>
      <c r="P217" s="7" t="s">
        <v>4637</v>
      </c>
    </row>
    <row r="218">
      <c r="A218" s="19">
        <f>'Respuestas de formulario 1'!A218</f>
        <v>45117.77363</v>
      </c>
      <c r="B218" s="7" t="str">
        <f>'Respuestas de formulario 1'!B218</f>
        <v>García</v>
      </c>
      <c r="C218" s="7" t="str">
        <f>'Respuestas de formulario 1'!C218</f>
        <v>Justina</v>
      </c>
      <c r="D218" s="7" t="str">
        <f>'Respuestas de formulario 1'!D218</f>
        <v>sandrayacob09@gmail.com</v>
      </c>
      <c r="E218" s="20">
        <f>'Respuestas de formulario 1'!E218</f>
        <v>39167</v>
      </c>
      <c r="F218" s="7">
        <f>'Respuestas de formulario 1'!F218</f>
        <v>47662389</v>
      </c>
      <c r="G218" s="7" t="str">
        <f>IFERROR(__xludf.DUMMYFUNCTION("IF('Respuestas de formulario 1'!G218="""","""",IF(LEFT(REGEXREPLACE(TO_TEXT('Respuestas de formulario 1'!G218),""[^0-9]"",""""),2)=""54"",""+""&amp;REGEXREPLACE(TO_TEXT('Respuestas de formulario 1'!G218),""[^0-9]"",""""),""+54""&amp;REGEXREPLACE(TO_TEXT('Respuest"&amp;"as de formulario 1'!G218),""[^0-9]"","""")))"),"+543513097972")</f>
        <v>+543513097972</v>
      </c>
      <c r="H218" s="7">
        <f>'Respuestas de formulario 1'!S218</f>
        <v>2023</v>
      </c>
      <c r="I218" s="7" t="str">
        <f>IFERROR(__xludf.DUMMYFUNCTION("IF('Respuestas de formulario 1'!I218="""","""",TO_TEXT('Respuestas de formulario 1'!I218))"),"Obra social")</f>
        <v>Obra social</v>
      </c>
      <c r="J218" s="7" t="str">
        <f>IFERROR(__xludf.DUMMYFUNCTION("IF('Respuestas de formulario 1'!J218&lt;&gt;"""",UPPER(TRIM(TO_TEXT('Respuestas de formulario 1'!J218))),IF('Respuestas de formulario 1'!O218&lt;&gt;"""",UPPER(TRIM(TO_TEXT('Respuestas de formulario 1'!O218))),""""))"),"DASPU")</f>
        <v>DASPU</v>
      </c>
      <c r="K218" s="7" t="str">
        <f>IFERROR(__xludf.DUMMYFUNCTION("IF('Respuestas de formulario 1'!K218="""","""",TO_TEXT('Respuestas de formulario 1'!K218))"),"")</f>
        <v/>
      </c>
      <c r="L218" s="7" t="str">
        <f>IFERROR(__xludf.DUMMYFUNCTION("IF('Respuestas de formulario 1'!L218="""","""",TO_TEXT('Respuestas de formulario 1'!L218))"),"")</f>
        <v/>
      </c>
      <c r="M218" s="7" t="str">
        <f>IFERROR(__xludf.DUMMYFUNCTION("IF('Respuestas de formulario 1'!M218="""","""",TO_TEXT('Respuestas de formulario 1'!M218))"),"")</f>
        <v/>
      </c>
      <c r="N218" s="7">
        <f t="shared" si="1"/>
        <v>2023</v>
      </c>
      <c r="O218" s="7" t="str">
        <f t="shared" si="2"/>
        <v>julio</v>
      </c>
      <c r="P218" s="7" t="s">
        <v>4639</v>
      </c>
    </row>
    <row r="219">
      <c r="A219" s="19">
        <f>'Respuestas de formulario 1'!A219</f>
        <v>45117.77401</v>
      </c>
      <c r="B219" s="7" t="str">
        <f>'Respuestas de formulario 1'!B219</f>
        <v>Sottile</v>
      </c>
      <c r="C219" s="7" t="str">
        <f>'Respuestas de formulario 1'!C219</f>
        <v>Ignacio</v>
      </c>
      <c r="D219" s="7" t="str">
        <f>'Respuestas de formulario 1'!D219</f>
        <v>sotaigna@gmail.com</v>
      </c>
      <c r="E219" s="20">
        <f>'Respuestas de formulario 1'!E219</f>
        <v>38054</v>
      </c>
      <c r="F219" s="7">
        <f>'Respuestas de formulario 1'!F219</f>
        <v>45347418</v>
      </c>
      <c r="G219" s="7" t="str">
        <f>IFERROR(__xludf.DUMMYFUNCTION("IF('Respuestas de formulario 1'!G219="""","""",IF(LEFT(REGEXREPLACE(TO_TEXT('Respuestas de formulario 1'!G219),""[^0-9]"",""""),2)=""54"",""+""&amp;REGEXREPLACE(TO_TEXT('Respuestas de formulario 1'!G219),""[^0-9]"",""""),""+54""&amp;REGEXREPLACE(TO_TEXT('Respuest"&amp;"as de formulario 1'!G219),""[^0-9]"","""")))"),"+5435126410350")</f>
        <v>+5435126410350</v>
      </c>
      <c r="H219" s="7">
        <f>'Respuestas de formulario 1'!S219</f>
        <v>2023</v>
      </c>
      <c r="I219" s="7" t="str">
        <f>IFERROR(__xludf.DUMMYFUNCTION("IF('Respuestas de formulario 1'!I219="""","""",TO_TEXT('Respuestas de formulario 1'!I219))"),"Obra social")</f>
        <v>Obra social</v>
      </c>
      <c r="J219" s="7" t="str">
        <f>IFERROR(__xludf.DUMMYFUNCTION("IF('Respuestas de formulario 1'!J219&lt;&gt;"""",UPPER(TRIM(TO_TEXT('Respuestas de formulario 1'!J219))),IF('Respuestas de formulario 1'!O219&lt;&gt;"""",UPPER(TRIM(TO_TEXT('Respuestas de formulario 1'!O219))),""""))"),"OMINT")</f>
        <v>OMINT</v>
      </c>
      <c r="K219" s="7" t="str">
        <f>IFERROR(__xludf.DUMMYFUNCTION("IF('Respuestas de formulario 1'!K219="""","""",TO_TEXT('Respuestas de formulario 1'!K219))"),"")</f>
        <v/>
      </c>
      <c r="L219" s="7" t="str">
        <f>IFERROR(__xludf.DUMMYFUNCTION("IF('Respuestas de formulario 1'!L219="""","""",TO_TEXT('Respuestas de formulario 1'!L219))"),"")</f>
        <v/>
      </c>
      <c r="M219" s="7" t="str">
        <f>IFERROR(__xludf.DUMMYFUNCTION("IF('Respuestas de formulario 1'!M219="""","""",TO_TEXT('Respuestas de formulario 1'!M219))"),"")</f>
        <v/>
      </c>
      <c r="N219" s="7">
        <f t="shared" si="1"/>
        <v>2023</v>
      </c>
      <c r="O219" s="7" t="str">
        <f t="shared" si="2"/>
        <v>julio</v>
      </c>
      <c r="P219" s="7" t="s">
        <v>4641</v>
      </c>
    </row>
    <row r="220">
      <c r="A220" s="19">
        <f>'Respuestas de formulario 1'!A220</f>
        <v>45117.78402</v>
      </c>
      <c r="B220" s="7" t="str">
        <f>'Respuestas de formulario 1'!B220</f>
        <v>Aisa</v>
      </c>
      <c r="C220" s="7" t="str">
        <f>'Respuestas de formulario 1'!C220</f>
        <v>Javier</v>
      </c>
      <c r="D220" s="7" t="str">
        <f>'Respuestas de formulario 1'!D220</f>
        <v>jaisa301@gmail.com</v>
      </c>
      <c r="E220" s="20">
        <f>'Respuestas de formulario 1'!E220</f>
        <v>31355</v>
      </c>
      <c r="F220" s="7">
        <f>'Respuestas de formulario 1'!F220</f>
        <v>31947019</v>
      </c>
      <c r="G220" s="7" t="str">
        <f>IFERROR(__xludf.DUMMYFUNCTION("IF('Respuestas de formulario 1'!G220="""","""",IF(LEFT(REGEXREPLACE(TO_TEXT('Respuestas de formulario 1'!G220),""[^0-9]"",""""),2)=""54"",""+""&amp;REGEXREPLACE(TO_TEXT('Respuestas de formulario 1'!G220),""[^0-9]"",""""),""+54""&amp;REGEXREPLACE(TO_TEXT('Respuest"&amp;"as de formulario 1'!G220),""[^0-9]"","""")))"),"+543515494355")</f>
        <v>+543515494355</v>
      </c>
      <c r="H220" s="7">
        <f>'Respuestas de formulario 1'!S220</f>
        <v>2023</v>
      </c>
      <c r="I220" s="7" t="str">
        <f>IFERROR(__xludf.DUMMYFUNCTION("IF('Respuestas de formulario 1'!I220="""","""",TO_TEXT('Respuestas de formulario 1'!I220))"),"Obra social")</f>
        <v>Obra social</v>
      </c>
      <c r="J220" s="7" t="str">
        <f>IFERROR(__xludf.DUMMYFUNCTION("IF('Respuestas de formulario 1'!J220&lt;&gt;"""",UPPER(TRIM(TO_TEXT('Respuestas de formulario 1'!J220))),IF('Respuestas de formulario 1'!O220&lt;&gt;"""",UPPER(TRIM(TO_TEXT('Respuestas de formulario 1'!O220))),""""))"),"APM ACBA")</f>
        <v>APM ACBA</v>
      </c>
      <c r="K220" s="7" t="str">
        <f>IFERROR(__xludf.DUMMYFUNCTION("IF('Respuestas de formulario 1'!K220="""","""",TO_TEXT('Respuestas de formulario 1'!K220))"),"")</f>
        <v/>
      </c>
      <c r="L220" s="7" t="str">
        <f>IFERROR(__xludf.DUMMYFUNCTION("IF('Respuestas de formulario 1'!L220="""","""",TO_TEXT('Respuestas de formulario 1'!L220))"),"")</f>
        <v/>
      </c>
      <c r="M220" s="7" t="str">
        <f>IFERROR(__xludf.DUMMYFUNCTION("IF('Respuestas de formulario 1'!M220="""","""",TO_TEXT('Respuestas de formulario 1'!M220))"),"")</f>
        <v/>
      </c>
      <c r="N220" s="7">
        <f t="shared" si="1"/>
        <v>2023</v>
      </c>
      <c r="O220" s="7" t="str">
        <f t="shared" si="2"/>
        <v>julio</v>
      </c>
      <c r="P220" s="7" t="s">
        <v>4643</v>
      </c>
    </row>
    <row r="221">
      <c r="A221" s="19">
        <f>'Respuestas de formulario 1'!A221</f>
        <v>45118.46983</v>
      </c>
      <c r="B221" s="7" t="str">
        <f>'Respuestas de formulario 1'!B221</f>
        <v>Dealbera </v>
      </c>
      <c r="C221" s="7" t="str">
        <f>'Respuestas de formulario 1'!C221</f>
        <v>Hugo </v>
      </c>
      <c r="D221" s="7" t="str">
        <f>'Respuestas de formulario 1'!D221</f>
        <v>hdealbera@hotmail.com</v>
      </c>
      <c r="E221" s="20">
        <f>'Respuestas de formulario 1'!E221</f>
        <v>25060</v>
      </c>
      <c r="F221" s="7">
        <f>'Respuestas de formulario 1'!F221</f>
        <v>20299407</v>
      </c>
      <c r="G221" s="7" t="str">
        <f>IFERROR(__xludf.DUMMYFUNCTION("IF('Respuestas de formulario 1'!G221="""","""",IF(LEFT(REGEXREPLACE(TO_TEXT('Respuestas de formulario 1'!G221),""[^0-9]"",""""),2)=""54"",""+""&amp;REGEXREPLACE(TO_TEXT('Respuestas de formulario 1'!G221),""[^0-9]"",""""),""+54""&amp;REGEXREPLACE(TO_TEXT('Respuest"&amp;"as de formulario 1'!G221),""[^0-9]"","""")))"),"+543515053549")</f>
        <v>+543515053549</v>
      </c>
      <c r="H221" s="7">
        <f>'Respuestas de formulario 1'!S221</f>
        <v>2023</v>
      </c>
      <c r="I221" s="7" t="str">
        <f>IFERROR(__xludf.DUMMYFUNCTION("IF('Respuestas de formulario 1'!I221="""","""",TO_TEXT('Respuestas de formulario 1'!I221))"),"Particular")</f>
        <v>Particular</v>
      </c>
      <c r="J221" s="7" t="str">
        <f>IFERROR(__xludf.DUMMYFUNCTION("IF('Respuestas de formulario 1'!J221&lt;&gt;"""",UPPER(TRIM(TO_TEXT('Respuestas de formulario 1'!J221))),IF('Respuestas de formulario 1'!O221&lt;&gt;"""",UPPER(TRIM(TO_TEXT('Respuestas de formulario 1'!O221))),""""))"),"")</f>
        <v/>
      </c>
      <c r="K221" s="7" t="str">
        <f>IFERROR(__xludf.DUMMYFUNCTION("IF('Respuestas de formulario 1'!K221="""","""",TO_TEXT('Respuestas de formulario 1'!K221))"),"")</f>
        <v/>
      </c>
      <c r="L221" s="7" t="str">
        <f>IFERROR(__xludf.DUMMYFUNCTION("IF('Respuestas de formulario 1'!L221="""","""",TO_TEXT('Respuestas de formulario 1'!L221))"),"")</f>
        <v/>
      </c>
      <c r="M221" s="7" t="str">
        <f>IFERROR(__xludf.DUMMYFUNCTION("IF('Respuestas de formulario 1'!M221="""","""",TO_TEXT('Respuestas de formulario 1'!M221))"),"")</f>
        <v/>
      </c>
      <c r="N221" s="7">
        <f t="shared" si="1"/>
        <v>2023</v>
      </c>
      <c r="O221" s="7" t="str">
        <f t="shared" si="2"/>
        <v>julio</v>
      </c>
      <c r="P221" s="7" t="s">
        <v>4645</v>
      </c>
    </row>
    <row r="222">
      <c r="A222" s="19">
        <f>'Respuestas de formulario 1'!A222</f>
        <v>45118.77662</v>
      </c>
      <c r="B222" s="7" t="str">
        <f>'Respuestas de formulario 1'!B222</f>
        <v>Bondio</v>
      </c>
      <c r="C222" s="7" t="str">
        <f>'Respuestas de formulario 1'!C222</f>
        <v>Luis</v>
      </c>
      <c r="D222" s="7" t="str">
        <f>'Respuestas de formulario 1'!D222</f>
        <v>luisrbondio@gmail.com</v>
      </c>
      <c r="E222" s="20">
        <f>'Respuestas de formulario 1'!E222</f>
        <v>31097</v>
      </c>
      <c r="F222" s="7">
        <f>'Respuestas de formulario 1'!F222</f>
        <v>31357652</v>
      </c>
      <c r="G222" s="7" t="str">
        <f>IFERROR(__xludf.DUMMYFUNCTION("IF('Respuestas de formulario 1'!G222="""","""",IF(LEFT(REGEXREPLACE(TO_TEXT('Respuestas de formulario 1'!G222),""[^0-9]"",""""),2)=""54"",""+""&amp;REGEXREPLACE(TO_TEXT('Respuestas de formulario 1'!G222),""[^0-9]"",""""),""+54""&amp;REGEXREPLACE(TO_TEXT('Respuest"&amp;"as de formulario 1'!G222),""[^0-9]"","""")))"),"+543512374665")</f>
        <v>+543512374665</v>
      </c>
      <c r="H222" s="7">
        <f>'Respuestas de formulario 1'!S222</f>
        <v>2023</v>
      </c>
      <c r="I222" s="7" t="str">
        <f>IFERROR(__xludf.DUMMYFUNCTION("IF('Respuestas de formulario 1'!I222="""","""",TO_TEXT('Respuestas de formulario 1'!I222))"),"Obra social")</f>
        <v>Obra social</v>
      </c>
      <c r="J222" s="7" t="str">
        <f>IFERROR(__xludf.DUMMYFUNCTION("IF('Respuestas de formulario 1'!J222&lt;&gt;"""",UPPER(TRIM(TO_TEXT('Respuestas de formulario 1'!J222))),IF('Respuestas de formulario 1'!O222&lt;&gt;"""",UPPER(TRIM(TO_TEXT('Respuestas de formulario 1'!O222))),""""))"),"SWISS MEDICAL")</f>
        <v>SWISS MEDICAL</v>
      </c>
      <c r="K222" s="7" t="str">
        <f>IFERROR(__xludf.DUMMYFUNCTION("IF('Respuestas de formulario 1'!K222="""","""",TO_TEXT('Respuestas de formulario 1'!K222))"),"")</f>
        <v/>
      </c>
      <c r="L222" s="7" t="str">
        <f>IFERROR(__xludf.DUMMYFUNCTION("IF('Respuestas de formulario 1'!L222="""","""",TO_TEXT('Respuestas de formulario 1'!L222))"),"")</f>
        <v/>
      </c>
      <c r="M222" s="7" t="str">
        <f>IFERROR(__xludf.DUMMYFUNCTION("IF('Respuestas de formulario 1'!M222="""","""",TO_TEXT('Respuestas de formulario 1'!M222))"),"")</f>
        <v/>
      </c>
      <c r="N222" s="7">
        <f t="shared" si="1"/>
        <v>2023</v>
      </c>
      <c r="O222" s="7" t="str">
        <f t="shared" si="2"/>
        <v>julio</v>
      </c>
      <c r="P222" s="7" t="s">
        <v>4647</v>
      </c>
    </row>
    <row r="223">
      <c r="A223" s="19">
        <f>'Respuestas de formulario 1'!A223</f>
        <v>45120.357</v>
      </c>
      <c r="B223" s="7" t="str">
        <f>'Respuestas de formulario 1'!B223</f>
        <v>Paz Benard </v>
      </c>
      <c r="C223" s="7" t="str">
        <f>'Respuestas de formulario 1'!C223</f>
        <v>Benjamín José </v>
      </c>
      <c r="D223" s="7" t="str">
        <f>'Respuestas de formulario 1'!D223</f>
        <v>BENJA.PAZ.BENJA@GMAIL.COM</v>
      </c>
      <c r="E223" s="20">
        <f>'Respuestas de formulario 1'!E223</f>
        <v>33565</v>
      </c>
      <c r="F223" s="7">
        <f>'Respuestas de formulario 1'!F223</f>
        <v>36143553</v>
      </c>
      <c r="G223" s="7" t="str">
        <f>IFERROR(__xludf.DUMMYFUNCTION("IF('Respuestas de formulario 1'!G223="""","""",IF(LEFT(REGEXREPLACE(TO_TEXT('Respuestas de formulario 1'!G223),""[^0-9]"",""""),2)=""54"",""+""&amp;REGEXREPLACE(TO_TEXT('Respuestas de formulario 1'!G223),""[^0-9]"",""""),""+54""&amp;REGEXREPLACE(TO_TEXT('Respuest"&amp;"as de formulario 1'!G223),""[^0-9]"","""")))"),"+543513915833")</f>
        <v>+543513915833</v>
      </c>
      <c r="H223" s="7">
        <f>'Respuestas de formulario 1'!S223</f>
        <v>2023</v>
      </c>
      <c r="I223" s="7" t="str">
        <f>IFERROR(__xludf.DUMMYFUNCTION("IF('Respuestas de formulario 1'!I223="""","""",TO_TEXT('Respuestas de formulario 1'!I223))"),"Particular")</f>
        <v>Particular</v>
      </c>
      <c r="J223" s="7" t="str">
        <f>IFERROR(__xludf.DUMMYFUNCTION("IF('Respuestas de formulario 1'!J223&lt;&gt;"""",UPPER(TRIM(TO_TEXT('Respuestas de formulario 1'!J223))),IF('Respuestas de formulario 1'!O223&lt;&gt;"""",UPPER(TRIM(TO_TEXT('Respuestas de formulario 1'!O223))),""""))"),"")</f>
        <v/>
      </c>
      <c r="K223" s="7" t="str">
        <f>IFERROR(__xludf.DUMMYFUNCTION("IF('Respuestas de formulario 1'!K223="""","""",TO_TEXT('Respuestas de formulario 1'!K223))"),"")</f>
        <v/>
      </c>
      <c r="L223" s="7" t="str">
        <f>IFERROR(__xludf.DUMMYFUNCTION("IF('Respuestas de formulario 1'!L223="""","""",TO_TEXT('Respuestas de formulario 1'!L223))"),"")</f>
        <v/>
      </c>
      <c r="M223" s="7" t="str">
        <f>IFERROR(__xludf.DUMMYFUNCTION("IF('Respuestas de formulario 1'!M223="""","""",TO_TEXT('Respuestas de formulario 1'!M223))"),"")</f>
        <v/>
      </c>
      <c r="N223" s="7">
        <f t="shared" si="1"/>
        <v>2023</v>
      </c>
      <c r="O223" s="7" t="str">
        <f t="shared" si="2"/>
        <v>julio</v>
      </c>
      <c r="P223" s="7" t="s">
        <v>4649</v>
      </c>
    </row>
    <row r="224">
      <c r="A224" s="19">
        <f>'Respuestas de formulario 1'!A224</f>
        <v>45120.52665</v>
      </c>
      <c r="B224" s="7" t="str">
        <f>'Respuestas de formulario 1'!B224</f>
        <v>Mazzeo</v>
      </c>
      <c r="C224" s="7" t="str">
        <f>'Respuestas de formulario 1'!C224</f>
        <v>Juan Cruz</v>
      </c>
      <c r="D224" s="7" t="str">
        <f>'Respuestas de formulario 1'!D224</f>
        <v>Mazzeojc@gmail.com</v>
      </c>
      <c r="E224" s="20">
        <f>'Respuestas de formulario 1'!E224</f>
        <v>28768</v>
      </c>
      <c r="F224" s="7">
        <f>'Respuestas de formulario 1'!F224</f>
        <v>26903597</v>
      </c>
      <c r="G224" s="7" t="str">
        <f>IFERROR(__xludf.DUMMYFUNCTION("IF('Respuestas de formulario 1'!G224="""","""",IF(LEFT(REGEXREPLACE(TO_TEXT('Respuestas de formulario 1'!G224),""[^0-9]"",""""),2)=""54"",""+""&amp;REGEXREPLACE(TO_TEXT('Respuestas de formulario 1'!G224),""[^0-9]"",""""),""+54""&amp;REGEXREPLACE(TO_TEXT('Respuest"&amp;"as de formulario 1'!G224),""[^0-9]"","""")))"),"+543516577070")</f>
        <v>+543516577070</v>
      </c>
      <c r="H224" s="7">
        <f>'Respuestas de formulario 1'!S224</f>
        <v>2023</v>
      </c>
      <c r="I224" s="7" t="str">
        <f>IFERROR(__xludf.DUMMYFUNCTION("IF('Respuestas de formulario 1'!I224="""","""",TO_TEXT('Respuestas de formulario 1'!I224))"),"Obra social")</f>
        <v>Obra social</v>
      </c>
      <c r="J224" s="7" t="str">
        <f>IFERROR(__xludf.DUMMYFUNCTION("IF('Respuestas de formulario 1'!J224&lt;&gt;"""",UPPER(TRIM(TO_TEXT('Respuestas de formulario 1'!J224))),IF('Respuestas de formulario 1'!O224&lt;&gt;"""",UPPER(TRIM(TO_TEXT('Respuestas de formulario 1'!O224))),""""))"),"MEDIFE")</f>
        <v>MEDIFE</v>
      </c>
      <c r="K224" s="7" t="str">
        <f>IFERROR(__xludf.DUMMYFUNCTION("IF('Respuestas de formulario 1'!K224="""","""",TO_TEXT('Respuestas de formulario 1'!K224))"),"")</f>
        <v/>
      </c>
      <c r="L224" s="7" t="str">
        <f>IFERROR(__xludf.DUMMYFUNCTION("IF('Respuestas de formulario 1'!L224="""","""",TO_TEXT('Respuestas de formulario 1'!L224))"),"")</f>
        <v/>
      </c>
      <c r="M224" s="7" t="str">
        <f>IFERROR(__xludf.DUMMYFUNCTION("IF('Respuestas de formulario 1'!M224="""","""",TO_TEXT('Respuestas de formulario 1'!M224))"),"")</f>
        <v/>
      </c>
      <c r="N224" s="7">
        <f t="shared" si="1"/>
        <v>2023</v>
      </c>
      <c r="O224" s="7" t="str">
        <f t="shared" si="2"/>
        <v>julio</v>
      </c>
      <c r="P224" s="7" t="s">
        <v>4651</v>
      </c>
    </row>
    <row r="225">
      <c r="A225" s="19">
        <f>'Respuestas de formulario 1'!A225</f>
        <v>45120.54212</v>
      </c>
      <c r="B225" s="7" t="str">
        <f>'Respuestas de formulario 1'!B225</f>
        <v>Guemes</v>
      </c>
      <c r="C225" s="7" t="str">
        <f>'Respuestas de formulario 1'!C225</f>
        <v>Julieta</v>
      </c>
      <c r="D225" s="7" t="str">
        <f>'Respuestas de formulario 1'!D225</f>
        <v>guemesjulieta@gmail.com</v>
      </c>
      <c r="E225" s="20">
        <f>'Respuestas de formulario 1'!E225</f>
        <v>32921</v>
      </c>
      <c r="F225" s="7">
        <f>'Respuestas de formulario 1'!F225</f>
        <v>33371363</v>
      </c>
      <c r="G225" s="7" t="str">
        <f>IFERROR(__xludf.DUMMYFUNCTION("IF('Respuestas de formulario 1'!G225="""","""",IF(LEFT(REGEXREPLACE(TO_TEXT('Respuestas de formulario 1'!G225),""[^0-9]"",""""),2)=""54"",""+""&amp;REGEXREPLACE(TO_TEXT('Respuestas de formulario 1'!G225),""[^0-9]"",""""),""+54""&amp;REGEXREPLACE(TO_TEXT('Respuest"&amp;"as de formulario 1'!G225),""[^0-9]"","""")))"),"+5417208306798")</f>
        <v>+5417208306798</v>
      </c>
      <c r="H225" s="7">
        <f>'Respuestas de formulario 1'!S225</f>
        <v>2023</v>
      </c>
      <c r="I225" s="7" t="str">
        <f>IFERROR(__xludf.DUMMYFUNCTION("IF('Respuestas de formulario 1'!I225="""","""",TO_TEXT('Respuestas de formulario 1'!I225))"),"Particular")</f>
        <v>Particular</v>
      </c>
      <c r="J225" s="7" t="str">
        <f>IFERROR(__xludf.DUMMYFUNCTION("IF('Respuestas de formulario 1'!J225&lt;&gt;"""",UPPER(TRIM(TO_TEXT('Respuestas de formulario 1'!J225))),IF('Respuestas de formulario 1'!O225&lt;&gt;"""",UPPER(TRIM(TO_TEXT('Respuestas de formulario 1'!O225))),""""))"),"")</f>
        <v/>
      </c>
      <c r="K225" s="7" t="str">
        <f>IFERROR(__xludf.DUMMYFUNCTION("IF('Respuestas de formulario 1'!K225="""","""",TO_TEXT('Respuestas de formulario 1'!K225))"),"")</f>
        <v/>
      </c>
      <c r="L225" s="7" t="str">
        <f>IFERROR(__xludf.DUMMYFUNCTION("IF('Respuestas de formulario 1'!L225="""","""",TO_TEXT('Respuestas de formulario 1'!L225))"),"")</f>
        <v/>
      </c>
      <c r="M225" s="7" t="str">
        <f>IFERROR(__xludf.DUMMYFUNCTION("IF('Respuestas de formulario 1'!M225="""","""",TO_TEXT('Respuestas de formulario 1'!M225))"),"")</f>
        <v/>
      </c>
      <c r="N225" s="7">
        <f t="shared" si="1"/>
        <v>2023</v>
      </c>
      <c r="O225" s="7" t="str">
        <f t="shared" si="2"/>
        <v>julio</v>
      </c>
      <c r="P225" s="7" t="s">
        <v>4653</v>
      </c>
    </row>
    <row r="226">
      <c r="A226" s="19">
        <f>'Respuestas de formulario 1'!A226</f>
        <v>45120.754</v>
      </c>
      <c r="B226" s="7" t="str">
        <f>'Respuestas de formulario 1'!B226</f>
        <v>Ocampo</v>
      </c>
      <c r="C226" s="7" t="str">
        <f>'Respuestas de formulario 1'!C226</f>
        <v>Fabiana</v>
      </c>
      <c r="D226" s="7" t="str">
        <f>'Respuestas de formulario 1'!D226</f>
        <v>fabianaocampo428@gmail.com</v>
      </c>
      <c r="E226" s="20">
        <f>'Respuestas de formulario 1'!E226</f>
        <v>28489</v>
      </c>
      <c r="F226" s="7">
        <f>'Respuestas de formulario 1'!F226</f>
        <v>26232772</v>
      </c>
      <c r="G226" s="7" t="str">
        <f>IFERROR(__xludf.DUMMYFUNCTION("IF('Respuestas de formulario 1'!G226="""","""",IF(LEFT(REGEXREPLACE(TO_TEXT('Respuestas de formulario 1'!G226),""[^0-9]"",""""),2)=""54"",""+""&amp;REGEXREPLACE(TO_TEXT('Respuestas de formulario 1'!G226),""[^0-9]"",""""),""+54""&amp;REGEXREPLACE(TO_TEXT('Respuest"&amp;"as de formulario 1'!G226),""[^0-9]"","""")))"),"+543518568359")</f>
        <v>+543518568359</v>
      </c>
      <c r="H226" s="7">
        <f>'Respuestas de formulario 1'!S226</f>
        <v>2023</v>
      </c>
      <c r="I226" s="7" t="str">
        <f>IFERROR(__xludf.DUMMYFUNCTION("IF('Respuestas de formulario 1'!I226="""","""",TO_TEXT('Respuestas de formulario 1'!I226))"),"Obra social")</f>
        <v>Obra social</v>
      </c>
      <c r="J226" s="7" t="str">
        <f>IFERROR(__xludf.DUMMYFUNCTION("IF('Respuestas de formulario 1'!J226&lt;&gt;"""",UPPER(TRIM(TO_TEXT('Respuestas de formulario 1'!J226))),IF('Respuestas de formulario 1'!O226&lt;&gt;"""",UPPER(TRIM(TO_TEXT('Respuestas de formulario 1'!O226))),""""))"),"APROSS")</f>
        <v>APROSS</v>
      </c>
      <c r="K226" s="7" t="str">
        <f>IFERROR(__xludf.DUMMYFUNCTION("IF('Respuestas de formulario 1'!K226="""","""",TO_TEXT('Respuestas de formulario 1'!K226))"),"")</f>
        <v/>
      </c>
      <c r="L226" s="7" t="str">
        <f>IFERROR(__xludf.DUMMYFUNCTION("IF('Respuestas de formulario 1'!L226="""","""",TO_TEXT('Respuestas de formulario 1'!L226))"),"")</f>
        <v/>
      </c>
      <c r="M226" s="7" t="str">
        <f>IFERROR(__xludf.DUMMYFUNCTION("IF('Respuestas de formulario 1'!M226="""","""",TO_TEXT('Respuestas de formulario 1'!M226))"),"")</f>
        <v/>
      </c>
      <c r="N226" s="7">
        <f t="shared" si="1"/>
        <v>2023</v>
      </c>
      <c r="O226" s="7" t="str">
        <f t="shared" si="2"/>
        <v>julio</v>
      </c>
      <c r="P226" s="7" t="s">
        <v>4655</v>
      </c>
    </row>
    <row r="227">
      <c r="A227" s="19">
        <f>'Respuestas de formulario 1'!A227</f>
        <v>45121.39469</v>
      </c>
      <c r="B227" s="7" t="str">
        <f>'Respuestas de formulario 1'!B227</f>
        <v>de la Colina</v>
      </c>
      <c r="C227" s="7" t="str">
        <f>'Respuestas de formulario 1'!C227</f>
        <v>Facundo</v>
      </c>
      <c r="D227" s="7" t="str">
        <f>'Respuestas de formulario 1'!D227</f>
        <v>facudelac@gmail.com</v>
      </c>
      <c r="E227" s="20">
        <f>'Respuestas de formulario 1'!E227</f>
        <v>35646</v>
      </c>
      <c r="F227" s="7">
        <f>'Respuestas de formulario 1'!F227</f>
        <v>40518200</v>
      </c>
      <c r="G227" s="7" t="str">
        <f>IFERROR(__xludf.DUMMYFUNCTION("IF('Respuestas de formulario 1'!G227="""","""",IF(LEFT(REGEXREPLACE(TO_TEXT('Respuestas de formulario 1'!G227),""[^0-9]"",""""),2)=""54"",""+""&amp;REGEXREPLACE(TO_TEXT('Respuestas de formulario 1'!G227),""[^0-9]"",""""),""+54""&amp;REGEXREPLACE(TO_TEXT('Respuest"&amp;"as de formulario 1'!G227),""[^0-9]"","""")))"),"+543516430984")</f>
        <v>+543516430984</v>
      </c>
      <c r="H227" s="7">
        <f>'Respuestas de formulario 1'!S227</f>
        <v>2023</v>
      </c>
      <c r="I227" s="7" t="str">
        <f>IFERROR(__xludf.DUMMYFUNCTION("IF('Respuestas de formulario 1'!I227="""","""",TO_TEXT('Respuestas de formulario 1'!I227))"),"Obra social")</f>
        <v>Obra social</v>
      </c>
      <c r="J227" s="7" t="str">
        <f>IFERROR(__xludf.DUMMYFUNCTION("IF('Respuestas de formulario 1'!J227&lt;&gt;"""",UPPER(TRIM(TO_TEXT('Respuestas de formulario 1'!J227))),IF('Respuestas de formulario 1'!O227&lt;&gt;"""",UPPER(TRIM(TO_TEXT('Respuestas de formulario 1'!O227))),""""))"),"DASPU")</f>
        <v>DASPU</v>
      </c>
      <c r="K227" s="7" t="str">
        <f>IFERROR(__xludf.DUMMYFUNCTION("IF('Respuestas de formulario 1'!K227="""","""",TO_TEXT('Respuestas de formulario 1'!K227))"),"")</f>
        <v/>
      </c>
      <c r="L227" s="7" t="str">
        <f>IFERROR(__xludf.DUMMYFUNCTION("IF('Respuestas de formulario 1'!L227="""","""",TO_TEXT('Respuestas de formulario 1'!L227))"),"")</f>
        <v/>
      </c>
      <c r="M227" s="7" t="str">
        <f>IFERROR(__xludf.DUMMYFUNCTION("IF('Respuestas de formulario 1'!M227="""","""",TO_TEXT('Respuestas de formulario 1'!M227))"),"")</f>
        <v/>
      </c>
      <c r="N227" s="7">
        <f t="shared" si="1"/>
        <v>2023</v>
      </c>
      <c r="O227" s="7" t="str">
        <f t="shared" si="2"/>
        <v>julio</v>
      </c>
      <c r="P227" s="7" t="s">
        <v>4657</v>
      </c>
    </row>
    <row r="228">
      <c r="A228" s="19">
        <f>'Respuestas de formulario 1'!A228</f>
        <v>45124.47265</v>
      </c>
      <c r="B228" s="7" t="str">
        <f>'Respuestas de formulario 1'!B228</f>
        <v>Stodart</v>
      </c>
      <c r="C228" s="7" t="str">
        <f>'Respuestas de formulario 1'!C228</f>
        <v>María</v>
      </c>
      <c r="D228" s="7" t="str">
        <f>'Respuestas de formulario 1'!D228</f>
        <v>mariastodart@yahoo.com.ar</v>
      </c>
      <c r="E228" s="20">
        <f>'Respuestas de formulario 1'!E228</f>
        <v>22961</v>
      </c>
      <c r="F228" s="7">
        <f>'Respuestas de formulario 1'!F228</f>
        <v>16083541</v>
      </c>
      <c r="G228" s="7" t="str">
        <f>IFERROR(__xludf.DUMMYFUNCTION("IF('Respuestas de formulario 1'!G228="""","""",IF(LEFT(REGEXREPLACE(TO_TEXT('Respuestas de formulario 1'!G228),""[^0-9]"",""""),2)=""54"",""+""&amp;REGEXREPLACE(TO_TEXT('Respuestas de formulario 1'!G228),""[^0-9]"",""""),""+54""&amp;REGEXREPLACE(TO_TEXT('Respuest"&amp;"as de formulario 1'!G228),""[^0-9]"","""")))"),"+543516590226")</f>
        <v>+543516590226</v>
      </c>
      <c r="H228" s="7">
        <f>'Respuestas de formulario 1'!S228</f>
        <v>2023</v>
      </c>
      <c r="I228" s="7" t="str">
        <f>IFERROR(__xludf.DUMMYFUNCTION("IF('Respuestas de formulario 1'!I228="""","""",TO_TEXT('Respuestas de formulario 1'!I228))"),"Obra social")</f>
        <v>Obra social</v>
      </c>
      <c r="J228" s="7" t="str">
        <f>IFERROR(__xludf.DUMMYFUNCTION("IF('Respuestas de formulario 1'!J228&lt;&gt;"""",UPPER(TRIM(TO_TEXT('Respuestas de formulario 1'!J228))),IF('Respuestas de formulario 1'!O228&lt;&gt;"""",UPPER(TRIM(TO_TEXT('Respuestas de formulario 1'!O228))),""""))"),"SANCOR")</f>
        <v>SANCOR</v>
      </c>
      <c r="K228" s="7" t="str">
        <f>IFERROR(__xludf.DUMMYFUNCTION("IF('Respuestas de formulario 1'!K228="""","""",TO_TEXT('Respuestas de formulario 1'!K228))"),"")</f>
        <v/>
      </c>
      <c r="L228" s="7" t="str">
        <f>IFERROR(__xludf.DUMMYFUNCTION("IF('Respuestas de formulario 1'!L228="""","""",TO_TEXT('Respuestas de formulario 1'!L228))"),"")</f>
        <v/>
      </c>
      <c r="M228" s="7" t="str">
        <f>IFERROR(__xludf.DUMMYFUNCTION("IF('Respuestas de formulario 1'!M228="""","""",TO_TEXT('Respuestas de formulario 1'!M228))"),"")</f>
        <v/>
      </c>
      <c r="N228" s="7">
        <f t="shared" si="1"/>
        <v>2023</v>
      </c>
      <c r="O228" s="7" t="str">
        <f t="shared" si="2"/>
        <v>julio</v>
      </c>
      <c r="P228" s="7" t="s">
        <v>4659</v>
      </c>
    </row>
    <row r="229">
      <c r="A229" s="19">
        <f>'Respuestas de formulario 1'!A229</f>
        <v>45124.47439</v>
      </c>
      <c r="B229" s="7" t="str">
        <f>'Respuestas de formulario 1'!B229</f>
        <v>FERREYRA</v>
      </c>
      <c r="C229" s="7" t="str">
        <f>'Respuestas de formulario 1'!C229</f>
        <v>Yamila</v>
      </c>
      <c r="D229" s="7" t="str">
        <f>'Respuestas de formulario 1'!D229</f>
        <v>yam.ferreyra@gmail.com</v>
      </c>
      <c r="E229" s="20">
        <f>'Respuestas de formulario 1'!E229</f>
        <v>29116</v>
      </c>
      <c r="F229" s="7">
        <f>'Respuestas de formulario 1'!F229</f>
        <v>27403236</v>
      </c>
      <c r="G229" s="7" t="str">
        <f>IFERROR(__xludf.DUMMYFUNCTION("IF('Respuestas de formulario 1'!G229="""","""",IF(LEFT(REGEXREPLACE(TO_TEXT('Respuestas de formulario 1'!G229),""[^0-9]"",""""),2)=""54"",""+""&amp;REGEXREPLACE(TO_TEXT('Respuestas de formulario 1'!G229),""[^0-9]"",""""),""+54""&amp;REGEXREPLACE(TO_TEXT('Respuest"&amp;"as de formulario 1'!G229),""[^0-9]"","""")))"),"+543517055921")</f>
        <v>+543517055921</v>
      </c>
      <c r="H229" s="7">
        <f>'Respuestas de formulario 1'!S229</f>
        <v>2023</v>
      </c>
      <c r="I229" s="7" t="str">
        <f>IFERROR(__xludf.DUMMYFUNCTION("IF('Respuestas de formulario 1'!I229="""","""",TO_TEXT('Respuestas de formulario 1'!I229))"),"Obra social")</f>
        <v>Obra social</v>
      </c>
      <c r="J229" s="7" t="str">
        <f>IFERROR(__xludf.DUMMYFUNCTION("IF('Respuestas de formulario 1'!J229&lt;&gt;"""",UPPER(TRIM(TO_TEXT('Respuestas de formulario 1'!J229))),IF('Respuestas de formulario 1'!O229&lt;&gt;"""",UPPER(TRIM(TO_TEXT('Respuestas de formulario 1'!O229))),""""))"),"PREVENCIÓN")</f>
        <v>PREVENCIÓN</v>
      </c>
      <c r="K229" s="7" t="str">
        <f>IFERROR(__xludf.DUMMYFUNCTION("IF('Respuestas de formulario 1'!K229="""","""",TO_TEXT('Respuestas de formulario 1'!K229))"),"")</f>
        <v/>
      </c>
      <c r="L229" s="7" t="str">
        <f>IFERROR(__xludf.DUMMYFUNCTION("IF('Respuestas de formulario 1'!L229="""","""",TO_TEXT('Respuestas de formulario 1'!L229))"),"")</f>
        <v/>
      </c>
      <c r="M229" s="7" t="str">
        <f>IFERROR(__xludf.DUMMYFUNCTION("IF('Respuestas de formulario 1'!M229="""","""",TO_TEXT('Respuestas de formulario 1'!M229))"),"")</f>
        <v/>
      </c>
      <c r="N229" s="7">
        <f t="shared" si="1"/>
        <v>2023</v>
      </c>
      <c r="O229" s="7" t="str">
        <f t="shared" si="2"/>
        <v>julio</v>
      </c>
      <c r="P229" s="7" t="s">
        <v>4661</v>
      </c>
    </row>
    <row r="230">
      <c r="A230" s="19">
        <f>'Respuestas de formulario 1'!A230</f>
        <v>45125.49363</v>
      </c>
      <c r="B230" s="7" t="str">
        <f>'Respuestas de formulario 1'!B230</f>
        <v>Balbo</v>
      </c>
      <c r="C230" s="7" t="str">
        <f>'Respuestas de formulario 1'!C230</f>
        <v>Kevin</v>
      </c>
      <c r="D230" s="7" t="str">
        <f>'Respuestas de formulario 1'!D230</f>
        <v>kevingonbalbo@gmail.com</v>
      </c>
      <c r="E230" s="20">
        <f>'Respuestas de formulario 1'!E230</f>
        <v>34801</v>
      </c>
      <c r="F230" s="7">
        <f>'Respuestas de formulario 1'!F230</f>
        <v>37641474</v>
      </c>
      <c r="G230" s="7" t="str">
        <f>IFERROR(__xludf.DUMMYFUNCTION("IF('Respuestas de formulario 1'!G230="""","""",IF(LEFT(REGEXREPLACE(TO_TEXT('Respuestas de formulario 1'!G230),""[^0-9]"",""""),2)=""54"",""+""&amp;REGEXREPLACE(TO_TEXT('Respuestas de formulario 1'!G230),""[^0-9]"",""""),""+54""&amp;REGEXREPLACE(TO_TEXT('Respuest"&amp;"as de formulario 1'!G230),""[^0-9]"","""")))"),"+543549503496")</f>
        <v>+543549503496</v>
      </c>
      <c r="H230" s="7">
        <f>'Respuestas de formulario 1'!S230</f>
        <v>2023</v>
      </c>
      <c r="I230" s="7" t="str">
        <f>IFERROR(__xludf.DUMMYFUNCTION("IF('Respuestas de formulario 1'!I230="""","""",TO_TEXT('Respuestas de formulario 1'!I230))"),"Obra social")</f>
        <v>Obra social</v>
      </c>
      <c r="J230" s="7" t="str">
        <f>IFERROR(__xludf.DUMMYFUNCTION("IF('Respuestas de formulario 1'!J230&lt;&gt;"""",UPPER(TRIM(TO_TEXT('Respuestas de formulario 1'!J230))),IF('Respuestas de formulario 1'!O230&lt;&gt;"""",UPPER(TRIM(TO_TEXT('Respuestas de formulario 1'!O230))),""""))"),"SANCOR")</f>
        <v>SANCOR</v>
      </c>
      <c r="K230" s="7" t="str">
        <f>IFERROR(__xludf.DUMMYFUNCTION("IF('Respuestas de formulario 1'!K230="""","""",TO_TEXT('Respuestas de formulario 1'!K230))"),"")</f>
        <v/>
      </c>
      <c r="L230" s="7" t="str">
        <f>IFERROR(__xludf.DUMMYFUNCTION("IF('Respuestas de formulario 1'!L230="""","""",TO_TEXT('Respuestas de formulario 1'!L230))"),"")</f>
        <v/>
      </c>
      <c r="M230" s="7" t="str">
        <f>IFERROR(__xludf.DUMMYFUNCTION("IF('Respuestas de formulario 1'!M230="""","""",TO_TEXT('Respuestas de formulario 1'!M230))"),"")</f>
        <v/>
      </c>
      <c r="N230" s="7">
        <f t="shared" si="1"/>
        <v>2023</v>
      </c>
      <c r="O230" s="7" t="str">
        <f t="shared" si="2"/>
        <v>julio</v>
      </c>
      <c r="P230" s="7" t="s">
        <v>4663</v>
      </c>
    </row>
    <row r="231">
      <c r="A231" s="19">
        <f>'Respuestas de formulario 1'!A231</f>
        <v>45125.70452</v>
      </c>
      <c r="B231" s="7" t="str">
        <f>'Respuestas de formulario 1'!B231</f>
        <v>Carrica</v>
      </c>
      <c r="C231" s="7" t="str">
        <f>'Respuestas de formulario 1'!C231</f>
        <v>Maria Fernanda </v>
      </c>
      <c r="D231" s="7" t="str">
        <f>'Respuestas de formulario 1'!D231</f>
        <v>fernandacarrica@gmail.com</v>
      </c>
      <c r="E231" s="20">
        <f>'Respuestas de formulario 1'!E231</f>
        <v>30112</v>
      </c>
      <c r="F231" s="7">
        <f>'Respuestas de formulario 1'!F231</f>
        <v>29606327</v>
      </c>
      <c r="G231" s="7" t="str">
        <f>IFERROR(__xludf.DUMMYFUNCTION("IF('Respuestas de formulario 1'!G231="""","""",IF(LEFT(REGEXREPLACE(TO_TEXT('Respuestas de formulario 1'!G231),""[^0-9]"",""""),2)=""54"",""+""&amp;REGEXREPLACE(TO_TEXT('Respuestas de formulario 1'!G231),""[^0-9]"",""""),""+54""&amp;REGEXREPLACE(TO_TEXT('Respuest"&amp;"as de formulario 1'!G231),""[^0-9]"","""")))"),"+543513476226")</f>
        <v>+543513476226</v>
      </c>
      <c r="H231" s="7">
        <f>'Respuestas de formulario 1'!S231</f>
        <v>2023</v>
      </c>
      <c r="I231" s="7" t="str">
        <f>IFERROR(__xludf.DUMMYFUNCTION("IF('Respuestas de formulario 1'!I231="""","""",TO_TEXT('Respuestas de formulario 1'!I231))"),"Obra social")</f>
        <v>Obra social</v>
      </c>
      <c r="J231" s="7" t="str">
        <f>IFERROR(__xludf.DUMMYFUNCTION("IF('Respuestas de formulario 1'!J231&lt;&gt;"""",UPPER(TRIM(TO_TEXT('Respuestas de formulario 1'!J231))),IF('Respuestas de formulario 1'!O231&lt;&gt;"""",UPPER(TRIM(TO_TEXT('Respuestas de formulario 1'!O231))),""""))"),"DASPU")</f>
        <v>DASPU</v>
      </c>
      <c r="K231" s="7" t="str">
        <f>IFERROR(__xludf.DUMMYFUNCTION("IF('Respuestas de formulario 1'!K231="""","""",TO_TEXT('Respuestas de formulario 1'!K231))"),"")</f>
        <v/>
      </c>
      <c r="L231" s="7" t="str">
        <f>IFERROR(__xludf.DUMMYFUNCTION("IF('Respuestas de formulario 1'!L231="""","""",TO_TEXT('Respuestas de formulario 1'!L231))"),"")</f>
        <v/>
      </c>
      <c r="M231" s="7" t="str">
        <f>IFERROR(__xludf.DUMMYFUNCTION("IF('Respuestas de formulario 1'!M231="""","""",TO_TEXT('Respuestas de formulario 1'!M231))"),"")</f>
        <v/>
      </c>
      <c r="N231" s="7">
        <f t="shared" si="1"/>
        <v>2023</v>
      </c>
      <c r="O231" s="7" t="str">
        <f t="shared" si="2"/>
        <v>julio</v>
      </c>
      <c r="P231" s="7" t="s">
        <v>4665</v>
      </c>
    </row>
    <row r="232">
      <c r="A232" s="19">
        <f>'Respuestas de formulario 1'!A232</f>
        <v>45125.75884</v>
      </c>
      <c r="B232" s="7" t="str">
        <f>'Respuestas de formulario 1'!B232</f>
        <v>Angulo</v>
      </c>
      <c r="C232" s="7" t="str">
        <f>'Respuestas de formulario 1'!C232</f>
        <v>Viviana</v>
      </c>
      <c r="D232" s="7" t="str">
        <f>'Respuestas de formulario 1'!D232</f>
        <v>-</v>
      </c>
      <c r="E232" s="20">
        <f>'Respuestas de formulario 1'!E232</f>
        <v>23761</v>
      </c>
      <c r="F232" s="7">
        <f>'Respuestas de formulario 1'!F232</f>
        <v>17099916</v>
      </c>
      <c r="G232" s="7" t="str">
        <f>IFERROR(__xludf.DUMMYFUNCTION("IF('Respuestas de formulario 1'!G232="""","""",IF(LEFT(REGEXREPLACE(TO_TEXT('Respuestas de formulario 1'!G232),""[^0-9]"",""""),2)=""54"",""+""&amp;REGEXREPLACE(TO_TEXT('Respuestas de formulario 1'!G232),""[^0-9]"",""""),""+54""&amp;REGEXREPLACE(TO_TEXT('Respuest"&amp;"as de formulario 1'!G232),""[^0-9]"","""")))"),"+543515914285")</f>
        <v>+543515914285</v>
      </c>
      <c r="H232" s="7">
        <f>'Respuestas de formulario 1'!S232</f>
        <v>2023</v>
      </c>
      <c r="I232" s="7" t="str">
        <f>IFERROR(__xludf.DUMMYFUNCTION("IF('Respuestas de formulario 1'!I232="""","""",TO_TEXT('Respuestas de formulario 1'!I232))"),"Obra social")</f>
        <v>Obra social</v>
      </c>
      <c r="J232" s="7" t="str">
        <f>IFERROR(__xludf.DUMMYFUNCTION("IF('Respuestas de formulario 1'!J232&lt;&gt;"""",UPPER(TRIM(TO_TEXT('Respuestas de formulario 1'!J232))),IF('Respuestas de formulario 1'!O232&lt;&gt;"""",UPPER(TRIM(TO_TEXT('Respuestas de formulario 1'!O232))),""""))"),"OSSEG")</f>
        <v>OSSEG</v>
      </c>
      <c r="K232" s="7" t="str">
        <f>IFERROR(__xludf.DUMMYFUNCTION("IF('Respuestas de formulario 1'!K232="""","""",TO_TEXT('Respuestas de formulario 1'!K232))"),"")</f>
        <v/>
      </c>
      <c r="L232" s="7" t="str">
        <f>IFERROR(__xludf.DUMMYFUNCTION("IF('Respuestas de formulario 1'!L232="""","""",TO_TEXT('Respuestas de formulario 1'!L232))"),"")</f>
        <v/>
      </c>
      <c r="M232" s="7" t="str">
        <f>IFERROR(__xludf.DUMMYFUNCTION("IF('Respuestas de formulario 1'!M232="""","""",TO_TEXT('Respuestas de formulario 1'!M232))"),"")</f>
        <v/>
      </c>
      <c r="N232" s="7">
        <f t="shared" si="1"/>
        <v>2023</v>
      </c>
      <c r="O232" s="7" t="str">
        <f t="shared" si="2"/>
        <v>julio</v>
      </c>
      <c r="P232" s="7" t="s">
        <v>4667</v>
      </c>
    </row>
    <row r="233">
      <c r="A233" s="19">
        <f>'Respuestas de formulario 1'!A233</f>
        <v>45125.83098</v>
      </c>
      <c r="B233" s="7" t="str">
        <f>'Respuestas de formulario 1'!B233</f>
        <v>Guemes vassallo</v>
      </c>
      <c r="C233" s="7" t="str">
        <f>'Respuestas de formulario 1'!C233</f>
        <v>Juan martin</v>
      </c>
      <c r="D233" s="7" t="str">
        <f>'Respuestas de formulario 1'!D233</f>
        <v>Guemesjuan23@gmail.com</v>
      </c>
      <c r="E233" s="20">
        <f>'Respuestas de formulario 1'!E233</f>
        <v>34764</v>
      </c>
      <c r="F233" s="7">
        <f>'Respuestas de formulario 1'!F233</f>
        <v>38647973</v>
      </c>
      <c r="G233" s="7" t="str">
        <f>IFERROR(__xludf.DUMMYFUNCTION("IF('Respuestas de formulario 1'!G233="""","""",IF(LEFT(REGEXREPLACE(TO_TEXT('Respuestas de formulario 1'!G233),""[^0-9]"",""""),2)=""54"",""+""&amp;REGEXREPLACE(TO_TEXT('Respuestas de formulario 1'!G233),""[^0-9]"",""""),""+54""&amp;REGEXREPLACE(TO_TEXT('Respuest"&amp;"as de formulario 1'!G233),""[^0-9]"","""")))"),"+543517562048")</f>
        <v>+543517562048</v>
      </c>
      <c r="H233" s="7">
        <f>'Respuestas de formulario 1'!S233</f>
        <v>2023</v>
      </c>
      <c r="I233" s="7" t="str">
        <f>IFERROR(__xludf.DUMMYFUNCTION("IF('Respuestas de formulario 1'!I233="""","""",TO_TEXT('Respuestas de formulario 1'!I233))"),"Particular")</f>
        <v>Particular</v>
      </c>
      <c r="J233" s="7" t="str">
        <f>IFERROR(__xludf.DUMMYFUNCTION("IF('Respuestas de formulario 1'!J233&lt;&gt;"""",UPPER(TRIM(TO_TEXT('Respuestas de formulario 1'!J233))),IF('Respuestas de formulario 1'!O233&lt;&gt;"""",UPPER(TRIM(TO_TEXT('Respuestas de formulario 1'!O233))),""""))"),"")</f>
        <v/>
      </c>
      <c r="K233" s="7" t="str">
        <f>IFERROR(__xludf.DUMMYFUNCTION("IF('Respuestas de formulario 1'!K233="""","""",TO_TEXT('Respuestas de formulario 1'!K233))"),"")</f>
        <v/>
      </c>
      <c r="L233" s="7" t="str">
        <f>IFERROR(__xludf.DUMMYFUNCTION("IF('Respuestas de formulario 1'!L233="""","""",TO_TEXT('Respuestas de formulario 1'!L233))"),"")</f>
        <v/>
      </c>
      <c r="M233" s="7" t="str">
        <f>IFERROR(__xludf.DUMMYFUNCTION("IF('Respuestas de formulario 1'!M233="""","""",TO_TEXT('Respuestas de formulario 1'!M233))"),"")</f>
        <v/>
      </c>
      <c r="N233" s="7">
        <f t="shared" si="1"/>
        <v>2023</v>
      </c>
      <c r="O233" s="7" t="str">
        <f t="shared" si="2"/>
        <v>julio</v>
      </c>
      <c r="P233" s="7" t="s">
        <v>4669</v>
      </c>
    </row>
    <row r="234">
      <c r="A234" s="19">
        <f>'Respuestas de formulario 1'!A234</f>
        <v>45126.46278</v>
      </c>
      <c r="B234" s="7" t="str">
        <f>'Respuestas de formulario 1'!B234</f>
        <v>Rodriguez </v>
      </c>
      <c r="C234" s="7" t="str">
        <f>'Respuestas de formulario 1'!C234</f>
        <v>daniel alejandro</v>
      </c>
      <c r="D234" s="7" t="str">
        <f>'Respuestas de formulario 1'!D234</f>
        <v/>
      </c>
      <c r="E234" s="20">
        <f>'Respuestas de formulario 1'!E234</f>
        <v>-667045</v>
      </c>
      <c r="F234" s="7">
        <f>'Respuestas de formulario 1'!F234</f>
        <v>30901177</v>
      </c>
      <c r="G234" s="7" t="str">
        <f>IFERROR(__xludf.DUMMYFUNCTION("IF('Respuestas de formulario 1'!G234="""","""",IF(LEFT(REGEXREPLACE(TO_TEXT('Respuestas de formulario 1'!G234),""[^0-9]"",""""),2)=""54"",""+""&amp;REGEXREPLACE(TO_TEXT('Respuestas de formulario 1'!G234),""[^0-9]"",""""),""+54""&amp;REGEXREPLACE(TO_TEXT('Respuest"&amp;"as de formulario 1'!G234),""[^0-9]"","""")))"),"+543518107029")</f>
        <v>+543518107029</v>
      </c>
      <c r="H234" s="7">
        <f>'Respuestas de formulario 1'!S234</f>
        <v>2023</v>
      </c>
      <c r="I234" s="7" t="str">
        <f>IFERROR(__xludf.DUMMYFUNCTION("IF('Respuestas de formulario 1'!I234="""","""",TO_TEXT('Respuestas de formulario 1'!I234))"),"Particular")</f>
        <v>Particular</v>
      </c>
      <c r="J234" s="7" t="str">
        <f>IFERROR(__xludf.DUMMYFUNCTION("IF('Respuestas de formulario 1'!J234&lt;&gt;"""",UPPER(TRIM(TO_TEXT('Respuestas de formulario 1'!J234))),IF('Respuestas de formulario 1'!O234&lt;&gt;"""",UPPER(TRIM(TO_TEXT('Respuestas de formulario 1'!O234))),""""))"),"")</f>
        <v/>
      </c>
      <c r="K234" s="7" t="str">
        <f>IFERROR(__xludf.DUMMYFUNCTION("IF('Respuestas de formulario 1'!K234="""","""",TO_TEXT('Respuestas de formulario 1'!K234))"),"")</f>
        <v/>
      </c>
      <c r="L234" s="7" t="str">
        <f>IFERROR(__xludf.DUMMYFUNCTION("IF('Respuestas de formulario 1'!L234="""","""",TO_TEXT('Respuestas de formulario 1'!L234))"),"")</f>
        <v/>
      </c>
      <c r="M234" s="7" t="str">
        <f>IFERROR(__xludf.DUMMYFUNCTION("IF('Respuestas de formulario 1'!M234="""","""",TO_TEXT('Respuestas de formulario 1'!M234))"),"")</f>
        <v/>
      </c>
      <c r="N234" s="7">
        <f t="shared" si="1"/>
        <v>2023</v>
      </c>
      <c r="O234" s="7" t="str">
        <f t="shared" si="2"/>
        <v>julio</v>
      </c>
      <c r="P234" s="7" t="s">
        <v>4671</v>
      </c>
    </row>
    <row r="235">
      <c r="A235" s="19">
        <f>'Respuestas de formulario 1'!A235</f>
        <v>45126.80094</v>
      </c>
      <c r="B235" s="7" t="str">
        <f>'Respuestas de formulario 1'!B235</f>
        <v>Fiser</v>
      </c>
      <c r="C235" s="7" t="str">
        <f>'Respuestas de formulario 1'!C235</f>
        <v>Karina</v>
      </c>
      <c r="D235" s="7" t="str">
        <f>'Respuestas de formulario 1'!D235</f>
        <v>karinafiser@gmail.com</v>
      </c>
      <c r="E235" s="20">
        <f>'Respuestas de formulario 1'!E235</f>
        <v>32566</v>
      </c>
      <c r="F235" s="7">
        <f>'Respuestas de formulario 1'!F235</f>
        <v>34247959</v>
      </c>
      <c r="G235" s="7" t="str">
        <f>IFERROR(__xludf.DUMMYFUNCTION("IF('Respuestas de formulario 1'!G235="""","""",IF(LEFT(REGEXREPLACE(TO_TEXT('Respuestas de formulario 1'!G235),""[^0-9]"",""""),2)=""54"",""+""&amp;REGEXREPLACE(TO_TEXT('Respuestas de formulario 1'!G235),""[^0-9]"",""""),""+54""&amp;REGEXREPLACE(TO_TEXT('Respuest"&amp;"as de formulario 1'!G235),""[^0-9]"","""")))"),"+543515136079")</f>
        <v>+543515136079</v>
      </c>
      <c r="H235" s="7">
        <f>'Respuestas de formulario 1'!S235</f>
        <v>2023</v>
      </c>
      <c r="I235" s="7" t="str">
        <f>IFERROR(__xludf.DUMMYFUNCTION("IF('Respuestas de formulario 1'!I235="""","""",TO_TEXT('Respuestas de formulario 1'!I235))"),"Particular")</f>
        <v>Particular</v>
      </c>
      <c r="J235" s="7" t="str">
        <f>IFERROR(__xludf.DUMMYFUNCTION("IF('Respuestas de formulario 1'!J235&lt;&gt;"""",UPPER(TRIM(TO_TEXT('Respuestas de formulario 1'!J235))),IF('Respuestas de formulario 1'!O235&lt;&gt;"""",UPPER(TRIM(TO_TEXT('Respuestas de formulario 1'!O235))),""""))"),"")</f>
        <v/>
      </c>
      <c r="K235" s="7" t="str">
        <f>IFERROR(__xludf.DUMMYFUNCTION("IF('Respuestas de formulario 1'!K235="""","""",TO_TEXT('Respuestas de formulario 1'!K235))"),"")</f>
        <v/>
      </c>
      <c r="L235" s="7" t="str">
        <f>IFERROR(__xludf.DUMMYFUNCTION("IF('Respuestas de formulario 1'!L235="""","""",TO_TEXT('Respuestas de formulario 1'!L235))"),"")</f>
        <v/>
      </c>
      <c r="M235" s="7" t="str">
        <f>IFERROR(__xludf.DUMMYFUNCTION("IF('Respuestas de formulario 1'!M235="""","""",TO_TEXT('Respuestas de formulario 1'!M235))"),"")</f>
        <v/>
      </c>
      <c r="N235" s="7">
        <f t="shared" si="1"/>
        <v>2023</v>
      </c>
      <c r="O235" s="7" t="str">
        <f t="shared" si="2"/>
        <v>julio</v>
      </c>
      <c r="P235" s="7" t="s">
        <v>4673</v>
      </c>
    </row>
    <row r="236">
      <c r="A236" s="19">
        <f>'Respuestas de formulario 1'!A236</f>
        <v>45127.40788</v>
      </c>
      <c r="B236" s="7" t="str">
        <f>'Respuestas de formulario 1'!B236</f>
        <v>Robotti </v>
      </c>
      <c r="C236" s="7" t="str">
        <f>'Respuestas de formulario 1'!C236</f>
        <v>Nicolas</v>
      </c>
      <c r="D236" s="7" t="str">
        <f>'Respuestas de formulario 1'!D236</f>
        <v>nicoarobotti@gmail.com</v>
      </c>
      <c r="E236" s="20">
        <f>'Respuestas de formulario 1'!E236</f>
        <v>29712</v>
      </c>
      <c r="F236" s="7">
        <f>'Respuestas de formulario 1'!F236</f>
        <v>28657714</v>
      </c>
      <c r="G236" s="7" t="str">
        <f>IFERROR(__xludf.DUMMYFUNCTION("IF('Respuestas de formulario 1'!G236="""","""",IF(LEFT(REGEXREPLACE(TO_TEXT('Respuestas de formulario 1'!G236),""[^0-9]"",""""),2)=""54"",""+""&amp;REGEXREPLACE(TO_TEXT('Respuestas de formulario 1'!G236),""[^0-9]"",""""),""+54""&amp;REGEXREPLACE(TO_TEXT('Respuest"&amp;"as de formulario 1'!G236),""[^0-9]"","""")))"),"+5493516747915")</f>
        <v>+5493516747915</v>
      </c>
      <c r="H236" s="7">
        <f>'Respuestas de formulario 1'!S236</f>
        <v>2023</v>
      </c>
      <c r="I236" s="7" t="str">
        <f>IFERROR(__xludf.DUMMYFUNCTION("IF('Respuestas de formulario 1'!I236="""","""",TO_TEXT('Respuestas de formulario 1'!I236))"),"Particular")</f>
        <v>Particular</v>
      </c>
      <c r="J236" s="7" t="str">
        <f>IFERROR(__xludf.DUMMYFUNCTION("IF('Respuestas de formulario 1'!J236&lt;&gt;"""",UPPER(TRIM(TO_TEXT('Respuestas de formulario 1'!J236))),IF('Respuestas de formulario 1'!O236&lt;&gt;"""",UPPER(TRIM(TO_TEXT('Respuestas de formulario 1'!O236))),""""))"),"")</f>
        <v/>
      </c>
      <c r="K236" s="7" t="str">
        <f>IFERROR(__xludf.DUMMYFUNCTION("IF('Respuestas de formulario 1'!K236="""","""",TO_TEXT('Respuestas de formulario 1'!K236))"),"")</f>
        <v/>
      </c>
      <c r="L236" s="7" t="str">
        <f>IFERROR(__xludf.DUMMYFUNCTION("IF('Respuestas de formulario 1'!L236="""","""",TO_TEXT('Respuestas de formulario 1'!L236))"),"")</f>
        <v/>
      </c>
      <c r="M236" s="7" t="str">
        <f>IFERROR(__xludf.DUMMYFUNCTION("IF('Respuestas de formulario 1'!M236="""","""",TO_TEXT('Respuestas de formulario 1'!M236))"),"")</f>
        <v/>
      </c>
      <c r="N236" s="7">
        <f t="shared" si="1"/>
        <v>2023</v>
      </c>
      <c r="O236" s="7" t="str">
        <f t="shared" si="2"/>
        <v>julio</v>
      </c>
      <c r="P236" s="7" t="s">
        <v>4675</v>
      </c>
    </row>
    <row r="237">
      <c r="A237" s="19">
        <f>'Respuestas de formulario 1'!A237</f>
        <v>45127.70542</v>
      </c>
      <c r="B237" s="7" t="str">
        <f>'Respuestas de formulario 1'!B237</f>
        <v>Rios</v>
      </c>
      <c r="C237" s="7" t="str">
        <f>'Respuestas de formulario 1'!C237</f>
        <v>Alejandra</v>
      </c>
      <c r="D237" s="7" t="str">
        <f>'Respuestas de formulario 1'!D237</f>
        <v>alejariosjara@icloud.com</v>
      </c>
      <c r="E237" s="20">
        <f>'Respuestas de formulario 1'!E237</f>
        <v>26220</v>
      </c>
      <c r="F237" s="7">
        <f>'Respuestas de formulario 1'!F237</f>
        <v>22373757</v>
      </c>
      <c r="G237" s="7" t="str">
        <f>IFERROR(__xludf.DUMMYFUNCTION("IF('Respuestas de formulario 1'!G237="""","""",IF(LEFT(REGEXREPLACE(TO_TEXT('Respuestas de formulario 1'!G237),""[^0-9]"",""""),2)=""54"",""+""&amp;REGEXREPLACE(TO_TEXT('Respuestas de formulario 1'!G237),""[^0-9]"",""""),""+54""&amp;REGEXREPLACE(TO_TEXT('Respuest"&amp;"as de formulario 1'!G237),""[^0-9]"","""")))"),"+543512956100")</f>
        <v>+543512956100</v>
      </c>
      <c r="H237" s="7">
        <f>'Respuestas de formulario 1'!S237</f>
        <v>2023</v>
      </c>
      <c r="I237" s="7" t="str">
        <f>IFERROR(__xludf.DUMMYFUNCTION("IF('Respuestas de formulario 1'!I237="""","""",TO_TEXT('Respuestas de formulario 1'!I237))"),"Particular")</f>
        <v>Particular</v>
      </c>
      <c r="J237" s="7" t="str">
        <f>IFERROR(__xludf.DUMMYFUNCTION("IF('Respuestas de formulario 1'!J237&lt;&gt;"""",UPPER(TRIM(TO_TEXT('Respuestas de formulario 1'!J237))),IF('Respuestas de formulario 1'!O237&lt;&gt;"""",UPPER(TRIM(TO_TEXT('Respuestas de formulario 1'!O237))),""""))"),"")</f>
        <v/>
      </c>
      <c r="K237" s="7" t="str">
        <f>IFERROR(__xludf.DUMMYFUNCTION("IF('Respuestas de formulario 1'!K237="""","""",TO_TEXT('Respuestas de formulario 1'!K237))"),"")</f>
        <v/>
      </c>
      <c r="L237" s="7" t="str">
        <f>IFERROR(__xludf.DUMMYFUNCTION("IF('Respuestas de formulario 1'!L237="""","""",TO_TEXT('Respuestas de formulario 1'!L237))"),"")</f>
        <v/>
      </c>
      <c r="M237" s="7" t="str">
        <f>IFERROR(__xludf.DUMMYFUNCTION("IF('Respuestas de formulario 1'!M237="""","""",TO_TEXT('Respuestas de formulario 1'!M237))"),"")</f>
        <v/>
      </c>
      <c r="N237" s="7">
        <f t="shared" si="1"/>
        <v>2023</v>
      </c>
      <c r="O237" s="7" t="str">
        <f t="shared" si="2"/>
        <v>julio</v>
      </c>
      <c r="P237" s="7" t="s">
        <v>4677</v>
      </c>
    </row>
    <row r="238">
      <c r="A238" s="19">
        <f>'Respuestas de formulario 1'!A238</f>
        <v>45128.48401</v>
      </c>
      <c r="B238" s="7" t="str">
        <f>'Respuestas de formulario 1'!B238</f>
        <v>Baruffaldi</v>
      </c>
      <c r="C238" s="7" t="str">
        <f>'Respuestas de formulario 1'!C238</f>
        <v>María elena</v>
      </c>
      <c r="D238" s="7" t="str">
        <f>'Respuestas de formulario 1'!D238</f>
        <v>baruffaldi.mariaelena@hotmail.com</v>
      </c>
      <c r="E238" s="20">
        <f>'Respuestas de formulario 1'!E238</f>
        <v>20275</v>
      </c>
      <c r="F238" s="7">
        <f>'Respuestas de formulario 1'!F238</f>
        <v>11515792</v>
      </c>
      <c r="G238" s="7" t="str">
        <f>IFERROR(__xludf.DUMMYFUNCTION("IF('Respuestas de formulario 1'!G238="""","""",IF(LEFT(REGEXREPLACE(TO_TEXT('Respuestas de formulario 1'!G238),""[^0-9]"",""""),2)=""54"",""+""&amp;REGEXREPLACE(TO_TEXT('Respuestas de formulario 1'!G238),""[^0-9]"",""""),""+54""&amp;REGEXREPLACE(TO_TEXT('Respuest"&amp;"as de formulario 1'!G238),""[^0-9]"","""")))"),"+543512355487")</f>
        <v>+543512355487</v>
      </c>
      <c r="H238" s="7">
        <f>'Respuestas de formulario 1'!S238</f>
        <v>2023</v>
      </c>
      <c r="I238" s="7" t="str">
        <f>IFERROR(__xludf.DUMMYFUNCTION("IF('Respuestas de formulario 1'!I238="""","""",TO_TEXT('Respuestas de formulario 1'!I238))"),"Obra social")</f>
        <v>Obra social</v>
      </c>
      <c r="J238" s="7" t="str">
        <f>IFERROR(__xludf.DUMMYFUNCTION("IF('Respuestas de formulario 1'!J238&lt;&gt;"""",UPPER(TRIM(TO_TEXT('Respuestas de formulario 1'!J238))),IF('Respuestas de formulario 1'!O238&lt;&gt;"""",UPPER(TRIM(TO_TEXT('Respuestas de formulario 1'!O238))),""""))"),"APROSS")</f>
        <v>APROSS</v>
      </c>
      <c r="K238" s="7" t="str">
        <f>IFERROR(__xludf.DUMMYFUNCTION("IF('Respuestas de formulario 1'!K238="""","""",TO_TEXT('Respuestas de formulario 1'!K238))"),"")</f>
        <v/>
      </c>
      <c r="L238" s="7" t="str">
        <f>IFERROR(__xludf.DUMMYFUNCTION("IF('Respuestas de formulario 1'!L238="""","""",TO_TEXT('Respuestas de formulario 1'!L238))"),"")</f>
        <v/>
      </c>
      <c r="M238" s="7" t="str">
        <f>IFERROR(__xludf.DUMMYFUNCTION("IF('Respuestas de formulario 1'!M238="""","""",TO_TEXT('Respuestas de formulario 1'!M238))"),"")</f>
        <v/>
      </c>
      <c r="N238" s="7">
        <f t="shared" si="1"/>
        <v>2023</v>
      </c>
      <c r="O238" s="7" t="str">
        <f t="shared" si="2"/>
        <v>julio</v>
      </c>
      <c r="P238" s="7" t="s">
        <v>4679</v>
      </c>
    </row>
    <row r="239">
      <c r="A239" s="19">
        <f>'Respuestas de formulario 1'!A239</f>
        <v>45131.44323</v>
      </c>
      <c r="B239" s="7" t="str">
        <f>'Respuestas de formulario 1'!B239</f>
        <v>Martich Oviedo</v>
      </c>
      <c r="C239" s="7" t="str">
        <f>'Respuestas de formulario 1'!C239</f>
        <v>Tadeo</v>
      </c>
      <c r="D239" s="7" t="str">
        <f>'Respuestas de formulario 1'!D239</f>
        <v>oviedo3231@gmail.com</v>
      </c>
      <c r="E239" s="20">
        <f>'Respuestas de formulario 1'!E239</f>
        <v>39895</v>
      </c>
      <c r="F239" s="7">
        <f>'Respuestas de formulario 1'!F239</f>
        <v>49404056</v>
      </c>
      <c r="G239" s="7" t="str">
        <f>IFERROR(__xludf.DUMMYFUNCTION("IF('Respuestas de formulario 1'!G239="""","""",IF(LEFT(REGEXREPLACE(TO_TEXT('Respuestas de formulario 1'!G239),""[^0-9]"",""""),2)=""54"",""+""&amp;REGEXREPLACE(TO_TEXT('Respuestas de formulario 1'!G239),""[^0-9]"",""""),""+54""&amp;REGEXREPLACE(TO_TEXT('Respuest"&amp;"as de formulario 1'!G239),""[^0-9]"","""")))"),"+543512372941")</f>
        <v>+543512372941</v>
      </c>
      <c r="H239" s="7">
        <f>'Respuestas de formulario 1'!S239</f>
        <v>2023</v>
      </c>
      <c r="I239" s="7" t="str">
        <f>IFERROR(__xludf.DUMMYFUNCTION("IF('Respuestas de formulario 1'!I239="""","""",TO_TEXT('Respuestas de formulario 1'!I239))"),"Obra social")</f>
        <v>Obra social</v>
      </c>
      <c r="J239" s="7" t="str">
        <f>IFERROR(__xludf.DUMMYFUNCTION("IF('Respuestas de formulario 1'!J239&lt;&gt;"""",UPPER(TRIM(TO_TEXT('Respuestas de formulario 1'!J239))),IF('Respuestas de formulario 1'!O239&lt;&gt;"""",UPPER(TRIM(TO_TEXT('Respuestas de formulario 1'!O239))),""""))"),"CPCE")</f>
        <v>CPCE</v>
      </c>
      <c r="K239" s="7" t="str">
        <f>IFERROR(__xludf.DUMMYFUNCTION("IF('Respuestas de formulario 1'!K239="""","""",TO_TEXT('Respuestas de formulario 1'!K239))"),"")</f>
        <v/>
      </c>
      <c r="L239" s="7" t="str">
        <f>IFERROR(__xludf.DUMMYFUNCTION("IF('Respuestas de formulario 1'!L239="""","""",TO_TEXT('Respuestas de formulario 1'!L239))"),"")</f>
        <v/>
      </c>
      <c r="M239" s="7" t="str">
        <f>IFERROR(__xludf.DUMMYFUNCTION("IF('Respuestas de formulario 1'!M239="""","""",TO_TEXT('Respuestas de formulario 1'!M239))"),"")</f>
        <v/>
      </c>
      <c r="N239" s="7">
        <f t="shared" si="1"/>
        <v>2023</v>
      </c>
      <c r="O239" s="7" t="str">
        <f t="shared" si="2"/>
        <v>julio</v>
      </c>
      <c r="P239" s="7" t="s">
        <v>4681</v>
      </c>
    </row>
    <row r="240">
      <c r="A240" s="19">
        <f>'Respuestas de formulario 1'!A240</f>
        <v>45131.50258</v>
      </c>
      <c r="B240" s="7" t="str">
        <f>'Respuestas de formulario 1'!B240</f>
        <v>Castro</v>
      </c>
      <c r="C240" s="7" t="str">
        <f>'Respuestas de formulario 1'!C240</f>
        <v>Antonia Matilde</v>
      </c>
      <c r="D240" s="7" t="str">
        <f>'Respuestas de formulario 1'!D240</f>
        <v>piojin@live.com</v>
      </c>
      <c r="E240" s="20">
        <f>'Respuestas de formulario 1'!E240</f>
        <v>15395</v>
      </c>
      <c r="F240" s="7">
        <f>'Respuestas de formulario 1'!F240</f>
        <v>4129035</v>
      </c>
      <c r="G240" s="7" t="str">
        <f>IFERROR(__xludf.DUMMYFUNCTION("IF('Respuestas de formulario 1'!G240="""","""",IF(LEFT(REGEXREPLACE(TO_TEXT('Respuestas de formulario 1'!G240),""[^0-9]"",""""),2)=""54"",""+""&amp;REGEXREPLACE(TO_TEXT('Respuestas de formulario 1'!G240),""[^0-9]"",""""),""+54""&amp;REGEXREPLACE(TO_TEXT('Respuest"&amp;"as de formulario 1'!G240),""[^0-9]"","""")))"),"+543513565063")</f>
        <v>+543513565063</v>
      </c>
      <c r="H240" s="7">
        <f>'Respuestas de formulario 1'!S240</f>
        <v>2023</v>
      </c>
      <c r="I240" s="7" t="str">
        <f>IFERROR(__xludf.DUMMYFUNCTION("IF('Respuestas de formulario 1'!I240="""","""",TO_TEXT('Respuestas de formulario 1'!I240))"),"Particular")</f>
        <v>Particular</v>
      </c>
      <c r="J240" s="7" t="str">
        <f>IFERROR(__xludf.DUMMYFUNCTION("IF('Respuestas de formulario 1'!J240&lt;&gt;"""",UPPER(TRIM(TO_TEXT('Respuestas de formulario 1'!J240))),IF('Respuestas de formulario 1'!O240&lt;&gt;"""",UPPER(TRIM(TO_TEXT('Respuestas de formulario 1'!O240))),""""))"),"")</f>
        <v/>
      </c>
      <c r="K240" s="7" t="str">
        <f>IFERROR(__xludf.DUMMYFUNCTION("IF('Respuestas de formulario 1'!K240="""","""",TO_TEXT('Respuestas de formulario 1'!K240))"),"")</f>
        <v/>
      </c>
      <c r="L240" s="7" t="str">
        <f>IFERROR(__xludf.DUMMYFUNCTION("IF('Respuestas de formulario 1'!L240="""","""",TO_TEXT('Respuestas de formulario 1'!L240))"),"")</f>
        <v/>
      </c>
      <c r="M240" s="7" t="str">
        <f>IFERROR(__xludf.DUMMYFUNCTION("IF('Respuestas de formulario 1'!M240="""","""",TO_TEXT('Respuestas de formulario 1'!M240))"),"")</f>
        <v/>
      </c>
      <c r="N240" s="7">
        <f t="shared" si="1"/>
        <v>2023</v>
      </c>
      <c r="O240" s="7" t="str">
        <f t="shared" si="2"/>
        <v>julio</v>
      </c>
      <c r="P240" s="7" t="s">
        <v>4683</v>
      </c>
    </row>
    <row r="241">
      <c r="A241" s="19">
        <f>'Respuestas de formulario 1'!A241</f>
        <v>45131.79479</v>
      </c>
      <c r="B241" s="7" t="str">
        <f>'Respuestas de formulario 1'!B241</f>
        <v>Davila</v>
      </c>
      <c r="C241" s="7" t="str">
        <f>'Respuestas de formulario 1'!C241</f>
        <v>Paulo</v>
      </c>
      <c r="D241" s="7" t="str">
        <f>'Respuestas de formulario 1'!D241</f>
        <v>paulo_davila@hotmail.com</v>
      </c>
      <c r="E241" s="20">
        <f>'Respuestas de formulario 1'!E241</f>
        <v>27580</v>
      </c>
      <c r="F241" s="7">
        <f>'Respuestas de formulario 1'!F241</f>
        <v>24687262</v>
      </c>
      <c r="G241" s="7" t="str">
        <f>IFERROR(__xludf.DUMMYFUNCTION("IF('Respuestas de formulario 1'!G241="""","""",IF(LEFT(REGEXREPLACE(TO_TEXT('Respuestas de formulario 1'!G241),""[^0-9]"",""""),2)=""54"",""+""&amp;REGEXREPLACE(TO_TEXT('Respuestas de formulario 1'!G241),""[^0-9]"",""""),""+54""&amp;REGEXREPLACE(TO_TEXT('Respuest"&amp;"as de formulario 1'!G241),""[^0-9]"","""")))"),"+543513022880")</f>
        <v>+543513022880</v>
      </c>
      <c r="H241" s="7">
        <f>'Respuestas de formulario 1'!S241</f>
        <v>2023</v>
      </c>
      <c r="I241" s="7" t="str">
        <f>IFERROR(__xludf.DUMMYFUNCTION("IF('Respuestas de formulario 1'!I241="""","""",TO_TEXT('Respuestas de formulario 1'!I241))"),"Particular")</f>
        <v>Particular</v>
      </c>
      <c r="J241" s="7" t="str">
        <f>IFERROR(__xludf.DUMMYFUNCTION("IF('Respuestas de formulario 1'!J241&lt;&gt;"""",UPPER(TRIM(TO_TEXT('Respuestas de formulario 1'!J241))),IF('Respuestas de formulario 1'!O241&lt;&gt;"""",UPPER(TRIM(TO_TEXT('Respuestas de formulario 1'!O241))),""""))"),"")</f>
        <v/>
      </c>
      <c r="K241" s="7" t="str">
        <f>IFERROR(__xludf.DUMMYFUNCTION("IF('Respuestas de formulario 1'!K241="""","""",TO_TEXT('Respuestas de formulario 1'!K241))"),"")</f>
        <v/>
      </c>
      <c r="L241" s="7" t="str">
        <f>IFERROR(__xludf.DUMMYFUNCTION("IF('Respuestas de formulario 1'!L241="""","""",TO_TEXT('Respuestas de formulario 1'!L241))"),"")</f>
        <v/>
      </c>
      <c r="M241" s="7" t="str">
        <f>IFERROR(__xludf.DUMMYFUNCTION("IF('Respuestas de formulario 1'!M241="""","""",TO_TEXT('Respuestas de formulario 1'!M241))"),"")</f>
        <v/>
      </c>
      <c r="N241" s="7">
        <f t="shared" si="1"/>
        <v>2023</v>
      </c>
      <c r="O241" s="7" t="str">
        <f t="shared" si="2"/>
        <v>julio</v>
      </c>
      <c r="P241" s="7" t="s">
        <v>4685</v>
      </c>
    </row>
    <row r="242">
      <c r="A242" s="19">
        <f>'Respuestas de formulario 1'!A242</f>
        <v>45132.06267</v>
      </c>
      <c r="B242" s="7" t="str">
        <f>'Respuestas de formulario 1'!B242</f>
        <v>Farias</v>
      </c>
      <c r="C242" s="7" t="str">
        <f>'Respuestas de formulario 1'!C242</f>
        <v>Matias</v>
      </c>
      <c r="D242" s="7" t="str">
        <f>'Respuestas de formulario 1'!D242</f>
        <v>matias2exe@gmail.com</v>
      </c>
      <c r="E242" s="20">
        <f>'Respuestas de formulario 1'!E242</f>
        <v>31256</v>
      </c>
      <c r="F242" s="7">
        <f>'Respuestas de formulario 1'!F242</f>
        <v>31742298</v>
      </c>
      <c r="G242" s="7" t="str">
        <f>IFERROR(__xludf.DUMMYFUNCTION("IF('Respuestas de formulario 1'!G242="""","""",IF(LEFT(REGEXREPLACE(TO_TEXT('Respuestas de formulario 1'!G242),""[^0-9]"",""""),2)=""54"",""+""&amp;REGEXREPLACE(TO_TEXT('Respuestas de formulario 1'!G242),""[^0-9]"",""""),""+54""&amp;REGEXREPLACE(TO_TEXT('Respuest"&amp;"as de formulario 1'!G242),""[^0-9]"","""")))"),"+543516514821")</f>
        <v>+543516514821</v>
      </c>
      <c r="H242" s="7">
        <f>'Respuestas de formulario 1'!S242</f>
        <v>2023</v>
      </c>
      <c r="I242" s="7" t="str">
        <f>IFERROR(__xludf.DUMMYFUNCTION("IF('Respuestas de formulario 1'!I242="""","""",TO_TEXT('Respuestas de formulario 1'!I242))"),"Particular")</f>
        <v>Particular</v>
      </c>
      <c r="J242" s="7" t="str">
        <f>IFERROR(__xludf.DUMMYFUNCTION("IF('Respuestas de formulario 1'!J242&lt;&gt;"""",UPPER(TRIM(TO_TEXT('Respuestas de formulario 1'!J242))),IF('Respuestas de formulario 1'!O242&lt;&gt;"""",UPPER(TRIM(TO_TEXT('Respuestas de formulario 1'!O242))),""""))"),"")</f>
        <v/>
      </c>
      <c r="K242" s="7" t="str">
        <f>IFERROR(__xludf.DUMMYFUNCTION("IF('Respuestas de formulario 1'!K242="""","""",TO_TEXT('Respuestas de formulario 1'!K242))"),"")</f>
        <v/>
      </c>
      <c r="L242" s="7" t="str">
        <f>IFERROR(__xludf.DUMMYFUNCTION("IF('Respuestas de formulario 1'!L242="""","""",TO_TEXT('Respuestas de formulario 1'!L242))"),"")</f>
        <v/>
      </c>
      <c r="M242" s="7" t="str">
        <f>IFERROR(__xludf.DUMMYFUNCTION("IF('Respuestas de formulario 1'!M242="""","""",TO_TEXT('Respuestas de formulario 1'!M242))"),"")</f>
        <v/>
      </c>
      <c r="N242" s="7">
        <f t="shared" si="1"/>
        <v>2023</v>
      </c>
      <c r="O242" s="7" t="str">
        <f t="shared" si="2"/>
        <v>julio</v>
      </c>
      <c r="P242" s="7" t="s">
        <v>4687</v>
      </c>
    </row>
    <row r="243">
      <c r="A243" s="19">
        <f>'Respuestas de formulario 1'!A243</f>
        <v>45132.39861</v>
      </c>
      <c r="B243" s="7" t="str">
        <f>'Respuestas de formulario 1'!B243</f>
        <v>Bomone </v>
      </c>
      <c r="C243" s="7" t="str">
        <f>'Respuestas de formulario 1'!C243</f>
        <v>Santiago</v>
      </c>
      <c r="D243" s="7" t="str">
        <f>'Respuestas de formulario 1'!D243</f>
        <v>santiago1420@live.com</v>
      </c>
      <c r="E243" s="20">
        <f>'Respuestas de formulario 1'!E243</f>
        <v>35184</v>
      </c>
      <c r="F243" s="7">
        <f>'Respuestas de formulario 1'!F243</f>
        <v>39445006</v>
      </c>
      <c r="G243" s="7" t="str">
        <f>IFERROR(__xludf.DUMMYFUNCTION("IF('Respuestas de formulario 1'!G243="""","""",IF(LEFT(REGEXREPLACE(TO_TEXT('Respuestas de formulario 1'!G243),""[^0-9]"",""""),2)=""54"",""+""&amp;REGEXREPLACE(TO_TEXT('Respuestas de formulario 1'!G243),""[^0-9]"",""""),""+54""&amp;REGEXREPLACE(TO_TEXT('Respuest"&amp;"as de formulario 1'!G243),""[^0-9]"","""")))"),"+543513071620")</f>
        <v>+543513071620</v>
      </c>
      <c r="H243" s="7">
        <f>'Respuestas de formulario 1'!S243</f>
        <v>2023</v>
      </c>
      <c r="I243" s="7" t="str">
        <f>IFERROR(__xludf.DUMMYFUNCTION("IF('Respuestas de formulario 1'!I243="""","""",TO_TEXT('Respuestas de formulario 1'!I243))"),"Obra social")</f>
        <v>Obra social</v>
      </c>
      <c r="J243" s="7" t="str">
        <f>IFERROR(__xludf.DUMMYFUNCTION("IF('Respuestas de formulario 1'!J243&lt;&gt;"""",UPPER(TRIM(TO_TEXT('Respuestas de formulario 1'!J243))),IF('Respuestas de formulario 1'!O243&lt;&gt;"""",UPPER(TRIM(TO_TEXT('Respuestas de formulario 1'!O243))),""""))"),"SANCOR")</f>
        <v>SANCOR</v>
      </c>
      <c r="K243" s="7" t="str">
        <f>IFERROR(__xludf.DUMMYFUNCTION("IF('Respuestas de formulario 1'!K243="""","""",TO_TEXT('Respuestas de formulario 1'!K243))"),"")</f>
        <v/>
      </c>
      <c r="L243" s="7" t="str">
        <f>IFERROR(__xludf.DUMMYFUNCTION("IF('Respuestas de formulario 1'!L243="""","""",TO_TEXT('Respuestas de formulario 1'!L243))"),"")</f>
        <v/>
      </c>
      <c r="M243" s="7" t="str">
        <f>IFERROR(__xludf.DUMMYFUNCTION("IF('Respuestas de formulario 1'!M243="""","""",TO_TEXT('Respuestas de formulario 1'!M243))"),"")</f>
        <v/>
      </c>
      <c r="N243" s="7">
        <f t="shared" si="1"/>
        <v>2023</v>
      </c>
      <c r="O243" s="7" t="str">
        <f t="shared" si="2"/>
        <v>julio</v>
      </c>
      <c r="P243" s="7" t="s">
        <v>4689</v>
      </c>
    </row>
    <row r="244">
      <c r="A244" s="19">
        <f>'Respuestas de formulario 1'!A244</f>
        <v>45132.81521</v>
      </c>
      <c r="B244" s="7" t="str">
        <f>'Respuestas de formulario 1'!B244</f>
        <v>Bulacio Guerrero </v>
      </c>
      <c r="C244" s="7" t="str">
        <f>'Respuestas de formulario 1'!C244</f>
        <v>María Belén </v>
      </c>
      <c r="D244" s="7" t="str">
        <f>'Respuestas de formulario 1'!D244</f>
        <v>mabulacioguerrero@gmail.com</v>
      </c>
      <c r="E244" s="20">
        <f>'Respuestas de formulario 1'!E244</f>
        <v>32480</v>
      </c>
      <c r="F244" s="7">
        <f>'Respuestas de formulario 1'!F244</f>
        <v>33884547</v>
      </c>
      <c r="G244" s="7" t="str">
        <f>IFERROR(__xludf.DUMMYFUNCTION("IF('Respuestas de formulario 1'!G244="""","""",IF(LEFT(REGEXREPLACE(TO_TEXT('Respuestas de formulario 1'!G244),""[^0-9]"",""""),2)=""54"",""+""&amp;REGEXREPLACE(TO_TEXT('Respuestas de formulario 1'!G244),""[^0-9]"",""""),""+54""&amp;REGEXREPLACE(TO_TEXT('Respuest"&amp;"as de formulario 1'!G244),""[^0-9]"","""")))"),"+543516357888")</f>
        <v>+543516357888</v>
      </c>
      <c r="H244" s="7">
        <f>'Respuestas de formulario 1'!S244</f>
        <v>2023</v>
      </c>
      <c r="I244" s="7" t="str">
        <f>IFERROR(__xludf.DUMMYFUNCTION("IF('Respuestas de formulario 1'!I244="""","""",TO_TEXT('Respuestas de formulario 1'!I244))"),"Obra social")</f>
        <v>Obra social</v>
      </c>
      <c r="J244" s="7" t="str">
        <f>IFERROR(__xludf.DUMMYFUNCTION("IF('Respuestas de formulario 1'!J244&lt;&gt;"""",UPPER(TRIM(TO_TEXT('Respuestas de formulario 1'!J244))),IF('Respuestas de formulario 1'!O244&lt;&gt;"""",UPPER(TRIM(TO_TEXT('Respuestas de formulario 1'!O244))),""""))"),"PREVENCIÓN")</f>
        <v>PREVENCIÓN</v>
      </c>
      <c r="K244" s="7" t="str">
        <f>IFERROR(__xludf.DUMMYFUNCTION("IF('Respuestas de formulario 1'!K244="""","""",TO_TEXT('Respuestas de formulario 1'!K244))"),"")</f>
        <v/>
      </c>
      <c r="L244" s="7" t="str">
        <f>IFERROR(__xludf.DUMMYFUNCTION("IF('Respuestas de formulario 1'!L244="""","""",TO_TEXT('Respuestas de formulario 1'!L244))"),"")</f>
        <v/>
      </c>
      <c r="M244" s="7" t="str">
        <f>IFERROR(__xludf.DUMMYFUNCTION("IF('Respuestas de formulario 1'!M244="""","""",TO_TEXT('Respuestas de formulario 1'!M244))"),"")</f>
        <v/>
      </c>
      <c r="N244" s="7">
        <f t="shared" si="1"/>
        <v>2023</v>
      </c>
      <c r="O244" s="7" t="str">
        <f t="shared" si="2"/>
        <v>julio</v>
      </c>
      <c r="P244" s="7" t="s">
        <v>4691</v>
      </c>
    </row>
    <row r="245">
      <c r="A245" s="19">
        <f>'Respuestas de formulario 1'!A245</f>
        <v>45133.66968</v>
      </c>
      <c r="B245" s="7" t="str">
        <f>'Respuestas de formulario 1'!B245</f>
        <v>Francile</v>
      </c>
      <c r="C245" s="7" t="str">
        <f>'Respuestas de formulario 1'!C245</f>
        <v>Juan</v>
      </c>
      <c r="D245" s="7" t="str">
        <f>'Respuestas de formulario 1'!D245</f>
        <v>juan.francile@gmail.com</v>
      </c>
      <c r="E245" s="20">
        <f>'Respuestas de formulario 1'!E245</f>
        <v>32072</v>
      </c>
      <c r="F245" s="7">
        <f>'Respuestas de formulario 1'!F245</f>
        <v>33381310</v>
      </c>
      <c r="G245" s="7" t="str">
        <f>IFERROR(__xludf.DUMMYFUNCTION("IF('Respuestas de formulario 1'!G245="""","""",IF(LEFT(REGEXREPLACE(TO_TEXT('Respuestas de formulario 1'!G245),""[^0-9]"",""""),2)=""54"",""+""&amp;REGEXREPLACE(TO_TEXT('Respuestas de formulario 1'!G245),""[^0-9]"",""""),""+54""&amp;REGEXREPLACE(TO_TEXT('Respuest"&amp;"as de formulario 1'!G245),""[^0-9]"","""")))"),"+543516157379")</f>
        <v>+543516157379</v>
      </c>
      <c r="H245" s="7">
        <f>'Respuestas de formulario 1'!S245</f>
        <v>2023</v>
      </c>
      <c r="I245" s="7" t="str">
        <f>IFERROR(__xludf.DUMMYFUNCTION("IF('Respuestas de formulario 1'!I245="""","""",TO_TEXT('Respuestas de formulario 1'!I245))"),"Obra social")</f>
        <v>Obra social</v>
      </c>
      <c r="J245" s="7" t="str">
        <f>IFERROR(__xludf.DUMMYFUNCTION("IF('Respuestas de formulario 1'!J245&lt;&gt;"""",UPPER(TRIM(TO_TEXT('Respuestas de formulario 1'!J245))),IF('Respuestas de formulario 1'!O245&lt;&gt;"""",UPPER(TRIM(TO_TEXT('Respuestas de formulario 1'!O245))),""""))"),"PREVENCIÓN")</f>
        <v>PREVENCIÓN</v>
      </c>
      <c r="K245" s="7" t="str">
        <f>IFERROR(__xludf.DUMMYFUNCTION("IF('Respuestas de formulario 1'!K245="""","""",TO_TEXT('Respuestas de formulario 1'!K245))"),"")</f>
        <v/>
      </c>
      <c r="L245" s="7" t="str">
        <f>IFERROR(__xludf.DUMMYFUNCTION("IF('Respuestas de formulario 1'!L245="""","""",TO_TEXT('Respuestas de formulario 1'!L245))"),"")</f>
        <v/>
      </c>
      <c r="M245" s="7" t="str">
        <f>IFERROR(__xludf.DUMMYFUNCTION("IF('Respuestas de formulario 1'!M245="""","""",TO_TEXT('Respuestas de formulario 1'!M245))"),"")</f>
        <v/>
      </c>
      <c r="N245" s="7">
        <f t="shared" si="1"/>
        <v>2023</v>
      </c>
      <c r="O245" s="7" t="str">
        <f t="shared" si="2"/>
        <v>julio</v>
      </c>
      <c r="P245" s="7" t="s">
        <v>4693</v>
      </c>
    </row>
    <row r="246">
      <c r="A246" s="19">
        <f>'Respuestas de formulario 1'!A246</f>
        <v>45134.64874</v>
      </c>
      <c r="B246" s="7" t="str">
        <f>'Respuestas de formulario 1'!B246</f>
        <v>Battistoni </v>
      </c>
      <c r="C246" s="7" t="str">
        <f>'Respuestas de formulario 1'!C246</f>
        <v>Lautaro </v>
      </c>
      <c r="D246" s="7" t="str">
        <f>'Respuestas de formulario 1'!D246</f>
        <v>battistonilauti@gmail.com</v>
      </c>
      <c r="E246" s="20">
        <f>'Respuestas de formulario 1'!E246</f>
        <v>38269</v>
      </c>
      <c r="F246" s="7">
        <f>'Respuestas de formulario 1'!F246</f>
        <v>45835079</v>
      </c>
      <c r="G246" s="7" t="str">
        <f>IFERROR(__xludf.DUMMYFUNCTION("IF('Respuestas de formulario 1'!G246="""","""",IF(LEFT(REGEXREPLACE(TO_TEXT('Respuestas de formulario 1'!G246),""[^0-9]"",""""),2)=""54"",""+""&amp;REGEXREPLACE(TO_TEXT('Respuestas de formulario 1'!G246),""[^0-9]"",""""),""+54""&amp;REGEXREPLACE(TO_TEXT('Respuest"&amp;"as de formulario 1'!G246),""[^0-9]"","""")))"),"+543517143835")</f>
        <v>+543517143835</v>
      </c>
      <c r="H246" s="7">
        <f>'Respuestas de formulario 1'!S246</f>
        <v>2023</v>
      </c>
      <c r="I246" s="7" t="str">
        <f>IFERROR(__xludf.DUMMYFUNCTION("IF('Respuestas de formulario 1'!I246="""","""",TO_TEXT('Respuestas de formulario 1'!I246))"),"Obra social")</f>
        <v>Obra social</v>
      </c>
      <c r="J246" s="7" t="str">
        <f>IFERROR(__xludf.DUMMYFUNCTION("IF('Respuestas de formulario 1'!J246&lt;&gt;"""",UPPER(TRIM(TO_TEXT('Respuestas de formulario 1'!J246))),IF('Respuestas de formulario 1'!O246&lt;&gt;"""",UPPER(TRIM(TO_TEXT('Respuestas de formulario 1'!O246))),""""))"),"PREVENCIÓN")</f>
        <v>PREVENCIÓN</v>
      </c>
      <c r="K246" s="7" t="str">
        <f>IFERROR(__xludf.DUMMYFUNCTION("IF('Respuestas de formulario 1'!K246="""","""",TO_TEXT('Respuestas de formulario 1'!K246))"),"")</f>
        <v/>
      </c>
      <c r="L246" s="7" t="str">
        <f>IFERROR(__xludf.DUMMYFUNCTION("IF('Respuestas de formulario 1'!L246="""","""",TO_TEXT('Respuestas de formulario 1'!L246))"),"")</f>
        <v/>
      </c>
      <c r="M246" s="7" t="str">
        <f>IFERROR(__xludf.DUMMYFUNCTION("IF('Respuestas de formulario 1'!M246="""","""",TO_TEXT('Respuestas de formulario 1'!M246))"),"")</f>
        <v/>
      </c>
      <c r="N246" s="7">
        <f t="shared" si="1"/>
        <v>2023</v>
      </c>
      <c r="O246" s="7" t="str">
        <f t="shared" si="2"/>
        <v>julio</v>
      </c>
      <c r="P246" s="7" t="s">
        <v>4695</v>
      </c>
    </row>
    <row r="247">
      <c r="A247" s="19">
        <f>'Respuestas de formulario 1'!A247</f>
        <v>45134.6845</v>
      </c>
      <c r="B247" s="7" t="str">
        <f>'Respuestas de formulario 1'!B247</f>
        <v>Conrero</v>
      </c>
      <c r="C247" s="7" t="str">
        <f>'Respuestas de formulario 1'!C247</f>
        <v>Maximiliano</v>
      </c>
      <c r="D247" s="7" t="str">
        <f>'Respuestas de formulario 1'!D247</f>
        <v>maxicongar@gmail.com</v>
      </c>
      <c r="E247" s="20">
        <f>'Respuestas de formulario 1'!E247</f>
        <v>37125</v>
      </c>
      <c r="F247" s="7">
        <f>'Respuestas de formulario 1'!F247</f>
        <v>43559617</v>
      </c>
      <c r="G247" s="7" t="str">
        <f>IFERROR(__xludf.DUMMYFUNCTION("IF('Respuestas de formulario 1'!G247="""","""",IF(LEFT(REGEXREPLACE(TO_TEXT('Respuestas de formulario 1'!G247),""[^0-9]"",""""),2)=""54"",""+""&amp;REGEXREPLACE(TO_TEXT('Respuestas de formulario 1'!G247),""[^0-9]"",""""),""+54""&amp;REGEXREPLACE(TO_TEXT('Respuest"&amp;"as de formulario 1'!G247),""[^0-9]"","""")))"),"+543515604413")</f>
        <v>+543515604413</v>
      </c>
      <c r="H247" s="7">
        <f>'Respuestas de formulario 1'!S247</f>
        <v>2023</v>
      </c>
      <c r="I247" s="7" t="str">
        <f>IFERROR(__xludf.DUMMYFUNCTION("IF('Respuestas de formulario 1'!I247="""","""",TO_TEXT('Respuestas de formulario 1'!I247))"),"Obra social")</f>
        <v>Obra social</v>
      </c>
      <c r="J247" s="7" t="str">
        <f>IFERROR(__xludf.DUMMYFUNCTION("IF('Respuestas de formulario 1'!J247&lt;&gt;"""",UPPER(TRIM(TO_TEXT('Respuestas de formulario 1'!J247))),IF('Respuestas de formulario 1'!O247&lt;&gt;"""",UPPER(TRIM(TO_TEXT('Respuestas de formulario 1'!O247))),""""))"),"MEDIFÉ")</f>
        <v>MEDIFÉ</v>
      </c>
      <c r="K247" s="7" t="str">
        <f>IFERROR(__xludf.DUMMYFUNCTION("IF('Respuestas de formulario 1'!K247="""","""",TO_TEXT('Respuestas de formulario 1'!K247))"),"")</f>
        <v/>
      </c>
      <c r="L247" s="7" t="str">
        <f>IFERROR(__xludf.DUMMYFUNCTION("IF('Respuestas de formulario 1'!L247="""","""",TO_TEXT('Respuestas de formulario 1'!L247))"),"")</f>
        <v/>
      </c>
      <c r="M247" s="7" t="str">
        <f>IFERROR(__xludf.DUMMYFUNCTION("IF('Respuestas de formulario 1'!M247="""","""",TO_TEXT('Respuestas de formulario 1'!M247))"),"")</f>
        <v/>
      </c>
      <c r="N247" s="7">
        <f t="shared" si="1"/>
        <v>2023</v>
      </c>
      <c r="O247" s="7" t="str">
        <f t="shared" si="2"/>
        <v>julio</v>
      </c>
      <c r="P247" s="7" t="s">
        <v>4697</v>
      </c>
    </row>
    <row r="248">
      <c r="A248" s="19">
        <f>'Respuestas de formulario 1'!A248</f>
        <v>45134.79799</v>
      </c>
      <c r="B248" s="7" t="str">
        <f>'Respuestas de formulario 1'!B248</f>
        <v>Lopez</v>
      </c>
      <c r="C248" s="7" t="str">
        <f>'Respuestas de formulario 1'!C248</f>
        <v>Marcelo</v>
      </c>
      <c r="D248" s="7" t="str">
        <f>'Respuestas de formulario 1'!D248</f>
        <v>marcelogustavolopez98@gmail.com</v>
      </c>
      <c r="E248" s="20">
        <f>'Respuestas de formulario 1'!E248</f>
        <v>26945</v>
      </c>
      <c r="F248" s="7">
        <f>'Respuestas de formulario 1'!F248</f>
        <v>23684498</v>
      </c>
      <c r="G248" s="7" t="str">
        <f>IFERROR(__xludf.DUMMYFUNCTION("IF('Respuestas de formulario 1'!G248="""","""",IF(LEFT(REGEXREPLACE(TO_TEXT('Respuestas de formulario 1'!G248),""[^0-9]"",""""),2)=""54"",""+""&amp;REGEXREPLACE(TO_TEXT('Respuestas de formulario 1'!G248),""[^0-9]"",""""),""+54""&amp;REGEXREPLACE(TO_TEXT('Respuest"&amp;"as de formulario 1'!G248),""[^0-9]"","""")))"),"+543517501884")</f>
        <v>+543517501884</v>
      </c>
      <c r="H248" s="7">
        <f>'Respuestas de formulario 1'!S248</f>
        <v>2023</v>
      </c>
      <c r="I248" s="7" t="str">
        <f>IFERROR(__xludf.DUMMYFUNCTION("IF('Respuestas de formulario 1'!I248="""","""",TO_TEXT('Respuestas de formulario 1'!I248))"),"Particular")</f>
        <v>Particular</v>
      </c>
      <c r="J248" s="7" t="str">
        <f>IFERROR(__xludf.DUMMYFUNCTION("IF('Respuestas de formulario 1'!J248&lt;&gt;"""",UPPER(TRIM(TO_TEXT('Respuestas de formulario 1'!J248))),IF('Respuestas de formulario 1'!O248&lt;&gt;"""",UPPER(TRIM(TO_TEXT('Respuestas de formulario 1'!O248))),""""))"),"")</f>
        <v/>
      </c>
      <c r="K248" s="7" t="str">
        <f>IFERROR(__xludf.DUMMYFUNCTION("IF('Respuestas de formulario 1'!K248="""","""",TO_TEXT('Respuestas de formulario 1'!K248))"),"")</f>
        <v/>
      </c>
      <c r="L248" s="7" t="str">
        <f>IFERROR(__xludf.DUMMYFUNCTION("IF('Respuestas de formulario 1'!L248="""","""",TO_TEXT('Respuestas de formulario 1'!L248))"),"")</f>
        <v/>
      </c>
      <c r="M248" s="7" t="str">
        <f>IFERROR(__xludf.DUMMYFUNCTION("IF('Respuestas de formulario 1'!M248="""","""",TO_TEXT('Respuestas de formulario 1'!M248))"),"")</f>
        <v/>
      </c>
      <c r="N248" s="7">
        <f t="shared" si="1"/>
        <v>2023</v>
      </c>
      <c r="O248" s="7" t="str">
        <f t="shared" si="2"/>
        <v>julio</v>
      </c>
      <c r="P248" s="7" t="s">
        <v>4699</v>
      </c>
    </row>
    <row r="249">
      <c r="A249" s="19">
        <f>'Respuestas de formulario 1'!A249</f>
        <v>45134.88313</v>
      </c>
      <c r="B249" s="7" t="str">
        <f>'Respuestas de formulario 1'!B249</f>
        <v>Coniberti </v>
      </c>
      <c r="C249" s="7" t="str">
        <f>'Respuestas de formulario 1'!C249</f>
        <v>Maria Irene </v>
      </c>
      <c r="D249" s="7" t="str">
        <f>'Respuestas de formulario 1'!D249</f>
        <v>miconi3@yahoo.com.ar</v>
      </c>
      <c r="E249" s="20">
        <f>'Respuestas de formulario 1'!E249</f>
        <v>25492</v>
      </c>
      <c r="F249" s="7">
        <f>'Respuestas de formulario 1'!F249</f>
        <v>20874735</v>
      </c>
      <c r="G249" s="7" t="str">
        <f>IFERROR(__xludf.DUMMYFUNCTION("IF('Respuestas de formulario 1'!G249="""","""",IF(LEFT(REGEXREPLACE(TO_TEXT('Respuestas de formulario 1'!G249),""[^0-9]"",""""),2)=""54"",""+""&amp;REGEXREPLACE(TO_TEXT('Respuestas de formulario 1'!G249),""[^0-9]"",""""),""+54""&amp;REGEXREPLACE(TO_TEXT('Respuest"&amp;"as de formulario 1'!G249),""[^0-9]"","""")))"),"+54153789403")</f>
        <v>+54153789403</v>
      </c>
      <c r="H249" s="7">
        <f>'Respuestas de formulario 1'!S249</f>
        <v>2023</v>
      </c>
      <c r="I249" s="7" t="str">
        <f>IFERROR(__xludf.DUMMYFUNCTION("IF('Respuestas de formulario 1'!I249="""","""",TO_TEXT('Respuestas de formulario 1'!I249))"),"Particular")</f>
        <v>Particular</v>
      </c>
      <c r="J249" s="7" t="str">
        <f>IFERROR(__xludf.DUMMYFUNCTION("IF('Respuestas de formulario 1'!J249&lt;&gt;"""",UPPER(TRIM(TO_TEXT('Respuestas de formulario 1'!J249))),IF('Respuestas de formulario 1'!O249&lt;&gt;"""",UPPER(TRIM(TO_TEXT('Respuestas de formulario 1'!O249))),""""))"),"")</f>
        <v/>
      </c>
      <c r="K249" s="7" t="str">
        <f>IFERROR(__xludf.DUMMYFUNCTION("IF('Respuestas de formulario 1'!K249="""","""",TO_TEXT('Respuestas de formulario 1'!K249))"),"")</f>
        <v/>
      </c>
      <c r="L249" s="7" t="str">
        <f>IFERROR(__xludf.DUMMYFUNCTION("IF('Respuestas de formulario 1'!L249="""","""",TO_TEXT('Respuestas de formulario 1'!L249))"),"")</f>
        <v/>
      </c>
      <c r="M249" s="7" t="str">
        <f>IFERROR(__xludf.DUMMYFUNCTION("IF('Respuestas de formulario 1'!M249="""","""",TO_TEXT('Respuestas de formulario 1'!M249))"),"")</f>
        <v/>
      </c>
      <c r="N249" s="7">
        <f t="shared" si="1"/>
        <v>2023</v>
      </c>
      <c r="O249" s="7" t="str">
        <f t="shared" si="2"/>
        <v>julio</v>
      </c>
      <c r="P249" s="7" t="s">
        <v>4701</v>
      </c>
    </row>
    <row r="250">
      <c r="A250" s="19">
        <f>'Respuestas de formulario 1'!A250</f>
        <v>45135.4542</v>
      </c>
      <c r="B250" s="7" t="str">
        <f>'Respuestas de formulario 1'!B250</f>
        <v>YANECK</v>
      </c>
      <c r="C250" s="7" t="str">
        <f>'Respuestas de formulario 1'!C250</f>
        <v>Adriana</v>
      </c>
      <c r="D250" s="7" t="str">
        <f>'Respuestas de formulario 1'!D250</f>
        <v>adryjan@hotmail.com</v>
      </c>
      <c r="E250" s="20">
        <f>'Respuestas de formulario 1'!E250</f>
        <v>22783</v>
      </c>
      <c r="F250" s="7">
        <f>'Respuestas de formulario 1'!F250</f>
        <v>16083072</v>
      </c>
      <c r="G250" s="7" t="str">
        <f>IFERROR(__xludf.DUMMYFUNCTION("IF('Respuestas de formulario 1'!G250="""","""",IF(LEFT(REGEXREPLACE(TO_TEXT('Respuestas de formulario 1'!G250),""[^0-9]"",""""),2)=""54"",""+""&amp;REGEXREPLACE(TO_TEXT('Respuestas de formulario 1'!G250),""[^0-9]"",""""),""+54""&amp;REGEXREPLACE(TO_TEXT('Respuest"&amp;"as de formulario 1'!G250),""[^0-9]"","""")))"),"+543515576028")</f>
        <v>+543515576028</v>
      </c>
      <c r="H250" s="7">
        <f>'Respuestas de formulario 1'!S250</f>
        <v>2023</v>
      </c>
      <c r="I250" s="7" t="str">
        <f>IFERROR(__xludf.DUMMYFUNCTION("IF('Respuestas de formulario 1'!I250="""","""",TO_TEXT('Respuestas de formulario 1'!I250))"),"Obra social")</f>
        <v>Obra social</v>
      </c>
      <c r="J250" s="7" t="str">
        <f>IFERROR(__xludf.DUMMYFUNCTION("IF('Respuestas de formulario 1'!J250&lt;&gt;"""",UPPER(TRIM(TO_TEXT('Respuestas de formulario 1'!J250))),IF('Respuestas de formulario 1'!O250&lt;&gt;"""",UPPER(TRIM(TO_TEXT('Respuestas de formulario 1'!O250))),""""))"),"APROSS")</f>
        <v>APROSS</v>
      </c>
      <c r="K250" s="7" t="str">
        <f>IFERROR(__xludf.DUMMYFUNCTION("IF('Respuestas de formulario 1'!K250="""","""",TO_TEXT('Respuestas de formulario 1'!K250))"),"")</f>
        <v/>
      </c>
      <c r="L250" s="7" t="str">
        <f>IFERROR(__xludf.DUMMYFUNCTION("IF('Respuestas de formulario 1'!L250="""","""",TO_TEXT('Respuestas de formulario 1'!L250))"),"")</f>
        <v/>
      </c>
      <c r="M250" s="7" t="str">
        <f>IFERROR(__xludf.DUMMYFUNCTION("IF('Respuestas de formulario 1'!M250="""","""",TO_TEXT('Respuestas de formulario 1'!M250))"),"")</f>
        <v/>
      </c>
      <c r="N250" s="7">
        <f t="shared" si="1"/>
        <v>2023</v>
      </c>
      <c r="O250" s="7" t="str">
        <f t="shared" si="2"/>
        <v>julio</v>
      </c>
      <c r="P250" s="7" t="s">
        <v>4703</v>
      </c>
    </row>
    <row r="251">
      <c r="A251" s="19">
        <f>'Respuestas de formulario 1'!A251</f>
        <v>45135.82835</v>
      </c>
      <c r="B251" s="7" t="str">
        <f>'Respuestas de formulario 1'!B251</f>
        <v>Oliva </v>
      </c>
      <c r="C251" s="7" t="str">
        <f>'Respuestas de formulario 1'!C251</f>
        <v>Ignacio </v>
      </c>
      <c r="D251" s="7" t="str">
        <f>'Respuestas de formulario 1'!D251</f>
        <v>Ignacio@envivoproducciones.net</v>
      </c>
      <c r="E251" s="20">
        <f>'Respuestas de formulario 1'!E251</f>
        <v>33009</v>
      </c>
      <c r="F251" s="7">
        <f>'Respuestas de formulario 1'!F251</f>
        <v>35108061</v>
      </c>
      <c r="G251" s="7" t="str">
        <f>IFERROR(__xludf.DUMMYFUNCTION("IF('Respuestas de formulario 1'!G251="""","""",IF(LEFT(REGEXREPLACE(TO_TEXT('Respuestas de formulario 1'!G251),""[^0-9]"",""""),2)=""54"",""+""&amp;REGEXREPLACE(TO_TEXT('Respuestas de formulario 1'!G251),""[^0-9]"",""""),""+54""&amp;REGEXREPLACE(TO_TEXT('Respuest"&amp;"as de formulario 1'!G251),""[^0-9]"","""")))"),"+543517452777")</f>
        <v>+543517452777</v>
      </c>
      <c r="H251" s="7">
        <f>'Respuestas de formulario 1'!S251</f>
        <v>2023</v>
      </c>
      <c r="I251" s="7" t="str">
        <f>IFERROR(__xludf.DUMMYFUNCTION("IF('Respuestas de formulario 1'!I251="""","""",TO_TEXT('Respuestas de formulario 1'!I251))"),"Particular")</f>
        <v>Particular</v>
      </c>
      <c r="J251" s="7" t="str">
        <f>IFERROR(__xludf.DUMMYFUNCTION("IF('Respuestas de formulario 1'!J251&lt;&gt;"""",UPPER(TRIM(TO_TEXT('Respuestas de formulario 1'!J251))),IF('Respuestas de formulario 1'!O251&lt;&gt;"""",UPPER(TRIM(TO_TEXT('Respuestas de formulario 1'!O251))),""""))"),"")</f>
        <v/>
      </c>
      <c r="K251" s="7" t="str">
        <f>IFERROR(__xludf.DUMMYFUNCTION("IF('Respuestas de formulario 1'!K251="""","""",TO_TEXT('Respuestas de formulario 1'!K251))"),"")</f>
        <v/>
      </c>
      <c r="L251" s="7" t="str">
        <f>IFERROR(__xludf.DUMMYFUNCTION("IF('Respuestas de formulario 1'!L251="""","""",TO_TEXT('Respuestas de formulario 1'!L251))"),"")</f>
        <v/>
      </c>
      <c r="M251" s="7" t="str">
        <f>IFERROR(__xludf.DUMMYFUNCTION("IF('Respuestas de formulario 1'!M251="""","""",TO_TEXT('Respuestas de formulario 1'!M251))"),"")</f>
        <v/>
      </c>
      <c r="N251" s="7">
        <f t="shared" si="1"/>
        <v>2023</v>
      </c>
      <c r="O251" s="7" t="str">
        <f t="shared" si="2"/>
        <v>julio</v>
      </c>
      <c r="P251" s="7" t="s">
        <v>4705</v>
      </c>
    </row>
    <row r="252">
      <c r="A252" s="19">
        <f>'Respuestas de formulario 1'!A252</f>
        <v>45138.53527</v>
      </c>
      <c r="B252" s="7" t="str">
        <f>'Respuestas de formulario 1'!B252</f>
        <v>Mullins</v>
      </c>
      <c r="C252" s="7" t="str">
        <f>'Respuestas de formulario 1'!C252</f>
        <v>Tomás </v>
      </c>
      <c r="D252" s="7" t="str">
        <f>'Respuestas de formulario 1'!D252</f>
        <v>xsawter@gmail.com </v>
      </c>
      <c r="E252" s="20">
        <f>'Respuestas de formulario 1'!E252</f>
        <v>35607</v>
      </c>
      <c r="F252" s="7">
        <f>'Respuestas de formulario 1'!F252</f>
        <v>40405055</v>
      </c>
      <c r="G252" s="7" t="str">
        <f>IFERROR(__xludf.DUMMYFUNCTION("IF('Respuestas de formulario 1'!G252="""","""",IF(LEFT(REGEXREPLACE(TO_TEXT('Respuestas de formulario 1'!G252),""[^0-9]"",""""),2)=""54"",""+""&amp;REGEXREPLACE(TO_TEXT('Respuestas de formulario 1'!G252),""[^0-9]"",""""),""+54""&amp;REGEXREPLACE(TO_TEXT('Respuest"&amp;"as de formulario 1'!G252),""[^0-9]"","""")))"),"+543515503211")</f>
        <v>+543515503211</v>
      </c>
      <c r="H252" s="7">
        <f>'Respuestas de formulario 1'!S252</f>
        <v>2023</v>
      </c>
      <c r="I252" s="7" t="str">
        <f>IFERROR(__xludf.DUMMYFUNCTION("IF('Respuestas de formulario 1'!I252="""","""",TO_TEXT('Respuestas de formulario 1'!I252))"),"Particular")</f>
        <v>Particular</v>
      </c>
      <c r="J252" s="7" t="str">
        <f>IFERROR(__xludf.DUMMYFUNCTION("IF('Respuestas de formulario 1'!J252&lt;&gt;"""",UPPER(TRIM(TO_TEXT('Respuestas de formulario 1'!J252))),IF('Respuestas de formulario 1'!O252&lt;&gt;"""",UPPER(TRIM(TO_TEXT('Respuestas de formulario 1'!O252))),""""))"),"")</f>
        <v/>
      </c>
      <c r="K252" s="7" t="str">
        <f>IFERROR(__xludf.DUMMYFUNCTION("IF('Respuestas de formulario 1'!K252="""","""",TO_TEXT('Respuestas de formulario 1'!K252))"),"")</f>
        <v/>
      </c>
      <c r="L252" s="7" t="str">
        <f>IFERROR(__xludf.DUMMYFUNCTION("IF('Respuestas de formulario 1'!L252="""","""",TO_TEXT('Respuestas de formulario 1'!L252))"),"")</f>
        <v/>
      </c>
      <c r="M252" s="7" t="str">
        <f>IFERROR(__xludf.DUMMYFUNCTION("IF('Respuestas de formulario 1'!M252="""","""",TO_TEXT('Respuestas de formulario 1'!M252))"),"")</f>
        <v/>
      </c>
      <c r="N252" s="7">
        <f t="shared" si="1"/>
        <v>2023</v>
      </c>
      <c r="O252" s="7" t="str">
        <f t="shared" si="2"/>
        <v>julio</v>
      </c>
      <c r="P252" s="7" t="s">
        <v>4707</v>
      </c>
    </row>
    <row r="253">
      <c r="A253" s="19">
        <f>'Respuestas de formulario 1'!A253</f>
        <v>45139.812</v>
      </c>
      <c r="B253" s="7" t="str">
        <f>'Respuestas de formulario 1'!B253</f>
        <v>Guayán </v>
      </c>
      <c r="C253" s="7" t="str">
        <f>'Respuestas de formulario 1'!C253</f>
        <v>Martin </v>
      </c>
      <c r="D253" s="7" t="str">
        <f>'Respuestas de formulario 1'!D253</f>
        <v>martinfguayan@gmail.com</v>
      </c>
      <c r="E253" s="20">
        <f>'Respuestas de formulario 1'!E253</f>
        <v>44738</v>
      </c>
      <c r="F253" s="7">
        <f>'Respuestas de formulario 1'!F253</f>
        <v>23376331</v>
      </c>
      <c r="G253" s="7" t="str">
        <f>IFERROR(__xludf.DUMMYFUNCTION("IF('Respuestas de formulario 1'!G253="""","""",IF(LEFT(REGEXREPLACE(TO_TEXT('Respuestas de formulario 1'!G253),""[^0-9]"",""""),2)=""54"",""+""&amp;REGEXREPLACE(TO_TEXT('Respuestas de formulario 1'!G253),""[^0-9]"",""""),""+54""&amp;REGEXREPLACE(TO_TEXT('Respuest"&amp;"as de formulario 1'!G253),""[^0-9]"","""")))"),"+543517694767")</f>
        <v>+543517694767</v>
      </c>
      <c r="H253" s="7">
        <f>'Respuestas de formulario 1'!S253</f>
        <v>2023</v>
      </c>
      <c r="I253" s="7" t="str">
        <f>IFERROR(__xludf.DUMMYFUNCTION("IF('Respuestas de formulario 1'!I253="""","""",TO_TEXT('Respuestas de formulario 1'!I253))"),"Obra social")</f>
        <v>Obra social</v>
      </c>
      <c r="J253" s="7" t="str">
        <f>IFERROR(__xludf.DUMMYFUNCTION("IF('Respuestas de formulario 1'!J253&lt;&gt;"""",UPPER(TRIM(TO_TEXT('Respuestas de formulario 1'!J253))),IF('Respuestas de formulario 1'!O253&lt;&gt;"""",UPPER(TRIM(TO_TEXT('Respuestas de formulario 1'!O253))),""""))"),"PREVENCIÓN")</f>
        <v>PREVENCIÓN</v>
      </c>
      <c r="K253" s="7" t="str">
        <f>IFERROR(__xludf.DUMMYFUNCTION("IF('Respuestas de formulario 1'!K253="""","""",TO_TEXT('Respuestas de formulario 1'!K253))"),"")</f>
        <v/>
      </c>
      <c r="L253" s="7" t="str">
        <f>IFERROR(__xludf.DUMMYFUNCTION("IF('Respuestas de formulario 1'!L253="""","""",TO_TEXT('Respuestas de formulario 1'!L253))"),"")</f>
        <v/>
      </c>
      <c r="M253" s="7" t="str">
        <f>IFERROR(__xludf.DUMMYFUNCTION("IF('Respuestas de formulario 1'!M253="""","""",TO_TEXT('Respuestas de formulario 1'!M253))"),"")</f>
        <v/>
      </c>
      <c r="N253" s="7">
        <f t="shared" si="1"/>
        <v>2023</v>
      </c>
      <c r="O253" s="7" t="str">
        <f t="shared" si="2"/>
        <v>agosto</v>
      </c>
      <c r="P253" s="7" t="s">
        <v>4709</v>
      </c>
    </row>
    <row r="254">
      <c r="A254" s="19">
        <f>'Respuestas de formulario 1'!A254</f>
        <v>45140.5127</v>
      </c>
      <c r="B254" s="7" t="str">
        <f>'Respuestas de formulario 1'!B254</f>
        <v>Santore</v>
      </c>
      <c r="C254" s="7" t="str">
        <f>'Respuestas de formulario 1'!C254</f>
        <v>Eliana</v>
      </c>
      <c r="D254" s="7" t="str">
        <f>'Respuestas de formulario 1'!D254</f>
        <v>elysantoree@gmail.com </v>
      </c>
      <c r="E254" s="20">
        <f>'Respuestas de formulario 1'!E254</f>
        <v>32463</v>
      </c>
      <c r="F254" s="7">
        <f>'Respuestas de formulario 1'!F254</f>
        <v>34689011</v>
      </c>
      <c r="G254" s="7" t="str">
        <f>IFERROR(__xludf.DUMMYFUNCTION("IF('Respuestas de formulario 1'!G254="""","""",IF(LEFT(REGEXREPLACE(TO_TEXT('Respuestas de formulario 1'!G254),""[^0-9]"",""""),2)=""54"",""+""&amp;REGEXREPLACE(TO_TEXT('Respuestas de formulario 1'!G254),""[^0-9]"",""""),""+54""&amp;REGEXREPLACE(TO_TEXT('Respuest"&amp;"as de formulario 1'!G254),""[^0-9]"","""")))"),"+543513477569")</f>
        <v>+543513477569</v>
      </c>
      <c r="H254" s="7">
        <f>'Respuestas de formulario 1'!S254</f>
        <v>2023</v>
      </c>
      <c r="I254" s="7" t="str">
        <f>IFERROR(__xludf.DUMMYFUNCTION("IF('Respuestas de formulario 1'!I254="""","""",TO_TEXT('Respuestas de formulario 1'!I254))"),"Particular")</f>
        <v>Particular</v>
      </c>
      <c r="J254" s="7" t="str">
        <f>IFERROR(__xludf.DUMMYFUNCTION("IF('Respuestas de formulario 1'!J254&lt;&gt;"""",UPPER(TRIM(TO_TEXT('Respuestas de formulario 1'!J254))),IF('Respuestas de formulario 1'!O254&lt;&gt;"""",UPPER(TRIM(TO_TEXT('Respuestas de formulario 1'!O254))),""""))"),"")</f>
        <v/>
      </c>
      <c r="K254" s="7" t="str">
        <f>IFERROR(__xludf.DUMMYFUNCTION("IF('Respuestas de formulario 1'!K254="""","""",TO_TEXT('Respuestas de formulario 1'!K254))"),"")</f>
        <v/>
      </c>
      <c r="L254" s="7" t="str">
        <f>IFERROR(__xludf.DUMMYFUNCTION("IF('Respuestas de formulario 1'!L254="""","""",TO_TEXT('Respuestas de formulario 1'!L254))"),"")</f>
        <v/>
      </c>
      <c r="M254" s="7" t="str">
        <f>IFERROR(__xludf.DUMMYFUNCTION("IF('Respuestas de formulario 1'!M254="""","""",TO_TEXT('Respuestas de formulario 1'!M254))"),"")</f>
        <v/>
      </c>
      <c r="N254" s="7">
        <f t="shared" si="1"/>
        <v>2023</v>
      </c>
      <c r="O254" s="7" t="str">
        <f t="shared" si="2"/>
        <v>agosto</v>
      </c>
      <c r="P254" s="7" t="s">
        <v>4711</v>
      </c>
    </row>
    <row r="255">
      <c r="A255" s="19">
        <f>'Respuestas de formulario 1'!A255</f>
        <v>45140.7936</v>
      </c>
      <c r="B255" s="7" t="str">
        <f>'Respuestas de formulario 1'!B255</f>
        <v>Calanducci</v>
      </c>
      <c r="C255" s="7" t="str">
        <f>'Respuestas de formulario 1'!C255</f>
        <v>Catalina</v>
      </c>
      <c r="D255" s="7" t="str">
        <f>'Respuestas de formulario 1'!D255</f>
        <v>catamcalan@gmail.com</v>
      </c>
      <c r="E255" s="20">
        <f>'Respuestas de formulario 1'!E255</f>
        <v>39832</v>
      </c>
      <c r="F255" s="7">
        <f>'Respuestas de formulario 1'!F255</f>
        <v>48720793</v>
      </c>
      <c r="G255" s="7" t="str">
        <f>IFERROR(__xludf.DUMMYFUNCTION("IF('Respuestas de formulario 1'!G255="""","""",IF(LEFT(REGEXREPLACE(TO_TEXT('Respuestas de formulario 1'!G255),""[^0-9]"",""""),2)=""54"",""+""&amp;REGEXREPLACE(TO_TEXT('Respuestas de formulario 1'!G255),""[^0-9]"",""""),""+54""&amp;REGEXREPLACE(TO_TEXT('Respuest"&amp;"as de formulario 1'!G255),""[^0-9]"","""")))"),"+543515167007")</f>
        <v>+543515167007</v>
      </c>
      <c r="H255" s="7">
        <f>'Respuestas de formulario 1'!S255</f>
        <v>2023</v>
      </c>
      <c r="I255" s="7" t="str">
        <f>IFERROR(__xludf.DUMMYFUNCTION("IF('Respuestas de formulario 1'!I255="""","""",TO_TEXT('Respuestas de formulario 1'!I255))"),"Obra social")</f>
        <v>Obra social</v>
      </c>
      <c r="J255" s="7" t="str">
        <f>IFERROR(__xludf.DUMMYFUNCTION("IF('Respuestas de formulario 1'!J255&lt;&gt;"""",UPPER(TRIM(TO_TEXT('Respuestas de formulario 1'!J255))),IF('Respuestas de formulario 1'!O255&lt;&gt;"""",UPPER(TRIM(TO_TEXT('Respuestas de formulario 1'!O255))),""""))"),"INTEGRAL SALUD")</f>
        <v>INTEGRAL SALUD</v>
      </c>
      <c r="K255" s="7" t="str">
        <f>IFERROR(__xludf.DUMMYFUNCTION("IF('Respuestas de formulario 1'!K255="""","""",TO_TEXT('Respuestas de formulario 1'!K255))"),"")</f>
        <v/>
      </c>
      <c r="L255" s="7" t="str">
        <f>IFERROR(__xludf.DUMMYFUNCTION("IF('Respuestas de formulario 1'!L255="""","""",TO_TEXT('Respuestas de formulario 1'!L255))"),"")</f>
        <v/>
      </c>
      <c r="M255" s="7" t="str">
        <f>IFERROR(__xludf.DUMMYFUNCTION("IF('Respuestas de formulario 1'!M255="""","""",TO_TEXT('Respuestas de formulario 1'!M255))"),"")</f>
        <v/>
      </c>
      <c r="N255" s="7">
        <f t="shared" si="1"/>
        <v>2023</v>
      </c>
      <c r="O255" s="7" t="str">
        <f t="shared" si="2"/>
        <v>agosto</v>
      </c>
      <c r="P255" s="7" t="s">
        <v>4713</v>
      </c>
    </row>
    <row r="256">
      <c r="A256" s="19">
        <f>'Respuestas de formulario 1'!A256</f>
        <v>45141.81639</v>
      </c>
      <c r="B256" s="7" t="str">
        <f>'Respuestas de formulario 1'!B256</f>
        <v>Dudeley</v>
      </c>
      <c r="C256" s="7" t="str">
        <f>'Respuestas de formulario 1'!C256</f>
        <v>Dwight</v>
      </c>
      <c r="D256" s="7" t="str">
        <f>'Respuestas de formulario 1'!D256</f>
        <v/>
      </c>
      <c r="E256" s="20">
        <f>'Respuestas de formulario 1'!E256</f>
        <v>19874</v>
      </c>
      <c r="F256" s="7">
        <f>'Respuestas de formulario 1'!F256</f>
        <v>559627517</v>
      </c>
      <c r="G256" s="7" t="str">
        <f>IFERROR(__xludf.DUMMYFUNCTION("IF('Respuestas de formulario 1'!G256="""","""",IF(LEFT(REGEXREPLACE(TO_TEXT('Respuestas de formulario 1'!G256),""[^0-9]"",""""),2)=""54"",""+""&amp;REGEXREPLACE(TO_TEXT('Respuestas de formulario 1'!G256),""[^0-9]"",""""),""+54""&amp;REGEXREPLACE(TO_TEXT('Respuest"&amp;"as de formulario 1'!G256),""[^0-9]"","""")))"),"+5413216242487")</f>
        <v>+5413216242487</v>
      </c>
      <c r="H256" s="7">
        <f>'Respuestas de formulario 1'!S256</f>
        <v>2023</v>
      </c>
      <c r="I256" s="7" t="str">
        <f>IFERROR(__xludf.DUMMYFUNCTION("IF('Respuestas de formulario 1'!I256="""","""",TO_TEXT('Respuestas de formulario 1'!I256))"),"Particular")</f>
        <v>Particular</v>
      </c>
      <c r="J256" s="7" t="str">
        <f>IFERROR(__xludf.DUMMYFUNCTION("IF('Respuestas de formulario 1'!J256&lt;&gt;"""",UPPER(TRIM(TO_TEXT('Respuestas de formulario 1'!J256))),IF('Respuestas de formulario 1'!O256&lt;&gt;"""",UPPER(TRIM(TO_TEXT('Respuestas de formulario 1'!O256))),""""))"),"")</f>
        <v/>
      </c>
      <c r="K256" s="7" t="str">
        <f>IFERROR(__xludf.DUMMYFUNCTION("IF('Respuestas de formulario 1'!K256="""","""",TO_TEXT('Respuestas de formulario 1'!K256))"),"")</f>
        <v/>
      </c>
      <c r="L256" s="7" t="str">
        <f>IFERROR(__xludf.DUMMYFUNCTION("IF('Respuestas de formulario 1'!L256="""","""",TO_TEXT('Respuestas de formulario 1'!L256))"),"")</f>
        <v/>
      </c>
      <c r="M256" s="7" t="str">
        <f>IFERROR(__xludf.DUMMYFUNCTION("IF('Respuestas de formulario 1'!M256="""","""",TO_TEXT('Respuestas de formulario 1'!M256))"),"")</f>
        <v/>
      </c>
      <c r="N256" s="7">
        <f t="shared" si="1"/>
        <v>2023</v>
      </c>
      <c r="O256" s="7" t="str">
        <f t="shared" si="2"/>
        <v>agosto</v>
      </c>
      <c r="P256" s="7" t="s">
        <v>4715</v>
      </c>
    </row>
    <row r="257">
      <c r="A257" s="19">
        <f>'Respuestas de formulario 1'!A257</f>
        <v>45142.41558</v>
      </c>
      <c r="B257" s="7" t="str">
        <f>'Respuestas de formulario 1'!B257</f>
        <v>Ghiorzi</v>
      </c>
      <c r="C257" s="7" t="str">
        <f>'Respuestas de formulario 1'!C257</f>
        <v>Ignacio</v>
      </c>
      <c r="D257" s="7" t="str">
        <f>'Respuestas de formulario 1'!D257</f>
        <v>ignacio@gosamply.com</v>
      </c>
      <c r="E257" s="20">
        <f>'Respuestas de formulario 1'!E257</f>
        <v>32853</v>
      </c>
      <c r="F257" s="7">
        <f>'Respuestas de formulario 1'!F257</f>
        <v>34982591</v>
      </c>
      <c r="G257" s="7" t="str">
        <f>IFERROR(__xludf.DUMMYFUNCTION("IF('Respuestas de formulario 1'!G257="""","""",IF(LEFT(REGEXREPLACE(TO_TEXT('Respuestas de formulario 1'!G257),""[^0-9]"",""""),2)=""54"",""+""&amp;REGEXREPLACE(TO_TEXT('Respuestas de formulario 1'!G257),""[^0-9]"",""""),""+54""&amp;REGEXREPLACE(TO_TEXT('Respuest"&amp;"as de formulario 1'!G257),""[^0-9]"","""")))"),"+543516174676")</f>
        <v>+543516174676</v>
      </c>
      <c r="H257" s="7">
        <f>'Respuestas de formulario 1'!S257</f>
        <v>2023</v>
      </c>
      <c r="I257" s="7" t="str">
        <f>IFERROR(__xludf.DUMMYFUNCTION("IF('Respuestas de formulario 1'!I257="""","""",TO_TEXT('Respuestas de formulario 1'!I257))"),"Obra social")</f>
        <v>Obra social</v>
      </c>
      <c r="J257" s="7" t="str">
        <f>IFERROR(__xludf.DUMMYFUNCTION("IF('Respuestas de formulario 1'!J257&lt;&gt;"""",UPPER(TRIM(TO_TEXT('Respuestas de formulario 1'!J257))),IF('Respuestas de formulario 1'!O257&lt;&gt;"""",UPPER(TRIM(TO_TEXT('Respuestas de formulario 1'!O257))),""""))"),"OSDE")</f>
        <v>OSDE</v>
      </c>
      <c r="K257" s="7" t="str">
        <f>IFERROR(__xludf.DUMMYFUNCTION("IF('Respuestas de formulario 1'!K257="""","""",TO_TEXT('Respuestas de formulario 1'!K257))"),"")</f>
        <v/>
      </c>
      <c r="L257" s="7" t="str">
        <f>IFERROR(__xludf.DUMMYFUNCTION("IF('Respuestas de formulario 1'!L257="""","""",TO_TEXT('Respuestas de formulario 1'!L257))"),"")</f>
        <v/>
      </c>
      <c r="M257" s="7" t="str">
        <f>IFERROR(__xludf.DUMMYFUNCTION("IF('Respuestas de formulario 1'!M257="""","""",TO_TEXT('Respuestas de formulario 1'!M257))"),"")</f>
        <v/>
      </c>
      <c r="N257" s="7">
        <f t="shared" si="1"/>
        <v>2023</v>
      </c>
      <c r="O257" s="7" t="str">
        <f t="shared" si="2"/>
        <v>agosto</v>
      </c>
      <c r="P257" s="7" t="s">
        <v>4717</v>
      </c>
    </row>
    <row r="258">
      <c r="A258" s="19">
        <f>'Respuestas de formulario 1'!A258</f>
        <v>45142.78361</v>
      </c>
      <c r="B258" s="7" t="str">
        <f>'Respuestas de formulario 1'!B258</f>
        <v>Puertas</v>
      </c>
      <c r="C258" s="7" t="str">
        <f>'Respuestas de formulario 1'!C258</f>
        <v>Susana</v>
      </c>
      <c r="D258" s="7" t="str">
        <f>'Respuestas de formulario 1'!D258</f>
        <v>zusi.p@hotmail.com</v>
      </c>
      <c r="E258" s="20">
        <f>'Respuestas de formulario 1'!E258</f>
        <v>16374</v>
      </c>
      <c r="F258" s="7">
        <f>'Respuestas de formulario 1'!F258</f>
        <v>5097009</v>
      </c>
      <c r="G258" s="7" t="str">
        <f>IFERROR(__xludf.DUMMYFUNCTION("IF('Respuestas de formulario 1'!G258="""","""",IF(LEFT(REGEXREPLACE(TO_TEXT('Respuestas de formulario 1'!G258),""[^0-9]"",""""),2)=""54"",""+""&amp;REGEXREPLACE(TO_TEXT('Respuestas de formulario 1'!G258),""[^0-9]"",""""),""+54""&amp;REGEXREPLACE(TO_TEXT('Respuest"&amp;"as de formulario 1'!G258),""[^0-9]"","""")))"),"+543516099547")</f>
        <v>+543516099547</v>
      </c>
      <c r="H258" s="7">
        <f>'Respuestas de formulario 1'!S258</f>
        <v>2023</v>
      </c>
      <c r="I258" s="7" t="str">
        <f>IFERROR(__xludf.DUMMYFUNCTION("IF('Respuestas de formulario 1'!I258="""","""",TO_TEXT('Respuestas de formulario 1'!I258))"),"Obra social")</f>
        <v>Obra social</v>
      </c>
      <c r="J258" s="7" t="str">
        <f>IFERROR(__xludf.DUMMYFUNCTION("IF('Respuestas de formulario 1'!J258&lt;&gt;"""",UPPER(TRIM(TO_TEXT('Respuestas de formulario 1'!J258))),IF('Respuestas de formulario 1'!O258&lt;&gt;"""",UPPER(TRIM(TO_TEXT('Respuestas de formulario 1'!O258))),""""))"),"APROSS")</f>
        <v>APROSS</v>
      </c>
      <c r="K258" s="7" t="str">
        <f>IFERROR(__xludf.DUMMYFUNCTION("IF('Respuestas de formulario 1'!K258="""","""",TO_TEXT('Respuestas de formulario 1'!K258))"),"")</f>
        <v/>
      </c>
      <c r="L258" s="7" t="str">
        <f>IFERROR(__xludf.DUMMYFUNCTION("IF('Respuestas de formulario 1'!L258="""","""",TO_TEXT('Respuestas de formulario 1'!L258))"),"")</f>
        <v/>
      </c>
      <c r="M258" s="7" t="str">
        <f>IFERROR(__xludf.DUMMYFUNCTION("IF('Respuestas de formulario 1'!M258="""","""",TO_TEXT('Respuestas de formulario 1'!M258))"),"")</f>
        <v/>
      </c>
      <c r="N258" s="7">
        <f t="shared" si="1"/>
        <v>2023</v>
      </c>
      <c r="O258" s="7" t="str">
        <f t="shared" si="2"/>
        <v>agosto</v>
      </c>
      <c r="P258" s="7" t="s">
        <v>4719</v>
      </c>
    </row>
    <row r="259">
      <c r="A259" s="19">
        <f>'Respuestas de formulario 1'!A259</f>
        <v>45142.81383</v>
      </c>
      <c r="B259" s="7" t="str">
        <f>'Respuestas de formulario 1'!B259</f>
        <v>Buffa</v>
      </c>
      <c r="C259" s="7" t="str">
        <f>'Respuestas de formulario 1'!C259</f>
        <v>Antonella</v>
      </c>
      <c r="D259" s="7" t="str">
        <f>'Respuestas de formulario 1'!D259</f>
        <v>antobuffa1996@gmail.com</v>
      </c>
      <c r="E259" s="20">
        <f>'Respuestas de formulario 1'!E259</f>
        <v>35331</v>
      </c>
      <c r="F259" s="7">
        <f>'Respuestas de formulario 1'!F259</f>
        <v>39623360</v>
      </c>
      <c r="G259" s="7" t="str">
        <f>IFERROR(__xludf.DUMMYFUNCTION("IF('Respuestas de formulario 1'!G259="""","""",IF(LEFT(REGEXREPLACE(TO_TEXT('Respuestas de formulario 1'!G259),""[^0-9]"",""""),2)=""54"",""+""&amp;REGEXREPLACE(TO_TEXT('Respuestas de formulario 1'!G259),""[^0-9]"",""""),""+54""&amp;REGEXREPLACE(TO_TEXT('Respuest"&amp;"as de formulario 1'!G259),""[^0-9]"","""")))"),"+543513130073")</f>
        <v>+543513130073</v>
      </c>
      <c r="H259" s="7">
        <f>'Respuestas de formulario 1'!S259</f>
        <v>2023</v>
      </c>
      <c r="I259" s="7" t="str">
        <f>IFERROR(__xludf.DUMMYFUNCTION("IF('Respuestas de formulario 1'!I259="""","""",TO_TEXT('Respuestas de formulario 1'!I259))"),"Obra social")</f>
        <v>Obra social</v>
      </c>
      <c r="J259" s="7" t="str">
        <f>IFERROR(__xludf.DUMMYFUNCTION("IF('Respuestas de formulario 1'!J259&lt;&gt;"""",UPPER(TRIM(TO_TEXT('Respuestas de formulario 1'!J259))),IF('Respuestas de formulario 1'!O259&lt;&gt;"""",UPPER(TRIM(TO_TEXT('Respuestas de formulario 1'!O259))),""""))"),"MEDIFE")</f>
        <v>MEDIFE</v>
      </c>
      <c r="K259" s="7" t="str">
        <f>IFERROR(__xludf.DUMMYFUNCTION("IF('Respuestas de formulario 1'!K259="""","""",TO_TEXT('Respuestas de formulario 1'!K259))"),"")</f>
        <v/>
      </c>
      <c r="L259" s="7" t="str">
        <f>IFERROR(__xludf.DUMMYFUNCTION("IF('Respuestas de formulario 1'!L259="""","""",TO_TEXT('Respuestas de formulario 1'!L259))"),"")</f>
        <v/>
      </c>
      <c r="M259" s="7" t="str">
        <f>IFERROR(__xludf.DUMMYFUNCTION("IF('Respuestas de formulario 1'!M259="""","""",TO_TEXT('Respuestas de formulario 1'!M259))"),"")</f>
        <v/>
      </c>
      <c r="N259" s="7">
        <f t="shared" si="1"/>
        <v>2023</v>
      </c>
      <c r="O259" s="7" t="str">
        <f t="shared" si="2"/>
        <v>agosto</v>
      </c>
      <c r="P259" s="7" t="s">
        <v>4721</v>
      </c>
    </row>
    <row r="260">
      <c r="A260" s="19">
        <f>'Respuestas de formulario 1'!A260</f>
        <v>45145.64967</v>
      </c>
      <c r="B260" s="7" t="str">
        <f>'Respuestas de formulario 1'!B260</f>
        <v>Peralta Turus</v>
      </c>
      <c r="C260" s="7" t="str">
        <f>'Respuestas de formulario 1'!C260</f>
        <v>Federico</v>
      </c>
      <c r="D260" s="7" t="str">
        <f>'Respuestas de formulario 1'!D260</f>
        <v>Turusfederico@gmail.com</v>
      </c>
      <c r="E260" s="20">
        <f>'Respuestas de formulario 1'!E260</f>
        <v>25670</v>
      </c>
      <c r="F260" s="7">
        <f>'Respuestas de formulario 1'!F260</f>
        <v>21399697</v>
      </c>
      <c r="G260" s="7" t="str">
        <f>IFERROR(__xludf.DUMMYFUNCTION("IF('Respuestas de formulario 1'!G260="""","""",IF(LEFT(REGEXREPLACE(TO_TEXT('Respuestas de formulario 1'!G260),""[^0-9]"",""""),2)=""54"",""+""&amp;REGEXREPLACE(TO_TEXT('Respuestas de formulario 1'!G260),""[^0-9]"",""""),""+54""&amp;REGEXREPLACE(TO_TEXT('Respuest"&amp;"as de formulario 1'!G260),""[^0-9]"","""")))"),"+543525475393")</f>
        <v>+543525475393</v>
      </c>
      <c r="H260" s="7">
        <f>'Respuestas de formulario 1'!S260</f>
        <v>2023</v>
      </c>
      <c r="I260" s="7" t="str">
        <f>IFERROR(__xludf.DUMMYFUNCTION("IF('Respuestas de formulario 1'!I260="""","""",TO_TEXT('Respuestas de formulario 1'!I260))"),"Particular")</f>
        <v>Particular</v>
      </c>
      <c r="J260" s="7" t="str">
        <f>IFERROR(__xludf.DUMMYFUNCTION("IF('Respuestas de formulario 1'!J260&lt;&gt;"""",UPPER(TRIM(TO_TEXT('Respuestas de formulario 1'!J260))),IF('Respuestas de formulario 1'!O260&lt;&gt;"""",UPPER(TRIM(TO_TEXT('Respuestas de formulario 1'!O260))),""""))"),"")</f>
        <v/>
      </c>
      <c r="K260" s="7" t="str">
        <f>IFERROR(__xludf.DUMMYFUNCTION("IF('Respuestas de formulario 1'!K260="""","""",TO_TEXT('Respuestas de formulario 1'!K260))"),"")</f>
        <v/>
      </c>
      <c r="L260" s="7" t="str">
        <f>IFERROR(__xludf.DUMMYFUNCTION("IF('Respuestas de formulario 1'!L260="""","""",TO_TEXT('Respuestas de formulario 1'!L260))"),"")</f>
        <v/>
      </c>
      <c r="M260" s="7" t="str">
        <f>IFERROR(__xludf.DUMMYFUNCTION("IF('Respuestas de formulario 1'!M260="""","""",TO_TEXT('Respuestas de formulario 1'!M260))"),"")</f>
        <v/>
      </c>
      <c r="N260" s="7">
        <f t="shared" si="1"/>
        <v>2023</v>
      </c>
      <c r="O260" s="7" t="str">
        <f t="shared" si="2"/>
        <v>agosto</v>
      </c>
      <c r="P260" s="7" t="s">
        <v>4723</v>
      </c>
    </row>
    <row r="261">
      <c r="A261" s="19">
        <f>'Respuestas de formulario 1'!A261</f>
        <v>45145.67617</v>
      </c>
      <c r="B261" s="7" t="str">
        <f>'Respuestas de formulario 1'!B261</f>
        <v>Nadra</v>
      </c>
      <c r="C261" s="7" t="str">
        <f>'Respuestas de formulario 1'!C261</f>
        <v>Luna</v>
      </c>
      <c r="D261" s="7" t="str">
        <f>'Respuestas de formulario 1'!D261</f>
        <v>lunaesmeraldanadra@gmail.com</v>
      </c>
      <c r="E261" s="20">
        <f>'Respuestas de formulario 1'!E261</f>
        <v>36059</v>
      </c>
      <c r="F261" s="7">
        <f>'Respuestas de formulario 1'!F261</f>
        <v>41522043</v>
      </c>
      <c r="G261" s="7" t="str">
        <f>IFERROR(__xludf.DUMMYFUNCTION("IF('Respuestas de formulario 1'!G261="""","""",IF(LEFT(REGEXREPLACE(TO_TEXT('Respuestas de formulario 1'!G261),""[^0-9]"",""""),2)=""54"",""+""&amp;REGEXREPLACE(TO_TEXT('Respuestas de formulario 1'!G261),""[^0-9]"",""""),""+54""&amp;REGEXREPLACE(TO_TEXT('Respuest"&amp;"as de formulario 1'!G261),""[^0-9]"","""")))"),"+543512550180")</f>
        <v>+543512550180</v>
      </c>
      <c r="H261" s="7">
        <f>'Respuestas de formulario 1'!S261</f>
        <v>2023</v>
      </c>
      <c r="I261" s="7" t="str">
        <f>IFERROR(__xludf.DUMMYFUNCTION("IF('Respuestas de formulario 1'!I261="""","""",TO_TEXT('Respuestas de formulario 1'!I261))"),"Obra social")</f>
        <v>Obra social</v>
      </c>
      <c r="J261" s="7" t="str">
        <f>IFERROR(__xludf.DUMMYFUNCTION("IF('Respuestas de formulario 1'!J261&lt;&gt;"""",UPPER(TRIM(TO_TEXT('Respuestas de formulario 1'!J261))),IF('Respuestas de formulario 1'!O261&lt;&gt;"""",UPPER(TRIM(TO_TEXT('Respuestas de formulario 1'!O261))),""""))"),"DASPU")</f>
        <v>DASPU</v>
      </c>
      <c r="K261" s="7" t="str">
        <f>IFERROR(__xludf.DUMMYFUNCTION("IF('Respuestas de formulario 1'!K261="""","""",TO_TEXT('Respuestas de formulario 1'!K261))"),"")</f>
        <v/>
      </c>
      <c r="L261" s="7" t="str">
        <f>IFERROR(__xludf.DUMMYFUNCTION("IF('Respuestas de formulario 1'!L261="""","""",TO_TEXT('Respuestas de formulario 1'!L261))"),"")</f>
        <v/>
      </c>
      <c r="M261" s="7" t="str">
        <f>IFERROR(__xludf.DUMMYFUNCTION("IF('Respuestas de formulario 1'!M261="""","""",TO_TEXT('Respuestas de formulario 1'!M261))"),"")</f>
        <v/>
      </c>
      <c r="N261" s="7">
        <f t="shared" si="1"/>
        <v>2023</v>
      </c>
      <c r="O261" s="7" t="str">
        <f t="shared" si="2"/>
        <v>agosto</v>
      </c>
      <c r="P261" s="7" t="s">
        <v>4725</v>
      </c>
    </row>
    <row r="262">
      <c r="A262" s="19">
        <f>'Respuestas de formulario 1'!A262</f>
        <v>45145.72116</v>
      </c>
      <c r="B262" s="7" t="str">
        <f>'Respuestas de formulario 1'!B262</f>
        <v>Fraire </v>
      </c>
      <c r="C262" s="7" t="str">
        <f>'Respuestas de formulario 1'!C262</f>
        <v>Valentina</v>
      </c>
      <c r="D262" s="7" t="str">
        <f>'Respuestas de formulario 1'!D262</f>
        <v>valefraire5@gmail.com</v>
      </c>
      <c r="E262" s="20">
        <f>'Respuestas de formulario 1'!E262</f>
        <v>37098</v>
      </c>
      <c r="F262" s="7">
        <f>'Respuestas de formulario 1'!F262</f>
        <v>43523929</v>
      </c>
      <c r="G262" s="7" t="str">
        <f>IFERROR(__xludf.DUMMYFUNCTION("IF('Respuestas de formulario 1'!G262="""","""",IF(LEFT(REGEXREPLACE(TO_TEXT('Respuestas de formulario 1'!G262),""[^0-9]"",""""),2)=""54"",""+""&amp;REGEXREPLACE(TO_TEXT('Respuestas de formulario 1'!G262),""[^0-9]"",""""),""+54""&amp;REGEXREPLACE(TO_TEXT('Respuest"&amp;"as de formulario 1'!G262),""[^0-9]"","""")))"),"+543513232626")</f>
        <v>+543513232626</v>
      </c>
      <c r="H262" s="7">
        <f>'Respuestas de formulario 1'!S262</f>
        <v>2023</v>
      </c>
      <c r="I262" s="7" t="str">
        <f>IFERROR(__xludf.DUMMYFUNCTION("IF('Respuestas de formulario 1'!I262="""","""",TO_TEXT('Respuestas de formulario 1'!I262))"),"Particular")</f>
        <v>Particular</v>
      </c>
      <c r="J262" s="7" t="str">
        <f>IFERROR(__xludf.DUMMYFUNCTION("IF('Respuestas de formulario 1'!J262&lt;&gt;"""",UPPER(TRIM(TO_TEXT('Respuestas de formulario 1'!J262))),IF('Respuestas de formulario 1'!O262&lt;&gt;"""",UPPER(TRIM(TO_TEXT('Respuestas de formulario 1'!O262))),""""))"),"")</f>
        <v/>
      </c>
      <c r="K262" s="7" t="str">
        <f>IFERROR(__xludf.DUMMYFUNCTION("IF('Respuestas de formulario 1'!K262="""","""",TO_TEXT('Respuestas de formulario 1'!K262))"),"")</f>
        <v/>
      </c>
      <c r="L262" s="7" t="str">
        <f>IFERROR(__xludf.DUMMYFUNCTION("IF('Respuestas de formulario 1'!L262="""","""",TO_TEXT('Respuestas de formulario 1'!L262))"),"")</f>
        <v/>
      </c>
      <c r="M262" s="7" t="str">
        <f>IFERROR(__xludf.DUMMYFUNCTION("IF('Respuestas de formulario 1'!M262="""","""",TO_TEXT('Respuestas de formulario 1'!M262))"),"")</f>
        <v/>
      </c>
      <c r="N262" s="7">
        <f t="shared" si="1"/>
        <v>2023</v>
      </c>
      <c r="O262" s="7" t="str">
        <f t="shared" si="2"/>
        <v>agosto</v>
      </c>
      <c r="P262" s="7" t="s">
        <v>4727</v>
      </c>
    </row>
    <row r="263">
      <c r="A263" s="19">
        <f>'Respuestas de formulario 1'!A263</f>
        <v>45146.47016</v>
      </c>
      <c r="B263" s="7" t="str">
        <f>'Respuestas de formulario 1'!B263</f>
        <v>Rodríguez </v>
      </c>
      <c r="C263" s="7" t="str">
        <f>'Respuestas de formulario 1'!C263</f>
        <v>Juana </v>
      </c>
      <c r="D263" s="7" t="str">
        <f>'Respuestas de formulario 1'!D263</f>
        <v>juanidelvrodriguez@hotmail.com</v>
      </c>
      <c r="E263" s="20">
        <f>'Respuestas de formulario 1'!E263</f>
        <v>25184</v>
      </c>
      <c r="F263" s="7">
        <f>'Respuestas de formulario 1'!F263</f>
        <v>20621344</v>
      </c>
      <c r="G263" s="7" t="str">
        <f>IFERROR(__xludf.DUMMYFUNCTION("IF('Respuestas de formulario 1'!G263="""","""",IF(LEFT(REGEXREPLACE(TO_TEXT('Respuestas de formulario 1'!G263),""[^0-9]"",""""),2)=""54"",""+""&amp;REGEXREPLACE(TO_TEXT('Respuestas de formulario 1'!G263),""[^0-9]"",""""),""+54""&amp;REGEXREPLACE(TO_TEXT('Respuest"&amp;"as de formulario 1'!G263),""[^0-9]"","""")))"),"+543515311574")</f>
        <v>+543515311574</v>
      </c>
      <c r="H263" s="7">
        <f>'Respuestas de formulario 1'!S263</f>
        <v>2023</v>
      </c>
      <c r="I263" s="7" t="str">
        <f>IFERROR(__xludf.DUMMYFUNCTION("IF('Respuestas de formulario 1'!I263="""","""",TO_TEXT('Respuestas de formulario 1'!I263))"),"Obra social")</f>
        <v>Obra social</v>
      </c>
      <c r="J263" s="7" t="str">
        <f>IFERROR(__xludf.DUMMYFUNCTION("IF('Respuestas de formulario 1'!J263&lt;&gt;"""",UPPER(TRIM(TO_TEXT('Respuestas de formulario 1'!J263))),IF('Respuestas de formulario 1'!O263&lt;&gt;"""",UPPER(TRIM(TO_TEXT('Respuestas de formulario 1'!O263))),""""))"),"APROSS")</f>
        <v>APROSS</v>
      </c>
      <c r="K263" s="7" t="str">
        <f>IFERROR(__xludf.DUMMYFUNCTION("IF('Respuestas de formulario 1'!K263="""","""",TO_TEXT('Respuestas de formulario 1'!K263))"),"")</f>
        <v/>
      </c>
      <c r="L263" s="7" t="str">
        <f>IFERROR(__xludf.DUMMYFUNCTION("IF('Respuestas de formulario 1'!L263="""","""",TO_TEXT('Respuestas de formulario 1'!L263))"),"")</f>
        <v/>
      </c>
      <c r="M263" s="7" t="str">
        <f>IFERROR(__xludf.DUMMYFUNCTION("IF('Respuestas de formulario 1'!M263="""","""",TO_TEXT('Respuestas de formulario 1'!M263))"),"")</f>
        <v/>
      </c>
      <c r="N263" s="7">
        <f t="shared" si="1"/>
        <v>2023</v>
      </c>
      <c r="O263" s="7" t="str">
        <f t="shared" si="2"/>
        <v>agosto</v>
      </c>
      <c r="P263" s="7" t="s">
        <v>4729</v>
      </c>
    </row>
    <row r="264">
      <c r="A264" s="19">
        <f>'Respuestas de formulario 1'!A264</f>
        <v>45146.49917</v>
      </c>
      <c r="B264" s="7" t="str">
        <f>'Respuestas de formulario 1'!B264</f>
        <v>Intili</v>
      </c>
      <c r="C264" s="7" t="str">
        <f>'Respuestas de formulario 1'!C264</f>
        <v>Marcos</v>
      </c>
      <c r="D264" s="7" t="str">
        <f>'Respuestas de formulario 1'!D264</f>
        <v>santospecados@hotmail.com.ar</v>
      </c>
      <c r="E264" s="20">
        <f>'Respuestas de formulario 1'!E264</f>
        <v>26186</v>
      </c>
      <c r="F264" s="7">
        <f>'Respuestas de formulario 1'!F264</f>
        <v>22371408</v>
      </c>
      <c r="G264" s="7" t="str">
        <f>IFERROR(__xludf.DUMMYFUNCTION("IF('Respuestas de formulario 1'!G264="""","""",IF(LEFT(REGEXREPLACE(TO_TEXT('Respuestas de formulario 1'!G264),""[^0-9]"",""""),2)=""54"",""+""&amp;REGEXREPLACE(TO_TEXT('Respuestas de formulario 1'!G264),""[^0-9]"",""""),""+54""&amp;REGEXREPLACE(TO_TEXT('Respuest"&amp;"as de formulario 1'!G264),""[^0-9]"","""")))"),"+543515165553")</f>
        <v>+543515165553</v>
      </c>
      <c r="H264" s="7">
        <f>'Respuestas de formulario 1'!S264</f>
        <v>2023</v>
      </c>
      <c r="I264" s="7" t="str">
        <f>IFERROR(__xludf.DUMMYFUNCTION("IF('Respuestas de formulario 1'!I264="""","""",TO_TEXT('Respuestas de formulario 1'!I264))"),"Particular")</f>
        <v>Particular</v>
      </c>
      <c r="J264" s="7" t="str">
        <f>IFERROR(__xludf.DUMMYFUNCTION("IF('Respuestas de formulario 1'!J264&lt;&gt;"""",UPPER(TRIM(TO_TEXT('Respuestas de formulario 1'!J264))),IF('Respuestas de formulario 1'!O264&lt;&gt;"""",UPPER(TRIM(TO_TEXT('Respuestas de formulario 1'!O264))),""""))"),"")</f>
        <v/>
      </c>
      <c r="K264" s="7" t="str">
        <f>IFERROR(__xludf.DUMMYFUNCTION("IF('Respuestas de formulario 1'!K264="""","""",TO_TEXT('Respuestas de formulario 1'!K264))"),"")</f>
        <v/>
      </c>
      <c r="L264" s="7" t="str">
        <f>IFERROR(__xludf.DUMMYFUNCTION("IF('Respuestas de formulario 1'!L264="""","""",TO_TEXT('Respuestas de formulario 1'!L264))"),"")</f>
        <v/>
      </c>
      <c r="M264" s="7" t="str">
        <f>IFERROR(__xludf.DUMMYFUNCTION("IF('Respuestas de formulario 1'!M264="""","""",TO_TEXT('Respuestas de formulario 1'!M264))"),"")</f>
        <v/>
      </c>
      <c r="N264" s="7">
        <f t="shared" si="1"/>
        <v>2023</v>
      </c>
      <c r="O264" s="7" t="str">
        <f t="shared" si="2"/>
        <v>agosto</v>
      </c>
      <c r="P264" s="7" t="s">
        <v>4731</v>
      </c>
    </row>
    <row r="265">
      <c r="A265" s="19">
        <f>'Respuestas de formulario 1'!A265</f>
        <v>45146.82241</v>
      </c>
      <c r="B265" s="7" t="str">
        <f>'Respuestas de formulario 1'!B265</f>
        <v>Patrignani</v>
      </c>
      <c r="C265" s="7" t="str">
        <f>'Respuestas de formulario 1'!C265</f>
        <v>Miguel</v>
      </c>
      <c r="D265" s="7" t="str">
        <f>'Respuestas de formulario 1'!D265</f>
        <v>Melquiades.tattooer@gmail.com</v>
      </c>
      <c r="E265" s="20">
        <f>'Respuestas de formulario 1'!E265</f>
        <v>35156</v>
      </c>
      <c r="F265" s="7">
        <f>'Respuestas de formulario 1'!F265</f>
        <v>39259066</v>
      </c>
      <c r="G265" s="7" t="str">
        <f>IFERROR(__xludf.DUMMYFUNCTION("IF('Respuestas de formulario 1'!G265="""","""",IF(LEFT(REGEXREPLACE(TO_TEXT('Respuestas de formulario 1'!G265),""[^0-9]"",""""),2)=""54"",""+""&amp;REGEXREPLACE(TO_TEXT('Respuestas de formulario 1'!G265),""[^0-9]"",""""),""+54""&amp;REGEXREPLACE(TO_TEXT('Respuest"&amp;"as de formulario 1'!G265),""[^0-9]"","""")))"),"+543517059127")</f>
        <v>+543517059127</v>
      </c>
      <c r="H265" s="7">
        <f>'Respuestas de formulario 1'!S265</f>
        <v>2023</v>
      </c>
      <c r="I265" s="7" t="str">
        <f>IFERROR(__xludf.DUMMYFUNCTION("IF('Respuestas de formulario 1'!I265="""","""",TO_TEXT('Respuestas de formulario 1'!I265))"),"Particular")</f>
        <v>Particular</v>
      </c>
      <c r="J265" s="7" t="str">
        <f>IFERROR(__xludf.DUMMYFUNCTION("IF('Respuestas de formulario 1'!J265&lt;&gt;"""",UPPER(TRIM(TO_TEXT('Respuestas de formulario 1'!J265))),IF('Respuestas de formulario 1'!O265&lt;&gt;"""",UPPER(TRIM(TO_TEXT('Respuestas de formulario 1'!O265))),""""))"),"")</f>
        <v/>
      </c>
      <c r="K265" s="7" t="str">
        <f>IFERROR(__xludf.DUMMYFUNCTION("IF('Respuestas de formulario 1'!K265="""","""",TO_TEXT('Respuestas de formulario 1'!K265))"),"")</f>
        <v/>
      </c>
      <c r="L265" s="7" t="str">
        <f>IFERROR(__xludf.DUMMYFUNCTION("IF('Respuestas de formulario 1'!L265="""","""",TO_TEXT('Respuestas de formulario 1'!L265))"),"")</f>
        <v/>
      </c>
      <c r="M265" s="7" t="str">
        <f>IFERROR(__xludf.DUMMYFUNCTION("IF('Respuestas de formulario 1'!M265="""","""",TO_TEXT('Respuestas de formulario 1'!M265))"),"")</f>
        <v/>
      </c>
      <c r="N265" s="7">
        <f t="shared" si="1"/>
        <v>2023</v>
      </c>
      <c r="O265" s="7" t="str">
        <f t="shared" si="2"/>
        <v>agosto</v>
      </c>
      <c r="P265" s="7" t="s">
        <v>4733</v>
      </c>
    </row>
    <row r="266">
      <c r="A266" s="19">
        <f>'Respuestas de formulario 1'!A266</f>
        <v>45147.4682</v>
      </c>
      <c r="B266" s="7" t="str">
        <f>'Respuestas de formulario 1'!B266</f>
        <v>Moyano</v>
      </c>
      <c r="C266" s="7" t="str">
        <f>'Respuestas de formulario 1'!C266</f>
        <v>Alicia Alejandra </v>
      </c>
      <c r="D266" s="7" t="str">
        <f>'Respuestas de formulario 1'!D266</f>
        <v>a.ale.moyano@gmail.com</v>
      </c>
      <c r="E266" s="20">
        <f>'Respuestas de formulario 1'!E266</f>
        <v>22379</v>
      </c>
      <c r="F266" s="7">
        <f>'Respuestas de formulario 1'!F266</f>
        <v>4476465</v>
      </c>
      <c r="G266" s="7" t="str">
        <f>IFERROR(__xludf.DUMMYFUNCTION("IF('Respuestas de formulario 1'!G266="""","""",IF(LEFT(REGEXREPLACE(TO_TEXT('Respuestas de formulario 1'!G266),""[^0-9]"",""""),2)=""54"",""+""&amp;REGEXREPLACE(TO_TEXT('Respuestas de formulario 1'!G266),""[^0-9]"",""""),""+54""&amp;REGEXREPLACE(TO_TEXT('Respuest"&amp;"as de formulario 1'!G266),""[^0-9]"","""")))"),"+543516869222")</f>
        <v>+543516869222</v>
      </c>
      <c r="H266" s="7">
        <f>'Respuestas de formulario 1'!S266</f>
        <v>2023</v>
      </c>
      <c r="I266" s="7" t="str">
        <f>IFERROR(__xludf.DUMMYFUNCTION("IF('Respuestas de formulario 1'!I266="""","""",TO_TEXT('Respuestas de formulario 1'!I266))"),"Obra social")</f>
        <v>Obra social</v>
      </c>
      <c r="J266" s="7" t="str">
        <f>IFERROR(__xludf.DUMMYFUNCTION("IF('Respuestas de formulario 1'!J266&lt;&gt;"""",UPPER(TRIM(TO_TEXT('Respuestas de formulario 1'!J266))),IF('Respuestas de formulario 1'!O266&lt;&gt;"""",UPPER(TRIM(TO_TEXT('Respuestas de formulario 1'!O266))),""""))"),"APROSS")</f>
        <v>APROSS</v>
      </c>
      <c r="K266" s="7" t="str">
        <f>IFERROR(__xludf.DUMMYFUNCTION("IF('Respuestas de formulario 1'!K266="""","""",TO_TEXT('Respuestas de formulario 1'!K266))"),"")</f>
        <v/>
      </c>
      <c r="L266" s="7" t="str">
        <f>IFERROR(__xludf.DUMMYFUNCTION("IF('Respuestas de formulario 1'!L266="""","""",TO_TEXT('Respuestas de formulario 1'!L266))"),"")</f>
        <v/>
      </c>
      <c r="M266" s="7" t="str">
        <f>IFERROR(__xludf.DUMMYFUNCTION("IF('Respuestas de formulario 1'!M266="""","""",TO_TEXT('Respuestas de formulario 1'!M266))"),"")</f>
        <v/>
      </c>
      <c r="N266" s="7">
        <f t="shared" si="1"/>
        <v>2023</v>
      </c>
      <c r="O266" s="7" t="str">
        <f t="shared" si="2"/>
        <v>agosto</v>
      </c>
      <c r="P266" s="7" t="s">
        <v>4735</v>
      </c>
    </row>
    <row r="267">
      <c r="A267" s="19">
        <f>'Respuestas de formulario 1'!A267</f>
        <v>45147.54667</v>
      </c>
      <c r="B267" s="7" t="str">
        <f>'Respuestas de formulario 1'!B267</f>
        <v>Luque</v>
      </c>
      <c r="C267" s="7" t="str">
        <f>'Respuestas de formulario 1'!C267</f>
        <v>Maria</v>
      </c>
      <c r="D267" s="7" t="str">
        <f>'Respuestas de formulario 1'!D267</f>
        <v/>
      </c>
      <c r="E267" s="20">
        <f>'Respuestas de formulario 1'!E267</f>
        <v>16274</v>
      </c>
      <c r="F267" s="7">
        <f>'Respuestas de formulario 1'!F267</f>
        <v>4832540</v>
      </c>
      <c r="G267" s="7" t="str">
        <f>IFERROR(__xludf.DUMMYFUNCTION("IF('Respuestas de formulario 1'!G267="""","""",IF(LEFT(REGEXREPLACE(TO_TEXT('Respuestas de formulario 1'!G267),""[^0-9]"",""""),2)=""54"",""+""&amp;REGEXREPLACE(TO_TEXT('Respuestas de formulario 1'!G267),""[^0-9]"",""""),""+54""&amp;REGEXREPLACE(TO_TEXT('Respuest"&amp;"as de formulario 1'!G267),""[^0-9]"","""")))"),"+543516468636")</f>
        <v>+543516468636</v>
      </c>
      <c r="H267" s="7">
        <f>'Respuestas de formulario 1'!S267</f>
        <v>2023</v>
      </c>
      <c r="I267" s="7" t="str">
        <f>IFERROR(__xludf.DUMMYFUNCTION("IF('Respuestas de formulario 1'!I267="""","""",TO_TEXT('Respuestas de formulario 1'!I267))"),"Obra social")</f>
        <v>Obra social</v>
      </c>
      <c r="J267" s="7" t="str">
        <f>IFERROR(__xludf.DUMMYFUNCTION("IF('Respuestas de formulario 1'!J267&lt;&gt;"""",UPPER(TRIM(TO_TEXT('Respuestas de formulario 1'!J267))),IF('Respuestas de formulario 1'!O267&lt;&gt;"""",UPPER(TRIM(TO_TEXT('Respuestas de formulario 1'!O267))),""""))"),"DASPU")</f>
        <v>DASPU</v>
      </c>
      <c r="K267" s="7" t="str">
        <f>IFERROR(__xludf.DUMMYFUNCTION("IF('Respuestas de formulario 1'!K267="""","""",TO_TEXT('Respuestas de formulario 1'!K267))"),"")</f>
        <v/>
      </c>
      <c r="L267" s="7" t="str">
        <f>IFERROR(__xludf.DUMMYFUNCTION("IF('Respuestas de formulario 1'!L267="""","""",TO_TEXT('Respuestas de formulario 1'!L267))"),"")</f>
        <v/>
      </c>
      <c r="M267" s="7" t="str">
        <f>IFERROR(__xludf.DUMMYFUNCTION("IF('Respuestas de formulario 1'!M267="""","""",TO_TEXT('Respuestas de formulario 1'!M267))"),"")</f>
        <v/>
      </c>
      <c r="N267" s="7">
        <f t="shared" si="1"/>
        <v>2023</v>
      </c>
      <c r="O267" s="7" t="str">
        <f t="shared" si="2"/>
        <v>agosto</v>
      </c>
      <c r="P267" s="7" t="s">
        <v>4737</v>
      </c>
    </row>
    <row r="268">
      <c r="A268" s="19">
        <f>'Respuestas de formulario 1'!A268</f>
        <v>45147.55612</v>
      </c>
      <c r="B268" s="7" t="str">
        <f>'Respuestas de formulario 1'!B268</f>
        <v>Oviedo</v>
      </c>
      <c r="C268" s="7" t="str">
        <f>'Respuestas de formulario 1'!C268</f>
        <v>Fabio</v>
      </c>
      <c r="D268" s="7" t="str">
        <f>'Respuestas de formulario 1'!D268</f>
        <v>kalachakra87@gmail.com</v>
      </c>
      <c r="E268" s="20">
        <f>'Respuestas de formulario 1'!E268</f>
        <v>27585</v>
      </c>
      <c r="F268" s="7">
        <f>'Respuestas de formulario 1'!F268</f>
        <v>24648416</v>
      </c>
      <c r="G268" s="7" t="str">
        <f>IFERROR(__xludf.DUMMYFUNCTION("IF('Respuestas de formulario 1'!G268="""","""",IF(LEFT(REGEXREPLACE(TO_TEXT('Respuestas de formulario 1'!G268),""[^0-9]"",""""),2)=""54"",""+""&amp;REGEXREPLACE(TO_TEXT('Respuestas de formulario 1'!G268),""[^0-9]"",""""),""+54""&amp;REGEXREPLACE(TO_TEXT('Respuest"&amp;"as de formulario 1'!G268),""[^0-9]"","""")))"),"+543513090464")</f>
        <v>+543513090464</v>
      </c>
      <c r="H268" s="7">
        <f>'Respuestas de formulario 1'!S268</f>
        <v>2023</v>
      </c>
      <c r="I268" s="7" t="str">
        <f>IFERROR(__xludf.DUMMYFUNCTION("IF('Respuestas de formulario 1'!I268="""","""",TO_TEXT('Respuestas de formulario 1'!I268))"),"Obra social")</f>
        <v>Obra social</v>
      </c>
      <c r="J268" s="7" t="str">
        <f>IFERROR(__xludf.DUMMYFUNCTION("IF('Respuestas de formulario 1'!J268&lt;&gt;"""",UPPER(TRIM(TO_TEXT('Respuestas de formulario 1'!J268))),IF('Respuestas de formulario 1'!O268&lt;&gt;"""",UPPER(TRIM(TO_TEXT('Respuestas de formulario 1'!O268))),""""))"),"SANCOR")</f>
        <v>SANCOR</v>
      </c>
      <c r="K268" s="7" t="str">
        <f>IFERROR(__xludf.DUMMYFUNCTION("IF('Respuestas de formulario 1'!K268="""","""",TO_TEXT('Respuestas de formulario 1'!K268))"),"")</f>
        <v/>
      </c>
      <c r="L268" s="7" t="str">
        <f>IFERROR(__xludf.DUMMYFUNCTION("IF('Respuestas de formulario 1'!L268="""","""",TO_TEXT('Respuestas de formulario 1'!L268))"),"")</f>
        <v/>
      </c>
      <c r="M268" s="7" t="str">
        <f>IFERROR(__xludf.DUMMYFUNCTION("IF('Respuestas de formulario 1'!M268="""","""",TO_TEXT('Respuestas de formulario 1'!M268))"),"")</f>
        <v/>
      </c>
      <c r="N268" s="7">
        <f t="shared" si="1"/>
        <v>2023</v>
      </c>
      <c r="O268" s="7" t="str">
        <f t="shared" si="2"/>
        <v>agosto</v>
      </c>
      <c r="P268" s="7" t="s">
        <v>4739</v>
      </c>
    </row>
    <row r="269">
      <c r="A269" s="19">
        <f>'Respuestas de formulario 1'!A269</f>
        <v>45147.79687</v>
      </c>
      <c r="B269" s="7" t="str">
        <f>'Respuestas de formulario 1'!B269</f>
        <v>Santillan </v>
      </c>
      <c r="C269" s="7" t="str">
        <f>'Respuestas de formulario 1'!C269</f>
        <v>Nicolas</v>
      </c>
      <c r="D269" s="7" t="str">
        <f>'Respuestas de formulario 1'!D269</f>
        <v>Nsantillan@mi.unc.edu.ar</v>
      </c>
      <c r="E269" s="20">
        <f>'Respuestas de formulario 1'!E269</f>
        <v>36880</v>
      </c>
      <c r="F269" s="7">
        <f>'Respuestas de formulario 1'!F269</f>
        <v>43143963</v>
      </c>
      <c r="G269" s="7" t="str">
        <f>IFERROR(__xludf.DUMMYFUNCTION("IF('Respuestas de formulario 1'!G269="""","""",IF(LEFT(REGEXREPLACE(TO_TEXT('Respuestas de formulario 1'!G269),""[^0-9]"",""""),2)=""54"",""+""&amp;REGEXREPLACE(TO_TEXT('Respuestas de formulario 1'!G269),""[^0-9]"",""""),""+54""&amp;REGEXREPLACE(TO_TEXT('Respuest"&amp;"as de formulario 1'!G269),""[^0-9]"","""")))"),"+543512526328")</f>
        <v>+543512526328</v>
      </c>
      <c r="H269" s="7">
        <f>'Respuestas de formulario 1'!S269</f>
        <v>2023</v>
      </c>
      <c r="I269" s="7" t="str">
        <f>IFERROR(__xludf.DUMMYFUNCTION("IF('Respuestas de formulario 1'!I269="""","""",TO_TEXT('Respuestas de formulario 1'!I269))"),"Obra social")</f>
        <v>Obra social</v>
      </c>
      <c r="J269" s="7" t="str">
        <f>IFERROR(__xludf.DUMMYFUNCTION("IF('Respuestas de formulario 1'!J269&lt;&gt;"""",UPPER(TRIM(TO_TEXT('Respuestas de formulario 1'!J269))),IF('Respuestas de formulario 1'!O269&lt;&gt;"""",UPPER(TRIM(TO_TEXT('Respuestas de formulario 1'!O269))),""""))"),"PREVENCIÓN")</f>
        <v>PREVENCIÓN</v>
      </c>
      <c r="K269" s="7" t="str">
        <f>IFERROR(__xludf.DUMMYFUNCTION("IF('Respuestas de formulario 1'!K269="""","""",TO_TEXT('Respuestas de formulario 1'!K269))"),"")</f>
        <v/>
      </c>
      <c r="L269" s="7" t="str">
        <f>IFERROR(__xludf.DUMMYFUNCTION("IF('Respuestas de formulario 1'!L269="""","""",TO_TEXT('Respuestas de formulario 1'!L269))"),"")</f>
        <v/>
      </c>
      <c r="M269" s="7" t="str">
        <f>IFERROR(__xludf.DUMMYFUNCTION("IF('Respuestas de formulario 1'!M269="""","""",TO_TEXT('Respuestas de formulario 1'!M269))"),"")</f>
        <v/>
      </c>
      <c r="N269" s="7">
        <f t="shared" si="1"/>
        <v>2023</v>
      </c>
      <c r="O269" s="7" t="str">
        <f t="shared" si="2"/>
        <v>agosto</v>
      </c>
      <c r="P269" s="7" t="s">
        <v>4741</v>
      </c>
    </row>
    <row r="270">
      <c r="A270" s="19">
        <f>'Respuestas de formulario 1'!A270</f>
        <v>45148.55811</v>
      </c>
      <c r="B270" s="7" t="str">
        <f>'Respuestas de formulario 1'!B270</f>
        <v>Contreras </v>
      </c>
      <c r="C270" s="7" t="str">
        <f>'Respuestas de formulario 1'!C270</f>
        <v>Lucas David </v>
      </c>
      <c r="D270" s="7" t="str">
        <f>'Respuestas de formulario 1'!D270</f>
        <v>lucas.lbc@hotmail.com.ar</v>
      </c>
      <c r="E270" s="20">
        <f>'Respuestas de formulario 1'!E270</f>
        <v>34928</v>
      </c>
      <c r="F270" s="7">
        <f>'Respuestas de formulario 1'!F270</f>
        <v>39058047</v>
      </c>
      <c r="G270" s="7" t="str">
        <f>IFERROR(__xludf.DUMMYFUNCTION("IF('Respuestas de formulario 1'!G270="""","""",IF(LEFT(REGEXREPLACE(TO_TEXT('Respuestas de formulario 1'!G270),""[^0-9]"",""""),2)=""54"",""+""&amp;REGEXREPLACE(TO_TEXT('Respuestas de formulario 1'!G270),""[^0-9]"",""""),""+54""&amp;REGEXREPLACE(TO_TEXT('Respuest"&amp;"as de formulario 1'!G270),""[^0-9]"","""")))"),"+543512179377")</f>
        <v>+543512179377</v>
      </c>
      <c r="H270" s="7">
        <f>'Respuestas de formulario 1'!S270</f>
        <v>2023</v>
      </c>
      <c r="I270" s="7" t="str">
        <f>IFERROR(__xludf.DUMMYFUNCTION("IF('Respuestas de formulario 1'!I270="""","""",TO_TEXT('Respuestas de formulario 1'!I270))"),"Particular")</f>
        <v>Particular</v>
      </c>
      <c r="J270" s="7" t="str">
        <f>IFERROR(__xludf.DUMMYFUNCTION("IF('Respuestas de formulario 1'!J270&lt;&gt;"""",UPPER(TRIM(TO_TEXT('Respuestas de formulario 1'!J270))),IF('Respuestas de formulario 1'!O270&lt;&gt;"""",UPPER(TRIM(TO_TEXT('Respuestas de formulario 1'!O270))),""""))"),"")</f>
        <v/>
      </c>
      <c r="K270" s="7" t="str">
        <f>IFERROR(__xludf.DUMMYFUNCTION("IF('Respuestas de formulario 1'!K270="""","""",TO_TEXT('Respuestas de formulario 1'!K270))"),"")</f>
        <v/>
      </c>
      <c r="L270" s="7" t="str">
        <f>IFERROR(__xludf.DUMMYFUNCTION("IF('Respuestas de formulario 1'!L270="""","""",TO_TEXT('Respuestas de formulario 1'!L270))"),"")</f>
        <v/>
      </c>
      <c r="M270" s="7" t="str">
        <f>IFERROR(__xludf.DUMMYFUNCTION("IF('Respuestas de formulario 1'!M270="""","""",TO_TEXT('Respuestas de formulario 1'!M270))"),"")</f>
        <v/>
      </c>
      <c r="N270" s="7">
        <f t="shared" si="1"/>
        <v>2023</v>
      </c>
      <c r="O270" s="7" t="str">
        <f t="shared" si="2"/>
        <v>agosto</v>
      </c>
      <c r="P270" s="7" t="s">
        <v>4743</v>
      </c>
    </row>
    <row r="271">
      <c r="A271" s="19">
        <f>'Respuestas de formulario 1'!A271</f>
        <v>45148.74574</v>
      </c>
      <c r="B271" s="7" t="str">
        <f>'Respuestas de formulario 1'!B271</f>
        <v>Tomé </v>
      </c>
      <c r="C271" s="7" t="str">
        <f>'Respuestas de formulario 1'!C271</f>
        <v>Hugo Dante </v>
      </c>
      <c r="D271" s="7" t="str">
        <f>'Respuestas de formulario 1'!D271</f>
        <v>pelautome@gmail.com</v>
      </c>
      <c r="E271" s="20">
        <f>'Respuestas de formulario 1'!E271</f>
        <v>23392</v>
      </c>
      <c r="F271" s="7">
        <f>'Respuestas de formulario 1'!F271</f>
        <v>16903983</v>
      </c>
      <c r="G271" s="7" t="str">
        <f>IFERROR(__xludf.DUMMYFUNCTION("IF('Respuestas de formulario 1'!G271="""","""",IF(LEFT(REGEXREPLACE(TO_TEXT('Respuestas de formulario 1'!G271),""[^0-9]"",""""),2)=""54"",""+""&amp;REGEXREPLACE(TO_TEXT('Respuestas de formulario 1'!G271),""[^0-9]"",""""),""+54""&amp;REGEXREPLACE(TO_TEXT('Respuest"&amp;"as de formulario 1'!G271),""[^0-9]"","""")))"),"+543518171709")</f>
        <v>+543518171709</v>
      </c>
      <c r="H271" s="7">
        <f>'Respuestas de formulario 1'!S271</f>
        <v>2023</v>
      </c>
      <c r="I271" s="7" t="str">
        <f>IFERROR(__xludf.DUMMYFUNCTION("IF('Respuestas de formulario 1'!I271="""","""",TO_TEXT('Respuestas de formulario 1'!I271))"),"Obra social")</f>
        <v>Obra social</v>
      </c>
      <c r="J271" s="7" t="str">
        <f>IFERROR(__xludf.DUMMYFUNCTION("IF('Respuestas de formulario 1'!J271&lt;&gt;"""",UPPER(TRIM(TO_TEXT('Respuestas de formulario 1'!J271))),IF('Respuestas de formulario 1'!O271&lt;&gt;"""",UPPER(TRIM(TO_TEXT('Respuestas de formulario 1'!O271))),""""))"),"APROSS")</f>
        <v>APROSS</v>
      </c>
      <c r="K271" s="7" t="str">
        <f>IFERROR(__xludf.DUMMYFUNCTION("IF('Respuestas de formulario 1'!K271="""","""",TO_TEXT('Respuestas de formulario 1'!K271))"),"")</f>
        <v/>
      </c>
      <c r="L271" s="7" t="str">
        <f>IFERROR(__xludf.DUMMYFUNCTION("IF('Respuestas de formulario 1'!L271="""","""",TO_TEXT('Respuestas de formulario 1'!L271))"),"")</f>
        <v/>
      </c>
      <c r="M271" s="7" t="str">
        <f>IFERROR(__xludf.DUMMYFUNCTION("IF('Respuestas de formulario 1'!M271="""","""",TO_TEXT('Respuestas de formulario 1'!M271))"),"")</f>
        <v/>
      </c>
      <c r="N271" s="7">
        <f t="shared" si="1"/>
        <v>2023</v>
      </c>
      <c r="O271" s="7" t="str">
        <f t="shared" si="2"/>
        <v>agosto</v>
      </c>
      <c r="P271" s="7" t="s">
        <v>4745</v>
      </c>
    </row>
    <row r="272">
      <c r="A272" s="19">
        <f>'Respuestas de formulario 1'!A272</f>
        <v>45152.46972</v>
      </c>
      <c r="B272" s="7" t="str">
        <f>'Respuestas de formulario 1'!B272</f>
        <v>Cordero</v>
      </c>
      <c r="C272" s="7" t="str">
        <f>'Respuestas de formulario 1'!C272</f>
        <v>Ángeles</v>
      </c>
      <c r="D272" s="7" t="str">
        <f>'Respuestas de formulario 1'!D272</f>
        <v>corderomariadelosangeles464@gmail.com</v>
      </c>
      <c r="E272" s="20">
        <f>'Respuestas de formulario 1'!E272</f>
        <v>35838</v>
      </c>
      <c r="F272" s="7">
        <f>'Respuestas de formulario 1'!F272</f>
        <v>41002848</v>
      </c>
      <c r="G272" s="7" t="str">
        <f>IFERROR(__xludf.DUMMYFUNCTION("IF('Respuestas de formulario 1'!G272="""","""",IF(LEFT(REGEXREPLACE(TO_TEXT('Respuestas de formulario 1'!G272),""[^0-9]"",""""),2)=""54"",""+""&amp;REGEXREPLACE(TO_TEXT('Respuestas de formulario 1'!G272),""[^0-9]"",""""),""+54""&amp;REGEXREPLACE(TO_TEXT('Respuest"&amp;"as de formulario 1'!G272),""[^0-9]"","""")))"),"+543517668014")</f>
        <v>+543517668014</v>
      </c>
      <c r="H272" s="7">
        <f>'Respuestas de formulario 1'!S272</f>
        <v>2023</v>
      </c>
      <c r="I272" s="7" t="str">
        <f>IFERROR(__xludf.DUMMYFUNCTION("IF('Respuestas de formulario 1'!I272="""","""",TO_TEXT('Respuestas de formulario 1'!I272))"),"Particular")</f>
        <v>Particular</v>
      </c>
      <c r="J272" s="7" t="str">
        <f>IFERROR(__xludf.DUMMYFUNCTION("IF('Respuestas de formulario 1'!J272&lt;&gt;"""",UPPER(TRIM(TO_TEXT('Respuestas de formulario 1'!J272))),IF('Respuestas de formulario 1'!O272&lt;&gt;"""",UPPER(TRIM(TO_TEXT('Respuestas de formulario 1'!O272))),""""))"),"")</f>
        <v/>
      </c>
      <c r="K272" s="7" t="str">
        <f>IFERROR(__xludf.DUMMYFUNCTION("IF('Respuestas de formulario 1'!K272="""","""",TO_TEXT('Respuestas de formulario 1'!K272))"),"")</f>
        <v/>
      </c>
      <c r="L272" s="7" t="str">
        <f>IFERROR(__xludf.DUMMYFUNCTION("IF('Respuestas de formulario 1'!L272="""","""",TO_TEXT('Respuestas de formulario 1'!L272))"),"")</f>
        <v/>
      </c>
      <c r="M272" s="7" t="str">
        <f>IFERROR(__xludf.DUMMYFUNCTION("IF('Respuestas de formulario 1'!M272="""","""",TO_TEXT('Respuestas de formulario 1'!M272))"),"")</f>
        <v/>
      </c>
      <c r="N272" s="7">
        <f t="shared" si="1"/>
        <v>2023</v>
      </c>
      <c r="O272" s="7" t="str">
        <f t="shared" si="2"/>
        <v>agosto</v>
      </c>
      <c r="P272" s="7" t="s">
        <v>4747</v>
      </c>
    </row>
    <row r="273">
      <c r="A273" s="19">
        <f>'Respuestas de formulario 1'!A273</f>
        <v>45153.78457</v>
      </c>
      <c r="B273" s="7" t="str">
        <f>'Respuestas de formulario 1'!B273</f>
        <v>Hurtado</v>
      </c>
      <c r="C273" s="7" t="str">
        <f>'Respuestas de formulario 1'!C273</f>
        <v>Valentina</v>
      </c>
      <c r="D273" s="7" t="str">
        <f>'Respuestas de formulario 1'!D273</f>
        <v>hurtadomariavalentina@gmail.com</v>
      </c>
      <c r="E273" s="20">
        <f>'Respuestas de formulario 1'!E273</f>
        <v>34487</v>
      </c>
      <c r="F273" s="7">
        <f>'Respuestas de formulario 1'!F273</f>
        <v>1017219885</v>
      </c>
      <c r="G273" s="7" t="str">
        <f>IFERROR(__xludf.DUMMYFUNCTION("IF('Respuestas de formulario 1'!G273="""","""",IF(LEFT(REGEXREPLACE(TO_TEXT('Respuestas de formulario 1'!G273),""[^0-9]"",""""),2)=""54"",""+""&amp;REGEXREPLACE(TO_TEXT('Respuestas de formulario 1'!G273),""[^0-9]"",""""),""+54""&amp;REGEXREPLACE(TO_TEXT('Respuest"&amp;"as de formulario 1'!G273),""[^0-9]"","""")))"),"+543518643090")</f>
        <v>+543518643090</v>
      </c>
      <c r="H273" s="7">
        <f>'Respuestas de formulario 1'!S273</f>
        <v>2023</v>
      </c>
      <c r="I273" s="7" t="str">
        <f>IFERROR(__xludf.DUMMYFUNCTION("IF('Respuestas de formulario 1'!I273="""","""",TO_TEXT('Respuestas de formulario 1'!I273))"),"Particular")</f>
        <v>Particular</v>
      </c>
      <c r="J273" s="7" t="str">
        <f>IFERROR(__xludf.DUMMYFUNCTION("IF('Respuestas de formulario 1'!J273&lt;&gt;"""",UPPER(TRIM(TO_TEXT('Respuestas de formulario 1'!J273))),IF('Respuestas de formulario 1'!O273&lt;&gt;"""",UPPER(TRIM(TO_TEXT('Respuestas de formulario 1'!O273))),""""))"),"")</f>
        <v/>
      </c>
      <c r="K273" s="7" t="str">
        <f>IFERROR(__xludf.DUMMYFUNCTION("IF('Respuestas de formulario 1'!K273="""","""",TO_TEXT('Respuestas de formulario 1'!K273))"),"")</f>
        <v/>
      </c>
      <c r="L273" s="7" t="str">
        <f>IFERROR(__xludf.DUMMYFUNCTION("IF('Respuestas de formulario 1'!L273="""","""",TO_TEXT('Respuestas de formulario 1'!L273))"),"")</f>
        <v/>
      </c>
      <c r="M273" s="7" t="str">
        <f>IFERROR(__xludf.DUMMYFUNCTION("IF('Respuestas de formulario 1'!M273="""","""",TO_TEXT('Respuestas de formulario 1'!M273))"),"")</f>
        <v/>
      </c>
      <c r="N273" s="7">
        <f t="shared" si="1"/>
        <v>2023</v>
      </c>
      <c r="O273" s="7" t="str">
        <f t="shared" si="2"/>
        <v>agosto</v>
      </c>
      <c r="P273" s="7" t="s">
        <v>4749</v>
      </c>
    </row>
    <row r="274">
      <c r="A274" s="19">
        <f>'Respuestas de formulario 1'!A274</f>
        <v>45154.50929</v>
      </c>
      <c r="B274" s="7" t="str">
        <f>'Respuestas de formulario 1'!B274</f>
        <v>Menéndez Argañaras </v>
      </c>
      <c r="C274" s="7" t="str">
        <f>'Respuestas de formulario 1'!C274</f>
        <v>Graciela María </v>
      </c>
      <c r="D274" s="7" t="str">
        <f>'Respuestas de formulario 1'!D274</f>
        <v>menendezgracielagm@gmail.com</v>
      </c>
      <c r="E274" s="20">
        <f>'Respuestas de formulario 1'!E274</f>
        <v>20643</v>
      </c>
      <c r="F274" s="7">
        <f>'Respuestas de formulario 1'!F274</f>
        <v>12365443</v>
      </c>
      <c r="G274" s="7" t="str">
        <f>IFERROR(__xludf.DUMMYFUNCTION("IF('Respuestas de formulario 1'!G274="""","""",IF(LEFT(REGEXREPLACE(TO_TEXT('Respuestas de formulario 1'!G274),""[^0-9]"",""""),2)=""54"",""+""&amp;REGEXREPLACE(TO_TEXT('Respuestas de formulario 1'!G274),""[^0-9]"",""""),""+54""&amp;REGEXREPLACE(TO_TEXT('Respuest"&amp;"as de formulario 1'!G274),""[^0-9]"","""")))"),"+543515523954")</f>
        <v>+543515523954</v>
      </c>
      <c r="H274" s="7">
        <f>'Respuestas de formulario 1'!S274</f>
        <v>2023</v>
      </c>
      <c r="I274" s="7" t="str">
        <f>IFERROR(__xludf.DUMMYFUNCTION("IF('Respuestas de formulario 1'!I274="""","""",TO_TEXT('Respuestas de formulario 1'!I274))"),"Particular")</f>
        <v>Particular</v>
      </c>
      <c r="J274" s="7" t="str">
        <f>IFERROR(__xludf.DUMMYFUNCTION("IF('Respuestas de formulario 1'!J274&lt;&gt;"""",UPPER(TRIM(TO_TEXT('Respuestas de formulario 1'!J274))),IF('Respuestas de formulario 1'!O274&lt;&gt;"""",UPPER(TRIM(TO_TEXT('Respuestas de formulario 1'!O274))),""""))"),"")</f>
        <v/>
      </c>
      <c r="K274" s="7" t="str">
        <f>IFERROR(__xludf.DUMMYFUNCTION("IF('Respuestas de formulario 1'!K274="""","""",TO_TEXT('Respuestas de formulario 1'!K274))"),"")</f>
        <v/>
      </c>
      <c r="L274" s="7" t="str">
        <f>IFERROR(__xludf.DUMMYFUNCTION("IF('Respuestas de formulario 1'!L274="""","""",TO_TEXT('Respuestas de formulario 1'!L274))"),"")</f>
        <v/>
      </c>
      <c r="M274" s="7" t="str">
        <f>IFERROR(__xludf.DUMMYFUNCTION("IF('Respuestas de formulario 1'!M274="""","""",TO_TEXT('Respuestas de formulario 1'!M274))"),"")</f>
        <v/>
      </c>
      <c r="N274" s="7">
        <f t="shared" si="1"/>
        <v>2023</v>
      </c>
      <c r="O274" s="7" t="str">
        <f t="shared" si="2"/>
        <v>agosto</v>
      </c>
      <c r="P274" s="7" t="s">
        <v>4751</v>
      </c>
    </row>
    <row r="275">
      <c r="A275" s="19">
        <f>'Respuestas de formulario 1'!A275</f>
        <v>45160.79012</v>
      </c>
      <c r="B275" s="7" t="str">
        <f>'Respuestas de formulario 1'!B275</f>
        <v>Cattaneo </v>
      </c>
      <c r="C275" s="7" t="str">
        <f>'Respuestas de formulario 1'!C275</f>
        <v>Santiago Andres</v>
      </c>
      <c r="D275" s="7" t="str">
        <f>'Respuestas de formulario 1'!D275</f>
        <v>Santicatta14@gmail.com </v>
      </c>
      <c r="E275" s="20">
        <f>'Respuestas de formulario 1'!E275</f>
        <v>34552</v>
      </c>
      <c r="F275" s="7">
        <f>'Respuestas de formulario 1'!F275</f>
        <v>38332969</v>
      </c>
      <c r="G275" s="7" t="str">
        <f>IFERROR(__xludf.DUMMYFUNCTION("IF('Respuestas de formulario 1'!G275="""","""",IF(LEFT(REGEXREPLACE(TO_TEXT('Respuestas de formulario 1'!G275),""[^0-9]"",""""),2)=""54"",""+""&amp;REGEXREPLACE(TO_TEXT('Respuestas de formulario 1'!G275),""[^0-9]"",""""),""+54""&amp;REGEXREPLACE(TO_TEXT('Respuest"&amp;"as de formulario 1'!G275),""[^0-9]"","""")))"),"+543517564453")</f>
        <v>+543517564453</v>
      </c>
      <c r="H275" s="7">
        <f>'Respuestas de formulario 1'!S275</f>
        <v>2023</v>
      </c>
      <c r="I275" s="7" t="str">
        <f>IFERROR(__xludf.DUMMYFUNCTION("IF('Respuestas de formulario 1'!I275="""","""",TO_TEXT('Respuestas de formulario 1'!I275))"),"Particular")</f>
        <v>Particular</v>
      </c>
      <c r="J275" s="7" t="str">
        <f>IFERROR(__xludf.DUMMYFUNCTION("IF('Respuestas de formulario 1'!J275&lt;&gt;"""",UPPER(TRIM(TO_TEXT('Respuestas de formulario 1'!J275))),IF('Respuestas de formulario 1'!O275&lt;&gt;"""",UPPER(TRIM(TO_TEXT('Respuestas de formulario 1'!O275))),""""))"),"")</f>
        <v/>
      </c>
      <c r="K275" s="7" t="str">
        <f>IFERROR(__xludf.DUMMYFUNCTION("IF('Respuestas de formulario 1'!K275="""","""",TO_TEXT('Respuestas de formulario 1'!K275))"),"")</f>
        <v/>
      </c>
      <c r="L275" s="7" t="str">
        <f>IFERROR(__xludf.DUMMYFUNCTION("IF('Respuestas de formulario 1'!L275="""","""",TO_TEXT('Respuestas de formulario 1'!L275))"),"")</f>
        <v/>
      </c>
      <c r="M275" s="7" t="str">
        <f>IFERROR(__xludf.DUMMYFUNCTION("IF('Respuestas de formulario 1'!M275="""","""",TO_TEXT('Respuestas de formulario 1'!M275))"),"")</f>
        <v/>
      </c>
      <c r="N275" s="7">
        <f t="shared" si="1"/>
        <v>2023</v>
      </c>
      <c r="O275" s="7" t="str">
        <f t="shared" si="2"/>
        <v>agosto</v>
      </c>
      <c r="P275" s="7" t="s">
        <v>4753</v>
      </c>
    </row>
    <row r="276">
      <c r="A276" s="19">
        <f>'Respuestas de formulario 1'!A276</f>
        <v>45161.56116</v>
      </c>
      <c r="B276" s="7" t="str">
        <f>'Respuestas de formulario 1'!B276</f>
        <v>Pulita </v>
      </c>
      <c r="C276" s="7" t="str">
        <f>'Respuestas de formulario 1'!C276</f>
        <v>Santiago</v>
      </c>
      <c r="D276" s="7" t="str">
        <f>'Respuestas de formulario 1'!D276</f>
        <v>Santiagopulita693@gmail.com </v>
      </c>
      <c r="E276" s="20">
        <f>'Respuestas de formulario 1'!E276</f>
        <v>36231</v>
      </c>
      <c r="F276" s="7">
        <f>'Respuestas de formulario 1'!F276</f>
        <v>41827913</v>
      </c>
      <c r="G276" s="7" t="str">
        <f>IFERROR(__xludf.DUMMYFUNCTION("IF('Respuestas de formulario 1'!G276="""","""",IF(LEFT(REGEXREPLACE(TO_TEXT('Respuestas de formulario 1'!G276),""[^0-9]"",""""),2)=""54"",""+""&amp;REGEXREPLACE(TO_TEXT('Respuestas de formulario 1'!G276),""[^0-9]"",""""),""+54""&amp;REGEXREPLACE(TO_TEXT('Respuest"&amp;"as de formulario 1'!G276),""[^0-9]"","""")))"),"+543518017718")</f>
        <v>+543518017718</v>
      </c>
      <c r="H276" s="7">
        <f>'Respuestas de formulario 1'!S276</f>
        <v>2023</v>
      </c>
      <c r="I276" s="7" t="str">
        <f>IFERROR(__xludf.DUMMYFUNCTION("IF('Respuestas de formulario 1'!I276="""","""",TO_TEXT('Respuestas de formulario 1'!I276))"),"Particular")</f>
        <v>Particular</v>
      </c>
      <c r="J276" s="7" t="str">
        <f>IFERROR(__xludf.DUMMYFUNCTION("IF('Respuestas de formulario 1'!J276&lt;&gt;"""",UPPER(TRIM(TO_TEXT('Respuestas de formulario 1'!J276))),IF('Respuestas de formulario 1'!O276&lt;&gt;"""",UPPER(TRIM(TO_TEXT('Respuestas de formulario 1'!O276))),""""))"),"")</f>
        <v/>
      </c>
      <c r="K276" s="7" t="str">
        <f>IFERROR(__xludf.DUMMYFUNCTION("IF('Respuestas de formulario 1'!K276="""","""",TO_TEXT('Respuestas de formulario 1'!K276))"),"")</f>
        <v/>
      </c>
      <c r="L276" s="7" t="str">
        <f>IFERROR(__xludf.DUMMYFUNCTION("IF('Respuestas de formulario 1'!L276="""","""",TO_TEXT('Respuestas de formulario 1'!L276))"),"")</f>
        <v/>
      </c>
      <c r="M276" s="7" t="str">
        <f>IFERROR(__xludf.DUMMYFUNCTION("IF('Respuestas de formulario 1'!M276="""","""",TO_TEXT('Respuestas de formulario 1'!M276))"),"")</f>
        <v/>
      </c>
      <c r="N276" s="7">
        <f t="shared" si="1"/>
        <v>2023</v>
      </c>
      <c r="O276" s="7" t="str">
        <f t="shared" si="2"/>
        <v>agosto</v>
      </c>
      <c r="P276" s="7" t="s">
        <v>4755</v>
      </c>
    </row>
    <row r="277">
      <c r="A277" s="19">
        <f>'Respuestas de formulario 1'!A277</f>
        <v>45161.82574</v>
      </c>
      <c r="B277" s="7" t="str">
        <f>'Respuestas de formulario 1'!B277</f>
        <v>Pavani</v>
      </c>
      <c r="C277" s="7" t="str">
        <f>'Respuestas de formulario 1'!C277</f>
        <v>Delfina</v>
      </c>
      <c r="D277" s="7" t="str">
        <f>'Respuestas de formulario 1'!D277</f>
        <v>marielatesio@hotmail.com</v>
      </c>
      <c r="E277" s="20">
        <f>'Respuestas de formulario 1'!E277</f>
        <v>39401</v>
      </c>
      <c r="F277" s="7">
        <f>'Respuestas de formulario 1'!F277</f>
        <v>47578131</v>
      </c>
      <c r="G277" s="7" t="str">
        <f>IFERROR(__xludf.DUMMYFUNCTION("IF('Respuestas de formulario 1'!G277="""","""",IF(LEFT(REGEXREPLACE(TO_TEXT('Respuestas de formulario 1'!G277),""[^0-9]"",""""),2)=""54"",""+""&amp;REGEXREPLACE(TO_TEXT('Respuestas de formulario 1'!G277),""[^0-9]"",""""),""+54""&amp;REGEXREPLACE(TO_TEXT('Respuest"&amp;"as de formulario 1'!G277),""[^0-9]"","""")))"),"+543516143065")</f>
        <v>+543516143065</v>
      </c>
      <c r="H277" s="7">
        <f>'Respuestas de formulario 1'!S277</f>
        <v>2023</v>
      </c>
      <c r="I277" s="7" t="str">
        <f>IFERROR(__xludf.DUMMYFUNCTION("IF('Respuestas de formulario 1'!I277="""","""",TO_TEXT('Respuestas de formulario 1'!I277))"),"Particular")</f>
        <v>Particular</v>
      </c>
      <c r="J277" s="7" t="str">
        <f>IFERROR(__xludf.DUMMYFUNCTION("IF('Respuestas de formulario 1'!J277&lt;&gt;"""",UPPER(TRIM(TO_TEXT('Respuestas de formulario 1'!J277))),IF('Respuestas de formulario 1'!O277&lt;&gt;"""",UPPER(TRIM(TO_TEXT('Respuestas de formulario 1'!O277))),""""))"),"")</f>
        <v/>
      </c>
      <c r="K277" s="7" t="str">
        <f>IFERROR(__xludf.DUMMYFUNCTION("IF('Respuestas de formulario 1'!K277="""","""",TO_TEXT('Respuestas de formulario 1'!K277))"),"")</f>
        <v/>
      </c>
      <c r="L277" s="7" t="str">
        <f>IFERROR(__xludf.DUMMYFUNCTION("IF('Respuestas de formulario 1'!L277="""","""",TO_TEXT('Respuestas de formulario 1'!L277))"),"")</f>
        <v/>
      </c>
      <c r="M277" s="7" t="str">
        <f>IFERROR(__xludf.DUMMYFUNCTION("IF('Respuestas de formulario 1'!M277="""","""",TO_TEXT('Respuestas de formulario 1'!M277))"),"")</f>
        <v/>
      </c>
      <c r="N277" s="7">
        <f t="shared" si="1"/>
        <v>2023</v>
      </c>
      <c r="O277" s="7" t="str">
        <f t="shared" si="2"/>
        <v>agosto</v>
      </c>
      <c r="P277" s="7" t="s">
        <v>4757</v>
      </c>
    </row>
    <row r="278">
      <c r="A278" s="19">
        <f>'Respuestas de formulario 1'!A278</f>
        <v>45162.42802</v>
      </c>
      <c r="B278" s="7" t="str">
        <f>'Respuestas de formulario 1'!B278</f>
        <v>Borthiry</v>
      </c>
      <c r="C278" s="7" t="str">
        <f>'Respuestas de formulario 1'!C278</f>
        <v>Franco</v>
      </c>
      <c r="D278" s="7" t="str">
        <f>'Respuestas de formulario 1'!D278</f>
        <v>franco.borthiry@gmail.com</v>
      </c>
      <c r="E278" s="20">
        <f>'Respuestas de formulario 1'!E278</f>
        <v>33718</v>
      </c>
      <c r="F278" s="7">
        <f>'Respuestas de formulario 1'!F278</f>
        <v>36201870</v>
      </c>
      <c r="G278" s="7" t="str">
        <f>IFERROR(__xludf.DUMMYFUNCTION("IF('Respuestas de formulario 1'!G278="""","""",IF(LEFT(REGEXREPLACE(TO_TEXT('Respuestas de formulario 1'!G278),""[^0-9]"",""""),2)=""54"",""+""&amp;REGEXREPLACE(TO_TEXT('Respuestas de formulario 1'!G278),""[^0-9]"",""""),""+54""&amp;REGEXREPLACE(TO_TEXT('Respuest"&amp;"as de formulario 1'!G278),""[^0-9]"","""")))"),"+543512537189")</f>
        <v>+543512537189</v>
      </c>
      <c r="H278" s="7">
        <f>'Respuestas de formulario 1'!S278</f>
        <v>2023</v>
      </c>
      <c r="I278" s="7" t="str">
        <f>IFERROR(__xludf.DUMMYFUNCTION("IF('Respuestas de formulario 1'!I278="""","""",TO_TEXT('Respuestas de formulario 1'!I278))"),"Obra social")</f>
        <v>Obra social</v>
      </c>
      <c r="J278" s="7" t="str">
        <f>IFERROR(__xludf.DUMMYFUNCTION("IF('Respuestas de formulario 1'!J278&lt;&gt;"""",UPPER(TRIM(TO_TEXT('Respuestas de formulario 1'!J278))),IF('Respuestas de formulario 1'!O278&lt;&gt;"""",UPPER(TRIM(TO_TEXT('Respuestas de formulario 1'!O278))),""""))"),"FEDERADA SALUD")</f>
        <v>FEDERADA SALUD</v>
      </c>
      <c r="K278" s="7" t="str">
        <f>IFERROR(__xludf.DUMMYFUNCTION("IF('Respuestas de formulario 1'!K278="""","""",TO_TEXT('Respuestas de formulario 1'!K278))"),"")</f>
        <v/>
      </c>
      <c r="L278" s="7" t="str">
        <f>IFERROR(__xludf.DUMMYFUNCTION("IF('Respuestas de formulario 1'!L278="""","""",TO_TEXT('Respuestas de formulario 1'!L278))"),"")</f>
        <v/>
      </c>
      <c r="M278" s="7" t="str">
        <f>IFERROR(__xludf.DUMMYFUNCTION("IF('Respuestas de formulario 1'!M278="""","""",TO_TEXT('Respuestas de formulario 1'!M278))"),"")</f>
        <v/>
      </c>
      <c r="N278" s="7">
        <f t="shared" si="1"/>
        <v>2023</v>
      </c>
      <c r="O278" s="7" t="str">
        <f t="shared" si="2"/>
        <v>agosto</v>
      </c>
      <c r="P278" s="7" t="s">
        <v>4759</v>
      </c>
    </row>
    <row r="279">
      <c r="A279" s="19">
        <f>'Respuestas de formulario 1'!A279</f>
        <v>45162.4666</v>
      </c>
      <c r="B279" s="7" t="str">
        <f>'Respuestas de formulario 1'!B279</f>
        <v>Giuliani </v>
      </c>
      <c r="C279" s="7" t="str">
        <f>'Respuestas de formulario 1'!C279</f>
        <v>Emanuel </v>
      </c>
      <c r="D279" s="7" t="str">
        <f>'Respuestas de formulario 1'!D279</f>
        <v>ema_giuliani@outlook.com</v>
      </c>
      <c r="E279" s="20">
        <f>'Respuestas de formulario 1'!E279</f>
        <v>34834</v>
      </c>
      <c r="F279" s="7">
        <f>'Respuestas de formulario 1'!F279</f>
        <v>38988858</v>
      </c>
      <c r="G279" s="7" t="str">
        <f>IFERROR(__xludf.DUMMYFUNCTION("IF('Respuestas de formulario 1'!G279="""","""",IF(LEFT(REGEXREPLACE(TO_TEXT('Respuestas de formulario 1'!G279),""[^0-9]"",""""),2)=""54"",""+""&amp;REGEXREPLACE(TO_TEXT('Respuestas de formulario 1'!G279),""[^0-9]"",""""),""+54""&amp;REGEXREPLACE(TO_TEXT('Respuest"&amp;"as de formulario 1'!G279),""[^0-9]"","""")))"),"+543517555421")</f>
        <v>+543517555421</v>
      </c>
      <c r="H279" s="7">
        <f>'Respuestas de formulario 1'!S279</f>
        <v>2023</v>
      </c>
      <c r="I279" s="7" t="str">
        <f>IFERROR(__xludf.DUMMYFUNCTION("IF('Respuestas de formulario 1'!I279="""","""",TO_TEXT('Respuestas de formulario 1'!I279))"),"Particular")</f>
        <v>Particular</v>
      </c>
      <c r="J279" s="7" t="str">
        <f>IFERROR(__xludf.DUMMYFUNCTION("IF('Respuestas de formulario 1'!J279&lt;&gt;"""",UPPER(TRIM(TO_TEXT('Respuestas de formulario 1'!J279))),IF('Respuestas de formulario 1'!O279&lt;&gt;"""",UPPER(TRIM(TO_TEXT('Respuestas de formulario 1'!O279))),""""))"),"")</f>
        <v/>
      </c>
      <c r="K279" s="7" t="str">
        <f>IFERROR(__xludf.DUMMYFUNCTION("IF('Respuestas de formulario 1'!K279="""","""",TO_TEXT('Respuestas de formulario 1'!K279))"),"")</f>
        <v/>
      </c>
      <c r="L279" s="7" t="str">
        <f>IFERROR(__xludf.DUMMYFUNCTION("IF('Respuestas de formulario 1'!L279="""","""",TO_TEXT('Respuestas de formulario 1'!L279))"),"")</f>
        <v/>
      </c>
      <c r="M279" s="7" t="str">
        <f>IFERROR(__xludf.DUMMYFUNCTION("IF('Respuestas de formulario 1'!M279="""","""",TO_TEXT('Respuestas de formulario 1'!M279))"),"")</f>
        <v/>
      </c>
      <c r="N279" s="7">
        <f t="shared" si="1"/>
        <v>2023</v>
      </c>
      <c r="O279" s="7" t="str">
        <f t="shared" si="2"/>
        <v>agosto</v>
      </c>
      <c r="P279" s="7" t="s">
        <v>4761</v>
      </c>
    </row>
    <row r="280">
      <c r="A280" s="19">
        <f>'Respuestas de formulario 1'!A280</f>
        <v>45166.57034</v>
      </c>
      <c r="B280" s="7" t="str">
        <f>'Respuestas de formulario 1'!B280</f>
        <v>Atti</v>
      </c>
      <c r="C280" s="7" t="str">
        <f>'Respuestas de formulario 1'!C280</f>
        <v>Maria ines</v>
      </c>
      <c r="D280" s="7" t="str">
        <f>'Respuestas de formulario 1'!D280</f>
        <v>mariainesatti@yahoo.com.ar</v>
      </c>
      <c r="E280" s="20">
        <f>'Respuestas de formulario 1'!E280</f>
        <v>-670402</v>
      </c>
      <c r="F280" s="7">
        <f>'Respuestas de formulario 1'!F280</f>
        <v>16903534</v>
      </c>
      <c r="G280" s="7" t="str">
        <f>IFERROR(__xludf.DUMMYFUNCTION("IF('Respuestas de formulario 1'!G280="""","""",IF(LEFT(REGEXREPLACE(TO_TEXT('Respuestas de formulario 1'!G280),""[^0-9]"",""""),2)=""54"",""+""&amp;REGEXREPLACE(TO_TEXT('Respuestas de formulario 1'!G280),""[^0-9]"",""""),""+54""&amp;REGEXREPLACE(TO_TEXT('Respuest"&amp;"as de formulario 1'!G280),""[^0-9]"","""")))"),"+543515900607")</f>
        <v>+543515900607</v>
      </c>
      <c r="H280" s="7">
        <f>'Respuestas de formulario 1'!S280</f>
        <v>2023</v>
      </c>
      <c r="I280" s="7" t="str">
        <f>IFERROR(__xludf.DUMMYFUNCTION("IF('Respuestas de formulario 1'!I280="""","""",TO_TEXT('Respuestas de formulario 1'!I280))"),"Particular")</f>
        <v>Particular</v>
      </c>
      <c r="J280" s="7" t="str">
        <f>IFERROR(__xludf.DUMMYFUNCTION("IF('Respuestas de formulario 1'!J280&lt;&gt;"""",UPPER(TRIM(TO_TEXT('Respuestas de formulario 1'!J280))),IF('Respuestas de formulario 1'!O280&lt;&gt;"""",UPPER(TRIM(TO_TEXT('Respuestas de formulario 1'!O280))),""""))"),"")</f>
        <v/>
      </c>
      <c r="K280" s="7" t="str">
        <f>IFERROR(__xludf.DUMMYFUNCTION("IF('Respuestas de formulario 1'!K280="""","""",TO_TEXT('Respuestas de formulario 1'!K280))"),"")</f>
        <v/>
      </c>
      <c r="L280" s="7" t="str">
        <f>IFERROR(__xludf.DUMMYFUNCTION("IF('Respuestas de formulario 1'!L280="""","""",TO_TEXT('Respuestas de formulario 1'!L280))"),"")</f>
        <v/>
      </c>
      <c r="M280" s="7" t="str">
        <f>IFERROR(__xludf.DUMMYFUNCTION("IF('Respuestas de formulario 1'!M280="""","""",TO_TEXT('Respuestas de formulario 1'!M280))"),"")</f>
        <v/>
      </c>
      <c r="N280" s="7">
        <f t="shared" si="1"/>
        <v>2023</v>
      </c>
      <c r="O280" s="7" t="str">
        <f t="shared" si="2"/>
        <v>agosto</v>
      </c>
      <c r="P280" s="7" t="s">
        <v>4763</v>
      </c>
    </row>
    <row r="281">
      <c r="A281" s="19">
        <f>'Respuestas de formulario 1'!A281</f>
        <v>45168.76945</v>
      </c>
      <c r="B281" s="7" t="str">
        <f>'Respuestas de formulario 1'!B281</f>
        <v>Wayar</v>
      </c>
      <c r="C281" s="7" t="str">
        <f>'Respuestas de formulario 1'!C281</f>
        <v>Samiel</v>
      </c>
      <c r="D281" s="7" t="str">
        <f>'Respuestas de formulario 1'!D281</f>
        <v>Swc1897@gmail.com</v>
      </c>
      <c r="E281" s="20">
        <f>'Respuestas de formulario 1'!E281</f>
        <v>35782</v>
      </c>
      <c r="F281" s="7">
        <f>'Respuestas de formulario 1'!F281</f>
        <v>40815042</v>
      </c>
      <c r="G281" s="7" t="str">
        <f>IFERROR(__xludf.DUMMYFUNCTION("IF('Respuestas de formulario 1'!G281="""","""",IF(LEFT(REGEXREPLACE(TO_TEXT('Respuestas de formulario 1'!G281),""[^0-9]"",""""),2)=""54"",""+""&amp;REGEXREPLACE(TO_TEXT('Respuestas de formulario 1'!G281),""[^0-9]"",""""),""+54""&amp;REGEXREPLACE(TO_TEXT('Respuest"&amp;"as de formulario 1'!G281),""[^0-9]"","""")))"),"+543517350066")</f>
        <v>+543517350066</v>
      </c>
      <c r="H281" s="7">
        <f>'Respuestas de formulario 1'!S281</f>
        <v>2023</v>
      </c>
      <c r="I281" s="7" t="str">
        <f>IFERROR(__xludf.DUMMYFUNCTION("IF('Respuestas de formulario 1'!I281="""","""",TO_TEXT('Respuestas de formulario 1'!I281))"),"Particular")</f>
        <v>Particular</v>
      </c>
      <c r="J281" s="7" t="str">
        <f>IFERROR(__xludf.DUMMYFUNCTION("IF('Respuestas de formulario 1'!J281&lt;&gt;"""",UPPER(TRIM(TO_TEXT('Respuestas de formulario 1'!J281))),IF('Respuestas de formulario 1'!O281&lt;&gt;"""",UPPER(TRIM(TO_TEXT('Respuestas de formulario 1'!O281))),""""))"),"")</f>
        <v/>
      </c>
      <c r="K281" s="7" t="str">
        <f>IFERROR(__xludf.DUMMYFUNCTION("IF('Respuestas de formulario 1'!K281="""","""",TO_TEXT('Respuestas de formulario 1'!K281))"),"")</f>
        <v/>
      </c>
      <c r="L281" s="7" t="str">
        <f>IFERROR(__xludf.DUMMYFUNCTION("IF('Respuestas de formulario 1'!L281="""","""",TO_TEXT('Respuestas de formulario 1'!L281))"),"")</f>
        <v/>
      </c>
      <c r="M281" s="7" t="str">
        <f>IFERROR(__xludf.DUMMYFUNCTION("IF('Respuestas de formulario 1'!M281="""","""",TO_TEXT('Respuestas de formulario 1'!M281))"),"")</f>
        <v/>
      </c>
      <c r="N281" s="7">
        <f t="shared" si="1"/>
        <v>2023</v>
      </c>
      <c r="O281" s="7" t="str">
        <f t="shared" si="2"/>
        <v>agosto</v>
      </c>
      <c r="P281" s="7" t="s">
        <v>4765</v>
      </c>
    </row>
    <row r="282">
      <c r="A282" s="19">
        <f>'Respuestas de formulario 1'!A282</f>
        <v>45168.78644</v>
      </c>
      <c r="B282" s="7" t="str">
        <f>'Respuestas de formulario 1'!B282</f>
        <v>Balestrini</v>
      </c>
      <c r="C282" s="7" t="str">
        <f>'Respuestas de formulario 1'!C282</f>
        <v>Nicolas</v>
      </c>
      <c r="D282" s="7" t="str">
        <f>'Respuestas de formulario 1'!D282</f>
        <v>nicobalestrini@gmail.com</v>
      </c>
      <c r="E282" s="20">
        <f>'Respuestas de formulario 1'!E282</f>
        <v>35308</v>
      </c>
      <c r="F282" s="7">
        <f>'Respuestas de formulario 1'!F282</f>
        <v>39691764</v>
      </c>
      <c r="G282" s="7" t="str">
        <f>IFERROR(__xludf.DUMMYFUNCTION("IF('Respuestas de formulario 1'!G282="""","""",IF(LEFT(REGEXREPLACE(TO_TEXT('Respuestas de formulario 1'!G282),""[^0-9]"",""""),2)=""54"",""+""&amp;REGEXREPLACE(TO_TEXT('Respuestas de formulario 1'!G282),""[^0-9]"",""""),""+54""&amp;REGEXREPLACE(TO_TEXT('Respuest"&amp;"as de formulario 1'!G282),""[^0-9]"","""")))"),"+543517674121")</f>
        <v>+543517674121</v>
      </c>
      <c r="H282" s="7">
        <f>'Respuestas de formulario 1'!S282</f>
        <v>2023</v>
      </c>
      <c r="I282" s="7" t="str">
        <f>IFERROR(__xludf.DUMMYFUNCTION("IF('Respuestas de formulario 1'!I282="""","""",TO_TEXT('Respuestas de formulario 1'!I282))"),"Obra social")</f>
        <v>Obra social</v>
      </c>
      <c r="J282" s="7" t="str">
        <f>IFERROR(__xludf.DUMMYFUNCTION("IF('Respuestas de formulario 1'!J282&lt;&gt;"""",UPPER(TRIM(TO_TEXT('Respuestas de formulario 1'!J282))),IF('Respuestas de formulario 1'!O282&lt;&gt;"""",UPPER(TRIM(TO_TEXT('Respuestas de formulario 1'!O282))),""""))"),"BOREAL")</f>
        <v>BOREAL</v>
      </c>
      <c r="K282" s="7" t="str">
        <f>IFERROR(__xludf.DUMMYFUNCTION("IF('Respuestas de formulario 1'!K282="""","""",TO_TEXT('Respuestas de formulario 1'!K282))"),"")</f>
        <v/>
      </c>
      <c r="L282" s="7" t="str">
        <f>IFERROR(__xludf.DUMMYFUNCTION("IF('Respuestas de formulario 1'!L282="""","""",TO_TEXT('Respuestas de formulario 1'!L282))"),"")</f>
        <v/>
      </c>
      <c r="M282" s="7" t="str">
        <f>IFERROR(__xludf.DUMMYFUNCTION("IF('Respuestas de formulario 1'!M282="""","""",TO_TEXT('Respuestas de formulario 1'!M282))"),"")</f>
        <v/>
      </c>
      <c r="N282" s="7">
        <f t="shared" si="1"/>
        <v>2023</v>
      </c>
      <c r="O282" s="7" t="str">
        <f t="shared" si="2"/>
        <v>agosto</v>
      </c>
      <c r="P282" s="7" t="s">
        <v>4767</v>
      </c>
    </row>
    <row r="283">
      <c r="A283" s="19">
        <f>'Respuestas de formulario 1'!A283</f>
        <v>45169.66326</v>
      </c>
      <c r="B283" s="7" t="str">
        <f>'Respuestas de formulario 1'!B283</f>
        <v>Garcia </v>
      </c>
      <c r="C283" s="7" t="str">
        <f>'Respuestas de formulario 1'!C283</f>
        <v>Claudio</v>
      </c>
      <c r="D283" s="7" t="str">
        <f>'Respuestas de formulario 1'!D283</f>
        <v>Claudiogarcia117@gmail.com </v>
      </c>
      <c r="E283" s="20">
        <f>'Respuestas de formulario 1'!E283</f>
        <v>45154</v>
      </c>
      <c r="F283" s="7">
        <f>'Respuestas de formulario 1'!F283</f>
        <v>23764296</v>
      </c>
      <c r="G283" s="7" t="str">
        <f>IFERROR(__xludf.DUMMYFUNCTION("IF('Respuestas de formulario 1'!G283="""","""",IF(LEFT(REGEXREPLACE(TO_TEXT('Respuestas de formulario 1'!G283),""[^0-9]"",""""),2)=""54"",""+""&amp;REGEXREPLACE(TO_TEXT('Respuestas de formulario 1'!G283),""[^0-9]"",""""),""+54""&amp;REGEXREPLACE(TO_TEXT('Respuest"&amp;"as de formulario 1'!G283),""[^0-9]"","""")))"),"+543512185759")</f>
        <v>+543512185759</v>
      </c>
      <c r="H283" s="7">
        <f>'Respuestas de formulario 1'!S283</f>
        <v>2023</v>
      </c>
      <c r="I283" s="7" t="str">
        <f>IFERROR(__xludf.DUMMYFUNCTION("IF('Respuestas de formulario 1'!I283="""","""",TO_TEXT('Respuestas de formulario 1'!I283))"),"Particular")</f>
        <v>Particular</v>
      </c>
      <c r="J283" s="7" t="str">
        <f>IFERROR(__xludf.DUMMYFUNCTION("IF('Respuestas de formulario 1'!J283&lt;&gt;"""",UPPER(TRIM(TO_TEXT('Respuestas de formulario 1'!J283))),IF('Respuestas de formulario 1'!O283&lt;&gt;"""",UPPER(TRIM(TO_TEXT('Respuestas de formulario 1'!O283))),""""))"),"")</f>
        <v/>
      </c>
      <c r="K283" s="7" t="str">
        <f>IFERROR(__xludf.DUMMYFUNCTION("IF('Respuestas de formulario 1'!K283="""","""",TO_TEXT('Respuestas de formulario 1'!K283))"),"")</f>
        <v/>
      </c>
      <c r="L283" s="7" t="str">
        <f>IFERROR(__xludf.DUMMYFUNCTION("IF('Respuestas de formulario 1'!L283="""","""",TO_TEXT('Respuestas de formulario 1'!L283))"),"")</f>
        <v/>
      </c>
      <c r="M283" s="7" t="str">
        <f>IFERROR(__xludf.DUMMYFUNCTION("IF('Respuestas de formulario 1'!M283="""","""",TO_TEXT('Respuestas de formulario 1'!M283))"),"")</f>
        <v/>
      </c>
      <c r="N283" s="7">
        <f t="shared" si="1"/>
        <v>2023</v>
      </c>
      <c r="O283" s="7" t="str">
        <f t="shared" si="2"/>
        <v>agosto</v>
      </c>
      <c r="P283" s="7" t="s">
        <v>4769</v>
      </c>
    </row>
    <row r="284">
      <c r="A284" s="19">
        <f>'Respuestas de formulario 1'!A284</f>
        <v>45170.49165</v>
      </c>
      <c r="B284" s="7" t="str">
        <f>'Respuestas de formulario 1'!B284</f>
        <v>Ferla</v>
      </c>
      <c r="C284" s="7" t="str">
        <f>'Respuestas de formulario 1'!C284</f>
        <v>Grazia</v>
      </c>
      <c r="D284" s="7" t="str">
        <f>'Respuestas de formulario 1'!D284</f>
        <v>ferlagrazia@gmail.com</v>
      </c>
      <c r="E284" s="20">
        <f>'Respuestas de formulario 1'!E284</f>
        <v>32265</v>
      </c>
      <c r="F284" s="7">
        <f>'Respuestas de formulario 1'!F284</f>
        <v>33701919</v>
      </c>
      <c r="G284" s="7" t="str">
        <f>IFERROR(__xludf.DUMMYFUNCTION("IF('Respuestas de formulario 1'!G284="""","""",IF(LEFT(REGEXREPLACE(TO_TEXT('Respuestas de formulario 1'!G284),""[^0-9]"",""""),2)=""54"",""+""&amp;REGEXREPLACE(TO_TEXT('Respuestas de formulario 1'!G284),""[^0-9]"",""""),""+54""&amp;REGEXREPLACE(TO_TEXT('Respuest"&amp;"as de formulario 1'!G284),""[^0-9]"","""")))"),"+543513029274")</f>
        <v>+543513029274</v>
      </c>
      <c r="H284" s="7">
        <f>'Respuestas de formulario 1'!S284</f>
        <v>2023</v>
      </c>
      <c r="I284" s="7" t="str">
        <f>IFERROR(__xludf.DUMMYFUNCTION("IF('Respuestas de formulario 1'!I284="""","""",TO_TEXT('Respuestas de formulario 1'!I284))"),"Particular")</f>
        <v>Particular</v>
      </c>
      <c r="J284" s="7" t="str">
        <f>IFERROR(__xludf.DUMMYFUNCTION("IF('Respuestas de formulario 1'!J284&lt;&gt;"""",UPPER(TRIM(TO_TEXT('Respuestas de formulario 1'!J284))),IF('Respuestas de formulario 1'!O284&lt;&gt;"""",UPPER(TRIM(TO_TEXT('Respuestas de formulario 1'!O284))),""""))"),"")</f>
        <v/>
      </c>
      <c r="K284" s="7" t="str">
        <f>IFERROR(__xludf.DUMMYFUNCTION("IF('Respuestas de formulario 1'!K284="""","""",TO_TEXT('Respuestas de formulario 1'!K284))"),"")</f>
        <v/>
      </c>
      <c r="L284" s="7" t="str">
        <f>IFERROR(__xludf.DUMMYFUNCTION("IF('Respuestas de formulario 1'!L284="""","""",TO_TEXT('Respuestas de formulario 1'!L284))"),"")</f>
        <v/>
      </c>
      <c r="M284" s="7" t="str">
        <f>IFERROR(__xludf.DUMMYFUNCTION("IF('Respuestas de formulario 1'!M284="""","""",TO_TEXT('Respuestas de formulario 1'!M284))"),"")</f>
        <v/>
      </c>
      <c r="N284" s="7">
        <f t="shared" si="1"/>
        <v>2023</v>
      </c>
      <c r="O284" s="7" t="str">
        <f t="shared" si="2"/>
        <v>septiembre</v>
      </c>
      <c r="P284" s="7" t="s">
        <v>4771</v>
      </c>
    </row>
    <row r="285">
      <c r="A285" s="19">
        <f>'Respuestas de formulario 1'!A285</f>
        <v>45173.53485</v>
      </c>
      <c r="B285" s="7" t="str">
        <f>'Respuestas de formulario 1'!B285</f>
        <v>Nieto Ramirez </v>
      </c>
      <c r="C285" s="7" t="str">
        <f>'Respuestas de formulario 1'!C285</f>
        <v>Benjamin </v>
      </c>
      <c r="D285" s="7" t="str">
        <f>'Respuestas de formulario 1'!D285</f>
        <v>loreramirez@live.com</v>
      </c>
      <c r="E285" s="20">
        <f>'Respuestas de formulario 1'!E285</f>
        <v>40014</v>
      </c>
      <c r="F285" s="21">
        <f>'Respuestas de formulario 1'!F285</f>
        <v>49556914</v>
      </c>
      <c r="G285" s="7" t="str">
        <f>IFERROR(__xludf.DUMMYFUNCTION("IF('Respuestas de formulario 1'!G285="""","""",IF(LEFT(REGEXREPLACE(TO_TEXT('Respuestas de formulario 1'!G285),""[^0-9]"",""""),2)=""54"",""+""&amp;REGEXREPLACE(TO_TEXT('Respuestas de formulario 1'!G285),""[^0-9]"",""""),""+54""&amp;REGEXREPLACE(TO_TEXT('Respuest"&amp;"as de formulario 1'!G285),""[^0-9]"","""")))"),"+543513865777")</f>
        <v>+543513865777</v>
      </c>
      <c r="H285" s="7">
        <f>'Respuestas de formulario 1'!S285</f>
        <v>2023</v>
      </c>
      <c r="I285" s="7" t="str">
        <f>IFERROR(__xludf.DUMMYFUNCTION("IF('Respuestas de formulario 1'!I285="""","""",TO_TEXT('Respuestas de formulario 1'!I285))"),"Particular")</f>
        <v>Particular</v>
      </c>
      <c r="J285" s="7" t="str">
        <f>IFERROR(__xludf.DUMMYFUNCTION("IF('Respuestas de formulario 1'!J285&lt;&gt;"""",UPPER(TRIM(TO_TEXT('Respuestas de formulario 1'!J285))),IF('Respuestas de formulario 1'!O285&lt;&gt;"""",UPPER(TRIM(TO_TEXT('Respuestas de formulario 1'!O285))),""""))"),"")</f>
        <v/>
      </c>
      <c r="K285" s="7" t="str">
        <f>IFERROR(__xludf.DUMMYFUNCTION("IF('Respuestas de formulario 1'!K285="""","""",TO_TEXT('Respuestas de formulario 1'!K285))"),"")</f>
        <v/>
      </c>
      <c r="L285" s="7" t="str">
        <f>IFERROR(__xludf.DUMMYFUNCTION("IF('Respuestas de formulario 1'!L285="""","""",TO_TEXT('Respuestas de formulario 1'!L285))"),"")</f>
        <v/>
      </c>
      <c r="M285" s="7" t="str">
        <f>IFERROR(__xludf.DUMMYFUNCTION("IF('Respuestas de formulario 1'!M285="""","""",TO_TEXT('Respuestas de formulario 1'!M285))"),"")</f>
        <v/>
      </c>
      <c r="N285" s="7">
        <f t="shared" si="1"/>
        <v>2023</v>
      </c>
      <c r="O285" s="7" t="str">
        <f t="shared" si="2"/>
        <v>septiembre</v>
      </c>
      <c r="P285" s="7" t="s">
        <v>4773</v>
      </c>
    </row>
    <row r="286">
      <c r="A286" s="19">
        <f>'Respuestas de formulario 1'!A286</f>
        <v>45173.82479</v>
      </c>
      <c r="B286" s="7" t="str">
        <f>'Respuestas de formulario 1'!B286</f>
        <v>Fabaro</v>
      </c>
      <c r="C286" s="7" t="str">
        <f>'Respuestas de formulario 1'!C286</f>
        <v>Maria Teresa</v>
      </c>
      <c r="D286" s="7" t="str">
        <f>'Respuestas de formulario 1'!D286</f>
        <v/>
      </c>
      <c r="E286" s="20">
        <f>'Respuestas de formulario 1'!E286</f>
        <v>21050</v>
      </c>
      <c r="F286" s="7">
        <f>'Respuestas de formulario 1'!F286</f>
        <v>13128404</v>
      </c>
      <c r="G286" s="7" t="str">
        <f>IFERROR(__xludf.DUMMYFUNCTION("IF('Respuestas de formulario 1'!G286="""","""",IF(LEFT(REGEXREPLACE(TO_TEXT('Respuestas de formulario 1'!G286),""[^0-9]"",""""),2)=""54"",""+""&amp;REGEXREPLACE(TO_TEXT('Respuestas de formulario 1'!G286),""[^0-9]"",""""),""+54""&amp;REGEXREPLACE(TO_TEXT('Respuest"&amp;"as de formulario 1'!G286),""[^0-9]"","""")))"),"+543512380824")</f>
        <v>+543512380824</v>
      </c>
      <c r="H286" s="7">
        <f>'Respuestas de formulario 1'!S286</f>
        <v>2023</v>
      </c>
      <c r="I286" s="7" t="str">
        <f>IFERROR(__xludf.DUMMYFUNCTION("IF('Respuestas de formulario 1'!I286="""","""",TO_TEXT('Respuestas de formulario 1'!I286))"),"Obra social")</f>
        <v>Obra social</v>
      </c>
      <c r="J286" s="7" t="str">
        <f>IFERROR(__xludf.DUMMYFUNCTION("IF('Respuestas de formulario 1'!J286&lt;&gt;"""",UPPER(TRIM(TO_TEXT('Respuestas de formulario 1'!J286))),IF('Respuestas de formulario 1'!O286&lt;&gt;"""",UPPER(TRIM(TO_TEXT('Respuestas de formulario 1'!O286))),""""))"),"APROSS")</f>
        <v>APROSS</v>
      </c>
      <c r="K286" s="7" t="str">
        <f>IFERROR(__xludf.DUMMYFUNCTION("IF('Respuestas de formulario 1'!K286="""","""",TO_TEXT('Respuestas de formulario 1'!K286))"),"")</f>
        <v/>
      </c>
      <c r="L286" s="7" t="str">
        <f>IFERROR(__xludf.DUMMYFUNCTION("IF('Respuestas de formulario 1'!L286="""","""",TO_TEXT('Respuestas de formulario 1'!L286))"),"")</f>
        <v/>
      </c>
      <c r="M286" s="7" t="str">
        <f>IFERROR(__xludf.DUMMYFUNCTION("IF('Respuestas de formulario 1'!M286="""","""",TO_TEXT('Respuestas de formulario 1'!M286))"),"")</f>
        <v/>
      </c>
      <c r="N286" s="7">
        <f t="shared" si="1"/>
        <v>2023</v>
      </c>
      <c r="O286" s="7" t="str">
        <f t="shared" si="2"/>
        <v>septiembre</v>
      </c>
      <c r="P286" s="7" t="s">
        <v>4775</v>
      </c>
    </row>
    <row r="287">
      <c r="A287" s="19">
        <f>'Respuestas de formulario 1'!A287</f>
        <v>45174.38358</v>
      </c>
      <c r="B287" s="7" t="str">
        <f>'Respuestas de formulario 1'!B287</f>
        <v>Saavedra</v>
      </c>
      <c r="C287" s="7" t="str">
        <f>'Respuestas de formulario 1'!C287</f>
        <v>Lautaro</v>
      </c>
      <c r="D287" s="7" t="str">
        <f>'Respuestas de formulario 1'!D287</f>
        <v>Lauty378@hotmail.com</v>
      </c>
      <c r="E287" s="20">
        <f>'Respuestas de formulario 1'!E287</f>
        <v>36609</v>
      </c>
      <c r="F287" s="7">
        <f>'Respuestas de formulario 1'!F287</f>
        <v>42428152</v>
      </c>
      <c r="G287" s="7" t="str">
        <f>IFERROR(__xludf.DUMMYFUNCTION("IF('Respuestas de formulario 1'!G287="""","""",IF(LEFT(REGEXREPLACE(TO_TEXT('Respuestas de formulario 1'!G287),""[^0-9]"",""""),2)=""54"",""+""&amp;REGEXREPLACE(TO_TEXT('Respuestas de formulario 1'!G287),""[^0-9]"",""""),""+54""&amp;REGEXREPLACE(TO_TEXT('Respuest"&amp;"as de formulario 1'!G287),""[^0-9]"","""")))"),"+543518050928")</f>
        <v>+543518050928</v>
      </c>
      <c r="H287" s="7">
        <f>'Respuestas de formulario 1'!S287</f>
        <v>2023</v>
      </c>
      <c r="I287" s="7" t="str">
        <f>IFERROR(__xludf.DUMMYFUNCTION("IF('Respuestas de formulario 1'!I287="""","""",TO_TEXT('Respuestas de formulario 1'!I287))"),"Particular")</f>
        <v>Particular</v>
      </c>
      <c r="J287" s="7" t="str">
        <f>IFERROR(__xludf.DUMMYFUNCTION("IF('Respuestas de formulario 1'!J287&lt;&gt;"""",UPPER(TRIM(TO_TEXT('Respuestas de formulario 1'!J287))),IF('Respuestas de formulario 1'!O287&lt;&gt;"""",UPPER(TRIM(TO_TEXT('Respuestas de formulario 1'!O287))),""""))"),"")</f>
        <v/>
      </c>
      <c r="K287" s="7" t="str">
        <f>IFERROR(__xludf.DUMMYFUNCTION("IF('Respuestas de formulario 1'!K287="""","""",TO_TEXT('Respuestas de formulario 1'!K287))"),"")</f>
        <v/>
      </c>
      <c r="L287" s="7" t="str">
        <f>IFERROR(__xludf.DUMMYFUNCTION("IF('Respuestas de formulario 1'!L287="""","""",TO_TEXT('Respuestas de formulario 1'!L287))"),"")</f>
        <v/>
      </c>
      <c r="M287" s="7" t="str">
        <f>IFERROR(__xludf.DUMMYFUNCTION("IF('Respuestas de formulario 1'!M287="""","""",TO_TEXT('Respuestas de formulario 1'!M287))"),"")</f>
        <v/>
      </c>
      <c r="N287" s="7">
        <f t="shared" si="1"/>
        <v>2023</v>
      </c>
      <c r="O287" s="7" t="str">
        <f t="shared" si="2"/>
        <v>septiembre</v>
      </c>
      <c r="P287" s="7" t="s">
        <v>4777</v>
      </c>
    </row>
    <row r="288">
      <c r="A288" s="19">
        <f>'Respuestas de formulario 1'!A288</f>
        <v>45174.69922</v>
      </c>
      <c r="B288" s="7" t="str">
        <f>'Respuestas de formulario 1'!B288</f>
        <v>Herreros</v>
      </c>
      <c r="C288" s="7" t="str">
        <f>'Respuestas de formulario 1'!C288</f>
        <v>Gustavo</v>
      </c>
      <c r="D288" s="7" t="str">
        <f>'Respuestas de formulario 1'!D288</f>
        <v>gustavoherreros@hotmail.com</v>
      </c>
      <c r="E288" s="20">
        <f>'Respuestas de formulario 1'!E288</f>
        <v>22426</v>
      </c>
      <c r="F288" s="7">
        <f>'Respuestas de formulario 1'!F288</f>
        <v>14476405</v>
      </c>
      <c r="G288" s="7" t="str">
        <f>IFERROR(__xludf.DUMMYFUNCTION("IF('Respuestas de formulario 1'!G288="""","""",IF(LEFT(REGEXREPLACE(TO_TEXT('Respuestas de formulario 1'!G288),""[^0-9]"",""""),2)=""54"",""+""&amp;REGEXREPLACE(TO_TEXT('Respuestas de formulario 1'!G288),""[^0-9]"",""""),""+54""&amp;REGEXREPLACE(TO_TEXT('Respuest"&amp;"as de formulario 1'!G288),""[^0-9]"","""")))"),"+543516777703")</f>
        <v>+543516777703</v>
      </c>
      <c r="H288" s="7">
        <f>'Respuestas de formulario 1'!S288</f>
        <v>2023</v>
      </c>
      <c r="I288" s="7" t="str">
        <f>IFERROR(__xludf.DUMMYFUNCTION("IF('Respuestas de formulario 1'!I288="""","""",TO_TEXT('Respuestas de formulario 1'!I288))"),"Obra social")</f>
        <v>Obra social</v>
      </c>
      <c r="J288" s="7" t="str">
        <f>IFERROR(__xludf.DUMMYFUNCTION("IF('Respuestas de formulario 1'!J288&lt;&gt;"""",UPPER(TRIM(TO_TEXT('Respuestas de formulario 1'!J288))),IF('Respuestas de formulario 1'!O288&lt;&gt;"""",UPPER(TRIM(TO_TEXT('Respuestas de formulario 1'!O288))),""""))"),"CPCE")</f>
        <v>CPCE</v>
      </c>
      <c r="K288" s="7" t="str">
        <f>IFERROR(__xludf.DUMMYFUNCTION("IF('Respuestas de formulario 1'!K288="""","""",TO_TEXT('Respuestas de formulario 1'!K288))"),"")</f>
        <v/>
      </c>
      <c r="L288" s="7" t="str">
        <f>IFERROR(__xludf.DUMMYFUNCTION("IF('Respuestas de formulario 1'!L288="""","""",TO_TEXT('Respuestas de formulario 1'!L288))"),"")</f>
        <v/>
      </c>
      <c r="M288" s="7" t="str">
        <f>IFERROR(__xludf.DUMMYFUNCTION("IF('Respuestas de formulario 1'!M288="""","""",TO_TEXT('Respuestas de formulario 1'!M288))"),"")</f>
        <v/>
      </c>
      <c r="N288" s="7">
        <f t="shared" si="1"/>
        <v>2023</v>
      </c>
      <c r="O288" s="7" t="str">
        <f t="shared" si="2"/>
        <v>septiembre</v>
      </c>
      <c r="P288" s="7" t="s">
        <v>4779</v>
      </c>
    </row>
    <row r="289">
      <c r="A289" s="19">
        <f>'Respuestas de formulario 1'!A289</f>
        <v>45174.80858</v>
      </c>
      <c r="B289" s="7" t="str">
        <f>'Respuestas de formulario 1'!B289</f>
        <v>Martini</v>
      </c>
      <c r="C289" s="7" t="str">
        <f>'Respuestas de formulario 1'!C289</f>
        <v>Nicolas</v>
      </c>
      <c r="D289" s="7" t="str">
        <f>'Respuestas de formulario 1'!D289</f>
        <v>nicolasmartinibonsignore@gmail.com</v>
      </c>
      <c r="E289" s="20">
        <f>'Respuestas de formulario 1'!E289</f>
        <v>30693</v>
      </c>
      <c r="F289" s="7">
        <f>'Respuestas de formulario 1'!F289</f>
        <v>30660785</v>
      </c>
      <c r="G289" s="7" t="str">
        <f>IFERROR(__xludf.DUMMYFUNCTION("IF('Respuestas de formulario 1'!G289="""","""",IF(LEFT(REGEXREPLACE(TO_TEXT('Respuestas de formulario 1'!G289),""[^0-9]"",""""),2)=""54"",""+""&amp;REGEXREPLACE(TO_TEXT('Respuestas de formulario 1'!G289),""[^0-9]"",""""),""+54""&amp;REGEXREPLACE(TO_TEXT('Respuest"&amp;"as de formulario 1'!G289),""[^0-9]"","""")))"),"+54393485174886")</f>
        <v>+54393485174886</v>
      </c>
      <c r="H289" s="7">
        <f>'Respuestas de formulario 1'!S289</f>
        <v>2023</v>
      </c>
      <c r="I289" s="7" t="str">
        <f>IFERROR(__xludf.DUMMYFUNCTION("IF('Respuestas de formulario 1'!I289="""","""",TO_TEXT('Respuestas de formulario 1'!I289))"),"Obra social")</f>
        <v>Obra social</v>
      </c>
      <c r="J289" s="7" t="str">
        <f>IFERROR(__xludf.DUMMYFUNCTION("IF('Respuestas de formulario 1'!J289&lt;&gt;"""",UPPER(TRIM(TO_TEXT('Respuestas de formulario 1'!J289))),IF('Respuestas de formulario 1'!O289&lt;&gt;"""",UPPER(TRIM(TO_TEXT('Respuestas de formulario 1'!O289))),""""))"),"MEDIFE")</f>
        <v>MEDIFE</v>
      </c>
      <c r="K289" s="7" t="str">
        <f>IFERROR(__xludf.DUMMYFUNCTION("IF('Respuestas de formulario 1'!K289="""","""",TO_TEXT('Respuestas de formulario 1'!K289))"),"")</f>
        <v/>
      </c>
      <c r="L289" s="7" t="str">
        <f>IFERROR(__xludf.DUMMYFUNCTION("IF('Respuestas de formulario 1'!L289="""","""",TO_TEXT('Respuestas de formulario 1'!L289))"),"")</f>
        <v/>
      </c>
      <c r="M289" s="7" t="str">
        <f>IFERROR(__xludf.DUMMYFUNCTION("IF('Respuestas de formulario 1'!M289="""","""",TO_TEXT('Respuestas de formulario 1'!M289))"),"")</f>
        <v/>
      </c>
      <c r="N289" s="7">
        <f t="shared" si="1"/>
        <v>2023</v>
      </c>
      <c r="O289" s="7" t="str">
        <f t="shared" si="2"/>
        <v>septiembre</v>
      </c>
      <c r="P289" s="7" t="s">
        <v>4781</v>
      </c>
    </row>
    <row r="290">
      <c r="A290" s="19">
        <f>'Respuestas de formulario 1'!A290</f>
        <v>45176.68864</v>
      </c>
      <c r="B290" s="7" t="str">
        <f>'Respuestas de formulario 1'!B290</f>
        <v>Hernandez </v>
      </c>
      <c r="C290" s="7" t="str">
        <f>'Respuestas de formulario 1'!C290</f>
        <v>Marta Elena </v>
      </c>
      <c r="D290" s="7" t="str">
        <f>'Respuestas de formulario 1'!D290</f>
        <v>martitaelena36@gmail.com </v>
      </c>
      <c r="E290" s="20">
        <f>'Respuestas de formulario 1'!E290</f>
        <v>-671050</v>
      </c>
      <c r="F290" s="7">
        <f>'Respuestas de formulario 1'!F290</f>
        <v>16054382</v>
      </c>
      <c r="G290" s="7" t="str">
        <f>IFERROR(__xludf.DUMMYFUNCTION("IF('Respuestas de formulario 1'!G290="""","""",IF(LEFT(REGEXREPLACE(TO_TEXT('Respuestas de formulario 1'!G290),""[^0-9]"",""""),2)=""54"",""+""&amp;REGEXREPLACE(TO_TEXT('Respuestas de formulario 1'!G290),""[^0-9]"",""""),""+54""&amp;REGEXREPLACE(TO_TEXT('Respuest"&amp;"as de formulario 1'!G290),""[^0-9]"","""")))"),"+543517358844")</f>
        <v>+543517358844</v>
      </c>
      <c r="H290" s="7">
        <f>'Respuestas de formulario 1'!S290</f>
        <v>2023</v>
      </c>
      <c r="I290" s="7" t="str">
        <f>IFERROR(__xludf.DUMMYFUNCTION("IF('Respuestas de formulario 1'!I290="""","""",TO_TEXT('Respuestas de formulario 1'!I290))"),"Obra social")</f>
        <v>Obra social</v>
      </c>
      <c r="J290" s="7" t="str">
        <f>IFERROR(__xludf.DUMMYFUNCTION("IF('Respuestas de formulario 1'!J290&lt;&gt;"""",UPPER(TRIM(TO_TEXT('Respuestas de formulario 1'!J290))),IF('Respuestas de formulario 1'!O290&lt;&gt;"""",UPPER(TRIM(TO_TEXT('Respuestas de formulario 1'!O290))),""""))"),"APROSS")</f>
        <v>APROSS</v>
      </c>
      <c r="K290" s="7" t="str">
        <f>IFERROR(__xludf.DUMMYFUNCTION("IF('Respuestas de formulario 1'!K290="""","""",TO_TEXT('Respuestas de formulario 1'!K290))"),"")</f>
        <v/>
      </c>
      <c r="L290" s="7" t="str">
        <f>IFERROR(__xludf.DUMMYFUNCTION("IF('Respuestas de formulario 1'!L290="""","""",TO_TEXT('Respuestas de formulario 1'!L290))"),"")</f>
        <v/>
      </c>
      <c r="M290" s="7" t="str">
        <f>IFERROR(__xludf.DUMMYFUNCTION("IF('Respuestas de formulario 1'!M290="""","""",TO_TEXT('Respuestas de formulario 1'!M290))"),"")</f>
        <v/>
      </c>
      <c r="N290" s="7">
        <f t="shared" si="1"/>
        <v>2023</v>
      </c>
      <c r="O290" s="7" t="str">
        <f t="shared" si="2"/>
        <v>septiembre</v>
      </c>
      <c r="P290" s="7" t="s">
        <v>4783</v>
      </c>
    </row>
    <row r="291">
      <c r="A291" s="19">
        <f>'Respuestas de formulario 1'!A291</f>
        <v>45177.77964</v>
      </c>
      <c r="B291" s="7" t="str">
        <f>'Respuestas de formulario 1'!B291</f>
        <v>Pavani</v>
      </c>
      <c r="C291" s="7" t="str">
        <f>'Respuestas de formulario 1'!C291</f>
        <v>Gabriel</v>
      </c>
      <c r="D291" s="7" t="str">
        <f>'Respuestas de formulario 1'!D291</f>
        <v>marielatesio@hotmail.com</v>
      </c>
      <c r="E291" s="20">
        <f>'Respuestas de formulario 1'!E291</f>
        <v>26392</v>
      </c>
      <c r="F291" s="7">
        <f>'Respuestas de formulario 1'!F291</f>
        <v>22714106</v>
      </c>
      <c r="G291" s="7" t="str">
        <f>IFERROR(__xludf.DUMMYFUNCTION("IF('Respuestas de formulario 1'!G291="""","""",IF(LEFT(REGEXREPLACE(TO_TEXT('Respuestas de formulario 1'!G291),""[^0-9]"",""""),2)=""54"",""+""&amp;REGEXREPLACE(TO_TEXT('Respuestas de formulario 1'!G291),""[^0-9]"",""""),""+54""&amp;REGEXREPLACE(TO_TEXT('Respuest"&amp;"as de formulario 1'!G291),""[^0-9]"","""")))"),"+543516340660")</f>
        <v>+543516340660</v>
      </c>
      <c r="H291" s="7">
        <f>'Respuestas de formulario 1'!S291</f>
        <v>2023</v>
      </c>
      <c r="I291" s="7" t="str">
        <f>IFERROR(__xludf.DUMMYFUNCTION("IF('Respuestas de formulario 1'!I291="""","""",TO_TEXT('Respuestas de formulario 1'!I291))"),"Particular")</f>
        <v>Particular</v>
      </c>
      <c r="J291" s="7" t="str">
        <f>IFERROR(__xludf.DUMMYFUNCTION("IF('Respuestas de formulario 1'!J291&lt;&gt;"""",UPPER(TRIM(TO_TEXT('Respuestas de formulario 1'!J291))),IF('Respuestas de formulario 1'!O291&lt;&gt;"""",UPPER(TRIM(TO_TEXT('Respuestas de formulario 1'!O291))),""""))"),"")</f>
        <v/>
      </c>
      <c r="K291" s="7" t="str">
        <f>IFERROR(__xludf.DUMMYFUNCTION("IF('Respuestas de formulario 1'!K291="""","""",TO_TEXT('Respuestas de formulario 1'!K291))"),"")</f>
        <v/>
      </c>
      <c r="L291" s="7" t="str">
        <f>IFERROR(__xludf.DUMMYFUNCTION("IF('Respuestas de formulario 1'!L291="""","""",TO_TEXT('Respuestas de formulario 1'!L291))"),"")</f>
        <v/>
      </c>
      <c r="M291" s="7" t="str">
        <f>IFERROR(__xludf.DUMMYFUNCTION("IF('Respuestas de formulario 1'!M291="""","""",TO_TEXT('Respuestas de formulario 1'!M291))"),"")</f>
        <v/>
      </c>
      <c r="N291" s="7">
        <f t="shared" si="1"/>
        <v>2023</v>
      </c>
      <c r="O291" s="7" t="str">
        <f t="shared" si="2"/>
        <v>septiembre</v>
      </c>
      <c r="P291" s="7" t="s">
        <v>4785</v>
      </c>
    </row>
    <row r="292">
      <c r="A292" s="19">
        <f>'Respuestas de formulario 1'!A292</f>
        <v>45180.71826</v>
      </c>
      <c r="B292" s="7" t="str">
        <f>'Respuestas de formulario 1'!B292</f>
        <v>Usandivaras </v>
      </c>
      <c r="C292" s="7" t="str">
        <f>'Respuestas de formulario 1'!C292</f>
        <v>Monica alejandra </v>
      </c>
      <c r="D292" s="7" t="str">
        <f>'Respuestas de formulario 1'!D292</f>
        <v>Usandivarasmonica70@gmail.com</v>
      </c>
      <c r="E292" s="20">
        <f>'Respuestas de formulario 1'!E292</f>
        <v>28029</v>
      </c>
      <c r="F292" s="7">
        <f>'Respuestas de formulario 1'!F292</f>
        <v>25246809</v>
      </c>
      <c r="G292" s="7" t="str">
        <f>IFERROR(__xludf.DUMMYFUNCTION("IF('Respuestas de formulario 1'!G292="""","""",IF(LEFT(REGEXREPLACE(TO_TEXT('Respuestas de formulario 1'!G292),""[^0-9]"",""""),2)=""54"",""+""&amp;REGEXREPLACE(TO_TEXT('Respuestas de formulario 1'!G292),""[^0-9]"",""""),""+54""&amp;REGEXREPLACE(TO_TEXT('Respuest"&amp;"as de formulario 1'!G292),""[^0-9]"","""")))"),"+543513301429")</f>
        <v>+543513301429</v>
      </c>
      <c r="H292" s="7">
        <f>'Respuestas de formulario 1'!S292</f>
        <v>2023</v>
      </c>
      <c r="I292" s="7" t="str">
        <f>IFERROR(__xludf.DUMMYFUNCTION("IF('Respuestas de formulario 1'!I292="""","""",TO_TEXT('Respuestas de formulario 1'!I292))"),"Particular")</f>
        <v>Particular</v>
      </c>
      <c r="J292" s="7" t="str">
        <f>IFERROR(__xludf.DUMMYFUNCTION("IF('Respuestas de formulario 1'!J292&lt;&gt;"""",UPPER(TRIM(TO_TEXT('Respuestas de formulario 1'!J292))),IF('Respuestas de formulario 1'!O292&lt;&gt;"""",UPPER(TRIM(TO_TEXT('Respuestas de formulario 1'!O292))),""""))"),"")</f>
        <v/>
      </c>
      <c r="K292" s="7" t="str">
        <f>IFERROR(__xludf.DUMMYFUNCTION("IF('Respuestas de formulario 1'!K292="""","""",TO_TEXT('Respuestas de formulario 1'!K292))"),"")</f>
        <v/>
      </c>
      <c r="L292" s="7" t="str">
        <f>IFERROR(__xludf.DUMMYFUNCTION("IF('Respuestas de formulario 1'!L292="""","""",TO_TEXT('Respuestas de formulario 1'!L292))"),"")</f>
        <v/>
      </c>
      <c r="M292" s="7" t="str">
        <f>IFERROR(__xludf.DUMMYFUNCTION("IF('Respuestas de formulario 1'!M292="""","""",TO_TEXT('Respuestas de formulario 1'!M292))"),"")</f>
        <v/>
      </c>
      <c r="N292" s="7">
        <f t="shared" si="1"/>
        <v>2023</v>
      </c>
      <c r="O292" s="7" t="str">
        <f t="shared" si="2"/>
        <v>septiembre</v>
      </c>
      <c r="P292" s="7" t="s">
        <v>4787</v>
      </c>
    </row>
    <row r="293">
      <c r="A293" s="19">
        <f>'Respuestas de formulario 1'!A293</f>
        <v>45180.77661</v>
      </c>
      <c r="B293" s="7" t="str">
        <f>'Respuestas de formulario 1'!B293</f>
        <v>Herrera</v>
      </c>
      <c r="C293" s="7" t="str">
        <f>'Respuestas de formulario 1'!C293</f>
        <v>Candelaria</v>
      </c>
      <c r="D293" s="7" t="str">
        <f>'Respuestas de formulario 1'!D293</f>
        <v>lauracuffia@gmail.com</v>
      </c>
      <c r="E293" s="20">
        <f>'Respuestas de formulario 1'!E293</f>
        <v>39732</v>
      </c>
      <c r="F293" s="7">
        <f>'Respuestas de formulario 1'!F293</f>
        <v>48455911</v>
      </c>
      <c r="G293" s="7" t="str">
        <f>IFERROR(__xludf.DUMMYFUNCTION("IF('Respuestas de formulario 1'!G293="""","""",IF(LEFT(REGEXREPLACE(TO_TEXT('Respuestas de formulario 1'!G293),""[^0-9]"",""""),2)=""54"",""+""&amp;REGEXREPLACE(TO_TEXT('Respuestas de formulario 1'!G293),""[^0-9]"",""""),""+54""&amp;REGEXREPLACE(TO_TEXT('Respuest"&amp;"as de formulario 1'!G293),""[^0-9]"","""")))"),"+543515929933")</f>
        <v>+543515929933</v>
      </c>
      <c r="H293" s="7">
        <f>'Respuestas de formulario 1'!S293</f>
        <v>2023</v>
      </c>
      <c r="I293" s="7" t="str">
        <f>IFERROR(__xludf.DUMMYFUNCTION("IF('Respuestas de formulario 1'!I293="""","""",TO_TEXT('Respuestas de formulario 1'!I293))"),"Obra social")</f>
        <v>Obra social</v>
      </c>
      <c r="J293" s="7" t="str">
        <f>IFERROR(__xludf.DUMMYFUNCTION("IF('Respuestas de formulario 1'!J293&lt;&gt;"""",UPPER(TRIM(TO_TEXT('Respuestas de formulario 1'!J293))),IF('Respuestas de formulario 1'!O293&lt;&gt;"""",UPPER(TRIM(TO_TEXT('Respuestas de formulario 1'!O293))),""""))"),"APROSS")</f>
        <v>APROSS</v>
      </c>
      <c r="K293" s="7" t="str">
        <f>IFERROR(__xludf.DUMMYFUNCTION("IF('Respuestas de formulario 1'!K293="""","""",TO_TEXT('Respuestas de formulario 1'!K293))"),"")</f>
        <v/>
      </c>
      <c r="L293" s="7" t="str">
        <f>IFERROR(__xludf.DUMMYFUNCTION("IF('Respuestas de formulario 1'!L293="""","""",TO_TEXT('Respuestas de formulario 1'!L293))"),"")</f>
        <v/>
      </c>
      <c r="M293" s="7" t="str">
        <f>IFERROR(__xludf.DUMMYFUNCTION("IF('Respuestas de formulario 1'!M293="""","""",TO_TEXT('Respuestas de formulario 1'!M293))"),"")</f>
        <v/>
      </c>
      <c r="N293" s="7">
        <f t="shared" si="1"/>
        <v>2023</v>
      </c>
      <c r="O293" s="7" t="str">
        <f t="shared" si="2"/>
        <v>septiembre</v>
      </c>
      <c r="P293" s="7" t="s">
        <v>4789</v>
      </c>
    </row>
    <row r="294">
      <c r="A294" s="19">
        <f>'Respuestas de formulario 1'!A294</f>
        <v>45181.46198</v>
      </c>
      <c r="B294" s="7" t="str">
        <f>'Respuestas de formulario 1'!B294</f>
        <v>TABORDA</v>
      </c>
      <c r="C294" s="7" t="str">
        <f>'Respuestas de formulario 1'!C294</f>
        <v>DENIS</v>
      </c>
      <c r="D294" s="7" t="str">
        <f>'Respuestas de formulario 1'!D294</f>
        <v>denischarbe@gmail.com</v>
      </c>
      <c r="E294" s="20">
        <f>'Respuestas de formulario 1'!E294</f>
        <v>34226</v>
      </c>
      <c r="F294" s="7">
        <f>'Respuestas de formulario 1'!F294</f>
        <v>37522355</v>
      </c>
      <c r="G294" s="7" t="str">
        <f>IFERROR(__xludf.DUMMYFUNCTION("IF('Respuestas de formulario 1'!G294="""","""",IF(LEFT(REGEXREPLACE(TO_TEXT('Respuestas de formulario 1'!G294),""[^0-9]"",""""),2)=""54"",""+""&amp;REGEXREPLACE(TO_TEXT('Respuestas de formulario 1'!G294),""[^0-9]"",""""),""+54""&amp;REGEXREPLACE(TO_TEXT('Respuest"&amp;"as de formulario 1'!G294),""[^0-9]"","""")))"),"+543576522726")</f>
        <v>+543576522726</v>
      </c>
      <c r="H294" s="7">
        <f>'Respuestas de formulario 1'!S294</f>
        <v>2023</v>
      </c>
      <c r="I294" s="7" t="str">
        <f>IFERROR(__xludf.DUMMYFUNCTION("IF('Respuestas de formulario 1'!I294="""","""",TO_TEXT('Respuestas de formulario 1'!I294))"),"Particular")</f>
        <v>Particular</v>
      </c>
      <c r="J294" s="7" t="str">
        <f>IFERROR(__xludf.DUMMYFUNCTION("IF('Respuestas de formulario 1'!J294&lt;&gt;"""",UPPER(TRIM(TO_TEXT('Respuestas de formulario 1'!J294))),IF('Respuestas de formulario 1'!O294&lt;&gt;"""",UPPER(TRIM(TO_TEXT('Respuestas de formulario 1'!O294))),""""))"),"")</f>
        <v/>
      </c>
      <c r="K294" s="7" t="str">
        <f>IFERROR(__xludf.DUMMYFUNCTION("IF('Respuestas de formulario 1'!K294="""","""",TO_TEXT('Respuestas de formulario 1'!K294))"),"")</f>
        <v/>
      </c>
      <c r="L294" s="7" t="str">
        <f>IFERROR(__xludf.DUMMYFUNCTION("IF('Respuestas de formulario 1'!L294="""","""",TO_TEXT('Respuestas de formulario 1'!L294))"),"")</f>
        <v/>
      </c>
      <c r="M294" s="7" t="str">
        <f>IFERROR(__xludf.DUMMYFUNCTION("IF('Respuestas de formulario 1'!M294="""","""",TO_TEXT('Respuestas de formulario 1'!M294))"),"")</f>
        <v/>
      </c>
      <c r="N294" s="7">
        <f t="shared" si="1"/>
        <v>2023</v>
      </c>
      <c r="O294" s="7" t="str">
        <f t="shared" si="2"/>
        <v>septiembre</v>
      </c>
      <c r="P294" s="7" t="s">
        <v>4791</v>
      </c>
    </row>
    <row r="295">
      <c r="A295" s="19">
        <f>'Respuestas de formulario 1'!A295</f>
        <v>45181.7811</v>
      </c>
      <c r="B295" s="7" t="str">
        <f>'Respuestas de formulario 1'!B295</f>
        <v>Ferrari</v>
      </c>
      <c r="C295" s="7" t="str">
        <f>'Respuestas de formulario 1'!C295</f>
        <v>Mateo</v>
      </c>
      <c r="D295" s="7" t="str">
        <f>'Respuestas de formulario 1'!D295</f>
        <v>ferrari.mateo71@gmail.com</v>
      </c>
      <c r="E295" s="20">
        <f>'Respuestas de formulario 1'!E295</f>
        <v>37196</v>
      </c>
      <c r="F295" s="7">
        <f>'Respuestas de formulario 1'!F295</f>
        <v>43525589</v>
      </c>
      <c r="G295" s="7" t="str">
        <f>IFERROR(__xludf.DUMMYFUNCTION("IF('Respuestas de formulario 1'!G295="""","""",IF(LEFT(REGEXREPLACE(TO_TEXT('Respuestas de formulario 1'!G295),""[^0-9]"",""""),2)=""54"",""+""&amp;REGEXREPLACE(TO_TEXT('Respuestas de formulario 1'!G295),""[^0-9]"",""""),""+54""&amp;REGEXREPLACE(TO_TEXT('Respuest"&amp;"as de formulario 1'!G295),""[^0-9]"","""")))"),"+543517642959")</f>
        <v>+543517642959</v>
      </c>
      <c r="H295" s="7">
        <f>'Respuestas de formulario 1'!S295</f>
        <v>2023</v>
      </c>
      <c r="I295" s="7" t="str">
        <f>IFERROR(__xludf.DUMMYFUNCTION("IF('Respuestas de formulario 1'!I295="""","""",TO_TEXT('Respuestas de formulario 1'!I295))"),"Obra social")</f>
        <v>Obra social</v>
      </c>
      <c r="J295" s="7" t="str">
        <f>IFERROR(__xludf.DUMMYFUNCTION("IF('Respuestas de formulario 1'!J295&lt;&gt;"""",UPPER(TRIM(TO_TEXT('Respuestas de formulario 1'!J295))),IF('Respuestas de formulario 1'!O295&lt;&gt;"""",UPPER(TRIM(TO_TEXT('Respuestas de formulario 1'!O295))),""""))"),"CPCE")</f>
        <v>CPCE</v>
      </c>
      <c r="K295" s="7" t="str">
        <f>IFERROR(__xludf.DUMMYFUNCTION("IF('Respuestas de formulario 1'!K295="""","""",TO_TEXT('Respuestas de formulario 1'!K295))"),"")</f>
        <v/>
      </c>
      <c r="L295" s="7" t="str">
        <f>IFERROR(__xludf.DUMMYFUNCTION("IF('Respuestas de formulario 1'!L295="""","""",TO_TEXT('Respuestas de formulario 1'!L295))"),"")</f>
        <v/>
      </c>
      <c r="M295" s="7" t="str">
        <f>IFERROR(__xludf.DUMMYFUNCTION("IF('Respuestas de formulario 1'!M295="""","""",TO_TEXT('Respuestas de formulario 1'!M295))"),"")</f>
        <v/>
      </c>
      <c r="N295" s="7">
        <f t="shared" si="1"/>
        <v>2023</v>
      </c>
      <c r="O295" s="7" t="str">
        <f t="shared" si="2"/>
        <v>septiembre</v>
      </c>
      <c r="P295" s="7" t="s">
        <v>4793</v>
      </c>
    </row>
    <row r="296">
      <c r="A296" s="19">
        <f>'Respuestas de formulario 1'!A296</f>
        <v>45182.41965</v>
      </c>
      <c r="B296" s="7" t="str">
        <f>'Respuestas de formulario 1'!B296</f>
        <v>FUENTES</v>
      </c>
      <c r="C296" s="7" t="str">
        <f>'Respuestas de formulario 1'!C296</f>
        <v>JORGE ALBERTO</v>
      </c>
      <c r="D296" s="7" t="str">
        <f>'Respuestas de formulario 1'!D296</f>
        <v>JORGE68FUENTESS@GMAIL.COM</v>
      </c>
      <c r="E296" s="20">
        <f>'Respuestas de formulario 1'!E296</f>
        <v>25069</v>
      </c>
      <c r="F296" s="7">
        <f>'Respuestas de formulario 1'!F296</f>
        <v>20453094</v>
      </c>
      <c r="G296" s="7" t="str">
        <f>IFERROR(__xludf.DUMMYFUNCTION("IF('Respuestas de formulario 1'!G296="""","""",IF(LEFT(REGEXREPLACE(TO_TEXT('Respuestas de formulario 1'!G296),""[^0-9]"",""""),2)=""54"",""+""&amp;REGEXREPLACE(TO_TEXT('Respuestas de formulario 1'!G296),""[^0-9]"",""""),""+54""&amp;REGEXREPLACE(TO_TEXT('Respuest"&amp;"as de formulario 1'!G296),""[^0-9]"","""")))"),"+543515504001")</f>
        <v>+543515504001</v>
      </c>
      <c r="H296" s="7">
        <f>'Respuestas de formulario 1'!S296</f>
        <v>2023</v>
      </c>
      <c r="I296" s="7" t="str">
        <f>IFERROR(__xludf.DUMMYFUNCTION("IF('Respuestas de formulario 1'!I296="""","""",TO_TEXT('Respuestas de formulario 1'!I296))"),"Particular")</f>
        <v>Particular</v>
      </c>
      <c r="J296" s="7" t="str">
        <f>IFERROR(__xludf.DUMMYFUNCTION("IF('Respuestas de formulario 1'!J296&lt;&gt;"""",UPPER(TRIM(TO_TEXT('Respuestas de formulario 1'!J296))),IF('Respuestas de formulario 1'!O296&lt;&gt;"""",UPPER(TRIM(TO_TEXT('Respuestas de formulario 1'!O296))),""""))"),"")</f>
        <v/>
      </c>
      <c r="K296" s="7" t="str">
        <f>IFERROR(__xludf.DUMMYFUNCTION("IF('Respuestas de formulario 1'!K296="""","""",TO_TEXT('Respuestas de formulario 1'!K296))"),"")</f>
        <v/>
      </c>
      <c r="L296" s="7" t="str">
        <f>IFERROR(__xludf.DUMMYFUNCTION("IF('Respuestas de formulario 1'!L296="""","""",TO_TEXT('Respuestas de formulario 1'!L296))"),"")</f>
        <v/>
      </c>
      <c r="M296" s="7" t="str">
        <f>IFERROR(__xludf.DUMMYFUNCTION("IF('Respuestas de formulario 1'!M296="""","""",TO_TEXT('Respuestas de formulario 1'!M296))"),"")</f>
        <v/>
      </c>
      <c r="N296" s="7">
        <f t="shared" si="1"/>
        <v>2023</v>
      </c>
      <c r="O296" s="7" t="str">
        <f t="shared" si="2"/>
        <v>septiembre</v>
      </c>
      <c r="P296" s="7" t="s">
        <v>4795</v>
      </c>
    </row>
    <row r="297">
      <c r="A297" s="19">
        <f>'Respuestas de formulario 1'!A297</f>
        <v>45182.80186</v>
      </c>
      <c r="B297" s="7" t="str">
        <f>'Respuestas de formulario 1'!B297</f>
        <v>TABORDA</v>
      </c>
      <c r="C297" s="7" t="str">
        <f>'Respuestas de formulario 1'!C297</f>
        <v>Denis</v>
      </c>
      <c r="D297" s="7" t="str">
        <f>'Respuestas de formulario 1'!D297</f>
        <v/>
      </c>
      <c r="E297" s="20">
        <f>'Respuestas de formulario 1'!E297</f>
        <v>34226</v>
      </c>
      <c r="F297" s="7">
        <f>'Respuestas de formulario 1'!F297</f>
        <v>37522355</v>
      </c>
      <c r="G297" s="7" t="str">
        <f>IFERROR(__xludf.DUMMYFUNCTION("IF('Respuestas de formulario 1'!G297="""","""",IF(LEFT(REGEXREPLACE(TO_TEXT('Respuestas de formulario 1'!G297),""[^0-9]"",""""),2)=""54"",""+""&amp;REGEXREPLACE(TO_TEXT('Respuestas de formulario 1'!G297),""[^0-9]"",""""),""+54""&amp;REGEXREPLACE(TO_TEXT('Respuest"&amp;"as de formulario 1'!G297),""[^0-9]"","""")))"),"+543576522726")</f>
        <v>+543576522726</v>
      </c>
      <c r="H297" s="7">
        <f>'Respuestas de formulario 1'!S297</f>
        <v>2023</v>
      </c>
      <c r="I297" s="7" t="str">
        <f>IFERROR(__xludf.DUMMYFUNCTION("IF('Respuestas de formulario 1'!I297="""","""",TO_TEXT('Respuestas de formulario 1'!I297))"),"Obra social")</f>
        <v>Obra social</v>
      </c>
      <c r="J297" s="7" t="str">
        <f>IFERROR(__xludf.DUMMYFUNCTION("IF('Respuestas de formulario 1'!J297&lt;&gt;"""",UPPER(TRIM(TO_TEXT('Respuestas de formulario 1'!J297))),IF('Respuestas de formulario 1'!O297&lt;&gt;"""",UPPER(TRIM(TO_TEXT('Respuestas de formulario 1'!O297))),""""))"),"DASPU")</f>
        <v>DASPU</v>
      </c>
      <c r="K297" s="7" t="str">
        <f>IFERROR(__xludf.DUMMYFUNCTION("IF('Respuestas de formulario 1'!K297="""","""",TO_TEXT('Respuestas de formulario 1'!K297))"),"")</f>
        <v/>
      </c>
      <c r="L297" s="7" t="str">
        <f>IFERROR(__xludf.DUMMYFUNCTION("IF('Respuestas de formulario 1'!L297="""","""",TO_TEXT('Respuestas de formulario 1'!L297))"),"")</f>
        <v/>
      </c>
      <c r="M297" s="7" t="str">
        <f>IFERROR(__xludf.DUMMYFUNCTION("IF('Respuestas de formulario 1'!M297="""","""",TO_TEXT('Respuestas de formulario 1'!M297))"),"")</f>
        <v/>
      </c>
      <c r="N297" s="7">
        <f t="shared" si="1"/>
        <v>2023</v>
      </c>
      <c r="O297" s="7" t="str">
        <f t="shared" si="2"/>
        <v>septiembre</v>
      </c>
      <c r="P297" s="7" t="s">
        <v>4797</v>
      </c>
    </row>
    <row r="298">
      <c r="A298" s="19">
        <f>'Respuestas de formulario 1'!A298</f>
        <v>45182.80321</v>
      </c>
      <c r="B298" s="7" t="str">
        <f>'Respuestas de formulario 1'!B298</f>
        <v>SIRONI</v>
      </c>
      <c r="C298" s="7" t="str">
        <f>'Respuestas de formulario 1'!C298</f>
        <v>Francisco</v>
      </c>
      <c r="D298" s="7" t="str">
        <f>'Respuestas de formulario 1'!D298</f>
        <v>sironifrancisco@gmail.com</v>
      </c>
      <c r="E298" s="20">
        <f>'Respuestas de formulario 1'!E298</f>
        <v>36902</v>
      </c>
      <c r="F298" s="7">
        <f>'Respuestas de formulario 1'!F298</f>
        <v>43231147</v>
      </c>
      <c r="G298" s="7" t="str">
        <f>IFERROR(__xludf.DUMMYFUNCTION("IF('Respuestas de formulario 1'!G298="""","""",IF(LEFT(REGEXREPLACE(TO_TEXT('Respuestas de formulario 1'!G298),""[^0-9]"",""""),2)=""54"",""+""&amp;REGEXREPLACE(TO_TEXT('Respuestas de formulario 1'!G298),""[^0-9]"",""""),""+54""&amp;REGEXREPLACE(TO_TEXT('Respuest"&amp;"as de formulario 1'!G298),""[^0-9]"","""")))"),"+543513835080")</f>
        <v>+543513835080</v>
      </c>
      <c r="H298" s="7">
        <f>'Respuestas de formulario 1'!S298</f>
        <v>2023</v>
      </c>
      <c r="I298" s="7" t="str">
        <f>IFERROR(__xludf.DUMMYFUNCTION("IF('Respuestas de formulario 1'!I298="""","""",TO_TEXT('Respuestas de formulario 1'!I298))"),"Particular")</f>
        <v>Particular</v>
      </c>
      <c r="J298" s="7" t="str">
        <f>IFERROR(__xludf.DUMMYFUNCTION("IF('Respuestas de formulario 1'!J298&lt;&gt;"""",UPPER(TRIM(TO_TEXT('Respuestas de formulario 1'!J298))),IF('Respuestas de formulario 1'!O298&lt;&gt;"""",UPPER(TRIM(TO_TEXT('Respuestas de formulario 1'!O298))),""""))"),"")</f>
        <v/>
      </c>
      <c r="K298" s="7" t="str">
        <f>IFERROR(__xludf.DUMMYFUNCTION("IF('Respuestas de formulario 1'!K298="""","""",TO_TEXT('Respuestas de formulario 1'!K298))"),"")</f>
        <v/>
      </c>
      <c r="L298" s="7" t="str">
        <f>IFERROR(__xludf.DUMMYFUNCTION("IF('Respuestas de formulario 1'!L298="""","""",TO_TEXT('Respuestas de formulario 1'!L298))"),"")</f>
        <v/>
      </c>
      <c r="M298" s="7" t="str">
        <f>IFERROR(__xludf.DUMMYFUNCTION("IF('Respuestas de formulario 1'!M298="""","""",TO_TEXT('Respuestas de formulario 1'!M298))"),"")</f>
        <v/>
      </c>
      <c r="N298" s="7">
        <f t="shared" si="1"/>
        <v>2023</v>
      </c>
      <c r="O298" s="7" t="str">
        <f t="shared" si="2"/>
        <v>septiembre</v>
      </c>
      <c r="P298" s="7" t="s">
        <v>4798</v>
      </c>
    </row>
    <row r="299">
      <c r="A299" s="19">
        <f>'Respuestas de formulario 1'!A299</f>
        <v>45182.81749</v>
      </c>
      <c r="B299" s="7" t="str">
        <f>'Respuestas de formulario 1'!B299</f>
        <v>FERRERO</v>
      </c>
      <c r="C299" s="7" t="str">
        <f>'Respuestas de formulario 1'!C299</f>
        <v>Gustavo</v>
      </c>
      <c r="D299" s="7" t="str">
        <f>'Respuestas de formulario 1'!D299</f>
        <v>gf.ferrero.cba@gmail.com</v>
      </c>
      <c r="E299" s="20">
        <f>'Respuestas de formulario 1'!E299</f>
        <v>34270</v>
      </c>
      <c r="F299" s="7">
        <f>'Respuestas de formulario 1'!F299</f>
        <v>37853784</v>
      </c>
      <c r="G299" s="7" t="str">
        <f>IFERROR(__xludf.DUMMYFUNCTION("IF('Respuestas de formulario 1'!G299="""","""",IF(LEFT(REGEXREPLACE(TO_TEXT('Respuestas de formulario 1'!G299),""[^0-9]"",""""),2)=""54"",""+""&amp;REGEXREPLACE(TO_TEXT('Respuestas de formulario 1'!G299),""[^0-9]"",""""),""+54""&amp;REGEXREPLACE(TO_TEXT('Respuest"&amp;"as de formulario 1'!G299),""[^0-9]"","""")))"),"+543516175792")</f>
        <v>+543516175792</v>
      </c>
      <c r="H299" s="7">
        <f>'Respuestas de formulario 1'!S299</f>
        <v>2023</v>
      </c>
      <c r="I299" s="7" t="str">
        <f>IFERROR(__xludf.DUMMYFUNCTION("IF('Respuestas de formulario 1'!I299="""","""",TO_TEXT('Respuestas de formulario 1'!I299))"),"Particular")</f>
        <v>Particular</v>
      </c>
      <c r="J299" s="7" t="str">
        <f>IFERROR(__xludf.DUMMYFUNCTION("IF('Respuestas de formulario 1'!J299&lt;&gt;"""",UPPER(TRIM(TO_TEXT('Respuestas de formulario 1'!J299))),IF('Respuestas de formulario 1'!O299&lt;&gt;"""",UPPER(TRIM(TO_TEXT('Respuestas de formulario 1'!O299))),""""))"),"")</f>
        <v/>
      </c>
      <c r="K299" s="7" t="str">
        <f>IFERROR(__xludf.DUMMYFUNCTION("IF('Respuestas de formulario 1'!K299="""","""",TO_TEXT('Respuestas de formulario 1'!K299))"),"")</f>
        <v/>
      </c>
      <c r="L299" s="7" t="str">
        <f>IFERROR(__xludf.DUMMYFUNCTION("IF('Respuestas de formulario 1'!L299="""","""",TO_TEXT('Respuestas de formulario 1'!L299))"),"")</f>
        <v/>
      </c>
      <c r="M299" s="7" t="str">
        <f>IFERROR(__xludf.DUMMYFUNCTION("IF('Respuestas de formulario 1'!M299="""","""",TO_TEXT('Respuestas de formulario 1'!M299))"),"")</f>
        <v/>
      </c>
      <c r="N299" s="7">
        <f t="shared" si="1"/>
        <v>2023</v>
      </c>
      <c r="O299" s="7" t="str">
        <f t="shared" si="2"/>
        <v>septiembre</v>
      </c>
      <c r="P299" s="7" t="s">
        <v>4800</v>
      </c>
    </row>
    <row r="300">
      <c r="A300" s="19">
        <f>'Respuestas de formulario 1'!A300</f>
        <v>45183.80362</v>
      </c>
      <c r="B300" s="7" t="str">
        <f>'Respuestas de formulario 1'!B300</f>
        <v>Canessini</v>
      </c>
      <c r="C300" s="7" t="str">
        <f>'Respuestas de formulario 1'!C300</f>
        <v>Nicolas</v>
      </c>
      <c r="D300" s="7" t="str">
        <f>'Respuestas de formulario 1'!D300</f>
        <v>dm10nico@hotmail.com</v>
      </c>
      <c r="E300" s="20">
        <f>'Respuestas de formulario 1'!E300</f>
        <v>30901</v>
      </c>
      <c r="F300" s="7">
        <f>'Respuestas de formulario 1'!F300</f>
        <v>31057714</v>
      </c>
      <c r="G300" s="7" t="str">
        <f>IFERROR(__xludf.DUMMYFUNCTION("IF('Respuestas de formulario 1'!G300="""","""",IF(LEFT(REGEXREPLACE(TO_TEXT('Respuestas de formulario 1'!G300),""[^0-9]"",""""),2)=""54"",""+""&amp;REGEXREPLACE(TO_TEXT('Respuestas de formulario 1'!G300),""[^0-9]"",""""),""+54""&amp;REGEXREPLACE(TO_TEXT('Respuest"&amp;"as de formulario 1'!G300),""[^0-9]"","""")))"),"+543515933992")</f>
        <v>+543515933992</v>
      </c>
      <c r="H300" s="7">
        <f>'Respuestas de formulario 1'!S300</f>
        <v>2023</v>
      </c>
      <c r="I300" s="7" t="str">
        <f>IFERROR(__xludf.DUMMYFUNCTION("IF('Respuestas de formulario 1'!I300="""","""",TO_TEXT('Respuestas de formulario 1'!I300))"),"Obra social")</f>
        <v>Obra social</v>
      </c>
      <c r="J300" s="7" t="str">
        <f>IFERROR(__xludf.DUMMYFUNCTION("IF('Respuestas de formulario 1'!J300&lt;&gt;"""",UPPER(TRIM(TO_TEXT('Respuestas de formulario 1'!J300))),IF('Respuestas de formulario 1'!O300&lt;&gt;"""",UPPER(TRIM(TO_TEXT('Respuestas de formulario 1'!O300))),""""))"),"JERARQUICOS SALUD")</f>
        <v>JERARQUICOS SALUD</v>
      </c>
      <c r="K300" s="7" t="str">
        <f>IFERROR(__xludf.DUMMYFUNCTION("IF('Respuestas de formulario 1'!K300="""","""",TO_TEXT('Respuestas de formulario 1'!K300))"),"")</f>
        <v/>
      </c>
      <c r="L300" s="7" t="str">
        <f>IFERROR(__xludf.DUMMYFUNCTION("IF('Respuestas de formulario 1'!L300="""","""",TO_TEXT('Respuestas de formulario 1'!L300))"),"")</f>
        <v/>
      </c>
      <c r="M300" s="7" t="str">
        <f>IFERROR(__xludf.DUMMYFUNCTION("IF('Respuestas de formulario 1'!M300="""","""",TO_TEXT('Respuestas de formulario 1'!M300))"),"")</f>
        <v/>
      </c>
      <c r="N300" s="7">
        <f t="shared" si="1"/>
        <v>2023</v>
      </c>
      <c r="O300" s="7" t="str">
        <f t="shared" si="2"/>
        <v>septiembre</v>
      </c>
      <c r="P300" s="7" t="s">
        <v>4802</v>
      </c>
    </row>
    <row r="301">
      <c r="A301" s="19">
        <f>'Respuestas de formulario 1'!A301</f>
        <v>45187.35619</v>
      </c>
      <c r="B301" s="7" t="str">
        <f>'Respuestas de formulario 1'!B301</f>
        <v>TRUCCO</v>
      </c>
      <c r="C301" s="7" t="str">
        <f>'Respuestas de formulario 1'!C301</f>
        <v>MARIO</v>
      </c>
      <c r="D301" s="7" t="str">
        <f>'Respuestas de formulario 1'!D301</f>
        <v>marietto@hotmail.com.ar</v>
      </c>
      <c r="E301" s="20">
        <f>'Respuestas de formulario 1'!E301</f>
        <v>23783</v>
      </c>
      <c r="F301" s="7">
        <f>'Respuestas de formulario 1'!F301</f>
        <v>17004684</v>
      </c>
      <c r="G301" s="7" t="str">
        <f>IFERROR(__xludf.DUMMYFUNCTION("IF('Respuestas de formulario 1'!G301="""","""",IF(LEFT(REGEXREPLACE(TO_TEXT('Respuestas de formulario 1'!G301),""[^0-9]"",""""),2)=""54"",""+""&amp;REGEXREPLACE(TO_TEXT('Respuestas de formulario 1'!G301),""[^0-9]"",""""),""+54""&amp;REGEXREPLACE(TO_TEXT('Respuest"&amp;"as de formulario 1'!G301),""[^0-9]"","""")))"),"+543513529639")</f>
        <v>+543513529639</v>
      </c>
      <c r="H301" s="7">
        <f>'Respuestas de formulario 1'!S301</f>
        <v>2023</v>
      </c>
      <c r="I301" s="7" t="str">
        <f>IFERROR(__xludf.DUMMYFUNCTION("IF('Respuestas de formulario 1'!I301="""","""",TO_TEXT('Respuestas de formulario 1'!I301))"),"Particular")</f>
        <v>Particular</v>
      </c>
      <c r="J301" s="7" t="str">
        <f>IFERROR(__xludf.DUMMYFUNCTION("IF('Respuestas de formulario 1'!J301&lt;&gt;"""",UPPER(TRIM(TO_TEXT('Respuestas de formulario 1'!J301))),IF('Respuestas de formulario 1'!O301&lt;&gt;"""",UPPER(TRIM(TO_TEXT('Respuestas de formulario 1'!O301))),""""))"),"")</f>
        <v/>
      </c>
      <c r="K301" s="7" t="str">
        <f>IFERROR(__xludf.DUMMYFUNCTION("IF('Respuestas de formulario 1'!K301="""","""",TO_TEXT('Respuestas de formulario 1'!K301))"),"")</f>
        <v/>
      </c>
      <c r="L301" s="7" t="str">
        <f>IFERROR(__xludf.DUMMYFUNCTION("IF('Respuestas de formulario 1'!L301="""","""",TO_TEXT('Respuestas de formulario 1'!L301))"),"")</f>
        <v/>
      </c>
      <c r="M301" s="7" t="str">
        <f>IFERROR(__xludf.DUMMYFUNCTION("IF('Respuestas de formulario 1'!M301="""","""",TO_TEXT('Respuestas de formulario 1'!M301))"),"")</f>
        <v/>
      </c>
      <c r="N301" s="7">
        <f t="shared" si="1"/>
        <v>2023</v>
      </c>
      <c r="O301" s="7" t="str">
        <f t="shared" si="2"/>
        <v>septiembre</v>
      </c>
      <c r="P301" s="7" t="s">
        <v>4804</v>
      </c>
    </row>
    <row r="302">
      <c r="A302" s="19">
        <f>'Respuestas de formulario 1'!A302</f>
        <v>45187.88842</v>
      </c>
      <c r="B302" s="7" t="str">
        <f>'Respuestas de formulario 1'!B302</f>
        <v>Dallegre</v>
      </c>
      <c r="C302" s="7" t="str">
        <f>'Respuestas de formulario 1'!C302</f>
        <v>Antonella</v>
      </c>
      <c r="D302" s="7" t="str">
        <f>'Respuestas de formulario 1'!D302</f>
        <v>anto2772@gmail.com</v>
      </c>
      <c r="E302" s="20">
        <f>'Respuestas de formulario 1'!E302</f>
        <v>33599</v>
      </c>
      <c r="F302" s="7">
        <f>'Respuestas de formulario 1'!F302</f>
        <v>36138771</v>
      </c>
      <c r="G302" s="7" t="str">
        <f>IFERROR(__xludf.DUMMYFUNCTION("IF('Respuestas de formulario 1'!G302="""","""",IF(LEFT(REGEXREPLACE(TO_TEXT('Respuestas de formulario 1'!G302),""[^0-9]"",""""),2)=""54"",""+""&amp;REGEXREPLACE(TO_TEXT('Respuestas de formulario 1'!G302),""[^0-9]"",""""),""+54""&amp;REGEXREPLACE(TO_TEXT('Respuest"&amp;"as de formulario 1'!G302),""[^0-9]"","""")))"),"+543512205620")</f>
        <v>+543512205620</v>
      </c>
      <c r="H302" s="7">
        <f>'Respuestas de formulario 1'!S302</f>
        <v>2023</v>
      </c>
      <c r="I302" s="7" t="str">
        <f>IFERROR(__xludf.DUMMYFUNCTION("IF('Respuestas de formulario 1'!I302="""","""",TO_TEXT('Respuestas de formulario 1'!I302))"),"Particular")</f>
        <v>Particular</v>
      </c>
      <c r="J302" s="7" t="str">
        <f>IFERROR(__xludf.DUMMYFUNCTION("IF('Respuestas de formulario 1'!J302&lt;&gt;"""",UPPER(TRIM(TO_TEXT('Respuestas de formulario 1'!J302))),IF('Respuestas de formulario 1'!O302&lt;&gt;"""",UPPER(TRIM(TO_TEXT('Respuestas de formulario 1'!O302))),""""))"),"")</f>
        <v/>
      </c>
      <c r="K302" s="7" t="str">
        <f>IFERROR(__xludf.DUMMYFUNCTION("IF('Respuestas de formulario 1'!K302="""","""",TO_TEXT('Respuestas de formulario 1'!K302))"),"")</f>
        <v/>
      </c>
      <c r="L302" s="7" t="str">
        <f>IFERROR(__xludf.DUMMYFUNCTION("IF('Respuestas de formulario 1'!L302="""","""",TO_TEXT('Respuestas de formulario 1'!L302))"),"")</f>
        <v/>
      </c>
      <c r="M302" s="7" t="str">
        <f>IFERROR(__xludf.DUMMYFUNCTION("IF('Respuestas de formulario 1'!M302="""","""",TO_TEXT('Respuestas de formulario 1'!M302))"),"")</f>
        <v/>
      </c>
      <c r="N302" s="7">
        <f t="shared" si="1"/>
        <v>2023</v>
      </c>
      <c r="O302" s="7" t="str">
        <f t="shared" si="2"/>
        <v>septiembre</v>
      </c>
      <c r="P302" s="7" t="s">
        <v>4806</v>
      </c>
    </row>
    <row r="303">
      <c r="A303" s="19">
        <f>'Respuestas de formulario 1'!A303</f>
        <v>45188.52723</v>
      </c>
      <c r="B303" s="7" t="str">
        <f>'Respuestas de formulario 1'!B303</f>
        <v>Demaría </v>
      </c>
      <c r="C303" s="7" t="str">
        <f>'Respuestas de formulario 1'!C303</f>
        <v>Rodolfo Alejandro </v>
      </c>
      <c r="D303" s="7" t="str">
        <f>'Respuestas de formulario 1'!D303</f>
        <v>rademaria@hotmail.com</v>
      </c>
      <c r="E303" s="20">
        <f>'Respuestas de formulario 1'!E303</f>
        <v>28704</v>
      </c>
      <c r="F303" s="7">
        <f>'Respuestas de formulario 1'!F303</f>
        <v>26412889</v>
      </c>
      <c r="G303" s="7" t="str">
        <f>IFERROR(__xludf.DUMMYFUNCTION("IF('Respuestas de formulario 1'!G303="""","""",IF(LEFT(REGEXREPLACE(TO_TEXT('Respuestas de formulario 1'!G303),""[^0-9]"",""""),2)=""54"",""+""&amp;REGEXREPLACE(TO_TEXT('Respuestas de formulario 1'!G303),""[^0-9]"",""""),""+54""&amp;REGEXREPLACE(TO_TEXT('Respuest"&amp;"as de formulario 1'!G303),""[^0-9]"","""")))"),"+543516597726")</f>
        <v>+543516597726</v>
      </c>
      <c r="H303" s="7">
        <f>'Respuestas de formulario 1'!S303</f>
        <v>2023</v>
      </c>
      <c r="I303" s="7" t="str">
        <f>IFERROR(__xludf.DUMMYFUNCTION("IF('Respuestas de formulario 1'!I303="""","""",TO_TEXT('Respuestas de formulario 1'!I303))"),"Obra social")</f>
        <v>Obra social</v>
      </c>
      <c r="J303" s="7" t="str">
        <f>IFERROR(__xludf.DUMMYFUNCTION("IF('Respuestas de formulario 1'!J303&lt;&gt;"""",UPPER(TRIM(TO_TEXT('Respuestas de formulario 1'!J303))),IF('Respuestas de formulario 1'!O303&lt;&gt;"""",UPPER(TRIM(TO_TEXT('Respuestas de formulario 1'!O303))),""""))"),"CPCE")</f>
        <v>CPCE</v>
      </c>
      <c r="K303" s="7" t="str">
        <f>IFERROR(__xludf.DUMMYFUNCTION("IF('Respuestas de formulario 1'!K303="""","""",TO_TEXT('Respuestas de formulario 1'!K303))"),"")</f>
        <v/>
      </c>
      <c r="L303" s="7" t="str">
        <f>IFERROR(__xludf.DUMMYFUNCTION("IF('Respuestas de formulario 1'!L303="""","""",TO_TEXT('Respuestas de formulario 1'!L303))"),"")</f>
        <v/>
      </c>
      <c r="M303" s="7" t="str">
        <f>IFERROR(__xludf.DUMMYFUNCTION("IF('Respuestas de formulario 1'!M303="""","""",TO_TEXT('Respuestas de formulario 1'!M303))"),"")</f>
        <v/>
      </c>
      <c r="N303" s="7">
        <f t="shared" si="1"/>
        <v>2023</v>
      </c>
      <c r="O303" s="7" t="str">
        <f t="shared" si="2"/>
        <v>septiembre</v>
      </c>
      <c r="P303" s="7" t="s">
        <v>4808</v>
      </c>
    </row>
    <row r="304">
      <c r="A304" s="19">
        <f>'Respuestas de formulario 1'!A304</f>
        <v>45188.70806</v>
      </c>
      <c r="B304" s="7" t="str">
        <f>'Respuestas de formulario 1'!B304</f>
        <v>Bazan</v>
      </c>
      <c r="C304" s="7" t="str">
        <f>'Respuestas de formulario 1'!C304</f>
        <v>Marcos</v>
      </c>
      <c r="D304" s="7" t="str">
        <f>'Respuestas de formulario 1'!D304</f>
        <v>b.marcos.a@gmail.com</v>
      </c>
      <c r="E304" s="20">
        <f>'Respuestas de formulario 1'!E304</f>
        <v>33002</v>
      </c>
      <c r="F304" s="7">
        <f>'Respuestas de formulario 1'!F304</f>
        <v>35108502</v>
      </c>
      <c r="G304" s="7" t="str">
        <f>IFERROR(__xludf.DUMMYFUNCTION("IF('Respuestas de formulario 1'!G304="""","""",IF(LEFT(REGEXREPLACE(TO_TEXT('Respuestas de formulario 1'!G304),""[^0-9]"",""""),2)=""54"",""+""&amp;REGEXREPLACE(TO_TEXT('Respuestas de formulario 1'!G304),""[^0-9]"",""""),""+54""&amp;REGEXREPLACE(TO_TEXT('Respuest"&amp;"as de formulario 1'!G304),""[^0-9]"","""")))"),"+543513726770")</f>
        <v>+543513726770</v>
      </c>
      <c r="H304" s="7">
        <f>'Respuestas de formulario 1'!S304</f>
        <v>2023</v>
      </c>
      <c r="I304" s="7" t="str">
        <f>IFERROR(__xludf.DUMMYFUNCTION("IF('Respuestas de formulario 1'!I304="""","""",TO_TEXT('Respuestas de formulario 1'!I304))"),"Obra social")</f>
        <v>Obra social</v>
      </c>
      <c r="J304" s="7" t="str">
        <f>IFERROR(__xludf.DUMMYFUNCTION("IF('Respuestas de formulario 1'!J304&lt;&gt;"""",UPPER(TRIM(TO_TEXT('Respuestas de formulario 1'!J304))),IF('Respuestas de formulario 1'!O304&lt;&gt;"""",UPPER(TRIM(TO_TEXT('Respuestas de formulario 1'!O304))),""""))"),"APROSS")</f>
        <v>APROSS</v>
      </c>
      <c r="K304" s="7" t="str">
        <f>IFERROR(__xludf.DUMMYFUNCTION("IF('Respuestas de formulario 1'!K304="""","""",TO_TEXT('Respuestas de formulario 1'!K304))"),"")</f>
        <v/>
      </c>
      <c r="L304" s="7" t="str">
        <f>IFERROR(__xludf.DUMMYFUNCTION("IF('Respuestas de formulario 1'!L304="""","""",TO_TEXT('Respuestas de formulario 1'!L304))"),"")</f>
        <v/>
      </c>
      <c r="M304" s="7" t="str">
        <f>IFERROR(__xludf.DUMMYFUNCTION("IF('Respuestas de formulario 1'!M304="""","""",TO_TEXT('Respuestas de formulario 1'!M304))"),"")</f>
        <v/>
      </c>
      <c r="N304" s="7">
        <f t="shared" si="1"/>
        <v>2023</v>
      </c>
      <c r="O304" s="7" t="str">
        <f t="shared" si="2"/>
        <v>septiembre</v>
      </c>
      <c r="P304" s="7" t="s">
        <v>4810</v>
      </c>
    </row>
    <row r="305">
      <c r="A305" s="19">
        <f>'Respuestas de formulario 1'!A305</f>
        <v>45188.79718</v>
      </c>
      <c r="B305" s="7" t="str">
        <f>'Respuestas de formulario 1'!B305</f>
        <v>Hernandez</v>
      </c>
      <c r="C305" s="7" t="str">
        <f>'Respuestas de formulario 1'!C305</f>
        <v>Roxana</v>
      </c>
      <c r="D305" s="7" t="str">
        <f>'Respuestas de formulario 1'!D305</f>
        <v>roxanahernandez_1@yahoo.com.ar</v>
      </c>
      <c r="E305" s="20">
        <f>'Respuestas de formulario 1'!E305</f>
        <v>22334</v>
      </c>
      <c r="F305" s="7">
        <f>'Respuestas de formulario 1'!F305</f>
        <v>14409831</v>
      </c>
      <c r="G305" s="7" t="str">
        <f>IFERROR(__xludf.DUMMYFUNCTION("IF('Respuestas de formulario 1'!G305="""","""",IF(LEFT(REGEXREPLACE(TO_TEXT('Respuestas de formulario 1'!G305),""[^0-9]"",""""),2)=""54"",""+""&amp;REGEXREPLACE(TO_TEXT('Respuestas de formulario 1'!G305),""[^0-9]"",""""),""+54""&amp;REGEXREPLACE(TO_TEXT('Respuest"&amp;"as de formulario 1'!G305),""[^0-9]"","""")))"),"+543516876546")</f>
        <v>+543516876546</v>
      </c>
      <c r="H305" s="7">
        <f>'Respuestas de formulario 1'!S305</f>
        <v>2023</v>
      </c>
      <c r="I305" s="7" t="str">
        <f>IFERROR(__xludf.DUMMYFUNCTION("IF('Respuestas de formulario 1'!I305="""","""",TO_TEXT('Respuestas de formulario 1'!I305))"),"Particular")</f>
        <v>Particular</v>
      </c>
      <c r="J305" s="7" t="str">
        <f>IFERROR(__xludf.DUMMYFUNCTION("IF('Respuestas de formulario 1'!J305&lt;&gt;"""",UPPER(TRIM(TO_TEXT('Respuestas de formulario 1'!J305))),IF('Respuestas de formulario 1'!O305&lt;&gt;"""",UPPER(TRIM(TO_TEXT('Respuestas de formulario 1'!O305))),""""))"),"")</f>
        <v/>
      </c>
      <c r="K305" s="7" t="str">
        <f>IFERROR(__xludf.DUMMYFUNCTION("IF('Respuestas de formulario 1'!K305="""","""",TO_TEXT('Respuestas de formulario 1'!K305))"),"")</f>
        <v/>
      </c>
      <c r="L305" s="7" t="str">
        <f>IFERROR(__xludf.DUMMYFUNCTION("IF('Respuestas de formulario 1'!L305="""","""",TO_TEXT('Respuestas de formulario 1'!L305))"),"")</f>
        <v/>
      </c>
      <c r="M305" s="7" t="str">
        <f>IFERROR(__xludf.DUMMYFUNCTION("IF('Respuestas de formulario 1'!M305="""","""",TO_TEXT('Respuestas de formulario 1'!M305))"),"")</f>
        <v/>
      </c>
      <c r="N305" s="7">
        <f t="shared" si="1"/>
        <v>2023</v>
      </c>
      <c r="O305" s="7" t="str">
        <f t="shared" si="2"/>
        <v>septiembre</v>
      </c>
      <c r="P305" s="7" t="s">
        <v>4812</v>
      </c>
    </row>
    <row r="306">
      <c r="A306" s="19">
        <f>'Respuestas de formulario 1'!A306</f>
        <v>45188.83159</v>
      </c>
      <c r="B306" s="7" t="str">
        <f>'Respuestas de formulario 1'!B306</f>
        <v>Gadea</v>
      </c>
      <c r="C306" s="7" t="str">
        <f>'Respuestas de formulario 1'!C306</f>
        <v>Jorge</v>
      </c>
      <c r="D306" s="7" t="str">
        <f>'Respuestas de formulario 1'!D306</f>
        <v>jorgegadea.jg@gmail.com</v>
      </c>
      <c r="E306" s="20">
        <f>'Respuestas de formulario 1'!E306</f>
        <v>36948</v>
      </c>
      <c r="F306" s="7">
        <f>'Respuestas de formulario 1'!F306</f>
        <v>43134171</v>
      </c>
      <c r="G306" s="7" t="str">
        <f>IFERROR(__xludf.DUMMYFUNCTION("IF('Respuestas de formulario 1'!G306="""","""",IF(LEFT(REGEXREPLACE(TO_TEXT('Respuestas de formulario 1'!G306),""[^0-9]"",""""),2)=""54"",""+""&amp;REGEXREPLACE(TO_TEXT('Respuestas de formulario 1'!G306),""[^0-9]"",""""),""+54""&amp;REGEXREPLACE(TO_TEXT('Respuest"&amp;"as de formulario 1'!G306),""[^0-9]"","""")))"),"+543516815531")</f>
        <v>+543516815531</v>
      </c>
      <c r="H306" s="7">
        <f>'Respuestas de formulario 1'!S306</f>
        <v>2023</v>
      </c>
      <c r="I306" s="7" t="str">
        <f>IFERROR(__xludf.DUMMYFUNCTION("IF('Respuestas de formulario 1'!I306="""","""",TO_TEXT('Respuestas de formulario 1'!I306))"),"Particular")</f>
        <v>Particular</v>
      </c>
      <c r="J306" s="7" t="str">
        <f>IFERROR(__xludf.DUMMYFUNCTION("IF('Respuestas de formulario 1'!J306&lt;&gt;"""",UPPER(TRIM(TO_TEXT('Respuestas de formulario 1'!J306))),IF('Respuestas de formulario 1'!O306&lt;&gt;"""",UPPER(TRIM(TO_TEXT('Respuestas de formulario 1'!O306))),""""))"),"")</f>
        <v/>
      </c>
      <c r="K306" s="7" t="str">
        <f>IFERROR(__xludf.DUMMYFUNCTION("IF('Respuestas de formulario 1'!K306="""","""",TO_TEXT('Respuestas de formulario 1'!K306))"),"")</f>
        <v/>
      </c>
      <c r="L306" s="7" t="str">
        <f>IFERROR(__xludf.DUMMYFUNCTION("IF('Respuestas de formulario 1'!L306="""","""",TO_TEXT('Respuestas de formulario 1'!L306))"),"")</f>
        <v/>
      </c>
      <c r="M306" s="7" t="str">
        <f>IFERROR(__xludf.DUMMYFUNCTION("IF('Respuestas de formulario 1'!M306="""","""",TO_TEXT('Respuestas de formulario 1'!M306))"),"")</f>
        <v/>
      </c>
      <c r="N306" s="7">
        <f t="shared" si="1"/>
        <v>2023</v>
      </c>
      <c r="O306" s="7" t="str">
        <f t="shared" si="2"/>
        <v>septiembre</v>
      </c>
      <c r="P306" s="7" t="s">
        <v>4814</v>
      </c>
    </row>
    <row r="307">
      <c r="A307" s="19">
        <f>'Respuestas de formulario 1'!A307</f>
        <v>45189.44701</v>
      </c>
      <c r="B307" s="7" t="str">
        <f>'Respuestas de formulario 1'!B307</f>
        <v>Muñoz</v>
      </c>
      <c r="C307" s="7" t="str">
        <f>'Respuestas de formulario 1'!C307</f>
        <v>Martin</v>
      </c>
      <c r="D307" s="7" t="str">
        <f>'Respuestas de formulario 1'!D307</f>
        <v>Martinhoelm@gmail.com</v>
      </c>
      <c r="E307" s="20">
        <f>'Respuestas de formulario 1'!E307</f>
        <v>30623</v>
      </c>
      <c r="F307" s="7">
        <f>'Respuestas de formulario 1'!F307</f>
        <v>30901380</v>
      </c>
      <c r="G307" s="7" t="str">
        <f>IFERROR(__xludf.DUMMYFUNCTION("IF('Respuestas de formulario 1'!G307="""","""",IF(LEFT(REGEXREPLACE(TO_TEXT('Respuestas de formulario 1'!G307),""[^0-9]"",""""),2)=""54"",""+""&amp;REGEXREPLACE(TO_TEXT('Respuestas de formulario 1'!G307),""[^0-9]"",""""),""+54""&amp;REGEXREPLACE(TO_TEXT('Respuest"&amp;"as de formulario 1'!G307),""[^0-9]"","""")))"),"+543516535691")</f>
        <v>+543516535691</v>
      </c>
      <c r="H307" s="7">
        <f>'Respuestas de formulario 1'!S307</f>
        <v>2023</v>
      </c>
      <c r="I307" s="7" t="str">
        <f>IFERROR(__xludf.DUMMYFUNCTION("IF('Respuestas de formulario 1'!I307="""","""",TO_TEXT('Respuestas de formulario 1'!I307))"),"Obra social")</f>
        <v>Obra social</v>
      </c>
      <c r="J307" s="7" t="str">
        <f>IFERROR(__xludf.DUMMYFUNCTION("IF('Respuestas de formulario 1'!J307&lt;&gt;"""",UPPER(TRIM(TO_TEXT('Respuestas de formulario 1'!J307))),IF('Respuestas de formulario 1'!O307&lt;&gt;"""",UPPER(TRIM(TO_TEXT('Respuestas de formulario 1'!O307))),""""))"),"APROSS")</f>
        <v>APROSS</v>
      </c>
      <c r="K307" s="7" t="str">
        <f>IFERROR(__xludf.DUMMYFUNCTION("IF('Respuestas de formulario 1'!K307="""","""",TO_TEXT('Respuestas de formulario 1'!K307))"),"")</f>
        <v/>
      </c>
      <c r="L307" s="7" t="str">
        <f>IFERROR(__xludf.DUMMYFUNCTION("IF('Respuestas de formulario 1'!L307="""","""",TO_TEXT('Respuestas de formulario 1'!L307))"),"")</f>
        <v/>
      </c>
      <c r="M307" s="7" t="str">
        <f>IFERROR(__xludf.DUMMYFUNCTION("IF('Respuestas de formulario 1'!M307="""","""",TO_TEXT('Respuestas de formulario 1'!M307))"),"")</f>
        <v/>
      </c>
      <c r="N307" s="7">
        <f t="shared" si="1"/>
        <v>2023</v>
      </c>
      <c r="O307" s="7" t="str">
        <f t="shared" si="2"/>
        <v>septiembre</v>
      </c>
      <c r="P307" s="7" t="s">
        <v>4816</v>
      </c>
    </row>
    <row r="308">
      <c r="A308" s="19">
        <f>'Respuestas de formulario 1'!A308</f>
        <v>45189.57795</v>
      </c>
      <c r="B308" s="7" t="str">
        <f>'Respuestas de formulario 1'!B308</f>
        <v>Villega</v>
      </c>
      <c r="C308" s="7" t="str">
        <f>'Respuestas de formulario 1'!C308</f>
        <v>Hebe lorena </v>
      </c>
      <c r="D308" s="7" t="str">
        <f>'Respuestas de formulario 1'!D308</f>
        <v>hebevillega@gmail.com</v>
      </c>
      <c r="E308" s="20">
        <f>'Respuestas de formulario 1'!E308</f>
        <v>29267</v>
      </c>
      <c r="F308" s="7">
        <f>'Respuestas de formulario 1'!F308</f>
        <v>27955583</v>
      </c>
      <c r="G308" s="7" t="str">
        <f>IFERROR(__xludf.DUMMYFUNCTION("IF('Respuestas de formulario 1'!G308="""","""",IF(LEFT(REGEXREPLACE(TO_TEXT('Respuestas de formulario 1'!G308),""[^0-9]"",""""),2)=""54"",""+""&amp;REGEXREPLACE(TO_TEXT('Respuestas de formulario 1'!G308),""[^0-9]"",""""),""+54""&amp;REGEXREPLACE(TO_TEXT('Respuest"&amp;"as de formulario 1'!G308),""[^0-9]"","""")))"),"+543513021922")</f>
        <v>+543513021922</v>
      </c>
      <c r="H308" s="7">
        <f>'Respuestas de formulario 1'!S308</f>
        <v>2023</v>
      </c>
      <c r="I308" s="7" t="str">
        <f>IFERROR(__xludf.DUMMYFUNCTION("IF('Respuestas de formulario 1'!I308="""","""",TO_TEXT('Respuestas de formulario 1'!I308))"),"Obra social")</f>
        <v>Obra social</v>
      </c>
      <c r="J308" s="7" t="str">
        <f>IFERROR(__xludf.DUMMYFUNCTION("IF('Respuestas de formulario 1'!J308&lt;&gt;"""",UPPER(TRIM(TO_TEXT('Respuestas de formulario 1'!J308))),IF('Respuestas de formulario 1'!O308&lt;&gt;"""",UPPER(TRIM(TO_TEXT('Respuestas de formulario 1'!O308))),""""))"),"BOREAL")</f>
        <v>BOREAL</v>
      </c>
      <c r="K308" s="7" t="str">
        <f>IFERROR(__xludf.DUMMYFUNCTION("IF('Respuestas de formulario 1'!K308="""","""",TO_TEXT('Respuestas de formulario 1'!K308))"),"")</f>
        <v/>
      </c>
      <c r="L308" s="7" t="str">
        <f>IFERROR(__xludf.DUMMYFUNCTION("IF('Respuestas de formulario 1'!L308="""","""",TO_TEXT('Respuestas de formulario 1'!L308))"),"")</f>
        <v/>
      </c>
      <c r="M308" s="7" t="str">
        <f>IFERROR(__xludf.DUMMYFUNCTION("IF('Respuestas de formulario 1'!M308="""","""",TO_TEXT('Respuestas de formulario 1'!M308))"),"")</f>
        <v/>
      </c>
      <c r="N308" s="7">
        <f t="shared" si="1"/>
        <v>2023</v>
      </c>
      <c r="O308" s="7" t="str">
        <f t="shared" si="2"/>
        <v>septiembre</v>
      </c>
      <c r="P308" s="7" t="s">
        <v>4818</v>
      </c>
    </row>
    <row r="309">
      <c r="A309" s="19">
        <f>'Respuestas de formulario 1'!A309</f>
        <v>45189.63893</v>
      </c>
      <c r="B309" s="7" t="str">
        <f>'Respuestas de formulario 1'!B309</f>
        <v>Gallerino</v>
      </c>
      <c r="C309" s="7" t="str">
        <f>'Respuestas de formulario 1'!C309</f>
        <v>Jorge</v>
      </c>
      <c r="D309" s="7" t="str">
        <f>'Respuestas de formulario 1'!D309</f>
        <v>jgallerino@gmial.com</v>
      </c>
      <c r="E309" s="20">
        <f>'Respuestas de formulario 1'!E309</f>
        <v>18564</v>
      </c>
      <c r="F309" s="7">
        <f>'Respuestas de formulario 1'!F309</f>
        <v>8290400</v>
      </c>
      <c r="G309" s="7" t="str">
        <f>IFERROR(__xludf.DUMMYFUNCTION("IF('Respuestas de formulario 1'!G309="""","""",IF(LEFT(REGEXREPLACE(TO_TEXT('Respuestas de formulario 1'!G309),""[^0-9]"",""""),2)=""54"",""+""&amp;REGEXREPLACE(TO_TEXT('Respuestas de formulario 1'!G309),""[^0-9]"",""""),""+54""&amp;REGEXREPLACE(TO_TEXT('Respuest"&amp;"as de formulario 1'!G309),""[^0-9]"","""")))"),"+543512512427")</f>
        <v>+543512512427</v>
      </c>
      <c r="H309" s="7">
        <f>'Respuestas de formulario 1'!S309</f>
        <v>2023</v>
      </c>
      <c r="I309" s="7" t="str">
        <f>IFERROR(__xludf.DUMMYFUNCTION("IF('Respuestas de formulario 1'!I309="""","""",TO_TEXT('Respuestas de formulario 1'!I309))"),"Particular")</f>
        <v>Particular</v>
      </c>
      <c r="J309" s="7" t="str">
        <f>IFERROR(__xludf.DUMMYFUNCTION("IF('Respuestas de formulario 1'!J309&lt;&gt;"""",UPPER(TRIM(TO_TEXT('Respuestas de formulario 1'!J309))),IF('Respuestas de formulario 1'!O309&lt;&gt;"""",UPPER(TRIM(TO_TEXT('Respuestas de formulario 1'!O309))),""""))"),"")</f>
        <v/>
      </c>
      <c r="K309" s="7" t="str">
        <f>IFERROR(__xludf.DUMMYFUNCTION("IF('Respuestas de formulario 1'!K309="""","""",TO_TEXT('Respuestas de formulario 1'!K309))"),"")</f>
        <v/>
      </c>
      <c r="L309" s="7" t="str">
        <f>IFERROR(__xludf.DUMMYFUNCTION("IF('Respuestas de formulario 1'!L309="""","""",TO_TEXT('Respuestas de formulario 1'!L309))"),"")</f>
        <v/>
      </c>
      <c r="M309" s="7" t="str">
        <f>IFERROR(__xludf.DUMMYFUNCTION("IF('Respuestas de formulario 1'!M309="""","""",TO_TEXT('Respuestas de formulario 1'!M309))"),"")</f>
        <v/>
      </c>
      <c r="N309" s="7">
        <f t="shared" si="1"/>
        <v>2023</v>
      </c>
      <c r="O309" s="7" t="str">
        <f t="shared" si="2"/>
        <v>septiembre</v>
      </c>
      <c r="P309" s="7" t="s">
        <v>4820</v>
      </c>
    </row>
    <row r="310">
      <c r="A310" s="19">
        <f>'Respuestas de formulario 1'!A310</f>
        <v>45189.64059</v>
      </c>
      <c r="B310" s="7" t="str">
        <f>'Respuestas de formulario 1'!B310</f>
        <v>Gadea</v>
      </c>
      <c r="C310" s="7" t="str">
        <f>'Respuestas de formulario 1'!C310</f>
        <v>Jorge</v>
      </c>
      <c r="D310" s="7" t="str">
        <f>'Respuestas de formulario 1'!D310</f>
        <v>jorgegadea.jg@gmail.com</v>
      </c>
      <c r="E310" s="20">
        <f>'Respuestas de formulario 1'!E310</f>
        <v>36948</v>
      </c>
      <c r="F310" s="7">
        <f>'Respuestas de formulario 1'!F310</f>
        <v>43134171</v>
      </c>
      <c r="G310" s="7" t="str">
        <f>IFERROR(__xludf.DUMMYFUNCTION("IF('Respuestas de formulario 1'!G310="""","""",IF(LEFT(REGEXREPLACE(TO_TEXT('Respuestas de formulario 1'!G310),""[^0-9]"",""""),2)=""54"",""+""&amp;REGEXREPLACE(TO_TEXT('Respuestas de formulario 1'!G310),""[^0-9]"",""""),""+54""&amp;REGEXREPLACE(TO_TEXT('Respuest"&amp;"as de formulario 1'!G310),""[^0-9]"","""")))"),"+543516815531")</f>
        <v>+543516815531</v>
      </c>
      <c r="H310" s="7">
        <f>'Respuestas de formulario 1'!S310</f>
        <v>2023</v>
      </c>
      <c r="I310" s="7" t="str">
        <f>IFERROR(__xludf.DUMMYFUNCTION("IF('Respuestas de formulario 1'!I310="""","""",TO_TEXT('Respuestas de formulario 1'!I310))"),"Particular")</f>
        <v>Particular</v>
      </c>
      <c r="J310" s="7" t="str">
        <f>IFERROR(__xludf.DUMMYFUNCTION("IF('Respuestas de formulario 1'!J310&lt;&gt;"""",UPPER(TRIM(TO_TEXT('Respuestas de formulario 1'!J310))),IF('Respuestas de formulario 1'!O310&lt;&gt;"""",UPPER(TRIM(TO_TEXT('Respuestas de formulario 1'!O310))),""""))"),"")</f>
        <v/>
      </c>
      <c r="K310" s="7" t="str">
        <f>IFERROR(__xludf.DUMMYFUNCTION("IF('Respuestas de formulario 1'!K310="""","""",TO_TEXT('Respuestas de formulario 1'!K310))"),"")</f>
        <v/>
      </c>
      <c r="L310" s="7" t="str">
        <f>IFERROR(__xludf.DUMMYFUNCTION("IF('Respuestas de formulario 1'!L310="""","""",TO_TEXT('Respuestas de formulario 1'!L310))"),"")</f>
        <v/>
      </c>
      <c r="M310" s="7" t="str">
        <f>IFERROR(__xludf.DUMMYFUNCTION("IF('Respuestas de formulario 1'!M310="""","""",TO_TEXT('Respuestas de formulario 1'!M310))"),"")</f>
        <v/>
      </c>
      <c r="N310" s="7">
        <f t="shared" si="1"/>
        <v>2023</v>
      </c>
      <c r="O310" s="7" t="str">
        <f t="shared" si="2"/>
        <v>septiembre</v>
      </c>
      <c r="P310" s="7" t="s">
        <v>4814</v>
      </c>
    </row>
    <row r="311">
      <c r="A311" s="19">
        <f>'Respuestas de formulario 1'!A311</f>
        <v>45189.82736</v>
      </c>
      <c r="B311" s="7" t="str">
        <f>'Respuestas de formulario 1'!B311</f>
        <v>Romero</v>
      </c>
      <c r="C311" s="7" t="str">
        <f>'Respuestas de formulario 1'!C311</f>
        <v>Alejandro</v>
      </c>
      <c r="D311" s="7" t="str">
        <f>'Respuestas de formulario 1'!D311</f>
        <v>alejandro_mehesz@hotmail.com</v>
      </c>
      <c r="E311" s="20">
        <f>'Respuestas de formulario 1'!E311</f>
        <v>30299</v>
      </c>
      <c r="F311" s="7">
        <f>'Respuestas de formulario 1'!F311</f>
        <v>29966448</v>
      </c>
      <c r="G311" s="7" t="str">
        <f>IFERROR(__xludf.DUMMYFUNCTION("IF('Respuestas de formulario 1'!G311="""","""",IF(LEFT(REGEXREPLACE(TO_TEXT('Respuestas de formulario 1'!G311),""[^0-9]"",""""),2)=""54"",""+""&amp;REGEXREPLACE(TO_TEXT('Respuestas de formulario 1'!G311),""[^0-9]"",""""),""+54""&amp;REGEXREPLACE(TO_TEXT('Respuest"&amp;"as de formulario 1'!G311),""[^0-9]"","""")))"),"+543515429030")</f>
        <v>+543515429030</v>
      </c>
      <c r="H311" s="7">
        <f>'Respuestas de formulario 1'!S311</f>
        <v>2023</v>
      </c>
      <c r="I311" s="7" t="str">
        <f>IFERROR(__xludf.DUMMYFUNCTION("IF('Respuestas de formulario 1'!I311="""","""",TO_TEXT('Respuestas de formulario 1'!I311))"),"Obra social")</f>
        <v>Obra social</v>
      </c>
      <c r="J311" s="7" t="str">
        <f>IFERROR(__xludf.DUMMYFUNCTION("IF('Respuestas de formulario 1'!J311&lt;&gt;"""",UPPER(TRIM(TO_TEXT('Respuestas de formulario 1'!J311))),IF('Respuestas de formulario 1'!O311&lt;&gt;"""",UPPER(TRIM(TO_TEXT('Respuestas de formulario 1'!O311))),""""))"),"PREVENCIÓN")</f>
        <v>PREVENCIÓN</v>
      </c>
      <c r="K311" s="7" t="str">
        <f>IFERROR(__xludf.DUMMYFUNCTION("IF('Respuestas de formulario 1'!K311="""","""",TO_TEXT('Respuestas de formulario 1'!K311))"),"")</f>
        <v/>
      </c>
      <c r="L311" s="7" t="str">
        <f>IFERROR(__xludf.DUMMYFUNCTION("IF('Respuestas de formulario 1'!L311="""","""",TO_TEXT('Respuestas de formulario 1'!L311))"),"")</f>
        <v/>
      </c>
      <c r="M311" s="7" t="str">
        <f>IFERROR(__xludf.DUMMYFUNCTION("IF('Respuestas de formulario 1'!M311="""","""",TO_TEXT('Respuestas de formulario 1'!M311))"),"")</f>
        <v/>
      </c>
      <c r="N311" s="7">
        <f t="shared" si="1"/>
        <v>2023</v>
      </c>
      <c r="O311" s="7" t="str">
        <f t="shared" si="2"/>
        <v>septiembre</v>
      </c>
      <c r="P311" s="7" t="s">
        <v>4822</v>
      </c>
    </row>
    <row r="312">
      <c r="A312" s="19">
        <f>'Respuestas de formulario 1'!A312</f>
        <v>45189.83082</v>
      </c>
      <c r="B312" s="7" t="str">
        <f>'Respuestas de formulario 1'!B312</f>
        <v>Pueyrredon</v>
      </c>
      <c r="C312" s="7" t="str">
        <f>'Respuestas de formulario 1'!C312</f>
        <v>Catalina</v>
      </c>
      <c r="D312" s="7" t="str">
        <f>'Respuestas de formulario 1'!D312</f>
        <v>-</v>
      </c>
      <c r="E312" s="20">
        <f>'Respuestas de formulario 1'!E312</f>
        <v>38957</v>
      </c>
      <c r="F312" s="7">
        <f>'Respuestas de formulario 1'!F312</f>
        <v>4670299989</v>
      </c>
      <c r="G312" s="7" t="str">
        <f>IFERROR(__xludf.DUMMYFUNCTION("IF('Respuestas de formulario 1'!G312="""","""",IF(LEFT(REGEXREPLACE(TO_TEXT('Respuestas de formulario 1'!G312),""[^0-9]"",""""),2)=""54"",""+""&amp;REGEXREPLACE(TO_TEXT('Respuestas de formulario 1'!G312),""[^0-9]"",""""),""+54""&amp;REGEXREPLACE(TO_TEXT('Respuest"&amp;"as de formulario 1'!G312),""[^0-9]"","""")))"),"+543516439701")</f>
        <v>+543516439701</v>
      </c>
      <c r="H312" s="7">
        <f>'Respuestas de formulario 1'!S312</f>
        <v>2023</v>
      </c>
      <c r="I312" s="7" t="str">
        <f>IFERROR(__xludf.DUMMYFUNCTION("IF('Respuestas de formulario 1'!I312="""","""",TO_TEXT('Respuestas de formulario 1'!I312))"),"Obra social")</f>
        <v>Obra social</v>
      </c>
      <c r="J312" s="7" t="str">
        <f>IFERROR(__xludf.DUMMYFUNCTION("IF('Respuestas de formulario 1'!J312&lt;&gt;"""",UPPER(TRIM(TO_TEXT('Respuestas de formulario 1'!J312))),IF('Respuestas de formulario 1'!O312&lt;&gt;"""",UPPER(TRIM(TO_TEXT('Respuestas de formulario 1'!O312))),""""))"),"CAJA DE ABOGADOS")</f>
        <v>CAJA DE ABOGADOS</v>
      </c>
      <c r="K312" s="7" t="str">
        <f>IFERROR(__xludf.DUMMYFUNCTION("IF('Respuestas de formulario 1'!K312="""","""",TO_TEXT('Respuestas de formulario 1'!K312))"),"")</f>
        <v/>
      </c>
      <c r="L312" s="7" t="str">
        <f>IFERROR(__xludf.DUMMYFUNCTION("IF('Respuestas de formulario 1'!L312="""","""",TO_TEXT('Respuestas de formulario 1'!L312))"),"")</f>
        <v/>
      </c>
      <c r="M312" s="7" t="str">
        <f>IFERROR(__xludf.DUMMYFUNCTION("IF('Respuestas de formulario 1'!M312="""","""",TO_TEXT('Respuestas de formulario 1'!M312))"),"")</f>
        <v/>
      </c>
      <c r="N312" s="7">
        <f t="shared" si="1"/>
        <v>2023</v>
      </c>
      <c r="O312" s="7" t="str">
        <f t="shared" si="2"/>
        <v>septiembre</v>
      </c>
      <c r="P312" s="7" t="s">
        <v>4824</v>
      </c>
    </row>
    <row r="313">
      <c r="A313" s="19">
        <f>'Respuestas de formulario 1'!A313</f>
        <v>45190.80123</v>
      </c>
      <c r="B313" s="7" t="str">
        <f>'Respuestas de formulario 1'!B313</f>
        <v>Vigilante</v>
      </c>
      <c r="C313" s="7" t="str">
        <f>'Respuestas de formulario 1'!C313</f>
        <v>Claudia</v>
      </c>
      <c r="D313" s="7" t="str">
        <f>'Respuestas de formulario 1'!D313</f>
        <v>clauvigi@yahoo.com.ar</v>
      </c>
      <c r="E313" s="20">
        <f>'Respuestas de formulario 1'!E313</f>
        <v>22711</v>
      </c>
      <c r="F313" s="7">
        <f>'Respuestas de formulario 1'!F313</f>
        <v>14839795</v>
      </c>
      <c r="G313" s="7" t="str">
        <f>IFERROR(__xludf.DUMMYFUNCTION("IF('Respuestas de formulario 1'!G313="""","""",IF(LEFT(REGEXREPLACE(TO_TEXT('Respuestas de formulario 1'!G313),""[^0-9]"",""""),2)=""54"",""+""&amp;REGEXREPLACE(TO_TEXT('Respuestas de formulario 1'!G313),""[^0-9]"",""""),""+54""&amp;REGEXREPLACE(TO_TEXT('Respuest"&amp;"as de formulario 1'!G313),""[^0-9]"","""")))"),"+543517051244")</f>
        <v>+543517051244</v>
      </c>
      <c r="H313" s="7">
        <f>'Respuestas de formulario 1'!S313</f>
        <v>2023</v>
      </c>
      <c r="I313" s="7" t="str">
        <f>IFERROR(__xludf.DUMMYFUNCTION("IF('Respuestas de formulario 1'!I313="""","""",TO_TEXT('Respuestas de formulario 1'!I313))"),"Particular")</f>
        <v>Particular</v>
      </c>
      <c r="J313" s="7" t="str">
        <f>IFERROR(__xludf.DUMMYFUNCTION("IF('Respuestas de formulario 1'!J313&lt;&gt;"""",UPPER(TRIM(TO_TEXT('Respuestas de formulario 1'!J313))),IF('Respuestas de formulario 1'!O313&lt;&gt;"""",UPPER(TRIM(TO_TEXT('Respuestas de formulario 1'!O313))),""""))"),"")</f>
        <v/>
      </c>
      <c r="K313" s="7" t="str">
        <f>IFERROR(__xludf.DUMMYFUNCTION("IF('Respuestas de formulario 1'!K313="""","""",TO_TEXT('Respuestas de formulario 1'!K313))"),"")</f>
        <v/>
      </c>
      <c r="L313" s="7" t="str">
        <f>IFERROR(__xludf.DUMMYFUNCTION("IF('Respuestas de formulario 1'!L313="""","""",TO_TEXT('Respuestas de formulario 1'!L313))"),"")</f>
        <v/>
      </c>
      <c r="M313" s="7" t="str">
        <f>IFERROR(__xludf.DUMMYFUNCTION("IF('Respuestas de formulario 1'!M313="""","""",TO_TEXT('Respuestas de formulario 1'!M313))"),"")</f>
        <v/>
      </c>
      <c r="N313" s="7">
        <f t="shared" si="1"/>
        <v>2023</v>
      </c>
      <c r="O313" s="7" t="str">
        <f t="shared" si="2"/>
        <v>septiembre</v>
      </c>
      <c r="P313" s="7" t="s">
        <v>4826</v>
      </c>
    </row>
    <row r="314">
      <c r="A314" s="19">
        <f>'Respuestas de formulario 1'!A314</f>
        <v>45190.80681</v>
      </c>
      <c r="B314" s="7" t="str">
        <f>'Respuestas de formulario 1'!B314</f>
        <v>Carignano</v>
      </c>
      <c r="C314" s="7" t="str">
        <f>'Respuestas de formulario 1'!C314</f>
        <v>Gustavo</v>
      </c>
      <c r="D314" s="7" t="str">
        <f>'Respuestas de formulario 1'!D314</f>
        <v>gustavocarignano@yahoo.com.ar</v>
      </c>
      <c r="E314" s="20">
        <f>'Respuestas de formulario 1'!E314</f>
        <v>25304</v>
      </c>
      <c r="F314" s="7">
        <f>'Respuestas de formulario 1'!F314</f>
        <v>20706561</v>
      </c>
      <c r="G314" s="7" t="str">
        <f>IFERROR(__xludf.DUMMYFUNCTION("IF('Respuestas de formulario 1'!G314="""","""",IF(LEFT(REGEXREPLACE(TO_TEXT('Respuestas de formulario 1'!G314),""[^0-9]"",""""),2)=""54"",""+""&amp;REGEXREPLACE(TO_TEXT('Respuestas de formulario 1'!G314),""[^0-9]"",""""),""+54""&amp;REGEXREPLACE(TO_TEXT('Respuest"&amp;"as de formulario 1'!G314),""[^0-9]"","""")))"),"+543513435345")</f>
        <v>+543513435345</v>
      </c>
      <c r="H314" s="7">
        <f>'Respuestas de formulario 1'!S314</f>
        <v>2023</v>
      </c>
      <c r="I314" s="7" t="str">
        <f>IFERROR(__xludf.DUMMYFUNCTION("IF('Respuestas de formulario 1'!I314="""","""",TO_TEXT('Respuestas de formulario 1'!I314))"),"Particular")</f>
        <v>Particular</v>
      </c>
      <c r="J314" s="7" t="str">
        <f>IFERROR(__xludf.DUMMYFUNCTION("IF('Respuestas de formulario 1'!J314&lt;&gt;"""",UPPER(TRIM(TO_TEXT('Respuestas de formulario 1'!J314))),IF('Respuestas de formulario 1'!O314&lt;&gt;"""",UPPER(TRIM(TO_TEXT('Respuestas de formulario 1'!O314))),""""))"),"")</f>
        <v/>
      </c>
      <c r="K314" s="7" t="str">
        <f>IFERROR(__xludf.DUMMYFUNCTION("IF('Respuestas de formulario 1'!K314="""","""",TO_TEXT('Respuestas de formulario 1'!K314))"),"")</f>
        <v/>
      </c>
      <c r="L314" s="7" t="str">
        <f>IFERROR(__xludf.DUMMYFUNCTION("IF('Respuestas de formulario 1'!L314="""","""",TO_TEXT('Respuestas de formulario 1'!L314))"),"")</f>
        <v/>
      </c>
      <c r="M314" s="7" t="str">
        <f>IFERROR(__xludf.DUMMYFUNCTION("IF('Respuestas de formulario 1'!M314="""","""",TO_TEXT('Respuestas de formulario 1'!M314))"),"")</f>
        <v/>
      </c>
      <c r="N314" s="7">
        <f t="shared" si="1"/>
        <v>2023</v>
      </c>
      <c r="O314" s="7" t="str">
        <f t="shared" si="2"/>
        <v>septiembre</v>
      </c>
      <c r="P314" s="7" t="s">
        <v>4828</v>
      </c>
    </row>
    <row r="315">
      <c r="A315" s="19">
        <f>'Respuestas de formulario 1'!A315</f>
        <v>45191.42189</v>
      </c>
      <c r="B315" s="7" t="str">
        <f>'Respuestas de formulario 1'!B315</f>
        <v>Hernandez</v>
      </c>
      <c r="C315" s="7" t="str">
        <f>'Respuestas de formulario 1'!C315</f>
        <v>Roxana</v>
      </c>
      <c r="D315" s="7" t="str">
        <f>'Respuestas de formulario 1'!D315</f>
        <v>roxanahernandez_1@yahoo.com.ar</v>
      </c>
      <c r="E315" s="20">
        <f>'Respuestas de formulario 1'!E315</f>
        <v>22334</v>
      </c>
      <c r="F315" s="7">
        <f>'Respuestas de formulario 1'!F315</f>
        <v>14409831</v>
      </c>
      <c r="G315" s="7" t="str">
        <f>IFERROR(__xludf.DUMMYFUNCTION("IF('Respuestas de formulario 1'!G315="""","""",IF(LEFT(REGEXREPLACE(TO_TEXT('Respuestas de formulario 1'!G315),""[^0-9]"",""""),2)=""54"",""+""&amp;REGEXREPLACE(TO_TEXT('Respuestas de formulario 1'!G315),""[^0-9]"",""""),""+54""&amp;REGEXREPLACE(TO_TEXT('Respuest"&amp;"as de formulario 1'!G315),""[^0-9]"","""")))"),"+543516876546")</f>
        <v>+543516876546</v>
      </c>
      <c r="H315" s="7">
        <f>'Respuestas de formulario 1'!S315</f>
        <v>2023</v>
      </c>
      <c r="I315" s="7" t="str">
        <f>IFERROR(__xludf.DUMMYFUNCTION("IF('Respuestas de formulario 1'!I315="""","""",TO_TEXT('Respuestas de formulario 1'!I315))"),"Particular")</f>
        <v>Particular</v>
      </c>
      <c r="J315" s="7" t="str">
        <f>IFERROR(__xludf.DUMMYFUNCTION("IF('Respuestas de formulario 1'!J315&lt;&gt;"""",UPPER(TRIM(TO_TEXT('Respuestas de formulario 1'!J315))),IF('Respuestas de formulario 1'!O315&lt;&gt;"""",UPPER(TRIM(TO_TEXT('Respuestas de formulario 1'!O315))),""""))"),"")</f>
        <v/>
      </c>
      <c r="K315" s="7" t="str">
        <f>IFERROR(__xludf.DUMMYFUNCTION("IF('Respuestas de formulario 1'!K315="""","""",TO_TEXT('Respuestas de formulario 1'!K315))"),"")</f>
        <v/>
      </c>
      <c r="L315" s="7" t="str">
        <f>IFERROR(__xludf.DUMMYFUNCTION("IF('Respuestas de formulario 1'!L315="""","""",TO_TEXT('Respuestas de formulario 1'!L315))"),"")</f>
        <v/>
      </c>
      <c r="M315" s="7" t="str">
        <f>IFERROR(__xludf.DUMMYFUNCTION("IF('Respuestas de formulario 1'!M315="""","""",TO_TEXT('Respuestas de formulario 1'!M315))"),"")</f>
        <v/>
      </c>
      <c r="N315" s="7">
        <f t="shared" si="1"/>
        <v>2023</v>
      </c>
      <c r="O315" s="7" t="str">
        <f t="shared" si="2"/>
        <v>septiembre</v>
      </c>
      <c r="P315" s="7" t="s">
        <v>4812</v>
      </c>
    </row>
    <row r="316">
      <c r="A316" s="19">
        <f>'Respuestas de formulario 1'!A316</f>
        <v>45191.44571</v>
      </c>
      <c r="B316" s="7" t="str">
        <f>'Respuestas de formulario 1'!B316</f>
        <v>BACCOLA</v>
      </c>
      <c r="C316" s="7" t="str">
        <f>'Respuestas de formulario 1'!C316</f>
        <v>ESTELA</v>
      </c>
      <c r="D316" s="7" t="str">
        <f>'Respuestas de formulario 1'!D316</f>
        <v>baceste@gmail.com</v>
      </c>
      <c r="E316" s="20">
        <f>'Respuestas de formulario 1'!E316</f>
        <v>20929</v>
      </c>
      <c r="F316" s="7">
        <f>'Respuestas de formulario 1'!F316</f>
        <v>13154357</v>
      </c>
      <c r="G316" s="7" t="str">
        <f>IFERROR(__xludf.DUMMYFUNCTION("IF('Respuestas de formulario 1'!G316="""","""",IF(LEFT(REGEXREPLACE(TO_TEXT('Respuestas de formulario 1'!G316),""[^0-9]"",""""),2)=""54"",""+""&amp;REGEXREPLACE(TO_TEXT('Respuestas de formulario 1'!G316),""[^0-9]"",""""),""+54""&amp;REGEXREPLACE(TO_TEXT('Respuest"&amp;"as de formulario 1'!G316),""[^0-9]"","""")))"),"+543512439697")</f>
        <v>+543512439697</v>
      </c>
      <c r="H316" s="7">
        <f>'Respuestas de formulario 1'!S316</f>
        <v>2023</v>
      </c>
      <c r="I316" s="7" t="str">
        <f>IFERROR(__xludf.DUMMYFUNCTION("IF('Respuestas de formulario 1'!I316="""","""",TO_TEXT('Respuestas de formulario 1'!I316))"),"Obra social")</f>
        <v>Obra social</v>
      </c>
      <c r="J316" s="7" t="str">
        <f>IFERROR(__xludf.DUMMYFUNCTION("IF('Respuestas de formulario 1'!J316&lt;&gt;"""",UPPER(TRIM(TO_TEXT('Respuestas de formulario 1'!J316))),IF('Respuestas de formulario 1'!O316&lt;&gt;"""",UPPER(TRIM(TO_TEXT('Respuestas de formulario 1'!O316))),""""))"),"APROSS")</f>
        <v>APROSS</v>
      </c>
      <c r="K316" s="7" t="str">
        <f>IFERROR(__xludf.DUMMYFUNCTION("IF('Respuestas de formulario 1'!K316="""","""",TO_TEXT('Respuestas de formulario 1'!K316))"),"")</f>
        <v/>
      </c>
      <c r="L316" s="7" t="str">
        <f>IFERROR(__xludf.DUMMYFUNCTION("IF('Respuestas de formulario 1'!L316="""","""",TO_TEXT('Respuestas de formulario 1'!L316))"),"")</f>
        <v/>
      </c>
      <c r="M316" s="7" t="str">
        <f>IFERROR(__xludf.DUMMYFUNCTION("IF('Respuestas de formulario 1'!M316="""","""",TO_TEXT('Respuestas de formulario 1'!M316))"),"")</f>
        <v/>
      </c>
      <c r="N316" s="7">
        <f t="shared" si="1"/>
        <v>2023</v>
      </c>
      <c r="O316" s="7" t="str">
        <f t="shared" si="2"/>
        <v>septiembre</v>
      </c>
      <c r="P316" s="7" t="s">
        <v>4830</v>
      </c>
    </row>
    <row r="317">
      <c r="A317" s="19">
        <f>'Respuestas de formulario 1'!A317</f>
        <v>45191.70121</v>
      </c>
      <c r="B317" s="7" t="str">
        <f>'Respuestas de formulario 1'!B317</f>
        <v>Gonzalez</v>
      </c>
      <c r="C317" s="7" t="str">
        <f>'Respuestas de formulario 1'!C317</f>
        <v>Nestor</v>
      </c>
      <c r="D317" s="7" t="str">
        <f>'Respuestas de formulario 1'!D317</f>
        <v>nesgonza61@hotmai.com</v>
      </c>
      <c r="E317" s="20">
        <f>'Respuestas de formulario 1'!E317</f>
        <v>19575</v>
      </c>
      <c r="F317" s="7">
        <f>'Respuestas de formulario 1'!F317</f>
        <v>10800461</v>
      </c>
      <c r="G317" s="7" t="str">
        <f>IFERROR(__xludf.DUMMYFUNCTION("IF('Respuestas de formulario 1'!G317="""","""",IF(LEFT(REGEXREPLACE(TO_TEXT('Respuestas de formulario 1'!G317),""[^0-9]"",""""),2)=""54"",""+""&amp;REGEXREPLACE(TO_TEXT('Respuestas de formulario 1'!G317),""[^0-9]"",""""),""+54""&amp;REGEXREPLACE(TO_TEXT('Respuest"&amp;"as de formulario 1'!G317),""[^0-9]"","""")))"),"+543516856322")</f>
        <v>+543516856322</v>
      </c>
      <c r="H317" s="7">
        <f>'Respuestas de formulario 1'!S317</f>
        <v>2023</v>
      </c>
      <c r="I317" s="7" t="str">
        <f>IFERROR(__xludf.DUMMYFUNCTION("IF('Respuestas de formulario 1'!I317="""","""",TO_TEXT('Respuestas de formulario 1'!I317))"),"Obra social")</f>
        <v>Obra social</v>
      </c>
      <c r="J317" s="7" t="str">
        <f>IFERROR(__xludf.DUMMYFUNCTION("IF('Respuestas de formulario 1'!J317&lt;&gt;"""",UPPER(TRIM(TO_TEXT('Respuestas de formulario 1'!J317))),IF('Respuestas de formulario 1'!O317&lt;&gt;"""",UPPER(TRIM(TO_TEXT('Respuestas de formulario 1'!O317))),""""))"),"APM")</f>
        <v>APM</v>
      </c>
      <c r="K317" s="7" t="str">
        <f>IFERROR(__xludf.DUMMYFUNCTION("IF('Respuestas de formulario 1'!K317="""","""",TO_TEXT('Respuestas de formulario 1'!K317))"),"")</f>
        <v/>
      </c>
      <c r="L317" s="7" t="str">
        <f>IFERROR(__xludf.DUMMYFUNCTION("IF('Respuestas de formulario 1'!L317="""","""",TO_TEXT('Respuestas de formulario 1'!L317))"),"")</f>
        <v/>
      </c>
      <c r="M317" s="7" t="str">
        <f>IFERROR(__xludf.DUMMYFUNCTION("IF('Respuestas de formulario 1'!M317="""","""",TO_TEXT('Respuestas de formulario 1'!M317))"),"")</f>
        <v/>
      </c>
      <c r="N317" s="7">
        <f t="shared" si="1"/>
        <v>2023</v>
      </c>
      <c r="O317" s="7" t="str">
        <f t="shared" si="2"/>
        <v>septiembre</v>
      </c>
      <c r="P317" s="7" t="s">
        <v>4832</v>
      </c>
    </row>
    <row r="318">
      <c r="A318" s="19">
        <f>'Respuestas de formulario 1'!A318</f>
        <v>45191.71339</v>
      </c>
      <c r="B318" s="7" t="str">
        <f>'Respuestas de formulario 1'!B318</f>
        <v>Varea</v>
      </c>
      <c r="C318" s="7" t="str">
        <f>'Respuestas de formulario 1'!C318</f>
        <v>Matias</v>
      </c>
      <c r="D318" s="7" t="str">
        <f>'Respuestas de formulario 1'!D318</f>
        <v>mavarea96@gmail.com</v>
      </c>
      <c r="E318" s="20">
        <f>'Respuestas de formulario 1'!E318</f>
        <v>35104</v>
      </c>
      <c r="F318" s="7">
        <f>'Respuestas de formulario 1'!F318</f>
        <v>39422592</v>
      </c>
      <c r="G318" s="7" t="str">
        <f>IFERROR(__xludf.DUMMYFUNCTION("IF('Respuestas de formulario 1'!G318="""","""",IF(LEFT(REGEXREPLACE(TO_TEXT('Respuestas de formulario 1'!G318),""[^0-9]"",""""),2)=""54"",""+""&amp;REGEXREPLACE(TO_TEXT('Respuestas de formulario 1'!G318),""[^0-9]"",""""),""+54""&amp;REGEXREPLACE(TO_TEXT('Respuest"&amp;"as de formulario 1'!G318),""[^0-9]"","""")))"),"+543585147531")</f>
        <v>+543585147531</v>
      </c>
      <c r="H318" s="7">
        <f>'Respuestas de formulario 1'!S318</f>
        <v>2023</v>
      </c>
      <c r="I318" s="7" t="str">
        <f>IFERROR(__xludf.DUMMYFUNCTION("IF('Respuestas de formulario 1'!I318="""","""",TO_TEXT('Respuestas de formulario 1'!I318))"),"Obra social")</f>
        <v>Obra social</v>
      </c>
      <c r="J318" s="7" t="str">
        <f>IFERROR(__xludf.DUMMYFUNCTION("IF('Respuestas de formulario 1'!J318&lt;&gt;"""",UPPER(TRIM(TO_TEXT('Respuestas de formulario 1'!J318))),IF('Respuestas de formulario 1'!O318&lt;&gt;"""",UPPER(TRIM(TO_TEXT('Respuestas de formulario 1'!O318))),""""))"),"FEDERADA SALUD")</f>
        <v>FEDERADA SALUD</v>
      </c>
      <c r="K318" s="7" t="str">
        <f>IFERROR(__xludf.DUMMYFUNCTION("IF('Respuestas de formulario 1'!K318="""","""",TO_TEXT('Respuestas de formulario 1'!K318))"),"")</f>
        <v/>
      </c>
      <c r="L318" s="7" t="str">
        <f>IFERROR(__xludf.DUMMYFUNCTION("IF('Respuestas de formulario 1'!L318="""","""",TO_TEXT('Respuestas de formulario 1'!L318))"),"")</f>
        <v/>
      </c>
      <c r="M318" s="7" t="str">
        <f>IFERROR(__xludf.DUMMYFUNCTION("IF('Respuestas de formulario 1'!M318="""","""",TO_TEXT('Respuestas de formulario 1'!M318))"),"")</f>
        <v/>
      </c>
      <c r="N318" s="7">
        <f t="shared" si="1"/>
        <v>2023</v>
      </c>
      <c r="O318" s="7" t="str">
        <f t="shared" si="2"/>
        <v>septiembre</v>
      </c>
      <c r="P318" s="7" t="s">
        <v>4834</v>
      </c>
    </row>
    <row r="319">
      <c r="A319" s="19">
        <f>'Respuestas de formulario 1'!A319</f>
        <v>45194.7603</v>
      </c>
      <c r="B319" s="7" t="str">
        <f>'Respuestas de formulario 1'!B319</f>
        <v>MALDONADO</v>
      </c>
      <c r="C319" s="7" t="str">
        <f>'Respuestas de formulario 1'!C319</f>
        <v>Mauricio</v>
      </c>
      <c r="D319" s="7" t="str">
        <f>'Respuestas de formulario 1'!D319</f>
        <v>maurii.maldonado87@gmail.com</v>
      </c>
      <c r="E319" s="20">
        <f>'Respuestas de formulario 1'!E319</f>
        <v>31988</v>
      </c>
      <c r="F319" s="7">
        <f>'Respuestas de formulario 1'!F319</f>
        <v>33200608</v>
      </c>
      <c r="G319" s="7" t="str">
        <f>IFERROR(__xludf.DUMMYFUNCTION("IF('Respuestas de formulario 1'!G319="""","""",IF(LEFT(REGEXREPLACE(TO_TEXT('Respuestas de formulario 1'!G319),""[^0-9]"",""""),2)=""54"",""+""&amp;REGEXREPLACE(TO_TEXT('Respuestas de formulario 1'!G319),""[^0-9]"",""""),""+54""&amp;REGEXREPLACE(TO_TEXT('Respuest"&amp;"as de formulario 1'!G319),""[^0-9]"","""")))"),"+543513226500")</f>
        <v>+543513226500</v>
      </c>
      <c r="H319" s="7">
        <f>'Respuestas de formulario 1'!S319</f>
        <v>2023</v>
      </c>
      <c r="I319" s="7" t="str">
        <f>IFERROR(__xludf.DUMMYFUNCTION("IF('Respuestas de formulario 1'!I319="""","""",TO_TEXT('Respuestas de formulario 1'!I319))"),"Particular")</f>
        <v>Particular</v>
      </c>
      <c r="J319" s="7" t="str">
        <f>IFERROR(__xludf.DUMMYFUNCTION("IF('Respuestas de formulario 1'!J319&lt;&gt;"""",UPPER(TRIM(TO_TEXT('Respuestas de formulario 1'!J319))),IF('Respuestas de formulario 1'!O319&lt;&gt;"""",UPPER(TRIM(TO_TEXT('Respuestas de formulario 1'!O319))),""""))"),"")</f>
        <v/>
      </c>
      <c r="K319" s="7" t="str">
        <f>IFERROR(__xludf.DUMMYFUNCTION("IF('Respuestas de formulario 1'!K319="""","""",TO_TEXT('Respuestas de formulario 1'!K319))"),"")</f>
        <v/>
      </c>
      <c r="L319" s="7" t="str">
        <f>IFERROR(__xludf.DUMMYFUNCTION("IF('Respuestas de formulario 1'!L319="""","""",TO_TEXT('Respuestas de formulario 1'!L319))"),"")</f>
        <v/>
      </c>
      <c r="M319" s="7" t="str">
        <f>IFERROR(__xludf.DUMMYFUNCTION("IF('Respuestas de formulario 1'!M319="""","""",TO_TEXT('Respuestas de formulario 1'!M319))"),"")</f>
        <v/>
      </c>
      <c r="N319" s="7">
        <f t="shared" si="1"/>
        <v>2023</v>
      </c>
      <c r="O319" s="7" t="str">
        <f t="shared" si="2"/>
        <v>septiembre</v>
      </c>
      <c r="P319" s="7" t="s">
        <v>4836</v>
      </c>
    </row>
    <row r="320">
      <c r="A320" s="19">
        <f>'Respuestas de formulario 1'!A320</f>
        <v>45196.72271</v>
      </c>
      <c r="B320" s="7" t="str">
        <f>'Respuestas de formulario 1'!B320</f>
        <v>Aznarez</v>
      </c>
      <c r="C320" s="7" t="str">
        <f>'Respuestas de formulario 1'!C320</f>
        <v>Juana</v>
      </c>
      <c r="D320" s="7" t="str">
        <f>'Respuestas de formulario 1'!D320</f>
        <v>juaniaznarez@gmail.com</v>
      </c>
      <c r="E320" s="20">
        <f>'Respuestas de formulario 1'!E320</f>
        <v>36589</v>
      </c>
      <c r="F320" s="7">
        <f>'Respuestas de formulario 1'!F320</f>
        <v>42385953</v>
      </c>
      <c r="G320" s="7" t="str">
        <f>IFERROR(__xludf.DUMMYFUNCTION("IF('Respuestas de formulario 1'!G320="""","""",IF(LEFT(REGEXREPLACE(TO_TEXT('Respuestas de formulario 1'!G320),""[^0-9]"",""""),2)=""54"",""+""&amp;REGEXREPLACE(TO_TEXT('Respuestas de formulario 1'!G320),""[^0-9]"",""""),""+54""&amp;REGEXREPLACE(TO_TEXT('Respuest"&amp;"as de formulario 1'!G320),""[^0-9]"","""")))"),"+543517567169")</f>
        <v>+543517567169</v>
      </c>
      <c r="H320" s="7">
        <f>'Respuestas de formulario 1'!S320</f>
        <v>2023</v>
      </c>
      <c r="I320" s="7" t="str">
        <f>IFERROR(__xludf.DUMMYFUNCTION("IF('Respuestas de formulario 1'!I320="""","""",TO_TEXT('Respuestas de formulario 1'!I320))"),"Particular")</f>
        <v>Particular</v>
      </c>
      <c r="J320" s="7" t="str">
        <f>IFERROR(__xludf.DUMMYFUNCTION("IF('Respuestas de formulario 1'!J320&lt;&gt;"""",UPPER(TRIM(TO_TEXT('Respuestas de formulario 1'!J320))),IF('Respuestas de formulario 1'!O320&lt;&gt;"""",UPPER(TRIM(TO_TEXT('Respuestas de formulario 1'!O320))),""""))"),"")</f>
        <v/>
      </c>
      <c r="K320" s="7" t="str">
        <f>IFERROR(__xludf.DUMMYFUNCTION("IF('Respuestas de formulario 1'!K320="""","""",TO_TEXT('Respuestas de formulario 1'!K320))"),"")</f>
        <v/>
      </c>
      <c r="L320" s="7" t="str">
        <f>IFERROR(__xludf.DUMMYFUNCTION("IF('Respuestas de formulario 1'!L320="""","""",TO_TEXT('Respuestas de formulario 1'!L320))"),"")</f>
        <v/>
      </c>
      <c r="M320" s="7" t="str">
        <f>IFERROR(__xludf.DUMMYFUNCTION("IF('Respuestas de formulario 1'!M320="""","""",TO_TEXT('Respuestas de formulario 1'!M320))"),"")</f>
        <v/>
      </c>
      <c r="N320" s="7">
        <f t="shared" si="1"/>
        <v>2023</v>
      </c>
      <c r="O320" s="7" t="str">
        <f t="shared" si="2"/>
        <v>septiembre</v>
      </c>
      <c r="P320" s="7" t="s">
        <v>4838</v>
      </c>
    </row>
    <row r="321">
      <c r="A321" s="19">
        <f>'Respuestas de formulario 1'!A321</f>
        <v>45196.80985</v>
      </c>
      <c r="B321" s="7" t="str">
        <f>'Respuestas de formulario 1'!B321</f>
        <v>Palmieri</v>
      </c>
      <c r="C321" s="7" t="str">
        <f>'Respuestas de formulario 1'!C321</f>
        <v>Carla</v>
      </c>
      <c r="D321" s="7" t="str">
        <f>'Respuestas de formulario 1'!D321</f>
        <v>carlypalmieri@gmail.com</v>
      </c>
      <c r="E321" s="20">
        <f>'Respuestas de formulario 1'!E321</f>
        <v>36822</v>
      </c>
      <c r="F321" s="7">
        <f>'Respuestas de formulario 1'!F321</f>
        <v>42593995</v>
      </c>
      <c r="G321" s="7" t="str">
        <f>IFERROR(__xludf.DUMMYFUNCTION("IF('Respuestas de formulario 1'!G321="""","""",IF(LEFT(REGEXREPLACE(TO_TEXT('Respuestas de formulario 1'!G321),""[^0-9]"",""""),2)=""54"",""+""&amp;REGEXREPLACE(TO_TEXT('Respuestas de formulario 1'!G321),""[^0-9]"",""""),""+54""&amp;REGEXREPLACE(TO_TEXT('Respuest"&amp;"as de formulario 1'!G321),""[^0-9]"","""")))"),"+543549454078")</f>
        <v>+543549454078</v>
      </c>
      <c r="H321" s="7">
        <f>'Respuestas de formulario 1'!S321</f>
        <v>2023</v>
      </c>
      <c r="I321" s="7" t="str">
        <f>IFERROR(__xludf.DUMMYFUNCTION("IF('Respuestas de formulario 1'!I321="""","""",TO_TEXT('Respuestas de formulario 1'!I321))"),"Obra social")</f>
        <v>Obra social</v>
      </c>
      <c r="J321" s="7" t="str">
        <f>IFERROR(__xludf.DUMMYFUNCTION("IF('Respuestas de formulario 1'!J321&lt;&gt;"""",UPPER(TRIM(TO_TEXT('Respuestas de formulario 1'!J321))),IF('Respuestas de formulario 1'!O321&lt;&gt;"""",UPPER(TRIM(TO_TEXT('Respuestas de formulario 1'!O321))),""""))"),"SWISS MEDICAL")</f>
        <v>SWISS MEDICAL</v>
      </c>
      <c r="K321" s="7" t="str">
        <f>IFERROR(__xludf.DUMMYFUNCTION("IF('Respuestas de formulario 1'!K321="""","""",TO_TEXT('Respuestas de formulario 1'!K321))"),"")</f>
        <v/>
      </c>
      <c r="L321" s="7" t="str">
        <f>IFERROR(__xludf.DUMMYFUNCTION("IF('Respuestas de formulario 1'!L321="""","""",TO_TEXT('Respuestas de formulario 1'!L321))"),"")</f>
        <v/>
      </c>
      <c r="M321" s="7" t="str">
        <f>IFERROR(__xludf.DUMMYFUNCTION("IF('Respuestas de formulario 1'!M321="""","""",TO_TEXT('Respuestas de formulario 1'!M321))"),"")</f>
        <v/>
      </c>
      <c r="N321" s="7">
        <f t="shared" si="1"/>
        <v>2023</v>
      </c>
      <c r="O321" s="7" t="str">
        <f t="shared" si="2"/>
        <v>septiembre</v>
      </c>
      <c r="P321" s="7" t="s">
        <v>4840</v>
      </c>
    </row>
    <row r="322">
      <c r="A322" s="19">
        <f>'Respuestas de formulario 1'!A322</f>
        <v>45197.63289</v>
      </c>
      <c r="B322" s="7" t="str">
        <f>'Respuestas de formulario 1'!B322</f>
        <v>allende</v>
      </c>
      <c r="C322" s="7" t="str">
        <f>'Respuestas de formulario 1'!C322</f>
        <v>julian</v>
      </c>
      <c r="D322" s="7" t="str">
        <f>'Respuestas de formulario 1'!D322</f>
        <v>allende.p.julian@gmail.com</v>
      </c>
      <c r="E322" s="20">
        <f>'Respuestas de formulario 1'!E322</f>
        <v>34429</v>
      </c>
      <c r="F322" s="7">
        <f>'Respuestas de formulario 1'!F322</f>
        <v>38179109</v>
      </c>
      <c r="G322" s="7" t="str">
        <f>IFERROR(__xludf.DUMMYFUNCTION("IF('Respuestas de formulario 1'!G322="""","""",IF(LEFT(REGEXREPLACE(TO_TEXT('Respuestas de formulario 1'!G322),""[^0-9]"",""""),2)=""54"",""+""&amp;REGEXREPLACE(TO_TEXT('Respuestas de formulario 1'!G322),""[^0-9]"",""""),""+54""&amp;REGEXREPLACE(TO_TEXT('Respuest"&amp;"as de formulario 1'!G322),""[^0-9]"","""")))"),"+543517464820")</f>
        <v>+543517464820</v>
      </c>
      <c r="H322" s="7">
        <f>'Respuestas de formulario 1'!S322</f>
        <v>2023</v>
      </c>
      <c r="I322" s="7" t="str">
        <f>IFERROR(__xludf.DUMMYFUNCTION("IF('Respuestas de formulario 1'!I322="""","""",TO_TEXT('Respuestas de formulario 1'!I322))"),"Particular")</f>
        <v>Particular</v>
      </c>
      <c r="J322" s="7" t="str">
        <f>IFERROR(__xludf.DUMMYFUNCTION("IF('Respuestas de formulario 1'!J322&lt;&gt;"""",UPPER(TRIM(TO_TEXT('Respuestas de formulario 1'!J322))),IF('Respuestas de formulario 1'!O322&lt;&gt;"""",UPPER(TRIM(TO_TEXT('Respuestas de formulario 1'!O322))),""""))"),"")</f>
        <v/>
      </c>
      <c r="K322" s="7" t="str">
        <f>IFERROR(__xludf.DUMMYFUNCTION("IF('Respuestas de formulario 1'!K322="""","""",TO_TEXT('Respuestas de formulario 1'!K322))"),"")</f>
        <v/>
      </c>
      <c r="L322" s="7" t="str">
        <f>IFERROR(__xludf.DUMMYFUNCTION("IF('Respuestas de formulario 1'!L322="""","""",TO_TEXT('Respuestas de formulario 1'!L322))"),"")</f>
        <v/>
      </c>
      <c r="M322" s="7" t="str">
        <f>IFERROR(__xludf.DUMMYFUNCTION("IF('Respuestas de formulario 1'!M322="""","""",TO_TEXT('Respuestas de formulario 1'!M322))"),"")</f>
        <v/>
      </c>
      <c r="N322" s="7">
        <f t="shared" si="1"/>
        <v>2023</v>
      </c>
      <c r="O322" s="7" t="str">
        <f t="shared" si="2"/>
        <v>septiembre</v>
      </c>
      <c r="P322" s="7" t="s">
        <v>4842</v>
      </c>
    </row>
    <row r="323">
      <c r="A323" s="19">
        <f>'Respuestas de formulario 1'!A323</f>
        <v>45197.71526</v>
      </c>
      <c r="B323" s="7" t="str">
        <f>'Respuestas de formulario 1'!B323</f>
        <v>Racca</v>
      </c>
      <c r="C323" s="7" t="str">
        <f>'Respuestas de formulario 1'!C323</f>
        <v>Maria Veronica</v>
      </c>
      <c r="D323" s="7" t="str">
        <f>'Respuestas de formulario 1'!D323</f>
        <v>Mveroracca@gmail.com</v>
      </c>
      <c r="E323" s="20">
        <f>'Respuestas de formulario 1'!E323</f>
        <v>28296</v>
      </c>
      <c r="F323" s="7">
        <f>'Respuestas de formulario 1'!F323</f>
        <v>25353881</v>
      </c>
      <c r="G323" s="7" t="str">
        <f>IFERROR(__xludf.DUMMYFUNCTION("IF('Respuestas de formulario 1'!G323="""","""",IF(LEFT(REGEXREPLACE(TO_TEXT('Respuestas de formulario 1'!G323),""[^0-9]"",""""),2)=""54"",""+""&amp;REGEXREPLACE(TO_TEXT('Respuestas de formulario 1'!G323),""[^0-9]"",""""),""+54""&amp;REGEXREPLACE(TO_TEXT('Respuest"&amp;"as de formulario 1'!G323),""[^0-9]"","""")))"),"+543516001979")</f>
        <v>+543516001979</v>
      </c>
      <c r="H323" s="7">
        <f>'Respuestas de formulario 1'!S323</f>
        <v>2023</v>
      </c>
      <c r="I323" s="7" t="str">
        <f>IFERROR(__xludf.DUMMYFUNCTION("IF('Respuestas de formulario 1'!I323="""","""",TO_TEXT('Respuestas de formulario 1'!I323))"),"Obra social")</f>
        <v>Obra social</v>
      </c>
      <c r="J323" s="7" t="str">
        <f>IFERROR(__xludf.DUMMYFUNCTION("IF('Respuestas de formulario 1'!J323&lt;&gt;"""",UPPER(TRIM(TO_TEXT('Respuestas de formulario 1'!J323))),IF('Respuestas de formulario 1'!O323&lt;&gt;"""",UPPER(TRIM(TO_TEXT('Respuestas de formulario 1'!O323))),""""))"),"DASUTEN")</f>
        <v>DASUTEN</v>
      </c>
      <c r="K323" s="7" t="str">
        <f>IFERROR(__xludf.DUMMYFUNCTION("IF('Respuestas de formulario 1'!K323="""","""",TO_TEXT('Respuestas de formulario 1'!K323))"),"")</f>
        <v/>
      </c>
      <c r="L323" s="7" t="str">
        <f>IFERROR(__xludf.DUMMYFUNCTION("IF('Respuestas de formulario 1'!L323="""","""",TO_TEXT('Respuestas de formulario 1'!L323))"),"")</f>
        <v/>
      </c>
      <c r="M323" s="7" t="str">
        <f>IFERROR(__xludf.DUMMYFUNCTION("IF('Respuestas de formulario 1'!M323="""","""",TO_TEXT('Respuestas de formulario 1'!M323))"),"")</f>
        <v/>
      </c>
      <c r="N323" s="7">
        <f t="shared" si="1"/>
        <v>2023</v>
      </c>
      <c r="O323" s="7" t="str">
        <f t="shared" si="2"/>
        <v>septiembre</v>
      </c>
      <c r="P323" s="7" t="s">
        <v>4844</v>
      </c>
    </row>
    <row r="324">
      <c r="A324" s="19">
        <f>'Respuestas de formulario 1'!A324</f>
        <v>45197.88541</v>
      </c>
      <c r="B324" s="7" t="str">
        <f>'Respuestas de formulario 1'!B324</f>
        <v>Navas</v>
      </c>
      <c r="C324" s="7" t="str">
        <f>'Respuestas de formulario 1'!C324</f>
        <v>Sofia</v>
      </c>
      <c r="D324" s="7" t="str">
        <f>'Respuestas de formulario 1'!D324</f>
        <v>sofianavasd@gmail.com</v>
      </c>
      <c r="E324" s="20">
        <f>'Respuestas de formulario 1'!E324</f>
        <v>29266</v>
      </c>
      <c r="F324" s="7">
        <f>'Respuestas de formulario 1'!F324</f>
        <v>27956844</v>
      </c>
      <c r="G324" s="7" t="str">
        <f>IFERROR(__xludf.DUMMYFUNCTION("IF('Respuestas de formulario 1'!G324="""","""",IF(LEFT(REGEXREPLACE(TO_TEXT('Respuestas de formulario 1'!G324),""[^0-9]"",""""),2)=""54"",""+""&amp;REGEXREPLACE(TO_TEXT('Respuestas de formulario 1'!G324),""[^0-9]"",""""),""+54""&amp;REGEXREPLACE(TO_TEXT('Respuest"&amp;"as de formulario 1'!G324),""[^0-9]"","""")))"),"+543516957798")</f>
        <v>+543516957798</v>
      </c>
      <c r="H324" s="7">
        <f>'Respuestas de formulario 1'!S324</f>
        <v>2023</v>
      </c>
      <c r="I324" s="7" t="str">
        <f>IFERROR(__xludf.DUMMYFUNCTION("IF('Respuestas de formulario 1'!I324="""","""",TO_TEXT('Respuestas de formulario 1'!I324))"),"Obra social")</f>
        <v>Obra social</v>
      </c>
      <c r="J324" s="7" t="str">
        <f>IFERROR(__xludf.DUMMYFUNCTION("IF('Respuestas de formulario 1'!J324&lt;&gt;"""",UPPER(TRIM(TO_TEXT('Respuestas de formulario 1'!J324))),IF('Respuestas de formulario 1'!O324&lt;&gt;"""",UPPER(TRIM(TO_TEXT('Respuestas de formulario 1'!O324))),""""))"),"FEDERADA SALUD")</f>
        <v>FEDERADA SALUD</v>
      </c>
      <c r="K324" s="7" t="str">
        <f>IFERROR(__xludf.DUMMYFUNCTION("IF('Respuestas de formulario 1'!K324="""","""",TO_TEXT('Respuestas de formulario 1'!K324))"),"")</f>
        <v/>
      </c>
      <c r="L324" s="7" t="str">
        <f>IFERROR(__xludf.DUMMYFUNCTION("IF('Respuestas de formulario 1'!L324="""","""",TO_TEXT('Respuestas de formulario 1'!L324))"),"")</f>
        <v/>
      </c>
      <c r="M324" s="7" t="str">
        <f>IFERROR(__xludf.DUMMYFUNCTION("IF('Respuestas de formulario 1'!M324="""","""",TO_TEXT('Respuestas de formulario 1'!M324))"),"")</f>
        <v/>
      </c>
      <c r="N324" s="7">
        <f t="shared" si="1"/>
        <v>2023</v>
      </c>
      <c r="O324" s="7" t="str">
        <f t="shared" si="2"/>
        <v>septiembre</v>
      </c>
      <c r="P324" s="7" t="s">
        <v>4846</v>
      </c>
    </row>
    <row r="325">
      <c r="A325" s="19">
        <f>'Respuestas de formulario 1'!A325</f>
        <v>45198.50174</v>
      </c>
      <c r="B325" s="7" t="str">
        <f>'Respuestas de formulario 1'!B325</f>
        <v>Bustos</v>
      </c>
      <c r="C325" s="7" t="str">
        <f>'Respuestas de formulario 1'!C325</f>
        <v>María</v>
      </c>
      <c r="D325" s="7" t="str">
        <f>'Respuestas de formulario 1'!D325</f>
        <v>maria_cbustos@hotmail.com</v>
      </c>
      <c r="E325" s="20">
        <f>'Respuestas de formulario 1'!E325</f>
        <v>22866</v>
      </c>
      <c r="F325" s="7">
        <f>'Respuestas de formulario 1'!F325</f>
        <v>16159328</v>
      </c>
      <c r="G325" s="7" t="str">
        <f>IFERROR(__xludf.DUMMYFUNCTION("IF('Respuestas de formulario 1'!G325="""","""",IF(LEFT(REGEXREPLACE(TO_TEXT('Respuestas de formulario 1'!G325),""[^0-9]"",""""),2)=""54"",""+""&amp;REGEXREPLACE(TO_TEXT('Respuestas de formulario 1'!G325),""[^0-9]"",""""),""+54""&amp;REGEXREPLACE(TO_TEXT('Respuest"&amp;"as de formulario 1'!G325),""[^0-9]"","""")))"),"+543515914849")</f>
        <v>+543515914849</v>
      </c>
      <c r="H325" s="7">
        <f>'Respuestas de formulario 1'!S325</f>
        <v>2023</v>
      </c>
      <c r="I325" s="7" t="str">
        <f>IFERROR(__xludf.DUMMYFUNCTION("IF('Respuestas de formulario 1'!I325="""","""",TO_TEXT('Respuestas de formulario 1'!I325))"),"Obra social")</f>
        <v>Obra social</v>
      </c>
      <c r="J325" s="7" t="str">
        <f>IFERROR(__xludf.DUMMYFUNCTION("IF('Respuestas de formulario 1'!J325&lt;&gt;"""",UPPER(TRIM(TO_TEXT('Respuestas de formulario 1'!J325))),IF('Respuestas de formulario 1'!O325&lt;&gt;"""",UPPER(TRIM(TO_TEXT('Respuestas de formulario 1'!O325))),""""))"),"CAJA DE ABOGADOS")</f>
        <v>CAJA DE ABOGADOS</v>
      </c>
      <c r="K325" s="7" t="str">
        <f>IFERROR(__xludf.DUMMYFUNCTION("IF('Respuestas de formulario 1'!K325="""","""",TO_TEXT('Respuestas de formulario 1'!K325))"),"")</f>
        <v/>
      </c>
      <c r="L325" s="7" t="str">
        <f>IFERROR(__xludf.DUMMYFUNCTION("IF('Respuestas de formulario 1'!L325="""","""",TO_TEXT('Respuestas de formulario 1'!L325))"),"")</f>
        <v/>
      </c>
      <c r="M325" s="7" t="str">
        <f>IFERROR(__xludf.DUMMYFUNCTION("IF('Respuestas de formulario 1'!M325="""","""",TO_TEXT('Respuestas de formulario 1'!M325))"),"")</f>
        <v/>
      </c>
      <c r="N325" s="7">
        <f t="shared" si="1"/>
        <v>2023</v>
      </c>
      <c r="O325" s="7" t="str">
        <f t="shared" si="2"/>
        <v>septiembre</v>
      </c>
      <c r="P325" s="7" t="s">
        <v>4848</v>
      </c>
    </row>
    <row r="326">
      <c r="A326" s="19">
        <f>'Respuestas de formulario 1'!A326</f>
        <v>45203.56251</v>
      </c>
      <c r="B326" s="7" t="str">
        <f>'Respuestas de formulario 1'!B326</f>
        <v>Robotti </v>
      </c>
      <c r="C326" s="7" t="str">
        <f>'Respuestas de formulario 1'!C326</f>
        <v>Sebastian </v>
      </c>
      <c r="D326" s="7" t="str">
        <f>'Respuestas de formulario 1'!D326</f>
        <v>Sebastianrobotti@gmail.com</v>
      </c>
      <c r="E326" s="20">
        <f>'Respuestas de formulario 1'!E326</f>
        <v>30160</v>
      </c>
      <c r="F326" s="7">
        <f>'Respuestas de formulario 1'!F326</f>
        <v>29609058</v>
      </c>
      <c r="G326" s="7" t="str">
        <f>IFERROR(__xludf.DUMMYFUNCTION("IF('Respuestas de formulario 1'!G326="""","""",IF(LEFT(REGEXREPLACE(TO_TEXT('Respuestas de formulario 1'!G326),""[^0-9]"",""""),2)=""54"",""+""&amp;REGEXREPLACE(TO_TEXT('Respuestas de formulario 1'!G326),""[^0-9]"",""""),""+54""&amp;REGEXREPLACE(TO_TEXT('Respuest"&amp;"as de formulario 1'!G326),""[^0-9]"","""")))"),"+543516784956")</f>
        <v>+543516784956</v>
      </c>
      <c r="H326" s="7">
        <f>'Respuestas de formulario 1'!S326</f>
        <v>2023</v>
      </c>
      <c r="I326" s="7" t="str">
        <f>IFERROR(__xludf.DUMMYFUNCTION("IF('Respuestas de formulario 1'!I326="""","""",TO_TEXT('Respuestas de formulario 1'!I326))"),"Particular")</f>
        <v>Particular</v>
      </c>
      <c r="J326" s="7" t="str">
        <f>IFERROR(__xludf.DUMMYFUNCTION("IF('Respuestas de formulario 1'!J326&lt;&gt;"""",UPPER(TRIM(TO_TEXT('Respuestas de formulario 1'!J326))),IF('Respuestas de formulario 1'!O326&lt;&gt;"""",UPPER(TRIM(TO_TEXT('Respuestas de formulario 1'!O326))),""""))"),"")</f>
        <v/>
      </c>
      <c r="K326" s="7" t="str">
        <f>IFERROR(__xludf.DUMMYFUNCTION("IF('Respuestas de formulario 1'!K326="""","""",TO_TEXT('Respuestas de formulario 1'!K326))"),"")</f>
        <v/>
      </c>
      <c r="L326" s="7" t="str">
        <f>IFERROR(__xludf.DUMMYFUNCTION("IF('Respuestas de formulario 1'!L326="""","""",TO_TEXT('Respuestas de formulario 1'!L326))"),"")</f>
        <v/>
      </c>
      <c r="M326" s="7" t="str">
        <f>IFERROR(__xludf.DUMMYFUNCTION("IF('Respuestas de formulario 1'!M326="""","""",TO_TEXT('Respuestas de formulario 1'!M326))"),"")</f>
        <v/>
      </c>
      <c r="N326" s="7">
        <f t="shared" si="1"/>
        <v>2023</v>
      </c>
      <c r="O326" s="7" t="str">
        <f t="shared" si="2"/>
        <v>octubre</v>
      </c>
      <c r="P326" s="7" t="s">
        <v>4850</v>
      </c>
    </row>
    <row r="327">
      <c r="A327" s="19">
        <f>'Respuestas de formulario 1'!A327</f>
        <v>45206.90851</v>
      </c>
      <c r="B327" s="7" t="str">
        <f>'Respuestas de formulario 1'!B327</f>
        <v>Ferrer</v>
      </c>
      <c r="C327" s="7" t="str">
        <f>'Respuestas de formulario 1'!C327</f>
        <v>Gina </v>
      </c>
      <c r="D327" s="7" t="str">
        <f>'Respuestas de formulario 1'!D327</f>
        <v>fgina6404@gmail.com </v>
      </c>
      <c r="E327" s="20">
        <f>'Respuestas de formulario 1'!E327</f>
        <v>38611</v>
      </c>
      <c r="F327" s="7">
        <f>'Respuestas de formulario 1'!F327</f>
        <v>46374284</v>
      </c>
      <c r="G327" s="7" t="str">
        <f>IFERROR(__xludf.DUMMYFUNCTION("IF('Respuestas de formulario 1'!G327="""","""",IF(LEFT(REGEXREPLACE(TO_TEXT('Respuestas de formulario 1'!G327),""[^0-9]"",""""),2)=""54"",""+""&amp;REGEXREPLACE(TO_TEXT('Respuestas de formulario 1'!G327),""[^0-9]"",""""),""+54""&amp;REGEXREPLACE(TO_TEXT('Respuest"&amp;"as de formulario 1'!G327),""[^0-9]"","""")))"),"+543513529301")</f>
        <v>+543513529301</v>
      </c>
      <c r="H327" s="7">
        <f>'Respuestas de formulario 1'!S327</f>
        <v>2023</v>
      </c>
      <c r="I327" s="7" t="str">
        <f>IFERROR(__xludf.DUMMYFUNCTION("IF('Respuestas de formulario 1'!I327="""","""",TO_TEXT('Respuestas de formulario 1'!I327))"),"Obra social")</f>
        <v>Obra social</v>
      </c>
      <c r="J327" s="7" t="str">
        <f>IFERROR(__xludf.DUMMYFUNCTION("IF('Respuestas de formulario 1'!J327&lt;&gt;"""",UPPER(TRIM(TO_TEXT('Respuestas de formulario 1'!J327))),IF('Respuestas de formulario 1'!O327&lt;&gt;"""",UPPER(TRIM(TO_TEXT('Respuestas de formulario 1'!O327))),""""))"),"PREVENCIÓN")</f>
        <v>PREVENCIÓN</v>
      </c>
      <c r="K327" s="7" t="str">
        <f>IFERROR(__xludf.DUMMYFUNCTION("IF('Respuestas de formulario 1'!K327="""","""",TO_TEXT('Respuestas de formulario 1'!K327))"),"")</f>
        <v/>
      </c>
      <c r="L327" s="7" t="str">
        <f>IFERROR(__xludf.DUMMYFUNCTION("IF('Respuestas de formulario 1'!L327="""","""",TO_TEXT('Respuestas de formulario 1'!L327))"),"")</f>
        <v/>
      </c>
      <c r="M327" s="7" t="str">
        <f>IFERROR(__xludf.DUMMYFUNCTION("IF('Respuestas de formulario 1'!M327="""","""",TO_TEXT('Respuestas de formulario 1'!M327))"),"")</f>
        <v/>
      </c>
      <c r="N327" s="7">
        <f t="shared" si="1"/>
        <v>2023</v>
      </c>
      <c r="O327" s="7" t="str">
        <f t="shared" si="2"/>
        <v>octubre</v>
      </c>
      <c r="P327" s="7" t="s">
        <v>4852</v>
      </c>
    </row>
    <row r="328">
      <c r="A328" s="19">
        <f>'Respuestas de formulario 1'!A328</f>
        <v>45208.45583</v>
      </c>
      <c r="B328" s="7" t="str">
        <f>'Respuestas de formulario 1'!B328</f>
        <v>Hinga</v>
      </c>
      <c r="C328" s="7" t="str">
        <f>'Respuestas de formulario 1'!C328</f>
        <v>Oscar</v>
      </c>
      <c r="D328" s="7" t="str">
        <f>'Respuestas de formulario 1'!D328</f>
        <v>Beibi1025@gmail.com </v>
      </c>
      <c r="E328" s="20">
        <f>'Respuestas de formulario 1'!E328</f>
        <v>31628</v>
      </c>
      <c r="F328" s="7">
        <f>'Respuestas de formulario 1'!F328</f>
        <v>32406471</v>
      </c>
      <c r="G328" s="7" t="str">
        <f>IFERROR(__xludf.DUMMYFUNCTION("IF('Respuestas de formulario 1'!G328="""","""",IF(LEFT(REGEXREPLACE(TO_TEXT('Respuestas de formulario 1'!G328),""[^0-9]"",""""),2)=""54"",""+""&amp;REGEXREPLACE(TO_TEXT('Respuestas de formulario 1'!G328),""[^0-9]"",""""),""+54""&amp;REGEXREPLACE(TO_TEXT('Respuest"&amp;"as de formulario 1'!G328),""[^0-9]"","""")))"),"+543515102216")</f>
        <v>+543515102216</v>
      </c>
      <c r="H328" s="7">
        <f>'Respuestas de formulario 1'!S328</f>
        <v>2023</v>
      </c>
      <c r="I328" s="7" t="str">
        <f>IFERROR(__xludf.DUMMYFUNCTION("IF('Respuestas de formulario 1'!I328="""","""",TO_TEXT('Respuestas de formulario 1'!I328))"),"Particular")</f>
        <v>Particular</v>
      </c>
      <c r="J328" s="7" t="str">
        <f>IFERROR(__xludf.DUMMYFUNCTION("IF('Respuestas de formulario 1'!J328&lt;&gt;"""",UPPER(TRIM(TO_TEXT('Respuestas de formulario 1'!J328))),IF('Respuestas de formulario 1'!O328&lt;&gt;"""",UPPER(TRIM(TO_TEXT('Respuestas de formulario 1'!O328))),""""))"),"")</f>
        <v/>
      </c>
      <c r="K328" s="7" t="str">
        <f>IFERROR(__xludf.DUMMYFUNCTION("IF('Respuestas de formulario 1'!K328="""","""",TO_TEXT('Respuestas de formulario 1'!K328))"),"")</f>
        <v/>
      </c>
      <c r="L328" s="7" t="str">
        <f>IFERROR(__xludf.DUMMYFUNCTION("IF('Respuestas de formulario 1'!L328="""","""",TO_TEXT('Respuestas de formulario 1'!L328))"),"")</f>
        <v/>
      </c>
      <c r="M328" s="7" t="str">
        <f>IFERROR(__xludf.DUMMYFUNCTION("IF('Respuestas de formulario 1'!M328="""","""",TO_TEXT('Respuestas de formulario 1'!M328))"),"")</f>
        <v/>
      </c>
      <c r="N328" s="7">
        <f t="shared" si="1"/>
        <v>2023</v>
      </c>
      <c r="O328" s="7" t="str">
        <f t="shared" si="2"/>
        <v>octubre</v>
      </c>
      <c r="P328" s="7" t="s">
        <v>4854</v>
      </c>
    </row>
    <row r="329">
      <c r="A329" s="19">
        <f>'Respuestas de formulario 1'!A329</f>
        <v>45208.48976</v>
      </c>
      <c r="B329" s="7" t="str">
        <f>'Respuestas de formulario 1'!B329</f>
        <v>ARCE</v>
      </c>
      <c r="C329" s="7" t="str">
        <f>'Respuestas de formulario 1'!C329</f>
        <v>Juan</v>
      </c>
      <c r="D329" s="7" t="str">
        <f>'Respuestas de formulario 1'!D329</f>
        <v/>
      </c>
      <c r="E329" s="20">
        <f>'Respuestas de formulario 1'!E329</f>
        <v>32937</v>
      </c>
      <c r="F329" s="7">
        <f>'Respuestas de formulario 1'!F329</f>
        <v>35055926</v>
      </c>
      <c r="G329" s="7" t="str">
        <f>IFERROR(__xludf.DUMMYFUNCTION("IF('Respuestas de formulario 1'!G329="""","""",IF(LEFT(REGEXREPLACE(TO_TEXT('Respuestas de formulario 1'!G329),""[^0-9]"",""""),2)=""54"",""+""&amp;REGEXREPLACE(TO_TEXT('Respuestas de formulario 1'!G329),""[^0-9]"",""""),""+54""&amp;REGEXREPLACE(TO_TEXT('Respuest"&amp;"as de formulario 1'!G329),""[^0-9]"","""")))"),"+543518792958")</f>
        <v>+543518792958</v>
      </c>
      <c r="H329" s="7">
        <f>'Respuestas de formulario 1'!S329</f>
        <v>2023</v>
      </c>
      <c r="I329" s="7" t="str">
        <f>IFERROR(__xludf.DUMMYFUNCTION("IF('Respuestas de formulario 1'!I329="""","""",TO_TEXT('Respuestas de formulario 1'!I329))"),"Obra social")</f>
        <v>Obra social</v>
      </c>
      <c r="J329" s="7" t="str">
        <f>IFERROR(__xludf.DUMMYFUNCTION("IF('Respuestas de formulario 1'!J329&lt;&gt;"""",UPPER(TRIM(TO_TEXT('Respuestas de formulario 1'!J329))),IF('Respuestas de formulario 1'!O329&lt;&gt;"""",UPPER(TRIM(TO_TEXT('Respuestas de formulario 1'!O329))),""""))"),"SANCOR")</f>
        <v>SANCOR</v>
      </c>
      <c r="K329" s="7" t="str">
        <f>IFERROR(__xludf.DUMMYFUNCTION("IF('Respuestas de formulario 1'!K329="""","""",TO_TEXT('Respuestas de formulario 1'!K329))"),"")</f>
        <v/>
      </c>
      <c r="L329" s="7" t="str">
        <f>IFERROR(__xludf.DUMMYFUNCTION("IF('Respuestas de formulario 1'!L329="""","""",TO_TEXT('Respuestas de formulario 1'!L329))"),"")</f>
        <v/>
      </c>
      <c r="M329" s="7" t="str">
        <f>IFERROR(__xludf.DUMMYFUNCTION("IF('Respuestas de formulario 1'!M329="""","""",TO_TEXT('Respuestas de formulario 1'!M329))"),"")</f>
        <v/>
      </c>
      <c r="N329" s="7">
        <f t="shared" si="1"/>
        <v>2023</v>
      </c>
      <c r="O329" s="7" t="str">
        <f t="shared" si="2"/>
        <v>octubre</v>
      </c>
      <c r="P329" s="7" t="s">
        <v>4856</v>
      </c>
    </row>
    <row r="330">
      <c r="A330" s="19">
        <f>'Respuestas de formulario 1'!A330</f>
        <v>45208.45583</v>
      </c>
      <c r="B330" s="7" t="str">
        <f>'Respuestas de formulario 1'!B330</f>
        <v>FERNANDEZ</v>
      </c>
      <c r="C330" s="7" t="str">
        <f>'Respuestas de formulario 1'!C330</f>
        <v>GABRIEL</v>
      </c>
      <c r="D330" s="7" t="str">
        <f>'Respuestas de formulario 1'!D330</f>
        <v>atito_04@hotmai.com</v>
      </c>
      <c r="E330" s="22">
        <f>'Respuestas de formulario 1'!E330</f>
        <v>22802</v>
      </c>
      <c r="F330" s="7">
        <f>'Respuestas de formulario 1'!F330</f>
        <v>16015575</v>
      </c>
      <c r="G330" s="7" t="str">
        <f>IFERROR(__xludf.DUMMYFUNCTION("IF('Respuestas de formulario 1'!G330="""","""",IF(LEFT(REGEXREPLACE(TO_TEXT('Respuestas de formulario 1'!G330),""[^0-9]"",""""),2)=""54"",""+""&amp;REGEXREPLACE(TO_TEXT('Respuestas de formulario 1'!G330),""[^0-9]"",""""),""+54""&amp;REGEXREPLACE(TO_TEXT('Respuest"&amp;"as de formulario 1'!G330),""[^0-9]"","""")))"),"+543513176900")</f>
        <v>+543513176900</v>
      </c>
      <c r="H330" s="7">
        <f>'Respuestas de formulario 1'!S330</f>
        <v>2023</v>
      </c>
      <c r="I330" s="7" t="str">
        <f>IFERROR(__xludf.DUMMYFUNCTION("IF('Respuestas de formulario 1'!I330="""","""",TO_TEXT('Respuestas de formulario 1'!I330))"),"Obra social")</f>
        <v>Obra social</v>
      </c>
      <c r="J330" s="7" t="str">
        <f>IFERROR(__xludf.DUMMYFUNCTION("IF('Respuestas de formulario 1'!J330&lt;&gt;"""",UPPER(TRIM(TO_TEXT('Respuestas de formulario 1'!J330))),IF('Respuestas de formulario 1'!O330&lt;&gt;"""",UPPER(TRIM(TO_TEXT('Respuestas de formulario 1'!O330))),""""))"),"APROSS")</f>
        <v>APROSS</v>
      </c>
      <c r="K330" s="7" t="str">
        <f>IFERROR(__xludf.DUMMYFUNCTION("IF('Respuestas de formulario 1'!K330="""","""",TO_TEXT('Respuestas de formulario 1'!K330))"),"")</f>
        <v/>
      </c>
      <c r="L330" s="7" t="str">
        <f>IFERROR(__xludf.DUMMYFUNCTION("IF('Respuestas de formulario 1'!L330="""","""",TO_TEXT('Respuestas de formulario 1'!L330))"),"")</f>
        <v/>
      </c>
      <c r="M330" s="7" t="str">
        <f>IFERROR(__xludf.DUMMYFUNCTION("IF('Respuestas de formulario 1'!M330="""","""",TO_TEXT('Respuestas de formulario 1'!M330))"),"")</f>
        <v/>
      </c>
      <c r="N330" s="7">
        <f t="shared" si="1"/>
        <v>2023</v>
      </c>
      <c r="O330" s="7" t="str">
        <f t="shared" si="2"/>
        <v>octubre</v>
      </c>
      <c r="P330" s="7" t="s">
        <v>4858</v>
      </c>
    </row>
    <row r="331">
      <c r="A331" s="19">
        <f>'Respuestas de formulario 1'!A331</f>
        <v>45209.46931</v>
      </c>
      <c r="B331" s="7" t="str">
        <f>'Respuestas de formulario 1'!B331</f>
        <v>DOMINGUEZ </v>
      </c>
      <c r="C331" s="7" t="str">
        <f>'Respuestas de formulario 1'!C331</f>
        <v>Marta</v>
      </c>
      <c r="D331" s="7" t="str">
        <f>'Respuestas de formulario 1'!D331</f>
        <v>Mdominguez@foodsmentor.com</v>
      </c>
      <c r="E331" s="20">
        <f>'Respuestas de formulario 1'!E331</f>
        <v>19916</v>
      </c>
      <c r="F331" s="7">
        <f>'Respuestas de formulario 1'!F331</f>
        <v>11296622</v>
      </c>
      <c r="G331" s="7" t="str">
        <f>IFERROR(__xludf.DUMMYFUNCTION("IF('Respuestas de formulario 1'!G331="""","""",IF(LEFT(REGEXREPLACE(TO_TEXT('Respuestas de formulario 1'!G331),""[^0-9]"",""""),2)=""54"",""+""&amp;REGEXREPLACE(TO_TEXT('Respuestas de formulario 1'!G331),""[^0-9]"",""""),""+54""&amp;REGEXREPLACE(TO_TEXT('Respuest"&amp;"as de formulario 1'!G331),""[^0-9]"","""")))"),"+543515995584")</f>
        <v>+543515995584</v>
      </c>
      <c r="H331" s="7">
        <f>'Respuestas de formulario 1'!S331</f>
        <v>2023</v>
      </c>
      <c r="I331" s="7" t="str">
        <f>IFERROR(__xludf.DUMMYFUNCTION("IF('Respuestas de formulario 1'!I331="""","""",TO_TEXT('Respuestas de formulario 1'!I331))"),"Obra social")</f>
        <v>Obra social</v>
      </c>
      <c r="J331" s="7" t="str">
        <f>IFERROR(__xludf.DUMMYFUNCTION("IF('Respuestas de formulario 1'!J331&lt;&gt;"""",UPPER(TRIM(TO_TEXT('Respuestas de formulario 1'!J331))),IF('Respuestas de formulario 1'!O331&lt;&gt;"""",UPPER(TRIM(TO_TEXT('Respuestas de formulario 1'!O331))),""""))"),"OMINT")</f>
        <v>OMINT</v>
      </c>
      <c r="K331" s="7" t="str">
        <f>IFERROR(__xludf.DUMMYFUNCTION("IF('Respuestas de formulario 1'!K331="""","""",TO_TEXT('Respuestas de formulario 1'!K331))"),"")</f>
        <v/>
      </c>
      <c r="L331" s="7" t="str">
        <f>IFERROR(__xludf.DUMMYFUNCTION("IF('Respuestas de formulario 1'!L331="""","""",TO_TEXT('Respuestas de formulario 1'!L331))"),"")</f>
        <v/>
      </c>
      <c r="M331" s="7" t="str">
        <f>IFERROR(__xludf.DUMMYFUNCTION("IF('Respuestas de formulario 1'!M331="""","""",TO_TEXT('Respuestas de formulario 1'!M331))"),"")</f>
        <v/>
      </c>
      <c r="N331" s="7">
        <f t="shared" si="1"/>
        <v>2023</v>
      </c>
      <c r="O331" s="7" t="str">
        <f t="shared" si="2"/>
        <v>octubre</v>
      </c>
      <c r="P331" s="7" t="s">
        <v>4860</v>
      </c>
    </row>
    <row r="332">
      <c r="A332" s="19">
        <f>'Respuestas de formulario 1'!A332</f>
        <v>45210.36283</v>
      </c>
      <c r="B332" s="7" t="str">
        <f>'Respuestas de formulario 1'!B332</f>
        <v>Figueroa</v>
      </c>
      <c r="C332" s="7" t="str">
        <f>'Respuestas de formulario 1'!C332</f>
        <v>Alejandro</v>
      </c>
      <c r="D332" s="7" t="str">
        <f>'Respuestas de formulario 1'!D332</f>
        <v>Afigueroa211@gmail.com</v>
      </c>
      <c r="E332" s="20">
        <f>'Respuestas de formulario 1'!E332</f>
        <v>31353</v>
      </c>
      <c r="F332" s="7">
        <f>'Respuestas de formulario 1'!F332</f>
        <v>95042906</v>
      </c>
      <c r="G332" s="7" t="str">
        <f>IFERROR(__xludf.DUMMYFUNCTION("IF('Respuestas de formulario 1'!G332="""","""",IF(LEFT(REGEXREPLACE(TO_TEXT('Respuestas de formulario 1'!G332),""[^0-9]"",""""),2)=""54"",""+""&amp;REGEXREPLACE(TO_TEXT('Respuestas de formulario 1'!G332),""[^0-9]"",""""),""+54""&amp;REGEXREPLACE(TO_TEXT('Respuest"&amp;"as de formulario 1'!G332),""[^0-9]"","""")))"),"+543517435050")</f>
        <v>+543517435050</v>
      </c>
      <c r="H332" s="7">
        <f>'Respuestas de formulario 1'!S332</f>
        <v>2023</v>
      </c>
      <c r="I332" s="7" t="str">
        <f>IFERROR(__xludf.DUMMYFUNCTION("IF('Respuestas de formulario 1'!I332="""","""",TO_TEXT('Respuestas de formulario 1'!I332))"),"Particular")</f>
        <v>Particular</v>
      </c>
      <c r="J332" s="7" t="str">
        <f>IFERROR(__xludf.DUMMYFUNCTION("IF('Respuestas de formulario 1'!J332&lt;&gt;"""",UPPER(TRIM(TO_TEXT('Respuestas de formulario 1'!J332))),IF('Respuestas de formulario 1'!O332&lt;&gt;"""",UPPER(TRIM(TO_TEXT('Respuestas de formulario 1'!O332))),""""))"),"")</f>
        <v/>
      </c>
      <c r="K332" s="7" t="str">
        <f>IFERROR(__xludf.DUMMYFUNCTION("IF('Respuestas de formulario 1'!K332="""","""",TO_TEXT('Respuestas de formulario 1'!K332))"),"")</f>
        <v/>
      </c>
      <c r="L332" s="7" t="str">
        <f>IFERROR(__xludf.DUMMYFUNCTION("IF('Respuestas de formulario 1'!L332="""","""",TO_TEXT('Respuestas de formulario 1'!L332))"),"")</f>
        <v/>
      </c>
      <c r="M332" s="7" t="str">
        <f>IFERROR(__xludf.DUMMYFUNCTION("IF('Respuestas de formulario 1'!M332="""","""",TO_TEXT('Respuestas de formulario 1'!M332))"),"")</f>
        <v/>
      </c>
      <c r="N332" s="7">
        <f t="shared" si="1"/>
        <v>2023</v>
      </c>
      <c r="O332" s="7" t="str">
        <f t="shared" si="2"/>
        <v>octubre</v>
      </c>
      <c r="P332" s="7" t="s">
        <v>4862</v>
      </c>
    </row>
    <row r="333">
      <c r="A333" s="19">
        <f>'Respuestas de formulario 1'!A333</f>
        <v>45210.37588</v>
      </c>
      <c r="B333" s="7" t="str">
        <f>'Respuestas de formulario 1'!B333</f>
        <v>Quinteros</v>
      </c>
      <c r="C333" s="7" t="str">
        <f>'Respuestas de formulario 1'!C333</f>
        <v>Francisco</v>
      </c>
      <c r="D333" s="7" t="str">
        <f>'Respuestas de formulario 1'!D333</f>
        <v>quinterosismael@hotmail.com</v>
      </c>
      <c r="E333" s="20">
        <f>'Respuestas de formulario 1'!E333</f>
        <v>40619</v>
      </c>
      <c r="F333" s="7">
        <f>'Respuestas de formulario 1'!F333</f>
        <v>50854480</v>
      </c>
      <c r="G333" s="7" t="str">
        <f>IFERROR(__xludf.DUMMYFUNCTION("IF('Respuestas de formulario 1'!G333="""","""",IF(LEFT(REGEXREPLACE(TO_TEXT('Respuestas de formulario 1'!G333),""[^0-9]"",""""),2)=""54"",""+""&amp;REGEXREPLACE(TO_TEXT('Respuestas de formulario 1'!G333),""[^0-9]"",""""),""+54""&amp;REGEXREPLACE(TO_TEXT('Respuest"&amp;"as de formulario 1'!G333),""[^0-9]"","""")))"),"+543512357187")</f>
        <v>+543512357187</v>
      </c>
      <c r="H333" s="7">
        <f>'Respuestas de formulario 1'!S333</f>
        <v>2023</v>
      </c>
      <c r="I333" s="7" t="str">
        <f>IFERROR(__xludf.DUMMYFUNCTION("IF('Respuestas de formulario 1'!I333="""","""",TO_TEXT('Respuestas de formulario 1'!I333))"),"Obra social")</f>
        <v>Obra social</v>
      </c>
      <c r="J333" s="7" t="str">
        <f>IFERROR(__xludf.DUMMYFUNCTION("IF('Respuestas de formulario 1'!J333&lt;&gt;"""",UPPER(TRIM(TO_TEXT('Respuestas de formulario 1'!J333))),IF('Respuestas de formulario 1'!O333&lt;&gt;"""",UPPER(TRIM(TO_TEXT('Respuestas de formulario 1'!O333))),""""))"),"MEDIFE")</f>
        <v>MEDIFE</v>
      </c>
      <c r="K333" s="7" t="str">
        <f>IFERROR(__xludf.DUMMYFUNCTION("IF('Respuestas de formulario 1'!K333="""","""",TO_TEXT('Respuestas de formulario 1'!K333))"),"")</f>
        <v/>
      </c>
      <c r="L333" s="7" t="str">
        <f>IFERROR(__xludf.DUMMYFUNCTION("IF('Respuestas de formulario 1'!L333="""","""",TO_TEXT('Respuestas de formulario 1'!L333))"),"")</f>
        <v/>
      </c>
      <c r="M333" s="7" t="str">
        <f>IFERROR(__xludf.DUMMYFUNCTION("IF('Respuestas de formulario 1'!M333="""","""",TO_TEXT('Respuestas de formulario 1'!M333))"),"")</f>
        <v/>
      </c>
      <c r="N333" s="7">
        <f t="shared" si="1"/>
        <v>2023</v>
      </c>
      <c r="O333" s="7" t="str">
        <f t="shared" si="2"/>
        <v>octubre</v>
      </c>
      <c r="P333" s="7" t="s">
        <v>4864</v>
      </c>
    </row>
    <row r="334">
      <c r="A334" s="19">
        <f>'Respuestas de formulario 1'!A334</f>
        <v>45210.45944</v>
      </c>
      <c r="B334" s="7" t="str">
        <f>'Respuestas de formulario 1'!B334</f>
        <v>Russo</v>
      </c>
      <c r="C334" s="7" t="str">
        <f>'Respuestas de formulario 1'!C334</f>
        <v>Martin</v>
      </c>
      <c r="D334" s="7" t="str">
        <f>'Respuestas de formulario 1'!D334</f>
        <v>maartinrusso@gmail.com</v>
      </c>
      <c r="E334" s="20">
        <f>'Respuestas de formulario 1'!E334</f>
        <v>38191</v>
      </c>
      <c r="F334" s="7">
        <f>'Respuestas de formulario 1'!F334</f>
        <v>45692550</v>
      </c>
      <c r="G334" s="7" t="str">
        <f>IFERROR(__xludf.DUMMYFUNCTION("IF('Respuestas de formulario 1'!G334="""","""",IF(LEFT(REGEXREPLACE(TO_TEXT('Respuestas de formulario 1'!G334),""[^0-9]"",""""),2)=""54"",""+""&amp;REGEXREPLACE(TO_TEXT('Respuestas de formulario 1'!G334),""[^0-9]"",""""),""+54""&amp;REGEXREPLACE(TO_TEXT('Respuest"&amp;"as de formulario 1'!G334),""[^0-9]"","""")))"),"+543516371178")</f>
        <v>+543516371178</v>
      </c>
      <c r="H334" s="7">
        <f>'Respuestas de formulario 1'!S334</f>
        <v>2023</v>
      </c>
      <c r="I334" s="7" t="str">
        <f>IFERROR(__xludf.DUMMYFUNCTION("IF('Respuestas de formulario 1'!I334="""","""",TO_TEXT('Respuestas de formulario 1'!I334))"),"Obra social")</f>
        <v>Obra social</v>
      </c>
      <c r="J334" s="7" t="str">
        <f>IFERROR(__xludf.DUMMYFUNCTION("IF('Respuestas de formulario 1'!J334&lt;&gt;"""",UPPER(TRIM(TO_TEXT('Respuestas de formulario 1'!J334))),IF('Respuestas de formulario 1'!O334&lt;&gt;"""",UPPER(TRIM(TO_TEXT('Respuestas de formulario 1'!O334))),""""))"),"SANCOR")</f>
        <v>SANCOR</v>
      </c>
      <c r="K334" s="7" t="str">
        <f>IFERROR(__xludf.DUMMYFUNCTION("IF('Respuestas de formulario 1'!K334="""","""",TO_TEXT('Respuestas de formulario 1'!K334))"),"")</f>
        <v/>
      </c>
      <c r="L334" s="7" t="str">
        <f>IFERROR(__xludf.DUMMYFUNCTION("IF('Respuestas de formulario 1'!L334="""","""",TO_TEXT('Respuestas de formulario 1'!L334))"),"")</f>
        <v/>
      </c>
      <c r="M334" s="7" t="str">
        <f>IFERROR(__xludf.DUMMYFUNCTION("IF('Respuestas de formulario 1'!M334="""","""",TO_TEXT('Respuestas de formulario 1'!M334))"),"")</f>
        <v/>
      </c>
      <c r="N334" s="7">
        <f t="shared" si="1"/>
        <v>2023</v>
      </c>
      <c r="O334" s="7" t="str">
        <f t="shared" si="2"/>
        <v>octubre</v>
      </c>
      <c r="P334" s="7" t="s">
        <v>4866</v>
      </c>
    </row>
    <row r="335">
      <c r="A335" s="19">
        <f>'Respuestas de formulario 1'!A335</f>
        <v>45210.49265</v>
      </c>
      <c r="B335" s="7" t="str">
        <f>'Respuestas de formulario 1'!B335</f>
        <v>DALLEGRE</v>
      </c>
      <c r="C335" s="7" t="str">
        <f>'Respuestas de formulario 1'!C335</f>
        <v>Enrrique</v>
      </c>
      <c r="D335" s="7" t="str">
        <f>'Respuestas de formulario 1'!D335</f>
        <v>dallegre.enrrique@gmail.com</v>
      </c>
      <c r="E335" s="20">
        <f>'Respuestas de formulario 1'!E335</f>
        <v>21560</v>
      </c>
      <c r="F335" s="7">
        <f>'Respuestas de formulario 1'!F335</f>
        <v>12810692</v>
      </c>
      <c r="G335" s="7" t="str">
        <f>IFERROR(__xludf.DUMMYFUNCTION("IF('Respuestas de formulario 1'!G335="""","""",IF(LEFT(REGEXREPLACE(TO_TEXT('Respuestas de formulario 1'!G335),""[^0-9]"",""""),2)=""54"",""+""&amp;REGEXREPLACE(TO_TEXT('Respuestas de formulario 1'!G335),""[^0-9]"",""""),""+54""&amp;REGEXREPLACE(TO_TEXT('Respuest"&amp;"as de formulario 1'!G335),""[^0-9]"","""")))"),"+543516520703")</f>
        <v>+543516520703</v>
      </c>
      <c r="H335" s="7">
        <f>'Respuestas de formulario 1'!S335</f>
        <v>2023</v>
      </c>
      <c r="I335" s="7" t="str">
        <f>IFERROR(__xludf.DUMMYFUNCTION("IF('Respuestas de formulario 1'!I335="""","""",TO_TEXT('Respuestas de formulario 1'!I335))"),"Particular")</f>
        <v>Particular</v>
      </c>
      <c r="J335" s="7" t="str">
        <f>IFERROR(__xludf.DUMMYFUNCTION("IF('Respuestas de formulario 1'!J335&lt;&gt;"""",UPPER(TRIM(TO_TEXT('Respuestas de formulario 1'!J335))),IF('Respuestas de formulario 1'!O335&lt;&gt;"""",UPPER(TRIM(TO_TEXT('Respuestas de formulario 1'!O335))),""""))"),"")</f>
        <v/>
      </c>
      <c r="K335" s="7" t="str">
        <f>IFERROR(__xludf.DUMMYFUNCTION("IF('Respuestas de formulario 1'!K335="""","""",TO_TEXT('Respuestas de formulario 1'!K335))"),"")</f>
        <v/>
      </c>
      <c r="L335" s="7" t="str">
        <f>IFERROR(__xludf.DUMMYFUNCTION("IF('Respuestas de formulario 1'!L335="""","""",TO_TEXT('Respuestas de formulario 1'!L335))"),"")</f>
        <v/>
      </c>
      <c r="M335" s="7" t="str">
        <f>IFERROR(__xludf.DUMMYFUNCTION("IF('Respuestas de formulario 1'!M335="""","""",TO_TEXT('Respuestas de formulario 1'!M335))"),"")</f>
        <v/>
      </c>
      <c r="N335" s="7">
        <f t="shared" si="1"/>
        <v>2023</v>
      </c>
      <c r="O335" s="7" t="str">
        <f t="shared" si="2"/>
        <v>octubre</v>
      </c>
      <c r="P335" s="7" t="s">
        <v>4868</v>
      </c>
    </row>
    <row r="336">
      <c r="A336" s="19">
        <f>'Respuestas de formulario 1'!A336</f>
        <v>45216.73339</v>
      </c>
      <c r="B336" s="7" t="str">
        <f>'Respuestas de formulario 1'!B336</f>
        <v>Gonzalez</v>
      </c>
      <c r="C336" s="7" t="str">
        <f>'Respuestas de formulario 1'!C336</f>
        <v>Luciano Emanuel</v>
      </c>
      <c r="D336" s="7" t="str">
        <f>'Respuestas de formulario 1'!D336</f>
        <v>Lucianoegfm5@gmail.com</v>
      </c>
      <c r="E336" s="20">
        <f>'Respuestas de formulario 1'!E336</f>
        <v>35529</v>
      </c>
      <c r="F336" s="7">
        <f>'Respuestas de formulario 1'!F336</f>
        <v>40400317</v>
      </c>
      <c r="G336" s="7" t="str">
        <f>IFERROR(__xludf.DUMMYFUNCTION("IF('Respuestas de formulario 1'!G336="""","""",IF(LEFT(REGEXREPLACE(TO_TEXT('Respuestas de formulario 1'!G336),""[^0-9]"",""""),2)=""54"",""+""&amp;REGEXREPLACE(TO_TEXT('Respuestas de formulario 1'!G336),""[^0-9]"",""""),""+54""&amp;REGEXREPLACE(TO_TEXT('Respuest"&amp;"as de formulario 1'!G336),""[^0-9]"","""")))"),"+543512683711")</f>
        <v>+543512683711</v>
      </c>
      <c r="H336" s="7">
        <f>'Respuestas de formulario 1'!S336</f>
        <v>2023</v>
      </c>
      <c r="I336" s="7" t="str">
        <f>IFERROR(__xludf.DUMMYFUNCTION("IF('Respuestas de formulario 1'!I336="""","""",TO_TEXT('Respuestas de formulario 1'!I336))"),"Particular")</f>
        <v>Particular</v>
      </c>
      <c r="J336" s="7" t="str">
        <f>IFERROR(__xludf.DUMMYFUNCTION("IF('Respuestas de formulario 1'!J336&lt;&gt;"""",UPPER(TRIM(TO_TEXT('Respuestas de formulario 1'!J336))),IF('Respuestas de formulario 1'!O336&lt;&gt;"""",UPPER(TRIM(TO_TEXT('Respuestas de formulario 1'!O336))),""""))"),"")</f>
        <v/>
      </c>
      <c r="K336" s="7" t="str">
        <f>IFERROR(__xludf.DUMMYFUNCTION("IF('Respuestas de formulario 1'!K336="""","""",TO_TEXT('Respuestas de formulario 1'!K336))"),"")</f>
        <v/>
      </c>
      <c r="L336" s="7" t="str">
        <f>IFERROR(__xludf.DUMMYFUNCTION("IF('Respuestas de formulario 1'!L336="""","""",TO_TEXT('Respuestas de formulario 1'!L336))"),"")</f>
        <v/>
      </c>
      <c r="M336" s="7" t="str">
        <f>IFERROR(__xludf.DUMMYFUNCTION("IF('Respuestas de formulario 1'!M336="""","""",TO_TEXT('Respuestas de formulario 1'!M336))"),"")</f>
        <v/>
      </c>
      <c r="N336" s="7">
        <f t="shared" si="1"/>
        <v>2023</v>
      </c>
      <c r="O336" s="7" t="str">
        <f t="shared" si="2"/>
        <v>octubre</v>
      </c>
      <c r="P336" s="7" t="s">
        <v>4870</v>
      </c>
    </row>
    <row r="337">
      <c r="A337" s="19">
        <f>'Respuestas de formulario 1'!A337</f>
        <v>45217.32702</v>
      </c>
      <c r="B337" s="7" t="str">
        <f>'Respuestas de formulario 1'!B337</f>
        <v>Gomez Altamirano </v>
      </c>
      <c r="C337" s="7" t="str">
        <f>'Respuestas de formulario 1'!C337</f>
        <v>Pedro alejandro</v>
      </c>
      <c r="D337" s="7" t="str">
        <f>'Respuestas de formulario 1'!D337</f>
        <v>Pedro.gomez@uccom.com.ar</v>
      </c>
      <c r="E337" s="20">
        <f>'Respuestas de formulario 1'!E337</f>
        <v>36280</v>
      </c>
      <c r="F337" s="7">
        <f>'Respuestas de formulario 1'!F337</f>
        <v>41847449</v>
      </c>
      <c r="G337" s="7" t="str">
        <f>IFERROR(__xludf.DUMMYFUNCTION("IF('Respuestas de formulario 1'!G337="""","""",IF(LEFT(REGEXREPLACE(TO_TEXT('Respuestas de formulario 1'!G337),""[^0-9]"",""""),2)=""54"",""+""&amp;REGEXREPLACE(TO_TEXT('Respuestas de formulario 1'!G337),""[^0-9]"",""""),""+54""&amp;REGEXREPLACE(TO_TEXT('Respuest"&amp;"as de formulario 1'!G337),""[^0-9]"","""")))"),"+543517696439")</f>
        <v>+543517696439</v>
      </c>
      <c r="H337" s="7">
        <f>'Respuestas de formulario 1'!S337</f>
        <v>2023</v>
      </c>
      <c r="I337" s="7" t="str">
        <f>IFERROR(__xludf.DUMMYFUNCTION("IF('Respuestas de formulario 1'!I337="""","""",TO_TEXT('Respuestas de formulario 1'!I337))"),"Obra social")</f>
        <v>Obra social</v>
      </c>
      <c r="J337" s="7" t="str">
        <f>IFERROR(__xludf.DUMMYFUNCTION("IF('Respuestas de formulario 1'!J337&lt;&gt;"""",UPPER(TRIM(TO_TEXT('Respuestas de formulario 1'!J337))),IF('Respuestas de formulario 1'!O337&lt;&gt;"""",UPPER(TRIM(TO_TEXT('Respuestas de formulario 1'!O337))),""""))"),"PREVENCIÓN")</f>
        <v>PREVENCIÓN</v>
      </c>
      <c r="K337" s="7" t="str">
        <f>IFERROR(__xludf.DUMMYFUNCTION("IF('Respuestas de formulario 1'!K337="""","""",TO_TEXT('Respuestas de formulario 1'!K337))"),"")</f>
        <v/>
      </c>
      <c r="L337" s="7" t="str">
        <f>IFERROR(__xludf.DUMMYFUNCTION("IF('Respuestas de formulario 1'!L337="""","""",TO_TEXT('Respuestas de formulario 1'!L337))"),"")</f>
        <v/>
      </c>
      <c r="M337" s="7" t="str">
        <f>IFERROR(__xludf.DUMMYFUNCTION("IF('Respuestas de formulario 1'!M337="""","""",TO_TEXT('Respuestas de formulario 1'!M337))"),"")</f>
        <v/>
      </c>
      <c r="N337" s="7">
        <f t="shared" si="1"/>
        <v>2023</v>
      </c>
      <c r="O337" s="7" t="str">
        <f t="shared" si="2"/>
        <v>octubre</v>
      </c>
      <c r="P337" s="7" t="s">
        <v>4872</v>
      </c>
    </row>
    <row r="338">
      <c r="A338" s="19">
        <f>'Respuestas de formulario 1'!A338</f>
        <v>45217.6292</v>
      </c>
      <c r="B338" s="7" t="str">
        <f>'Respuestas de formulario 1'!B338</f>
        <v>Costa Sanchez</v>
      </c>
      <c r="C338" s="7" t="str">
        <f>'Respuestas de formulario 1'!C338</f>
        <v>Virginia</v>
      </c>
      <c r="D338" s="7" t="str">
        <f>'Respuestas de formulario 1'!D338</f>
        <v>elusolsan@gmail.com</v>
      </c>
      <c r="E338" s="20">
        <f>'Respuestas de formulario 1'!E338</f>
        <v>39860</v>
      </c>
      <c r="F338" s="7">
        <f>'Respuestas de formulario 1'!F338</f>
        <v>47907906</v>
      </c>
      <c r="G338" s="7" t="str">
        <f>IFERROR(__xludf.DUMMYFUNCTION("IF('Respuestas de formulario 1'!G338="""","""",IF(LEFT(REGEXREPLACE(TO_TEXT('Respuestas de formulario 1'!G338),""[^0-9]"",""""),2)=""54"",""+""&amp;REGEXREPLACE(TO_TEXT('Respuestas de formulario 1'!G338),""[^0-9]"",""""),""+54""&amp;REGEXREPLACE(TO_TEXT('Respuest"&amp;"as de formulario 1'!G338),""[^0-9]"","""")))"),"+543516619200")</f>
        <v>+543516619200</v>
      </c>
      <c r="H338" s="7">
        <f>'Respuestas de formulario 1'!S338</f>
        <v>2023</v>
      </c>
      <c r="I338" s="7" t="str">
        <f>IFERROR(__xludf.DUMMYFUNCTION("IF('Respuestas de formulario 1'!I338="""","""",TO_TEXT('Respuestas de formulario 1'!I338))"),"Obra social")</f>
        <v>Obra social</v>
      </c>
      <c r="J338" s="7" t="str">
        <f>IFERROR(__xludf.DUMMYFUNCTION("IF('Respuestas de formulario 1'!J338&lt;&gt;"""",UPPER(TRIM(TO_TEXT('Respuestas de formulario 1'!J338))),IF('Respuestas de formulario 1'!O338&lt;&gt;"""",UPPER(TRIM(TO_TEXT('Respuestas de formulario 1'!O338))),""""))"),"APROSS")</f>
        <v>APROSS</v>
      </c>
      <c r="K338" s="7" t="str">
        <f>IFERROR(__xludf.DUMMYFUNCTION("IF('Respuestas de formulario 1'!K338="""","""",TO_TEXT('Respuestas de formulario 1'!K338))"),"")</f>
        <v/>
      </c>
      <c r="L338" s="7" t="str">
        <f>IFERROR(__xludf.DUMMYFUNCTION("IF('Respuestas de formulario 1'!L338="""","""",TO_TEXT('Respuestas de formulario 1'!L338))"),"")</f>
        <v/>
      </c>
      <c r="M338" s="7" t="str">
        <f>IFERROR(__xludf.DUMMYFUNCTION("IF('Respuestas de formulario 1'!M338="""","""",TO_TEXT('Respuestas de formulario 1'!M338))"),"")</f>
        <v/>
      </c>
      <c r="N338" s="7">
        <f t="shared" si="1"/>
        <v>2023</v>
      </c>
      <c r="O338" s="7" t="str">
        <f t="shared" si="2"/>
        <v>octubre</v>
      </c>
      <c r="P338" s="7" t="s">
        <v>4874</v>
      </c>
    </row>
    <row r="339">
      <c r="A339" s="19">
        <f>'Respuestas de formulario 1'!A339</f>
        <v>45217.70331</v>
      </c>
      <c r="B339" s="7" t="str">
        <f>'Respuestas de formulario 1'!B339</f>
        <v>Spataro </v>
      </c>
      <c r="C339" s="7" t="str">
        <f>'Respuestas de formulario 1'!C339</f>
        <v>Alejandro Pedro </v>
      </c>
      <c r="D339" s="7" t="str">
        <f>'Respuestas de formulario 1'!D339</f>
        <v>apspataro@yahoo.com.ar</v>
      </c>
      <c r="E339" s="20">
        <f>'Respuestas de formulario 1'!E339</f>
        <v>21795</v>
      </c>
      <c r="F339" s="7">
        <f>'Respuestas de formulario 1'!F339</f>
        <v>13538782</v>
      </c>
      <c r="G339" s="7" t="str">
        <f>IFERROR(__xludf.DUMMYFUNCTION("IF('Respuestas de formulario 1'!G339="""","""",IF(LEFT(REGEXREPLACE(TO_TEXT('Respuestas de formulario 1'!G339),""[^0-9]"",""""),2)=""54"",""+""&amp;REGEXREPLACE(TO_TEXT('Respuestas de formulario 1'!G339),""[^0-9]"",""""),""+54""&amp;REGEXREPLACE(TO_TEXT('Respuest"&amp;"as de formulario 1'!G339),""[^0-9]"","""")))"),"+543515339130")</f>
        <v>+543515339130</v>
      </c>
      <c r="H339" s="7">
        <f>'Respuestas de formulario 1'!S339</f>
        <v>2023</v>
      </c>
      <c r="I339" s="7" t="str">
        <f>IFERROR(__xludf.DUMMYFUNCTION("IF('Respuestas de formulario 1'!I339="""","""",TO_TEXT('Respuestas de formulario 1'!I339))"),"Particular")</f>
        <v>Particular</v>
      </c>
      <c r="J339" s="7" t="str">
        <f>IFERROR(__xludf.DUMMYFUNCTION("IF('Respuestas de formulario 1'!J339&lt;&gt;"""",UPPER(TRIM(TO_TEXT('Respuestas de formulario 1'!J339))),IF('Respuestas de formulario 1'!O339&lt;&gt;"""",UPPER(TRIM(TO_TEXT('Respuestas de formulario 1'!O339))),""""))"),"")</f>
        <v/>
      </c>
      <c r="K339" s="7" t="str">
        <f>IFERROR(__xludf.DUMMYFUNCTION("IF('Respuestas de formulario 1'!K339="""","""",TO_TEXT('Respuestas de formulario 1'!K339))"),"")</f>
        <v/>
      </c>
      <c r="L339" s="7" t="str">
        <f>IFERROR(__xludf.DUMMYFUNCTION("IF('Respuestas de formulario 1'!L339="""","""",TO_TEXT('Respuestas de formulario 1'!L339))"),"")</f>
        <v/>
      </c>
      <c r="M339" s="7" t="str">
        <f>IFERROR(__xludf.DUMMYFUNCTION("IF('Respuestas de formulario 1'!M339="""","""",TO_TEXT('Respuestas de formulario 1'!M339))"),"")</f>
        <v/>
      </c>
      <c r="N339" s="7">
        <f t="shared" si="1"/>
        <v>2023</v>
      </c>
      <c r="O339" s="7" t="str">
        <f t="shared" si="2"/>
        <v>octubre</v>
      </c>
      <c r="P339" s="7" t="s">
        <v>4876</v>
      </c>
    </row>
    <row r="340">
      <c r="A340" s="19">
        <f>'Respuestas de formulario 1'!A340</f>
        <v>45217.78222</v>
      </c>
      <c r="B340" s="7" t="str">
        <f>'Respuestas de formulario 1'!B340</f>
        <v>Leiva</v>
      </c>
      <c r="C340" s="7" t="str">
        <f>'Respuestas de formulario 1'!C340</f>
        <v>Viviana</v>
      </c>
      <c r="D340" s="7" t="str">
        <f>'Respuestas de formulario 1'!D340</f>
        <v>vivi_leiva75@hotmail.com</v>
      </c>
      <c r="E340" s="20">
        <f>'Respuestas de formulario 1'!E340</f>
        <v>27475</v>
      </c>
      <c r="F340" s="7">
        <f>'Respuestas de formulario 1'!F340</f>
        <v>24385262</v>
      </c>
      <c r="G340" s="7" t="str">
        <f>IFERROR(__xludf.DUMMYFUNCTION("IF('Respuestas de formulario 1'!G340="""","""",IF(LEFT(REGEXREPLACE(TO_TEXT('Respuestas de formulario 1'!G340),""[^0-9]"",""""),2)=""54"",""+""&amp;REGEXREPLACE(TO_TEXT('Respuestas de formulario 1'!G340),""[^0-9]"",""""),""+54""&amp;REGEXREPLACE(TO_TEXT('Respuest"&amp;"as de formulario 1'!G340),""[^0-9]"","""")))"),"+543515155206")</f>
        <v>+543515155206</v>
      </c>
      <c r="H340" s="7">
        <f>'Respuestas de formulario 1'!S340</f>
        <v>2023</v>
      </c>
      <c r="I340" s="7" t="str">
        <f>IFERROR(__xludf.DUMMYFUNCTION("IF('Respuestas de formulario 1'!I340="""","""",TO_TEXT('Respuestas de formulario 1'!I340))"),"Obra social")</f>
        <v>Obra social</v>
      </c>
      <c r="J340" s="7" t="str">
        <f>IFERROR(__xludf.DUMMYFUNCTION("IF('Respuestas de formulario 1'!J340&lt;&gt;"""",UPPER(TRIM(TO_TEXT('Respuestas de formulario 1'!J340))),IF('Respuestas de formulario 1'!O340&lt;&gt;"""",UPPER(TRIM(TO_TEXT('Respuestas de formulario 1'!O340))),""""))"),"APROSS")</f>
        <v>APROSS</v>
      </c>
      <c r="K340" s="7" t="str">
        <f>IFERROR(__xludf.DUMMYFUNCTION("IF('Respuestas de formulario 1'!K340="""","""",TO_TEXT('Respuestas de formulario 1'!K340))"),"")</f>
        <v/>
      </c>
      <c r="L340" s="7" t="str">
        <f>IFERROR(__xludf.DUMMYFUNCTION("IF('Respuestas de formulario 1'!L340="""","""",TO_TEXT('Respuestas de formulario 1'!L340))"),"")</f>
        <v/>
      </c>
      <c r="M340" s="7" t="str">
        <f>IFERROR(__xludf.DUMMYFUNCTION("IF('Respuestas de formulario 1'!M340="""","""",TO_TEXT('Respuestas de formulario 1'!M340))"),"")</f>
        <v/>
      </c>
      <c r="N340" s="7">
        <f t="shared" si="1"/>
        <v>2023</v>
      </c>
      <c r="O340" s="7" t="str">
        <f t="shared" si="2"/>
        <v>octubre</v>
      </c>
      <c r="P340" s="7" t="s">
        <v>4878</v>
      </c>
    </row>
    <row r="341">
      <c r="A341" s="19">
        <f>'Respuestas de formulario 1'!A341</f>
        <v>45218.50253</v>
      </c>
      <c r="B341" s="7" t="str">
        <f>'Respuestas de formulario 1'!B341</f>
        <v>Scott</v>
      </c>
      <c r="C341" s="7" t="str">
        <f>'Respuestas de formulario 1'!C341</f>
        <v>William</v>
      </c>
      <c r="D341" s="7" t="str">
        <f>'Respuestas de formulario 1'!D341</f>
        <v>achalay12@gmail.com</v>
      </c>
      <c r="E341" s="20">
        <f>'Respuestas de formulario 1'!E341</f>
        <v>31149</v>
      </c>
      <c r="F341" s="7">
        <f>'Respuestas de formulario 1'!F341</f>
        <v>31652601</v>
      </c>
      <c r="G341" s="7" t="str">
        <f>IFERROR(__xludf.DUMMYFUNCTION("IF('Respuestas de formulario 1'!G341="""","""",IF(LEFT(REGEXREPLACE(TO_TEXT('Respuestas de formulario 1'!G341),""[^0-9]"",""""),2)=""54"",""+""&amp;REGEXREPLACE(TO_TEXT('Respuestas de formulario 1'!G341),""[^0-9]"",""""),""+54""&amp;REGEXREPLACE(TO_TEXT('Respuest"&amp;"as de formulario 1'!G341),""[^0-9]"","""")))"),"+543516724499")</f>
        <v>+543516724499</v>
      </c>
      <c r="H341" s="7">
        <f>'Respuestas de formulario 1'!S341</f>
        <v>2023</v>
      </c>
      <c r="I341" s="7" t="str">
        <f>IFERROR(__xludf.DUMMYFUNCTION("IF('Respuestas de formulario 1'!I341="""","""",TO_TEXT('Respuestas de formulario 1'!I341))"),"Particular")</f>
        <v>Particular</v>
      </c>
      <c r="J341" s="7" t="str">
        <f>IFERROR(__xludf.DUMMYFUNCTION("IF('Respuestas de formulario 1'!J341&lt;&gt;"""",UPPER(TRIM(TO_TEXT('Respuestas de formulario 1'!J341))),IF('Respuestas de formulario 1'!O341&lt;&gt;"""",UPPER(TRIM(TO_TEXT('Respuestas de formulario 1'!O341))),""""))"),"")</f>
        <v/>
      </c>
      <c r="K341" s="7" t="str">
        <f>IFERROR(__xludf.DUMMYFUNCTION("IF('Respuestas de formulario 1'!K341="""","""",TO_TEXT('Respuestas de formulario 1'!K341))"),"")</f>
        <v/>
      </c>
      <c r="L341" s="7" t="str">
        <f>IFERROR(__xludf.DUMMYFUNCTION("IF('Respuestas de formulario 1'!L341="""","""",TO_TEXT('Respuestas de formulario 1'!L341))"),"")</f>
        <v/>
      </c>
      <c r="M341" s="7" t="str">
        <f>IFERROR(__xludf.DUMMYFUNCTION("IF('Respuestas de formulario 1'!M341="""","""",TO_TEXT('Respuestas de formulario 1'!M341))"),"")</f>
        <v/>
      </c>
      <c r="N341" s="7">
        <f t="shared" si="1"/>
        <v>2023</v>
      </c>
      <c r="O341" s="7" t="str">
        <f t="shared" si="2"/>
        <v>octubre</v>
      </c>
      <c r="P341" s="7" t="s">
        <v>4880</v>
      </c>
    </row>
    <row r="342">
      <c r="A342" s="19">
        <f>'Respuestas de formulario 1'!A342</f>
        <v>45218.70045</v>
      </c>
      <c r="B342" s="7" t="str">
        <f>'Respuestas de formulario 1'!B342</f>
        <v>Gil Fiorenza</v>
      </c>
      <c r="C342" s="7" t="str">
        <f>'Respuestas de formulario 1'!C342</f>
        <v>Alicia</v>
      </c>
      <c r="D342" s="7" t="str">
        <f>'Respuestas de formulario 1'!D342</f>
        <v>Aliciagilfiorenza@gmail.com</v>
      </c>
      <c r="E342" s="20">
        <f>'Respuestas de formulario 1'!E342</f>
        <v>21171</v>
      </c>
      <c r="F342" s="7">
        <f>'Respuestas de formulario 1'!F342</f>
        <v>13820898</v>
      </c>
      <c r="G342" s="7" t="str">
        <f>IFERROR(__xludf.DUMMYFUNCTION("IF('Respuestas de formulario 1'!G342="""","""",IF(LEFT(REGEXREPLACE(TO_TEXT('Respuestas de formulario 1'!G342),""[^0-9]"",""""),2)=""54"",""+""&amp;REGEXREPLACE(TO_TEXT('Respuestas de formulario 1'!G342),""[^0-9]"",""""),""+54""&amp;REGEXREPLACE(TO_TEXT('Respuest"&amp;"as de formulario 1'!G342),""[^0-9]"","""")))"),"+543517013688")</f>
        <v>+543517013688</v>
      </c>
      <c r="H342" s="7">
        <f>'Respuestas de formulario 1'!S342</f>
        <v>2023</v>
      </c>
      <c r="I342" s="7" t="str">
        <f>IFERROR(__xludf.DUMMYFUNCTION("IF('Respuestas de formulario 1'!I342="""","""",TO_TEXT('Respuestas de formulario 1'!I342))"),"Obra social")</f>
        <v>Obra social</v>
      </c>
      <c r="J342" s="7" t="str">
        <f>IFERROR(__xludf.DUMMYFUNCTION("IF('Respuestas de formulario 1'!J342&lt;&gt;"""",UPPER(TRIM(TO_TEXT('Respuestas de formulario 1'!J342))),IF('Respuestas de formulario 1'!O342&lt;&gt;"""",UPPER(TRIM(TO_TEXT('Respuestas de formulario 1'!O342))),""""))"),"DASPU")</f>
        <v>DASPU</v>
      </c>
      <c r="K342" s="7" t="str">
        <f>IFERROR(__xludf.DUMMYFUNCTION("IF('Respuestas de formulario 1'!K342="""","""",TO_TEXT('Respuestas de formulario 1'!K342))"),"")</f>
        <v/>
      </c>
      <c r="L342" s="7" t="str">
        <f>IFERROR(__xludf.DUMMYFUNCTION("IF('Respuestas de formulario 1'!L342="""","""",TO_TEXT('Respuestas de formulario 1'!L342))"),"")</f>
        <v/>
      </c>
      <c r="M342" s="7" t="str">
        <f>IFERROR(__xludf.DUMMYFUNCTION("IF('Respuestas de formulario 1'!M342="""","""",TO_TEXT('Respuestas de formulario 1'!M342))"),"")</f>
        <v/>
      </c>
      <c r="N342" s="7">
        <f t="shared" si="1"/>
        <v>2023</v>
      </c>
      <c r="O342" s="7" t="str">
        <f t="shared" si="2"/>
        <v>octubre</v>
      </c>
      <c r="P342" s="7" t="s">
        <v>4882</v>
      </c>
    </row>
    <row r="343">
      <c r="A343" s="19">
        <f>'Respuestas de formulario 1'!A343</f>
        <v>45218.83105</v>
      </c>
      <c r="B343" s="7" t="str">
        <f>'Respuestas de formulario 1'!B343</f>
        <v>Gomez </v>
      </c>
      <c r="C343" s="7" t="str">
        <f>'Respuestas de formulario 1'!C343</f>
        <v>Alexis joel</v>
      </c>
      <c r="D343" s="7" t="str">
        <f>'Respuestas de formulario 1'!D343</f>
        <v>Gomezalexisjoel200@gmail.com</v>
      </c>
      <c r="E343" s="20">
        <f>'Respuestas de formulario 1'!E343</f>
        <v>35149</v>
      </c>
      <c r="F343" s="7">
        <f>'Respuestas de formulario 1'!F343</f>
        <v>39496246</v>
      </c>
      <c r="G343" s="7" t="str">
        <f>IFERROR(__xludf.DUMMYFUNCTION("IF('Respuestas de formulario 1'!G343="""","""",IF(LEFT(REGEXREPLACE(TO_TEXT('Respuestas de formulario 1'!G343),""[^0-9]"",""""),2)=""54"",""+""&amp;REGEXREPLACE(TO_TEXT('Respuestas de formulario 1'!G343),""[^0-9]"",""""),""+54""&amp;REGEXREPLACE(TO_TEXT('Respuest"&amp;"as de formulario 1'!G343),""[^0-9]"","""")))"),"+543516014408")</f>
        <v>+543516014408</v>
      </c>
      <c r="H343" s="7">
        <f>'Respuestas de formulario 1'!S343</f>
        <v>2023</v>
      </c>
      <c r="I343" s="7" t="str">
        <f>IFERROR(__xludf.DUMMYFUNCTION("IF('Respuestas de formulario 1'!I343="""","""",TO_TEXT('Respuestas de formulario 1'!I343))"),"Obra social")</f>
        <v>Obra social</v>
      </c>
      <c r="J343" s="7" t="str">
        <f>IFERROR(__xludf.DUMMYFUNCTION("IF('Respuestas de formulario 1'!J343&lt;&gt;"""",UPPER(TRIM(TO_TEXT('Respuestas de formulario 1'!J343))),IF('Respuestas de formulario 1'!O343&lt;&gt;"""",UPPER(TRIM(TO_TEXT('Respuestas de formulario 1'!O343))),""""))"),"PREVENCIÓN")</f>
        <v>PREVENCIÓN</v>
      </c>
      <c r="K343" s="7" t="str">
        <f>IFERROR(__xludf.DUMMYFUNCTION("IF('Respuestas de formulario 1'!K343="""","""",TO_TEXT('Respuestas de formulario 1'!K343))"),"")</f>
        <v/>
      </c>
      <c r="L343" s="7" t="str">
        <f>IFERROR(__xludf.DUMMYFUNCTION("IF('Respuestas de formulario 1'!L343="""","""",TO_TEXT('Respuestas de formulario 1'!L343))"),"")</f>
        <v/>
      </c>
      <c r="M343" s="7" t="str">
        <f>IFERROR(__xludf.DUMMYFUNCTION("IF('Respuestas de formulario 1'!M343="""","""",TO_TEXT('Respuestas de formulario 1'!M343))"),"")</f>
        <v/>
      </c>
      <c r="N343" s="7">
        <f t="shared" si="1"/>
        <v>2023</v>
      </c>
      <c r="O343" s="7" t="str">
        <f t="shared" si="2"/>
        <v>octubre</v>
      </c>
      <c r="P343" s="7" t="s">
        <v>4884</v>
      </c>
    </row>
    <row r="344">
      <c r="A344" s="19">
        <f>'Respuestas de formulario 1'!A344</f>
        <v>45219.63779</v>
      </c>
      <c r="B344" s="7" t="str">
        <f>'Respuestas de formulario 1'!B344</f>
        <v>Salamone</v>
      </c>
      <c r="C344" s="7" t="str">
        <f>'Respuestas de formulario 1'!C344</f>
        <v>Simon</v>
      </c>
      <c r="D344" s="7" t="str">
        <f>'Respuestas de formulario 1'!D344</f>
        <v>timisalamone_92@hotmail.com</v>
      </c>
      <c r="E344" s="20">
        <f>'Respuestas de formulario 1'!E344</f>
        <v>33760</v>
      </c>
      <c r="F344" s="7">
        <f>'Respuestas de formulario 1'!F344</f>
        <v>36431262</v>
      </c>
      <c r="G344" s="7" t="str">
        <f>IFERROR(__xludf.DUMMYFUNCTION("IF('Respuestas de formulario 1'!G344="""","""",IF(LEFT(REGEXREPLACE(TO_TEXT('Respuestas de formulario 1'!G344),""[^0-9]"",""""),2)=""54"",""+""&amp;REGEXREPLACE(TO_TEXT('Respuestas de formulario 1'!G344),""[^0-9]"",""""),""+54""&amp;REGEXREPLACE(TO_TEXT('Respuest"&amp;"as de formulario 1'!G344),""[^0-9]"","""")))"),"+543513515911")</f>
        <v>+543513515911</v>
      </c>
      <c r="H344" s="7">
        <f>'Respuestas de formulario 1'!S344</f>
        <v>2023</v>
      </c>
      <c r="I344" s="7" t="str">
        <f>IFERROR(__xludf.DUMMYFUNCTION("IF('Respuestas de formulario 1'!I344="""","""",TO_TEXT('Respuestas de formulario 1'!I344))"),"Particular")</f>
        <v>Particular</v>
      </c>
      <c r="J344" s="7" t="str">
        <f>IFERROR(__xludf.DUMMYFUNCTION("IF('Respuestas de formulario 1'!J344&lt;&gt;"""",UPPER(TRIM(TO_TEXT('Respuestas de formulario 1'!J344))),IF('Respuestas de formulario 1'!O344&lt;&gt;"""",UPPER(TRIM(TO_TEXT('Respuestas de formulario 1'!O344))),""""))"),"")</f>
        <v/>
      </c>
      <c r="K344" s="7" t="str">
        <f>IFERROR(__xludf.DUMMYFUNCTION("IF('Respuestas de formulario 1'!K344="""","""",TO_TEXT('Respuestas de formulario 1'!K344))"),"")</f>
        <v/>
      </c>
      <c r="L344" s="7" t="str">
        <f>IFERROR(__xludf.DUMMYFUNCTION("IF('Respuestas de formulario 1'!L344="""","""",TO_TEXT('Respuestas de formulario 1'!L344))"),"")</f>
        <v/>
      </c>
      <c r="M344" s="7" t="str">
        <f>IFERROR(__xludf.DUMMYFUNCTION("IF('Respuestas de formulario 1'!M344="""","""",TO_TEXT('Respuestas de formulario 1'!M344))"),"")</f>
        <v/>
      </c>
      <c r="N344" s="7">
        <f t="shared" si="1"/>
        <v>2023</v>
      </c>
      <c r="O344" s="7" t="str">
        <f t="shared" si="2"/>
        <v>octubre</v>
      </c>
      <c r="P344" s="7" t="s">
        <v>4886</v>
      </c>
    </row>
    <row r="345">
      <c r="A345" s="19">
        <f>'Respuestas de formulario 1'!A345</f>
        <v>45219.77981</v>
      </c>
      <c r="B345" s="7" t="str">
        <f>'Respuestas de formulario 1'!B345</f>
        <v>Bordino</v>
      </c>
      <c r="C345" s="7" t="str">
        <f>'Respuestas de formulario 1'!C345</f>
        <v>Alvaro</v>
      </c>
      <c r="D345" s="7" t="str">
        <f>'Respuestas de formulario 1'!D345</f>
        <v>Alvarobordino1995@gmail.com </v>
      </c>
      <c r="E345" s="20">
        <f>'Respuestas de formulario 1'!E345</f>
        <v>34460</v>
      </c>
      <c r="F345" s="7">
        <f>'Respuestas de formulario 1'!F345</f>
        <v>38183134</v>
      </c>
      <c r="G345" s="7" t="str">
        <f>IFERROR(__xludf.DUMMYFUNCTION("IF('Respuestas de formulario 1'!G345="""","""",IF(LEFT(REGEXREPLACE(TO_TEXT('Respuestas de formulario 1'!G345),""[^0-9]"",""""),2)=""54"",""+""&amp;REGEXREPLACE(TO_TEXT('Respuestas de formulario 1'!G345),""[^0-9]"",""""),""+54""&amp;REGEXREPLACE(TO_TEXT('Respuest"&amp;"as de formulario 1'!G345),""[^0-9]"","""")))"),"+543515337720")</f>
        <v>+543515337720</v>
      </c>
      <c r="H345" s="7">
        <f>'Respuestas de formulario 1'!S345</f>
        <v>2023</v>
      </c>
      <c r="I345" s="7" t="str">
        <f>IFERROR(__xludf.DUMMYFUNCTION("IF('Respuestas de formulario 1'!I345="""","""",TO_TEXT('Respuestas de formulario 1'!I345))"),"Particular")</f>
        <v>Particular</v>
      </c>
      <c r="J345" s="7" t="str">
        <f>IFERROR(__xludf.DUMMYFUNCTION("IF('Respuestas de formulario 1'!J345&lt;&gt;"""",UPPER(TRIM(TO_TEXT('Respuestas de formulario 1'!J345))),IF('Respuestas de formulario 1'!O345&lt;&gt;"""",UPPER(TRIM(TO_TEXT('Respuestas de formulario 1'!O345))),""""))"),"")</f>
        <v/>
      </c>
      <c r="K345" s="7" t="str">
        <f>IFERROR(__xludf.DUMMYFUNCTION("IF('Respuestas de formulario 1'!K345="""","""",TO_TEXT('Respuestas de formulario 1'!K345))"),"")</f>
        <v/>
      </c>
      <c r="L345" s="7" t="str">
        <f>IFERROR(__xludf.DUMMYFUNCTION("IF('Respuestas de formulario 1'!L345="""","""",TO_TEXT('Respuestas de formulario 1'!L345))"),"")</f>
        <v/>
      </c>
      <c r="M345" s="7" t="str">
        <f>IFERROR(__xludf.DUMMYFUNCTION("IF('Respuestas de formulario 1'!M345="""","""",TO_TEXT('Respuestas de formulario 1'!M345))"),"")</f>
        <v/>
      </c>
      <c r="N345" s="7">
        <f t="shared" si="1"/>
        <v>2023</v>
      </c>
      <c r="O345" s="7" t="str">
        <f t="shared" si="2"/>
        <v>octubre</v>
      </c>
      <c r="P345" s="7" t="s">
        <v>4888</v>
      </c>
    </row>
    <row r="346">
      <c r="A346" s="19">
        <f>'Respuestas de formulario 1'!A346</f>
        <v>45223.68435</v>
      </c>
      <c r="B346" s="7" t="str">
        <f>'Respuestas de formulario 1'!B346</f>
        <v>Bonsignore Daniele </v>
      </c>
      <c r="C346" s="7" t="str">
        <f>'Respuestas de formulario 1'!C346</f>
        <v>Lourdes</v>
      </c>
      <c r="D346" s="7" t="str">
        <f>'Respuestas de formulario 1'!D346</f>
        <v>Cristinadaniele76@gmail.com </v>
      </c>
      <c r="E346" s="20">
        <f>'Respuestas de formulario 1'!E346</f>
        <v>40419</v>
      </c>
      <c r="F346" s="7">
        <f>'Respuestas de formulario 1'!F346</f>
        <v>50421075</v>
      </c>
      <c r="G346" s="7" t="str">
        <f>IFERROR(__xludf.DUMMYFUNCTION("IF('Respuestas de formulario 1'!G346="""","""",IF(LEFT(REGEXREPLACE(TO_TEXT('Respuestas de formulario 1'!G346),""[^0-9]"",""""),2)=""54"",""+""&amp;REGEXREPLACE(TO_TEXT('Respuestas de formulario 1'!G346),""[^0-9]"",""""),""+54""&amp;REGEXREPLACE(TO_TEXT('Respuest"&amp;"as de formulario 1'!G346),""[^0-9]"","""")))"),"+543515914755")</f>
        <v>+543515914755</v>
      </c>
      <c r="H346" s="7">
        <f>'Respuestas de formulario 1'!S346</f>
        <v>2023</v>
      </c>
      <c r="I346" s="7" t="str">
        <f>IFERROR(__xludf.DUMMYFUNCTION("IF('Respuestas de formulario 1'!I346="""","""",TO_TEXT('Respuestas de formulario 1'!I346))"),"Obra social")</f>
        <v>Obra social</v>
      </c>
      <c r="J346" s="7" t="str">
        <f>IFERROR(__xludf.DUMMYFUNCTION("IF('Respuestas de formulario 1'!J346&lt;&gt;"""",UPPER(TRIM(TO_TEXT('Respuestas de formulario 1'!J346))),IF('Respuestas de formulario 1'!O346&lt;&gt;"""",UPPER(TRIM(TO_TEXT('Respuestas de formulario 1'!O346))),""""))"),"PREVENCIÓN")</f>
        <v>PREVENCIÓN</v>
      </c>
      <c r="K346" s="7" t="str">
        <f>IFERROR(__xludf.DUMMYFUNCTION("IF('Respuestas de formulario 1'!K346="""","""",TO_TEXT('Respuestas de formulario 1'!K346))"),"")</f>
        <v/>
      </c>
      <c r="L346" s="7" t="str">
        <f>IFERROR(__xludf.DUMMYFUNCTION("IF('Respuestas de formulario 1'!L346="""","""",TO_TEXT('Respuestas de formulario 1'!L346))"),"")</f>
        <v/>
      </c>
      <c r="M346" s="7" t="str">
        <f>IFERROR(__xludf.DUMMYFUNCTION("IF('Respuestas de formulario 1'!M346="""","""",TO_TEXT('Respuestas de formulario 1'!M346))"),"")</f>
        <v/>
      </c>
      <c r="N346" s="7">
        <f t="shared" si="1"/>
        <v>2023</v>
      </c>
      <c r="O346" s="7" t="str">
        <f t="shared" si="2"/>
        <v>octubre</v>
      </c>
      <c r="P346" s="7" t="s">
        <v>4889</v>
      </c>
    </row>
    <row r="347">
      <c r="A347" s="19">
        <f>'Respuestas de formulario 1'!A347</f>
        <v>45225.72676</v>
      </c>
      <c r="B347" s="7" t="str">
        <f>'Respuestas de formulario 1'!B347</f>
        <v>Lavayen</v>
      </c>
      <c r="C347" s="7" t="str">
        <f>'Respuestas de formulario 1'!C347</f>
        <v>Agustin</v>
      </c>
      <c r="D347" s="7" t="str">
        <f>'Respuestas de formulario 1'!D347</f>
        <v>aguslavayen@hotmail.com</v>
      </c>
      <c r="E347" s="20">
        <f>'Respuestas de formulario 1'!E347</f>
        <v>34452</v>
      </c>
      <c r="F347" s="7">
        <f>'Respuestas de formulario 1'!F347</f>
        <v>38180399</v>
      </c>
      <c r="G347" s="7" t="str">
        <f>IFERROR(__xludf.DUMMYFUNCTION("IF('Respuestas de formulario 1'!G347="""","""",IF(LEFT(REGEXREPLACE(TO_TEXT('Respuestas de formulario 1'!G347),""[^0-9]"",""""),2)=""54"",""+""&amp;REGEXREPLACE(TO_TEXT('Respuestas de formulario 1'!G347),""[^0-9]"",""""),""+54""&amp;REGEXREPLACE(TO_TEXT('Respuest"&amp;"as de formulario 1'!G347),""[^0-9]"","""")))"),"+543516811228")</f>
        <v>+543516811228</v>
      </c>
      <c r="H347" s="7">
        <f>'Respuestas de formulario 1'!S347</f>
        <v>2023</v>
      </c>
      <c r="I347" s="7" t="str">
        <f>IFERROR(__xludf.DUMMYFUNCTION("IF('Respuestas de formulario 1'!I347="""","""",TO_TEXT('Respuestas de formulario 1'!I347))"),"Particular")</f>
        <v>Particular</v>
      </c>
      <c r="J347" s="7" t="str">
        <f>IFERROR(__xludf.DUMMYFUNCTION("IF('Respuestas de formulario 1'!J347&lt;&gt;"""",UPPER(TRIM(TO_TEXT('Respuestas de formulario 1'!J347))),IF('Respuestas de formulario 1'!O347&lt;&gt;"""",UPPER(TRIM(TO_TEXT('Respuestas de formulario 1'!O347))),""""))"),"")</f>
        <v/>
      </c>
      <c r="K347" s="7" t="str">
        <f>IFERROR(__xludf.DUMMYFUNCTION("IF('Respuestas de formulario 1'!K347="""","""",TO_TEXT('Respuestas de formulario 1'!K347))"),"")</f>
        <v/>
      </c>
      <c r="L347" s="7" t="str">
        <f>IFERROR(__xludf.DUMMYFUNCTION("IF('Respuestas de formulario 1'!L347="""","""",TO_TEXT('Respuestas de formulario 1'!L347))"),"")</f>
        <v/>
      </c>
      <c r="M347" s="7" t="str">
        <f>IFERROR(__xludf.DUMMYFUNCTION("IF('Respuestas de formulario 1'!M347="""","""",TO_TEXT('Respuestas de formulario 1'!M347))"),"")</f>
        <v/>
      </c>
      <c r="N347" s="7">
        <f t="shared" si="1"/>
        <v>2023</v>
      </c>
      <c r="O347" s="7" t="str">
        <f t="shared" si="2"/>
        <v>octubre</v>
      </c>
      <c r="P347" s="7" t="s">
        <v>4891</v>
      </c>
    </row>
    <row r="348">
      <c r="A348" s="19">
        <f>'Respuestas de formulario 1'!A348</f>
        <v>45226.42896</v>
      </c>
      <c r="B348" s="7" t="str">
        <f>'Respuestas de formulario 1'!B348</f>
        <v>Reyna</v>
      </c>
      <c r="C348" s="7" t="str">
        <f>'Respuestas de formulario 1'!C348</f>
        <v>Cristian Nicolas</v>
      </c>
      <c r="D348" s="7" t="str">
        <f>'Respuestas de formulario 1'!D348</f>
        <v>reynacristian863@gmail.com</v>
      </c>
      <c r="E348" s="20">
        <f>'Respuestas de formulario 1'!E348</f>
        <v>27171</v>
      </c>
      <c r="F348" s="7">
        <f>'Respuestas de formulario 1'!F348</f>
        <v>23763777</v>
      </c>
      <c r="G348" s="7" t="str">
        <f>IFERROR(__xludf.DUMMYFUNCTION("IF('Respuestas de formulario 1'!G348="""","""",IF(LEFT(REGEXREPLACE(TO_TEXT('Respuestas de formulario 1'!G348),""[^0-9]"",""""),2)=""54"",""+""&amp;REGEXREPLACE(TO_TEXT('Respuestas de formulario 1'!G348),""[^0-9]"",""""),""+54""&amp;REGEXREPLACE(TO_TEXT('Respuest"&amp;"as de formulario 1'!G348),""[^0-9]"","""")))"),"+543516629076")</f>
        <v>+543516629076</v>
      </c>
      <c r="H348" s="7">
        <f>'Respuestas de formulario 1'!S348</f>
        <v>2023</v>
      </c>
      <c r="I348" s="7" t="str">
        <f>IFERROR(__xludf.DUMMYFUNCTION("IF('Respuestas de formulario 1'!I348="""","""",TO_TEXT('Respuestas de formulario 1'!I348))"),"Obra social")</f>
        <v>Obra social</v>
      </c>
      <c r="J348" s="7" t="str">
        <f>IFERROR(__xludf.DUMMYFUNCTION("IF('Respuestas de formulario 1'!J348&lt;&gt;"""",UPPER(TRIM(TO_TEXT('Respuestas de formulario 1'!J348))),IF('Respuestas de formulario 1'!O348&lt;&gt;"""",UPPER(TRIM(TO_TEXT('Respuestas de formulario 1'!O348))),""""))"),"APROSS")</f>
        <v>APROSS</v>
      </c>
      <c r="K348" s="7" t="str">
        <f>IFERROR(__xludf.DUMMYFUNCTION("IF('Respuestas de formulario 1'!K348="""","""",TO_TEXT('Respuestas de formulario 1'!K348))"),"")</f>
        <v/>
      </c>
      <c r="L348" s="7" t="str">
        <f>IFERROR(__xludf.DUMMYFUNCTION("IF('Respuestas de formulario 1'!L348="""","""",TO_TEXT('Respuestas de formulario 1'!L348))"),"")</f>
        <v/>
      </c>
      <c r="M348" s="7" t="str">
        <f>IFERROR(__xludf.DUMMYFUNCTION("IF('Respuestas de formulario 1'!M348="""","""",TO_TEXT('Respuestas de formulario 1'!M348))"),"")</f>
        <v/>
      </c>
      <c r="N348" s="7">
        <f t="shared" si="1"/>
        <v>2023</v>
      </c>
      <c r="O348" s="7" t="str">
        <f t="shared" si="2"/>
        <v>octubre</v>
      </c>
      <c r="P348" s="7" t="s">
        <v>4893</v>
      </c>
    </row>
    <row r="349">
      <c r="A349" s="19">
        <f>'Respuestas de formulario 1'!A349</f>
        <v>45226.80347</v>
      </c>
      <c r="B349" s="7" t="str">
        <f>'Respuestas de formulario 1'!B349</f>
        <v>Roch</v>
      </c>
      <c r="C349" s="7" t="str">
        <f>'Respuestas de formulario 1'!C349</f>
        <v>Florencia</v>
      </c>
      <c r="D349" s="7" t="str">
        <f>'Respuestas de formulario 1'!D349</f>
        <v>flor_roch@hotmail.com</v>
      </c>
      <c r="E349" s="20">
        <f>'Respuestas de formulario 1'!E349</f>
        <v>28871</v>
      </c>
      <c r="F349" s="7">
        <f>'Respuestas de formulario 1'!F349</f>
        <v>27077968</v>
      </c>
      <c r="G349" s="7" t="str">
        <f>IFERROR(__xludf.DUMMYFUNCTION("IF('Respuestas de formulario 1'!G349="""","""",IF(LEFT(REGEXREPLACE(TO_TEXT('Respuestas de formulario 1'!G349),""[^0-9]"",""""),2)=""54"",""+""&amp;REGEXREPLACE(TO_TEXT('Respuestas de formulario 1'!G349),""[^0-9]"",""""),""+54""&amp;REGEXREPLACE(TO_TEXT('Respuest"&amp;"as de formulario 1'!G349),""[^0-9]"","""")))"),"+543513842740")</f>
        <v>+543513842740</v>
      </c>
      <c r="H349" s="7">
        <f>'Respuestas de formulario 1'!S349</f>
        <v>2023</v>
      </c>
      <c r="I349" s="7" t="str">
        <f>IFERROR(__xludf.DUMMYFUNCTION("IF('Respuestas de formulario 1'!I349="""","""",TO_TEXT('Respuestas de formulario 1'!I349))"),"Obra social")</f>
        <v>Obra social</v>
      </c>
      <c r="J349" s="7" t="str">
        <f>IFERROR(__xludf.DUMMYFUNCTION("IF('Respuestas de formulario 1'!J349&lt;&gt;"""",UPPER(TRIM(TO_TEXT('Respuestas de formulario 1'!J349))),IF('Respuestas de formulario 1'!O349&lt;&gt;"""",UPPER(TRIM(TO_TEXT('Respuestas de formulario 1'!O349))),""""))"),"APROSS")</f>
        <v>APROSS</v>
      </c>
      <c r="K349" s="7" t="str">
        <f>IFERROR(__xludf.DUMMYFUNCTION("IF('Respuestas de formulario 1'!K349="""","""",TO_TEXT('Respuestas de formulario 1'!K349))"),"")</f>
        <v/>
      </c>
      <c r="L349" s="7" t="str">
        <f>IFERROR(__xludf.DUMMYFUNCTION("IF('Respuestas de formulario 1'!L349="""","""",TO_TEXT('Respuestas de formulario 1'!L349))"),"")</f>
        <v/>
      </c>
      <c r="M349" s="7" t="str">
        <f>IFERROR(__xludf.DUMMYFUNCTION("IF('Respuestas de formulario 1'!M349="""","""",TO_TEXT('Respuestas de formulario 1'!M349))"),"")</f>
        <v/>
      </c>
      <c r="N349" s="7">
        <f t="shared" si="1"/>
        <v>2023</v>
      </c>
      <c r="O349" s="7" t="str">
        <f t="shared" si="2"/>
        <v>octubre</v>
      </c>
      <c r="P349" s="7" t="s">
        <v>4895</v>
      </c>
    </row>
    <row r="350">
      <c r="A350" s="19">
        <f>'Respuestas de formulario 1'!A350</f>
        <v>45229.41487</v>
      </c>
      <c r="B350" s="7" t="str">
        <f>'Respuestas de formulario 1'!B350</f>
        <v>Paolini</v>
      </c>
      <c r="C350" s="7" t="str">
        <f>'Respuestas de formulario 1'!C350</f>
        <v>Wendy</v>
      </c>
      <c r="D350" s="7" t="str">
        <f>'Respuestas de formulario 1'!D350</f>
        <v>wen.199@hotmail.com</v>
      </c>
      <c r="E350" s="20">
        <f>'Respuestas de formulario 1'!E350</f>
        <v>45178</v>
      </c>
      <c r="F350" s="7">
        <f>'Respuestas de formulario 1'!F350</f>
        <v>17842334</v>
      </c>
      <c r="G350" s="7" t="str">
        <f>IFERROR(__xludf.DUMMYFUNCTION("IF('Respuestas de formulario 1'!G350="""","""",IF(LEFT(REGEXREPLACE(TO_TEXT('Respuestas de formulario 1'!G350),""[^0-9]"",""""),2)=""54"",""+""&amp;REGEXREPLACE(TO_TEXT('Respuestas de formulario 1'!G350),""[^0-9]"",""""),""+54""&amp;REGEXREPLACE(TO_TEXT('Respuest"&amp;"as de formulario 1'!G350),""[^0-9]"","""")))"),"+543515946901")</f>
        <v>+543515946901</v>
      </c>
      <c r="H350" s="7">
        <f>'Respuestas de formulario 1'!S350</f>
        <v>2023</v>
      </c>
      <c r="I350" s="7" t="str">
        <f>IFERROR(__xludf.DUMMYFUNCTION("IF('Respuestas de formulario 1'!I350="""","""",TO_TEXT('Respuestas de formulario 1'!I350))"),"Obra social")</f>
        <v>Obra social</v>
      </c>
      <c r="J350" s="7" t="str">
        <f>IFERROR(__xludf.DUMMYFUNCTION("IF('Respuestas de formulario 1'!J350&lt;&gt;"""",UPPER(TRIM(TO_TEXT('Respuestas de formulario 1'!J350))),IF('Respuestas de formulario 1'!O350&lt;&gt;"""",UPPER(TRIM(TO_TEXT('Respuestas de formulario 1'!O350))),""""))"),"APROSS")</f>
        <v>APROSS</v>
      </c>
      <c r="K350" s="7" t="str">
        <f>IFERROR(__xludf.DUMMYFUNCTION("IF('Respuestas de formulario 1'!K350="""","""",TO_TEXT('Respuestas de formulario 1'!K350))"),"")</f>
        <v/>
      </c>
      <c r="L350" s="7" t="str">
        <f>IFERROR(__xludf.DUMMYFUNCTION("IF('Respuestas de formulario 1'!L350="""","""",TO_TEXT('Respuestas de formulario 1'!L350))"),"")</f>
        <v/>
      </c>
      <c r="M350" s="7" t="str">
        <f>IFERROR(__xludf.DUMMYFUNCTION("IF('Respuestas de formulario 1'!M350="""","""",TO_TEXT('Respuestas de formulario 1'!M350))"),"")</f>
        <v/>
      </c>
      <c r="N350" s="7">
        <f t="shared" si="1"/>
        <v>2023</v>
      </c>
      <c r="O350" s="7" t="str">
        <f t="shared" si="2"/>
        <v>octubre</v>
      </c>
      <c r="P350" s="7" t="s">
        <v>4897</v>
      </c>
    </row>
    <row r="351">
      <c r="A351" s="19">
        <f>'Respuestas de formulario 1'!A351</f>
        <v>45229.42262</v>
      </c>
      <c r="B351" s="7" t="str">
        <f>'Respuestas de formulario 1'!B351</f>
        <v>ZALAZAR </v>
      </c>
      <c r="C351" s="7" t="str">
        <f>'Respuestas de formulario 1'!C351</f>
        <v>Jorge Andres</v>
      </c>
      <c r="D351" s="7" t="str">
        <f>'Respuestas de formulario 1'!D351</f>
        <v>fz_sh@live.com.ar</v>
      </c>
      <c r="E351" s="20">
        <f>'Respuestas de formulario 1'!E351</f>
        <v>30487</v>
      </c>
      <c r="F351" s="7">
        <f>'Respuestas de formulario 1'!F351</f>
        <v>30234133</v>
      </c>
      <c r="G351" s="7" t="str">
        <f>IFERROR(__xludf.DUMMYFUNCTION("IF('Respuestas de formulario 1'!G351="""","""",IF(LEFT(REGEXREPLACE(TO_TEXT('Respuestas de formulario 1'!G351),""[^0-9]"",""""),2)=""54"",""+""&amp;REGEXREPLACE(TO_TEXT('Respuestas de formulario 1'!G351),""[^0-9]"",""""),""+54""&amp;REGEXREPLACE(TO_TEXT('Respuest"&amp;"as de formulario 1'!G351),""[^0-9]"","""")))"),"+543518100318")</f>
        <v>+543518100318</v>
      </c>
      <c r="H351" s="7">
        <f>'Respuestas de formulario 1'!S351</f>
        <v>2023</v>
      </c>
      <c r="I351" s="7" t="str">
        <f>IFERROR(__xludf.DUMMYFUNCTION("IF('Respuestas de formulario 1'!I351="""","""",TO_TEXT('Respuestas de formulario 1'!I351))"),"Particular")</f>
        <v>Particular</v>
      </c>
      <c r="J351" s="7" t="str">
        <f>IFERROR(__xludf.DUMMYFUNCTION("IF('Respuestas de formulario 1'!J351&lt;&gt;"""",UPPER(TRIM(TO_TEXT('Respuestas de formulario 1'!J351))),IF('Respuestas de formulario 1'!O351&lt;&gt;"""",UPPER(TRIM(TO_TEXT('Respuestas de formulario 1'!O351))),""""))"),"")</f>
        <v/>
      </c>
      <c r="K351" s="7" t="str">
        <f>IFERROR(__xludf.DUMMYFUNCTION("IF('Respuestas de formulario 1'!K351="""","""",TO_TEXT('Respuestas de formulario 1'!K351))"),"")</f>
        <v/>
      </c>
      <c r="L351" s="7" t="str">
        <f>IFERROR(__xludf.DUMMYFUNCTION("IF('Respuestas de formulario 1'!L351="""","""",TO_TEXT('Respuestas de formulario 1'!L351))"),"")</f>
        <v/>
      </c>
      <c r="M351" s="7" t="str">
        <f>IFERROR(__xludf.DUMMYFUNCTION("IF('Respuestas de formulario 1'!M351="""","""",TO_TEXT('Respuestas de formulario 1'!M351))"),"")</f>
        <v/>
      </c>
      <c r="N351" s="7">
        <f t="shared" si="1"/>
        <v>2023</v>
      </c>
      <c r="O351" s="7" t="str">
        <f t="shared" si="2"/>
        <v>octubre</v>
      </c>
      <c r="P351" s="7" t="s">
        <v>4899</v>
      </c>
    </row>
    <row r="352">
      <c r="A352" s="19">
        <f>'Respuestas de formulario 1'!A352</f>
        <v>45229.58671</v>
      </c>
      <c r="B352" s="7" t="str">
        <f>'Respuestas de formulario 1'!B352</f>
        <v>Dorflinger </v>
      </c>
      <c r="C352" s="7" t="str">
        <f>'Respuestas de formulario 1'!C352</f>
        <v>Karina</v>
      </c>
      <c r="D352" s="7" t="str">
        <f>'Respuestas de formulario 1'!D352</f>
        <v/>
      </c>
      <c r="E352" s="20">
        <f>'Respuestas de formulario 1'!E352</f>
        <v>31824</v>
      </c>
      <c r="F352" s="7">
        <f>'Respuestas de formulario 1'!F352</f>
        <v>32786876</v>
      </c>
      <c r="G352" s="7" t="str">
        <f>IFERROR(__xludf.DUMMYFUNCTION("IF('Respuestas de formulario 1'!G352="""","""",IF(LEFT(REGEXREPLACE(TO_TEXT('Respuestas de formulario 1'!G352),""[^0-9]"",""""),2)=""54"",""+""&amp;REGEXREPLACE(TO_TEXT('Respuestas de formulario 1'!G352),""[^0-9]"",""""),""+54""&amp;REGEXREPLACE(TO_TEXT('Respuest"&amp;"as de formulario 1'!G352),""[^0-9]"","""")))"),"+543512037904")</f>
        <v>+543512037904</v>
      </c>
      <c r="H352" s="7">
        <f>'Respuestas de formulario 1'!S352</f>
        <v>2023</v>
      </c>
      <c r="I352" s="7" t="str">
        <f>IFERROR(__xludf.DUMMYFUNCTION("IF('Respuestas de formulario 1'!I352="""","""",TO_TEXT('Respuestas de formulario 1'!I352))"),"Obra social")</f>
        <v>Obra social</v>
      </c>
      <c r="J352" s="7" t="str">
        <f>IFERROR(__xludf.DUMMYFUNCTION("IF('Respuestas de formulario 1'!J352&lt;&gt;"""",UPPER(TRIM(TO_TEXT('Respuestas de formulario 1'!J352))),IF('Respuestas de formulario 1'!O352&lt;&gt;"""",UPPER(TRIM(TO_TEXT('Respuestas de formulario 1'!O352))),""""))"),"DASPU")</f>
        <v>DASPU</v>
      </c>
      <c r="K352" s="7" t="str">
        <f>IFERROR(__xludf.DUMMYFUNCTION("IF('Respuestas de formulario 1'!K352="""","""",TO_TEXT('Respuestas de formulario 1'!K352))"),"")</f>
        <v/>
      </c>
      <c r="L352" s="7" t="str">
        <f>IFERROR(__xludf.DUMMYFUNCTION("IF('Respuestas de formulario 1'!L352="""","""",TO_TEXT('Respuestas de formulario 1'!L352))"),"")</f>
        <v/>
      </c>
      <c r="M352" s="7" t="str">
        <f>IFERROR(__xludf.DUMMYFUNCTION("IF('Respuestas de formulario 1'!M352="""","""",TO_TEXT('Respuestas de formulario 1'!M352))"),"")</f>
        <v/>
      </c>
      <c r="N352" s="7">
        <f t="shared" si="1"/>
        <v>2023</v>
      </c>
      <c r="O352" s="7" t="str">
        <f t="shared" si="2"/>
        <v>octubre</v>
      </c>
      <c r="P352" s="7" t="s">
        <v>4901</v>
      </c>
    </row>
    <row r="353">
      <c r="A353" s="19">
        <f>'Respuestas de formulario 1'!A353</f>
        <v>45229.79178</v>
      </c>
      <c r="B353" s="7" t="str">
        <f>'Respuestas de formulario 1'!B353</f>
        <v>Genth</v>
      </c>
      <c r="C353" s="7" t="str">
        <f>'Respuestas de formulario 1'!C353</f>
        <v>Susana </v>
      </c>
      <c r="D353" s="7" t="str">
        <f>'Respuestas de formulario 1'!D353</f>
        <v>susygenth@gmail.com</v>
      </c>
      <c r="E353" s="20">
        <f>'Respuestas de formulario 1'!E353</f>
        <v>20011</v>
      </c>
      <c r="F353" s="7">
        <f>'Respuestas de formulario 1'!F353</f>
        <v>11190770</v>
      </c>
      <c r="G353" s="7" t="str">
        <f>IFERROR(__xludf.DUMMYFUNCTION("IF('Respuestas de formulario 1'!G353="""","""",IF(LEFT(REGEXREPLACE(TO_TEXT('Respuestas de formulario 1'!G353),""[^0-9]"",""""),2)=""54"",""+""&amp;REGEXREPLACE(TO_TEXT('Respuestas de formulario 1'!G353),""[^0-9]"",""""),""+54""&amp;REGEXREPLACE(TO_TEXT('Respuest"&amp;"as de formulario 1'!G353),""[^0-9]"","""")))"),"+543516187661")</f>
        <v>+543516187661</v>
      </c>
      <c r="H353" s="7">
        <f>'Respuestas de formulario 1'!S353</f>
        <v>2023</v>
      </c>
      <c r="I353" s="7" t="str">
        <f>IFERROR(__xludf.DUMMYFUNCTION("IF('Respuestas de formulario 1'!I353="""","""",TO_TEXT('Respuestas de formulario 1'!I353))"),"Obra social")</f>
        <v>Obra social</v>
      </c>
      <c r="J353" s="7" t="str">
        <f>IFERROR(__xludf.DUMMYFUNCTION("IF('Respuestas de formulario 1'!J353&lt;&gt;"""",UPPER(TRIM(TO_TEXT('Respuestas de formulario 1'!J353))),IF('Respuestas de formulario 1'!O353&lt;&gt;"""",UPPER(TRIM(TO_TEXT('Respuestas de formulario 1'!O353))),""""))"),"APROSS")</f>
        <v>APROSS</v>
      </c>
      <c r="K353" s="7" t="str">
        <f>IFERROR(__xludf.DUMMYFUNCTION("IF('Respuestas de formulario 1'!K353="""","""",TO_TEXT('Respuestas de formulario 1'!K353))"),"")</f>
        <v/>
      </c>
      <c r="L353" s="7" t="str">
        <f>IFERROR(__xludf.DUMMYFUNCTION("IF('Respuestas de formulario 1'!L353="""","""",TO_TEXT('Respuestas de formulario 1'!L353))"),"")</f>
        <v/>
      </c>
      <c r="M353" s="7" t="str">
        <f>IFERROR(__xludf.DUMMYFUNCTION("IF('Respuestas de formulario 1'!M353="""","""",TO_TEXT('Respuestas de formulario 1'!M353))"),"")</f>
        <v/>
      </c>
      <c r="N353" s="7">
        <f t="shared" si="1"/>
        <v>2023</v>
      </c>
      <c r="O353" s="7" t="str">
        <f t="shared" si="2"/>
        <v>octubre</v>
      </c>
      <c r="P353" s="7" t="s">
        <v>4903</v>
      </c>
    </row>
    <row r="354">
      <c r="A354" s="19">
        <f>'Respuestas de formulario 1'!A354</f>
        <v>45230.52123</v>
      </c>
      <c r="B354" s="7" t="str">
        <f>'Respuestas de formulario 1'!B354</f>
        <v>Ford</v>
      </c>
      <c r="C354" s="7" t="str">
        <f>'Respuestas de formulario 1'!C354</f>
        <v>Estela nora</v>
      </c>
      <c r="D354" s="7" t="str">
        <f>'Respuestas de formulario 1'!D354</f>
        <v>estelaford@hotmail.com</v>
      </c>
      <c r="E354" s="20">
        <f>'Respuestas de formulario 1'!E354</f>
        <v>-675754</v>
      </c>
      <c r="F354" s="7">
        <f>'Respuestas de formulario 1'!F354</f>
        <v>6155643</v>
      </c>
      <c r="G354" s="7" t="str">
        <f>IFERROR(__xludf.DUMMYFUNCTION("IF('Respuestas de formulario 1'!G354="""","""",IF(LEFT(REGEXREPLACE(TO_TEXT('Respuestas de formulario 1'!G354),""[^0-9]"",""""),2)=""54"",""+""&amp;REGEXREPLACE(TO_TEXT('Respuestas de formulario 1'!G354),""[^0-9]"",""""),""+54""&amp;REGEXREPLACE(TO_TEXT('Respuest"&amp;"as de formulario 1'!G354),""[^0-9]"","""")))"),"+543513220214")</f>
        <v>+543513220214</v>
      </c>
      <c r="H354" s="7">
        <f>'Respuestas de formulario 1'!S354</f>
        <v>2023</v>
      </c>
      <c r="I354" s="7" t="str">
        <f>IFERROR(__xludf.DUMMYFUNCTION("IF('Respuestas de formulario 1'!I354="""","""",TO_TEXT('Respuestas de formulario 1'!I354))"),"Obra social")</f>
        <v>Obra social</v>
      </c>
      <c r="J354" s="7" t="str">
        <f>IFERROR(__xludf.DUMMYFUNCTION("IF('Respuestas de formulario 1'!J354&lt;&gt;"""",UPPER(TRIM(TO_TEXT('Respuestas de formulario 1'!J354))),IF('Respuestas de formulario 1'!O354&lt;&gt;"""",UPPER(TRIM(TO_TEXT('Respuestas de formulario 1'!O354))),""""))"),"APROSS")</f>
        <v>APROSS</v>
      </c>
      <c r="K354" s="7" t="str">
        <f>IFERROR(__xludf.DUMMYFUNCTION("IF('Respuestas de formulario 1'!K354="""","""",TO_TEXT('Respuestas de formulario 1'!K354))"),"")</f>
        <v/>
      </c>
      <c r="L354" s="7" t="str">
        <f>IFERROR(__xludf.DUMMYFUNCTION("IF('Respuestas de formulario 1'!L354="""","""",TO_TEXT('Respuestas de formulario 1'!L354))"),"")</f>
        <v/>
      </c>
      <c r="M354" s="7" t="str">
        <f>IFERROR(__xludf.DUMMYFUNCTION("IF('Respuestas de formulario 1'!M354="""","""",TO_TEXT('Respuestas de formulario 1'!M354))"),"")</f>
        <v/>
      </c>
      <c r="N354" s="7">
        <f t="shared" si="1"/>
        <v>2023</v>
      </c>
      <c r="O354" s="7" t="str">
        <f t="shared" si="2"/>
        <v>octubre</v>
      </c>
      <c r="P354" s="7" t="s">
        <v>4905</v>
      </c>
    </row>
    <row r="355">
      <c r="A355" s="19">
        <f>'Respuestas de formulario 1'!A355</f>
        <v>45230.71312</v>
      </c>
      <c r="B355" s="7" t="str">
        <f>'Respuestas de formulario 1'!B355</f>
        <v>Salvatierra</v>
      </c>
      <c r="C355" s="7" t="str">
        <f>'Respuestas de formulario 1'!C355</f>
        <v>Jesica</v>
      </c>
      <c r="D355" s="7" t="str">
        <f>'Respuestas de formulario 1'!D355</f>
        <v/>
      </c>
      <c r="E355" s="20">
        <f>'Respuestas de formulario 1'!E355</f>
        <v>30197</v>
      </c>
      <c r="F355" s="7">
        <f>'Respuestas de formulario 1'!F355</f>
        <v>29609724</v>
      </c>
      <c r="G355" s="7" t="str">
        <f>IFERROR(__xludf.DUMMYFUNCTION("IF('Respuestas de formulario 1'!G355="""","""",IF(LEFT(REGEXREPLACE(TO_TEXT('Respuestas de formulario 1'!G355),""[^0-9]"",""""),2)=""54"",""+""&amp;REGEXREPLACE(TO_TEXT('Respuestas de formulario 1'!G355),""[^0-9]"",""""),""+54""&amp;REGEXREPLACE(TO_TEXT('Respuest"&amp;"as de formulario 1'!G355),""[^0-9]"","""")))"),"+543512728398")</f>
        <v>+543512728398</v>
      </c>
      <c r="H355" s="7">
        <f>'Respuestas de formulario 1'!S355</f>
        <v>2023</v>
      </c>
      <c r="I355" s="7" t="str">
        <f>IFERROR(__xludf.DUMMYFUNCTION("IF('Respuestas de formulario 1'!I355="""","""",TO_TEXT('Respuestas de formulario 1'!I355))"),"Obra social")</f>
        <v>Obra social</v>
      </c>
      <c r="J355" s="7" t="str">
        <f>IFERROR(__xludf.DUMMYFUNCTION("IF('Respuestas de formulario 1'!J355&lt;&gt;"""",UPPER(TRIM(TO_TEXT('Respuestas de formulario 1'!J355))),IF('Respuestas de formulario 1'!O355&lt;&gt;"""",UPPER(TRIM(TO_TEXT('Respuestas de formulario 1'!O355))),""""))"),"PREVENCIÓN")</f>
        <v>PREVENCIÓN</v>
      </c>
      <c r="K355" s="7" t="str">
        <f>IFERROR(__xludf.DUMMYFUNCTION("IF('Respuestas de formulario 1'!K355="""","""",TO_TEXT('Respuestas de formulario 1'!K355))"),"")</f>
        <v/>
      </c>
      <c r="L355" s="7" t="str">
        <f>IFERROR(__xludf.DUMMYFUNCTION("IF('Respuestas de formulario 1'!L355="""","""",TO_TEXT('Respuestas de formulario 1'!L355))"),"")</f>
        <v/>
      </c>
      <c r="M355" s="7" t="str">
        <f>IFERROR(__xludf.DUMMYFUNCTION("IF('Respuestas de formulario 1'!M355="""","""",TO_TEXT('Respuestas de formulario 1'!M355))"),"")</f>
        <v/>
      </c>
      <c r="N355" s="7">
        <f t="shared" si="1"/>
        <v>2023</v>
      </c>
      <c r="O355" s="7" t="str">
        <f t="shared" si="2"/>
        <v>octubre</v>
      </c>
      <c r="P355" s="7" t="s">
        <v>4907</v>
      </c>
    </row>
    <row r="356">
      <c r="A356" s="19">
        <f>'Respuestas de formulario 1'!A356</f>
        <v>45230.85381</v>
      </c>
      <c r="B356" s="7" t="str">
        <f>'Respuestas de formulario 1'!B356</f>
        <v>Casado</v>
      </c>
      <c r="C356" s="7" t="str">
        <f>'Respuestas de formulario 1'!C356</f>
        <v>Delfina</v>
      </c>
      <c r="D356" s="7" t="str">
        <f>'Respuestas de formulario 1'!D356</f>
        <v>delficasado@hotmail.com</v>
      </c>
      <c r="E356" s="20">
        <f>'Respuestas de formulario 1'!E356</f>
        <v>33203</v>
      </c>
      <c r="F356" s="7">
        <f>'Respuestas de formulario 1'!F356</f>
        <v>35367949</v>
      </c>
      <c r="G356" s="7" t="str">
        <f>IFERROR(__xludf.DUMMYFUNCTION("IF('Respuestas de formulario 1'!G356="""","""",IF(LEFT(REGEXREPLACE(TO_TEXT('Respuestas de formulario 1'!G356),""[^0-9]"",""""),2)=""54"",""+""&amp;REGEXREPLACE(TO_TEXT('Respuestas de formulario 1'!G356),""[^0-9]"",""""),""+54""&amp;REGEXREPLACE(TO_TEXT('Respuest"&amp;"as de formulario 1'!G356),""[^0-9]"","""")))"),"+543513856349")</f>
        <v>+543513856349</v>
      </c>
      <c r="H356" s="7">
        <f>'Respuestas de formulario 1'!S356</f>
        <v>2023</v>
      </c>
      <c r="I356" s="7" t="str">
        <f>IFERROR(__xludf.DUMMYFUNCTION("IF('Respuestas de formulario 1'!I356="""","""",TO_TEXT('Respuestas de formulario 1'!I356))"),"Obra social")</f>
        <v>Obra social</v>
      </c>
      <c r="J356" s="7" t="str">
        <f>IFERROR(__xludf.DUMMYFUNCTION("IF('Respuestas de formulario 1'!J356&lt;&gt;"""",UPPER(TRIM(TO_TEXT('Respuestas de formulario 1'!J356))),IF('Respuestas de formulario 1'!O356&lt;&gt;"""",UPPER(TRIM(TO_TEXT('Respuestas de formulario 1'!O356))),""""))"),"PREVENCIÓN")</f>
        <v>PREVENCIÓN</v>
      </c>
      <c r="K356" s="7" t="str">
        <f>IFERROR(__xludf.DUMMYFUNCTION("IF('Respuestas de formulario 1'!K356="""","""",TO_TEXT('Respuestas de formulario 1'!K356))"),"")</f>
        <v/>
      </c>
      <c r="L356" s="7" t="str">
        <f>IFERROR(__xludf.DUMMYFUNCTION("IF('Respuestas de formulario 1'!L356="""","""",TO_TEXT('Respuestas de formulario 1'!L356))"),"")</f>
        <v/>
      </c>
      <c r="M356" s="7" t="str">
        <f>IFERROR(__xludf.DUMMYFUNCTION("IF('Respuestas de formulario 1'!M356="""","""",TO_TEXT('Respuestas de formulario 1'!M356))"),"")</f>
        <v/>
      </c>
      <c r="N356" s="7">
        <f t="shared" si="1"/>
        <v>2023</v>
      </c>
      <c r="O356" s="7" t="str">
        <f t="shared" si="2"/>
        <v>octubre</v>
      </c>
      <c r="P356" s="7" t="s">
        <v>4909</v>
      </c>
    </row>
    <row r="357">
      <c r="A357" s="19">
        <f>'Respuestas de formulario 1'!A357</f>
        <v>45231.06197</v>
      </c>
      <c r="B357" s="7" t="str">
        <f>'Respuestas de formulario 1'!B357</f>
        <v>SOBA</v>
      </c>
      <c r="C357" s="7" t="str">
        <f>'Respuestas de formulario 1'!C357</f>
        <v>SAID EMANUEL </v>
      </c>
      <c r="D357" s="7" t="str">
        <f>'Respuestas de formulario 1'!D357</f>
        <v>Ema_kerro@hotmail.com</v>
      </c>
      <c r="E357" s="20">
        <f>'Respuestas de formulario 1'!E357</f>
        <v>32173</v>
      </c>
      <c r="F357" s="7">
        <f>'Respuestas de formulario 1'!F357</f>
        <v>33414572</v>
      </c>
      <c r="G357" s="7" t="str">
        <f>IFERROR(__xludf.DUMMYFUNCTION("IF('Respuestas de formulario 1'!G357="""","""",IF(LEFT(REGEXREPLACE(TO_TEXT('Respuestas de formulario 1'!G357),""[^0-9]"",""""),2)=""54"",""+""&amp;REGEXREPLACE(TO_TEXT('Respuestas de formulario 1'!G357),""[^0-9]"",""""),""+54""&amp;REGEXREPLACE(TO_TEXT('Respuest"&amp;"as de formulario 1'!G357),""[^0-9]"","""")))"),"+543515587733")</f>
        <v>+543515587733</v>
      </c>
      <c r="H357" s="7">
        <f>'Respuestas de formulario 1'!S357</f>
        <v>2023</v>
      </c>
      <c r="I357" s="7" t="str">
        <f>IFERROR(__xludf.DUMMYFUNCTION("IF('Respuestas de formulario 1'!I357="""","""",TO_TEXT('Respuestas de formulario 1'!I357))"),"Obra social")</f>
        <v>Obra social</v>
      </c>
      <c r="J357" s="7" t="str">
        <f>IFERROR(__xludf.DUMMYFUNCTION("IF('Respuestas de formulario 1'!J357&lt;&gt;"""",UPPER(TRIM(TO_TEXT('Respuestas de formulario 1'!J357))),IF('Respuestas de formulario 1'!O357&lt;&gt;"""",UPPER(TRIM(TO_TEXT('Respuestas de formulario 1'!O357))),""""))"),"APROSS")</f>
        <v>APROSS</v>
      </c>
      <c r="K357" s="7" t="str">
        <f>IFERROR(__xludf.DUMMYFUNCTION("IF('Respuestas de formulario 1'!K357="""","""",TO_TEXT('Respuestas de formulario 1'!K357))"),"")</f>
        <v/>
      </c>
      <c r="L357" s="7" t="str">
        <f>IFERROR(__xludf.DUMMYFUNCTION("IF('Respuestas de formulario 1'!L357="""","""",TO_TEXT('Respuestas de formulario 1'!L357))"),"")</f>
        <v/>
      </c>
      <c r="M357" s="7" t="str">
        <f>IFERROR(__xludf.DUMMYFUNCTION("IF('Respuestas de formulario 1'!M357="""","""",TO_TEXT('Respuestas de formulario 1'!M357))"),"")</f>
        <v/>
      </c>
      <c r="N357" s="7">
        <f t="shared" si="1"/>
        <v>2023</v>
      </c>
      <c r="O357" s="7" t="str">
        <f t="shared" si="2"/>
        <v>noviembre</v>
      </c>
      <c r="P357" s="7" t="s">
        <v>4911</v>
      </c>
    </row>
    <row r="358">
      <c r="A358" s="19">
        <f>'Respuestas de formulario 1'!A358</f>
        <v>45231.78024</v>
      </c>
      <c r="B358" s="7" t="str">
        <f>'Respuestas de formulario 1'!B358</f>
        <v>Lavayen</v>
      </c>
      <c r="C358" s="7" t="str">
        <f>'Respuestas de formulario 1'!C358</f>
        <v>Constanza</v>
      </c>
      <c r="D358" s="7" t="str">
        <f>'Respuestas de formulario 1'!D358</f>
        <v>cotilavayen29@gmail.com</v>
      </c>
      <c r="E358" s="20">
        <f>'Respuestas de formulario 1'!E358</f>
        <v>35702</v>
      </c>
      <c r="F358" s="7">
        <f>'Respuestas de formulario 1'!F358</f>
        <v>40683085</v>
      </c>
      <c r="G358" s="7" t="str">
        <f>IFERROR(__xludf.DUMMYFUNCTION("IF('Respuestas de formulario 1'!G358="""","""",IF(LEFT(REGEXREPLACE(TO_TEXT('Respuestas de formulario 1'!G358),""[^0-9]"",""""),2)=""54"",""+""&amp;REGEXREPLACE(TO_TEXT('Respuestas de formulario 1'!G358),""[^0-9]"",""""),""+54""&amp;REGEXREPLACE(TO_TEXT('Respuest"&amp;"as de formulario 1'!G358),""[^0-9]"","""")))"),"+543517056910")</f>
        <v>+543517056910</v>
      </c>
      <c r="H358" s="7">
        <f>'Respuestas de formulario 1'!S358</f>
        <v>2023</v>
      </c>
      <c r="I358" s="7" t="str">
        <f>IFERROR(__xludf.DUMMYFUNCTION("IF('Respuestas de formulario 1'!I358="""","""",TO_TEXT('Respuestas de formulario 1'!I358))"),"Particular")</f>
        <v>Particular</v>
      </c>
      <c r="J358" s="7" t="str">
        <f>IFERROR(__xludf.DUMMYFUNCTION("IF('Respuestas de formulario 1'!J358&lt;&gt;"""",UPPER(TRIM(TO_TEXT('Respuestas de formulario 1'!J358))),IF('Respuestas de formulario 1'!O358&lt;&gt;"""",UPPER(TRIM(TO_TEXT('Respuestas de formulario 1'!O358))),""""))"),"")</f>
        <v/>
      </c>
      <c r="K358" s="7" t="str">
        <f>IFERROR(__xludf.DUMMYFUNCTION("IF('Respuestas de formulario 1'!K358="""","""",TO_TEXT('Respuestas de formulario 1'!K358))"),"")</f>
        <v/>
      </c>
      <c r="L358" s="7" t="str">
        <f>IFERROR(__xludf.DUMMYFUNCTION("IF('Respuestas de formulario 1'!L358="""","""",TO_TEXT('Respuestas de formulario 1'!L358))"),"")</f>
        <v/>
      </c>
      <c r="M358" s="7" t="str">
        <f>IFERROR(__xludf.DUMMYFUNCTION("IF('Respuestas de formulario 1'!M358="""","""",TO_TEXT('Respuestas de formulario 1'!M358))"),"")</f>
        <v/>
      </c>
      <c r="N358" s="7">
        <f t="shared" si="1"/>
        <v>2023</v>
      </c>
      <c r="O358" s="7" t="str">
        <f t="shared" si="2"/>
        <v>noviembre</v>
      </c>
      <c r="P358" s="7" t="s">
        <v>4913</v>
      </c>
    </row>
    <row r="359">
      <c r="A359" s="19">
        <f>'Respuestas de formulario 1'!A359</f>
        <v>45232.71825</v>
      </c>
      <c r="B359" s="7" t="str">
        <f>'Respuestas de formulario 1'!B359</f>
        <v>Sajama</v>
      </c>
      <c r="C359" s="7" t="str">
        <f>'Respuestas de formulario 1'!C359</f>
        <v>Mauricio</v>
      </c>
      <c r="D359" s="7" t="str">
        <f>'Respuestas de formulario 1'!D359</f>
        <v>nery_mauricio5@hotmail.com</v>
      </c>
      <c r="E359" s="20">
        <f>'Respuestas de formulario 1'!E359</f>
        <v>33240</v>
      </c>
      <c r="F359" s="7">
        <f>'Respuestas de formulario 1'!F359</f>
        <v>35673701</v>
      </c>
      <c r="G359" s="7" t="str">
        <f>IFERROR(__xludf.DUMMYFUNCTION("IF('Respuestas de formulario 1'!G359="""","""",IF(LEFT(REGEXREPLACE(TO_TEXT('Respuestas de formulario 1'!G359),""[^0-9]"",""""),2)=""54"",""+""&amp;REGEXREPLACE(TO_TEXT('Respuestas de formulario 1'!G359),""[^0-9]"",""""),""+54""&amp;REGEXREPLACE(TO_TEXT('Respuest"&amp;"as de formulario 1'!G359),""[^0-9]"","""")))"),"+543513957444")</f>
        <v>+543513957444</v>
      </c>
      <c r="H359" s="7">
        <f>'Respuestas de formulario 1'!S359</f>
        <v>2023</v>
      </c>
      <c r="I359" s="7" t="str">
        <f>IFERROR(__xludf.DUMMYFUNCTION("IF('Respuestas de formulario 1'!I359="""","""",TO_TEXT('Respuestas de formulario 1'!I359))"),"Obra social")</f>
        <v>Obra social</v>
      </c>
      <c r="J359" s="7" t="str">
        <f>IFERROR(__xludf.DUMMYFUNCTION("IF('Respuestas de formulario 1'!J359&lt;&gt;"""",UPPER(TRIM(TO_TEXT('Respuestas de formulario 1'!J359))),IF('Respuestas de formulario 1'!O359&lt;&gt;"""",UPPER(TRIM(TO_TEXT('Respuestas de formulario 1'!O359))),""""))"),"APROSS")</f>
        <v>APROSS</v>
      </c>
      <c r="K359" s="7" t="str">
        <f>IFERROR(__xludf.DUMMYFUNCTION("IF('Respuestas de formulario 1'!K359="""","""",TO_TEXT('Respuestas de formulario 1'!K359))"),"")</f>
        <v/>
      </c>
      <c r="L359" s="7" t="str">
        <f>IFERROR(__xludf.DUMMYFUNCTION("IF('Respuestas de formulario 1'!L359="""","""",TO_TEXT('Respuestas de formulario 1'!L359))"),"")</f>
        <v/>
      </c>
      <c r="M359" s="7" t="str">
        <f>IFERROR(__xludf.DUMMYFUNCTION("IF('Respuestas de formulario 1'!M359="""","""",TO_TEXT('Respuestas de formulario 1'!M359))"),"")</f>
        <v/>
      </c>
      <c r="N359" s="7">
        <f t="shared" si="1"/>
        <v>2023</v>
      </c>
      <c r="O359" s="7" t="str">
        <f t="shared" si="2"/>
        <v>noviembre</v>
      </c>
      <c r="P359" s="7" t="s">
        <v>4915</v>
      </c>
    </row>
    <row r="360">
      <c r="A360" s="19">
        <f>'Respuestas de formulario 1'!A360</f>
        <v>45236.63311</v>
      </c>
      <c r="B360" s="7" t="str">
        <f>'Respuestas de formulario 1'!B360</f>
        <v>Arraya</v>
      </c>
      <c r="C360" s="7" t="str">
        <f>'Respuestas de formulario 1'!C360</f>
        <v>Adrian</v>
      </c>
      <c r="D360" s="7" t="str">
        <f>'Respuestas de formulario 1'!D360</f>
        <v>Arrayaadrian@gmail.com</v>
      </c>
      <c r="E360" s="20">
        <f>'Respuestas de formulario 1'!E360</f>
        <v>30909</v>
      </c>
      <c r="F360" s="7">
        <f>'Respuestas de formulario 1'!F360</f>
        <v>31055489</v>
      </c>
      <c r="G360" s="7" t="str">
        <f>IFERROR(__xludf.DUMMYFUNCTION("IF('Respuestas de formulario 1'!G360="""","""",IF(LEFT(REGEXREPLACE(TO_TEXT('Respuestas de formulario 1'!G360),""[^0-9]"",""""),2)=""54"",""+""&amp;REGEXREPLACE(TO_TEXT('Respuestas de formulario 1'!G360),""[^0-9]"",""""),""+54""&amp;REGEXREPLACE(TO_TEXT('Respuest"&amp;"as de formulario 1'!G360),""[^0-9]"","""")))"),"+543517068363")</f>
        <v>+543517068363</v>
      </c>
      <c r="H360" s="7">
        <f>'Respuestas de formulario 1'!S360</f>
        <v>2023</v>
      </c>
      <c r="I360" s="7" t="str">
        <f>IFERROR(__xludf.DUMMYFUNCTION("IF('Respuestas de formulario 1'!I360="""","""",TO_TEXT('Respuestas de formulario 1'!I360))"),"Obra social")</f>
        <v>Obra social</v>
      </c>
      <c r="J360" s="7" t="str">
        <f>IFERROR(__xludf.DUMMYFUNCTION("IF('Respuestas de formulario 1'!J360&lt;&gt;"""",UPPER(TRIM(TO_TEXT('Respuestas de formulario 1'!J360))),IF('Respuestas de formulario 1'!O360&lt;&gt;"""",UPPER(TRIM(TO_TEXT('Respuestas de formulario 1'!O360))),""""))"),"PREVENSION")</f>
        <v>PREVENSION</v>
      </c>
      <c r="K360" s="7" t="str">
        <f>IFERROR(__xludf.DUMMYFUNCTION("IF('Respuestas de formulario 1'!K360="""","""",TO_TEXT('Respuestas de formulario 1'!K360))"),"")</f>
        <v/>
      </c>
      <c r="L360" s="7" t="str">
        <f>IFERROR(__xludf.DUMMYFUNCTION("IF('Respuestas de formulario 1'!L360="""","""",TO_TEXT('Respuestas de formulario 1'!L360))"),"")</f>
        <v/>
      </c>
      <c r="M360" s="7" t="str">
        <f>IFERROR(__xludf.DUMMYFUNCTION("IF('Respuestas de formulario 1'!M360="""","""",TO_TEXT('Respuestas de formulario 1'!M360))"),"")</f>
        <v/>
      </c>
      <c r="N360" s="7">
        <f t="shared" si="1"/>
        <v>2023</v>
      </c>
      <c r="O360" s="7" t="str">
        <f t="shared" si="2"/>
        <v>noviembre</v>
      </c>
      <c r="P360" s="7" t="s">
        <v>4917</v>
      </c>
    </row>
    <row r="361">
      <c r="A361" s="19">
        <f>'Respuestas de formulario 1'!A361</f>
        <v>45236.80403</v>
      </c>
      <c r="B361" s="7" t="str">
        <f>'Respuestas de formulario 1'!B361</f>
        <v>ARAGNO</v>
      </c>
      <c r="C361" s="7" t="str">
        <f>'Respuestas de formulario 1'!C361</f>
        <v>JAVIER CARLOS</v>
      </c>
      <c r="D361" s="7" t="str">
        <f>'Respuestas de formulario 1'!D361</f>
        <v>servihierros@gmail.com</v>
      </c>
      <c r="E361" s="20">
        <f>'Respuestas de formulario 1'!E361</f>
        <v>24595</v>
      </c>
      <c r="F361" s="7">
        <f>'Respuestas de formulario 1'!F361</f>
        <v>18174382</v>
      </c>
      <c r="G361" s="7" t="str">
        <f>IFERROR(__xludf.DUMMYFUNCTION("IF('Respuestas de formulario 1'!G361="""","""",IF(LEFT(REGEXREPLACE(TO_TEXT('Respuestas de formulario 1'!G361),""[^0-9]"",""""),2)=""54"",""+""&amp;REGEXREPLACE(TO_TEXT('Respuestas de formulario 1'!G361),""[^0-9]"",""""),""+54""&amp;REGEXREPLACE(TO_TEXT('Respuest"&amp;"as de formulario 1'!G361),""[^0-9]"","""")))"),"+543512068678")</f>
        <v>+543512068678</v>
      </c>
      <c r="H361" s="7">
        <f>'Respuestas de formulario 1'!S361</f>
        <v>2023</v>
      </c>
      <c r="I361" s="7" t="str">
        <f>IFERROR(__xludf.DUMMYFUNCTION("IF('Respuestas de formulario 1'!I361="""","""",TO_TEXT('Respuestas de formulario 1'!I361))"),"Obra social")</f>
        <v>Obra social</v>
      </c>
      <c r="J361" s="7" t="str">
        <f>IFERROR(__xludf.DUMMYFUNCTION("IF('Respuestas de formulario 1'!J361&lt;&gt;"""",UPPER(TRIM(TO_TEXT('Respuestas de formulario 1'!J361))),IF('Respuestas de formulario 1'!O361&lt;&gt;"""",UPPER(TRIM(TO_TEXT('Respuestas de formulario 1'!O361))),""""))"),"SANCOR")</f>
        <v>SANCOR</v>
      </c>
      <c r="K361" s="7" t="str">
        <f>IFERROR(__xludf.DUMMYFUNCTION("IF('Respuestas de formulario 1'!K361="""","""",TO_TEXT('Respuestas de formulario 1'!K361))"),"")</f>
        <v/>
      </c>
      <c r="L361" s="7" t="str">
        <f>IFERROR(__xludf.DUMMYFUNCTION("IF('Respuestas de formulario 1'!L361="""","""",TO_TEXT('Respuestas de formulario 1'!L361))"),"")</f>
        <v/>
      </c>
      <c r="M361" s="7" t="str">
        <f>IFERROR(__xludf.DUMMYFUNCTION("IF('Respuestas de formulario 1'!M361="""","""",TO_TEXT('Respuestas de formulario 1'!M361))"),"")</f>
        <v/>
      </c>
      <c r="N361" s="7">
        <f t="shared" si="1"/>
        <v>2023</v>
      </c>
      <c r="O361" s="7" t="str">
        <f t="shared" si="2"/>
        <v>noviembre</v>
      </c>
      <c r="P361" s="7" t="s">
        <v>4919</v>
      </c>
    </row>
    <row r="362">
      <c r="A362" s="19">
        <f>'Respuestas de formulario 1'!A362</f>
        <v>45236.81253</v>
      </c>
      <c r="B362" s="7" t="str">
        <f>'Respuestas de formulario 1'!B362</f>
        <v>Peralta</v>
      </c>
      <c r="C362" s="7" t="str">
        <f>'Respuestas de formulario 1'!C362</f>
        <v>Gabriel</v>
      </c>
      <c r="D362" s="7" t="str">
        <f>'Respuestas de formulario 1'!D362</f>
        <v>intecpro.industrial@gmail.com</v>
      </c>
      <c r="E362" s="20">
        <f>'Respuestas de formulario 1'!E362</f>
        <v>27974</v>
      </c>
      <c r="F362" s="7">
        <f>'Respuestas de formulario 1'!F362</f>
        <v>25342817</v>
      </c>
      <c r="G362" s="7" t="str">
        <f>IFERROR(__xludf.DUMMYFUNCTION("IF('Respuestas de formulario 1'!G362="""","""",IF(LEFT(REGEXREPLACE(TO_TEXT('Respuestas de formulario 1'!G362),""[^0-9]"",""""),2)=""54"",""+""&amp;REGEXREPLACE(TO_TEXT('Respuestas de formulario 1'!G362),""[^0-9]"",""""),""+54""&amp;REGEXREPLACE(TO_TEXT('Respuest"&amp;"as de formulario 1'!G362),""[^0-9]"","""")))"),"+543517506330")</f>
        <v>+543517506330</v>
      </c>
      <c r="H362" s="7">
        <f>'Respuestas de formulario 1'!S362</f>
        <v>2023</v>
      </c>
      <c r="I362" s="7" t="str">
        <f>IFERROR(__xludf.DUMMYFUNCTION("IF('Respuestas de formulario 1'!I362="""","""",TO_TEXT('Respuestas de formulario 1'!I362))"),"Particular")</f>
        <v>Particular</v>
      </c>
      <c r="J362" s="7" t="str">
        <f>IFERROR(__xludf.DUMMYFUNCTION("IF('Respuestas de formulario 1'!J362&lt;&gt;"""",UPPER(TRIM(TO_TEXT('Respuestas de formulario 1'!J362))),IF('Respuestas de formulario 1'!O362&lt;&gt;"""",UPPER(TRIM(TO_TEXT('Respuestas de formulario 1'!O362))),""""))"),"")</f>
        <v/>
      </c>
      <c r="K362" s="7" t="str">
        <f>IFERROR(__xludf.DUMMYFUNCTION("IF('Respuestas de formulario 1'!K362="""","""",TO_TEXT('Respuestas de formulario 1'!K362))"),"")</f>
        <v/>
      </c>
      <c r="L362" s="7" t="str">
        <f>IFERROR(__xludf.DUMMYFUNCTION("IF('Respuestas de formulario 1'!L362="""","""",TO_TEXT('Respuestas de formulario 1'!L362))"),"")</f>
        <v/>
      </c>
      <c r="M362" s="7" t="str">
        <f>IFERROR(__xludf.DUMMYFUNCTION("IF('Respuestas de formulario 1'!M362="""","""",TO_TEXT('Respuestas de formulario 1'!M362))"),"")</f>
        <v/>
      </c>
      <c r="N362" s="7">
        <f t="shared" si="1"/>
        <v>2023</v>
      </c>
      <c r="O362" s="7" t="str">
        <f t="shared" si="2"/>
        <v>noviembre</v>
      </c>
      <c r="P362" s="7" t="s">
        <v>4921</v>
      </c>
    </row>
    <row r="363">
      <c r="A363" s="19">
        <f>'Respuestas de formulario 1'!A363</f>
        <v>45237.3907</v>
      </c>
      <c r="B363" s="7" t="str">
        <f>'Respuestas de formulario 1'!B363</f>
        <v>Perez</v>
      </c>
      <c r="C363" s="7" t="str">
        <f>'Respuestas de formulario 1'!C363</f>
        <v>Flavio agustin</v>
      </c>
      <c r="D363" s="7" t="str">
        <f>'Respuestas de formulario 1'!D363</f>
        <v>Agustinperezlog@gmail.com</v>
      </c>
      <c r="E363" s="20">
        <f>'Respuestas de formulario 1'!E363</f>
        <v>33817</v>
      </c>
      <c r="F363" s="7">
        <f>'Respuestas de formulario 1'!F363</f>
        <v>36358202</v>
      </c>
      <c r="G363" s="7" t="str">
        <f>IFERROR(__xludf.DUMMYFUNCTION("IF('Respuestas de formulario 1'!G363="""","""",IF(LEFT(REGEXREPLACE(TO_TEXT('Respuestas de formulario 1'!G363),""[^0-9]"",""""),2)=""54"",""+""&amp;REGEXREPLACE(TO_TEXT('Respuestas de formulario 1'!G363),""[^0-9]"",""""),""+54""&amp;REGEXREPLACE(TO_TEXT('Respuest"&amp;"as de formulario 1'!G363),""[^0-9]"","""")))"),"+543513818130")</f>
        <v>+543513818130</v>
      </c>
      <c r="H363" s="7">
        <f>'Respuestas de formulario 1'!S363</f>
        <v>2023</v>
      </c>
      <c r="I363" s="7" t="str">
        <f>IFERROR(__xludf.DUMMYFUNCTION("IF('Respuestas de formulario 1'!I363="""","""",TO_TEXT('Respuestas de formulario 1'!I363))"),"Particular")</f>
        <v>Particular</v>
      </c>
      <c r="J363" s="7" t="str">
        <f>IFERROR(__xludf.DUMMYFUNCTION("IF('Respuestas de formulario 1'!J363&lt;&gt;"""",UPPER(TRIM(TO_TEXT('Respuestas de formulario 1'!J363))),IF('Respuestas de formulario 1'!O363&lt;&gt;"""",UPPER(TRIM(TO_TEXT('Respuestas de formulario 1'!O363))),""""))"),"")</f>
        <v/>
      </c>
      <c r="K363" s="7" t="str">
        <f>IFERROR(__xludf.DUMMYFUNCTION("IF('Respuestas de formulario 1'!K363="""","""",TO_TEXT('Respuestas de formulario 1'!K363))"),"")</f>
        <v/>
      </c>
      <c r="L363" s="7" t="str">
        <f>IFERROR(__xludf.DUMMYFUNCTION("IF('Respuestas de formulario 1'!L363="""","""",TO_TEXT('Respuestas de formulario 1'!L363))"),"")</f>
        <v/>
      </c>
      <c r="M363" s="7" t="str">
        <f>IFERROR(__xludf.DUMMYFUNCTION("IF('Respuestas de formulario 1'!M363="""","""",TO_TEXT('Respuestas de formulario 1'!M363))"),"")</f>
        <v/>
      </c>
      <c r="N363" s="7">
        <f t="shared" si="1"/>
        <v>2023</v>
      </c>
      <c r="O363" s="7" t="str">
        <f t="shared" si="2"/>
        <v>noviembre</v>
      </c>
      <c r="P363" s="7" t="s">
        <v>4923</v>
      </c>
    </row>
    <row r="364">
      <c r="A364" s="19">
        <f>'Respuestas de formulario 1'!A364</f>
        <v>45237.73658</v>
      </c>
      <c r="B364" s="7" t="str">
        <f>'Respuestas de formulario 1'!B364</f>
        <v>Llorens</v>
      </c>
      <c r="C364" s="7" t="str">
        <f>'Respuestas de formulario 1'!C364</f>
        <v>Juan sebastian</v>
      </c>
      <c r="D364" s="7" t="str">
        <f>'Respuestas de formulario 1'!D364</f>
        <v>juansellorens@msn.com</v>
      </c>
      <c r="E364" s="20">
        <f>'Respuestas de formulario 1'!E364</f>
        <v>28154</v>
      </c>
      <c r="F364" s="7">
        <f>'Respuestas de formulario 1'!F364</f>
        <v>25247505</v>
      </c>
      <c r="G364" s="7" t="str">
        <f>IFERROR(__xludf.DUMMYFUNCTION("IF('Respuestas de formulario 1'!G364="""","""",IF(LEFT(REGEXREPLACE(TO_TEXT('Respuestas de formulario 1'!G364),""[^0-9]"",""""),2)=""54"",""+""&amp;REGEXREPLACE(TO_TEXT('Respuestas de formulario 1'!G364),""[^0-9]"",""""),""+54""&amp;REGEXREPLACE(TO_TEXT('Respuest"&amp;"as de formulario 1'!G364),""[^0-9]"","""")))"),"+543516515677")</f>
        <v>+543516515677</v>
      </c>
      <c r="H364" s="7">
        <f>'Respuestas de formulario 1'!S364</f>
        <v>2023</v>
      </c>
      <c r="I364" s="7" t="str">
        <f>IFERROR(__xludf.DUMMYFUNCTION("IF('Respuestas de formulario 1'!I364="""","""",TO_TEXT('Respuestas de formulario 1'!I364))"),"Obra social")</f>
        <v>Obra social</v>
      </c>
      <c r="J364" s="7" t="str">
        <f>IFERROR(__xludf.DUMMYFUNCTION("IF('Respuestas de formulario 1'!J364&lt;&gt;"""",UPPER(TRIM(TO_TEXT('Respuestas de formulario 1'!J364))),IF('Respuestas de formulario 1'!O364&lt;&gt;"""",UPPER(TRIM(TO_TEXT('Respuestas de formulario 1'!O364))),""""))"),"DASPU")</f>
        <v>DASPU</v>
      </c>
      <c r="K364" s="7" t="str">
        <f>IFERROR(__xludf.DUMMYFUNCTION("IF('Respuestas de formulario 1'!K364="""","""",TO_TEXT('Respuestas de formulario 1'!K364))"),"")</f>
        <v/>
      </c>
      <c r="L364" s="7" t="str">
        <f>IFERROR(__xludf.DUMMYFUNCTION("IF('Respuestas de formulario 1'!L364="""","""",TO_TEXT('Respuestas de formulario 1'!L364))"),"")</f>
        <v/>
      </c>
      <c r="M364" s="7" t="str">
        <f>IFERROR(__xludf.DUMMYFUNCTION("IF('Respuestas de formulario 1'!M364="""","""",TO_TEXT('Respuestas de formulario 1'!M364))"),"")</f>
        <v/>
      </c>
      <c r="N364" s="7">
        <f t="shared" si="1"/>
        <v>2023</v>
      </c>
      <c r="O364" s="7" t="str">
        <f t="shared" si="2"/>
        <v>noviembre</v>
      </c>
      <c r="P364" s="7" t="s">
        <v>4925</v>
      </c>
    </row>
    <row r="365">
      <c r="A365" s="19">
        <f>'Respuestas de formulario 1'!A365</f>
        <v>45238.37978</v>
      </c>
      <c r="B365" s="7" t="str">
        <f>'Respuestas de formulario 1'!B365</f>
        <v>GOMEZ</v>
      </c>
      <c r="C365" s="7" t="str">
        <f>'Respuestas de formulario 1'!C365</f>
        <v>NATALIA</v>
      </c>
      <c r="D365" s="7" t="str">
        <f>'Respuestas de formulario 1'!D365</f>
        <v>nataliagcastanos@gmail.com</v>
      </c>
      <c r="E365" s="20">
        <f>'Respuestas de formulario 1'!E365</f>
        <v>28097</v>
      </c>
      <c r="F365" s="7">
        <f>'Respuestas de formulario 1'!F365</f>
        <v>25609780</v>
      </c>
      <c r="G365" s="7" t="str">
        <f>IFERROR(__xludf.DUMMYFUNCTION("IF('Respuestas de formulario 1'!G365="""","""",IF(LEFT(REGEXREPLACE(TO_TEXT('Respuestas de formulario 1'!G365),""[^0-9]"",""""),2)=""54"",""+""&amp;REGEXREPLACE(TO_TEXT('Respuestas de formulario 1'!G365),""[^0-9]"",""""),""+54""&amp;REGEXREPLACE(TO_TEXT('Respuest"&amp;"as de formulario 1'!G365),""[^0-9]"","""")))"),"+543512211627")</f>
        <v>+543512211627</v>
      </c>
      <c r="H365" s="7">
        <f>'Respuestas de formulario 1'!S365</f>
        <v>2023</v>
      </c>
      <c r="I365" s="7" t="str">
        <f>IFERROR(__xludf.DUMMYFUNCTION("IF('Respuestas de formulario 1'!I365="""","""",TO_TEXT('Respuestas de formulario 1'!I365))"),"Particular")</f>
        <v>Particular</v>
      </c>
      <c r="J365" s="7" t="str">
        <f>IFERROR(__xludf.DUMMYFUNCTION("IF('Respuestas de formulario 1'!J365&lt;&gt;"""",UPPER(TRIM(TO_TEXT('Respuestas de formulario 1'!J365))),IF('Respuestas de formulario 1'!O365&lt;&gt;"""",UPPER(TRIM(TO_TEXT('Respuestas de formulario 1'!O365))),""""))"),"")</f>
        <v/>
      </c>
      <c r="K365" s="7" t="str">
        <f>IFERROR(__xludf.DUMMYFUNCTION("IF('Respuestas de formulario 1'!K365="""","""",TO_TEXT('Respuestas de formulario 1'!K365))"),"")</f>
        <v/>
      </c>
      <c r="L365" s="7" t="str">
        <f>IFERROR(__xludf.DUMMYFUNCTION("IF('Respuestas de formulario 1'!L365="""","""",TO_TEXT('Respuestas de formulario 1'!L365))"),"")</f>
        <v/>
      </c>
      <c r="M365" s="7" t="str">
        <f>IFERROR(__xludf.DUMMYFUNCTION("IF('Respuestas de formulario 1'!M365="""","""",TO_TEXT('Respuestas de formulario 1'!M365))"),"")</f>
        <v/>
      </c>
      <c r="N365" s="7">
        <f t="shared" si="1"/>
        <v>2023</v>
      </c>
      <c r="O365" s="7" t="str">
        <f t="shared" si="2"/>
        <v>noviembre</v>
      </c>
      <c r="P365" s="7" t="s">
        <v>4926</v>
      </c>
    </row>
    <row r="366">
      <c r="A366" s="19">
        <f>'Respuestas de formulario 1'!A366</f>
        <v>45238.52235</v>
      </c>
      <c r="B366" s="7" t="str">
        <f>'Respuestas de formulario 1'!B366</f>
        <v>Berardo</v>
      </c>
      <c r="C366" s="7" t="str">
        <f>'Respuestas de formulario 1'!C366</f>
        <v>Nicolas</v>
      </c>
      <c r="D366" s="7" t="str">
        <f>'Respuestas de formulario 1'!D366</f>
        <v>Nicolasberardo1998@gmail.com</v>
      </c>
      <c r="E366" s="20">
        <f>'Respuestas de formulario 1'!E366</f>
        <v>35955</v>
      </c>
      <c r="F366" s="7">
        <f>'Respuestas de formulario 1'!F366</f>
        <v>41033825</v>
      </c>
      <c r="G366" s="7" t="str">
        <f>IFERROR(__xludf.DUMMYFUNCTION("IF('Respuestas de formulario 1'!G366="""","""",IF(LEFT(REGEXREPLACE(TO_TEXT('Respuestas de formulario 1'!G366),""[^0-9]"",""""),2)=""54"",""+""&amp;REGEXREPLACE(TO_TEXT('Respuestas de formulario 1'!G366),""[^0-9]"",""""),""+54""&amp;REGEXREPLACE(TO_TEXT('Respuest"&amp;"as de formulario 1'!G366),""[^0-9]"","""")))"),"+543534820680")</f>
        <v>+543534820680</v>
      </c>
      <c r="H366" s="7">
        <f>'Respuestas de formulario 1'!S366</f>
        <v>2023</v>
      </c>
      <c r="I366" s="7" t="str">
        <f>IFERROR(__xludf.DUMMYFUNCTION("IF('Respuestas de formulario 1'!I366="""","""",TO_TEXT('Respuestas de formulario 1'!I366))"),"Particular")</f>
        <v>Particular</v>
      </c>
      <c r="J366" s="7" t="str">
        <f>IFERROR(__xludf.DUMMYFUNCTION("IF('Respuestas de formulario 1'!J366&lt;&gt;"""",UPPER(TRIM(TO_TEXT('Respuestas de formulario 1'!J366))),IF('Respuestas de formulario 1'!O366&lt;&gt;"""",UPPER(TRIM(TO_TEXT('Respuestas de formulario 1'!O366))),""""))"),"")</f>
        <v/>
      </c>
      <c r="K366" s="7" t="str">
        <f>IFERROR(__xludf.DUMMYFUNCTION("IF('Respuestas de formulario 1'!K366="""","""",TO_TEXT('Respuestas de formulario 1'!K366))"),"")</f>
        <v/>
      </c>
      <c r="L366" s="7" t="str">
        <f>IFERROR(__xludf.DUMMYFUNCTION("IF('Respuestas de formulario 1'!L366="""","""",TO_TEXT('Respuestas de formulario 1'!L366))"),"")</f>
        <v/>
      </c>
      <c r="M366" s="7" t="str">
        <f>IFERROR(__xludf.DUMMYFUNCTION("IF('Respuestas de formulario 1'!M366="""","""",TO_TEXT('Respuestas de formulario 1'!M366))"),"")</f>
        <v/>
      </c>
      <c r="N366" s="7">
        <f t="shared" si="1"/>
        <v>2023</v>
      </c>
      <c r="O366" s="7" t="str">
        <f t="shared" si="2"/>
        <v>noviembre</v>
      </c>
      <c r="P366" s="7" t="s">
        <v>4928</v>
      </c>
    </row>
    <row r="367">
      <c r="A367" s="19">
        <f>'Respuestas de formulario 1'!A367</f>
        <v>45238.8198</v>
      </c>
      <c r="B367" s="7" t="str">
        <f>'Respuestas de formulario 1'!B367</f>
        <v>Machado </v>
      </c>
      <c r="C367" s="7" t="str">
        <f>'Respuestas de formulario 1'!C367</f>
        <v>Francisco</v>
      </c>
      <c r="D367" s="7" t="str">
        <f>'Respuestas de formulario 1'!D367</f>
        <v>Franmachado2006@gmail.com</v>
      </c>
      <c r="E367" s="20">
        <f>'Respuestas de formulario 1'!E367</f>
        <v>38725</v>
      </c>
      <c r="F367" s="7">
        <f>'Respuestas de formulario 1'!F367</f>
        <v>46507751</v>
      </c>
      <c r="G367" s="7" t="str">
        <f>IFERROR(__xludf.DUMMYFUNCTION("IF('Respuestas de formulario 1'!G367="""","""",IF(LEFT(REGEXREPLACE(TO_TEXT('Respuestas de formulario 1'!G367),""[^0-9]"",""""),2)=""54"",""+""&amp;REGEXREPLACE(TO_TEXT('Respuestas de formulario 1'!G367),""[^0-9]"",""""),""+54""&amp;REGEXREPLACE(TO_TEXT('Respuest"&amp;"as de formulario 1'!G367),""[^0-9]"","""")))"),"+543515088712")</f>
        <v>+543515088712</v>
      </c>
      <c r="H367" s="7">
        <f>'Respuestas de formulario 1'!S367</f>
        <v>2023</v>
      </c>
      <c r="I367" s="7" t="str">
        <f>IFERROR(__xludf.DUMMYFUNCTION("IF('Respuestas de formulario 1'!I367="""","""",TO_TEXT('Respuestas de formulario 1'!I367))"),"Particular")</f>
        <v>Particular</v>
      </c>
      <c r="J367" s="7" t="str">
        <f>IFERROR(__xludf.DUMMYFUNCTION("IF('Respuestas de formulario 1'!J367&lt;&gt;"""",UPPER(TRIM(TO_TEXT('Respuestas de formulario 1'!J367))),IF('Respuestas de formulario 1'!O367&lt;&gt;"""",UPPER(TRIM(TO_TEXT('Respuestas de formulario 1'!O367))),""""))"),"")</f>
        <v/>
      </c>
      <c r="K367" s="7" t="str">
        <f>IFERROR(__xludf.DUMMYFUNCTION("IF('Respuestas de formulario 1'!K367="""","""",TO_TEXT('Respuestas de formulario 1'!K367))"),"")</f>
        <v/>
      </c>
      <c r="L367" s="7" t="str">
        <f>IFERROR(__xludf.DUMMYFUNCTION("IF('Respuestas de formulario 1'!L367="""","""",TO_TEXT('Respuestas de formulario 1'!L367))"),"")</f>
        <v/>
      </c>
      <c r="M367" s="7" t="str">
        <f>IFERROR(__xludf.DUMMYFUNCTION("IF('Respuestas de formulario 1'!M367="""","""",TO_TEXT('Respuestas de formulario 1'!M367))"),"")</f>
        <v/>
      </c>
      <c r="N367" s="7">
        <f t="shared" si="1"/>
        <v>2023</v>
      </c>
      <c r="O367" s="7" t="str">
        <f t="shared" si="2"/>
        <v>noviembre</v>
      </c>
      <c r="P367" s="7" t="s">
        <v>4930</v>
      </c>
    </row>
    <row r="368">
      <c r="A368" s="19">
        <f>'Respuestas de formulario 1'!A368</f>
        <v>45239.65463</v>
      </c>
      <c r="B368" s="7" t="str">
        <f>'Respuestas de formulario 1'!B368</f>
        <v>Vincen</v>
      </c>
      <c r="C368" s="7" t="str">
        <f>'Respuestas de formulario 1'!C368</f>
        <v>Pablo</v>
      </c>
      <c r="D368" s="7" t="str">
        <f>'Respuestas de formulario 1'!D368</f>
        <v>pablovincen@hotmail.com</v>
      </c>
      <c r="E368" s="20">
        <f>'Respuestas de formulario 1'!E368</f>
        <v>29558</v>
      </c>
      <c r="F368" s="7">
        <f>'Respuestas de formulario 1'!F368</f>
        <v>28429391</v>
      </c>
      <c r="G368" s="7" t="str">
        <f>IFERROR(__xludf.DUMMYFUNCTION("IF('Respuestas de formulario 1'!G368="""","""",IF(LEFT(REGEXREPLACE(TO_TEXT('Respuestas de formulario 1'!G368),""[^0-9]"",""""),2)=""54"",""+""&amp;REGEXREPLACE(TO_TEXT('Respuestas de formulario 1'!G368),""[^0-9]"",""""),""+54""&amp;REGEXREPLACE(TO_TEXT('Respuest"&amp;"as de formulario 1'!G368),""[^0-9]"","""")))"),"+543517446263")</f>
        <v>+543517446263</v>
      </c>
      <c r="H368" s="7">
        <f>'Respuestas de formulario 1'!S368</f>
        <v>2023</v>
      </c>
      <c r="I368" s="7" t="str">
        <f>IFERROR(__xludf.DUMMYFUNCTION("IF('Respuestas de formulario 1'!I368="""","""",TO_TEXT('Respuestas de formulario 1'!I368))"),"Particular")</f>
        <v>Particular</v>
      </c>
      <c r="J368" s="7" t="str">
        <f>IFERROR(__xludf.DUMMYFUNCTION("IF('Respuestas de formulario 1'!J368&lt;&gt;"""",UPPER(TRIM(TO_TEXT('Respuestas de formulario 1'!J368))),IF('Respuestas de formulario 1'!O368&lt;&gt;"""",UPPER(TRIM(TO_TEXT('Respuestas de formulario 1'!O368))),""""))"),"")</f>
        <v/>
      </c>
      <c r="K368" s="7" t="str">
        <f>IFERROR(__xludf.DUMMYFUNCTION("IF('Respuestas de formulario 1'!K368="""","""",TO_TEXT('Respuestas de formulario 1'!K368))"),"")</f>
        <v/>
      </c>
      <c r="L368" s="7" t="str">
        <f>IFERROR(__xludf.DUMMYFUNCTION("IF('Respuestas de formulario 1'!L368="""","""",TO_TEXT('Respuestas de formulario 1'!L368))"),"")</f>
        <v/>
      </c>
      <c r="M368" s="7" t="str">
        <f>IFERROR(__xludf.DUMMYFUNCTION("IF('Respuestas de formulario 1'!M368="""","""",TO_TEXT('Respuestas de formulario 1'!M368))"),"")</f>
        <v/>
      </c>
      <c r="N368" s="7">
        <f t="shared" si="1"/>
        <v>2023</v>
      </c>
      <c r="O368" s="7" t="str">
        <f t="shared" si="2"/>
        <v>noviembre</v>
      </c>
      <c r="P368" s="7" t="s">
        <v>4932</v>
      </c>
    </row>
    <row r="369">
      <c r="A369" s="19">
        <f>'Respuestas de formulario 1'!A369</f>
        <v>45243.5077</v>
      </c>
      <c r="B369" s="7" t="str">
        <f>'Respuestas de formulario 1'!B369</f>
        <v>Sanchez </v>
      </c>
      <c r="C369" s="7" t="str">
        <f>'Respuestas de formulario 1'!C369</f>
        <v>Macarena </v>
      </c>
      <c r="D369" s="7" t="str">
        <f>'Respuestas de formulario 1'!D369</f>
        <v>Macasanchez17h@gmail.com </v>
      </c>
      <c r="E369" s="20">
        <f>'Respuestas de formulario 1'!E369</f>
        <v>36602</v>
      </c>
      <c r="F369" s="7">
        <f>'Respuestas de formulario 1'!F369</f>
        <v>42475628</v>
      </c>
      <c r="G369" s="7" t="str">
        <f>IFERROR(__xludf.DUMMYFUNCTION("IF('Respuestas de formulario 1'!G369="""","""",IF(LEFT(REGEXREPLACE(TO_TEXT('Respuestas de formulario 1'!G369),""[^0-9]"",""""),2)=""54"",""+""&amp;REGEXREPLACE(TO_TEXT('Respuestas de formulario 1'!G369),""[^0-9]"",""""),""+54""&amp;REGEXREPLACE(TO_TEXT('Respuest"&amp;"as de formulario 1'!G369),""[^0-9]"","""")))"),"+543517366155")</f>
        <v>+543517366155</v>
      </c>
      <c r="H369" s="7">
        <f>'Respuestas de formulario 1'!S369</f>
        <v>2023</v>
      </c>
      <c r="I369" s="7" t="str">
        <f>IFERROR(__xludf.DUMMYFUNCTION("IF('Respuestas de formulario 1'!I369="""","""",TO_TEXT('Respuestas de formulario 1'!I369))"),"Obra social")</f>
        <v>Obra social</v>
      </c>
      <c r="J369" s="7" t="str">
        <f>IFERROR(__xludf.DUMMYFUNCTION("IF('Respuestas de formulario 1'!J369&lt;&gt;"""",UPPER(TRIM(TO_TEXT('Respuestas de formulario 1'!J369))),IF('Respuestas de formulario 1'!O369&lt;&gt;"""",UPPER(TRIM(TO_TEXT('Respuestas de formulario 1'!O369))),""""))"),"APROSS")</f>
        <v>APROSS</v>
      </c>
      <c r="K369" s="7" t="str">
        <f>IFERROR(__xludf.DUMMYFUNCTION("IF('Respuestas de formulario 1'!K369="""","""",TO_TEXT('Respuestas de formulario 1'!K369))"),"")</f>
        <v/>
      </c>
      <c r="L369" s="7" t="str">
        <f>IFERROR(__xludf.DUMMYFUNCTION("IF('Respuestas de formulario 1'!L369="""","""",TO_TEXT('Respuestas de formulario 1'!L369))"),"")</f>
        <v/>
      </c>
      <c r="M369" s="7" t="str">
        <f>IFERROR(__xludf.DUMMYFUNCTION("IF('Respuestas de formulario 1'!M369="""","""",TO_TEXT('Respuestas de formulario 1'!M369))"),"")</f>
        <v/>
      </c>
      <c r="N369" s="7">
        <f t="shared" si="1"/>
        <v>2023</v>
      </c>
      <c r="O369" s="7" t="str">
        <f t="shared" si="2"/>
        <v>noviembre</v>
      </c>
      <c r="P369" s="7" t="s">
        <v>4934</v>
      </c>
    </row>
    <row r="370">
      <c r="A370" s="19">
        <f>'Respuestas de formulario 1'!A370</f>
        <v>45243.52572</v>
      </c>
      <c r="B370" s="7" t="str">
        <f>'Respuestas de formulario 1'!B370</f>
        <v>Paz</v>
      </c>
      <c r="C370" s="7" t="str">
        <f>'Respuestas de formulario 1'!C370</f>
        <v>Juan Cruz </v>
      </c>
      <c r="D370" s="7" t="str">
        <f>'Respuestas de formulario 1'!D370</f>
        <v>juancruzpaz3@gmail.com</v>
      </c>
      <c r="E370" s="20">
        <f>'Respuestas de formulario 1'!E370</f>
        <v>29813</v>
      </c>
      <c r="F370" s="7">
        <f>'Respuestas de formulario 1'!F370</f>
        <v>28948611</v>
      </c>
      <c r="G370" s="7" t="str">
        <f>IFERROR(__xludf.DUMMYFUNCTION("IF('Respuestas de formulario 1'!G370="""","""",IF(LEFT(REGEXREPLACE(TO_TEXT('Respuestas de formulario 1'!G370),""[^0-9]"",""""),2)=""54"",""+""&amp;REGEXREPLACE(TO_TEXT('Respuestas de formulario 1'!G370),""[^0-9]"",""""),""+54""&amp;REGEXREPLACE(TO_TEXT('Respuest"&amp;"as de formulario 1'!G370),""[^0-9]"","""")))"),"+543513412384")</f>
        <v>+543513412384</v>
      </c>
      <c r="H370" s="7">
        <f>'Respuestas de formulario 1'!S370</f>
        <v>2023</v>
      </c>
      <c r="I370" s="7" t="str">
        <f>IFERROR(__xludf.DUMMYFUNCTION("IF('Respuestas de formulario 1'!I370="""","""",TO_TEXT('Respuestas de formulario 1'!I370))"),"Particular")</f>
        <v>Particular</v>
      </c>
      <c r="J370" s="7" t="str">
        <f>IFERROR(__xludf.DUMMYFUNCTION("IF('Respuestas de formulario 1'!J370&lt;&gt;"""",UPPER(TRIM(TO_TEXT('Respuestas de formulario 1'!J370))),IF('Respuestas de formulario 1'!O370&lt;&gt;"""",UPPER(TRIM(TO_TEXT('Respuestas de formulario 1'!O370))),""""))"),"")</f>
        <v/>
      </c>
      <c r="K370" s="7" t="str">
        <f>IFERROR(__xludf.DUMMYFUNCTION("IF('Respuestas de formulario 1'!K370="""","""",TO_TEXT('Respuestas de formulario 1'!K370))"),"")</f>
        <v/>
      </c>
      <c r="L370" s="7" t="str">
        <f>IFERROR(__xludf.DUMMYFUNCTION("IF('Respuestas de formulario 1'!L370="""","""",TO_TEXT('Respuestas de formulario 1'!L370))"),"")</f>
        <v/>
      </c>
      <c r="M370" s="7" t="str">
        <f>IFERROR(__xludf.DUMMYFUNCTION("IF('Respuestas de formulario 1'!M370="""","""",TO_TEXT('Respuestas de formulario 1'!M370))"),"")</f>
        <v/>
      </c>
      <c r="N370" s="7">
        <f t="shared" si="1"/>
        <v>2023</v>
      </c>
      <c r="O370" s="7" t="str">
        <f t="shared" si="2"/>
        <v>noviembre</v>
      </c>
      <c r="P370" s="7" t="s">
        <v>4936</v>
      </c>
    </row>
    <row r="371">
      <c r="A371" s="19">
        <f>'Respuestas de formulario 1'!A371</f>
        <v>45243.70891</v>
      </c>
      <c r="B371" s="7" t="str">
        <f>'Respuestas de formulario 1'!B371</f>
        <v>Ottaviani</v>
      </c>
      <c r="C371" s="7" t="str">
        <f>'Respuestas de formulario 1'!C371</f>
        <v>Piero </v>
      </c>
      <c r="D371" s="7" t="str">
        <f>'Respuestas de formulario 1'!D371</f>
        <v>Piero_cba@hotmail.com</v>
      </c>
      <c r="E371" s="20">
        <f>'Respuestas de formulario 1'!E371</f>
        <v>31405</v>
      </c>
      <c r="F371" s="7">
        <f>'Respuestas de formulario 1'!F371</f>
        <v>32099388</v>
      </c>
      <c r="G371" s="7" t="str">
        <f>IFERROR(__xludf.DUMMYFUNCTION("IF('Respuestas de formulario 1'!G371="""","""",IF(LEFT(REGEXREPLACE(TO_TEXT('Respuestas de formulario 1'!G371),""[^0-9]"",""""),2)=""54"",""+""&amp;REGEXREPLACE(TO_TEXT('Respuestas de formulario 1'!G371),""[^0-9]"",""""),""+54""&amp;REGEXREPLACE(TO_TEXT('Respuest"&amp;"as de formulario 1'!G371),""[^0-9]"","""")))"),"+543513852512")</f>
        <v>+543513852512</v>
      </c>
      <c r="H371" s="7">
        <f>'Respuestas de formulario 1'!S371</f>
        <v>2023</v>
      </c>
      <c r="I371" s="7" t="str">
        <f>IFERROR(__xludf.DUMMYFUNCTION("IF('Respuestas de formulario 1'!I371="""","""",TO_TEXT('Respuestas de formulario 1'!I371))"),"Obra social")</f>
        <v>Obra social</v>
      </c>
      <c r="J371" s="7" t="str">
        <f>IFERROR(__xludf.DUMMYFUNCTION("IF('Respuestas de formulario 1'!J371&lt;&gt;"""",UPPER(TRIM(TO_TEXT('Respuestas de formulario 1'!J371))),IF('Respuestas de formulario 1'!O371&lt;&gt;"""",UPPER(TRIM(TO_TEXT('Respuestas de formulario 1'!O371))),""""))"),"PREVENCIÓN")</f>
        <v>PREVENCIÓN</v>
      </c>
      <c r="K371" s="7" t="str">
        <f>IFERROR(__xludf.DUMMYFUNCTION("IF('Respuestas de formulario 1'!K371="""","""",TO_TEXT('Respuestas de formulario 1'!K371))"),"")</f>
        <v/>
      </c>
      <c r="L371" s="7" t="str">
        <f>IFERROR(__xludf.DUMMYFUNCTION("IF('Respuestas de formulario 1'!L371="""","""",TO_TEXT('Respuestas de formulario 1'!L371))"),"")</f>
        <v/>
      </c>
      <c r="M371" s="7" t="str">
        <f>IFERROR(__xludf.DUMMYFUNCTION("IF('Respuestas de formulario 1'!M371="""","""",TO_TEXT('Respuestas de formulario 1'!M371))"),"")</f>
        <v/>
      </c>
      <c r="N371" s="7">
        <f t="shared" si="1"/>
        <v>2023</v>
      </c>
      <c r="O371" s="7" t="str">
        <f t="shared" si="2"/>
        <v>noviembre</v>
      </c>
      <c r="P371" s="7" t="s">
        <v>4938</v>
      </c>
    </row>
    <row r="372">
      <c r="A372" s="19">
        <f>'Respuestas de formulario 1'!A372</f>
        <v>45244.82321</v>
      </c>
      <c r="B372" s="7" t="str">
        <f>'Respuestas de formulario 1'!B372</f>
        <v>Weinhönig</v>
      </c>
      <c r="C372" s="7" t="str">
        <f>'Respuestas de formulario 1'!C372</f>
        <v>Björn</v>
      </c>
      <c r="D372" s="7" t="str">
        <f>'Respuestas de formulario 1'!D372</f>
        <v>-</v>
      </c>
      <c r="E372" s="20">
        <f>'Respuestas de formulario 1'!E372</f>
        <v>28951</v>
      </c>
      <c r="F372" s="7" t="str">
        <f>'Respuestas de formulario 1'!F372</f>
        <v>CCHPX3XHL</v>
      </c>
      <c r="G372" s="7" t="str">
        <f>IFERROR(__xludf.DUMMYFUNCTION("IF('Respuestas de formulario 1'!G372="""","""",IF(LEFT(REGEXREPLACE(TO_TEXT('Respuestas de formulario 1'!G372),""[^0-9]"",""""),2)=""54"",""+""&amp;REGEXREPLACE(TO_TEXT('Respuestas de formulario 1'!G372),""[^0-9]"",""""),""+54""&amp;REGEXREPLACE(TO_TEXT('Respuest"&amp;"as de formulario 1'!G372),""[^0-9]"","""")))"),"+543512581809")</f>
        <v>+543512581809</v>
      </c>
      <c r="H372" s="7">
        <f>'Respuestas de formulario 1'!S372</f>
        <v>2023</v>
      </c>
      <c r="I372" s="7" t="str">
        <f>IFERROR(__xludf.DUMMYFUNCTION("IF('Respuestas de formulario 1'!I372="""","""",TO_TEXT('Respuestas de formulario 1'!I372))"),"Particular")</f>
        <v>Particular</v>
      </c>
      <c r="J372" s="7" t="str">
        <f>IFERROR(__xludf.DUMMYFUNCTION("IF('Respuestas de formulario 1'!J372&lt;&gt;"""",UPPER(TRIM(TO_TEXT('Respuestas de formulario 1'!J372))),IF('Respuestas de formulario 1'!O372&lt;&gt;"""",UPPER(TRIM(TO_TEXT('Respuestas de formulario 1'!O372))),""""))"),"")</f>
        <v/>
      </c>
      <c r="K372" s="7" t="str">
        <f>IFERROR(__xludf.DUMMYFUNCTION("IF('Respuestas de formulario 1'!K372="""","""",TO_TEXT('Respuestas de formulario 1'!K372))"),"")</f>
        <v/>
      </c>
      <c r="L372" s="7" t="str">
        <f>IFERROR(__xludf.DUMMYFUNCTION("IF('Respuestas de formulario 1'!L372="""","""",TO_TEXT('Respuestas de formulario 1'!L372))"),"")</f>
        <v/>
      </c>
      <c r="M372" s="7" t="str">
        <f>IFERROR(__xludf.DUMMYFUNCTION("IF('Respuestas de formulario 1'!M372="""","""",TO_TEXT('Respuestas de formulario 1'!M372))"),"")</f>
        <v/>
      </c>
      <c r="N372" s="7">
        <f t="shared" si="1"/>
        <v>2023</v>
      </c>
      <c r="O372" s="7" t="str">
        <f t="shared" si="2"/>
        <v>noviembre</v>
      </c>
      <c r="P372" s="7" t="s">
        <v>4940</v>
      </c>
    </row>
    <row r="373">
      <c r="A373" s="19">
        <f>'Respuestas de formulario 1'!A373</f>
        <v>45245.49349</v>
      </c>
      <c r="B373" s="7" t="str">
        <f>'Respuestas de formulario 1'!B373</f>
        <v>JAROVSKY</v>
      </c>
      <c r="C373" s="7" t="str">
        <f>'Respuestas de formulario 1'!C373</f>
        <v>ILAN</v>
      </c>
      <c r="D373" s="7" t="str">
        <f>'Respuestas de formulario 1'!D373</f>
        <v>ijarovsky@gmail.com</v>
      </c>
      <c r="E373" s="20">
        <f>'Respuestas de formulario 1'!E373</f>
        <v>34070</v>
      </c>
      <c r="F373" s="7">
        <f>'Respuestas de formulario 1'!F373</f>
        <v>37476133</v>
      </c>
      <c r="G373" s="7" t="str">
        <f>IFERROR(__xludf.DUMMYFUNCTION("IF('Respuestas de formulario 1'!G373="""","""",IF(LEFT(REGEXREPLACE(TO_TEXT('Respuestas de formulario 1'!G373),""[^0-9]"",""""),2)=""54"",""+""&amp;REGEXREPLACE(TO_TEXT('Respuestas de formulario 1'!G373),""[^0-9]"",""""),""+54""&amp;REGEXREPLACE(TO_TEXT('Respuest"&amp;"as de formulario 1'!G373),""[^0-9]"","""")))"),"+543517673918")</f>
        <v>+543517673918</v>
      </c>
      <c r="H373" s="7">
        <f>'Respuestas de formulario 1'!S373</f>
        <v>2023</v>
      </c>
      <c r="I373" s="7" t="str">
        <f>IFERROR(__xludf.DUMMYFUNCTION("IF('Respuestas de formulario 1'!I373="""","""",TO_TEXT('Respuestas de formulario 1'!I373))"),"Particular")</f>
        <v>Particular</v>
      </c>
      <c r="J373" s="7" t="str">
        <f>IFERROR(__xludf.DUMMYFUNCTION("IF('Respuestas de formulario 1'!J373&lt;&gt;"""",UPPER(TRIM(TO_TEXT('Respuestas de formulario 1'!J373))),IF('Respuestas de formulario 1'!O373&lt;&gt;"""",UPPER(TRIM(TO_TEXT('Respuestas de formulario 1'!O373))),""""))"),"")</f>
        <v/>
      </c>
      <c r="K373" s="7" t="str">
        <f>IFERROR(__xludf.DUMMYFUNCTION("IF('Respuestas de formulario 1'!K373="""","""",TO_TEXT('Respuestas de formulario 1'!K373))"),"")</f>
        <v/>
      </c>
      <c r="L373" s="7" t="str">
        <f>IFERROR(__xludf.DUMMYFUNCTION("IF('Respuestas de formulario 1'!L373="""","""",TO_TEXT('Respuestas de formulario 1'!L373))"),"")</f>
        <v/>
      </c>
      <c r="M373" s="7" t="str">
        <f>IFERROR(__xludf.DUMMYFUNCTION("IF('Respuestas de formulario 1'!M373="""","""",TO_TEXT('Respuestas de formulario 1'!M373))"),"")</f>
        <v/>
      </c>
      <c r="N373" s="7">
        <f t="shared" si="1"/>
        <v>2023</v>
      </c>
      <c r="O373" s="7" t="str">
        <f t="shared" si="2"/>
        <v>noviembre</v>
      </c>
      <c r="P373" s="7" t="s">
        <v>4942</v>
      </c>
    </row>
    <row r="374">
      <c r="A374" s="19">
        <f>'Respuestas de formulario 1'!A374</f>
        <v>45245.76631</v>
      </c>
      <c r="B374" s="7" t="str">
        <f>'Respuestas de formulario 1'!B374</f>
        <v>Battistelli</v>
      </c>
      <c r="C374" s="7" t="str">
        <f>'Respuestas de formulario 1'!C374</f>
        <v>Adriana </v>
      </c>
      <c r="D374" s="7" t="str">
        <f>'Respuestas de formulario 1'!D374</f>
        <v>pbattistelli78@hotmail.com</v>
      </c>
      <c r="E374" s="20">
        <f>'Respuestas de formulario 1'!E374</f>
        <v>23142</v>
      </c>
      <c r="F374" s="7">
        <f>'Respuestas de formulario 1'!F374</f>
        <v>16292561</v>
      </c>
      <c r="G374" s="7" t="str">
        <f>IFERROR(__xludf.DUMMYFUNCTION("IF('Respuestas de formulario 1'!G374="""","""",IF(LEFT(REGEXREPLACE(TO_TEXT('Respuestas de formulario 1'!G374),""[^0-9]"",""""),2)=""54"",""+""&amp;REGEXREPLACE(TO_TEXT('Respuestas de formulario 1'!G374),""[^0-9]"",""""),""+54""&amp;REGEXREPLACE(TO_TEXT('Respuest"&amp;"as de formulario 1'!G374),""[^0-9]"","""")))"),"+543517872352")</f>
        <v>+543517872352</v>
      </c>
      <c r="H374" s="7">
        <f>'Respuestas de formulario 1'!S374</f>
        <v>2023</v>
      </c>
      <c r="I374" s="7" t="str">
        <f>IFERROR(__xludf.DUMMYFUNCTION("IF('Respuestas de formulario 1'!I374="""","""",TO_TEXT('Respuestas de formulario 1'!I374))"),"Particular")</f>
        <v>Particular</v>
      </c>
      <c r="J374" s="7" t="str">
        <f>IFERROR(__xludf.DUMMYFUNCTION("IF('Respuestas de formulario 1'!J374&lt;&gt;"""",UPPER(TRIM(TO_TEXT('Respuestas de formulario 1'!J374))),IF('Respuestas de formulario 1'!O374&lt;&gt;"""",UPPER(TRIM(TO_TEXT('Respuestas de formulario 1'!O374))),""""))"),"")</f>
        <v/>
      </c>
      <c r="K374" s="7" t="str">
        <f>IFERROR(__xludf.DUMMYFUNCTION("IF('Respuestas de formulario 1'!K374="""","""",TO_TEXT('Respuestas de formulario 1'!K374))"),"")</f>
        <v/>
      </c>
      <c r="L374" s="7" t="str">
        <f>IFERROR(__xludf.DUMMYFUNCTION("IF('Respuestas de formulario 1'!L374="""","""",TO_TEXT('Respuestas de formulario 1'!L374))"),"")</f>
        <v/>
      </c>
      <c r="M374" s="7" t="str">
        <f>IFERROR(__xludf.DUMMYFUNCTION("IF('Respuestas de formulario 1'!M374="""","""",TO_TEXT('Respuestas de formulario 1'!M374))"),"")</f>
        <v/>
      </c>
      <c r="N374" s="7">
        <f t="shared" si="1"/>
        <v>2023</v>
      </c>
      <c r="O374" s="7" t="str">
        <f t="shared" si="2"/>
        <v>noviembre</v>
      </c>
      <c r="P374" s="7" t="s">
        <v>4944</v>
      </c>
    </row>
    <row r="375">
      <c r="A375" s="19">
        <f>'Respuestas de formulario 1'!A375</f>
        <v>45246.50159</v>
      </c>
      <c r="B375" s="7" t="str">
        <f>'Respuestas de formulario 1'!B375</f>
        <v>Bartolacci</v>
      </c>
      <c r="C375" s="7" t="str">
        <f>'Respuestas de formulario 1'!C375</f>
        <v>Mario</v>
      </c>
      <c r="D375" s="7" t="str">
        <f>'Respuestas de formulario 1'!D375</f>
        <v>mariobartolacci86@gmail.com</v>
      </c>
      <c r="E375" s="20">
        <f>'Respuestas de formulario 1'!E375</f>
        <v>22879</v>
      </c>
      <c r="F375" s="7">
        <f>'Respuestas de formulario 1'!F375</f>
        <v>16159674</v>
      </c>
      <c r="G375" s="7" t="str">
        <f>IFERROR(__xludf.DUMMYFUNCTION("IF('Respuestas de formulario 1'!G375="""","""",IF(LEFT(REGEXREPLACE(TO_TEXT('Respuestas de formulario 1'!G375),""[^0-9]"",""""),2)=""54"",""+""&amp;REGEXREPLACE(TO_TEXT('Respuestas de formulario 1'!G375),""[^0-9]"",""""),""+54""&amp;REGEXREPLACE(TO_TEXT('Respuest"&amp;"as de formulario 1'!G375),""[^0-9]"","""")))"),"+543518128884")</f>
        <v>+543518128884</v>
      </c>
      <c r="H375" s="7">
        <f>'Respuestas de formulario 1'!S375</f>
        <v>2023</v>
      </c>
      <c r="I375" s="7" t="str">
        <f>IFERROR(__xludf.DUMMYFUNCTION("IF('Respuestas de formulario 1'!I375="""","""",TO_TEXT('Respuestas de formulario 1'!I375))"),"Particular")</f>
        <v>Particular</v>
      </c>
      <c r="J375" s="7" t="str">
        <f>IFERROR(__xludf.DUMMYFUNCTION("IF('Respuestas de formulario 1'!J375&lt;&gt;"""",UPPER(TRIM(TO_TEXT('Respuestas de formulario 1'!J375))),IF('Respuestas de formulario 1'!O375&lt;&gt;"""",UPPER(TRIM(TO_TEXT('Respuestas de formulario 1'!O375))),""""))"),"")</f>
        <v/>
      </c>
      <c r="K375" s="7" t="str">
        <f>IFERROR(__xludf.DUMMYFUNCTION("IF('Respuestas de formulario 1'!K375="""","""",TO_TEXT('Respuestas de formulario 1'!K375))"),"")</f>
        <v/>
      </c>
      <c r="L375" s="7" t="str">
        <f>IFERROR(__xludf.DUMMYFUNCTION("IF('Respuestas de formulario 1'!L375="""","""",TO_TEXT('Respuestas de formulario 1'!L375))"),"")</f>
        <v/>
      </c>
      <c r="M375" s="7" t="str">
        <f>IFERROR(__xludf.DUMMYFUNCTION("IF('Respuestas de formulario 1'!M375="""","""",TO_TEXT('Respuestas de formulario 1'!M375))"),"")</f>
        <v/>
      </c>
      <c r="N375" s="7">
        <f t="shared" si="1"/>
        <v>2023</v>
      </c>
      <c r="O375" s="7" t="str">
        <f t="shared" si="2"/>
        <v>noviembre</v>
      </c>
      <c r="P375" s="7" t="s">
        <v>4946</v>
      </c>
    </row>
    <row r="376">
      <c r="A376" s="19">
        <f>'Respuestas de formulario 1'!A376</f>
        <v>45247.76929</v>
      </c>
      <c r="B376" s="7" t="str">
        <f>'Respuestas de formulario 1'!B376</f>
        <v>Morcillo</v>
      </c>
      <c r="C376" s="7" t="str">
        <f>'Respuestas de formulario 1'!C376</f>
        <v>Alejandra</v>
      </c>
      <c r="D376" s="7" t="str">
        <f>'Respuestas de formulario 1'!D376</f>
        <v>alemorcillo22@gmail.com</v>
      </c>
      <c r="E376" s="20">
        <f>'Respuestas de formulario 1'!E376</f>
        <v>30947</v>
      </c>
      <c r="F376" s="7">
        <f>'Respuestas de formulario 1'!F376</f>
        <v>31216103</v>
      </c>
      <c r="G376" s="7" t="str">
        <f>IFERROR(__xludf.DUMMYFUNCTION("IF('Respuestas de formulario 1'!G376="""","""",IF(LEFT(REGEXREPLACE(TO_TEXT('Respuestas de formulario 1'!G376),""[^0-9]"",""""),2)=""54"",""+""&amp;REGEXREPLACE(TO_TEXT('Respuestas de formulario 1'!G376),""[^0-9]"",""""),""+54""&amp;REGEXREPLACE(TO_TEXT('Respuest"&amp;"as de formulario 1'!G376),""[^0-9]"","""")))"),"+543513037791")</f>
        <v>+543513037791</v>
      </c>
      <c r="H376" s="7">
        <f>'Respuestas de formulario 1'!S376</f>
        <v>2023</v>
      </c>
      <c r="I376" s="7" t="str">
        <f>IFERROR(__xludf.DUMMYFUNCTION("IF('Respuestas de formulario 1'!I376="""","""",TO_TEXT('Respuestas de formulario 1'!I376))"),"Particular")</f>
        <v>Particular</v>
      </c>
      <c r="J376" s="7" t="str">
        <f>IFERROR(__xludf.DUMMYFUNCTION("IF('Respuestas de formulario 1'!J376&lt;&gt;"""",UPPER(TRIM(TO_TEXT('Respuestas de formulario 1'!J376))),IF('Respuestas de formulario 1'!O376&lt;&gt;"""",UPPER(TRIM(TO_TEXT('Respuestas de formulario 1'!O376))),""""))"),"")</f>
        <v/>
      </c>
      <c r="K376" s="7" t="str">
        <f>IFERROR(__xludf.DUMMYFUNCTION("IF('Respuestas de formulario 1'!K376="""","""",TO_TEXT('Respuestas de formulario 1'!K376))"),"")</f>
        <v/>
      </c>
      <c r="L376" s="7" t="str">
        <f>IFERROR(__xludf.DUMMYFUNCTION("IF('Respuestas de formulario 1'!L376="""","""",TO_TEXT('Respuestas de formulario 1'!L376))"),"")</f>
        <v/>
      </c>
      <c r="M376" s="7" t="str">
        <f>IFERROR(__xludf.DUMMYFUNCTION("IF('Respuestas de formulario 1'!M376="""","""",TO_TEXT('Respuestas de formulario 1'!M376))"),"")</f>
        <v/>
      </c>
      <c r="N376" s="7">
        <f t="shared" si="1"/>
        <v>2023</v>
      </c>
      <c r="O376" s="7" t="str">
        <f t="shared" si="2"/>
        <v>noviembre</v>
      </c>
      <c r="P376" s="7" t="s">
        <v>4948</v>
      </c>
    </row>
    <row r="377">
      <c r="A377" s="19">
        <f>'Respuestas de formulario 1'!A377</f>
        <v>45247.76929</v>
      </c>
      <c r="B377" s="7" t="str">
        <f>'Respuestas de formulario 1'!B377</f>
        <v>Moreno</v>
      </c>
      <c r="C377" s="7" t="str">
        <f>'Respuestas de formulario 1'!C377</f>
        <v>Diego </v>
      </c>
      <c r="D377" s="7" t="str">
        <f>'Respuestas de formulario 1'!D377</f>
        <v>Diego98moreno@gmail.com</v>
      </c>
      <c r="E377" s="20">
        <f>'Respuestas de formulario 1'!E377</f>
        <v>36019</v>
      </c>
      <c r="F377" s="7">
        <f>'Respuestas de formulario 1'!F377</f>
        <v>41439627</v>
      </c>
      <c r="G377" s="7" t="str">
        <f>IFERROR(__xludf.DUMMYFUNCTION("IF('Respuestas de formulario 1'!G377="""","""",IF(LEFT(REGEXREPLACE(TO_TEXT('Respuestas de formulario 1'!G377),""[^0-9]"",""""),2)=""54"",""+""&amp;REGEXREPLACE(TO_TEXT('Respuestas de formulario 1'!G377),""[^0-9]"",""""),""+54""&amp;REGEXREPLACE(TO_TEXT('Respuest"&amp;"as de formulario 1'!G377),""[^0-9]"","""")))"),"+543512339426")</f>
        <v>+543512339426</v>
      </c>
      <c r="H377" s="7">
        <f>'Respuestas de formulario 1'!S377</f>
        <v>2023</v>
      </c>
      <c r="I377" s="7" t="str">
        <f>IFERROR(__xludf.DUMMYFUNCTION("IF('Respuestas de formulario 1'!I377="""","""",TO_TEXT('Respuestas de formulario 1'!I377))"),"Obra social")</f>
        <v>Obra social</v>
      </c>
      <c r="J377" s="7" t="str">
        <f>IFERROR(__xludf.DUMMYFUNCTION("IF('Respuestas de formulario 1'!J377&lt;&gt;"""",UPPER(TRIM(TO_TEXT('Respuestas de formulario 1'!J377))),IF('Respuestas de formulario 1'!O377&lt;&gt;"""",UPPER(TRIM(TO_TEXT('Respuestas de formulario 1'!O377))),""""))"),"PREVENCIÓN")</f>
        <v>PREVENCIÓN</v>
      </c>
      <c r="K377" s="7" t="str">
        <f>IFERROR(__xludf.DUMMYFUNCTION("IF('Respuestas de formulario 1'!K377="""","""",TO_TEXT('Respuestas de formulario 1'!K377))"),"")</f>
        <v/>
      </c>
      <c r="L377" s="7" t="str">
        <f>IFERROR(__xludf.DUMMYFUNCTION("IF('Respuestas de formulario 1'!L377="""","""",TO_TEXT('Respuestas de formulario 1'!L377))"),"")</f>
        <v/>
      </c>
      <c r="M377" s="7" t="str">
        <f>IFERROR(__xludf.DUMMYFUNCTION("IF('Respuestas de formulario 1'!M377="""","""",TO_TEXT('Respuestas de formulario 1'!M377))"),"")</f>
        <v/>
      </c>
      <c r="N377" s="7">
        <f t="shared" si="1"/>
        <v>2023</v>
      </c>
      <c r="O377" s="7" t="str">
        <f t="shared" si="2"/>
        <v>noviembre</v>
      </c>
      <c r="P377" s="7" t="s">
        <v>4950</v>
      </c>
    </row>
    <row r="378">
      <c r="A378" s="19">
        <f>'Respuestas de formulario 1'!A378</f>
        <v>45254.62617</v>
      </c>
      <c r="B378" s="7" t="str">
        <f>'Respuestas de formulario 1'!B378</f>
        <v>Bonsignore</v>
      </c>
      <c r="C378" s="7" t="str">
        <f>'Respuestas de formulario 1'!C378</f>
        <v>Lara</v>
      </c>
      <c r="D378" s="7" t="str">
        <f>'Respuestas de formulario 1'!D378</f>
        <v>larabonsignore14@gmail.com</v>
      </c>
      <c r="E378" s="20">
        <f>'Respuestas de formulario 1'!E378</f>
        <v>38547</v>
      </c>
      <c r="F378" s="7">
        <f>'Respuestas de formulario 1'!F378</f>
        <v>46126745</v>
      </c>
      <c r="G378" s="7" t="str">
        <f>IFERROR(__xludf.DUMMYFUNCTION("IF('Respuestas de formulario 1'!G378="""","""",IF(LEFT(REGEXREPLACE(TO_TEXT('Respuestas de formulario 1'!G378),""[^0-9]"",""""),2)=""54"",""+""&amp;REGEXREPLACE(TO_TEXT('Respuestas de formulario 1'!G378),""[^0-9]"",""""),""+54""&amp;REGEXREPLACE(TO_TEXT('Respuest"&amp;"as de formulario 1'!G378),""[^0-9]"","""")))"),"+543513246122")</f>
        <v>+543513246122</v>
      </c>
      <c r="H378" s="7">
        <f>'Respuestas de formulario 1'!S378</f>
        <v>2023</v>
      </c>
      <c r="I378" s="7" t="str">
        <f>IFERROR(__xludf.DUMMYFUNCTION("IF('Respuestas de formulario 1'!I378="""","""",TO_TEXT('Respuestas de formulario 1'!I378))"),"Obra social")</f>
        <v>Obra social</v>
      </c>
      <c r="J378" s="7" t="str">
        <f>IFERROR(__xludf.DUMMYFUNCTION("IF('Respuestas de formulario 1'!J378&lt;&gt;"""",UPPER(TRIM(TO_TEXT('Respuestas de formulario 1'!J378))),IF('Respuestas de formulario 1'!O378&lt;&gt;"""",UPPER(TRIM(TO_TEXT('Respuestas de formulario 1'!O378))),""""))"),"PREVENCIÓN")</f>
        <v>PREVENCIÓN</v>
      </c>
      <c r="K378" s="7" t="str">
        <f>IFERROR(__xludf.DUMMYFUNCTION("IF('Respuestas de formulario 1'!K378="""","""",TO_TEXT('Respuestas de formulario 1'!K378))"),"")</f>
        <v/>
      </c>
      <c r="L378" s="7" t="str">
        <f>IFERROR(__xludf.DUMMYFUNCTION("IF('Respuestas de formulario 1'!L378="""","""",TO_TEXT('Respuestas de formulario 1'!L378))"),"")</f>
        <v/>
      </c>
      <c r="M378" s="7" t="str">
        <f>IFERROR(__xludf.DUMMYFUNCTION("IF('Respuestas de formulario 1'!M378="""","""",TO_TEXT('Respuestas de formulario 1'!M378))"),"")</f>
        <v/>
      </c>
      <c r="N378" s="7">
        <f t="shared" si="1"/>
        <v>2023</v>
      </c>
      <c r="O378" s="7" t="str">
        <f t="shared" si="2"/>
        <v>noviembre</v>
      </c>
      <c r="P378" s="7" t="s">
        <v>4952</v>
      </c>
    </row>
    <row r="379">
      <c r="A379" s="19">
        <f>'Respuestas de formulario 1'!A379</f>
        <v>45255.51109</v>
      </c>
      <c r="B379" s="7" t="str">
        <f>'Respuestas de formulario 1'!B379</f>
        <v>Molina </v>
      </c>
      <c r="C379" s="7" t="str">
        <f>'Respuestas de formulario 1'!C379</f>
        <v>Adriana  Leticia </v>
      </c>
      <c r="D379" s="7" t="str">
        <f>'Respuestas de formulario 1'!D379</f>
        <v>Letymoll@hotmail.com </v>
      </c>
      <c r="E379" s="20">
        <f>'Respuestas de formulario 1'!E379</f>
        <v>23031</v>
      </c>
      <c r="F379" s="7">
        <f>'Respuestas de formulario 1'!F379</f>
        <v>16293073</v>
      </c>
      <c r="G379" s="7" t="str">
        <f>IFERROR(__xludf.DUMMYFUNCTION("IF('Respuestas de formulario 1'!G379="""","""",IF(LEFT(REGEXREPLACE(TO_TEXT('Respuestas de formulario 1'!G379),""[^0-9]"",""""),2)=""54"",""+""&amp;REGEXREPLACE(TO_TEXT('Respuestas de formulario 1'!G379),""[^0-9]"",""""),""+54""&amp;REGEXREPLACE(TO_TEXT('Respuest"&amp;"as de formulario 1'!G379),""[^0-9]"","""")))"),"+543515404114")</f>
        <v>+543515404114</v>
      </c>
      <c r="H379" s="7">
        <f>'Respuestas de formulario 1'!S379</f>
        <v>2023</v>
      </c>
      <c r="I379" s="7" t="str">
        <f>IFERROR(__xludf.DUMMYFUNCTION("IF('Respuestas de formulario 1'!I379="""","""",TO_TEXT('Respuestas de formulario 1'!I379))"),"Obra social")</f>
        <v>Obra social</v>
      </c>
      <c r="J379" s="7" t="str">
        <f>IFERROR(__xludf.DUMMYFUNCTION("IF('Respuestas de formulario 1'!J379&lt;&gt;"""",UPPER(TRIM(TO_TEXT('Respuestas de formulario 1'!J379))),IF('Respuestas de formulario 1'!O379&lt;&gt;"""",UPPER(TRIM(TO_TEXT('Respuestas de formulario 1'!O379))),""""))"),"APROSS")</f>
        <v>APROSS</v>
      </c>
      <c r="K379" s="7" t="str">
        <f>IFERROR(__xludf.DUMMYFUNCTION("IF('Respuestas de formulario 1'!K379="""","""",TO_TEXT('Respuestas de formulario 1'!K379))"),"")</f>
        <v/>
      </c>
      <c r="L379" s="7" t="str">
        <f>IFERROR(__xludf.DUMMYFUNCTION("IF('Respuestas de formulario 1'!L379="""","""",TO_TEXT('Respuestas de formulario 1'!L379))"),"")</f>
        <v/>
      </c>
      <c r="M379" s="7" t="str">
        <f>IFERROR(__xludf.DUMMYFUNCTION("IF('Respuestas de formulario 1'!M379="""","""",TO_TEXT('Respuestas de formulario 1'!M379))"),"")</f>
        <v/>
      </c>
      <c r="N379" s="7">
        <f t="shared" si="1"/>
        <v>2023</v>
      </c>
      <c r="O379" s="7" t="str">
        <f t="shared" si="2"/>
        <v>noviembre</v>
      </c>
      <c r="P379" s="7" t="s">
        <v>4954</v>
      </c>
    </row>
    <row r="380">
      <c r="A380" s="19">
        <f>'Respuestas de formulario 1'!A380</f>
        <v>45257.45161</v>
      </c>
      <c r="B380" s="7" t="str">
        <f>'Respuestas de formulario 1'!B380</f>
        <v>omis</v>
      </c>
      <c r="C380" s="7" t="str">
        <f>'Respuestas de formulario 1'!C380</f>
        <v>tomas</v>
      </c>
      <c r="D380" s="7" t="str">
        <f>'Respuestas de formulario 1'!D380</f>
        <v>tomiomis2005@gmail.com</v>
      </c>
      <c r="E380" s="20">
        <f>'Respuestas de formulario 1'!E380</f>
        <v>38698</v>
      </c>
      <c r="F380" s="7">
        <f>'Respuestas de formulario 1'!F380</f>
        <v>46311746</v>
      </c>
      <c r="G380" s="7" t="str">
        <f>IFERROR(__xludf.DUMMYFUNCTION("IF('Respuestas de formulario 1'!G380="""","""",IF(LEFT(REGEXREPLACE(TO_TEXT('Respuestas de formulario 1'!G380),""[^0-9]"",""""),2)=""54"",""+""&amp;REGEXREPLACE(TO_TEXT('Respuestas de formulario 1'!G380),""[^0-9]"",""""),""+54""&amp;REGEXREPLACE(TO_TEXT('Respuest"&amp;"as de formulario 1'!G380),""[^0-9]"","""")))"),"+543513945282")</f>
        <v>+543513945282</v>
      </c>
      <c r="H380" s="7">
        <f>'Respuestas de formulario 1'!S380</f>
        <v>2023</v>
      </c>
      <c r="I380" s="7" t="str">
        <f>IFERROR(__xludf.DUMMYFUNCTION("IF('Respuestas de formulario 1'!I380="""","""",TO_TEXT('Respuestas de formulario 1'!I380))"),"Obra social")</f>
        <v>Obra social</v>
      </c>
      <c r="J380" s="7" t="str">
        <f>IFERROR(__xludf.DUMMYFUNCTION("IF('Respuestas de formulario 1'!J380&lt;&gt;"""",UPPER(TRIM(TO_TEXT('Respuestas de formulario 1'!J380))),IF('Respuestas de formulario 1'!O380&lt;&gt;"""",UPPER(TRIM(TO_TEXT('Respuestas de formulario 1'!O380))),""""))"),"SWISS MEDICAL")</f>
        <v>SWISS MEDICAL</v>
      </c>
      <c r="K380" s="7" t="str">
        <f>IFERROR(__xludf.DUMMYFUNCTION("IF('Respuestas de formulario 1'!K380="""","""",TO_TEXT('Respuestas de formulario 1'!K380))"),"")</f>
        <v/>
      </c>
      <c r="L380" s="7" t="str">
        <f>IFERROR(__xludf.DUMMYFUNCTION("IF('Respuestas de formulario 1'!L380="""","""",TO_TEXT('Respuestas de formulario 1'!L380))"),"")</f>
        <v/>
      </c>
      <c r="M380" s="7" t="str">
        <f>IFERROR(__xludf.DUMMYFUNCTION("IF('Respuestas de formulario 1'!M380="""","""",TO_TEXT('Respuestas de formulario 1'!M380))"),"")</f>
        <v/>
      </c>
      <c r="N380" s="7">
        <f t="shared" si="1"/>
        <v>2023</v>
      </c>
      <c r="O380" s="7" t="str">
        <f t="shared" si="2"/>
        <v>noviembre</v>
      </c>
      <c r="P380" s="7" t="s">
        <v>4956</v>
      </c>
    </row>
    <row r="381">
      <c r="A381" s="19">
        <f>'Respuestas de formulario 1'!A381</f>
        <v>45257.78392</v>
      </c>
      <c r="B381" s="7" t="str">
        <f>'Respuestas de formulario 1'!B381</f>
        <v>Guevara</v>
      </c>
      <c r="C381" s="7" t="str">
        <f>'Respuestas de formulario 1'!C381</f>
        <v>Leandro</v>
      </c>
      <c r="D381" s="7" t="str">
        <f>'Respuestas de formulario 1'!D381</f>
        <v>mv.leandroguevara@gmail.com</v>
      </c>
      <c r="E381" s="20">
        <f>'Respuestas de formulario 1'!E381</f>
        <v>32207</v>
      </c>
      <c r="F381" s="7">
        <f>'Respuestas de formulario 1'!F381</f>
        <v>33599033</v>
      </c>
      <c r="G381" s="7" t="str">
        <f>IFERROR(__xludf.DUMMYFUNCTION("IF('Respuestas de formulario 1'!G381="""","""",IF(LEFT(REGEXREPLACE(TO_TEXT('Respuestas de formulario 1'!G381),""[^0-9]"",""""),2)=""54"",""+""&amp;REGEXREPLACE(TO_TEXT('Respuestas de formulario 1'!G381),""[^0-9]"",""""),""+54""&amp;REGEXREPLACE(TO_TEXT('Respuest"&amp;"as de formulario 1'!G381),""[^0-9]"","""")))"),"+543512205936")</f>
        <v>+543512205936</v>
      </c>
      <c r="H381" s="7">
        <f>'Respuestas de formulario 1'!S381</f>
        <v>2023</v>
      </c>
      <c r="I381" s="7" t="str">
        <f>IFERROR(__xludf.DUMMYFUNCTION("IF('Respuestas de formulario 1'!I381="""","""",TO_TEXT('Respuestas de formulario 1'!I381))"),"Obra social")</f>
        <v>Obra social</v>
      </c>
      <c r="J381" s="7" t="str">
        <f>IFERROR(__xludf.DUMMYFUNCTION("IF('Respuestas de formulario 1'!J381&lt;&gt;"""",UPPER(TRIM(TO_TEXT('Respuestas de formulario 1'!J381))),IF('Respuestas de formulario 1'!O381&lt;&gt;"""",UPPER(TRIM(TO_TEXT('Respuestas de formulario 1'!O381))),""""))"),"APROSS")</f>
        <v>APROSS</v>
      </c>
      <c r="K381" s="7" t="str">
        <f>IFERROR(__xludf.DUMMYFUNCTION("IF('Respuestas de formulario 1'!K381="""","""",TO_TEXT('Respuestas de formulario 1'!K381))"),"")</f>
        <v/>
      </c>
      <c r="L381" s="7" t="str">
        <f>IFERROR(__xludf.DUMMYFUNCTION("IF('Respuestas de formulario 1'!L381="""","""",TO_TEXT('Respuestas de formulario 1'!L381))"),"")</f>
        <v/>
      </c>
      <c r="M381" s="7" t="str">
        <f>IFERROR(__xludf.DUMMYFUNCTION("IF('Respuestas de formulario 1'!M381="""","""",TO_TEXT('Respuestas de formulario 1'!M381))"),"")</f>
        <v/>
      </c>
      <c r="N381" s="7">
        <f t="shared" si="1"/>
        <v>2023</v>
      </c>
      <c r="O381" s="7" t="str">
        <f t="shared" si="2"/>
        <v>noviembre</v>
      </c>
      <c r="P381" s="7" t="s">
        <v>4958</v>
      </c>
    </row>
    <row r="382">
      <c r="A382" s="19">
        <f>'Respuestas de formulario 1'!A382</f>
        <v>45258.35362</v>
      </c>
      <c r="B382" s="7" t="str">
        <f>'Respuestas de formulario 1'!B382</f>
        <v>Costantino </v>
      </c>
      <c r="C382" s="7" t="str">
        <f>'Respuestas de formulario 1'!C382</f>
        <v>Gaston </v>
      </c>
      <c r="D382" s="7" t="str">
        <f>'Respuestas de formulario 1'!D382</f>
        <v>costantinogaston@hotmail.com</v>
      </c>
      <c r="E382" s="20">
        <f>'Respuestas de formulario 1'!E382</f>
        <v>28334</v>
      </c>
      <c r="F382" s="7">
        <f>'Respuestas de formulario 1'!F382</f>
        <v>25132741</v>
      </c>
      <c r="G382" s="7" t="str">
        <f>IFERROR(__xludf.DUMMYFUNCTION("IF('Respuestas de formulario 1'!G382="""","""",IF(LEFT(REGEXREPLACE(TO_TEXT('Respuestas de formulario 1'!G382),""[^0-9]"",""""),2)=""54"",""+""&amp;REGEXREPLACE(TO_TEXT('Respuestas de formulario 1'!G382),""[^0-9]"",""""),""+54""&amp;REGEXREPLACE(TO_TEXT('Respuest"&amp;"as de formulario 1'!G382),""[^0-9]"","""")))"),"+543512018717")</f>
        <v>+543512018717</v>
      </c>
      <c r="H382" s="7">
        <f>'Respuestas de formulario 1'!S382</f>
        <v>2023</v>
      </c>
      <c r="I382" s="7" t="str">
        <f>IFERROR(__xludf.DUMMYFUNCTION("IF('Respuestas de formulario 1'!I382="""","""",TO_TEXT('Respuestas de formulario 1'!I382))"),"Particular")</f>
        <v>Particular</v>
      </c>
      <c r="J382" s="7" t="str">
        <f>IFERROR(__xludf.DUMMYFUNCTION("IF('Respuestas de formulario 1'!J382&lt;&gt;"""",UPPER(TRIM(TO_TEXT('Respuestas de formulario 1'!J382))),IF('Respuestas de formulario 1'!O382&lt;&gt;"""",UPPER(TRIM(TO_TEXT('Respuestas de formulario 1'!O382))),""""))"),"")</f>
        <v/>
      </c>
      <c r="K382" s="7" t="str">
        <f>IFERROR(__xludf.DUMMYFUNCTION("IF('Respuestas de formulario 1'!K382="""","""",TO_TEXT('Respuestas de formulario 1'!K382))"),"")</f>
        <v/>
      </c>
      <c r="L382" s="7" t="str">
        <f>IFERROR(__xludf.DUMMYFUNCTION("IF('Respuestas de formulario 1'!L382="""","""",TO_TEXT('Respuestas de formulario 1'!L382))"),"")</f>
        <v/>
      </c>
      <c r="M382" s="7" t="str">
        <f>IFERROR(__xludf.DUMMYFUNCTION("IF('Respuestas de formulario 1'!M382="""","""",TO_TEXT('Respuestas de formulario 1'!M382))"),"")</f>
        <v/>
      </c>
      <c r="N382" s="7">
        <f t="shared" si="1"/>
        <v>2023</v>
      </c>
      <c r="O382" s="7" t="str">
        <f t="shared" si="2"/>
        <v>noviembre</v>
      </c>
      <c r="P382" s="7" t="s">
        <v>4960</v>
      </c>
    </row>
    <row r="383">
      <c r="A383" s="19">
        <f>'Respuestas de formulario 1'!A383</f>
        <v>45259.67902</v>
      </c>
      <c r="B383" s="7" t="str">
        <f>'Respuestas de formulario 1'!B383</f>
        <v>Amorini</v>
      </c>
      <c r="C383" s="7" t="str">
        <f>'Respuestas de formulario 1'!C383</f>
        <v>Juan Pablo</v>
      </c>
      <c r="D383" s="7" t="str">
        <f>'Respuestas de formulario 1'!D383</f>
        <v>jupa_03@hotmail.com</v>
      </c>
      <c r="E383" s="20">
        <f>'Respuestas de formulario 1'!E383</f>
        <v>26353</v>
      </c>
      <c r="F383" s="7">
        <f>'Respuestas de formulario 1'!F383</f>
        <v>22539894</v>
      </c>
      <c r="G383" s="7" t="str">
        <f>IFERROR(__xludf.DUMMYFUNCTION("IF('Respuestas de formulario 1'!G383="""","""",IF(LEFT(REGEXREPLACE(TO_TEXT('Respuestas de formulario 1'!G383),""[^0-9]"",""""),2)=""54"",""+""&amp;REGEXREPLACE(TO_TEXT('Respuestas de formulario 1'!G383),""[^0-9]"",""""),""+54""&amp;REGEXREPLACE(TO_TEXT('Respuest"&amp;"as de formulario 1'!G383),""[^0-9]"","""")))"),"+543512337731")</f>
        <v>+543512337731</v>
      </c>
      <c r="H383" s="7">
        <f>'Respuestas de formulario 1'!S383</f>
        <v>2023</v>
      </c>
      <c r="I383" s="7" t="str">
        <f>IFERROR(__xludf.DUMMYFUNCTION("IF('Respuestas de formulario 1'!I383="""","""",TO_TEXT('Respuestas de formulario 1'!I383))"),"Obra social")</f>
        <v>Obra social</v>
      </c>
      <c r="J383" s="7" t="str">
        <f>IFERROR(__xludf.DUMMYFUNCTION("IF('Respuestas de formulario 1'!J383&lt;&gt;"""",UPPER(TRIM(TO_TEXT('Respuestas de formulario 1'!J383))),IF('Respuestas de formulario 1'!O383&lt;&gt;"""",UPPER(TRIM(TO_TEXT('Respuestas de formulario 1'!O383))),""""))"),"PREVENCIÓN")</f>
        <v>PREVENCIÓN</v>
      </c>
      <c r="K383" s="7" t="str">
        <f>IFERROR(__xludf.DUMMYFUNCTION("IF('Respuestas de formulario 1'!K383="""","""",TO_TEXT('Respuestas de formulario 1'!K383))"),"")</f>
        <v/>
      </c>
      <c r="L383" s="7" t="str">
        <f>IFERROR(__xludf.DUMMYFUNCTION("IF('Respuestas de formulario 1'!L383="""","""",TO_TEXT('Respuestas de formulario 1'!L383))"),"")</f>
        <v/>
      </c>
      <c r="M383" s="7" t="str">
        <f>IFERROR(__xludf.DUMMYFUNCTION("IF('Respuestas de formulario 1'!M383="""","""",TO_TEXT('Respuestas de formulario 1'!M383))"),"")</f>
        <v/>
      </c>
      <c r="N383" s="7">
        <f t="shared" si="1"/>
        <v>2023</v>
      </c>
      <c r="O383" s="7" t="str">
        <f t="shared" si="2"/>
        <v>noviembre</v>
      </c>
      <c r="P383" s="7" t="s">
        <v>4962</v>
      </c>
    </row>
    <row r="384">
      <c r="A384" s="19">
        <f>'Respuestas de formulario 1'!A384</f>
        <v>45259.85164</v>
      </c>
      <c r="B384" s="7" t="str">
        <f>'Respuestas de formulario 1'!B384</f>
        <v>Ramirez</v>
      </c>
      <c r="C384" s="7" t="str">
        <f>'Respuestas de formulario 1'!C384</f>
        <v>Aurora Beatriz</v>
      </c>
      <c r="D384" s="7" t="str">
        <f>'Respuestas de formulario 1'!D384</f>
        <v/>
      </c>
      <c r="E384" s="20">
        <f>'Respuestas de formulario 1'!E384</f>
        <v>45247</v>
      </c>
      <c r="F384" s="7">
        <f>'Respuestas de formulario 1'!F384</f>
        <v>39690449</v>
      </c>
      <c r="G384" s="7" t="str">
        <f>IFERROR(__xludf.DUMMYFUNCTION("IF('Respuestas de formulario 1'!G384="""","""",IF(LEFT(REGEXREPLACE(TO_TEXT('Respuestas de formulario 1'!G384),""[^0-9]"",""""),2)=""54"",""+""&amp;REGEXREPLACE(TO_TEXT('Respuestas de formulario 1'!G384),""[^0-9]"",""""),""+54""&amp;REGEXREPLACE(TO_TEXT('Respuest"&amp;"as de formulario 1'!G384),""[^0-9]"","""")))"),"+543513820345")</f>
        <v>+543513820345</v>
      </c>
      <c r="H384" s="7">
        <f>'Respuestas de formulario 1'!S384</f>
        <v>2023</v>
      </c>
      <c r="I384" s="7" t="str">
        <f>IFERROR(__xludf.DUMMYFUNCTION("IF('Respuestas de formulario 1'!I384="""","""",TO_TEXT('Respuestas de formulario 1'!I384))"),"Obra social")</f>
        <v>Obra social</v>
      </c>
      <c r="J384" s="7" t="str">
        <f>IFERROR(__xludf.DUMMYFUNCTION("IF('Respuestas de formulario 1'!J384&lt;&gt;"""",UPPER(TRIM(TO_TEXT('Respuestas de formulario 1'!J384))),IF('Respuestas de formulario 1'!O384&lt;&gt;"""",UPPER(TRIM(TO_TEXT('Respuestas de formulario 1'!O384))),""""))"),"APROSS")</f>
        <v>APROSS</v>
      </c>
      <c r="K384" s="7" t="str">
        <f>IFERROR(__xludf.DUMMYFUNCTION("IF('Respuestas de formulario 1'!K384="""","""",TO_TEXT('Respuestas de formulario 1'!K384))"),"")</f>
        <v/>
      </c>
      <c r="L384" s="7" t="str">
        <f>IFERROR(__xludf.DUMMYFUNCTION("IF('Respuestas de formulario 1'!L384="""","""",TO_TEXT('Respuestas de formulario 1'!L384))"),"")</f>
        <v/>
      </c>
      <c r="M384" s="7" t="str">
        <f>IFERROR(__xludf.DUMMYFUNCTION("IF('Respuestas de formulario 1'!M384="""","""",TO_TEXT('Respuestas de formulario 1'!M384))"),"")</f>
        <v/>
      </c>
      <c r="N384" s="7">
        <f t="shared" si="1"/>
        <v>2023</v>
      </c>
      <c r="O384" s="7" t="str">
        <f t="shared" si="2"/>
        <v>noviembre</v>
      </c>
      <c r="P384" s="7" t="s">
        <v>4964</v>
      </c>
    </row>
    <row r="385">
      <c r="A385" s="19">
        <f>'Respuestas de formulario 1'!A385</f>
        <v>45261.70784</v>
      </c>
      <c r="B385" s="7" t="str">
        <f>'Respuestas de formulario 1'!B385</f>
        <v>SOTO ROJAS</v>
      </c>
      <c r="C385" s="7" t="str">
        <f>'Respuestas de formulario 1'!C385</f>
        <v>Ignacio Mateo </v>
      </c>
      <c r="D385" s="7" t="str">
        <f>'Respuestas de formulario 1'!D385</f>
        <v>sotorojas.0188@gmail.com</v>
      </c>
      <c r="E385" s="20">
        <f>'Respuestas de formulario 1'!E385</f>
        <v>32143</v>
      </c>
      <c r="F385" s="21">
        <f>'Respuestas de formulario 1'!F385</f>
        <v>33482735</v>
      </c>
      <c r="G385" s="7" t="str">
        <f>IFERROR(__xludf.DUMMYFUNCTION("IF('Respuestas de formulario 1'!G385="""","""",IF(LEFT(REGEXREPLACE(TO_TEXT('Respuestas de formulario 1'!G385),""[^0-9]"",""""),2)=""54"",""+""&amp;REGEXREPLACE(TO_TEXT('Respuestas de formulario 1'!G385),""[^0-9]"",""""),""+54""&amp;REGEXREPLACE(TO_TEXT('Respuest"&amp;"as de formulario 1'!G385),""[^0-9]"","""")))"),"+543512125057")</f>
        <v>+543512125057</v>
      </c>
      <c r="H385" s="7">
        <f>'Respuestas de formulario 1'!S385</f>
        <v>2023</v>
      </c>
      <c r="I385" s="7" t="str">
        <f>IFERROR(__xludf.DUMMYFUNCTION("IF('Respuestas de formulario 1'!I385="""","""",TO_TEXT('Respuestas de formulario 1'!I385))"),"Obra social")</f>
        <v>Obra social</v>
      </c>
      <c r="J385" s="7" t="str">
        <f>IFERROR(__xludf.DUMMYFUNCTION("IF('Respuestas de formulario 1'!J385&lt;&gt;"""",UPPER(TRIM(TO_TEXT('Respuestas de formulario 1'!J385))),IF('Respuestas de formulario 1'!O385&lt;&gt;"""",UPPER(TRIM(TO_TEXT('Respuestas de formulario 1'!O385))),""""))"),"POLICÍA FEDERAL")</f>
        <v>POLICÍA FEDERAL</v>
      </c>
      <c r="K385" s="7" t="str">
        <f>IFERROR(__xludf.DUMMYFUNCTION("IF('Respuestas de formulario 1'!K385="""","""",TO_TEXT('Respuestas de formulario 1'!K385))"),"")</f>
        <v/>
      </c>
      <c r="L385" s="7" t="str">
        <f>IFERROR(__xludf.DUMMYFUNCTION("IF('Respuestas de formulario 1'!L385="""","""",TO_TEXT('Respuestas de formulario 1'!L385))"),"")</f>
        <v/>
      </c>
      <c r="M385" s="7" t="str">
        <f>IFERROR(__xludf.DUMMYFUNCTION("IF('Respuestas de formulario 1'!M385="""","""",TO_TEXT('Respuestas de formulario 1'!M385))"),"")</f>
        <v/>
      </c>
      <c r="N385" s="7">
        <f t="shared" si="1"/>
        <v>2023</v>
      </c>
      <c r="O385" s="7" t="str">
        <f t="shared" si="2"/>
        <v>diciembre</v>
      </c>
      <c r="P385" s="7" t="s">
        <v>4966</v>
      </c>
    </row>
    <row r="386">
      <c r="A386" s="19">
        <f>'Respuestas de formulario 1'!A386</f>
        <v>45261.93811</v>
      </c>
      <c r="B386" s="7" t="str">
        <f>'Respuestas de formulario 1'!B386</f>
        <v>Tosolini</v>
      </c>
      <c r="C386" s="7" t="str">
        <f>'Respuestas de formulario 1'!C386</f>
        <v>Luis Guillermo</v>
      </c>
      <c r="D386" s="7" t="str">
        <f>'Respuestas de formulario 1'!D386</f>
        <v>zmiretti@uepc.org.ar </v>
      </c>
      <c r="E386" s="20">
        <f>'Respuestas de formulario 1'!E386</f>
        <v>17875</v>
      </c>
      <c r="F386" s="7">
        <f>'Respuestas de formulario 1'!F386</f>
        <v>5528842</v>
      </c>
      <c r="G386" s="7" t="str">
        <f>IFERROR(__xludf.DUMMYFUNCTION("IF('Respuestas de formulario 1'!G386="""","""",IF(LEFT(REGEXREPLACE(TO_TEXT('Respuestas de formulario 1'!G386),""[^0-9]"",""""),2)=""54"",""+""&amp;REGEXREPLACE(TO_TEXT('Respuestas de formulario 1'!G386),""[^0-9]"",""""),""+54""&amp;REGEXREPLACE(TO_TEXT('Respuest"&amp;"as de formulario 1'!G386),""[^0-9]"","""")))"),"+543516724587")</f>
        <v>+543516724587</v>
      </c>
      <c r="H386" s="7">
        <f>'Respuestas de formulario 1'!S386</f>
        <v>2023</v>
      </c>
      <c r="I386" s="7" t="str">
        <f>IFERROR(__xludf.DUMMYFUNCTION("IF('Respuestas de formulario 1'!I386="""","""",TO_TEXT('Respuestas de formulario 1'!I386))"),"Obra social")</f>
        <v>Obra social</v>
      </c>
      <c r="J386" s="7" t="str">
        <f>IFERROR(__xludf.DUMMYFUNCTION("IF('Respuestas de formulario 1'!J386&lt;&gt;"""",UPPER(TRIM(TO_TEXT('Respuestas de formulario 1'!J386))),IF('Respuestas de formulario 1'!O386&lt;&gt;"""",UPPER(TRIM(TO_TEXT('Respuestas de formulario 1'!O386))),""""))"),"APROSS")</f>
        <v>APROSS</v>
      </c>
      <c r="K386" s="7" t="str">
        <f>IFERROR(__xludf.DUMMYFUNCTION("IF('Respuestas de formulario 1'!K386="""","""",TO_TEXT('Respuestas de formulario 1'!K386))"),"")</f>
        <v/>
      </c>
      <c r="L386" s="7" t="str">
        <f>IFERROR(__xludf.DUMMYFUNCTION("IF('Respuestas de formulario 1'!L386="""","""",TO_TEXT('Respuestas de formulario 1'!L386))"),"")</f>
        <v/>
      </c>
      <c r="M386" s="7" t="str">
        <f>IFERROR(__xludf.DUMMYFUNCTION("IF('Respuestas de formulario 1'!M386="""","""",TO_TEXT('Respuestas de formulario 1'!M386))"),"")</f>
        <v/>
      </c>
      <c r="N386" s="7">
        <f t="shared" si="1"/>
        <v>2023</v>
      </c>
      <c r="O386" s="7" t="str">
        <f t="shared" si="2"/>
        <v>diciembre</v>
      </c>
      <c r="P386" s="7" t="s">
        <v>4968</v>
      </c>
    </row>
    <row r="387">
      <c r="A387" s="19">
        <f>'Respuestas de formulario 1'!A387</f>
        <v>45264.4491</v>
      </c>
      <c r="B387" s="7" t="str">
        <f>'Respuestas de formulario 1'!B387</f>
        <v>Musella Monnier </v>
      </c>
      <c r="C387" s="7" t="str">
        <f>'Respuestas de formulario 1'!C387</f>
        <v>Máximo</v>
      </c>
      <c r="D387" s="7" t="str">
        <f>'Respuestas de formulario 1'!D387</f>
        <v>maximomusella2017@gmail.com</v>
      </c>
      <c r="E387" s="20">
        <f>'Respuestas de formulario 1'!E387</f>
        <v>39201</v>
      </c>
      <c r="F387" s="7">
        <f>'Respuestas de formulario 1'!F387</f>
        <v>47174231</v>
      </c>
      <c r="G387" s="7" t="str">
        <f>IFERROR(__xludf.DUMMYFUNCTION("IF('Respuestas de formulario 1'!G387="""","""",IF(LEFT(REGEXREPLACE(TO_TEXT('Respuestas de formulario 1'!G387),""[^0-9]"",""""),2)=""54"",""+""&amp;REGEXREPLACE(TO_TEXT('Respuestas de formulario 1'!G387),""[^0-9]"",""""),""+54""&amp;REGEXREPLACE(TO_TEXT('Respuest"&amp;"as de formulario 1'!G387),""[^0-9]"","""")))"),"+543515329739")</f>
        <v>+543515329739</v>
      </c>
      <c r="H387" s="7">
        <f>'Respuestas de formulario 1'!S387</f>
        <v>2023</v>
      </c>
      <c r="I387" s="7" t="str">
        <f>IFERROR(__xludf.DUMMYFUNCTION("IF('Respuestas de formulario 1'!I387="""","""",TO_TEXT('Respuestas de formulario 1'!I387))"),"Particular")</f>
        <v>Particular</v>
      </c>
      <c r="J387" s="7" t="str">
        <f>IFERROR(__xludf.DUMMYFUNCTION("IF('Respuestas de formulario 1'!J387&lt;&gt;"""",UPPER(TRIM(TO_TEXT('Respuestas de formulario 1'!J387))),IF('Respuestas de formulario 1'!O387&lt;&gt;"""",UPPER(TRIM(TO_TEXT('Respuestas de formulario 1'!O387))),""""))"),"")</f>
        <v/>
      </c>
      <c r="K387" s="7" t="str">
        <f>IFERROR(__xludf.DUMMYFUNCTION("IF('Respuestas de formulario 1'!K387="""","""",TO_TEXT('Respuestas de formulario 1'!K387))"),"")</f>
        <v/>
      </c>
      <c r="L387" s="7" t="str">
        <f>IFERROR(__xludf.DUMMYFUNCTION("IF('Respuestas de formulario 1'!L387="""","""",TO_TEXT('Respuestas de formulario 1'!L387))"),"")</f>
        <v/>
      </c>
      <c r="M387" s="7" t="str">
        <f>IFERROR(__xludf.DUMMYFUNCTION("IF('Respuestas de formulario 1'!M387="""","""",TO_TEXT('Respuestas de formulario 1'!M387))"),"")</f>
        <v/>
      </c>
      <c r="N387" s="7">
        <f t="shared" si="1"/>
        <v>2023</v>
      </c>
      <c r="O387" s="7" t="str">
        <f t="shared" si="2"/>
        <v>diciembre</v>
      </c>
      <c r="P387" s="7" t="s">
        <v>4970</v>
      </c>
    </row>
    <row r="388">
      <c r="A388" s="19">
        <f>'Respuestas de formulario 1'!A388</f>
        <v>45264.68233</v>
      </c>
      <c r="B388" s="7" t="str">
        <f>'Respuestas de formulario 1'!B388</f>
        <v>Maza</v>
      </c>
      <c r="C388" s="7" t="str">
        <f>'Respuestas de formulario 1'!C388</f>
        <v>Carlos Dario </v>
      </c>
      <c r="D388" s="7" t="str">
        <f>'Respuestas de formulario 1'!D388</f>
        <v>carlosdariomaza@gmail.com</v>
      </c>
      <c r="E388" s="20">
        <f>'Respuestas de formulario 1'!E388</f>
        <v>45130</v>
      </c>
      <c r="F388" s="7">
        <f>'Respuestas de formulario 1'!F388</f>
        <v>22685013</v>
      </c>
      <c r="G388" s="7" t="str">
        <f>IFERROR(__xludf.DUMMYFUNCTION("IF('Respuestas de formulario 1'!G388="""","""",IF(LEFT(REGEXREPLACE(TO_TEXT('Respuestas de formulario 1'!G388),""[^0-9]"",""""),2)=""54"",""+""&amp;REGEXREPLACE(TO_TEXT('Respuestas de formulario 1'!G388),""[^0-9]"",""""),""+54""&amp;REGEXREPLACE(TO_TEXT('Respuest"&amp;"as de formulario 1'!G388),""[^0-9]"","""")))"),"+543512421378")</f>
        <v>+543512421378</v>
      </c>
      <c r="H388" s="7">
        <f>'Respuestas de formulario 1'!S388</f>
        <v>2023</v>
      </c>
      <c r="I388" s="7" t="str">
        <f>IFERROR(__xludf.DUMMYFUNCTION("IF('Respuestas de formulario 1'!I388="""","""",TO_TEXT('Respuestas de formulario 1'!I388))"),"Obra social")</f>
        <v>Obra social</v>
      </c>
      <c r="J388" s="7" t="str">
        <f>IFERROR(__xludf.DUMMYFUNCTION("IF('Respuestas de formulario 1'!J388&lt;&gt;"""",UPPER(TRIM(TO_TEXT('Respuestas de formulario 1'!J388))),IF('Respuestas de formulario 1'!O388&lt;&gt;"""",UPPER(TRIM(TO_TEXT('Respuestas de formulario 1'!O388))),""""))"),"MEDIFE")</f>
        <v>MEDIFE</v>
      </c>
      <c r="K388" s="7" t="str">
        <f>IFERROR(__xludf.DUMMYFUNCTION("IF('Respuestas de formulario 1'!K388="""","""",TO_TEXT('Respuestas de formulario 1'!K388))"),"")</f>
        <v/>
      </c>
      <c r="L388" s="7" t="str">
        <f>IFERROR(__xludf.DUMMYFUNCTION("IF('Respuestas de formulario 1'!L388="""","""",TO_TEXT('Respuestas de formulario 1'!L388))"),"")</f>
        <v/>
      </c>
      <c r="M388" s="7" t="str">
        <f>IFERROR(__xludf.DUMMYFUNCTION("IF('Respuestas de formulario 1'!M388="""","""",TO_TEXT('Respuestas de formulario 1'!M388))"),"")</f>
        <v/>
      </c>
      <c r="N388" s="7">
        <f t="shared" si="1"/>
        <v>2023</v>
      </c>
      <c r="O388" s="7" t="str">
        <f t="shared" si="2"/>
        <v>diciembre</v>
      </c>
      <c r="P388" s="7" t="s">
        <v>4972</v>
      </c>
    </row>
    <row r="389">
      <c r="A389" s="19">
        <f>'Respuestas de formulario 1'!A389</f>
        <v>45259.85164</v>
      </c>
      <c r="B389" s="7" t="str">
        <f>'Respuestas de formulario 1'!B389</f>
        <v>Carranza</v>
      </c>
      <c r="C389" s="7" t="str">
        <f>'Respuestas de formulario 1'!C389</f>
        <v>Juan Cruz</v>
      </c>
      <c r="D389" s="7" t="str">
        <f>'Respuestas de formulario 1'!D389</f>
        <v>juacru33@gmail.com</v>
      </c>
      <c r="E389" s="7" t="str">
        <f>'Respuestas de formulario 1'!E389</f>
        <v/>
      </c>
      <c r="F389" s="7">
        <f>'Respuestas de formulario 1'!F389</f>
        <v>22567586</v>
      </c>
      <c r="G389" s="7" t="str">
        <f>IFERROR(__xludf.DUMMYFUNCTION("IF('Respuestas de formulario 1'!G389="""","""",IF(LEFT(REGEXREPLACE(TO_TEXT('Respuestas de formulario 1'!G389),""[^0-9]"",""""),2)=""54"",""+""&amp;REGEXREPLACE(TO_TEXT('Respuestas de formulario 1'!G389),""[^0-9]"",""""),""+54""&amp;REGEXREPLACE(TO_TEXT('Respuest"&amp;"as de formulario 1'!G389),""[^0-9]"","""")))"),"+543513037002")</f>
        <v>+543513037002</v>
      </c>
      <c r="H389" s="7">
        <f>'Respuestas de formulario 1'!S389</f>
        <v>2023</v>
      </c>
      <c r="I389" s="7" t="str">
        <f>IFERROR(__xludf.DUMMYFUNCTION("IF('Respuestas de formulario 1'!I389="""","""",TO_TEXT('Respuestas de formulario 1'!I389))"),"particular")</f>
        <v>particular</v>
      </c>
      <c r="J389" s="7" t="str">
        <f>IFERROR(__xludf.DUMMYFUNCTION("IF('Respuestas de formulario 1'!J389&lt;&gt;"""",UPPER(TRIM(TO_TEXT('Respuestas de formulario 1'!J389))),IF('Respuestas de formulario 1'!O389&lt;&gt;"""",UPPER(TRIM(TO_TEXT('Respuestas de formulario 1'!O389))),""""))"),"")</f>
        <v/>
      </c>
      <c r="K389" s="7" t="str">
        <f>IFERROR(__xludf.DUMMYFUNCTION("IF('Respuestas de formulario 1'!K389="""","""",TO_TEXT('Respuestas de formulario 1'!K389))"),"")</f>
        <v/>
      </c>
      <c r="L389" s="7" t="str">
        <f>IFERROR(__xludf.DUMMYFUNCTION("IF('Respuestas de formulario 1'!L389="""","""",TO_TEXT('Respuestas de formulario 1'!L389))"),"")</f>
        <v/>
      </c>
      <c r="M389" s="7" t="str">
        <f>IFERROR(__xludf.DUMMYFUNCTION("IF('Respuestas de formulario 1'!M389="""","""",TO_TEXT('Respuestas de formulario 1'!M389))"),"")</f>
        <v/>
      </c>
      <c r="N389" s="7">
        <f t="shared" si="1"/>
        <v>2023</v>
      </c>
      <c r="O389" s="7" t="str">
        <f t="shared" si="2"/>
        <v>noviembre</v>
      </c>
      <c r="P389" s="7" t="s">
        <v>4974</v>
      </c>
    </row>
    <row r="390">
      <c r="A390" s="19">
        <f>'Respuestas de formulario 1'!A390</f>
        <v>45264.82872</v>
      </c>
      <c r="B390" s="7" t="str">
        <f>'Respuestas de formulario 1'!B390</f>
        <v>Espinoza</v>
      </c>
      <c r="C390" s="7" t="str">
        <f>'Respuestas de formulario 1'!C390</f>
        <v>Edith</v>
      </c>
      <c r="D390" s="7" t="str">
        <f>'Respuestas de formulario 1'!D390</f>
        <v>fitnessteam.eem@gmail.com</v>
      </c>
      <c r="E390" s="20">
        <f>'Respuestas de formulario 1'!E390</f>
        <v>29352</v>
      </c>
      <c r="F390" s="7">
        <f>'Respuestas de formulario 1'!F390</f>
        <v>92683031</v>
      </c>
      <c r="G390" s="7" t="str">
        <f>IFERROR(__xludf.DUMMYFUNCTION("IF('Respuestas de formulario 1'!G390="""","""",IF(LEFT(REGEXREPLACE(TO_TEXT('Respuestas de formulario 1'!G390),""[^0-9]"",""""),2)=""54"",""+""&amp;REGEXREPLACE(TO_TEXT('Respuestas de formulario 1'!G390),""[^0-9]"",""""),""+54""&amp;REGEXREPLACE(TO_TEXT('Respuest"&amp;"as de formulario 1'!G390),""[^0-9]"","""")))"),"+543516159236")</f>
        <v>+543516159236</v>
      </c>
      <c r="H390" s="7">
        <f>'Respuestas de formulario 1'!S390</f>
        <v>2023</v>
      </c>
      <c r="I390" s="7" t="str">
        <f>IFERROR(__xludf.DUMMYFUNCTION("IF('Respuestas de formulario 1'!I390="""","""",TO_TEXT('Respuestas de formulario 1'!I390))"),"Particular")</f>
        <v>Particular</v>
      </c>
      <c r="J390" s="7" t="str">
        <f>IFERROR(__xludf.DUMMYFUNCTION("IF('Respuestas de formulario 1'!J390&lt;&gt;"""",UPPER(TRIM(TO_TEXT('Respuestas de formulario 1'!J390))),IF('Respuestas de formulario 1'!O390&lt;&gt;"""",UPPER(TRIM(TO_TEXT('Respuestas de formulario 1'!O390))),""""))"),"")</f>
        <v/>
      </c>
      <c r="K390" s="7" t="str">
        <f>IFERROR(__xludf.DUMMYFUNCTION("IF('Respuestas de formulario 1'!K390="""","""",TO_TEXT('Respuestas de formulario 1'!K390))"),"")</f>
        <v/>
      </c>
      <c r="L390" s="7" t="str">
        <f>IFERROR(__xludf.DUMMYFUNCTION("IF('Respuestas de formulario 1'!L390="""","""",TO_TEXT('Respuestas de formulario 1'!L390))"),"")</f>
        <v/>
      </c>
      <c r="M390" s="7" t="str">
        <f>IFERROR(__xludf.DUMMYFUNCTION("IF('Respuestas de formulario 1'!M390="""","""",TO_TEXT('Respuestas de formulario 1'!M390))"),"")</f>
        <v/>
      </c>
      <c r="N390" s="7">
        <f t="shared" si="1"/>
        <v>2023</v>
      </c>
      <c r="O390" s="7" t="str">
        <f t="shared" si="2"/>
        <v>diciembre</v>
      </c>
      <c r="P390" s="7" t="s">
        <v>4976</v>
      </c>
    </row>
    <row r="391">
      <c r="A391" s="19">
        <f>'Respuestas de formulario 1'!A391</f>
        <v>45264.91215</v>
      </c>
      <c r="B391" s="7" t="str">
        <f>'Respuestas de formulario 1'!B391</f>
        <v>Pilone</v>
      </c>
      <c r="C391" s="7" t="str">
        <f>'Respuestas de formulario 1'!C391</f>
        <v>Alejandro</v>
      </c>
      <c r="D391" s="7" t="str">
        <f>'Respuestas de formulario 1'!D391</f>
        <v>alejandropilone5@gmail.com</v>
      </c>
      <c r="E391" s="20">
        <f>'Respuestas de formulario 1'!E391</f>
        <v>30071</v>
      </c>
      <c r="F391" s="7">
        <f>'Respuestas de formulario 1'!F391</f>
        <v>29605018</v>
      </c>
      <c r="G391" s="7" t="str">
        <f>IFERROR(__xludf.DUMMYFUNCTION("IF('Respuestas de formulario 1'!G391="""","""",IF(LEFT(REGEXREPLACE(TO_TEXT('Respuestas de formulario 1'!G391),""[^0-9]"",""""),2)=""54"",""+""&amp;REGEXREPLACE(TO_TEXT('Respuestas de formulario 1'!G391),""[^0-9]"",""""),""+54""&amp;REGEXREPLACE(TO_TEXT('Respuest"&amp;"as de formulario 1'!G391),""[^0-9]"","""")))"),"+543512314596")</f>
        <v>+543512314596</v>
      </c>
      <c r="H391" s="7">
        <f>'Respuestas de formulario 1'!S391</f>
        <v>2023</v>
      </c>
      <c r="I391" s="7" t="str">
        <f>IFERROR(__xludf.DUMMYFUNCTION("IF('Respuestas de formulario 1'!I391="""","""",TO_TEXT('Respuestas de formulario 1'!I391))"),"Obra social")</f>
        <v>Obra social</v>
      </c>
      <c r="J391" s="7" t="str">
        <f>IFERROR(__xludf.DUMMYFUNCTION("IF('Respuestas de formulario 1'!J391&lt;&gt;"""",UPPER(TRIM(TO_TEXT('Respuestas de formulario 1'!J391))),IF('Respuestas de formulario 1'!O391&lt;&gt;"""",UPPER(TRIM(TO_TEXT('Respuestas de formulario 1'!O391))),""""))"),"PREVENCIÓN")</f>
        <v>PREVENCIÓN</v>
      </c>
      <c r="K391" s="7" t="str">
        <f>IFERROR(__xludf.DUMMYFUNCTION("IF('Respuestas de formulario 1'!K391="""","""",TO_TEXT('Respuestas de formulario 1'!K391))"),"")</f>
        <v/>
      </c>
      <c r="L391" s="7" t="str">
        <f>IFERROR(__xludf.DUMMYFUNCTION("IF('Respuestas de formulario 1'!L391="""","""",TO_TEXT('Respuestas de formulario 1'!L391))"),"")</f>
        <v/>
      </c>
      <c r="M391" s="7" t="str">
        <f>IFERROR(__xludf.DUMMYFUNCTION("IF('Respuestas de formulario 1'!M391="""","""",TO_TEXT('Respuestas de formulario 1'!M391))"),"")</f>
        <v/>
      </c>
      <c r="N391" s="7">
        <f t="shared" si="1"/>
        <v>2023</v>
      </c>
      <c r="O391" s="7" t="str">
        <f t="shared" si="2"/>
        <v>diciembre</v>
      </c>
      <c r="P391" s="7" t="s">
        <v>4978</v>
      </c>
    </row>
    <row r="392">
      <c r="A392" s="19">
        <f>'Respuestas de formulario 1'!A392</f>
        <v>45266.35542</v>
      </c>
      <c r="B392" s="7" t="str">
        <f>'Respuestas de formulario 1'!B392</f>
        <v>Chavez </v>
      </c>
      <c r="C392" s="7" t="str">
        <f>'Respuestas de formulario 1'!C392</f>
        <v>Daniela</v>
      </c>
      <c r="D392" s="7" t="str">
        <f>'Respuestas de formulario 1'!D392</f>
        <v>Losageleschavez79@gmail.com</v>
      </c>
      <c r="E392" s="20">
        <f>'Respuestas de formulario 1'!E392</f>
        <v>29015</v>
      </c>
      <c r="F392" s="7">
        <f>'Respuestas de formulario 1'!F392</f>
        <v>27367461</v>
      </c>
      <c r="G392" s="7" t="str">
        <f>IFERROR(__xludf.DUMMYFUNCTION("IF('Respuestas de formulario 1'!G392="""","""",IF(LEFT(REGEXREPLACE(TO_TEXT('Respuestas de formulario 1'!G392),""[^0-9]"",""""),2)=""54"",""+""&amp;REGEXREPLACE(TO_TEXT('Respuestas de formulario 1'!G392),""[^0-9]"",""""),""+54""&amp;REGEXREPLACE(TO_TEXT('Respuest"&amp;"as de formulario 1'!G392),""[^0-9]"","""")))"),"+543515471795")</f>
        <v>+543515471795</v>
      </c>
      <c r="H392" s="7">
        <f>'Respuestas de formulario 1'!S392</f>
        <v>2023</v>
      </c>
      <c r="I392" s="7" t="str">
        <f>IFERROR(__xludf.DUMMYFUNCTION("IF('Respuestas de formulario 1'!I392="""","""",TO_TEXT('Respuestas de formulario 1'!I392))"),"Obra social")</f>
        <v>Obra social</v>
      </c>
      <c r="J392" s="7" t="str">
        <f>IFERROR(__xludf.DUMMYFUNCTION("IF('Respuestas de formulario 1'!J392&lt;&gt;"""",UPPER(TRIM(TO_TEXT('Respuestas de formulario 1'!J392))),IF('Respuestas de formulario 1'!O392&lt;&gt;"""",UPPER(TRIM(TO_TEXT('Respuestas de formulario 1'!O392))),""""))"),"PREVENCIÓN")</f>
        <v>PREVENCIÓN</v>
      </c>
      <c r="K392" s="7" t="str">
        <f>IFERROR(__xludf.DUMMYFUNCTION("IF('Respuestas de formulario 1'!K392="""","""",TO_TEXT('Respuestas de formulario 1'!K392))"),"")</f>
        <v/>
      </c>
      <c r="L392" s="7" t="str">
        <f>IFERROR(__xludf.DUMMYFUNCTION("IF('Respuestas de formulario 1'!L392="""","""",TO_TEXT('Respuestas de formulario 1'!L392))"),"")</f>
        <v/>
      </c>
      <c r="M392" s="7" t="str">
        <f>IFERROR(__xludf.DUMMYFUNCTION("IF('Respuestas de formulario 1'!M392="""","""",TO_TEXT('Respuestas de formulario 1'!M392))"),"")</f>
        <v/>
      </c>
      <c r="N392" s="7">
        <f t="shared" si="1"/>
        <v>2023</v>
      </c>
      <c r="O392" s="7" t="str">
        <f t="shared" si="2"/>
        <v>diciembre</v>
      </c>
      <c r="P392" s="7" t="s">
        <v>4980</v>
      </c>
    </row>
    <row r="393">
      <c r="A393" s="19">
        <f>'Respuestas de formulario 1'!A393</f>
        <v>45266.82009</v>
      </c>
      <c r="B393" s="7" t="str">
        <f>'Respuestas de formulario 1'!B393</f>
        <v>Bongiorni</v>
      </c>
      <c r="C393" s="7" t="str">
        <f>'Respuestas de formulario 1'!C393</f>
        <v>Agustina</v>
      </c>
      <c r="D393" s="7" t="str">
        <f>'Respuestas de formulario 1'!D393</f>
        <v>abongiornifacu@gmail.com</v>
      </c>
      <c r="E393" s="20">
        <f>'Respuestas de formulario 1'!E393</f>
        <v>38358</v>
      </c>
      <c r="F393" s="7">
        <f>'Respuestas de formulario 1'!F393</f>
        <v>46292118</v>
      </c>
      <c r="G393" s="7" t="str">
        <f>IFERROR(__xludf.DUMMYFUNCTION("IF('Respuestas de formulario 1'!G393="""","""",IF(LEFT(REGEXREPLACE(TO_TEXT('Respuestas de formulario 1'!G393),""[^0-9]"",""""),2)=""54"",""+""&amp;REGEXREPLACE(TO_TEXT('Respuestas de formulario 1'!G393),""[^0-9]"",""""),""+54""&amp;REGEXREPLACE(TO_TEXT('Respuest"&amp;"as de formulario 1'!G393),""[^0-9]"","""")))"),"+541123886159")</f>
        <v>+541123886159</v>
      </c>
      <c r="H393" s="7">
        <f>'Respuestas de formulario 1'!S393</f>
        <v>2023</v>
      </c>
      <c r="I393" s="7" t="str">
        <f>IFERROR(__xludf.DUMMYFUNCTION("IF('Respuestas de formulario 1'!I393="""","""",TO_TEXT('Respuestas de formulario 1'!I393))"),"Obra social")</f>
        <v>Obra social</v>
      </c>
      <c r="J393" s="7" t="str">
        <f>IFERROR(__xludf.DUMMYFUNCTION("IF('Respuestas de formulario 1'!J393&lt;&gt;"""",UPPER(TRIM(TO_TEXT('Respuestas de formulario 1'!J393))),IF('Respuestas de formulario 1'!O393&lt;&gt;"""",UPPER(TRIM(TO_TEXT('Respuestas de formulario 1'!O393))),""""))"),"OSDE")</f>
        <v>OSDE</v>
      </c>
      <c r="K393" s="7" t="str">
        <f>IFERROR(__xludf.DUMMYFUNCTION("IF('Respuestas de formulario 1'!K393="""","""",TO_TEXT('Respuestas de formulario 1'!K393))"),"")</f>
        <v/>
      </c>
      <c r="L393" s="7" t="str">
        <f>IFERROR(__xludf.DUMMYFUNCTION("IF('Respuestas de formulario 1'!L393="""","""",TO_TEXT('Respuestas de formulario 1'!L393))"),"")</f>
        <v/>
      </c>
      <c r="M393" s="7" t="str">
        <f>IFERROR(__xludf.DUMMYFUNCTION("IF('Respuestas de formulario 1'!M393="""","""",TO_TEXT('Respuestas de formulario 1'!M393))"),"")</f>
        <v/>
      </c>
      <c r="N393" s="7">
        <f t="shared" si="1"/>
        <v>2023</v>
      </c>
      <c r="O393" s="7" t="str">
        <f t="shared" si="2"/>
        <v>diciembre</v>
      </c>
      <c r="P393" s="7" t="s">
        <v>4982</v>
      </c>
    </row>
    <row r="394">
      <c r="A394" s="19">
        <f>'Respuestas de formulario 1'!A394</f>
        <v>45267.72247</v>
      </c>
      <c r="B394" s="7" t="str">
        <f>'Respuestas de formulario 1'!B394</f>
        <v>Rivilli</v>
      </c>
      <c r="C394" s="7" t="str">
        <f>'Respuestas de formulario 1'!C394</f>
        <v>Damián Plácido </v>
      </c>
      <c r="D394" s="7" t="str">
        <f>'Respuestas de formulario 1'!D394</f>
        <v>apvalor@hotmail.com</v>
      </c>
      <c r="E394" s="20">
        <f>'Respuestas de formulario 1'!E394</f>
        <v>29031</v>
      </c>
      <c r="F394" s="7">
        <f>'Respuestas de formulario 1'!F394</f>
        <v>27368670</v>
      </c>
      <c r="G394" s="7" t="str">
        <f>IFERROR(__xludf.DUMMYFUNCTION("IF('Respuestas de formulario 1'!G394="""","""",IF(LEFT(REGEXREPLACE(TO_TEXT('Respuestas de formulario 1'!G394),""[^0-9]"",""""),2)=""54"",""+""&amp;REGEXREPLACE(TO_TEXT('Respuestas de formulario 1'!G394),""[^0-9]"",""""),""+54""&amp;REGEXREPLACE(TO_TEXT('Respuest"&amp;"as de formulario 1'!G394),""[^0-9]"","""")))"),"+543515585740")</f>
        <v>+543515585740</v>
      </c>
      <c r="H394" s="7">
        <f>'Respuestas de formulario 1'!S394</f>
        <v>2023</v>
      </c>
      <c r="I394" s="7" t="str">
        <f>IFERROR(__xludf.DUMMYFUNCTION("IF('Respuestas de formulario 1'!I394="""","""",TO_TEXT('Respuestas de formulario 1'!I394))"),"Particular")</f>
        <v>Particular</v>
      </c>
      <c r="J394" s="7" t="str">
        <f>IFERROR(__xludf.DUMMYFUNCTION("IF('Respuestas de formulario 1'!J394&lt;&gt;"""",UPPER(TRIM(TO_TEXT('Respuestas de formulario 1'!J394))),IF('Respuestas de formulario 1'!O394&lt;&gt;"""",UPPER(TRIM(TO_TEXT('Respuestas de formulario 1'!O394))),""""))"),"")</f>
        <v/>
      </c>
      <c r="K394" s="7" t="str">
        <f>IFERROR(__xludf.DUMMYFUNCTION("IF('Respuestas de formulario 1'!K394="""","""",TO_TEXT('Respuestas de formulario 1'!K394))"),"")</f>
        <v/>
      </c>
      <c r="L394" s="7" t="str">
        <f>IFERROR(__xludf.DUMMYFUNCTION("IF('Respuestas de formulario 1'!L394="""","""",TO_TEXT('Respuestas de formulario 1'!L394))"),"")</f>
        <v/>
      </c>
      <c r="M394" s="7" t="str">
        <f>IFERROR(__xludf.DUMMYFUNCTION("IF('Respuestas de formulario 1'!M394="""","""",TO_TEXT('Respuestas de formulario 1'!M394))"),"")</f>
        <v/>
      </c>
      <c r="N394" s="7">
        <f t="shared" si="1"/>
        <v>2023</v>
      </c>
      <c r="O394" s="7" t="str">
        <f t="shared" si="2"/>
        <v>diciembre</v>
      </c>
      <c r="P394" s="7" t="s">
        <v>4984</v>
      </c>
    </row>
    <row r="395">
      <c r="A395" s="19">
        <f>'Respuestas de formulario 1'!A395</f>
        <v>45271.65821</v>
      </c>
      <c r="B395" s="7" t="str">
        <f>'Respuestas de formulario 1'!B395</f>
        <v>Novillo</v>
      </c>
      <c r="C395" s="7" t="str">
        <f>'Respuestas de formulario 1'!C395</f>
        <v>Emiliano</v>
      </c>
      <c r="D395" s="7" t="str">
        <f>'Respuestas de formulario 1'!D395</f>
        <v/>
      </c>
      <c r="E395" s="20">
        <f>'Respuestas de formulario 1'!E395</f>
        <v>36244</v>
      </c>
      <c r="F395" s="7">
        <f>'Respuestas de formulario 1'!F395</f>
        <v>41847304</v>
      </c>
      <c r="G395" s="7" t="str">
        <f>IFERROR(__xludf.DUMMYFUNCTION("IF('Respuestas de formulario 1'!G395="""","""",IF(LEFT(REGEXREPLACE(TO_TEXT('Respuestas de formulario 1'!G395),""[^0-9]"",""""),2)=""54"",""+""&amp;REGEXREPLACE(TO_TEXT('Respuestas de formulario 1'!G395),""[^0-9]"",""""),""+54""&amp;REGEXREPLACE(TO_TEXT('Respuest"&amp;"as de formulario 1'!G395),""[^0-9]"","""")))"),"+543512272206")</f>
        <v>+543512272206</v>
      </c>
      <c r="H395" s="7">
        <f>'Respuestas de formulario 1'!S395</f>
        <v>2023</v>
      </c>
      <c r="I395" s="7" t="str">
        <f>IFERROR(__xludf.DUMMYFUNCTION("IF('Respuestas de formulario 1'!I395="""","""",TO_TEXT('Respuestas de formulario 1'!I395))"),"Particular")</f>
        <v>Particular</v>
      </c>
      <c r="J395" s="7" t="str">
        <f>IFERROR(__xludf.DUMMYFUNCTION("IF('Respuestas de formulario 1'!J395&lt;&gt;"""",UPPER(TRIM(TO_TEXT('Respuestas de formulario 1'!J395))),IF('Respuestas de formulario 1'!O395&lt;&gt;"""",UPPER(TRIM(TO_TEXT('Respuestas de formulario 1'!O395))),""""))"),"")</f>
        <v/>
      </c>
      <c r="K395" s="7" t="str">
        <f>IFERROR(__xludf.DUMMYFUNCTION("IF('Respuestas de formulario 1'!K395="""","""",TO_TEXT('Respuestas de formulario 1'!K395))"),"Si")</f>
        <v>Si</v>
      </c>
      <c r="L395" s="7" t="str">
        <f>IFERROR(__xludf.DUMMYFUNCTION("IF('Respuestas de formulario 1'!L395="""","""",TO_TEXT('Respuestas de formulario 1'!L395))"),"Gimnasio")</f>
        <v>Gimnasio</v>
      </c>
      <c r="M395" s="7" t="str">
        <f>IFERROR(__xludf.DUMMYFUNCTION("IF('Respuestas de formulario 1'!M395="""","""",TO_TEXT('Respuestas de formulario 1'!M395))"),"3 a 5 veces por semana")</f>
        <v>3 a 5 veces por semana</v>
      </c>
      <c r="N395" s="7">
        <f t="shared" si="1"/>
        <v>2023</v>
      </c>
      <c r="O395" s="7" t="str">
        <f t="shared" si="2"/>
        <v>diciembre</v>
      </c>
      <c r="P395" s="7" t="s">
        <v>4986</v>
      </c>
    </row>
    <row r="396">
      <c r="A396" s="19">
        <f>'Respuestas de formulario 1'!A396</f>
        <v>45271.78405</v>
      </c>
      <c r="B396" s="7" t="str">
        <f>'Respuestas de formulario 1'!B396</f>
        <v>Peralta</v>
      </c>
      <c r="C396" s="7" t="str">
        <f>'Respuestas de formulario 1'!C396</f>
        <v>Daniel</v>
      </c>
      <c r="D396" s="7" t="str">
        <f>'Respuestas de formulario 1'!D396</f>
        <v>alvaroperaltamasin@gmail.com</v>
      </c>
      <c r="E396" s="20">
        <f>'Respuestas de formulario 1'!E396</f>
        <v>29315</v>
      </c>
      <c r="F396" s="7">
        <f>'Respuestas de formulario 1'!F396</f>
        <v>27958860</v>
      </c>
      <c r="G396" s="7" t="str">
        <f>IFERROR(__xludf.DUMMYFUNCTION("IF('Respuestas de formulario 1'!G396="""","""",IF(LEFT(REGEXREPLACE(TO_TEXT('Respuestas de formulario 1'!G396),""[^0-9]"",""""),2)=""54"",""+""&amp;REGEXREPLACE(TO_TEXT('Respuestas de formulario 1'!G396),""[^0-9]"",""""),""+54""&amp;REGEXREPLACE(TO_TEXT('Respuest"&amp;"as de formulario 1'!G396),""[^0-9]"","""")))"),"+543516564532")</f>
        <v>+543516564532</v>
      </c>
      <c r="H396" s="7">
        <f>'Respuestas de formulario 1'!S396</f>
        <v>2023</v>
      </c>
      <c r="I396" s="7" t="str">
        <f>IFERROR(__xludf.DUMMYFUNCTION("IF('Respuestas de formulario 1'!I396="""","""",TO_TEXT('Respuestas de formulario 1'!I396))"),"Particular")</f>
        <v>Particular</v>
      </c>
      <c r="J396" s="7" t="str">
        <f>IFERROR(__xludf.DUMMYFUNCTION("IF('Respuestas de formulario 1'!J396&lt;&gt;"""",UPPER(TRIM(TO_TEXT('Respuestas de formulario 1'!J396))),IF('Respuestas de formulario 1'!O396&lt;&gt;"""",UPPER(TRIM(TO_TEXT('Respuestas de formulario 1'!O396))),""""))"),"")</f>
        <v/>
      </c>
      <c r="K396" s="7" t="str">
        <f>IFERROR(__xludf.DUMMYFUNCTION("IF('Respuestas de formulario 1'!K396="""","""",TO_TEXT('Respuestas de formulario 1'!K396))"),"Si")</f>
        <v>Si</v>
      </c>
      <c r="L396" s="7" t="str">
        <f>IFERROR(__xludf.DUMMYFUNCTION("IF('Respuestas de formulario 1'!L396="""","""",TO_TEXT('Respuestas de formulario 1'!L396))"),"Fútbol")</f>
        <v>Fútbol</v>
      </c>
      <c r="M396" s="7" t="str">
        <f>IFERROR(__xludf.DUMMYFUNCTION("IF('Respuestas de formulario 1'!M396="""","""",TO_TEXT('Respuestas de formulario 1'!M396))"),"1 a 2 veces por semana")</f>
        <v>1 a 2 veces por semana</v>
      </c>
      <c r="N396" s="7">
        <f t="shared" si="1"/>
        <v>2023</v>
      </c>
      <c r="O396" s="7" t="str">
        <f t="shared" si="2"/>
        <v>diciembre</v>
      </c>
      <c r="P396" s="7" t="s">
        <v>4988</v>
      </c>
    </row>
    <row r="397">
      <c r="A397" s="19">
        <f>'Respuestas de formulario 1'!A397</f>
        <v>45272.51683</v>
      </c>
      <c r="B397" s="7" t="str">
        <f>'Respuestas de formulario 1'!B397</f>
        <v>Rios</v>
      </c>
      <c r="C397" s="7" t="str">
        <f>'Respuestas de formulario 1'!C397</f>
        <v>Andres </v>
      </c>
      <c r="D397" s="7" t="str">
        <f>'Respuestas de formulario 1'!D397</f>
        <v>Riosandres151@gmail.com</v>
      </c>
      <c r="E397" s="20">
        <f>'Respuestas de formulario 1'!E397</f>
        <v>36532</v>
      </c>
      <c r="F397" s="21">
        <f>'Respuestas de formulario 1'!F397</f>
        <v>42304179</v>
      </c>
      <c r="G397" s="7" t="str">
        <f>IFERROR(__xludf.DUMMYFUNCTION("IF('Respuestas de formulario 1'!G397="""","""",IF(LEFT(REGEXREPLACE(TO_TEXT('Respuestas de formulario 1'!G397),""[^0-9]"",""""),2)=""54"",""+""&amp;REGEXREPLACE(TO_TEXT('Respuestas de formulario 1'!G397),""[^0-9]"",""""),""+54""&amp;REGEXREPLACE(TO_TEXT('Respuest"&amp;"as de formulario 1'!G397),""[^0-9]"","""")))"),"+543515081835")</f>
        <v>+543515081835</v>
      </c>
      <c r="H397" s="7">
        <f>'Respuestas de formulario 1'!S397</f>
        <v>2023</v>
      </c>
      <c r="I397" s="7" t="str">
        <f>IFERROR(__xludf.DUMMYFUNCTION("IF('Respuestas de formulario 1'!I397="""","""",TO_TEXT('Respuestas de formulario 1'!I397))"),"Obra social")</f>
        <v>Obra social</v>
      </c>
      <c r="J397" s="7" t="str">
        <f>IFERROR(__xludf.DUMMYFUNCTION("IF('Respuestas de formulario 1'!J397&lt;&gt;"""",UPPER(TRIM(TO_TEXT('Respuestas de formulario 1'!J397))),IF('Respuestas de formulario 1'!O397&lt;&gt;"""",UPPER(TRIM(TO_TEXT('Respuestas de formulario 1'!O397))),""""))"),"APROSS")</f>
        <v>APROSS</v>
      </c>
      <c r="K397" s="7" t="str">
        <f>IFERROR(__xludf.DUMMYFUNCTION("IF('Respuestas de formulario 1'!K397="""","""",TO_TEXT('Respuestas de formulario 1'!K397))"),"Si")</f>
        <v>Si</v>
      </c>
      <c r="L397" s="7" t="str">
        <f>IFERROR(__xludf.DUMMYFUNCTION("IF('Respuestas de formulario 1'!L397="""","""",TO_TEXT('Respuestas de formulario 1'!L397))"),"Rugby")</f>
        <v>Rugby</v>
      </c>
      <c r="M397" s="7" t="str">
        <f>IFERROR(__xludf.DUMMYFUNCTION("IF('Respuestas de formulario 1'!M397="""","""",TO_TEXT('Respuestas de formulario 1'!M397))"),"3 a 5 veces por semana")</f>
        <v>3 a 5 veces por semana</v>
      </c>
      <c r="N397" s="7">
        <f t="shared" si="1"/>
        <v>2023</v>
      </c>
      <c r="O397" s="7" t="str">
        <f t="shared" si="2"/>
        <v>diciembre</v>
      </c>
      <c r="P397" s="7" t="s">
        <v>4990</v>
      </c>
    </row>
    <row r="398">
      <c r="A398" s="19">
        <f>'Respuestas de formulario 1'!A398</f>
        <v>45272.55463</v>
      </c>
      <c r="B398" s="7" t="str">
        <f>'Respuestas de formulario 1'!B398</f>
        <v>Ceballos</v>
      </c>
      <c r="C398" s="7" t="str">
        <f>'Respuestas de formulario 1'!C398</f>
        <v>Francisco Agustin</v>
      </c>
      <c r="D398" s="7" t="str">
        <f>'Respuestas de formulario 1'!D398</f>
        <v>Ceallosfranciscoagustin@gmail.com</v>
      </c>
      <c r="E398" s="20">
        <f>'Respuestas de formulario 1'!E398</f>
        <v>35486</v>
      </c>
      <c r="F398" s="7">
        <f>'Respuestas de formulario 1'!F398</f>
        <v>40247231</v>
      </c>
      <c r="G398" s="7" t="str">
        <f>IFERROR(__xludf.DUMMYFUNCTION("IF('Respuestas de formulario 1'!G398="""","""",IF(LEFT(REGEXREPLACE(TO_TEXT('Respuestas de formulario 1'!G398),""[^0-9]"",""""),2)=""54"",""+""&amp;REGEXREPLACE(TO_TEXT('Respuestas de formulario 1'!G398),""[^0-9]"",""""),""+54""&amp;REGEXREPLACE(TO_TEXT('Respuest"&amp;"as de formulario 1'!G398),""[^0-9]"","""")))"),"+543517552344")</f>
        <v>+543517552344</v>
      </c>
      <c r="H398" s="7">
        <f>'Respuestas de formulario 1'!S398</f>
        <v>2023</v>
      </c>
      <c r="I398" s="7" t="str">
        <f>IFERROR(__xludf.DUMMYFUNCTION("IF('Respuestas de formulario 1'!I398="""","""",TO_TEXT('Respuestas de formulario 1'!I398))"),"Particular")</f>
        <v>Particular</v>
      </c>
      <c r="J398" s="7" t="str">
        <f>IFERROR(__xludf.DUMMYFUNCTION("IF('Respuestas de formulario 1'!J398&lt;&gt;"""",UPPER(TRIM(TO_TEXT('Respuestas de formulario 1'!J398))),IF('Respuestas de formulario 1'!O398&lt;&gt;"""",UPPER(TRIM(TO_TEXT('Respuestas de formulario 1'!O398))),""""))"),"")</f>
        <v/>
      </c>
      <c r="K398" s="7" t="str">
        <f>IFERROR(__xludf.DUMMYFUNCTION("IF('Respuestas de formulario 1'!K398="""","""",TO_TEXT('Respuestas de formulario 1'!K398))"),"Si")</f>
        <v>Si</v>
      </c>
      <c r="L398" s="7" t="str">
        <f>IFERROR(__xludf.DUMMYFUNCTION("IF('Respuestas de formulario 1'!L398="""","""",TO_TEXT('Respuestas de formulario 1'!L398))"),"Gimnasio")</f>
        <v>Gimnasio</v>
      </c>
      <c r="M398" s="7" t="str">
        <f>IFERROR(__xludf.DUMMYFUNCTION("IF('Respuestas de formulario 1'!M398="""","""",TO_TEXT('Respuestas de formulario 1'!M398))"),"3 a 5 veces por semana")</f>
        <v>3 a 5 veces por semana</v>
      </c>
      <c r="N398" s="7">
        <f t="shared" si="1"/>
        <v>2023</v>
      </c>
      <c r="O398" s="7" t="str">
        <f t="shared" si="2"/>
        <v>diciembre</v>
      </c>
      <c r="P398" s="7" t="s">
        <v>4992</v>
      </c>
    </row>
    <row r="399">
      <c r="A399" s="19">
        <f>'Respuestas de formulario 1'!A399</f>
        <v>45273.80239</v>
      </c>
      <c r="B399" s="7" t="str">
        <f>'Respuestas de formulario 1'!B399</f>
        <v>Herrera</v>
      </c>
      <c r="C399" s="7" t="str">
        <f>'Respuestas de formulario 1'!C399</f>
        <v>Leonel federico</v>
      </c>
      <c r="D399" s="7" t="str">
        <f>'Respuestas de formulario 1'!D399</f>
        <v>Leonelherrera028@gmail.com</v>
      </c>
      <c r="E399" s="20">
        <f>'Respuestas de formulario 1'!E399</f>
        <v>33918</v>
      </c>
      <c r="F399" s="7">
        <f>'Respuestas de formulario 1'!F399</f>
        <v>37134028</v>
      </c>
      <c r="G399" s="7" t="str">
        <f>IFERROR(__xludf.DUMMYFUNCTION("IF('Respuestas de formulario 1'!G399="""","""",IF(LEFT(REGEXREPLACE(TO_TEXT('Respuestas de formulario 1'!G399),""[^0-9]"",""""),2)=""54"",""+""&amp;REGEXREPLACE(TO_TEXT('Respuestas de formulario 1'!G399),""[^0-9]"",""""),""+54""&amp;REGEXREPLACE(TO_TEXT('Respuest"&amp;"as de formulario 1'!G399),""[^0-9]"","""")))"),"+543516468723")</f>
        <v>+543516468723</v>
      </c>
      <c r="H399" s="7">
        <f>'Respuestas de formulario 1'!S399</f>
        <v>2023</v>
      </c>
      <c r="I399" s="7" t="str">
        <f>IFERROR(__xludf.DUMMYFUNCTION("IF('Respuestas de formulario 1'!I399="""","""",TO_TEXT('Respuestas de formulario 1'!I399))"),"Particular")</f>
        <v>Particular</v>
      </c>
      <c r="J399" s="7" t="str">
        <f>IFERROR(__xludf.DUMMYFUNCTION("IF('Respuestas de formulario 1'!J399&lt;&gt;"""",UPPER(TRIM(TO_TEXT('Respuestas de formulario 1'!J399))),IF('Respuestas de formulario 1'!O399&lt;&gt;"""",UPPER(TRIM(TO_TEXT('Respuestas de formulario 1'!O399))),""""))"),"")</f>
        <v/>
      </c>
      <c r="K399" s="7" t="str">
        <f>IFERROR(__xludf.DUMMYFUNCTION("IF('Respuestas de formulario 1'!K399="""","""",TO_TEXT('Respuestas de formulario 1'!K399))"),"No")</f>
        <v>No</v>
      </c>
      <c r="L399" s="7" t="str">
        <f>IFERROR(__xludf.DUMMYFUNCTION("IF('Respuestas de formulario 1'!L399="""","""",TO_TEXT('Respuestas de formulario 1'!L399))"),"")</f>
        <v/>
      </c>
      <c r="M399" s="7" t="str">
        <f>IFERROR(__xludf.DUMMYFUNCTION("IF('Respuestas de formulario 1'!M399="""","""",TO_TEXT('Respuestas de formulario 1'!M399))"),"")</f>
        <v/>
      </c>
      <c r="N399" s="7">
        <f t="shared" si="1"/>
        <v>2023</v>
      </c>
      <c r="O399" s="7" t="str">
        <f t="shared" si="2"/>
        <v>diciembre</v>
      </c>
      <c r="P399" s="7" t="s">
        <v>4994</v>
      </c>
    </row>
    <row r="400">
      <c r="A400" s="19">
        <f>'Respuestas de formulario 1'!A400</f>
        <v>45274.32902</v>
      </c>
      <c r="B400" s="7" t="str">
        <f>'Respuestas de formulario 1'!B400</f>
        <v>Gomez</v>
      </c>
      <c r="C400" s="7" t="str">
        <f>'Respuestas de formulario 1'!C400</f>
        <v>Sabrina</v>
      </c>
      <c r="D400" s="7" t="str">
        <f>'Respuestas de formulario 1'!D400</f>
        <v>sabri.sg69@gmail.com</v>
      </c>
      <c r="E400" s="20">
        <f>'Respuestas de formulario 1'!E400</f>
        <v>35953</v>
      </c>
      <c r="F400" s="7">
        <f>'Respuestas de formulario 1'!F400</f>
        <v>41279827</v>
      </c>
      <c r="G400" s="7" t="str">
        <f>IFERROR(__xludf.DUMMYFUNCTION("IF('Respuestas de formulario 1'!G400="""","""",IF(LEFT(REGEXREPLACE(TO_TEXT('Respuestas de formulario 1'!G400),""[^0-9]"",""""),2)=""54"",""+""&amp;REGEXREPLACE(TO_TEXT('Respuestas de formulario 1'!G400),""[^0-9]"",""""),""+54""&amp;REGEXREPLACE(TO_TEXT('Respuest"&amp;"as de formulario 1'!G400),""[^0-9]"","""")))"),"+543516165805")</f>
        <v>+543516165805</v>
      </c>
      <c r="H400" s="7">
        <f>'Respuestas de formulario 1'!S400</f>
        <v>2023</v>
      </c>
      <c r="I400" s="7" t="str">
        <f>IFERROR(__xludf.DUMMYFUNCTION("IF('Respuestas de formulario 1'!I400="""","""",TO_TEXT('Respuestas de formulario 1'!I400))"),"Obra social")</f>
        <v>Obra social</v>
      </c>
      <c r="J400" s="7" t="str">
        <f>IFERROR(__xludf.DUMMYFUNCTION("IF('Respuestas de formulario 1'!J400&lt;&gt;"""",UPPER(TRIM(TO_TEXT('Respuestas de formulario 1'!J400))),IF('Respuestas de formulario 1'!O400&lt;&gt;"""",UPPER(TRIM(TO_TEXT('Respuestas de formulario 1'!O400))),""""))"),"SANCOR")</f>
        <v>SANCOR</v>
      </c>
      <c r="K400" s="7" t="str">
        <f>IFERROR(__xludf.DUMMYFUNCTION("IF('Respuestas de formulario 1'!K400="""","""",TO_TEXT('Respuestas de formulario 1'!K400))"),"No")</f>
        <v>No</v>
      </c>
      <c r="L400" s="7" t="str">
        <f>IFERROR(__xludf.DUMMYFUNCTION("IF('Respuestas de formulario 1'!L400="""","""",TO_TEXT('Respuestas de formulario 1'!L400))"),"")</f>
        <v/>
      </c>
      <c r="M400" s="7" t="str">
        <f>IFERROR(__xludf.DUMMYFUNCTION("IF('Respuestas de formulario 1'!M400="""","""",TO_TEXT('Respuestas de formulario 1'!M400))"),"")</f>
        <v/>
      </c>
      <c r="N400" s="7">
        <f t="shared" si="1"/>
        <v>2023</v>
      </c>
      <c r="O400" s="7" t="str">
        <f t="shared" si="2"/>
        <v>diciembre</v>
      </c>
      <c r="P400" s="7" t="s">
        <v>4996</v>
      </c>
    </row>
    <row r="401">
      <c r="A401" s="19">
        <f>'Respuestas de formulario 1'!A401</f>
        <v>45274.65629</v>
      </c>
      <c r="B401" s="7" t="str">
        <f>'Respuestas de formulario 1'!B401</f>
        <v>Varoli</v>
      </c>
      <c r="C401" s="7" t="str">
        <f>'Respuestas de formulario 1'!C401</f>
        <v>Nilda</v>
      </c>
      <c r="D401" s="7" t="str">
        <f>'Respuestas de formulario 1'!D401</f>
        <v/>
      </c>
      <c r="E401" s="20">
        <f>'Respuestas de formulario 1'!E401</f>
        <v>18449</v>
      </c>
      <c r="F401" s="7">
        <f>'Respuestas de formulario 1'!F401</f>
        <v>6380545</v>
      </c>
      <c r="G401" s="7" t="str">
        <f>IFERROR(__xludf.DUMMYFUNCTION("IF('Respuestas de formulario 1'!G401="""","""",IF(LEFT(REGEXREPLACE(TO_TEXT('Respuestas de formulario 1'!G401),""[^0-9]"",""""),2)=""54"",""+""&amp;REGEXREPLACE(TO_TEXT('Respuestas de formulario 1'!G401),""[^0-9]"",""""),""+54""&amp;REGEXREPLACE(TO_TEXT('Respuest"&amp;"as de formulario 1'!G401),""[^0-9]"","""")))"),"+543513974629")</f>
        <v>+543513974629</v>
      </c>
      <c r="H401" s="7">
        <f>'Respuestas de formulario 1'!S401</f>
        <v>2023</v>
      </c>
      <c r="I401" s="7" t="str">
        <f>IFERROR(__xludf.DUMMYFUNCTION("IF('Respuestas de formulario 1'!I401="""","""",TO_TEXT('Respuestas de formulario 1'!I401))"),"Obra social")</f>
        <v>Obra social</v>
      </c>
      <c r="J401" s="7" t="str">
        <f>IFERROR(__xludf.DUMMYFUNCTION("IF('Respuestas de formulario 1'!J401&lt;&gt;"""",UPPER(TRIM(TO_TEXT('Respuestas de formulario 1'!J401))),IF('Respuestas de formulario 1'!O401&lt;&gt;"""",UPPER(TRIM(TO_TEXT('Respuestas de formulario 1'!O401))),""""))"),"DASPU")</f>
        <v>DASPU</v>
      </c>
      <c r="K401" s="7" t="str">
        <f>IFERROR(__xludf.DUMMYFUNCTION("IF('Respuestas de formulario 1'!K401="""","""",TO_TEXT('Respuestas de formulario 1'!K401))"),"No")</f>
        <v>No</v>
      </c>
      <c r="L401" s="7" t="str">
        <f>IFERROR(__xludf.DUMMYFUNCTION("IF('Respuestas de formulario 1'!L401="""","""",TO_TEXT('Respuestas de formulario 1'!L401))"),"")</f>
        <v/>
      </c>
      <c r="M401" s="7" t="str">
        <f>IFERROR(__xludf.DUMMYFUNCTION("IF('Respuestas de formulario 1'!M401="""","""",TO_TEXT('Respuestas de formulario 1'!M401))"),"")</f>
        <v/>
      </c>
      <c r="N401" s="7">
        <f t="shared" si="1"/>
        <v>2023</v>
      </c>
      <c r="O401" s="7" t="str">
        <f t="shared" si="2"/>
        <v>diciembre</v>
      </c>
      <c r="P401" s="7" t="s">
        <v>4998</v>
      </c>
    </row>
    <row r="402">
      <c r="A402" s="19">
        <f>'Respuestas de formulario 1'!A402</f>
        <v>45275.4767</v>
      </c>
      <c r="B402" s="7" t="str">
        <f>'Respuestas de formulario 1'!B402</f>
        <v>Vaca Starodubskys </v>
      </c>
      <c r="C402" s="7" t="str">
        <f>'Respuestas de formulario 1'!C402</f>
        <v>Enzo Martin </v>
      </c>
      <c r="D402" s="7" t="str">
        <f>'Respuestas de formulario 1'!D402</f>
        <v>martinvaca2002920@gmail.com</v>
      </c>
      <c r="E402" s="20">
        <f>'Respuestas de formulario 1'!E402</f>
        <v>37519</v>
      </c>
      <c r="F402" s="7">
        <f>'Respuestas de formulario 1'!F402</f>
        <v>44296744</v>
      </c>
      <c r="G402" s="7" t="str">
        <f>IFERROR(__xludf.DUMMYFUNCTION("IF('Respuestas de formulario 1'!G402="""","""",IF(LEFT(REGEXREPLACE(TO_TEXT('Respuestas de formulario 1'!G402),""[^0-9]"",""""),2)=""54"",""+""&amp;REGEXREPLACE(TO_TEXT('Respuestas de formulario 1'!G402),""[^0-9]"",""""),""+54""&amp;REGEXREPLACE(TO_TEXT('Respuest"&amp;"as de formulario 1'!G402),""[^0-9]"","""")))"),"+543516260284")</f>
        <v>+543516260284</v>
      </c>
      <c r="H402" s="7">
        <f>'Respuestas de formulario 1'!S402</f>
        <v>2023</v>
      </c>
      <c r="I402" s="7" t="str">
        <f>IFERROR(__xludf.DUMMYFUNCTION("IF('Respuestas de formulario 1'!I402="""","""",TO_TEXT('Respuestas de formulario 1'!I402))"),"Obra social")</f>
        <v>Obra social</v>
      </c>
      <c r="J402" s="7" t="str">
        <f>IFERROR(__xludf.DUMMYFUNCTION("IF('Respuestas de formulario 1'!J402&lt;&gt;"""",UPPER(TRIM(TO_TEXT('Respuestas de formulario 1'!J402))),IF('Respuestas de formulario 1'!O402&lt;&gt;"""",UPPER(TRIM(TO_TEXT('Respuestas de formulario 1'!O402))),""""))"),"PREVENCIÓN")</f>
        <v>PREVENCIÓN</v>
      </c>
      <c r="K402" s="7" t="str">
        <f>IFERROR(__xludf.DUMMYFUNCTION("IF('Respuestas de formulario 1'!K402="""","""",TO_TEXT('Respuestas de formulario 1'!K402))"),"Si")</f>
        <v>Si</v>
      </c>
      <c r="L402" s="7" t="str">
        <f>IFERROR(__xludf.DUMMYFUNCTION("IF('Respuestas de formulario 1'!L402="""","""",TO_TEXT('Respuestas de formulario 1'!L402))"),"Gimnasio")</f>
        <v>Gimnasio</v>
      </c>
      <c r="M402" s="7" t="str">
        <f>IFERROR(__xludf.DUMMYFUNCTION("IF('Respuestas de formulario 1'!M402="""","""",TO_TEXT('Respuestas de formulario 1'!M402))"),"3 a 5 veces por semana")</f>
        <v>3 a 5 veces por semana</v>
      </c>
      <c r="N402" s="7">
        <f t="shared" si="1"/>
        <v>2023</v>
      </c>
      <c r="O402" s="7" t="str">
        <f t="shared" si="2"/>
        <v>diciembre</v>
      </c>
      <c r="P402" s="7" t="s">
        <v>5000</v>
      </c>
    </row>
    <row r="403">
      <c r="A403" s="19">
        <f>'Respuestas de formulario 1'!A403</f>
        <v>45278.79383</v>
      </c>
      <c r="B403" s="7" t="str">
        <f>'Respuestas de formulario 1'!B403</f>
        <v>Solis</v>
      </c>
      <c r="C403" s="7" t="str">
        <f>'Respuestas de formulario 1'!C403</f>
        <v>Elva del Valle</v>
      </c>
      <c r="D403" s="7" t="str">
        <f>'Respuestas de formulario 1'!D403</f>
        <v>esolcampos@gmail.com</v>
      </c>
      <c r="E403" s="20">
        <f>'Respuestas de formulario 1'!E403</f>
        <v>18152</v>
      </c>
      <c r="F403" s="7">
        <f>'Respuestas de formulario 1'!F403</f>
        <v>6257041</v>
      </c>
      <c r="G403" s="7" t="str">
        <f>IFERROR(__xludf.DUMMYFUNCTION("IF('Respuestas de formulario 1'!G403="""","""",IF(LEFT(REGEXREPLACE(TO_TEXT('Respuestas de formulario 1'!G403),""[^0-9]"",""""),2)=""54"",""+""&amp;REGEXREPLACE(TO_TEXT('Respuestas de formulario 1'!G403),""[^0-9]"",""""),""+54""&amp;REGEXREPLACE(TO_TEXT('Respuest"&amp;"as de formulario 1'!G403),""[^0-9]"","""")))"),"+543518119918")</f>
        <v>+543518119918</v>
      </c>
      <c r="H403" s="7">
        <f>'Respuestas de formulario 1'!S403</f>
        <v>2023</v>
      </c>
      <c r="I403" s="7" t="str">
        <f>IFERROR(__xludf.DUMMYFUNCTION("IF('Respuestas de formulario 1'!I403="""","""",TO_TEXT('Respuestas de formulario 1'!I403))"),"Particular")</f>
        <v>Particular</v>
      </c>
      <c r="J403" s="7" t="str">
        <f>IFERROR(__xludf.DUMMYFUNCTION("IF('Respuestas de formulario 1'!J403&lt;&gt;"""",UPPER(TRIM(TO_TEXT('Respuestas de formulario 1'!J403))),IF('Respuestas de formulario 1'!O403&lt;&gt;"""",UPPER(TRIM(TO_TEXT('Respuestas de formulario 1'!O403))),""""))"),"")</f>
        <v/>
      </c>
      <c r="K403" s="7" t="str">
        <f>IFERROR(__xludf.DUMMYFUNCTION("IF('Respuestas de formulario 1'!K403="""","""",TO_TEXT('Respuestas de formulario 1'!K403))"),"No")</f>
        <v>No</v>
      </c>
      <c r="L403" s="7" t="str">
        <f>IFERROR(__xludf.DUMMYFUNCTION("IF('Respuestas de formulario 1'!L403="""","""",TO_TEXT('Respuestas de formulario 1'!L403))"),"")</f>
        <v/>
      </c>
      <c r="M403" s="7" t="str">
        <f>IFERROR(__xludf.DUMMYFUNCTION("IF('Respuestas de formulario 1'!M403="""","""",TO_TEXT('Respuestas de formulario 1'!M403))"),"")</f>
        <v/>
      </c>
      <c r="N403" s="7">
        <f t="shared" si="1"/>
        <v>2023</v>
      </c>
      <c r="O403" s="7" t="str">
        <f t="shared" si="2"/>
        <v>diciembre</v>
      </c>
      <c r="P403" s="7" t="s">
        <v>5002</v>
      </c>
    </row>
    <row r="404">
      <c r="A404" s="19">
        <f>'Respuestas de formulario 1'!A404</f>
        <v>45281.65697</v>
      </c>
      <c r="B404" s="7" t="str">
        <f>'Respuestas de formulario 1'!B404</f>
        <v>Osorio</v>
      </c>
      <c r="C404" s="7" t="str">
        <f>'Respuestas de formulario 1'!C404</f>
        <v>Carla Guadalupe </v>
      </c>
      <c r="D404" s="7" t="str">
        <f>'Respuestas de formulario 1'!D404</f>
        <v>guadalupe94osorio@gmail.com</v>
      </c>
      <c r="E404" s="20">
        <f>'Respuestas de formulario 1'!E404</f>
        <v>34458</v>
      </c>
      <c r="F404" s="7">
        <f>'Respuestas de formulario 1'!F404</f>
        <v>38181293</v>
      </c>
      <c r="G404" s="7" t="str">
        <f>IFERROR(__xludf.DUMMYFUNCTION("IF('Respuestas de formulario 1'!G404="""","""",IF(LEFT(REGEXREPLACE(TO_TEXT('Respuestas de formulario 1'!G404),""[^0-9]"",""""),2)=""54"",""+""&amp;REGEXREPLACE(TO_TEXT('Respuestas de formulario 1'!G404),""[^0-9]"",""""),""+54""&amp;REGEXREPLACE(TO_TEXT('Respuest"&amp;"as de formulario 1'!G404),""[^0-9]"","""")))"),"+543516339420")</f>
        <v>+543516339420</v>
      </c>
      <c r="H404" s="7">
        <f>'Respuestas de formulario 1'!S404</f>
        <v>2023</v>
      </c>
      <c r="I404" s="7" t="str">
        <f>IFERROR(__xludf.DUMMYFUNCTION("IF('Respuestas de formulario 1'!I404="""","""",TO_TEXT('Respuestas de formulario 1'!I404))"),"Obra social")</f>
        <v>Obra social</v>
      </c>
      <c r="J404" s="7" t="str">
        <f>IFERROR(__xludf.DUMMYFUNCTION("IF('Respuestas de formulario 1'!J404&lt;&gt;"""",UPPER(TRIM(TO_TEXT('Respuestas de formulario 1'!J404))),IF('Respuestas de formulario 1'!O404&lt;&gt;"""",UPPER(TRIM(TO_TEXT('Respuestas de formulario 1'!O404))),""""))"),"APROSS")</f>
        <v>APROSS</v>
      </c>
      <c r="K404" s="7" t="str">
        <f>IFERROR(__xludf.DUMMYFUNCTION("IF('Respuestas de formulario 1'!K404="""","""",TO_TEXT('Respuestas de formulario 1'!K404))"),"Si")</f>
        <v>Si</v>
      </c>
      <c r="L404" s="7" t="str">
        <f>IFERROR(__xludf.DUMMYFUNCTION("IF('Respuestas de formulario 1'!L404="""","""",TO_TEXT('Respuestas de formulario 1'!L404))"),"Fútbol")</f>
        <v>Fútbol</v>
      </c>
      <c r="M404" s="7" t="str">
        <f>IFERROR(__xludf.DUMMYFUNCTION("IF('Respuestas de formulario 1'!M404="""","""",TO_TEXT('Respuestas de formulario 1'!M404))"),"1 a 2 veces por semana")</f>
        <v>1 a 2 veces por semana</v>
      </c>
      <c r="N404" s="7">
        <f t="shared" si="1"/>
        <v>2023</v>
      </c>
      <c r="O404" s="7" t="str">
        <f t="shared" si="2"/>
        <v>diciembre</v>
      </c>
      <c r="P404" s="7" t="s">
        <v>5004</v>
      </c>
    </row>
    <row r="405">
      <c r="A405" s="19">
        <f>'Respuestas de formulario 1'!A405</f>
        <v>45281.70799</v>
      </c>
      <c r="B405" s="7" t="str">
        <f>'Respuestas de formulario 1'!B405</f>
        <v>Boriglio</v>
      </c>
      <c r="C405" s="7" t="str">
        <f>'Respuestas de formulario 1'!C405</f>
        <v>Hernan</v>
      </c>
      <c r="D405" s="7" t="str">
        <f>'Respuestas de formulario 1'!D405</f>
        <v>borigliohernan@gmail.com</v>
      </c>
      <c r="E405" s="20">
        <f>'Respuestas de formulario 1'!E405</f>
        <v>33000</v>
      </c>
      <c r="F405" s="7">
        <f>'Respuestas de formulario 1'!F405</f>
        <v>35527485</v>
      </c>
      <c r="G405" s="7" t="str">
        <f>IFERROR(__xludf.DUMMYFUNCTION("IF('Respuestas de formulario 1'!G405="""","""",IF(LEFT(REGEXREPLACE(TO_TEXT('Respuestas de formulario 1'!G405),""[^0-9]"",""""),2)=""54"",""+""&amp;REGEXREPLACE(TO_TEXT('Respuestas de formulario 1'!G405),""[^0-9]"",""""),""+54""&amp;REGEXREPLACE(TO_TEXT('Respuest"&amp;"as de formulario 1'!G405),""[^0-9]"","""")))"),"+543516430542")</f>
        <v>+543516430542</v>
      </c>
      <c r="H405" s="7">
        <f>'Respuestas de formulario 1'!S405</f>
        <v>2023</v>
      </c>
      <c r="I405" s="7" t="str">
        <f>IFERROR(__xludf.DUMMYFUNCTION("IF('Respuestas de formulario 1'!I405="""","""",TO_TEXT('Respuestas de formulario 1'!I405))"),"Particular")</f>
        <v>Particular</v>
      </c>
      <c r="J405" s="7" t="str">
        <f>IFERROR(__xludf.DUMMYFUNCTION("IF('Respuestas de formulario 1'!J405&lt;&gt;"""",UPPER(TRIM(TO_TEXT('Respuestas de formulario 1'!J405))),IF('Respuestas de formulario 1'!O405&lt;&gt;"""",UPPER(TRIM(TO_TEXT('Respuestas de formulario 1'!O405))),""""))"),"")</f>
        <v/>
      </c>
      <c r="K405" s="7" t="str">
        <f>IFERROR(__xludf.DUMMYFUNCTION("IF('Respuestas de formulario 1'!K405="""","""",TO_TEXT('Respuestas de formulario 1'!K405))"),"Si")</f>
        <v>Si</v>
      </c>
      <c r="L405" s="7" t="str">
        <f>IFERROR(__xludf.DUMMYFUNCTION("IF('Respuestas de formulario 1'!L405="""","""",TO_TEXT('Respuestas de formulario 1'!L405))"),"Fútbol")</f>
        <v>Fútbol</v>
      </c>
      <c r="M405" s="7" t="str">
        <f>IFERROR(__xludf.DUMMYFUNCTION("IF('Respuestas de formulario 1'!M405="""","""",TO_TEXT('Respuestas de formulario 1'!M405))"),"3 a 5 veces por semana")</f>
        <v>3 a 5 veces por semana</v>
      </c>
      <c r="N405" s="7">
        <f t="shared" si="1"/>
        <v>2023</v>
      </c>
      <c r="O405" s="7" t="str">
        <f t="shared" si="2"/>
        <v>diciembre</v>
      </c>
      <c r="P405" s="7" t="s">
        <v>5006</v>
      </c>
    </row>
    <row r="406">
      <c r="A406" s="19">
        <f>'Respuestas de formulario 1'!A406</f>
        <v>45282.65571</v>
      </c>
      <c r="B406" s="7" t="str">
        <f>'Respuestas de formulario 1'!B406</f>
        <v>Peralta</v>
      </c>
      <c r="C406" s="7" t="str">
        <f>'Respuestas de formulario 1'!C406</f>
        <v>Patricia</v>
      </c>
      <c r="D406" s="7" t="str">
        <f>'Respuestas de formulario 1'!D406</f>
        <v>patricia_peralta20@yahoo.com.ar</v>
      </c>
      <c r="E406" s="20">
        <f>'Respuestas de formulario 1'!E406</f>
        <v>24370</v>
      </c>
      <c r="F406" s="7">
        <f>'Respuestas de formulario 1'!F406</f>
        <v>18014611</v>
      </c>
      <c r="G406" s="7" t="str">
        <f>IFERROR(__xludf.DUMMYFUNCTION("IF('Respuestas de formulario 1'!G406="""","""",IF(LEFT(REGEXREPLACE(TO_TEXT('Respuestas de formulario 1'!G406),""[^0-9]"",""""),2)=""54"",""+""&amp;REGEXREPLACE(TO_TEXT('Respuestas de formulario 1'!G406),""[^0-9]"",""""),""+54""&amp;REGEXREPLACE(TO_TEXT('Respuest"&amp;"as de formulario 1'!G406),""[^0-9]"","""")))"),"+543515477733")</f>
        <v>+543515477733</v>
      </c>
      <c r="H406" s="7">
        <f>'Respuestas de formulario 1'!S406</f>
        <v>2023</v>
      </c>
      <c r="I406" s="7" t="str">
        <f>IFERROR(__xludf.DUMMYFUNCTION("IF('Respuestas de formulario 1'!I406="""","""",TO_TEXT('Respuestas de formulario 1'!I406))"),"Obra social")</f>
        <v>Obra social</v>
      </c>
      <c r="J406" s="7" t="str">
        <f>IFERROR(__xludf.DUMMYFUNCTION("IF('Respuestas de formulario 1'!J406&lt;&gt;"""",UPPER(TRIM(TO_TEXT('Respuestas de formulario 1'!J406))),IF('Respuestas de formulario 1'!O406&lt;&gt;"""",UPPER(TRIM(TO_TEXT('Respuestas de formulario 1'!O406))),""""))"),"SANCOR")</f>
        <v>SANCOR</v>
      </c>
      <c r="K406" s="7" t="str">
        <f>IFERROR(__xludf.DUMMYFUNCTION("IF('Respuestas de formulario 1'!K406="""","""",TO_TEXT('Respuestas de formulario 1'!K406))"),"No")</f>
        <v>No</v>
      </c>
      <c r="L406" s="7" t="str">
        <f>IFERROR(__xludf.DUMMYFUNCTION("IF('Respuestas de formulario 1'!L406="""","""",TO_TEXT('Respuestas de formulario 1'!L406))"),"")</f>
        <v/>
      </c>
      <c r="M406" s="7" t="str">
        <f>IFERROR(__xludf.DUMMYFUNCTION("IF('Respuestas de formulario 1'!M406="""","""",TO_TEXT('Respuestas de formulario 1'!M406))"),"")</f>
        <v/>
      </c>
      <c r="N406" s="7">
        <f t="shared" si="1"/>
        <v>2023</v>
      </c>
      <c r="O406" s="7" t="str">
        <f t="shared" si="2"/>
        <v>diciembre</v>
      </c>
      <c r="P406" s="7" t="s">
        <v>5008</v>
      </c>
    </row>
    <row r="407">
      <c r="A407" s="19">
        <f>'Respuestas de formulario 1'!A407</f>
        <v>45286.73407</v>
      </c>
      <c r="B407" s="7" t="str">
        <f>'Respuestas de formulario 1'!B407</f>
        <v>Rossi</v>
      </c>
      <c r="C407" s="7" t="str">
        <f>'Respuestas de formulario 1'!C407</f>
        <v>Paulino</v>
      </c>
      <c r="D407" s="7" t="str">
        <f>'Respuestas de formulario 1'!D407</f>
        <v>Paulinorosi@gmail.com</v>
      </c>
      <c r="E407" s="20">
        <f>'Respuestas de formulario 1'!E407</f>
        <v>28568</v>
      </c>
      <c r="F407" s="7">
        <f>'Respuestas de formulario 1'!F407</f>
        <v>26563502</v>
      </c>
      <c r="G407" s="7" t="str">
        <f>IFERROR(__xludf.DUMMYFUNCTION("IF('Respuestas de formulario 1'!G407="""","""",IF(LEFT(REGEXREPLACE(TO_TEXT('Respuestas de formulario 1'!G407),""[^0-9]"",""""),2)=""54"",""+""&amp;REGEXREPLACE(TO_TEXT('Respuestas de formulario 1'!G407),""[^0-9]"",""""),""+54""&amp;REGEXREPLACE(TO_TEXT('Respuest"&amp;"as de formulario 1'!G407),""[^0-9]"","""")))"),"+542964410225")</f>
        <v>+542964410225</v>
      </c>
      <c r="H407" s="7">
        <f>'Respuestas de formulario 1'!S407</f>
        <v>2023</v>
      </c>
      <c r="I407" s="7" t="str">
        <f>IFERROR(__xludf.DUMMYFUNCTION("IF('Respuestas de formulario 1'!I407="""","""",TO_TEXT('Respuestas de formulario 1'!I407))"),"Particular")</f>
        <v>Particular</v>
      </c>
      <c r="J407" s="7" t="str">
        <f>IFERROR(__xludf.DUMMYFUNCTION("IF('Respuestas de formulario 1'!J407&lt;&gt;"""",UPPER(TRIM(TO_TEXT('Respuestas de formulario 1'!J407))),IF('Respuestas de formulario 1'!O407&lt;&gt;"""",UPPER(TRIM(TO_TEXT('Respuestas de formulario 1'!O407))),""""))"),"")</f>
        <v/>
      </c>
      <c r="K407" s="7" t="str">
        <f>IFERROR(__xludf.DUMMYFUNCTION("IF('Respuestas de formulario 1'!K407="""","""",TO_TEXT('Respuestas de formulario 1'!K407))"),"Si")</f>
        <v>Si</v>
      </c>
      <c r="L407" s="7" t="str">
        <f>IFERROR(__xludf.DUMMYFUNCTION("IF('Respuestas de formulario 1'!L407="""","""",TO_TEXT('Respuestas de formulario 1'!L407))"),"Gimnasio")</f>
        <v>Gimnasio</v>
      </c>
      <c r="M407" s="7" t="str">
        <f>IFERROR(__xludf.DUMMYFUNCTION("IF('Respuestas de formulario 1'!M407="""","""",TO_TEXT('Respuestas de formulario 1'!M407))"),"3 a 5 veces por semana")</f>
        <v>3 a 5 veces por semana</v>
      </c>
      <c r="N407" s="7">
        <f t="shared" si="1"/>
        <v>2023</v>
      </c>
      <c r="O407" s="7" t="str">
        <f t="shared" si="2"/>
        <v>diciembre</v>
      </c>
      <c r="P407" s="7" t="s">
        <v>5010</v>
      </c>
    </row>
    <row r="408">
      <c r="A408" s="19">
        <f>'Respuestas de formulario 1'!A408</f>
        <v>45286.84595</v>
      </c>
      <c r="B408" s="7" t="str">
        <f>'Respuestas de formulario 1'!B408</f>
        <v>Lerda</v>
      </c>
      <c r="C408" s="7" t="str">
        <f>'Respuestas de formulario 1'!C408</f>
        <v>Maximiliano</v>
      </c>
      <c r="D408" s="7" t="str">
        <f>'Respuestas de formulario 1'!D408</f>
        <v>fotocromiacordoba@gmail.com</v>
      </c>
      <c r="E408" s="20">
        <f>'Respuestas de formulario 1'!E408</f>
        <v>28511</v>
      </c>
      <c r="F408" s="7">
        <f>'Respuestas de formulario 1'!F408</f>
        <v>26413524</v>
      </c>
      <c r="G408" s="7" t="str">
        <f>IFERROR(__xludf.DUMMYFUNCTION("IF('Respuestas de formulario 1'!G408="""","""",IF(LEFT(REGEXREPLACE(TO_TEXT('Respuestas de formulario 1'!G408),""[^0-9]"",""""),2)=""54"",""+""&amp;REGEXREPLACE(TO_TEXT('Respuestas de formulario 1'!G408),""[^0-9]"",""""),""+54""&amp;REGEXREPLACE(TO_TEXT('Respuest"&amp;"as de formulario 1'!G408),""[^0-9]"","""")))"),"+543515737919")</f>
        <v>+543515737919</v>
      </c>
      <c r="H408" s="7">
        <f>'Respuestas de formulario 1'!S408</f>
        <v>2023</v>
      </c>
      <c r="I408" s="7" t="str">
        <f>IFERROR(__xludf.DUMMYFUNCTION("IF('Respuestas de formulario 1'!I408="""","""",TO_TEXT('Respuestas de formulario 1'!I408))"),"Particular")</f>
        <v>Particular</v>
      </c>
      <c r="J408" s="7" t="str">
        <f>IFERROR(__xludf.DUMMYFUNCTION("IF('Respuestas de formulario 1'!J408&lt;&gt;"""",UPPER(TRIM(TO_TEXT('Respuestas de formulario 1'!J408))),IF('Respuestas de formulario 1'!O408&lt;&gt;"""",UPPER(TRIM(TO_TEXT('Respuestas de formulario 1'!O408))),""""))"),"")</f>
        <v/>
      </c>
      <c r="K408" s="7" t="str">
        <f>IFERROR(__xludf.DUMMYFUNCTION("IF('Respuestas de formulario 1'!K408="""","""",TO_TEXT('Respuestas de formulario 1'!K408))"),"Si")</f>
        <v>Si</v>
      </c>
      <c r="L408" s="7" t="str">
        <f>IFERROR(__xludf.DUMMYFUNCTION("IF('Respuestas de formulario 1'!L408="""","""",TO_TEXT('Respuestas de formulario 1'!L408))"),"Padel y gimnasio ")</f>
        <v>Padel y gimnasio </v>
      </c>
      <c r="M408" s="7" t="str">
        <f>IFERROR(__xludf.DUMMYFUNCTION("IF('Respuestas de formulario 1'!M408="""","""",TO_TEXT('Respuestas de formulario 1'!M408))"),"3 a 5 veces por semana")</f>
        <v>3 a 5 veces por semana</v>
      </c>
      <c r="N408" s="7">
        <f t="shared" si="1"/>
        <v>2023</v>
      </c>
      <c r="O408" s="7" t="str">
        <f t="shared" si="2"/>
        <v>diciembre</v>
      </c>
      <c r="P408" s="7" t="s">
        <v>5012</v>
      </c>
    </row>
    <row r="409">
      <c r="A409" s="19">
        <f>'Respuestas de formulario 1'!A409</f>
        <v>45287.80584</v>
      </c>
      <c r="B409" s="7" t="str">
        <f>'Respuestas de formulario 1'!B409</f>
        <v>Bertetti</v>
      </c>
      <c r="C409" s="7" t="str">
        <f>'Respuestas de formulario 1'!C409</f>
        <v>Adrian</v>
      </c>
      <c r="D409" s="7" t="str">
        <f>'Respuestas de formulario 1'!D409</f>
        <v>Sentidopublicidad@gmail.com</v>
      </c>
      <c r="E409" s="20">
        <f>'Respuestas de formulario 1'!E409</f>
        <v>27414</v>
      </c>
      <c r="F409" s="7">
        <f>'Respuestas de formulario 1'!F409</f>
        <v>24367650</v>
      </c>
      <c r="G409" s="7" t="str">
        <f>IFERROR(__xludf.DUMMYFUNCTION("IF('Respuestas de formulario 1'!G409="""","""",IF(LEFT(REGEXREPLACE(TO_TEXT('Respuestas de formulario 1'!G409),""[^0-9]"",""""),2)=""54"",""+""&amp;REGEXREPLACE(TO_TEXT('Respuestas de formulario 1'!G409),""[^0-9]"",""""),""+54""&amp;REGEXREPLACE(TO_TEXT('Respuest"&amp;"as de formulario 1'!G409),""[^0-9]"","""")))"),"+543512230904")</f>
        <v>+543512230904</v>
      </c>
      <c r="H409" s="7">
        <f>'Respuestas de formulario 1'!S409</f>
        <v>2023</v>
      </c>
      <c r="I409" s="7" t="str">
        <f>IFERROR(__xludf.DUMMYFUNCTION("IF('Respuestas de formulario 1'!I409="""","""",TO_TEXT('Respuestas de formulario 1'!I409))"),"Obra social")</f>
        <v>Obra social</v>
      </c>
      <c r="J409" s="7" t="str">
        <f>IFERROR(__xludf.DUMMYFUNCTION("IF('Respuestas de formulario 1'!J409&lt;&gt;"""",UPPER(TRIM(TO_TEXT('Respuestas de formulario 1'!J409))),IF('Respuestas de formulario 1'!O409&lt;&gt;"""",UPPER(TRIM(TO_TEXT('Respuestas de formulario 1'!O409))),""""))"),"OSPACA")</f>
        <v>OSPACA</v>
      </c>
      <c r="K409" s="7" t="str">
        <f>IFERROR(__xludf.DUMMYFUNCTION("IF('Respuestas de formulario 1'!K409="""","""",TO_TEXT('Respuestas de formulario 1'!K409))"),"Si")</f>
        <v>Si</v>
      </c>
      <c r="L409" s="7" t="str">
        <f>IFERROR(__xludf.DUMMYFUNCTION("IF('Respuestas de formulario 1'!L409="""","""",TO_TEXT('Respuestas de formulario 1'!L409))"),"Natación ")</f>
        <v>Natación </v>
      </c>
      <c r="M409" s="7" t="str">
        <f>IFERROR(__xludf.DUMMYFUNCTION("IF('Respuestas de formulario 1'!M409="""","""",TO_TEXT('Respuestas de formulario 1'!M409))"),"3 a 5 veces por semana")</f>
        <v>3 a 5 veces por semana</v>
      </c>
      <c r="N409" s="7">
        <f t="shared" si="1"/>
        <v>2023</v>
      </c>
      <c r="O409" s="7" t="str">
        <f t="shared" si="2"/>
        <v>diciembre</v>
      </c>
      <c r="P409" s="7" t="s">
        <v>5014</v>
      </c>
    </row>
    <row r="410">
      <c r="A410" s="19">
        <f>'Respuestas de formulario 1'!A410</f>
        <v>45287.81446</v>
      </c>
      <c r="B410" s="7" t="str">
        <f>'Respuestas de formulario 1'!B410</f>
        <v>Bardus</v>
      </c>
      <c r="C410" s="7" t="str">
        <f>'Respuestas de formulario 1'!C410</f>
        <v>Alan</v>
      </c>
      <c r="D410" s="7" t="str">
        <f>'Respuestas de formulario 1'!D410</f>
        <v/>
      </c>
      <c r="E410" s="20">
        <f>'Respuestas de formulario 1'!E410</f>
        <v>37664</v>
      </c>
      <c r="F410" s="7">
        <f>'Respuestas de formulario 1'!F410</f>
        <v>44693986</v>
      </c>
      <c r="G410" s="7" t="str">
        <f>IFERROR(__xludf.DUMMYFUNCTION("IF('Respuestas de formulario 1'!G410="""","""",IF(LEFT(REGEXREPLACE(TO_TEXT('Respuestas de formulario 1'!G410),""[^0-9]"",""""),2)=""54"",""+""&amp;REGEXREPLACE(TO_TEXT('Respuestas de formulario 1'!G410),""[^0-9]"",""""),""+54""&amp;REGEXREPLACE(TO_TEXT('Respuest"&amp;"as de formulario 1'!G410),""[^0-9]"","""")))"),"+543517963302")</f>
        <v>+543517963302</v>
      </c>
      <c r="H410" s="7">
        <f>'Respuestas de formulario 1'!S410</f>
        <v>2023</v>
      </c>
      <c r="I410" s="7" t="str">
        <f>IFERROR(__xludf.DUMMYFUNCTION("IF('Respuestas de formulario 1'!I410="""","""",TO_TEXT('Respuestas de formulario 1'!I410))"),"Particular")</f>
        <v>Particular</v>
      </c>
      <c r="J410" s="7" t="str">
        <f>IFERROR(__xludf.DUMMYFUNCTION("IF('Respuestas de formulario 1'!J410&lt;&gt;"""",UPPER(TRIM(TO_TEXT('Respuestas de formulario 1'!J410))),IF('Respuestas de formulario 1'!O410&lt;&gt;"""",UPPER(TRIM(TO_TEXT('Respuestas de formulario 1'!O410))),""""))"),"")</f>
        <v/>
      </c>
      <c r="K410" s="7" t="str">
        <f>IFERROR(__xludf.DUMMYFUNCTION("IF('Respuestas de formulario 1'!K410="""","""",TO_TEXT('Respuestas de formulario 1'!K410))"),"No")</f>
        <v>No</v>
      </c>
      <c r="L410" s="7" t="str">
        <f>IFERROR(__xludf.DUMMYFUNCTION("IF('Respuestas de formulario 1'!L410="""","""",TO_TEXT('Respuestas de formulario 1'!L410))"),"")</f>
        <v/>
      </c>
      <c r="M410" s="7" t="str">
        <f>IFERROR(__xludf.DUMMYFUNCTION("IF('Respuestas de formulario 1'!M410="""","""",TO_TEXT('Respuestas de formulario 1'!M410))"),"")</f>
        <v/>
      </c>
      <c r="N410" s="7">
        <f t="shared" si="1"/>
        <v>2023</v>
      </c>
      <c r="O410" s="7" t="str">
        <f t="shared" si="2"/>
        <v>diciembre</v>
      </c>
      <c r="P410" s="7" t="s">
        <v>5016</v>
      </c>
    </row>
    <row r="411">
      <c r="A411" s="19">
        <f>'Respuestas de formulario 1'!A411</f>
        <v>45288.80052</v>
      </c>
      <c r="B411" s="7" t="str">
        <f>'Respuestas de formulario 1'!B411</f>
        <v>Miretti </v>
      </c>
      <c r="C411" s="7" t="str">
        <f>'Respuestas de formulario 1'!C411</f>
        <v>Jorge </v>
      </c>
      <c r="D411" s="7" t="str">
        <f>'Respuestas de formulario 1'!D411</f>
        <v>jorgemartinmiretti@hotmail.com</v>
      </c>
      <c r="E411" s="20">
        <f>'Respuestas de formulario 1'!E411</f>
        <v>34998</v>
      </c>
      <c r="F411" s="7">
        <f>'Respuestas de formulario 1'!F411</f>
        <v>39303967</v>
      </c>
      <c r="G411" s="7" t="str">
        <f>IFERROR(__xludf.DUMMYFUNCTION("IF('Respuestas de formulario 1'!G411="""","""",IF(LEFT(REGEXREPLACE(TO_TEXT('Respuestas de formulario 1'!G411),""[^0-9]"",""""),2)=""54"",""+""&amp;REGEXREPLACE(TO_TEXT('Respuestas de formulario 1'!G411),""[^0-9]"",""""),""+54""&amp;REGEXREPLACE(TO_TEXT('Respuest"&amp;"as de formulario 1'!G411),""[^0-9]"","""")))"),"+543512280313")</f>
        <v>+543512280313</v>
      </c>
      <c r="H411" s="7">
        <f>'Respuestas de formulario 1'!S411</f>
        <v>2023</v>
      </c>
      <c r="I411" s="7" t="str">
        <f>IFERROR(__xludf.DUMMYFUNCTION("IF('Respuestas de formulario 1'!I411="""","""",TO_TEXT('Respuestas de formulario 1'!I411))"),"Obra social")</f>
        <v>Obra social</v>
      </c>
      <c r="J411" s="7" t="str">
        <f>IFERROR(__xludf.DUMMYFUNCTION("IF('Respuestas de formulario 1'!J411&lt;&gt;"""",UPPER(TRIM(TO_TEXT('Respuestas de formulario 1'!J411))),IF('Respuestas de formulario 1'!O411&lt;&gt;"""",UPPER(TRIM(TO_TEXT('Respuestas de formulario 1'!O411))),""""))"),"PREVENCIÓN")</f>
        <v>PREVENCIÓN</v>
      </c>
      <c r="K411" s="7" t="str">
        <f>IFERROR(__xludf.DUMMYFUNCTION("IF('Respuestas de formulario 1'!K411="""","""",TO_TEXT('Respuestas de formulario 1'!K411))"),"Si")</f>
        <v>Si</v>
      </c>
      <c r="L411" s="7" t="str">
        <f>IFERROR(__xludf.DUMMYFUNCTION("IF('Respuestas de formulario 1'!L411="""","""",TO_TEXT('Respuestas de formulario 1'!L411))"),"Scuash ")</f>
        <v>Scuash </v>
      </c>
      <c r="M411" s="7" t="str">
        <f>IFERROR(__xludf.DUMMYFUNCTION("IF('Respuestas de formulario 1'!M411="""","""",TO_TEXT('Respuestas de formulario 1'!M411))"),"1 a 2 veces por semana")</f>
        <v>1 a 2 veces por semana</v>
      </c>
      <c r="N411" s="7">
        <f t="shared" si="1"/>
        <v>2023</v>
      </c>
      <c r="O411" s="7" t="str">
        <f t="shared" si="2"/>
        <v>diciembre</v>
      </c>
      <c r="P411" s="7" t="s">
        <v>5018</v>
      </c>
    </row>
    <row r="412">
      <c r="A412" s="19">
        <f>'Respuestas de formulario 1'!A412</f>
        <v>45289.42234</v>
      </c>
      <c r="B412" s="7" t="str">
        <f>'Respuestas de formulario 1'!B412</f>
        <v>Barrionuevo </v>
      </c>
      <c r="C412" s="7" t="str">
        <f>'Respuestas de formulario 1'!C412</f>
        <v>Ileana</v>
      </c>
      <c r="D412" s="7" t="str">
        <f>'Respuestas de formulario 1'!D412</f>
        <v>ilebarrionuevo@gmail.com</v>
      </c>
      <c r="E412" s="20">
        <f>'Respuestas de formulario 1'!E412</f>
        <v>35220</v>
      </c>
      <c r="F412" s="7">
        <f>'Respuestas de formulario 1'!F412</f>
        <v>39621033</v>
      </c>
      <c r="G412" s="7" t="str">
        <f>IFERROR(__xludf.DUMMYFUNCTION("IF('Respuestas de formulario 1'!G412="""","""",IF(LEFT(REGEXREPLACE(TO_TEXT('Respuestas de formulario 1'!G412),""[^0-9]"",""""),2)=""54"",""+""&amp;REGEXREPLACE(TO_TEXT('Respuestas de formulario 1'!G412),""[^0-9]"",""""),""+54""&amp;REGEXREPLACE(TO_TEXT('Respuest"&amp;"as de formulario 1'!G412),""[^0-9]"","""")))"),"+543513251452")</f>
        <v>+543513251452</v>
      </c>
      <c r="H412" s="7">
        <f>'Respuestas de formulario 1'!S412</f>
        <v>2023</v>
      </c>
      <c r="I412" s="7" t="str">
        <f>IFERROR(__xludf.DUMMYFUNCTION("IF('Respuestas de formulario 1'!I412="""","""",TO_TEXT('Respuestas de formulario 1'!I412))"),"Obra social")</f>
        <v>Obra social</v>
      </c>
      <c r="J412" s="7" t="str">
        <f>IFERROR(__xludf.DUMMYFUNCTION("IF('Respuestas de formulario 1'!J412&lt;&gt;"""",UPPER(TRIM(TO_TEXT('Respuestas de formulario 1'!J412))),IF('Respuestas de formulario 1'!O412&lt;&gt;"""",UPPER(TRIM(TO_TEXT('Respuestas de formulario 1'!O412))),""""))"),"SWISS MEDICAL PLAN TNIG")</f>
        <v>SWISS MEDICAL PLAN TNIG</v>
      </c>
      <c r="K412" s="7" t="str">
        <f>IFERROR(__xludf.DUMMYFUNCTION("IF('Respuestas de formulario 1'!K412="""","""",TO_TEXT('Respuestas de formulario 1'!K412))"),"Si")</f>
        <v>Si</v>
      </c>
      <c r="L412" s="7" t="str">
        <f>IFERROR(__xludf.DUMMYFUNCTION("IF('Respuestas de formulario 1'!L412="""","""",TO_TEXT('Respuestas de formulario 1'!L412))"),"Gimnasio")</f>
        <v>Gimnasio</v>
      </c>
      <c r="M412" s="7" t="str">
        <f>IFERROR(__xludf.DUMMYFUNCTION("IF('Respuestas de formulario 1'!M412="""","""",TO_TEXT('Respuestas de formulario 1'!M412))"),"3 a 5 veces por semana")</f>
        <v>3 a 5 veces por semana</v>
      </c>
      <c r="N412" s="7">
        <f t="shared" si="1"/>
        <v>2023</v>
      </c>
      <c r="O412" s="7" t="str">
        <f t="shared" si="2"/>
        <v>diciembre</v>
      </c>
      <c r="P412" s="7" t="s">
        <v>5020</v>
      </c>
    </row>
    <row r="413">
      <c r="A413" s="19">
        <f>'Respuestas de formulario 1'!A413</f>
        <v>45293.53855</v>
      </c>
      <c r="B413" s="7" t="str">
        <f>'Respuestas de formulario 1'!B413</f>
        <v>Ferez</v>
      </c>
      <c r="C413" s="7" t="str">
        <f>'Respuestas de formulario 1'!C413</f>
        <v>Maximiliano</v>
      </c>
      <c r="D413" s="7" t="str">
        <f>'Respuestas de formulario 1'!D413</f>
        <v>mferez92@gmail.com</v>
      </c>
      <c r="E413" s="20">
        <f>'Respuestas de formulario 1'!E413</f>
        <v>45284</v>
      </c>
      <c r="F413" s="7">
        <f>'Respuestas de formulario 1'!F413</f>
        <v>37327201</v>
      </c>
      <c r="G413" s="7" t="str">
        <f>IFERROR(__xludf.DUMMYFUNCTION("IF('Respuestas de formulario 1'!G413="""","""",IF(LEFT(REGEXREPLACE(TO_TEXT('Respuestas de formulario 1'!G413),""[^0-9]"",""""),2)=""54"",""+""&amp;REGEXREPLACE(TO_TEXT('Respuestas de formulario 1'!G413),""[^0-9]"",""""),""+54""&amp;REGEXREPLACE(TO_TEXT('Respuest"&amp;"as de formulario 1'!G413),""[^0-9]"","""")))"),"+543794700700")</f>
        <v>+543794700700</v>
      </c>
      <c r="H413" s="7">
        <f>'Respuestas de formulario 1'!S413</f>
        <v>2024</v>
      </c>
      <c r="I413" s="7" t="str">
        <f>IFERROR(__xludf.DUMMYFUNCTION("IF('Respuestas de formulario 1'!I413="""","""",TO_TEXT('Respuestas de formulario 1'!I413))"),"Obra social")</f>
        <v>Obra social</v>
      </c>
      <c r="J413" s="7" t="str">
        <f>IFERROR(__xludf.DUMMYFUNCTION("IF('Respuestas de formulario 1'!J413&lt;&gt;"""",UPPER(TRIM(TO_TEXT('Respuestas de formulario 1'!J413))),IF('Respuestas de formulario 1'!O413&lt;&gt;"""",UPPER(TRIM(TO_TEXT('Respuestas de formulario 1'!O413))),""""))"),"IOSFA")</f>
        <v>IOSFA</v>
      </c>
      <c r="K413" s="7" t="str">
        <f>IFERROR(__xludf.DUMMYFUNCTION("IF('Respuestas de formulario 1'!K413="""","""",TO_TEXT('Respuestas de formulario 1'!K413))"),"Si")</f>
        <v>Si</v>
      </c>
      <c r="L413" s="7" t="str">
        <f>IFERROR(__xludf.DUMMYFUNCTION("IF('Respuestas de formulario 1'!L413="""","""",TO_TEXT('Respuestas de formulario 1'!L413))"),"Gimnasio")</f>
        <v>Gimnasio</v>
      </c>
      <c r="M413" s="7" t="str">
        <f>IFERROR(__xludf.DUMMYFUNCTION("IF('Respuestas de formulario 1'!M413="""","""",TO_TEXT('Respuestas de formulario 1'!M413))"),"3 a 5 veces por semana")</f>
        <v>3 a 5 veces por semana</v>
      </c>
      <c r="N413" s="7">
        <f t="shared" si="1"/>
        <v>2024</v>
      </c>
      <c r="O413" s="7" t="str">
        <f t="shared" si="2"/>
        <v>enero</v>
      </c>
      <c r="P413" s="7" t="s">
        <v>5022</v>
      </c>
    </row>
    <row r="414">
      <c r="A414" s="19">
        <f>'Respuestas de formulario 1'!A414</f>
        <v>45293.72781</v>
      </c>
      <c r="B414" s="7" t="str">
        <f>'Respuestas de formulario 1'!B414</f>
        <v>Beker</v>
      </c>
      <c r="C414" s="7" t="str">
        <f>'Respuestas de formulario 1'!C414</f>
        <v>Judith</v>
      </c>
      <c r="D414" s="7" t="str">
        <f>'Respuestas de formulario 1'!D414</f>
        <v>judithbeker@hotmail.com</v>
      </c>
      <c r="E414" s="20">
        <f>'Respuestas de formulario 1'!E414</f>
        <v>26416</v>
      </c>
      <c r="F414" s="7">
        <f>'Respuestas de formulario 1'!F414</f>
        <v>22735149</v>
      </c>
      <c r="G414" s="7" t="str">
        <f>IFERROR(__xludf.DUMMYFUNCTION("IF('Respuestas de formulario 1'!G414="""","""",IF(LEFT(REGEXREPLACE(TO_TEXT('Respuestas de formulario 1'!G414),""[^0-9]"",""""),2)=""54"",""+""&amp;REGEXREPLACE(TO_TEXT('Respuestas de formulario 1'!G414),""[^0-9]"",""""),""+54""&amp;REGEXREPLACE(TO_TEXT('Respuest"&amp;"as de formulario 1'!G414),""[^0-9]"","""")))"),"+543515076894")</f>
        <v>+543515076894</v>
      </c>
      <c r="H414" s="7">
        <f>'Respuestas de formulario 1'!S414</f>
        <v>2024</v>
      </c>
      <c r="I414" s="7" t="str">
        <f>IFERROR(__xludf.DUMMYFUNCTION("IF('Respuestas de formulario 1'!I414="""","""",TO_TEXT('Respuestas de formulario 1'!I414))"),"Particular")</f>
        <v>Particular</v>
      </c>
      <c r="J414" s="7" t="str">
        <f>IFERROR(__xludf.DUMMYFUNCTION("IF('Respuestas de formulario 1'!J414&lt;&gt;"""",UPPER(TRIM(TO_TEXT('Respuestas de formulario 1'!J414))),IF('Respuestas de formulario 1'!O414&lt;&gt;"""",UPPER(TRIM(TO_TEXT('Respuestas de formulario 1'!O414))),""""))"),"")</f>
        <v/>
      </c>
      <c r="K414" s="7" t="str">
        <f>IFERROR(__xludf.DUMMYFUNCTION("IF('Respuestas de formulario 1'!K414="""","""",TO_TEXT('Respuestas de formulario 1'!K414))"),"Si")</f>
        <v>Si</v>
      </c>
      <c r="L414" s="7" t="str">
        <f>IFERROR(__xludf.DUMMYFUNCTION("IF('Respuestas de formulario 1'!L414="""","""",TO_TEXT('Respuestas de formulario 1'!L414))"),"Gimnasio")</f>
        <v>Gimnasio</v>
      </c>
      <c r="M414" s="7" t="str">
        <f>IFERROR(__xludf.DUMMYFUNCTION("IF('Respuestas de formulario 1'!M414="""","""",TO_TEXT('Respuestas de formulario 1'!M414))"),"3 a 5 veces por semana")</f>
        <v>3 a 5 veces por semana</v>
      </c>
      <c r="N414" s="7">
        <f t="shared" si="1"/>
        <v>2024</v>
      </c>
      <c r="O414" s="7" t="str">
        <f t="shared" si="2"/>
        <v>enero</v>
      </c>
      <c r="P414" s="7" t="s">
        <v>5024</v>
      </c>
    </row>
    <row r="415">
      <c r="A415" s="19">
        <f>'Respuestas de formulario 1'!A415</f>
        <v>45294.82486</v>
      </c>
      <c r="B415" s="7" t="str">
        <f>'Respuestas de formulario 1'!B415</f>
        <v>Gonzalez</v>
      </c>
      <c r="C415" s="7" t="str">
        <f>'Respuestas de formulario 1'!C415</f>
        <v>Sonia</v>
      </c>
      <c r="D415" s="7" t="str">
        <f>'Respuestas de formulario 1'!D415</f>
        <v>soniaandrea1713@gmail.com</v>
      </c>
      <c r="E415" s="20">
        <f>'Respuestas de formulario 1'!E415</f>
        <v>24121</v>
      </c>
      <c r="F415" s="7">
        <f>'Respuestas de formulario 1'!F415</f>
        <v>17630051</v>
      </c>
      <c r="G415" s="7" t="str">
        <f>IFERROR(__xludf.DUMMYFUNCTION("IF('Respuestas de formulario 1'!G415="""","""",IF(LEFT(REGEXREPLACE(TO_TEXT('Respuestas de formulario 1'!G415),""[^0-9]"",""""),2)=""54"",""+""&amp;REGEXREPLACE(TO_TEXT('Respuestas de formulario 1'!G415),""[^0-9]"",""""),""+54""&amp;REGEXREPLACE(TO_TEXT('Respuest"&amp;"as de formulario 1'!G415),""[^0-9]"","""")))"),"+543512272950")</f>
        <v>+543512272950</v>
      </c>
      <c r="H415" s="7">
        <f>'Respuestas de formulario 1'!S415</f>
        <v>2024</v>
      </c>
      <c r="I415" s="7" t="str">
        <f>IFERROR(__xludf.DUMMYFUNCTION("IF('Respuestas de formulario 1'!I415="""","""",TO_TEXT('Respuestas de formulario 1'!I415))"),"Particular")</f>
        <v>Particular</v>
      </c>
      <c r="J415" s="7" t="str">
        <f>IFERROR(__xludf.DUMMYFUNCTION("IF('Respuestas de formulario 1'!J415&lt;&gt;"""",UPPER(TRIM(TO_TEXT('Respuestas de formulario 1'!J415))),IF('Respuestas de formulario 1'!O415&lt;&gt;"""",UPPER(TRIM(TO_TEXT('Respuestas de formulario 1'!O415))),""""))"),"")</f>
        <v/>
      </c>
      <c r="K415" s="7" t="str">
        <f>IFERROR(__xludf.DUMMYFUNCTION("IF('Respuestas de formulario 1'!K415="""","""",TO_TEXT('Respuestas de formulario 1'!K415))"),"No")</f>
        <v>No</v>
      </c>
      <c r="L415" s="7" t="str">
        <f>IFERROR(__xludf.DUMMYFUNCTION("IF('Respuestas de formulario 1'!L415="""","""",TO_TEXT('Respuestas de formulario 1'!L415))"),"")</f>
        <v/>
      </c>
      <c r="M415" s="7" t="str">
        <f>IFERROR(__xludf.DUMMYFUNCTION("IF('Respuestas de formulario 1'!M415="""","""",TO_TEXT('Respuestas de formulario 1'!M415))"),"")</f>
        <v/>
      </c>
      <c r="N415" s="7">
        <f t="shared" si="1"/>
        <v>2024</v>
      </c>
      <c r="O415" s="7" t="str">
        <f t="shared" si="2"/>
        <v>enero</v>
      </c>
      <c r="P415" s="7" t="s">
        <v>5026</v>
      </c>
    </row>
    <row r="416">
      <c r="A416" s="19">
        <f>'Respuestas de formulario 1'!A416</f>
        <v>45294.83742</v>
      </c>
      <c r="B416" s="7" t="str">
        <f>'Respuestas de formulario 1'!B416</f>
        <v>Dottori</v>
      </c>
      <c r="C416" s="7" t="str">
        <f>'Respuestas de formulario 1'!C416</f>
        <v>Benicio</v>
      </c>
      <c r="D416" s="7" t="str">
        <f>'Respuestas de formulario 1'!D416</f>
        <v>sofianavasd@gmail.com</v>
      </c>
      <c r="E416" s="20">
        <f>'Respuestas de formulario 1'!E416</f>
        <v>40168</v>
      </c>
      <c r="F416" s="7">
        <f>'Respuestas de formulario 1'!F416</f>
        <v>49952850</v>
      </c>
      <c r="G416" s="7" t="str">
        <f>IFERROR(__xludf.DUMMYFUNCTION("IF('Respuestas de formulario 1'!G416="""","""",IF(LEFT(REGEXREPLACE(TO_TEXT('Respuestas de formulario 1'!G416),""[^0-9]"",""""),2)=""54"",""+""&amp;REGEXREPLACE(TO_TEXT('Respuestas de formulario 1'!G416),""[^0-9]"",""""),""+54""&amp;REGEXREPLACE(TO_TEXT('Respuest"&amp;"as de formulario 1'!G416),""[^0-9]"","""")))"),"+543516957798")</f>
        <v>+543516957798</v>
      </c>
      <c r="H416" s="7">
        <f>'Respuestas de formulario 1'!S416</f>
        <v>2024</v>
      </c>
      <c r="I416" s="7" t="str">
        <f>IFERROR(__xludf.DUMMYFUNCTION("IF('Respuestas de formulario 1'!I416="""","""",TO_TEXT('Respuestas de formulario 1'!I416))"),"Obra social")</f>
        <v>Obra social</v>
      </c>
      <c r="J416" s="7" t="str">
        <f>IFERROR(__xludf.DUMMYFUNCTION("IF('Respuestas de formulario 1'!J416&lt;&gt;"""",UPPER(TRIM(TO_TEXT('Respuestas de formulario 1'!J416))),IF('Respuestas de formulario 1'!O416&lt;&gt;"""",UPPER(TRIM(TO_TEXT('Respuestas de formulario 1'!O416))),""""))"),"FEDERADA SALUD")</f>
        <v>FEDERADA SALUD</v>
      </c>
      <c r="K416" s="7" t="str">
        <f>IFERROR(__xludf.DUMMYFUNCTION("IF('Respuestas de formulario 1'!K416="""","""",TO_TEXT('Respuestas de formulario 1'!K416))"),"Si")</f>
        <v>Si</v>
      </c>
      <c r="L416" s="7" t="str">
        <f>IFERROR(__xludf.DUMMYFUNCTION("IF('Respuestas de formulario 1'!L416="""","""",TO_TEXT('Respuestas de formulario 1'!L416))"),"Fútbol ")</f>
        <v>Fútbol </v>
      </c>
      <c r="M416" s="7" t="str">
        <f>IFERROR(__xludf.DUMMYFUNCTION("IF('Respuestas de formulario 1'!M416="""","""",TO_TEXT('Respuestas de formulario 1'!M416))"),"3 a 5 veces por semana")</f>
        <v>3 a 5 veces por semana</v>
      </c>
      <c r="N416" s="7">
        <f t="shared" si="1"/>
        <v>2024</v>
      </c>
      <c r="O416" s="7" t="str">
        <f t="shared" si="2"/>
        <v>enero</v>
      </c>
      <c r="P416" s="7" t="s">
        <v>5028</v>
      </c>
    </row>
    <row r="417">
      <c r="A417" s="19">
        <f>'Respuestas de formulario 1'!A417</f>
        <v>45295.61935</v>
      </c>
      <c r="B417" s="7" t="str">
        <f>'Respuestas de formulario 1'!B417</f>
        <v>Martínez Grimaldi </v>
      </c>
      <c r="C417" s="7" t="str">
        <f>'Respuestas de formulario 1'!C417</f>
        <v>Julieta</v>
      </c>
      <c r="D417" s="7" t="str">
        <f>'Respuestas de formulario 1'!D417</f>
        <v>julietamg0863@gmail.com</v>
      </c>
      <c r="E417" s="20">
        <f>'Respuestas de formulario 1'!E417</f>
        <v>37780</v>
      </c>
      <c r="F417" s="7">
        <f>'Respuestas de formulario 1'!F417</f>
        <v>44805287</v>
      </c>
      <c r="G417" s="7" t="str">
        <f>IFERROR(__xludf.DUMMYFUNCTION("IF('Respuestas de formulario 1'!G417="""","""",IF(LEFT(REGEXREPLACE(TO_TEXT('Respuestas de formulario 1'!G417),""[^0-9]"",""""),2)=""54"",""+""&amp;REGEXREPLACE(TO_TEXT('Respuestas de formulario 1'!G417),""[^0-9]"",""""),""+54""&amp;REGEXREPLACE(TO_TEXT('Respuest"&amp;"as de formulario 1'!G417),""[^0-9]"","""")))"),"+543512286465")</f>
        <v>+543512286465</v>
      </c>
      <c r="H417" s="7">
        <f>'Respuestas de formulario 1'!S417</f>
        <v>2024</v>
      </c>
      <c r="I417" s="7" t="str">
        <f>IFERROR(__xludf.DUMMYFUNCTION("IF('Respuestas de formulario 1'!I417="""","""",TO_TEXT('Respuestas de formulario 1'!I417))"),"Obra social")</f>
        <v>Obra social</v>
      </c>
      <c r="J417" s="7" t="str">
        <f>IFERROR(__xludf.DUMMYFUNCTION("IF('Respuestas de formulario 1'!J417&lt;&gt;"""",UPPER(TRIM(TO_TEXT('Respuestas de formulario 1'!J417))),IF('Respuestas de formulario 1'!O417&lt;&gt;"""",UPPER(TRIM(TO_TEXT('Respuestas de formulario 1'!O417))),""""))"),"DASPU")</f>
        <v>DASPU</v>
      </c>
      <c r="K417" s="7" t="str">
        <f>IFERROR(__xludf.DUMMYFUNCTION("IF('Respuestas de formulario 1'!K417="""","""",TO_TEXT('Respuestas de formulario 1'!K417))"),"No")</f>
        <v>No</v>
      </c>
      <c r="L417" s="7" t="str">
        <f>IFERROR(__xludf.DUMMYFUNCTION("IF('Respuestas de formulario 1'!L417="""","""",TO_TEXT('Respuestas de formulario 1'!L417))"),"")</f>
        <v/>
      </c>
      <c r="M417" s="7" t="str">
        <f>IFERROR(__xludf.DUMMYFUNCTION("IF('Respuestas de formulario 1'!M417="""","""",TO_TEXT('Respuestas de formulario 1'!M417))"),"")</f>
        <v/>
      </c>
      <c r="N417" s="7">
        <f t="shared" si="1"/>
        <v>2024</v>
      </c>
      <c r="O417" s="7" t="str">
        <f t="shared" si="2"/>
        <v>enero</v>
      </c>
      <c r="P417" s="7" t="s">
        <v>5029</v>
      </c>
    </row>
    <row r="418">
      <c r="A418" s="19">
        <f>'Respuestas de formulario 1'!A418</f>
        <v>45296.54879</v>
      </c>
      <c r="B418" s="7" t="str">
        <f>'Respuestas de formulario 1'!B418</f>
        <v>Quevedo </v>
      </c>
      <c r="C418" s="7" t="str">
        <f>'Respuestas de formulario 1'!C418</f>
        <v>Claudia Ariana </v>
      </c>
      <c r="D418" s="7" t="str">
        <f>'Respuestas de formulario 1'!D418</f>
        <v>claudiaarianaquevedo19@gmail.com</v>
      </c>
      <c r="E418" s="20">
        <f>'Respuestas de formulario 1'!E418</f>
        <v>34872</v>
      </c>
      <c r="F418" s="7">
        <f>'Respuestas de formulario 1'!F418</f>
        <v>39073185</v>
      </c>
      <c r="G418" s="7" t="str">
        <f>IFERROR(__xludf.DUMMYFUNCTION("IF('Respuestas de formulario 1'!G418="""","""",IF(LEFT(REGEXREPLACE(TO_TEXT('Respuestas de formulario 1'!G418),""[^0-9]"",""""),2)=""54"",""+""&amp;REGEXREPLACE(TO_TEXT('Respuestas de formulario 1'!G418),""[^0-9]"",""""),""+54""&amp;REGEXREPLACE(TO_TEXT('Respuest"&amp;"as de formulario 1'!G418),""[^0-9]"","""")))"),"+543512033019")</f>
        <v>+543512033019</v>
      </c>
      <c r="H418" s="7">
        <f>'Respuestas de formulario 1'!S418</f>
        <v>2024</v>
      </c>
      <c r="I418" s="7" t="str">
        <f>IFERROR(__xludf.DUMMYFUNCTION("IF('Respuestas de formulario 1'!I418="""","""",TO_TEXT('Respuestas de formulario 1'!I418))"),"Obra social")</f>
        <v>Obra social</v>
      </c>
      <c r="J418" s="7" t="str">
        <f>IFERROR(__xludf.DUMMYFUNCTION("IF('Respuestas de formulario 1'!J418&lt;&gt;"""",UPPER(TRIM(TO_TEXT('Respuestas de formulario 1'!J418))),IF('Respuestas de formulario 1'!O418&lt;&gt;"""",UPPER(TRIM(TO_TEXT('Respuestas de formulario 1'!O418))),""""))"),"PREVENCIÓN")</f>
        <v>PREVENCIÓN</v>
      </c>
      <c r="K418" s="7" t="str">
        <f>IFERROR(__xludf.DUMMYFUNCTION("IF('Respuestas de formulario 1'!K418="""","""",TO_TEXT('Respuestas de formulario 1'!K418))"),"No")</f>
        <v>No</v>
      </c>
      <c r="L418" s="7" t="str">
        <f>IFERROR(__xludf.DUMMYFUNCTION("IF('Respuestas de formulario 1'!L418="""","""",TO_TEXT('Respuestas de formulario 1'!L418))"),"")</f>
        <v/>
      </c>
      <c r="M418" s="7" t="str">
        <f>IFERROR(__xludf.DUMMYFUNCTION("IF('Respuestas de formulario 1'!M418="""","""",TO_TEXT('Respuestas de formulario 1'!M418))"),"")</f>
        <v/>
      </c>
      <c r="N418" s="7">
        <f t="shared" si="1"/>
        <v>2024</v>
      </c>
      <c r="O418" s="7" t="str">
        <f t="shared" si="2"/>
        <v>enero</v>
      </c>
      <c r="P418" s="7" t="s">
        <v>5031</v>
      </c>
    </row>
    <row r="419">
      <c r="A419" s="19">
        <f>'Respuestas de formulario 1'!A419</f>
        <v>45299.40177</v>
      </c>
      <c r="B419" s="7" t="str">
        <f>'Respuestas de formulario 1'!B419</f>
        <v>Serafini</v>
      </c>
      <c r="C419" s="7" t="str">
        <f>'Respuestas de formulario 1'!C419</f>
        <v>Claudio</v>
      </c>
      <c r="D419" s="7" t="str">
        <f>'Respuestas de formulario 1'!D419</f>
        <v>reimonda2014@hotmail.com</v>
      </c>
      <c r="E419" s="20">
        <f>'Respuestas de formulario 1'!E419</f>
        <v>25157</v>
      </c>
      <c r="F419" s="7">
        <f>'Respuestas de formulario 1'!F419</f>
        <v>1</v>
      </c>
      <c r="G419" s="7" t="str">
        <f>IFERROR(__xludf.DUMMYFUNCTION("IF('Respuestas de formulario 1'!G419="""","""",IF(LEFT(REGEXREPLACE(TO_TEXT('Respuestas de formulario 1'!G419),""[^0-9]"",""""),2)=""54"",""+""&amp;REGEXREPLACE(TO_TEXT('Respuestas de formulario 1'!G419),""[^0-9]"",""""),""+54""&amp;REGEXREPLACE(TO_TEXT('Respuest"&amp;"as de formulario 1'!G419),""[^0-9]"","""")))"),"+543516802585")</f>
        <v>+543516802585</v>
      </c>
      <c r="H419" s="7">
        <f>'Respuestas de formulario 1'!S419</f>
        <v>2024</v>
      </c>
      <c r="I419" s="7" t="str">
        <f>IFERROR(__xludf.DUMMYFUNCTION("IF('Respuestas de formulario 1'!I419="""","""",TO_TEXT('Respuestas de formulario 1'!I419))"),"Particular")</f>
        <v>Particular</v>
      </c>
      <c r="J419" s="7" t="str">
        <f>IFERROR(__xludf.DUMMYFUNCTION("IF('Respuestas de formulario 1'!J419&lt;&gt;"""",UPPER(TRIM(TO_TEXT('Respuestas de formulario 1'!J419))),IF('Respuestas de formulario 1'!O419&lt;&gt;"""",UPPER(TRIM(TO_TEXT('Respuestas de formulario 1'!O419))),""""))"),"")</f>
        <v/>
      </c>
      <c r="K419" s="7" t="str">
        <f>IFERROR(__xludf.DUMMYFUNCTION("IF('Respuestas de formulario 1'!K419="""","""",TO_TEXT('Respuestas de formulario 1'!K419))"),"No")</f>
        <v>No</v>
      </c>
      <c r="L419" s="7" t="str">
        <f>IFERROR(__xludf.DUMMYFUNCTION("IF('Respuestas de formulario 1'!L419="""","""",TO_TEXT('Respuestas de formulario 1'!L419))"),"")</f>
        <v/>
      </c>
      <c r="M419" s="7" t="str">
        <f>IFERROR(__xludf.DUMMYFUNCTION("IF('Respuestas de formulario 1'!M419="""","""",TO_TEXT('Respuestas de formulario 1'!M419))"),"")</f>
        <v/>
      </c>
      <c r="N419" s="7">
        <f t="shared" si="1"/>
        <v>2024</v>
      </c>
      <c r="O419" s="7" t="str">
        <f t="shared" si="2"/>
        <v>enero</v>
      </c>
      <c r="P419" s="7" t="s">
        <v>5033</v>
      </c>
    </row>
    <row r="420">
      <c r="A420" s="19">
        <f>'Respuestas de formulario 1'!A420</f>
        <v>45299.73792</v>
      </c>
      <c r="B420" s="7" t="str">
        <f>'Respuestas de formulario 1'!B420</f>
        <v>Rodriguez</v>
      </c>
      <c r="C420" s="7" t="str">
        <f>'Respuestas de formulario 1'!C420</f>
        <v>Javier</v>
      </c>
      <c r="D420" s="7" t="str">
        <f>'Respuestas de formulario 1'!D420</f>
        <v>javiendrek@hotmail.com</v>
      </c>
      <c r="E420" s="20">
        <f>'Respuestas de formulario 1'!E420</f>
        <v>26065</v>
      </c>
      <c r="F420" s="7">
        <f>'Respuestas de formulario 1'!F420</f>
        <v>22220814</v>
      </c>
      <c r="G420" s="7" t="str">
        <f>IFERROR(__xludf.DUMMYFUNCTION("IF('Respuestas de formulario 1'!G420="""","""",IF(LEFT(REGEXREPLACE(TO_TEXT('Respuestas de formulario 1'!G420),""[^0-9]"",""""),2)=""54"",""+""&amp;REGEXREPLACE(TO_TEXT('Respuestas de formulario 1'!G420),""[^0-9]"",""""),""+54""&amp;REGEXREPLACE(TO_TEXT('Respuest"&amp;"as de formulario 1'!G420),""[^0-9]"","""")))"),"+543513049933")</f>
        <v>+543513049933</v>
      </c>
      <c r="H420" s="7">
        <f>'Respuestas de formulario 1'!S420</f>
        <v>2024</v>
      </c>
      <c r="I420" s="7" t="str">
        <f>IFERROR(__xludf.DUMMYFUNCTION("IF('Respuestas de formulario 1'!I420="""","""",TO_TEXT('Respuestas de formulario 1'!I420))"),"Obra social")</f>
        <v>Obra social</v>
      </c>
      <c r="J420" s="7" t="str">
        <f>IFERROR(__xludf.DUMMYFUNCTION("IF('Respuestas de formulario 1'!J420&lt;&gt;"""",UPPER(TRIM(TO_TEXT('Respuestas de formulario 1'!J420))),IF('Respuestas de formulario 1'!O420&lt;&gt;"""",UPPER(TRIM(TO_TEXT('Respuestas de formulario 1'!O420))),""""))"),"SANCOR")</f>
        <v>SANCOR</v>
      </c>
      <c r="K420" s="7" t="str">
        <f>IFERROR(__xludf.DUMMYFUNCTION("IF('Respuestas de formulario 1'!K420="""","""",TO_TEXT('Respuestas de formulario 1'!K420))"),"Si")</f>
        <v>Si</v>
      </c>
      <c r="L420" s="7" t="str">
        <f>IFERROR(__xludf.DUMMYFUNCTION("IF('Respuestas de formulario 1'!L420="""","""",TO_TEXT('Respuestas de formulario 1'!L420))"),"Fútbol")</f>
        <v>Fútbol</v>
      </c>
      <c r="M420" s="7" t="str">
        <f>IFERROR(__xludf.DUMMYFUNCTION("IF('Respuestas de formulario 1'!M420="""","""",TO_TEXT('Respuestas de formulario 1'!M420))"),"3 a 5 veces por semana")</f>
        <v>3 a 5 veces por semana</v>
      </c>
      <c r="N420" s="7">
        <f t="shared" si="1"/>
        <v>2024</v>
      </c>
      <c r="O420" s="7" t="str">
        <f t="shared" si="2"/>
        <v>enero</v>
      </c>
      <c r="P420" s="7" t="s">
        <v>5035</v>
      </c>
    </row>
    <row r="421">
      <c r="A421" s="19">
        <f>'Respuestas de formulario 1'!A421</f>
        <v>45300.7613</v>
      </c>
      <c r="B421" s="7" t="str">
        <f>'Respuestas de formulario 1'!B421</f>
        <v>Puccio</v>
      </c>
      <c r="C421" s="7" t="str">
        <f>'Respuestas de formulario 1'!C421</f>
        <v>Maria fernanda</v>
      </c>
      <c r="D421" s="7" t="str">
        <f>'Respuestas de formulario 1'!D421</f>
        <v>Fernandapuccio@gmail.com</v>
      </c>
      <c r="E421" s="20">
        <f>'Respuestas de formulario 1'!E421</f>
        <v>30239</v>
      </c>
      <c r="F421" s="7">
        <f>'Respuestas de formulario 1'!F421</f>
        <v>29713228</v>
      </c>
      <c r="G421" s="7" t="str">
        <f>IFERROR(__xludf.DUMMYFUNCTION("IF('Respuestas de formulario 1'!G421="""","""",IF(LEFT(REGEXREPLACE(TO_TEXT('Respuestas de formulario 1'!G421),""[^0-9]"",""""),2)=""54"",""+""&amp;REGEXREPLACE(TO_TEXT('Respuestas de formulario 1'!G421),""[^0-9]"",""""),""+54""&amp;REGEXREPLACE(TO_TEXT('Respuest"&amp;"as de formulario 1'!G421),""[^0-9]"","""")))"),"+543513189627")</f>
        <v>+543513189627</v>
      </c>
      <c r="H421" s="7">
        <f>'Respuestas de formulario 1'!S421</f>
        <v>2024</v>
      </c>
      <c r="I421" s="7" t="str">
        <f>IFERROR(__xludf.DUMMYFUNCTION("IF('Respuestas de formulario 1'!I421="""","""",TO_TEXT('Respuestas de formulario 1'!I421))"),"Obra social")</f>
        <v>Obra social</v>
      </c>
      <c r="J421" s="7" t="str">
        <f>IFERROR(__xludf.DUMMYFUNCTION("IF('Respuestas de formulario 1'!J421&lt;&gt;"""",UPPER(TRIM(TO_TEXT('Respuestas de formulario 1'!J421))),IF('Respuestas de formulario 1'!O421&lt;&gt;"""",UPPER(TRIM(TO_TEXT('Respuestas de formulario 1'!O421))),""""))"),"PREVENCIÓN")</f>
        <v>PREVENCIÓN</v>
      </c>
      <c r="K421" s="7" t="str">
        <f>IFERROR(__xludf.DUMMYFUNCTION("IF('Respuestas de formulario 1'!K421="""","""",TO_TEXT('Respuestas de formulario 1'!K421))"),"Si")</f>
        <v>Si</v>
      </c>
      <c r="L421" s="7" t="str">
        <f>IFERROR(__xludf.DUMMYFUNCTION("IF('Respuestas de formulario 1'!L421="""","""",TO_TEXT('Respuestas de formulario 1'!L421))"),"Gimnasio")</f>
        <v>Gimnasio</v>
      </c>
      <c r="M421" s="7" t="str">
        <f>IFERROR(__xludf.DUMMYFUNCTION("IF('Respuestas de formulario 1'!M421="""","""",TO_TEXT('Respuestas de formulario 1'!M421))"),"1 a 2 veces por semana")</f>
        <v>1 a 2 veces por semana</v>
      </c>
      <c r="N421" s="7">
        <f t="shared" si="1"/>
        <v>2024</v>
      </c>
      <c r="O421" s="7" t="str">
        <f t="shared" si="2"/>
        <v>enero</v>
      </c>
      <c r="P421" s="7" t="s">
        <v>5037</v>
      </c>
    </row>
    <row r="422">
      <c r="A422" s="19">
        <f>'Respuestas de formulario 1'!A422</f>
        <v>45301.00796</v>
      </c>
      <c r="B422" s="7" t="str">
        <f>'Respuestas de formulario 1'!B422</f>
        <v>Ortega </v>
      </c>
      <c r="C422" s="7" t="str">
        <f>'Respuestas de formulario 1'!C422</f>
        <v>Noelia </v>
      </c>
      <c r="D422" s="7" t="str">
        <f>'Respuestas de formulario 1'!D422</f>
        <v>noelia_c_ortega@hotmail.com</v>
      </c>
      <c r="E422" s="20">
        <f>'Respuestas de formulario 1'!E422</f>
        <v>28856</v>
      </c>
      <c r="F422" s="7">
        <f>'Respuestas de formulario 1'!F422</f>
        <v>26244899</v>
      </c>
      <c r="G422" s="7" t="str">
        <f>IFERROR(__xludf.DUMMYFUNCTION("IF('Respuestas de formulario 1'!G422="""","""",IF(LEFT(REGEXREPLACE(TO_TEXT('Respuestas de formulario 1'!G422),""[^0-9]"",""""),2)=""54"",""+""&amp;REGEXREPLACE(TO_TEXT('Respuestas de formulario 1'!G422),""[^0-9]"",""""),""+54""&amp;REGEXREPLACE(TO_TEXT('Respuest"&amp;"as de formulario 1'!G422),""[^0-9]"","""")))"),"+543516233665")</f>
        <v>+543516233665</v>
      </c>
      <c r="H422" s="7">
        <f>'Respuestas de formulario 1'!S422</f>
        <v>2024</v>
      </c>
      <c r="I422" s="7" t="str">
        <f>IFERROR(__xludf.DUMMYFUNCTION("IF('Respuestas de formulario 1'!I422="""","""",TO_TEXT('Respuestas de formulario 1'!I422))"),"Obra social")</f>
        <v>Obra social</v>
      </c>
      <c r="J422" s="7" t="str">
        <f>IFERROR(__xludf.DUMMYFUNCTION("IF('Respuestas de formulario 1'!J422&lt;&gt;"""",UPPER(TRIM(TO_TEXT('Respuestas de formulario 1'!J422))),IF('Respuestas de formulario 1'!O422&lt;&gt;"""",UPPER(TRIM(TO_TEXT('Respuestas de formulario 1'!O422))),""""))"),"PREVENCIÓN")</f>
        <v>PREVENCIÓN</v>
      </c>
      <c r="K422" s="7" t="str">
        <f>IFERROR(__xludf.DUMMYFUNCTION("IF('Respuestas de formulario 1'!K422="""","""",TO_TEXT('Respuestas de formulario 1'!K422))"),"No")</f>
        <v>No</v>
      </c>
      <c r="L422" s="7" t="str">
        <f>IFERROR(__xludf.DUMMYFUNCTION("IF('Respuestas de formulario 1'!L422="""","""",TO_TEXT('Respuestas de formulario 1'!L422))"),"")</f>
        <v/>
      </c>
      <c r="M422" s="7" t="str">
        <f>IFERROR(__xludf.DUMMYFUNCTION("IF('Respuestas de formulario 1'!M422="""","""",TO_TEXT('Respuestas de formulario 1'!M422))"),"")</f>
        <v/>
      </c>
      <c r="N422" s="7">
        <f t="shared" si="1"/>
        <v>2024</v>
      </c>
      <c r="O422" s="7" t="str">
        <f t="shared" si="2"/>
        <v>enero</v>
      </c>
      <c r="P422" s="7" t="s">
        <v>5039</v>
      </c>
    </row>
    <row r="423">
      <c r="A423" s="19">
        <f>'Respuestas de formulario 1'!A423</f>
        <v>45301.73788</v>
      </c>
      <c r="B423" s="7" t="str">
        <f>'Respuestas de formulario 1'!B423</f>
        <v>Carotti </v>
      </c>
      <c r="C423" s="7" t="str">
        <f>'Respuestas de formulario 1'!C423</f>
        <v>Juan Ignacio </v>
      </c>
      <c r="D423" s="7" t="str">
        <f>'Respuestas de formulario 1'!D423</f>
        <v>Juanignaciocarotti@gmail.com</v>
      </c>
      <c r="E423" s="20">
        <f>'Respuestas de formulario 1'!E423</f>
        <v>36980</v>
      </c>
      <c r="F423" s="7">
        <f>'Respuestas de formulario 1'!F423</f>
        <v>43134929</v>
      </c>
      <c r="G423" s="7" t="str">
        <f>IFERROR(__xludf.DUMMYFUNCTION("IF('Respuestas de formulario 1'!G423="""","""",IF(LEFT(REGEXREPLACE(TO_TEXT('Respuestas de formulario 1'!G423),""[^0-9]"",""""),2)=""54"",""+""&amp;REGEXREPLACE(TO_TEXT('Respuestas de formulario 1'!G423),""[^0-9]"",""""),""+54""&amp;REGEXREPLACE(TO_TEXT('Respuest"&amp;"as de formulario 1'!G423),""[^0-9]"","""")))"),"+543516068850")</f>
        <v>+543516068850</v>
      </c>
      <c r="H423" s="7">
        <f>'Respuestas de formulario 1'!S423</f>
        <v>2024</v>
      </c>
      <c r="I423" s="7" t="str">
        <f>IFERROR(__xludf.DUMMYFUNCTION("IF('Respuestas de formulario 1'!I423="""","""",TO_TEXT('Respuestas de formulario 1'!I423))"),"Particular")</f>
        <v>Particular</v>
      </c>
      <c r="J423" s="7" t="str">
        <f>IFERROR(__xludf.DUMMYFUNCTION("IF('Respuestas de formulario 1'!J423&lt;&gt;"""",UPPER(TRIM(TO_TEXT('Respuestas de formulario 1'!J423))),IF('Respuestas de formulario 1'!O423&lt;&gt;"""",UPPER(TRIM(TO_TEXT('Respuestas de formulario 1'!O423))),""""))"),"")</f>
        <v/>
      </c>
      <c r="K423" s="7" t="str">
        <f>IFERROR(__xludf.DUMMYFUNCTION("IF('Respuestas de formulario 1'!K423="""","""",TO_TEXT('Respuestas de formulario 1'!K423))"),"Si")</f>
        <v>Si</v>
      </c>
      <c r="L423" s="7" t="str">
        <f>IFERROR(__xludf.DUMMYFUNCTION("IF('Respuestas de formulario 1'!L423="""","""",TO_TEXT('Respuestas de formulario 1'!L423))"),"Fútbol")</f>
        <v>Fútbol</v>
      </c>
      <c r="M423" s="7" t="str">
        <f>IFERROR(__xludf.DUMMYFUNCTION("IF('Respuestas de formulario 1'!M423="""","""",TO_TEXT('Respuestas de formulario 1'!M423))"),"6 a 7 veces por semana")</f>
        <v>6 a 7 veces por semana</v>
      </c>
      <c r="N423" s="7">
        <f t="shared" si="1"/>
        <v>2024</v>
      </c>
      <c r="O423" s="7" t="str">
        <f t="shared" si="2"/>
        <v>enero</v>
      </c>
      <c r="P423" s="7" t="s">
        <v>5041</v>
      </c>
    </row>
    <row r="424">
      <c r="A424" s="19">
        <f>'Respuestas de formulario 1'!A424</f>
        <v>45301.78484</v>
      </c>
      <c r="B424" s="7" t="str">
        <f>'Respuestas de formulario 1'!B424</f>
        <v>Colalillo</v>
      </c>
      <c r="C424" s="7" t="str">
        <f>'Respuestas de formulario 1'!C424</f>
        <v>Fernando</v>
      </c>
      <c r="D424" s="7" t="str">
        <f>'Respuestas de formulario 1'!D424</f>
        <v>fernandocolalillo@gmial.com</v>
      </c>
      <c r="E424" s="20">
        <f>'Respuestas de formulario 1'!E424</f>
        <v>24859</v>
      </c>
      <c r="F424" s="7">
        <f>'Respuestas de formulario 1'!F424</f>
        <v>20073725</v>
      </c>
      <c r="G424" s="7" t="str">
        <f>IFERROR(__xludf.DUMMYFUNCTION("IF('Respuestas de formulario 1'!G424="""","""",IF(LEFT(REGEXREPLACE(TO_TEXT('Respuestas de formulario 1'!G424),""[^0-9]"",""""),2)=""54"",""+""&amp;REGEXREPLACE(TO_TEXT('Respuestas de formulario 1'!G424),""[^0-9]"",""""),""+54""&amp;REGEXREPLACE(TO_TEXT('Respuest"&amp;"as de formulario 1'!G424),""[^0-9]"","""")))"),"+543515550823")</f>
        <v>+543515550823</v>
      </c>
      <c r="H424" s="7">
        <f>'Respuestas de formulario 1'!S424</f>
        <v>2024</v>
      </c>
      <c r="I424" s="7" t="str">
        <f>IFERROR(__xludf.DUMMYFUNCTION("IF('Respuestas de formulario 1'!I424="""","""",TO_TEXT('Respuestas de formulario 1'!I424))"),"Obra social")</f>
        <v>Obra social</v>
      </c>
      <c r="J424" s="7" t="str">
        <f>IFERROR(__xludf.DUMMYFUNCTION("IF('Respuestas de formulario 1'!J424&lt;&gt;"""",UPPER(TRIM(TO_TEXT('Respuestas de formulario 1'!J424))),IF('Respuestas de formulario 1'!O424&lt;&gt;"""",UPPER(TRIM(TO_TEXT('Respuestas de formulario 1'!O424))),""""))"),"DASPU")</f>
        <v>DASPU</v>
      </c>
      <c r="K424" s="7" t="str">
        <f>IFERROR(__xludf.DUMMYFUNCTION("IF('Respuestas de formulario 1'!K424="""","""",TO_TEXT('Respuestas de formulario 1'!K424))"),"Si")</f>
        <v>Si</v>
      </c>
      <c r="L424" s="7" t="str">
        <f>IFERROR(__xludf.DUMMYFUNCTION("IF('Respuestas de formulario 1'!L424="""","""",TO_TEXT('Respuestas de formulario 1'!L424))"),"Gimnasio")</f>
        <v>Gimnasio</v>
      </c>
      <c r="M424" s="7" t="str">
        <f>IFERROR(__xludf.DUMMYFUNCTION("IF('Respuestas de formulario 1'!M424="""","""",TO_TEXT('Respuestas de formulario 1'!M424))"),"3 a 5 veces por semana")</f>
        <v>3 a 5 veces por semana</v>
      </c>
      <c r="N424" s="7">
        <f t="shared" si="1"/>
        <v>2024</v>
      </c>
      <c r="O424" s="7" t="str">
        <f t="shared" si="2"/>
        <v>enero</v>
      </c>
      <c r="P424" s="7" t="s">
        <v>5043</v>
      </c>
    </row>
    <row r="425">
      <c r="A425" s="19">
        <f>'Respuestas de formulario 1'!A425</f>
        <v>45302.71627</v>
      </c>
      <c r="B425" s="7" t="str">
        <f>'Respuestas de formulario 1'!B425</f>
        <v>Garcia</v>
      </c>
      <c r="C425" s="7" t="str">
        <f>'Respuestas de formulario 1'!C425</f>
        <v>Graciela Isabel</v>
      </c>
      <c r="D425" s="7" t="str">
        <f>'Respuestas de formulario 1'!D425</f>
        <v/>
      </c>
      <c r="E425" s="20">
        <f>'Respuestas de formulario 1'!E425</f>
        <v>21588</v>
      </c>
      <c r="F425" s="7">
        <f>'Respuestas de formulario 1'!F425</f>
        <v>13107048</v>
      </c>
      <c r="G425" s="7" t="str">
        <f>IFERROR(__xludf.DUMMYFUNCTION("IF('Respuestas de formulario 1'!G425="""","""",IF(LEFT(REGEXREPLACE(TO_TEXT('Respuestas de formulario 1'!G425),""[^0-9]"",""""),2)=""54"",""+""&amp;REGEXREPLACE(TO_TEXT('Respuestas de formulario 1'!G425),""[^0-9]"",""""),""+54""&amp;REGEXREPLACE(TO_TEXT('Respuest"&amp;"as de formulario 1'!G425),""[^0-9]"","""")))"),"+543515187279")</f>
        <v>+543515187279</v>
      </c>
      <c r="H425" s="7">
        <f>'Respuestas de formulario 1'!S425</f>
        <v>2024</v>
      </c>
      <c r="I425" s="7" t="str">
        <f>IFERROR(__xludf.DUMMYFUNCTION("IF('Respuestas de formulario 1'!I425="""","""",TO_TEXT('Respuestas de formulario 1'!I425))"),"Particular")</f>
        <v>Particular</v>
      </c>
      <c r="J425" s="7" t="str">
        <f>IFERROR(__xludf.DUMMYFUNCTION("IF('Respuestas de formulario 1'!J425&lt;&gt;"""",UPPER(TRIM(TO_TEXT('Respuestas de formulario 1'!J425))),IF('Respuestas de formulario 1'!O425&lt;&gt;"""",UPPER(TRIM(TO_TEXT('Respuestas de formulario 1'!O425))),""""))"),"")</f>
        <v/>
      </c>
      <c r="K425" s="7" t="str">
        <f>IFERROR(__xludf.DUMMYFUNCTION("IF('Respuestas de formulario 1'!K425="""","""",TO_TEXT('Respuestas de formulario 1'!K425))"),"No")</f>
        <v>No</v>
      </c>
      <c r="L425" s="7" t="str">
        <f>IFERROR(__xludf.DUMMYFUNCTION("IF('Respuestas de formulario 1'!L425="""","""",TO_TEXT('Respuestas de formulario 1'!L425))"),"")</f>
        <v/>
      </c>
      <c r="M425" s="7" t="str">
        <f>IFERROR(__xludf.DUMMYFUNCTION("IF('Respuestas de formulario 1'!M425="""","""",TO_TEXT('Respuestas de formulario 1'!M425))"),"")</f>
        <v/>
      </c>
      <c r="N425" s="7">
        <f t="shared" si="1"/>
        <v>2024</v>
      </c>
      <c r="O425" s="7" t="str">
        <f t="shared" si="2"/>
        <v>enero</v>
      </c>
      <c r="P425" s="7" t="s">
        <v>5045</v>
      </c>
    </row>
    <row r="426">
      <c r="A426" s="19">
        <f>'Respuestas de formulario 1'!A426</f>
        <v>45305.65979</v>
      </c>
      <c r="B426" s="7" t="str">
        <f>'Respuestas de formulario 1'!B426</f>
        <v>GIACHE</v>
      </c>
      <c r="C426" s="7" t="str">
        <f>'Respuestas de formulario 1'!C426</f>
        <v>ANDREA</v>
      </c>
      <c r="D426" s="7" t="str">
        <f>'Respuestas de formulario 1'!D426</f>
        <v>agiache_73@hotmail.com</v>
      </c>
      <c r="E426" s="20">
        <f>'Respuestas de formulario 1'!E426</f>
        <v>26787</v>
      </c>
      <c r="F426" s="7">
        <f>'Respuestas de formulario 1'!F426</f>
        <v>23198306</v>
      </c>
      <c r="G426" s="7" t="str">
        <f>IFERROR(__xludf.DUMMYFUNCTION("IF('Respuestas de formulario 1'!G426="""","""",IF(LEFT(REGEXREPLACE(TO_TEXT('Respuestas de formulario 1'!G426),""[^0-9]"",""""),2)=""54"",""+""&amp;REGEXREPLACE(TO_TEXT('Respuestas de formulario 1'!G426),""[^0-9]"",""""),""+54""&amp;REGEXREPLACE(TO_TEXT('Respuest"&amp;"as de formulario 1'!G426),""[^0-9]"","""")))"),"+543516263835")</f>
        <v>+543516263835</v>
      </c>
      <c r="H426" s="7">
        <f>'Respuestas de formulario 1'!S426</f>
        <v>2024</v>
      </c>
      <c r="I426" s="7" t="str">
        <f>IFERROR(__xludf.DUMMYFUNCTION("IF('Respuestas de formulario 1'!I426="""","""",TO_TEXT('Respuestas de formulario 1'!I426))"),"Obra social")</f>
        <v>Obra social</v>
      </c>
      <c r="J426" s="7" t="str">
        <f>IFERROR(__xludf.DUMMYFUNCTION("IF('Respuestas de formulario 1'!J426&lt;&gt;"""",UPPER(TRIM(TO_TEXT('Respuestas de formulario 1'!J426))),IF('Respuestas de formulario 1'!O426&lt;&gt;"""",UPPER(TRIM(TO_TEXT('Respuestas de formulario 1'!O426))),""""))"),"INTEGRAL SALUD (OSPOCE)")</f>
        <v>INTEGRAL SALUD (OSPOCE)</v>
      </c>
      <c r="K426" s="7" t="str">
        <f>IFERROR(__xludf.DUMMYFUNCTION("IF('Respuestas de formulario 1'!K426="""","""",TO_TEXT('Respuestas de formulario 1'!K426))"),"Si")</f>
        <v>Si</v>
      </c>
      <c r="L426" s="7" t="str">
        <f>IFERROR(__xludf.DUMMYFUNCTION("IF('Respuestas de formulario 1'!L426="""","""",TO_TEXT('Respuestas de formulario 1'!L426))"),"Gimnasio")</f>
        <v>Gimnasio</v>
      </c>
      <c r="M426" s="7" t="str">
        <f>IFERROR(__xludf.DUMMYFUNCTION("IF('Respuestas de formulario 1'!M426="""","""",TO_TEXT('Respuestas de formulario 1'!M426))"),"3 a 5 veces por semana")</f>
        <v>3 a 5 veces por semana</v>
      </c>
      <c r="N426" s="7">
        <f t="shared" si="1"/>
        <v>2024</v>
      </c>
      <c r="O426" s="7" t="str">
        <f t="shared" si="2"/>
        <v>enero</v>
      </c>
      <c r="P426" s="7" t="s">
        <v>5047</v>
      </c>
    </row>
    <row r="427">
      <c r="A427" s="19">
        <f>'Respuestas de formulario 1'!A427</f>
        <v>45306.44546</v>
      </c>
      <c r="B427" s="7" t="str">
        <f>'Respuestas de formulario 1'!B427</f>
        <v>Saad</v>
      </c>
      <c r="C427" s="7" t="str">
        <f>'Respuestas de formulario 1'!C427</f>
        <v>Patricia</v>
      </c>
      <c r="D427" s="7" t="str">
        <f>'Respuestas de formulario 1'!D427</f>
        <v>dra_saad@hotmail.com</v>
      </c>
      <c r="E427" s="20">
        <f>'Respuestas de formulario 1'!E427</f>
        <v>21337</v>
      </c>
      <c r="F427" s="7">
        <f>'Respuestas de formulario 1'!F427</f>
        <v>12334673</v>
      </c>
      <c r="G427" s="7" t="str">
        <f>IFERROR(__xludf.DUMMYFUNCTION("IF('Respuestas de formulario 1'!G427="""","""",IF(LEFT(REGEXREPLACE(TO_TEXT('Respuestas de formulario 1'!G427),""[^0-9]"",""""),2)=""54"",""+""&amp;REGEXREPLACE(TO_TEXT('Respuestas de formulario 1'!G427),""[^0-9]"",""""),""+54""&amp;REGEXREPLACE(TO_TEXT('Respuest"&amp;"as de formulario 1'!G427),""[^0-9]"","""")))"),"+543515393920")</f>
        <v>+543515393920</v>
      </c>
      <c r="H427" s="7">
        <f>'Respuestas de formulario 1'!S427</f>
        <v>2024</v>
      </c>
      <c r="I427" s="7" t="str">
        <f>IFERROR(__xludf.DUMMYFUNCTION("IF('Respuestas de formulario 1'!I427="""","""",TO_TEXT('Respuestas de formulario 1'!I427))"),"Obra social")</f>
        <v>Obra social</v>
      </c>
      <c r="J427" s="7" t="str">
        <f>IFERROR(__xludf.DUMMYFUNCTION("IF('Respuestas de formulario 1'!J427&lt;&gt;"""",UPPER(TRIM(TO_TEXT('Respuestas de formulario 1'!J427))),IF('Respuestas de formulario 1'!O427&lt;&gt;"""",UPPER(TRIM(TO_TEXT('Respuestas de formulario 1'!O427))),""""))"),"APROSS")</f>
        <v>APROSS</v>
      </c>
      <c r="K427" s="7" t="str">
        <f>IFERROR(__xludf.DUMMYFUNCTION("IF('Respuestas de formulario 1'!K427="""","""",TO_TEXT('Respuestas de formulario 1'!K427))"),"Si")</f>
        <v>Si</v>
      </c>
      <c r="L427" s="7" t="str">
        <f>IFERROR(__xludf.DUMMYFUNCTION("IF('Respuestas de formulario 1'!L427="""","""",TO_TEXT('Respuestas de formulario 1'!L427))"),"Pilate")</f>
        <v>Pilate</v>
      </c>
      <c r="M427" s="7" t="str">
        <f>IFERROR(__xludf.DUMMYFUNCTION("IF('Respuestas de formulario 1'!M427="""","""",TO_TEXT('Respuestas de formulario 1'!M427))"),"1 a 2 veces por semana")</f>
        <v>1 a 2 veces por semana</v>
      </c>
      <c r="N427" s="7">
        <f t="shared" si="1"/>
        <v>2024</v>
      </c>
      <c r="O427" s="7" t="str">
        <f t="shared" si="2"/>
        <v>enero</v>
      </c>
      <c r="P427" s="7" t="s">
        <v>5049</v>
      </c>
    </row>
    <row r="428">
      <c r="A428" s="19">
        <f>'Respuestas de formulario 1'!A428</f>
        <v>45306.83468</v>
      </c>
      <c r="B428" s="7" t="str">
        <f>'Respuestas de formulario 1'!B428</f>
        <v>Agüero</v>
      </c>
      <c r="C428" s="7" t="str">
        <f>'Respuestas de formulario 1'!C428</f>
        <v>Nidia Ester</v>
      </c>
      <c r="D428" s="7" t="str">
        <f>'Respuestas de formulario 1'!D428</f>
        <v>nidyaest3@gmail.com</v>
      </c>
      <c r="E428" s="20">
        <f>'Respuestas de formulario 1'!E428</f>
        <v>23512</v>
      </c>
      <c r="F428" s="7">
        <f>'Respuestas de formulario 1'!F428</f>
        <v>6396741</v>
      </c>
      <c r="G428" s="7" t="str">
        <f>IFERROR(__xludf.DUMMYFUNCTION("IF('Respuestas de formulario 1'!G428="""","""",IF(LEFT(REGEXREPLACE(TO_TEXT('Respuestas de formulario 1'!G428),""[^0-9]"",""""),2)=""54"",""+""&amp;REGEXREPLACE(TO_TEXT('Respuestas de formulario 1'!G428),""[^0-9]"",""""),""+54""&amp;REGEXREPLACE(TO_TEXT('Respuest"&amp;"as de formulario 1'!G428),""[^0-9]"","""")))"),"+543513587000")</f>
        <v>+543513587000</v>
      </c>
      <c r="H428" s="7">
        <f>'Respuestas de formulario 1'!S428</f>
        <v>2024</v>
      </c>
      <c r="I428" s="7" t="str">
        <f>IFERROR(__xludf.DUMMYFUNCTION("IF('Respuestas de formulario 1'!I428="""","""",TO_TEXT('Respuestas de formulario 1'!I428))"),"Obra social")</f>
        <v>Obra social</v>
      </c>
      <c r="J428" s="7" t="str">
        <f>IFERROR(__xludf.DUMMYFUNCTION("IF('Respuestas de formulario 1'!J428&lt;&gt;"""",UPPER(TRIM(TO_TEXT('Respuestas de formulario 1'!J428))),IF('Respuestas de formulario 1'!O428&lt;&gt;"""",UPPER(TRIM(TO_TEXT('Respuestas de formulario 1'!O428))),""""))"),"APROSS")</f>
        <v>APROSS</v>
      </c>
      <c r="K428" s="7" t="str">
        <f>IFERROR(__xludf.DUMMYFUNCTION("IF('Respuestas de formulario 1'!K428="""","""",TO_TEXT('Respuestas de formulario 1'!K428))"),"No")</f>
        <v>No</v>
      </c>
      <c r="L428" s="7" t="str">
        <f>IFERROR(__xludf.DUMMYFUNCTION("IF('Respuestas de formulario 1'!L428="""","""",TO_TEXT('Respuestas de formulario 1'!L428))"),"")</f>
        <v/>
      </c>
      <c r="M428" s="7" t="str">
        <f>IFERROR(__xludf.DUMMYFUNCTION("IF('Respuestas de formulario 1'!M428="""","""",TO_TEXT('Respuestas de formulario 1'!M428))"),"")</f>
        <v/>
      </c>
      <c r="N428" s="7">
        <f t="shared" si="1"/>
        <v>2024</v>
      </c>
      <c r="O428" s="7" t="str">
        <f t="shared" si="2"/>
        <v>enero</v>
      </c>
      <c r="P428" s="7" t="s">
        <v>5051</v>
      </c>
    </row>
    <row r="429">
      <c r="A429" s="19">
        <f>'Respuestas de formulario 1'!A429</f>
        <v>45307.46957</v>
      </c>
      <c r="B429" s="7" t="str">
        <f>'Respuestas de formulario 1'!B429</f>
        <v>Bonfati</v>
      </c>
      <c r="C429" s="7" t="str">
        <f>'Respuestas de formulario 1'!C429</f>
        <v>Santino</v>
      </c>
      <c r="D429" s="7" t="str">
        <f>'Respuestas de formulario 1'!D429</f>
        <v>andresanti09@gmail.com</v>
      </c>
      <c r="E429" s="20">
        <f>'Respuestas de formulario 1'!E429</f>
        <v>39638</v>
      </c>
      <c r="F429" s="7">
        <f>'Respuestas de formulario 1'!F429</f>
        <v>48069282</v>
      </c>
      <c r="G429" s="7" t="str">
        <f>IFERROR(__xludf.DUMMYFUNCTION("IF('Respuestas de formulario 1'!G429="""","""",IF(LEFT(REGEXREPLACE(TO_TEXT('Respuestas de formulario 1'!G429),""[^0-9]"",""""),2)=""54"",""+""&amp;REGEXREPLACE(TO_TEXT('Respuestas de formulario 1'!G429),""[^0-9]"",""""),""+54""&amp;REGEXREPLACE(TO_TEXT('Respuest"&amp;"as de formulario 1'!G429),""[^0-9]"","""")))"),"+543512346796")</f>
        <v>+543512346796</v>
      </c>
      <c r="H429" s="7">
        <f>'Respuestas de formulario 1'!S429</f>
        <v>2024</v>
      </c>
      <c r="I429" s="7" t="str">
        <f>IFERROR(__xludf.DUMMYFUNCTION("IF('Respuestas de formulario 1'!I429="""","""",TO_TEXT('Respuestas de formulario 1'!I429))"),"Obra social")</f>
        <v>Obra social</v>
      </c>
      <c r="J429" s="7" t="str">
        <f>IFERROR(__xludf.DUMMYFUNCTION("IF('Respuestas de formulario 1'!J429&lt;&gt;"""",UPPER(TRIM(TO_TEXT('Respuestas de formulario 1'!J429))),IF('Respuestas de formulario 1'!O429&lt;&gt;"""",UPPER(TRIM(TO_TEXT('Respuestas de formulario 1'!O429))),""""))"),"APROSS")</f>
        <v>APROSS</v>
      </c>
      <c r="K429" s="7" t="str">
        <f>IFERROR(__xludf.DUMMYFUNCTION("IF('Respuestas de formulario 1'!K429="""","""",TO_TEXT('Respuestas de formulario 1'!K429))"),"No")</f>
        <v>No</v>
      </c>
      <c r="L429" s="7" t="str">
        <f>IFERROR(__xludf.DUMMYFUNCTION("IF('Respuestas de formulario 1'!L429="""","""",TO_TEXT('Respuestas de formulario 1'!L429))"),"")</f>
        <v/>
      </c>
      <c r="M429" s="7" t="str">
        <f>IFERROR(__xludf.DUMMYFUNCTION("IF('Respuestas de formulario 1'!M429="""","""",TO_TEXT('Respuestas de formulario 1'!M429))"),"")</f>
        <v/>
      </c>
      <c r="N429" s="7">
        <f t="shared" si="1"/>
        <v>2024</v>
      </c>
      <c r="O429" s="7" t="str">
        <f t="shared" si="2"/>
        <v>enero</v>
      </c>
      <c r="P429" s="7" t="s">
        <v>5053</v>
      </c>
    </row>
    <row r="430">
      <c r="A430" s="19">
        <f>'Respuestas de formulario 1'!A430</f>
        <v>45307.85797</v>
      </c>
      <c r="B430" s="7" t="str">
        <f>'Respuestas de formulario 1'!B430</f>
        <v>Navarro</v>
      </c>
      <c r="C430" s="7" t="str">
        <f>'Respuestas de formulario 1'!C430</f>
        <v>Nahuel</v>
      </c>
      <c r="D430" s="7" t="str">
        <f>'Respuestas de formulario 1'!D430</f>
        <v>nahunavarro07@gmail.com</v>
      </c>
      <c r="E430" s="20">
        <f>'Respuestas de formulario 1'!E430</f>
        <v>37749</v>
      </c>
      <c r="F430" s="7">
        <f>'Respuestas de formulario 1'!F430</f>
        <v>44762747</v>
      </c>
      <c r="G430" s="7" t="str">
        <f>IFERROR(__xludf.DUMMYFUNCTION("IF('Respuestas de formulario 1'!G430="""","""",IF(LEFT(REGEXREPLACE(TO_TEXT('Respuestas de formulario 1'!G430),""[^0-9]"",""""),2)=""54"",""+""&amp;REGEXREPLACE(TO_TEXT('Respuestas de formulario 1'!G430),""[^0-9]"",""""),""+54""&amp;REGEXREPLACE(TO_TEXT('Respuest"&amp;"as de formulario 1'!G430),""[^0-9]"","""")))"),"+543513862586")</f>
        <v>+543513862586</v>
      </c>
      <c r="H430" s="7">
        <f>'Respuestas de formulario 1'!S430</f>
        <v>2024</v>
      </c>
      <c r="I430" s="7" t="str">
        <f>IFERROR(__xludf.DUMMYFUNCTION("IF('Respuestas de formulario 1'!I430="""","""",TO_TEXT('Respuestas de formulario 1'!I430))"),"Particular")</f>
        <v>Particular</v>
      </c>
      <c r="J430" s="7" t="str">
        <f>IFERROR(__xludf.DUMMYFUNCTION("IF('Respuestas de formulario 1'!J430&lt;&gt;"""",UPPER(TRIM(TO_TEXT('Respuestas de formulario 1'!J430))),IF('Respuestas de formulario 1'!O430&lt;&gt;"""",UPPER(TRIM(TO_TEXT('Respuestas de formulario 1'!O430))),""""))"),"")</f>
        <v/>
      </c>
      <c r="K430" s="7" t="str">
        <f>IFERROR(__xludf.DUMMYFUNCTION("IF('Respuestas de formulario 1'!K430="""","""",TO_TEXT('Respuestas de formulario 1'!K430))"),"Si")</f>
        <v>Si</v>
      </c>
      <c r="L430" s="7" t="str">
        <f>IFERROR(__xludf.DUMMYFUNCTION("IF('Respuestas de formulario 1'!L430="""","""",TO_TEXT('Respuestas de formulario 1'!L430))"),"Gimnasio")</f>
        <v>Gimnasio</v>
      </c>
      <c r="M430" s="7" t="str">
        <f>IFERROR(__xludf.DUMMYFUNCTION("IF('Respuestas de formulario 1'!M430="""","""",TO_TEXT('Respuestas de formulario 1'!M430))"),"3 a 5 veces por semana")</f>
        <v>3 a 5 veces por semana</v>
      </c>
      <c r="N430" s="7">
        <f t="shared" si="1"/>
        <v>2024</v>
      </c>
      <c r="O430" s="7" t="str">
        <f t="shared" si="2"/>
        <v>enero</v>
      </c>
      <c r="P430" s="7" t="s">
        <v>5055</v>
      </c>
    </row>
    <row r="431">
      <c r="A431" s="19">
        <f>'Respuestas de formulario 1'!A431</f>
        <v>45309.47496</v>
      </c>
      <c r="B431" s="7" t="str">
        <f>'Respuestas de formulario 1'!B431</f>
        <v>Gandolfo</v>
      </c>
      <c r="C431" s="7" t="str">
        <f>'Respuestas de formulario 1'!C431</f>
        <v>Pedro</v>
      </c>
      <c r="D431" s="7" t="str">
        <f>'Respuestas de formulario 1'!D431</f>
        <v>pggandolfo@gmail.com</v>
      </c>
      <c r="E431" s="20">
        <f>'Respuestas de formulario 1'!E431</f>
        <v>31192</v>
      </c>
      <c r="F431" s="7">
        <f>'Respuestas de formulario 1'!F431</f>
        <v>31646865</v>
      </c>
      <c r="G431" s="7" t="str">
        <f>IFERROR(__xludf.DUMMYFUNCTION("IF('Respuestas de formulario 1'!G431="""","""",IF(LEFT(REGEXREPLACE(TO_TEXT('Respuestas de formulario 1'!G431),""[^0-9]"",""""),2)=""54"",""+""&amp;REGEXREPLACE(TO_TEXT('Respuestas de formulario 1'!G431),""[^0-9]"",""""),""+54""&amp;REGEXREPLACE(TO_TEXT('Respuest"&amp;"as de formulario 1'!G431),""[^0-9]"","""")))"),"+543515177638")</f>
        <v>+543515177638</v>
      </c>
      <c r="H431" s="7">
        <f>'Respuestas de formulario 1'!S431</f>
        <v>2024</v>
      </c>
      <c r="I431" s="7" t="str">
        <f>IFERROR(__xludf.DUMMYFUNCTION("IF('Respuestas de formulario 1'!I431="""","""",TO_TEXT('Respuestas de formulario 1'!I431))"),"Particular")</f>
        <v>Particular</v>
      </c>
      <c r="J431" s="7" t="str">
        <f>IFERROR(__xludf.DUMMYFUNCTION("IF('Respuestas de formulario 1'!J431&lt;&gt;"""",UPPER(TRIM(TO_TEXT('Respuestas de formulario 1'!J431))),IF('Respuestas de formulario 1'!O431&lt;&gt;"""",UPPER(TRIM(TO_TEXT('Respuestas de formulario 1'!O431))),""""))"),"")</f>
        <v/>
      </c>
      <c r="K431" s="7" t="str">
        <f>IFERROR(__xludf.DUMMYFUNCTION("IF('Respuestas de formulario 1'!K431="""","""",TO_TEXT('Respuestas de formulario 1'!K431))"),"No")</f>
        <v>No</v>
      </c>
      <c r="L431" s="7" t="str">
        <f>IFERROR(__xludf.DUMMYFUNCTION("IF('Respuestas de formulario 1'!L431="""","""",TO_TEXT('Respuestas de formulario 1'!L431))"),"")</f>
        <v/>
      </c>
      <c r="M431" s="7" t="str">
        <f>IFERROR(__xludf.DUMMYFUNCTION("IF('Respuestas de formulario 1'!M431="""","""",TO_TEXT('Respuestas de formulario 1'!M431))"),"")</f>
        <v/>
      </c>
      <c r="N431" s="7">
        <f t="shared" si="1"/>
        <v>2024</v>
      </c>
      <c r="O431" s="7" t="str">
        <f t="shared" si="2"/>
        <v>enero</v>
      </c>
      <c r="P431" s="7" t="s">
        <v>5057</v>
      </c>
    </row>
    <row r="432">
      <c r="A432" s="19">
        <f>'Respuestas de formulario 1'!A432</f>
        <v>45309.50945</v>
      </c>
      <c r="B432" s="7" t="str">
        <f>'Respuestas de formulario 1'!B432</f>
        <v>CONTE</v>
      </c>
      <c r="C432" s="7" t="str">
        <f>'Respuestas de formulario 1'!C432</f>
        <v>Andrea Fabiana</v>
      </c>
      <c r="D432" s="7" t="str">
        <f>'Respuestas de formulario 1'!D432</f>
        <v>fabianaconte321@gmail.com</v>
      </c>
      <c r="E432" s="20">
        <f>'Respuestas de formulario 1'!E432</f>
        <v>25397</v>
      </c>
      <c r="F432" s="7">
        <f>'Respuestas de formulario 1'!F432</f>
        <v>20785005</v>
      </c>
      <c r="G432" s="7" t="str">
        <f>IFERROR(__xludf.DUMMYFUNCTION("IF('Respuestas de formulario 1'!G432="""","""",IF(LEFT(REGEXREPLACE(TO_TEXT('Respuestas de formulario 1'!G432),""[^0-9]"",""""),2)=""54"",""+""&amp;REGEXREPLACE(TO_TEXT('Respuestas de formulario 1'!G432),""[^0-9]"",""""),""+54""&amp;REGEXREPLACE(TO_TEXT('Respuest"&amp;"as de formulario 1'!G432),""[^0-9]"","""")))"),"+543518635433")</f>
        <v>+543518635433</v>
      </c>
      <c r="H432" s="7">
        <f>'Respuestas de formulario 1'!S432</f>
        <v>2024</v>
      </c>
      <c r="I432" s="7" t="str">
        <f>IFERROR(__xludf.DUMMYFUNCTION("IF('Respuestas de formulario 1'!I432="""","""",TO_TEXT('Respuestas de formulario 1'!I432))"),"Obra social")</f>
        <v>Obra social</v>
      </c>
      <c r="J432" s="7" t="str">
        <f>IFERROR(__xludf.DUMMYFUNCTION("IF('Respuestas de formulario 1'!J432&lt;&gt;"""",UPPER(TRIM(TO_TEXT('Respuestas de formulario 1'!J432))),IF('Respuestas de formulario 1'!O432&lt;&gt;"""",UPPER(TRIM(TO_TEXT('Respuestas de formulario 1'!O432))),""""))"),"APROSS")</f>
        <v>APROSS</v>
      </c>
      <c r="K432" s="7" t="str">
        <f>IFERROR(__xludf.DUMMYFUNCTION("IF('Respuestas de formulario 1'!K432="""","""",TO_TEXT('Respuestas de formulario 1'!K432))"),"No")</f>
        <v>No</v>
      </c>
      <c r="L432" s="7" t="str">
        <f>IFERROR(__xludf.DUMMYFUNCTION("IF('Respuestas de formulario 1'!L432="""","""",TO_TEXT('Respuestas de formulario 1'!L432))"),"")</f>
        <v/>
      </c>
      <c r="M432" s="7" t="str">
        <f>IFERROR(__xludf.DUMMYFUNCTION("IF('Respuestas de formulario 1'!M432="""","""",TO_TEXT('Respuestas de formulario 1'!M432))"),"")</f>
        <v/>
      </c>
      <c r="N432" s="7">
        <f t="shared" si="1"/>
        <v>2024</v>
      </c>
      <c r="O432" s="7" t="str">
        <f t="shared" si="2"/>
        <v>enero</v>
      </c>
      <c r="P432" s="7" t="s">
        <v>5059</v>
      </c>
    </row>
    <row r="433">
      <c r="A433" s="19">
        <f>'Respuestas de formulario 1'!A433</f>
        <v>45309.67937</v>
      </c>
      <c r="B433" s="7" t="str">
        <f>'Respuestas de formulario 1'!B433</f>
        <v>Massaccesi</v>
      </c>
      <c r="C433" s="7" t="str">
        <f>'Respuestas de formulario 1'!C433</f>
        <v>Sergio Mauricio</v>
      </c>
      <c r="D433" s="7" t="str">
        <f>'Respuestas de formulario 1'!D433</f>
        <v>smassaccesi@gmail.com</v>
      </c>
      <c r="E433" s="20">
        <f>'Respuestas de formulario 1'!E433</f>
        <v>26446</v>
      </c>
      <c r="F433" s="7">
        <f>'Respuestas de formulario 1'!F433</f>
        <v>22773610</v>
      </c>
      <c r="G433" s="7" t="str">
        <f>IFERROR(__xludf.DUMMYFUNCTION("IF('Respuestas de formulario 1'!G433="""","""",IF(LEFT(REGEXREPLACE(TO_TEXT('Respuestas de formulario 1'!G433),""[^0-9]"",""""),2)=""54"",""+""&amp;REGEXREPLACE(TO_TEXT('Respuestas de formulario 1'!G433),""[^0-9]"",""""),""+54""&amp;REGEXREPLACE(TO_TEXT('Respuest"&amp;"as de formulario 1'!G433),""[^0-9]"","""")))"),"+543512590916")</f>
        <v>+543512590916</v>
      </c>
      <c r="H433" s="7">
        <f>'Respuestas de formulario 1'!S433</f>
        <v>2024</v>
      </c>
      <c r="I433" s="7" t="str">
        <f>IFERROR(__xludf.DUMMYFUNCTION("IF('Respuestas de formulario 1'!I433="""","""",TO_TEXT('Respuestas de formulario 1'!I433))"),"Particular")</f>
        <v>Particular</v>
      </c>
      <c r="J433" s="7" t="str">
        <f>IFERROR(__xludf.DUMMYFUNCTION("IF('Respuestas de formulario 1'!J433&lt;&gt;"""",UPPER(TRIM(TO_TEXT('Respuestas de formulario 1'!J433))),IF('Respuestas de formulario 1'!O433&lt;&gt;"""",UPPER(TRIM(TO_TEXT('Respuestas de formulario 1'!O433))),""""))"),"")</f>
        <v/>
      </c>
      <c r="K433" s="7" t="str">
        <f>IFERROR(__xludf.DUMMYFUNCTION("IF('Respuestas de formulario 1'!K433="""","""",TO_TEXT('Respuestas de formulario 1'!K433))"),"Si")</f>
        <v>Si</v>
      </c>
      <c r="L433" s="7" t="str">
        <f>IFERROR(__xludf.DUMMYFUNCTION("IF('Respuestas de formulario 1'!L433="""","""",TO_TEXT('Respuestas de formulario 1'!L433))"),"Gimnasio")</f>
        <v>Gimnasio</v>
      </c>
      <c r="M433" s="7" t="str">
        <f>IFERROR(__xludf.DUMMYFUNCTION("IF('Respuestas de formulario 1'!M433="""","""",TO_TEXT('Respuestas de formulario 1'!M433))"),"3 a 5 veces por semana")</f>
        <v>3 a 5 veces por semana</v>
      </c>
      <c r="N433" s="7">
        <f t="shared" si="1"/>
        <v>2024</v>
      </c>
      <c r="O433" s="7" t="str">
        <f t="shared" si="2"/>
        <v>enero</v>
      </c>
      <c r="P433" s="7" t="s">
        <v>5061</v>
      </c>
    </row>
    <row r="434">
      <c r="A434" s="19">
        <f>'Respuestas de formulario 1'!A434</f>
        <v>45309.6908</v>
      </c>
      <c r="B434" s="7" t="str">
        <f>'Respuestas de formulario 1'!B434</f>
        <v>Heredia Edelstein</v>
      </c>
      <c r="C434" s="7" t="str">
        <f>'Respuestas de formulario 1'!C434</f>
        <v>Gonzalo</v>
      </c>
      <c r="D434" s="7" t="str">
        <f>'Respuestas de formulario 1'!D434</f>
        <v>gonzaloherediae@gmail.com</v>
      </c>
      <c r="E434" s="20">
        <f>'Respuestas de formulario 1'!E434</f>
        <v>34320</v>
      </c>
      <c r="F434" s="7">
        <f>'Respuestas de formulario 1'!F434</f>
        <v>38001676</v>
      </c>
      <c r="G434" s="7" t="str">
        <f>IFERROR(__xludf.DUMMYFUNCTION("IF('Respuestas de formulario 1'!G434="""","""",IF(LEFT(REGEXREPLACE(TO_TEXT('Respuestas de formulario 1'!G434),""[^0-9]"",""""),2)=""54"",""+""&amp;REGEXREPLACE(TO_TEXT('Respuestas de formulario 1'!G434),""[^0-9]"",""""),""+54""&amp;REGEXREPLACE(TO_TEXT('Respuest"&amp;"as de formulario 1'!G434),""[^0-9]"","""")))"),"+543517691147")</f>
        <v>+543517691147</v>
      </c>
      <c r="H434" s="7">
        <f>'Respuestas de formulario 1'!S434</f>
        <v>2024</v>
      </c>
      <c r="I434" s="7" t="str">
        <f>IFERROR(__xludf.DUMMYFUNCTION("IF('Respuestas de formulario 1'!I434="""","""",TO_TEXT('Respuestas de formulario 1'!I434))"),"Obra social")</f>
        <v>Obra social</v>
      </c>
      <c r="J434" s="7" t="str">
        <f>IFERROR(__xludf.DUMMYFUNCTION("IF('Respuestas de formulario 1'!J434&lt;&gt;"""",UPPER(TRIM(TO_TEXT('Respuestas de formulario 1'!J434))),IF('Respuestas de formulario 1'!O434&lt;&gt;"""",UPPER(TRIM(TO_TEXT('Respuestas de formulario 1'!O434))),""""))"),"SANCOR")</f>
        <v>SANCOR</v>
      </c>
      <c r="K434" s="7" t="str">
        <f>IFERROR(__xludf.DUMMYFUNCTION("IF('Respuestas de formulario 1'!K434="""","""",TO_TEXT('Respuestas de formulario 1'!K434))"),"Si")</f>
        <v>Si</v>
      </c>
      <c r="L434" s="7" t="str">
        <f>IFERROR(__xludf.DUMMYFUNCTION("IF('Respuestas de formulario 1'!L434="""","""",TO_TEXT('Respuestas de formulario 1'!L434))"),"Escalada y running")</f>
        <v>Escalada y running</v>
      </c>
      <c r="M434" s="7" t="str">
        <f>IFERROR(__xludf.DUMMYFUNCTION("IF('Respuestas de formulario 1'!M434="""","""",TO_TEXT('Respuestas de formulario 1'!M434))"),"3 a 5 veces por semana")</f>
        <v>3 a 5 veces por semana</v>
      </c>
      <c r="N434" s="7">
        <f t="shared" si="1"/>
        <v>2024</v>
      </c>
      <c r="O434" s="7" t="str">
        <f t="shared" si="2"/>
        <v>enero</v>
      </c>
      <c r="P434" s="7" t="s">
        <v>5063</v>
      </c>
    </row>
    <row r="435">
      <c r="A435" s="19">
        <f>'Respuestas de formulario 1'!A435</f>
        <v>45310.44607</v>
      </c>
      <c r="B435" s="7" t="str">
        <f>'Respuestas de formulario 1'!B435</f>
        <v>Gomez</v>
      </c>
      <c r="C435" s="7" t="str">
        <f>'Respuestas de formulario 1'!C435</f>
        <v>Roberto</v>
      </c>
      <c r="D435" s="7" t="str">
        <f>'Respuestas de formulario 1'!D435</f>
        <v>rrgomez05@yahoo.com.ar</v>
      </c>
      <c r="E435" s="20">
        <f>'Respuestas de formulario 1'!E435</f>
        <v>22224</v>
      </c>
      <c r="F435" s="7">
        <f>'Respuestas de formulario 1'!F435</f>
        <v>14291530</v>
      </c>
      <c r="G435" s="7" t="str">
        <f>IFERROR(__xludf.DUMMYFUNCTION("IF('Respuestas de formulario 1'!G435="""","""",IF(LEFT(REGEXREPLACE(TO_TEXT('Respuestas de formulario 1'!G435),""[^0-9]"",""""),2)=""54"",""+""&amp;REGEXREPLACE(TO_TEXT('Respuestas de formulario 1'!G435),""[^0-9]"",""""),""+54""&amp;REGEXREPLACE(TO_TEXT('Respuest"&amp;"as de formulario 1'!G435),""[^0-9]"","""")))"),"+543517544794")</f>
        <v>+543517544794</v>
      </c>
      <c r="H435" s="7">
        <f>'Respuestas de formulario 1'!S435</f>
        <v>2024</v>
      </c>
      <c r="I435" s="7" t="str">
        <f>IFERROR(__xludf.DUMMYFUNCTION("IF('Respuestas de formulario 1'!I435="""","""",TO_TEXT('Respuestas de formulario 1'!I435))"),"Obra social")</f>
        <v>Obra social</v>
      </c>
      <c r="J435" s="7" t="str">
        <f>IFERROR(__xludf.DUMMYFUNCTION("IF('Respuestas de formulario 1'!J435&lt;&gt;"""",UPPER(TRIM(TO_TEXT('Respuestas de formulario 1'!J435))),IF('Respuestas de formulario 1'!O435&lt;&gt;"""",UPPER(TRIM(TO_TEXT('Respuestas de formulario 1'!O435))),""""))"),"APROSS")</f>
        <v>APROSS</v>
      </c>
      <c r="K435" s="7" t="str">
        <f>IFERROR(__xludf.DUMMYFUNCTION("IF('Respuestas de formulario 1'!K435="""","""",TO_TEXT('Respuestas de formulario 1'!K435))"),"No")</f>
        <v>No</v>
      </c>
      <c r="L435" s="7" t="str">
        <f>IFERROR(__xludf.DUMMYFUNCTION("IF('Respuestas de formulario 1'!L435="""","""",TO_TEXT('Respuestas de formulario 1'!L435))"),"")</f>
        <v/>
      </c>
      <c r="M435" s="7" t="str">
        <f>IFERROR(__xludf.DUMMYFUNCTION("IF('Respuestas de formulario 1'!M435="""","""",TO_TEXT('Respuestas de formulario 1'!M435))"),"")</f>
        <v/>
      </c>
      <c r="N435" s="7">
        <f t="shared" si="1"/>
        <v>2024</v>
      </c>
      <c r="O435" s="7" t="str">
        <f t="shared" si="2"/>
        <v>enero</v>
      </c>
      <c r="P435" s="7" t="s">
        <v>5065</v>
      </c>
    </row>
    <row r="436">
      <c r="A436" s="19">
        <f>'Respuestas de formulario 1'!A436</f>
        <v>45313.3799</v>
      </c>
      <c r="B436" s="7" t="str">
        <f>'Respuestas de formulario 1'!B436</f>
        <v>Aguirre</v>
      </c>
      <c r="C436" s="7" t="str">
        <f>'Respuestas de formulario 1'!C436</f>
        <v>Luis Feliciano</v>
      </c>
      <c r="D436" s="7" t="str">
        <f>'Respuestas de formulario 1'!D436</f>
        <v>luisfelicianoaguirre@gmail.com</v>
      </c>
      <c r="E436" s="20">
        <f>'Respuestas de formulario 1'!E436</f>
        <v>31659</v>
      </c>
      <c r="F436" s="7">
        <f>'Respuestas de formulario 1'!F436</f>
        <v>32492685</v>
      </c>
      <c r="G436" s="7" t="str">
        <f>IFERROR(__xludf.DUMMYFUNCTION("IF('Respuestas de formulario 1'!G436="""","""",IF(LEFT(REGEXREPLACE(TO_TEXT('Respuestas de formulario 1'!G436),""[^0-9]"",""""),2)=""54"",""+""&amp;REGEXREPLACE(TO_TEXT('Respuestas de formulario 1'!G436),""[^0-9]"",""""),""+54""&amp;REGEXREPLACE(TO_TEXT('Respuest"&amp;"as de formulario 1'!G436),""[^0-9]"","""")))"),"+543515953559")</f>
        <v>+543515953559</v>
      </c>
      <c r="H436" s="7">
        <f>'Respuestas de formulario 1'!S436</f>
        <v>2024</v>
      </c>
      <c r="I436" s="7" t="str">
        <f>IFERROR(__xludf.DUMMYFUNCTION("IF('Respuestas de formulario 1'!I436="""","""",TO_TEXT('Respuestas de formulario 1'!I436))"),"Obra social")</f>
        <v>Obra social</v>
      </c>
      <c r="J436" s="7" t="str">
        <f>IFERROR(__xludf.DUMMYFUNCTION("IF('Respuestas de formulario 1'!J436&lt;&gt;"""",UPPER(TRIM(TO_TEXT('Respuestas de formulario 1'!J436))),IF('Respuestas de formulario 1'!O436&lt;&gt;"""",UPPER(TRIM(TO_TEXT('Respuestas de formulario 1'!O436))),""""))"),"PREVENCIÓN")</f>
        <v>PREVENCIÓN</v>
      </c>
      <c r="K436" s="7" t="str">
        <f>IFERROR(__xludf.DUMMYFUNCTION("IF('Respuestas de formulario 1'!K436="""","""",TO_TEXT('Respuestas de formulario 1'!K436))"),"Si")</f>
        <v>Si</v>
      </c>
      <c r="L436" s="7" t="str">
        <f>IFERROR(__xludf.DUMMYFUNCTION("IF('Respuestas de formulario 1'!L436="""","""",TO_TEXT('Respuestas de formulario 1'!L436))"),"Gimnasio")</f>
        <v>Gimnasio</v>
      </c>
      <c r="M436" s="7" t="str">
        <f>IFERROR(__xludf.DUMMYFUNCTION("IF('Respuestas de formulario 1'!M436="""","""",TO_TEXT('Respuestas de formulario 1'!M436))"),"3 a 5 veces por semana")</f>
        <v>3 a 5 veces por semana</v>
      </c>
      <c r="N436" s="7">
        <f t="shared" si="1"/>
        <v>2024</v>
      </c>
      <c r="O436" s="7" t="str">
        <f t="shared" si="2"/>
        <v>enero</v>
      </c>
      <c r="P436" s="7" t="s">
        <v>5067</v>
      </c>
    </row>
    <row r="437">
      <c r="A437" s="19">
        <f>'Respuestas de formulario 1'!A437</f>
        <v>45313.61769</v>
      </c>
      <c r="B437" s="7" t="str">
        <f>'Respuestas de formulario 1'!B437</f>
        <v>Hurtado </v>
      </c>
      <c r="C437" s="7" t="str">
        <f>'Respuestas de formulario 1'!C437</f>
        <v>Valentina </v>
      </c>
      <c r="D437" s="7" t="str">
        <f>'Respuestas de formulario 1'!D437</f>
        <v>hurtadomariavalentina@gmail.com</v>
      </c>
      <c r="E437" s="20">
        <f>'Respuestas de formulario 1'!E437</f>
        <v>34487</v>
      </c>
      <c r="F437" s="7">
        <f>'Respuestas de formulario 1'!F437</f>
        <v>96342866</v>
      </c>
      <c r="G437" s="7" t="str">
        <f>IFERROR(__xludf.DUMMYFUNCTION("IF('Respuestas de formulario 1'!G437="""","""",IF(LEFT(REGEXREPLACE(TO_TEXT('Respuestas de formulario 1'!G437),""[^0-9]"",""""),2)=""54"",""+""&amp;REGEXREPLACE(TO_TEXT('Respuestas de formulario 1'!G437),""[^0-9]"",""""),""+54""&amp;REGEXREPLACE(TO_TEXT('Respuest"&amp;"as de formulario 1'!G437),""[^0-9]"","""")))"),"+543518643090")</f>
        <v>+543518643090</v>
      </c>
      <c r="H437" s="7">
        <f>'Respuestas de formulario 1'!S437</f>
        <v>2024</v>
      </c>
      <c r="I437" s="7" t="str">
        <f>IFERROR(__xludf.DUMMYFUNCTION("IF('Respuestas de formulario 1'!I437="""","""",TO_TEXT('Respuestas de formulario 1'!I437))"),"Particular")</f>
        <v>Particular</v>
      </c>
      <c r="J437" s="7" t="str">
        <f>IFERROR(__xludf.DUMMYFUNCTION("IF('Respuestas de formulario 1'!J437&lt;&gt;"""",UPPER(TRIM(TO_TEXT('Respuestas de formulario 1'!J437))),IF('Respuestas de formulario 1'!O437&lt;&gt;"""",UPPER(TRIM(TO_TEXT('Respuestas de formulario 1'!O437))),""""))"),"")</f>
        <v/>
      </c>
      <c r="K437" s="7" t="str">
        <f>IFERROR(__xludf.DUMMYFUNCTION("IF('Respuestas de formulario 1'!K437="""","""",TO_TEXT('Respuestas de formulario 1'!K437))"),"No")</f>
        <v>No</v>
      </c>
      <c r="L437" s="7" t="str">
        <f>IFERROR(__xludf.DUMMYFUNCTION("IF('Respuestas de formulario 1'!L437="""","""",TO_TEXT('Respuestas de formulario 1'!L437))"),"")</f>
        <v/>
      </c>
      <c r="M437" s="7" t="str">
        <f>IFERROR(__xludf.DUMMYFUNCTION("IF('Respuestas de formulario 1'!M437="""","""",TO_TEXT('Respuestas de formulario 1'!M437))"),"")</f>
        <v/>
      </c>
      <c r="N437" s="7">
        <f t="shared" si="1"/>
        <v>2024</v>
      </c>
      <c r="O437" s="7" t="str">
        <f t="shared" si="2"/>
        <v>enero</v>
      </c>
      <c r="P437" s="7" t="s">
        <v>5069</v>
      </c>
    </row>
    <row r="438">
      <c r="A438" s="19">
        <f>'Respuestas de formulario 1'!A438</f>
        <v>45313.65241</v>
      </c>
      <c r="B438" s="7" t="str">
        <f>'Respuestas de formulario 1'!B438</f>
        <v>Avendaño</v>
      </c>
      <c r="C438" s="7" t="str">
        <f>'Respuestas de formulario 1'!C438</f>
        <v>Silvina</v>
      </c>
      <c r="D438" s="7" t="str">
        <f>'Respuestas de formulario 1'!D438</f>
        <v>silvanaaven@gmail.com</v>
      </c>
      <c r="E438" s="20">
        <f>'Respuestas de formulario 1'!E438</f>
        <v>31063</v>
      </c>
      <c r="F438" s="7">
        <f>'Respuestas de formulario 1'!F438</f>
        <v>31355336</v>
      </c>
      <c r="G438" s="7" t="str">
        <f>IFERROR(__xludf.DUMMYFUNCTION("IF('Respuestas de formulario 1'!G438="""","""",IF(LEFT(REGEXREPLACE(TO_TEXT('Respuestas de formulario 1'!G438),""[^0-9]"",""""),2)=""54"",""+""&amp;REGEXREPLACE(TO_TEXT('Respuestas de formulario 1'!G438),""[^0-9]"",""""),""+54""&amp;REGEXREPLACE(TO_TEXT('Respuest"&amp;"as de formulario 1'!G438),""[^0-9]"","""")))"),"+543512338865")</f>
        <v>+543512338865</v>
      </c>
      <c r="H438" s="7">
        <f>'Respuestas de formulario 1'!S438</f>
        <v>2024</v>
      </c>
      <c r="I438" s="7" t="str">
        <f>IFERROR(__xludf.DUMMYFUNCTION("IF('Respuestas de formulario 1'!I438="""","""",TO_TEXT('Respuestas de formulario 1'!I438))"),"Obra social")</f>
        <v>Obra social</v>
      </c>
      <c r="J438" s="7" t="str">
        <f>IFERROR(__xludf.DUMMYFUNCTION("IF('Respuestas de formulario 1'!J438&lt;&gt;"""",UPPER(TRIM(TO_TEXT('Respuestas de formulario 1'!J438))),IF('Respuestas de formulario 1'!O438&lt;&gt;"""",UPPER(TRIM(TO_TEXT('Respuestas de formulario 1'!O438))),""""))"),"PREVENCIÓN")</f>
        <v>PREVENCIÓN</v>
      </c>
      <c r="K438" s="7" t="str">
        <f>IFERROR(__xludf.DUMMYFUNCTION("IF('Respuestas de formulario 1'!K438="""","""",TO_TEXT('Respuestas de formulario 1'!K438))"),"Si")</f>
        <v>Si</v>
      </c>
      <c r="L438" s="7" t="str">
        <f>IFERROR(__xludf.DUMMYFUNCTION("IF('Respuestas de formulario 1'!L438="""","""",TO_TEXT('Respuestas de formulario 1'!L438))"),"Gimnasio")</f>
        <v>Gimnasio</v>
      </c>
      <c r="M438" s="7" t="str">
        <f>IFERROR(__xludf.DUMMYFUNCTION("IF('Respuestas de formulario 1'!M438="""","""",TO_TEXT('Respuestas de formulario 1'!M438))"),"3 a 5 veces por semana")</f>
        <v>3 a 5 veces por semana</v>
      </c>
      <c r="N438" s="7">
        <f t="shared" si="1"/>
        <v>2024</v>
      </c>
      <c r="O438" s="7" t="str">
        <f t="shared" si="2"/>
        <v>enero</v>
      </c>
      <c r="P438" s="7" t="s">
        <v>5070</v>
      </c>
    </row>
    <row r="439">
      <c r="A439" s="19">
        <f>'Respuestas de formulario 1'!A439</f>
        <v>45313.65466</v>
      </c>
      <c r="B439" s="7" t="str">
        <f>'Respuestas de formulario 1'!B439</f>
        <v>ROLDÁN </v>
      </c>
      <c r="C439" s="7" t="str">
        <f>'Respuestas de formulario 1'!C439</f>
        <v>Jose</v>
      </c>
      <c r="D439" s="7" t="str">
        <f>'Respuestas de formulario 1'!D439</f>
        <v>Roljose22@hotmail.com</v>
      </c>
      <c r="E439" s="20">
        <f>'Respuestas de formulario 1'!E439</f>
        <v>31177</v>
      </c>
      <c r="F439" s="7">
        <f>'Respuestas de formulario 1'!F439</f>
        <v>31277996</v>
      </c>
      <c r="G439" s="7" t="str">
        <f>IFERROR(__xludf.DUMMYFUNCTION("IF('Respuestas de formulario 1'!G439="""","""",IF(LEFT(REGEXREPLACE(TO_TEXT('Respuestas de formulario 1'!G439),""[^0-9]"",""""),2)=""54"",""+""&amp;REGEXREPLACE(TO_TEXT('Respuestas de formulario 1'!G439),""[^0-9]"",""""),""+54""&amp;REGEXREPLACE(TO_TEXT('Respuest"&amp;"as de formulario 1'!G439),""[^0-9]"","""")))"),"+543517633277")</f>
        <v>+543517633277</v>
      </c>
      <c r="H439" s="7">
        <f>'Respuestas de formulario 1'!S439</f>
        <v>2024</v>
      </c>
      <c r="I439" s="7" t="str">
        <f>IFERROR(__xludf.DUMMYFUNCTION("IF('Respuestas de formulario 1'!I439="""","""",TO_TEXT('Respuestas de formulario 1'!I439))"),"Obra social")</f>
        <v>Obra social</v>
      </c>
      <c r="J439" s="7" t="str">
        <f>IFERROR(__xludf.DUMMYFUNCTION("IF('Respuestas de formulario 1'!J439&lt;&gt;"""",UPPER(TRIM(TO_TEXT('Respuestas de formulario 1'!J439))),IF('Respuestas de formulario 1'!O439&lt;&gt;"""",UPPER(TRIM(TO_TEXT('Respuestas de formulario 1'!O439))),""""))"),"FEDERADA SALUD")</f>
        <v>FEDERADA SALUD</v>
      </c>
      <c r="K439" s="7" t="str">
        <f>IFERROR(__xludf.DUMMYFUNCTION("IF('Respuestas de formulario 1'!K439="""","""",TO_TEXT('Respuestas de formulario 1'!K439))"),"No")</f>
        <v>No</v>
      </c>
      <c r="L439" s="7" t="str">
        <f>IFERROR(__xludf.DUMMYFUNCTION("IF('Respuestas de formulario 1'!L439="""","""",TO_TEXT('Respuestas de formulario 1'!L439))"),"")</f>
        <v/>
      </c>
      <c r="M439" s="7" t="str">
        <f>IFERROR(__xludf.DUMMYFUNCTION("IF('Respuestas de formulario 1'!M439="""","""",TO_TEXT('Respuestas de formulario 1'!M439))"),"")</f>
        <v/>
      </c>
      <c r="N439" s="7">
        <f t="shared" si="1"/>
        <v>2024</v>
      </c>
      <c r="O439" s="7" t="str">
        <f t="shared" si="2"/>
        <v>enero</v>
      </c>
      <c r="P439" s="7" t="s">
        <v>5072</v>
      </c>
    </row>
    <row r="440">
      <c r="A440" s="19">
        <f>'Respuestas de formulario 1'!A440</f>
        <v>45313.76664</v>
      </c>
      <c r="B440" s="7" t="str">
        <f>'Respuestas de formulario 1'!B440</f>
        <v>Arguello</v>
      </c>
      <c r="C440" s="7" t="str">
        <f>'Respuestas de formulario 1'!C440</f>
        <v>Laura</v>
      </c>
      <c r="D440" s="7" t="str">
        <f>'Respuestas de formulario 1'!D440</f>
        <v>laux.arguello@gmail.com</v>
      </c>
      <c r="E440" s="20">
        <f>'Respuestas de formulario 1'!E440</f>
        <v>30826</v>
      </c>
      <c r="F440" s="7">
        <f>'Respuestas de formulario 1'!F440</f>
        <v>30969271</v>
      </c>
      <c r="G440" s="7" t="str">
        <f>IFERROR(__xludf.DUMMYFUNCTION("IF('Respuestas de formulario 1'!G440="""","""",IF(LEFT(REGEXREPLACE(TO_TEXT('Respuestas de formulario 1'!G440),""[^0-9]"",""""),2)=""54"",""+""&amp;REGEXREPLACE(TO_TEXT('Respuestas de formulario 1'!G440),""[^0-9]"",""""),""+54""&amp;REGEXREPLACE(TO_TEXT('Respuest"&amp;"as de formulario 1'!G440),""[^0-9]"","""")))"),"+543455202012")</f>
        <v>+543455202012</v>
      </c>
      <c r="H440" s="7">
        <f>'Respuestas de formulario 1'!S440</f>
        <v>2024</v>
      </c>
      <c r="I440" s="7" t="str">
        <f>IFERROR(__xludf.DUMMYFUNCTION("IF('Respuestas de formulario 1'!I440="""","""",TO_TEXT('Respuestas de formulario 1'!I440))"),"Particular")</f>
        <v>Particular</v>
      </c>
      <c r="J440" s="7" t="str">
        <f>IFERROR(__xludf.DUMMYFUNCTION("IF('Respuestas de formulario 1'!J440&lt;&gt;"""",UPPER(TRIM(TO_TEXT('Respuestas de formulario 1'!J440))),IF('Respuestas de formulario 1'!O440&lt;&gt;"""",UPPER(TRIM(TO_TEXT('Respuestas de formulario 1'!O440))),""""))"),"")</f>
        <v/>
      </c>
      <c r="K440" s="7" t="str">
        <f>IFERROR(__xludf.DUMMYFUNCTION("IF('Respuestas de formulario 1'!K440="""","""",TO_TEXT('Respuestas de formulario 1'!K440))"),"No")</f>
        <v>No</v>
      </c>
      <c r="L440" s="7" t="str">
        <f>IFERROR(__xludf.DUMMYFUNCTION("IF('Respuestas de formulario 1'!L440="""","""",TO_TEXT('Respuestas de formulario 1'!L440))"),"")</f>
        <v/>
      </c>
      <c r="M440" s="7" t="str">
        <f>IFERROR(__xludf.DUMMYFUNCTION("IF('Respuestas de formulario 1'!M440="""","""",TO_TEXT('Respuestas de formulario 1'!M440))"),"")</f>
        <v/>
      </c>
      <c r="N440" s="7">
        <f t="shared" si="1"/>
        <v>2024</v>
      </c>
      <c r="O440" s="7" t="str">
        <f t="shared" si="2"/>
        <v>enero</v>
      </c>
      <c r="P440" s="7" t="s">
        <v>5074</v>
      </c>
    </row>
    <row r="441">
      <c r="A441" s="19">
        <f>'Respuestas de formulario 1'!A441</f>
        <v>45314.73409</v>
      </c>
      <c r="B441" s="7" t="str">
        <f>'Respuestas de formulario 1'!B441</f>
        <v>Cecchi</v>
      </c>
      <c r="C441" s="7" t="str">
        <f>'Respuestas de formulario 1'!C441</f>
        <v>Nicolas</v>
      </c>
      <c r="D441" s="7" t="str">
        <f>'Respuestas de formulario 1'!D441</f>
        <v>nico_cecchi@hotmail.com</v>
      </c>
      <c r="E441" s="20">
        <f>'Respuestas de formulario 1'!E441</f>
        <v>32772</v>
      </c>
      <c r="F441" s="7">
        <f>'Respuestas de formulario 1'!F441</f>
        <v>34838242</v>
      </c>
      <c r="G441" s="7" t="str">
        <f>IFERROR(__xludf.DUMMYFUNCTION("IF('Respuestas de formulario 1'!G441="""","""",IF(LEFT(REGEXREPLACE(TO_TEXT('Respuestas de formulario 1'!G441),""[^0-9]"",""""),2)=""54"",""+""&amp;REGEXREPLACE(TO_TEXT('Respuestas de formulario 1'!G441),""[^0-9]"",""""),""+54""&amp;REGEXREPLACE(TO_TEXT('Respuest"&amp;"as de formulario 1'!G441),""[^0-9]"","""")))"),"+543512317248")</f>
        <v>+543512317248</v>
      </c>
      <c r="H441" s="7">
        <f>'Respuestas de formulario 1'!S441</f>
        <v>2024</v>
      </c>
      <c r="I441" s="7" t="str">
        <f>IFERROR(__xludf.DUMMYFUNCTION("IF('Respuestas de formulario 1'!I441="""","""",TO_TEXT('Respuestas de formulario 1'!I441))"),"Particular")</f>
        <v>Particular</v>
      </c>
      <c r="J441" s="7" t="str">
        <f>IFERROR(__xludf.DUMMYFUNCTION("IF('Respuestas de formulario 1'!J441&lt;&gt;"""",UPPER(TRIM(TO_TEXT('Respuestas de formulario 1'!J441))),IF('Respuestas de formulario 1'!O441&lt;&gt;"""",UPPER(TRIM(TO_TEXT('Respuestas de formulario 1'!O441))),""""))"),"")</f>
        <v/>
      </c>
      <c r="K441" s="7" t="str">
        <f>IFERROR(__xludf.DUMMYFUNCTION("IF('Respuestas de formulario 1'!K441="""","""",TO_TEXT('Respuestas de formulario 1'!K441))"),"No")</f>
        <v>No</v>
      </c>
      <c r="L441" s="7" t="str">
        <f>IFERROR(__xludf.DUMMYFUNCTION("IF('Respuestas de formulario 1'!L441="""","""",TO_TEXT('Respuestas de formulario 1'!L441))"),"")</f>
        <v/>
      </c>
      <c r="M441" s="7" t="str">
        <f>IFERROR(__xludf.DUMMYFUNCTION("IF('Respuestas de formulario 1'!M441="""","""",TO_TEXT('Respuestas de formulario 1'!M441))"),"")</f>
        <v/>
      </c>
      <c r="N441" s="7">
        <f t="shared" si="1"/>
        <v>2024</v>
      </c>
      <c r="O441" s="7" t="str">
        <f t="shared" si="2"/>
        <v>enero</v>
      </c>
      <c r="P441" s="7" t="s">
        <v>5076</v>
      </c>
    </row>
    <row r="442">
      <c r="A442" s="19">
        <f>'Respuestas de formulario 1'!A442</f>
        <v>45316.51654</v>
      </c>
      <c r="B442" s="7" t="str">
        <f>'Respuestas de formulario 1'!B442</f>
        <v>gibellini</v>
      </c>
      <c r="C442" s="7" t="str">
        <f>'Respuestas de formulario 1'!C442</f>
        <v>ezequiel</v>
      </c>
      <c r="D442" s="7" t="str">
        <f>'Respuestas de formulario 1'!D442</f>
        <v>ezequielgibellini@hotmail.com</v>
      </c>
      <c r="E442" s="20">
        <f>'Respuestas de formulario 1'!E442</f>
        <v>32394</v>
      </c>
      <c r="F442" s="7">
        <f>'Respuestas de formulario 1'!F442</f>
        <v>33894618</v>
      </c>
      <c r="G442" s="7" t="str">
        <f>IFERROR(__xludf.DUMMYFUNCTION("IF('Respuestas de formulario 1'!G442="""","""",IF(LEFT(REGEXREPLACE(TO_TEXT('Respuestas de formulario 1'!G442),""[^0-9]"",""""),2)=""54"",""+""&amp;REGEXREPLACE(TO_TEXT('Respuestas de formulario 1'!G442),""[^0-9]"",""""),""+54""&amp;REGEXREPLACE(TO_TEXT('Respuest"&amp;"as de formulario 1'!G442),""[^0-9]"","""")))"),"+543518029865")</f>
        <v>+543518029865</v>
      </c>
      <c r="H442" s="7">
        <f>'Respuestas de formulario 1'!S442</f>
        <v>2024</v>
      </c>
      <c r="I442" s="7" t="str">
        <f>IFERROR(__xludf.DUMMYFUNCTION("IF('Respuestas de formulario 1'!I442="""","""",TO_TEXT('Respuestas de formulario 1'!I442))"),"Obra social")</f>
        <v>Obra social</v>
      </c>
      <c r="J442" s="7" t="str">
        <f>IFERROR(__xludf.DUMMYFUNCTION("IF('Respuestas de formulario 1'!J442&lt;&gt;"""",UPPER(TRIM(TO_TEXT('Respuestas de formulario 1'!J442))),IF('Respuestas de formulario 1'!O442&lt;&gt;"""",UPPER(TRIM(TO_TEXT('Respuestas de formulario 1'!O442))),""""))"),"APROSS")</f>
        <v>APROSS</v>
      </c>
      <c r="K442" s="7" t="str">
        <f>IFERROR(__xludf.DUMMYFUNCTION("IF('Respuestas de formulario 1'!K442="""","""",TO_TEXT('Respuestas de formulario 1'!K442))"),"Si")</f>
        <v>Si</v>
      </c>
      <c r="L442" s="7" t="str">
        <f>IFERROR(__xludf.DUMMYFUNCTION("IF('Respuestas de formulario 1'!L442="""","""",TO_TEXT('Respuestas de formulario 1'!L442))"),"Gimnasio")</f>
        <v>Gimnasio</v>
      </c>
      <c r="M442" s="7" t="str">
        <f>IFERROR(__xludf.DUMMYFUNCTION("IF('Respuestas de formulario 1'!M442="""","""",TO_TEXT('Respuestas de formulario 1'!M442))"),"3 a 5 veces por semana")</f>
        <v>3 a 5 veces por semana</v>
      </c>
      <c r="N442" s="7">
        <f t="shared" si="1"/>
        <v>2024</v>
      </c>
      <c r="O442" s="7" t="str">
        <f t="shared" si="2"/>
        <v>enero</v>
      </c>
      <c r="P442" s="7" t="s">
        <v>5078</v>
      </c>
    </row>
    <row r="443">
      <c r="A443" s="19">
        <f>'Respuestas de formulario 1'!A443</f>
        <v>45317.78058</v>
      </c>
      <c r="B443" s="7" t="str">
        <f>'Respuestas de formulario 1'!B443</f>
        <v>Contreras</v>
      </c>
      <c r="C443" s="7" t="str">
        <f>'Respuestas de formulario 1'!C443</f>
        <v>Sonia</v>
      </c>
      <c r="D443" s="7" t="str">
        <f>'Respuestas de formulario 1'!D443</f>
        <v>prettywoman0219@gmail.com</v>
      </c>
      <c r="E443" s="20">
        <f>'Respuestas de formulario 1'!E443</f>
        <v>-668200</v>
      </c>
      <c r="F443" s="7">
        <f>'Respuestas de formulario 1'!F443</f>
        <v>21627462</v>
      </c>
      <c r="G443" s="7" t="str">
        <f>IFERROR(__xludf.DUMMYFUNCTION("IF('Respuestas de formulario 1'!G443="""","""",IF(LEFT(REGEXREPLACE(TO_TEXT('Respuestas de formulario 1'!G443),""[^0-9]"",""""),2)=""54"",""+""&amp;REGEXREPLACE(TO_TEXT('Respuestas de formulario 1'!G443),""[^0-9]"",""""),""+54""&amp;REGEXREPLACE(TO_TEXT('Respuest"&amp;"as de formulario 1'!G443),""[^0-9]"","""")))"),"+543513079243")</f>
        <v>+543513079243</v>
      </c>
      <c r="H443" s="7">
        <f>'Respuestas de formulario 1'!S443</f>
        <v>2024</v>
      </c>
      <c r="I443" s="7" t="str">
        <f>IFERROR(__xludf.DUMMYFUNCTION("IF('Respuestas de formulario 1'!I443="""","""",TO_TEXT('Respuestas de formulario 1'!I443))"),"Obra social")</f>
        <v>Obra social</v>
      </c>
      <c r="J443" s="7" t="str">
        <f>IFERROR(__xludf.DUMMYFUNCTION("IF('Respuestas de formulario 1'!J443&lt;&gt;"""",UPPER(TRIM(TO_TEXT('Respuestas de formulario 1'!J443))),IF('Respuestas de formulario 1'!O443&lt;&gt;"""",UPPER(TRIM(TO_TEXT('Respuestas de formulario 1'!O443))),""""))"),"APROSS")</f>
        <v>APROSS</v>
      </c>
      <c r="K443" s="7" t="str">
        <f>IFERROR(__xludf.DUMMYFUNCTION("IF('Respuestas de formulario 1'!K443="""","""",TO_TEXT('Respuestas de formulario 1'!K443))"),"No")</f>
        <v>No</v>
      </c>
      <c r="L443" s="7" t="str">
        <f>IFERROR(__xludf.DUMMYFUNCTION("IF('Respuestas de formulario 1'!L443="""","""",TO_TEXT('Respuestas de formulario 1'!L443))"),"")</f>
        <v/>
      </c>
      <c r="M443" s="7" t="str">
        <f>IFERROR(__xludf.DUMMYFUNCTION("IF('Respuestas de formulario 1'!M443="""","""",TO_TEXT('Respuestas de formulario 1'!M443))"),"")</f>
        <v/>
      </c>
      <c r="N443" s="7">
        <f t="shared" si="1"/>
        <v>2024</v>
      </c>
      <c r="O443" s="7" t="str">
        <f t="shared" si="2"/>
        <v>enero</v>
      </c>
      <c r="P443" s="7" t="s">
        <v>5080</v>
      </c>
    </row>
    <row r="444">
      <c r="A444" s="19">
        <f>'Respuestas de formulario 1'!A444</f>
        <v>45320.51262</v>
      </c>
      <c r="B444" s="7" t="str">
        <f>'Respuestas de formulario 1'!B444</f>
        <v>DAJRUCH</v>
      </c>
      <c r="C444" s="7" t="str">
        <f>'Respuestas de formulario 1'!C444</f>
        <v>Liliana</v>
      </c>
      <c r="D444" s="7" t="str">
        <f>'Respuestas de formulario 1'!D444</f>
        <v>elba.dajruch@unc.edu.ar</v>
      </c>
      <c r="E444" s="20">
        <f>'Respuestas de formulario 1'!E444</f>
        <v>21739</v>
      </c>
      <c r="F444" s="7">
        <f>'Respuestas de formulario 1'!F444</f>
        <v>13537849</v>
      </c>
      <c r="G444" s="7" t="str">
        <f>IFERROR(__xludf.DUMMYFUNCTION("IF('Respuestas de formulario 1'!G444="""","""",IF(LEFT(REGEXREPLACE(TO_TEXT('Respuestas de formulario 1'!G444),""[^0-9]"",""""),2)=""54"",""+""&amp;REGEXREPLACE(TO_TEXT('Respuestas de formulario 1'!G444),""[^0-9]"",""""),""+54""&amp;REGEXREPLACE(TO_TEXT('Respuest"&amp;"as de formulario 1'!G444),""[^0-9]"","""")))"),"+543512949624")</f>
        <v>+543512949624</v>
      </c>
      <c r="H444" s="7">
        <f>'Respuestas de formulario 1'!S444</f>
        <v>2024</v>
      </c>
      <c r="I444" s="7" t="str">
        <f>IFERROR(__xludf.DUMMYFUNCTION("IF('Respuestas de formulario 1'!I444="""","""",TO_TEXT('Respuestas de formulario 1'!I444))"),"Obra social")</f>
        <v>Obra social</v>
      </c>
      <c r="J444" s="7" t="str">
        <f>IFERROR(__xludf.DUMMYFUNCTION("IF('Respuestas de formulario 1'!J444&lt;&gt;"""",UPPER(TRIM(TO_TEXT('Respuestas de formulario 1'!J444))),IF('Respuestas de formulario 1'!O444&lt;&gt;"""",UPPER(TRIM(TO_TEXT('Respuestas de formulario 1'!O444))),""""))"),"APROSS")</f>
        <v>APROSS</v>
      </c>
      <c r="K444" s="7" t="str">
        <f>IFERROR(__xludf.DUMMYFUNCTION("IF('Respuestas de formulario 1'!K444="""","""",TO_TEXT('Respuestas de formulario 1'!K444))"),"No")</f>
        <v>No</v>
      </c>
      <c r="L444" s="7" t="str">
        <f>IFERROR(__xludf.DUMMYFUNCTION("IF('Respuestas de formulario 1'!L444="""","""",TO_TEXT('Respuestas de formulario 1'!L444))"),"")</f>
        <v/>
      </c>
      <c r="M444" s="7" t="str">
        <f>IFERROR(__xludf.DUMMYFUNCTION("IF('Respuestas de formulario 1'!M444="""","""",TO_TEXT('Respuestas de formulario 1'!M444))"),"")</f>
        <v/>
      </c>
      <c r="N444" s="7">
        <f t="shared" si="1"/>
        <v>2024</v>
      </c>
      <c r="O444" s="7" t="str">
        <f t="shared" si="2"/>
        <v>enero</v>
      </c>
      <c r="P444" s="7" t="s">
        <v>5082</v>
      </c>
    </row>
    <row r="445">
      <c r="A445" s="19">
        <f>'Respuestas de formulario 1'!A445</f>
        <v>45323.47071</v>
      </c>
      <c r="B445" s="7" t="str">
        <f>'Respuestas de formulario 1'!B445</f>
        <v>Almada</v>
      </c>
      <c r="C445" s="7" t="str">
        <f>'Respuestas de formulario 1'!C445</f>
        <v>Luciana</v>
      </c>
      <c r="D445" s="7" t="str">
        <f>'Respuestas de formulario 1'!D445</f>
        <v>lucianascount@gmail.com</v>
      </c>
      <c r="E445" s="20">
        <f>'Respuestas de formulario 1'!E445</f>
        <v>31331</v>
      </c>
      <c r="F445" s="7">
        <f>'Respuestas de formulario 1'!F445</f>
        <v>31868822</v>
      </c>
      <c r="G445" s="7" t="str">
        <f>IFERROR(__xludf.DUMMYFUNCTION("IF('Respuestas de formulario 1'!G445="""","""",IF(LEFT(REGEXREPLACE(TO_TEXT('Respuestas de formulario 1'!G445),""[^0-9]"",""""),2)=""54"",""+""&amp;REGEXREPLACE(TO_TEXT('Respuestas de formulario 1'!G445),""[^0-9]"",""""),""+54""&amp;REGEXREPLACE(TO_TEXT('Respuest"&amp;"as de formulario 1'!G445),""[^0-9]"","""")))"),"+543512013979")</f>
        <v>+543512013979</v>
      </c>
      <c r="H445" s="7">
        <f>'Respuestas de formulario 1'!S445</f>
        <v>2024</v>
      </c>
      <c r="I445" s="7" t="str">
        <f>IFERROR(__xludf.DUMMYFUNCTION("IF('Respuestas de formulario 1'!I445="""","""",TO_TEXT('Respuestas de formulario 1'!I445))"),"Particular")</f>
        <v>Particular</v>
      </c>
      <c r="J445" s="7" t="str">
        <f>IFERROR(__xludf.DUMMYFUNCTION("IF('Respuestas de formulario 1'!J445&lt;&gt;"""",UPPER(TRIM(TO_TEXT('Respuestas de formulario 1'!J445))),IF('Respuestas de formulario 1'!O445&lt;&gt;"""",UPPER(TRIM(TO_TEXT('Respuestas de formulario 1'!O445))),""""))"),"")</f>
        <v/>
      </c>
      <c r="K445" s="7" t="str">
        <f>IFERROR(__xludf.DUMMYFUNCTION("IF('Respuestas de formulario 1'!K445="""","""",TO_TEXT('Respuestas de formulario 1'!K445))"),"Si")</f>
        <v>Si</v>
      </c>
      <c r="L445" s="7" t="str">
        <f>IFERROR(__xludf.DUMMYFUNCTION("IF('Respuestas de formulario 1'!L445="""","""",TO_TEXT('Respuestas de formulario 1'!L445))"),"Rollers ")</f>
        <v>Rollers </v>
      </c>
      <c r="M445" s="7" t="str">
        <f>IFERROR(__xludf.DUMMYFUNCTION("IF('Respuestas de formulario 1'!M445="""","""",TO_TEXT('Respuestas de formulario 1'!M445))"),"1 a 2 veces por semana")</f>
        <v>1 a 2 veces por semana</v>
      </c>
      <c r="N445" s="7">
        <f t="shared" si="1"/>
        <v>2024</v>
      </c>
      <c r="O445" s="7" t="str">
        <f t="shared" si="2"/>
        <v>febrero</v>
      </c>
      <c r="P445" s="7" t="s">
        <v>5084</v>
      </c>
    </row>
    <row r="446">
      <c r="A446" s="19">
        <f>'Respuestas de formulario 1'!A446</f>
        <v>45327.47262</v>
      </c>
      <c r="B446" s="7" t="str">
        <f>'Respuestas de formulario 1'!B446</f>
        <v>Coleoni </v>
      </c>
      <c r="C446" s="7" t="str">
        <f>'Respuestas de formulario 1'!C446</f>
        <v>Lázaro </v>
      </c>
      <c r="D446" s="7" t="str">
        <f>'Respuestas de formulario 1'!D446</f>
        <v>Martina.heredia@marquezyasociados.com.ar</v>
      </c>
      <c r="E446" s="20">
        <f>'Respuestas de formulario 1'!E446</f>
        <v>42094</v>
      </c>
      <c r="F446" s="7">
        <f>'Respuestas de formulario 1'!F446</f>
        <v>54578749</v>
      </c>
      <c r="G446" s="7" t="str">
        <f>IFERROR(__xludf.DUMMYFUNCTION("IF('Respuestas de formulario 1'!G446="""","""",IF(LEFT(REGEXREPLACE(TO_TEXT('Respuestas de formulario 1'!G446),""[^0-9]"",""""),2)=""54"",""+""&amp;REGEXREPLACE(TO_TEXT('Respuestas de formulario 1'!G446),""[^0-9]"",""""),""+54""&amp;REGEXREPLACE(TO_TEXT('Respuest"&amp;"as de formulario 1'!G446),""[^0-9]"","""")))"),"+543541623935")</f>
        <v>+543541623935</v>
      </c>
      <c r="H446" s="7">
        <f>'Respuestas de formulario 1'!S446</f>
        <v>2024</v>
      </c>
      <c r="I446" s="7" t="str">
        <f>IFERROR(__xludf.DUMMYFUNCTION("IF('Respuestas de formulario 1'!I446="""","""",TO_TEXT('Respuestas de formulario 1'!I446))"),"Obra social")</f>
        <v>Obra social</v>
      </c>
      <c r="J446" s="7" t="str">
        <f>IFERROR(__xludf.DUMMYFUNCTION("IF('Respuestas de formulario 1'!J446&lt;&gt;"""",UPPER(TRIM(TO_TEXT('Respuestas de formulario 1'!J446))),IF('Respuestas de formulario 1'!O446&lt;&gt;"""",UPPER(TRIM(TO_TEXT('Respuestas de formulario 1'!O446))),""""))"),"PREVENCIÓN")</f>
        <v>PREVENCIÓN</v>
      </c>
      <c r="K446" s="7" t="str">
        <f>IFERROR(__xludf.DUMMYFUNCTION("IF('Respuestas de formulario 1'!K446="""","""",TO_TEXT('Respuestas de formulario 1'!K446))"),"Si")</f>
        <v>Si</v>
      </c>
      <c r="L446" s="7" t="str">
        <f>IFERROR(__xludf.DUMMYFUNCTION("IF('Respuestas de formulario 1'!L446="""","""",TO_TEXT('Respuestas de formulario 1'!L446))"),"Fútbol")</f>
        <v>Fútbol</v>
      </c>
      <c r="M446" s="7" t="str">
        <f>IFERROR(__xludf.DUMMYFUNCTION("IF('Respuestas de formulario 1'!M446="""","""",TO_TEXT('Respuestas de formulario 1'!M446))"),"3 a 5 veces por semana")</f>
        <v>3 a 5 veces por semana</v>
      </c>
      <c r="N446" s="7">
        <f t="shared" si="1"/>
        <v>2024</v>
      </c>
      <c r="O446" s="7" t="str">
        <f t="shared" si="2"/>
        <v>febrero</v>
      </c>
      <c r="P446" s="7" t="s">
        <v>5086</v>
      </c>
    </row>
    <row r="447">
      <c r="A447" s="19">
        <f>'Respuestas de formulario 1'!A447</f>
        <v>45327.56293</v>
      </c>
      <c r="B447" s="7" t="str">
        <f>'Respuestas de formulario 1'!B447</f>
        <v>Rigoni</v>
      </c>
      <c r="C447" s="7" t="str">
        <f>'Respuestas de formulario 1'!C447</f>
        <v>Camila</v>
      </c>
      <c r="D447" s="7" t="str">
        <f>'Respuestas de formulario 1'!D447</f>
        <v>mcrigoni06@gmail.com</v>
      </c>
      <c r="E447" s="20">
        <f>'Respuestas de formulario 1'!E447</f>
        <v>37067</v>
      </c>
      <c r="F447" s="7">
        <f>'Respuestas de formulario 1'!F447</f>
        <v>43450276</v>
      </c>
      <c r="G447" s="7" t="str">
        <f>IFERROR(__xludf.DUMMYFUNCTION("IF('Respuestas de formulario 1'!G447="""","""",IF(LEFT(REGEXREPLACE(TO_TEXT('Respuestas de formulario 1'!G447),""[^0-9]"",""""),2)=""54"",""+""&amp;REGEXREPLACE(TO_TEXT('Respuestas de formulario 1'!G447),""[^0-9]"",""""),""+54""&amp;REGEXREPLACE(TO_TEXT('Respuest"&amp;"as de formulario 1'!G447),""[^0-9]"","""")))"),"+543513935846")</f>
        <v>+543513935846</v>
      </c>
      <c r="H447" s="7">
        <f>'Respuestas de formulario 1'!S447</f>
        <v>2024</v>
      </c>
      <c r="I447" s="7" t="str">
        <f>IFERROR(__xludf.DUMMYFUNCTION("IF('Respuestas de formulario 1'!I447="""","""",TO_TEXT('Respuestas de formulario 1'!I447))"),"Obra social")</f>
        <v>Obra social</v>
      </c>
      <c r="J447" s="7" t="str">
        <f>IFERROR(__xludf.DUMMYFUNCTION("IF('Respuestas de formulario 1'!J447&lt;&gt;"""",UPPER(TRIM(TO_TEXT('Respuestas de formulario 1'!J447))),IF('Respuestas de formulario 1'!O447&lt;&gt;"""",UPPER(TRIM(TO_TEXT('Respuestas de formulario 1'!O447))),""""))"),"OSADEF")</f>
        <v>OSADEF</v>
      </c>
      <c r="K447" s="7" t="str">
        <f>IFERROR(__xludf.DUMMYFUNCTION("IF('Respuestas de formulario 1'!K447="""","""",TO_TEXT('Respuestas de formulario 1'!K447))"),"Si")</f>
        <v>Si</v>
      </c>
      <c r="L447" s="7" t="str">
        <f>IFERROR(__xludf.DUMMYFUNCTION("IF('Respuestas de formulario 1'!L447="""","""",TO_TEXT('Respuestas de formulario 1'!L447))"),"Yoga")</f>
        <v>Yoga</v>
      </c>
      <c r="M447" s="7" t="str">
        <f>IFERROR(__xludf.DUMMYFUNCTION("IF('Respuestas de formulario 1'!M447="""","""",TO_TEXT('Respuestas de formulario 1'!M447))"),"3 a 5 veces por semana")</f>
        <v>3 a 5 veces por semana</v>
      </c>
      <c r="N447" s="7">
        <f t="shared" si="1"/>
        <v>2024</v>
      </c>
      <c r="O447" s="7" t="str">
        <f t="shared" si="2"/>
        <v>febrero</v>
      </c>
      <c r="P447" s="7" t="s">
        <v>5088</v>
      </c>
    </row>
    <row r="448">
      <c r="A448" s="19">
        <f>'Respuestas de formulario 1'!A448</f>
        <v>45329.79928</v>
      </c>
      <c r="B448" s="7" t="str">
        <f>'Respuestas de formulario 1'!B448</f>
        <v>Sarrá</v>
      </c>
      <c r="C448" s="7" t="str">
        <f>'Respuestas de formulario 1'!C448</f>
        <v>Liliana Beatriz</v>
      </c>
      <c r="D448" s="7" t="str">
        <f>'Respuestas de formulario 1'!D448</f>
        <v>sarralilianabeatriz@gmail.com</v>
      </c>
      <c r="E448" s="20">
        <f>'Respuestas de formulario 1'!E448</f>
        <v>45571</v>
      </c>
      <c r="F448" s="7">
        <f>'Respuestas de formulario 1'!F448</f>
        <v>10682259</v>
      </c>
      <c r="G448" s="7" t="str">
        <f>IFERROR(__xludf.DUMMYFUNCTION("IF('Respuestas de formulario 1'!G448="""","""",IF(LEFT(REGEXREPLACE(TO_TEXT('Respuestas de formulario 1'!G448),""[^0-9]"",""""),2)=""54"",""+""&amp;REGEXREPLACE(TO_TEXT('Respuestas de formulario 1'!G448),""[^0-9]"",""""),""+54""&amp;REGEXREPLACE(TO_TEXT('Respuest"&amp;"as de formulario 1'!G448),""[^0-9]"","""")))"),"+543516454969")</f>
        <v>+543516454969</v>
      </c>
      <c r="H448" s="7">
        <f>'Respuestas de formulario 1'!S448</f>
        <v>2024</v>
      </c>
      <c r="I448" s="7" t="str">
        <f>IFERROR(__xludf.DUMMYFUNCTION("IF('Respuestas de formulario 1'!I448="""","""",TO_TEXT('Respuestas de formulario 1'!I448))"),"Particular")</f>
        <v>Particular</v>
      </c>
      <c r="J448" s="7" t="str">
        <f>IFERROR(__xludf.DUMMYFUNCTION("IF('Respuestas de formulario 1'!J448&lt;&gt;"""",UPPER(TRIM(TO_TEXT('Respuestas de formulario 1'!J448))),IF('Respuestas de formulario 1'!O448&lt;&gt;"""",UPPER(TRIM(TO_TEXT('Respuestas de formulario 1'!O448))),""""))"),"")</f>
        <v/>
      </c>
      <c r="K448" s="7" t="str">
        <f>IFERROR(__xludf.DUMMYFUNCTION("IF('Respuestas de formulario 1'!K448="""","""",TO_TEXT('Respuestas de formulario 1'!K448))"),"Si")</f>
        <v>Si</v>
      </c>
      <c r="L448" s="7" t="str">
        <f>IFERROR(__xludf.DUMMYFUNCTION("IF('Respuestas de formulario 1'!L448="""","""",TO_TEXT('Respuestas de formulario 1'!L448))"),"")</f>
        <v/>
      </c>
      <c r="M448" s="7" t="str">
        <f>IFERROR(__xludf.DUMMYFUNCTION("IF('Respuestas de formulario 1'!M448="""","""",TO_TEXT('Respuestas de formulario 1'!M448))"),"")</f>
        <v/>
      </c>
      <c r="N448" s="7">
        <f t="shared" si="1"/>
        <v>2024</v>
      </c>
      <c r="O448" s="7" t="str">
        <f t="shared" si="2"/>
        <v>febrero</v>
      </c>
      <c r="P448" s="7" t="s">
        <v>5090</v>
      </c>
    </row>
    <row r="449">
      <c r="A449" s="19">
        <f>'Respuestas de formulario 1'!A449</f>
        <v>45330.82774</v>
      </c>
      <c r="B449" s="7" t="str">
        <f>'Respuestas de formulario 1'!B449</f>
        <v>Bertazzo</v>
      </c>
      <c r="C449" s="7" t="str">
        <f>'Respuestas de formulario 1'!C449</f>
        <v>Carlos Marcelo</v>
      </c>
      <c r="D449" s="7" t="str">
        <f>'Respuestas de formulario 1'!D449</f>
        <v>cmbertazzo@gmail.com</v>
      </c>
      <c r="E449" s="20">
        <f>'Respuestas de formulario 1'!E449</f>
        <v>21285</v>
      </c>
      <c r="F449" s="7">
        <f>'Respuestas de formulario 1'!F449</f>
        <v>12365679</v>
      </c>
      <c r="G449" s="7" t="str">
        <f>IFERROR(__xludf.DUMMYFUNCTION("IF('Respuestas de formulario 1'!G449="""","""",IF(LEFT(REGEXREPLACE(TO_TEXT('Respuestas de formulario 1'!G449),""[^0-9]"",""""),2)=""54"",""+""&amp;REGEXREPLACE(TO_TEXT('Respuestas de formulario 1'!G449),""[^0-9]"",""""),""+54""&amp;REGEXREPLACE(TO_TEXT('Respuest"&amp;"as de formulario 1'!G449),""[^0-9]"","""")))"),"+543516300421")</f>
        <v>+543516300421</v>
      </c>
      <c r="H449" s="7">
        <f>'Respuestas de formulario 1'!S449</f>
        <v>2024</v>
      </c>
      <c r="I449" s="7" t="str">
        <f>IFERROR(__xludf.DUMMYFUNCTION("IF('Respuestas de formulario 1'!I449="""","""",TO_TEXT('Respuestas de formulario 1'!I449))"),"Obra social")</f>
        <v>Obra social</v>
      </c>
      <c r="J449" s="7" t="str">
        <f>IFERROR(__xludf.DUMMYFUNCTION("IF('Respuestas de formulario 1'!J449&lt;&gt;"""",UPPER(TRIM(TO_TEXT('Respuestas de formulario 1'!J449))),IF('Respuestas de formulario 1'!O449&lt;&gt;"""",UPPER(TRIM(TO_TEXT('Respuestas de formulario 1'!O449))),""""))"),"APROSS")</f>
        <v>APROSS</v>
      </c>
      <c r="K449" s="7" t="str">
        <f>IFERROR(__xludf.DUMMYFUNCTION("IF('Respuestas de formulario 1'!K449="""","""",TO_TEXT('Respuestas de formulario 1'!K449))"),"Si")</f>
        <v>Si</v>
      </c>
      <c r="L449" s="7" t="str">
        <f>IFERROR(__xludf.DUMMYFUNCTION("IF('Respuestas de formulario 1'!L449="""","""",TO_TEXT('Respuestas de formulario 1'!L449))"),"Caminata y trote")</f>
        <v>Caminata y trote</v>
      </c>
      <c r="M449" s="7" t="str">
        <f>IFERROR(__xludf.DUMMYFUNCTION("IF('Respuestas de formulario 1'!M449="""","""",TO_TEXT('Respuestas de formulario 1'!M449))"),"6 a 7 veces por semana")</f>
        <v>6 a 7 veces por semana</v>
      </c>
      <c r="N449" s="7">
        <f t="shared" si="1"/>
        <v>2024</v>
      </c>
      <c r="O449" s="7" t="str">
        <f t="shared" si="2"/>
        <v>febrero</v>
      </c>
      <c r="P449" s="7" t="s">
        <v>5092</v>
      </c>
    </row>
    <row r="450">
      <c r="A450" s="19">
        <f>'Respuestas de formulario 1'!A450</f>
        <v>45331.79815</v>
      </c>
      <c r="B450" s="7" t="str">
        <f>'Respuestas de formulario 1'!B450</f>
        <v>Labrada Restrepo</v>
      </c>
      <c r="C450" s="7" t="str">
        <f>'Respuestas de formulario 1'!C450</f>
        <v>Patricia </v>
      </c>
      <c r="D450" s="7" t="str">
        <f>'Respuestas de formulario 1'!D450</f>
        <v>paticolabrada@gmail.com</v>
      </c>
      <c r="E450" s="20">
        <f>'Respuestas de formulario 1'!E450</f>
        <v>20420</v>
      </c>
      <c r="F450" s="7">
        <f>'Respuestas de formulario 1'!F450</f>
        <v>92503418</v>
      </c>
      <c r="G450" s="7" t="str">
        <f>IFERROR(__xludf.DUMMYFUNCTION("IF('Respuestas de formulario 1'!G450="""","""",IF(LEFT(REGEXREPLACE(TO_TEXT('Respuestas de formulario 1'!G450),""[^0-9]"",""""),2)=""54"",""+""&amp;REGEXREPLACE(TO_TEXT('Respuestas de formulario 1'!G450),""[^0-9]"",""""),""+54""&amp;REGEXREPLACE(TO_TEXT('Respuest"&amp;"as de formulario 1'!G450),""[^0-9]"","""")))"),"+543515208163")</f>
        <v>+543515208163</v>
      </c>
      <c r="H450" s="7">
        <f>'Respuestas de formulario 1'!S450</f>
        <v>2024</v>
      </c>
      <c r="I450" s="7" t="str">
        <f>IFERROR(__xludf.DUMMYFUNCTION("IF('Respuestas de formulario 1'!I450="""","""",TO_TEXT('Respuestas de formulario 1'!I450))"),"Particular")</f>
        <v>Particular</v>
      </c>
      <c r="J450" s="7" t="str">
        <f>IFERROR(__xludf.DUMMYFUNCTION("IF('Respuestas de formulario 1'!J450&lt;&gt;"""",UPPER(TRIM(TO_TEXT('Respuestas de formulario 1'!J450))),IF('Respuestas de formulario 1'!O450&lt;&gt;"""",UPPER(TRIM(TO_TEXT('Respuestas de formulario 1'!O450))),""""))"),"")</f>
        <v/>
      </c>
      <c r="K450" s="7" t="str">
        <f>IFERROR(__xludf.DUMMYFUNCTION("IF('Respuestas de formulario 1'!K450="""","""",TO_TEXT('Respuestas de formulario 1'!K450))"),"Si")</f>
        <v>Si</v>
      </c>
      <c r="L450" s="7" t="str">
        <f>IFERROR(__xludf.DUMMYFUNCTION("IF('Respuestas de formulario 1'!L450="""","""",TO_TEXT('Respuestas de formulario 1'!L450))"),"Aqua gym ")</f>
        <v>Aqua gym </v>
      </c>
      <c r="M450" s="7" t="str">
        <f>IFERROR(__xludf.DUMMYFUNCTION("IF('Respuestas de formulario 1'!M450="""","""",TO_TEXT('Respuestas de formulario 1'!M450))"),"3 a 5 veces por semana")</f>
        <v>3 a 5 veces por semana</v>
      </c>
      <c r="N450" s="7">
        <f t="shared" si="1"/>
        <v>2024</v>
      </c>
      <c r="O450" s="7" t="str">
        <f t="shared" si="2"/>
        <v>febrero</v>
      </c>
      <c r="P450" s="7" t="s">
        <v>5094</v>
      </c>
    </row>
    <row r="451">
      <c r="A451" s="19">
        <f>'Respuestas de formulario 1'!A451</f>
        <v>45336.45663</v>
      </c>
      <c r="B451" s="7" t="str">
        <f>'Respuestas de formulario 1'!B451</f>
        <v>Serrano</v>
      </c>
      <c r="C451" s="7" t="str">
        <f>'Respuestas de formulario 1'!C451</f>
        <v>Angel</v>
      </c>
      <c r="D451" s="7" t="str">
        <f>'Respuestas de formulario 1'!D451</f>
        <v>angelmserranog@gmail.com </v>
      </c>
      <c r="E451" s="20">
        <f>'Respuestas de formulario 1'!E451</f>
        <v>36209</v>
      </c>
      <c r="F451" s="7">
        <f>'Respuestas de formulario 1'!F451</f>
        <v>96262307</v>
      </c>
      <c r="G451" s="7" t="str">
        <f>IFERROR(__xludf.DUMMYFUNCTION("IF('Respuestas de formulario 1'!G451="""","""",IF(LEFT(REGEXREPLACE(TO_TEXT('Respuestas de formulario 1'!G451),""[^0-9]"",""""),2)=""54"",""+""&amp;REGEXREPLACE(TO_TEXT('Respuestas de formulario 1'!G451),""[^0-9]"",""""),""+54""&amp;REGEXREPLACE(TO_TEXT('Respuest"&amp;"as de formulario 1'!G451),""[^0-9]"","""")))"),"+543513100273")</f>
        <v>+543513100273</v>
      </c>
      <c r="H451" s="7">
        <f>'Respuestas de formulario 1'!S451</f>
        <v>2024</v>
      </c>
      <c r="I451" s="7" t="str">
        <f>IFERROR(__xludf.DUMMYFUNCTION("IF('Respuestas de formulario 1'!I451="""","""",TO_TEXT('Respuestas de formulario 1'!I451))"),"Obra social")</f>
        <v>Obra social</v>
      </c>
      <c r="J451" s="7" t="str">
        <f>IFERROR(__xludf.DUMMYFUNCTION("IF('Respuestas de formulario 1'!J451&lt;&gt;"""",UPPER(TRIM(TO_TEXT('Respuestas de formulario 1'!J451))),IF('Respuestas de formulario 1'!O451&lt;&gt;"""",UPPER(TRIM(TO_TEXT('Respuestas de formulario 1'!O451))),""""))"),"PREVENCIÓN")</f>
        <v>PREVENCIÓN</v>
      </c>
      <c r="K451" s="7" t="str">
        <f>IFERROR(__xludf.DUMMYFUNCTION("IF('Respuestas de formulario 1'!K451="""","""",TO_TEXT('Respuestas de formulario 1'!K451))"),"Si")</f>
        <v>Si</v>
      </c>
      <c r="L451" s="7" t="str">
        <f>IFERROR(__xludf.DUMMYFUNCTION("IF('Respuestas de formulario 1'!L451="""","""",TO_TEXT('Respuestas de formulario 1'!L451))"),"Gimnasio")</f>
        <v>Gimnasio</v>
      </c>
      <c r="M451" s="7" t="str">
        <f>IFERROR(__xludf.DUMMYFUNCTION("IF('Respuestas de formulario 1'!M451="""","""",TO_TEXT('Respuestas de formulario 1'!M451))"),"3 a 5 veces por semana")</f>
        <v>3 a 5 veces por semana</v>
      </c>
      <c r="N451" s="7">
        <f t="shared" si="1"/>
        <v>2024</v>
      </c>
      <c r="O451" s="7" t="str">
        <f t="shared" si="2"/>
        <v>febrero</v>
      </c>
      <c r="P451" s="7" t="s">
        <v>5096</v>
      </c>
    </row>
    <row r="452">
      <c r="A452" s="19">
        <f>'Respuestas de formulario 1'!A452</f>
        <v>45336.47592</v>
      </c>
      <c r="B452" s="7" t="str">
        <f>'Respuestas de formulario 1'!B452</f>
        <v>Palavecino</v>
      </c>
      <c r="C452" s="7" t="str">
        <f>'Respuestas de formulario 1'!C452</f>
        <v>Franco</v>
      </c>
      <c r="D452" s="7" t="str">
        <f>'Respuestas de formulario 1'!D452</f>
        <v>francogpalavecino@gmail.com</v>
      </c>
      <c r="E452" s="20">
        <f>'Respuestas de formulario 1'!E452</f>
        <v>34355</v>
      </c>
      <c r="F452" s="7">
        <f>'Respuestas de formulario 1'!F452</f>
        <v>38002667</v>
      </c>
      <c r="G452" s="7" t="str">
        <f>IFERROR(__xludf.DUMMYFUNCTION("IF('Respuestas de formulario 1'!G452="""","""",IF(LEFT(REGEXREPLACE(TO_TEXT('Respuestas de formulario 1'!G452),""[^0-9]"",""""),2)=""54"",""+""&amp;REGEXREPLACE(TO_TEXT('Respuestas de formulario 1'!G452),""[^0-9]"",""""),""+54""&amp;REGEXREPLACE(TO_TEXT('Respuest"&amp;"as de formulario 1'!G452),""[^0-9]"","""")))"),"+543517728306")</f>
        <v>+543517728306</v>
      </c>
      <c r="H452" s="7">
        <f>'Respuestas de formulario 1'!S452</f>
        <v>2024</v>
      </c>
      <c r="I452" s="7" t="str">
        <f>IFERROR(__xludf.DUMMYFUNCTION("IF('Respuestas de formulario 1'!I452="""","""",TO_TEXT('Respuestas de formulario 1'!I452))"),"Obra social")</f>
        <v>Obra social</v>
      </c>
      <c r="J452" s="7" t="str">
        <f>IFERROR(__xludf.DUMMYFUNCTION("IF('Respuestas de formulario 1'!J452&lt;&gt;"""",UPPER(TRIM(TO_TEXT('Respuestas de formulario 1'!J452))),IF('Respuestas de formulario 1'!O452&lt;&gt;"""",UPPER(TRIM(TO_TEXT('Respuestas de formulario 1'!O452))),""""))"),"SANCOR")</f>
        <v>SANCOR</v>
      </c>
      <c r="K452" s="7" t="str">
        <f>IFERROR(__xludf.DUMMYFUNCTION("IF('Respuestas de formulario 1'!K452="""","""",TO_TEXT('Respuestas de formulario 1'!K452))"),"Si")</f>
        <v>Si</v>
      </c>
      <c r="L452" s="7" t="str">
        <f>IFERROR(__xludf.DUMMYFUNCTION("IF('Respuestas de formulario 1'!L452="""","""",TO_TEXT('Respuestas de formulario 1'!L452))"),"Padel")</f>
        <v>Padel</v>
      </c>
      <c r="M452" s="7" t="str">
        <f>IFERROR(__xludf.DUMMYFUNCTION("IF('Respuestas de formulario 1'!M452="""","""",TO_TEXT('Respuestas de formulario 1'!M452))"),"3 a 5 veces por semana")</f>
        <v>3 a 5 veces por semana</v>
      </c>
      <c r="N452" s="7">
        <f t="shared" si="1"/>
        <v>2024</v>
      </c>
      <c r="O452" s="7" t="str">
        <f t="shared" si="2"/>
        <v>febrero</v>
      </c>
      <c r="P452" s="7" t="s">
        <v>5098</v>
      </c>
    </row>
    <row r="453">
      <c r="A453" s="19">
        <f>'Respuestas de formulario 1'!A453</f>
        <v>45341.42</v>
      </c>
      <c r="B453" s="7" t="str">
        <f>'Respuestas de formulario 1'!B453</f>
        <v>Soria</v>
      </c>
      <c r="C453" s="7" t="str">
        <f>'Respuestas de formulario 1'!C453</f>
        <v>Lucas Martin</v>
      </c>
      <c r="D453" s="7" t="str">
        <f>'Respuestas de formulario 1'!D453</f>
        <v>lucas.soria.2050@gmail.com</v>
      </c>
      <c r="E453" s="20">
        <f>'Respuestas de formulario 1'!E453</f>
        <v>35764</v>
      </c>
      <c r="F453" s="7">
        <f>'Respuestas de formulario 1'!F453</f>
        <v>40835987</v>
      </c>
      <c r="G453" s="7" t="str">
        <f>IFERROR(__xludf.DUMMYFUNCTION("IF('Respuestas de formulario 1'!G453="""","""",IF(LEFT(REGEXREPLACE(TO_TEXT('Respuestas de formulario 1'!G453),""[^0-9]"",""""),2)=""54"",""+""&amp;REGEXREPLACE(TO_TEXT('Respuestas de formulario 1'!G453),""[^0-9]"",""""),""+54""&amp;REGEXREPLACE(TO_TEXT('Respuest"&amp;"as de formulario 1'!G453),""[^0-9]"","""")))"),"+543513525964")</f>
        <v>+543513525964</v>
      </c>
      <c r="H453" s="7">
        <f>'Respuestas de formulario 1'!S453</f>
        <v>2024</v>
      </c>
      <c r="I453" s="7" t="str">
        <f>IFERROR(__xludf.DUMMYFUNCTION("IF('Respuestas de formulario 1'!I453="""","""",TO_TEXT('Respuestas de formulario 1'!I453))"),"Particular")</f>
        <v>Particular</v>
      </c>
      <c r="J453" s="7" t="str">
        <f>IFERROR(__xludf.DUMMYFUNCTION("IF('Respuestas de formulario 1'!J453&lt;&gt;"""",UPPER(TRIM(TO_TEXT('Respuestas de formulario 1'!J453))),IF('Respuestas de formulario 1'!O453&lt;&gt;"""",UPPER(TRIM(TO_TEXT('Respuestas de formulario 1'!O453))),""""))"),"")</f>
        <v/>
      </c>
      <c r="K453" s="7" t="str">
        <f>IFERROR(__xludf.DUMMYFUNCTION("IF('Respuestas de formulario 1'!K453="""","""",TO_TEXT('Respuestas de formulario 1'!K453))"),"Si")</f>
        <v>Si</v>
      </c>
      <c r="L453" s="7" t="str">
        <f>IFERROR(__xludf.DUMMYFUNCTION("IF('Respuestas de formulario 1'!L453="""","""",TO_TEXT('Respuestas de formulario 1'!L453))"),"Muay Thai - gimnasio - correr")</f>
        <v>Muay Thai - gimnasio - correr</v>
      </c>
      <c r="M453" s="7" t="str">
        <f>IFERROR(__xludf.DUMMYFUNCTION("IF('Respuestas de formulario 1'!M453="""","""",TO_TEXT('Respuestas de formulario 1'!M453))"),"6 a 7 veces por semana")</f>
        <v>6 a 7 veces por semana</v>
      </c>
      <c r="N453" s="7">
        <f t="shared" si="1"/>
        <v>2024</v>
      </c>
      <c r="O453" s="7" t="str">
        <f t="shared" si="2"/>
        <v>febrero</v>
      </c>
      <c r="P453" s="7" t="s">
        <v>5100</v>
      </c>
    </row>
    <row r="454">
      <c r="A454" s="19">
        <f>'Respuestas de formulario 1'!A454</f>
        <v>45341.74757</v>
      </c>
      <c r="B454" s="7" t="str">
        <f>'Respuestas de formulario 1'!B454</f>
        <v>Bonifacio</v>
      </c>
      <c r="C454" s="7" t="str">
        <f>'Respuestas de formulario 1'!C454</f>
        <v>Carina</v>
      </c>
      <c r="D454" s="7" t="str">
        <f>'Respuestas de formulario 1'!D454</f>
        <v>carinabonifacio@hotmail.com</v>
      </c>
      <c r="E454" s="20">
        <f>'Respuestas de formulario 1'!E454</f>
        <v>29293</v>
      </c>
      <c r="F454" s="7">
        <f>'Respuestas de formulario 1'!F454</f>
        <v>27957454</v>
      </c>
      <c r="G454" s="7" t="str">
        <f>IFERROR(__xludf.DUMMYFUNCTION("IF('Respuestas de formulario 1'!G454="""","""",IF(LEFT(REGEXREPLACE(TO_TEXT('Respuestas de formulario 1'!G454),""[^0-9]"",""""),2)=""54"",""+""&amp;REGEXREPLACE(TO_TEXT('Respuestas de formulario 1'!G454),""[^0-9]"",""""),""+54""&amp;REGEXREPLACE(TO_TEXT('Respuest"&amp;"as de formulario 1'!G454),""[^0-9]"","""")))"),"+543516839702")</f>
        <v>+543516839702</v>
      </c>
      <c r="H454" s="7">
        <f>'Respuestas de formulario 1'!S454</f>
        <v>2024</v>
      </c>
      <c r="I454" s="7" t="str">
        <f>IFERROR(__xludf.DUMMYFUNCTION("IF('Respuestas de formulario 1'!I454="""","""",TO_TEXT('Respuestas de formulario 1'!I454))"),"Particular")</f>
        <v>Particular</v>
      </c>
      <c r="J454" s="7" t="str">
        <f>IFERROR(__xludf.DUMMYFUNCTION("IF('Respuestas de formulario 1'!J454&lt;&gt;"""",UPPER(TRIM(TO_TEXT('Respuestas de formulario 1'!J454))),IF('Respuestas de formulario 1'!O454&lt;&gt;"""",UPPER(TRIM(TO_TEXT('Respuestas de formulario 1'!O454))),""""))"),"")</f>
        <v/>
      </c>
      <c r="K454" s="7" t="str">
        <f>IFERROR(__xludf.DUMMYFUNCTION("IF('Respuestas de formulario 1'!K454="""","""",TO_TEXT('Respuestas de formulario 1'!K454))"),"Si")</f>
        <v>Si</v>
      </c>
      <c r="L454" s="7" t="str">
        <f>IFERROR(__xludf.DUMMYFUNCTION("IF('Respuestas de formulario 1'!L454="""","""",TO_TEXT('Respuestas de formulario 1'!L454))"),"Gimnasio")</f>
        <v>Gimnasio</v>
      </c>
      <c r="M454" s="7" t="str">
        <f>IFERROR(__xludf.DUMMYFUNCTION("IF('Respuestas de formulario 1'!M454="""","""",TO_TEXT('Respuestas de formulario 1'!M454))"),"3 a 5 veces por semana")</f>
        <v>3 a 5 veces por semana</v>
      </c>
      <c r="N454" s="7">
        <f t="shared" si="1"/>
        <v>2024</v>
      </c>
      <c r="O454" s="7" t="str">
        <f t="shared" si="2"/>
        <v>febrero</v>
      </c>
      <c r="P454" s="7" t="s">
        <v>5102</v>
      </c>
    </row>
    <row r="455">
      <c r="A455" s="19">
        <f>'Respuestas de formulario 1'!A455</f>
        <v>45341.75297</v>
      </c>
      <c r="B455" s="7" t="str">
        <f>'Respuestas de formulario 1'!B455</f>
        <v>Giorgi</v>
      </c>
      <c r="C455" s="7" t="str">
        <f>'Respuestas de formulario 1'!C455</f>
        <v>Ivan</v>
      </c>
      <c r="D455" s="7" t="str">
        <f>'Respuestas de formulario 1'!D455</f>
        <v>ivan.rodriguezgiorgi@gmail.com</v>
      </c>
      <c r="E455" s="20">
        <f>'Respuestas de formulario 1'!E455</f>
        <v>30340</v>
      </c>
      <c r="F455" s="7">
        <f>'Respuestas de formulario 1'!F455</f>
        <v>29659133</v>
      </c>
      <c r="G455" s="7" t="str">
        <f>IFERROR(__xludf.DUMMYFUNCTION("IF('Respuestas de formulario 1'!G455="""","""",IF(LEFT(REGEXREPLACE(TO_TEXT('Respuestas de formulario 1'!G455),""[^0-9]"",""""),2)=""54"",""+""&amp;REGEXREPLACE(TO_TEXT('Respuestas de formulario 1'!G455),""[^0-9]"",""""),""+54""&amp;REGEXREPLACE(TO_TEXT('Respuest"&amp;"as de formulario 1'!G455),""[^0-9]"","""")))"),"+543516146528")</f>
        <v>+543516146528</v>
      </c>
      <c r="H455" s="7">
        <f>'Respuestas de formulario 1'!S455</f>
        <v>2024</v>
      </c>
      <c r="I455" s="7" t="str">
        <f>IFERROR(__xludf.DUMMYFUNCTION("IF('Respuestas de formulario 1'!I455="""","""",TO_TEXT('Respuestas de formulario 1'!I455))"),"Obra social")</f>
        <v>Obra social</v>
      </c>
      <c r="J455" s="7" t="str">
        <f>IFERROR(__xludf.DUMMYFUNCTION("IF('Respuestas de formulario 1'!J455&lt;&gt;"""",UPPER(TRIM(TO_TEXT('Respuestas de formulario 1'!J455))),IF('Respuestas de formulario 1'!O455&lt;&gt;"""",UPPER(TRIM(TO_TEXT('Respuestas de formulario 1'!O455))),""""))"),"APROSS")</f>
        <v>APROSS</v>
      </c>
      <c r="K455" s="7" t="str">
        <f>IFERROR(__xludf.DUMMYFUNCTION("IF('Respuestas de formulario 1'!K455="""","""",TO_TEXT('Respuestas de formulario 1'!K455))"),"Si")</f>
        <v>Si</v>
      </c>
      <c r="L455" s="7" t="str">
        <f>IFERROR(__xludf.DUMMYFUNCTION("IF('Respuestas de formulario 1'!L455="""","""",TO_TEXT('Respuestas de formulario 1'!L455))"),"Gimnasio")</f>
        <v>Gimnasio</v>
      </c>
      <c r="M455" s="7" t="str">
        <f>IFERROR(__xludf.DUMMYFUNCTION("IF('Respuestas de formulario 1'!M455="""","""",TO_TEXT('Respuestas de formulario 1'!M455))"),"3 a 5 veces por semana")</f>
        <v>3 a 5 veces por semana</v>
      </c>
      <c r="N455" s="7">
        <f t="shared" si="1"/>
        <v>2024</v>
      </c>
      <c r="O455" s="7" t="str">
        <f t="shared" si="2"/>
        <v>febrero</v>
      </c>
      <c r="P455" s="7" t="s">
        <v>5104</v>
      </c>
    </row>
    <row r="456">
      <c r="A456" s="19">
        <f>'Respuestas de formulario 1'!A456</f>
        <v>45341.79076</v>
      </c>
      <c r="B456" s="7" t="str">
        <f>'Respuestas de formulario 1'!B456</f>
        <v>Garay</v>
      </c>
      <c r="C456" s="7" t="str">
        <f>'Respuestas de formulario 1'!C456</f>
        <v>Jenifer </v>
      </c>
      <c r="D456" s="7" t="str">
        <f>'Respuestas de formulario 1'!D456</f>
        <v>jenigarayent@gmail.com</v>
      </c>
      <c r="E456" s="20">
        <f>'Respuestas de formulario 1'!E456</f>
        <v>35318</v>
      </c>
      <c r="F456" s="7">
        <f>'Respuestas de formulario 1'!F456</f>
        <v>39934307</v>
      </c>
      <c r="G456" s="7" t="str">
        <f>IFERROR(__xludf.DUMMYFUNCTION("IF('Respuestas de formulario 1'!G456="""","""",IF(LEFT(REGEXREPLACE(TO_TEXT('Respuestas de formulario 1'!G456),""[^0-9]"",""""),2)=""54"",""+""&amp;REGEXREPLACE(TO_TEXT('Respuestas de formulario 1'!G456),""[^0-9]"",""""),""+54""&amp;REGEXREPLACE(TO_TEXT('Respuest"&amp;"as de formulario 1'!G456),""[^0-9]"","""")))"),"+543512090869")</f>
        <v>+543512090869</v>
      </c>
      <c r="H456" s="7">
        <f>'Respuestas de formulario 1'!S456</f>
        <v>2024</v>
      </c>
      <c r="I456" s="7" t="str">
        <f>IFERROR(__xludf.DUMMYFUNCTION("IF('Respuestas de formulario 1'!I456="""","""",TO_TEXT('Respuestas de formulario 1'!I456))"),"Obra social")</f>
        <v>Obra social</v>
      </c>
      <c r="J456" s="7" t="str">
        <f>IFERROR(__xludf.DUMMYFUNCTION("IF('Respuestas de formulario 1'!J456&lt;&gt;"""",UPPER(TRIM(TO_TEXT('Respuestas de formulario 1'!J456))),IF('Respuestas de formulario 1'!O456&lt;&gt;"""",UPPER(TRIM(TO_TEXT('Respuestas de formulario 1'!O456))),""""))"),"AVALIAN")</f>
        <v>AVALIAN</v>
      </c>
      <c r="K456" s="7" t="str">
        <f>IFERROR(__xludf.DUMMYFUNCTION("IF('Respuestas de formulario 1'!K456="""","""",TO_TEXT('Respuestas de formulario 1'!K456))"),"Si")</f>
        <v>Si</v>
      </c>
      <c r="L456" s="7" t="str">
        <f>IFERROR(__xludf.DUMMYFUNCTION("IF('Respuestas de formulario 1'!L456="""","""",TO_TEXT('Respuestas de formulario 1'!L456))"),"Futbol, Hockey y Gimnasio ")</f>
        <v>Futbol, Hockey y Gimnasio </v>
      </c>
      <c r="M456" s="7" t="str">
        <f>IFERROR(__xludf.DUMMYFUNCTION("IF('Respuestas de formulario 1'!M456="""","""",TO_TEXT('Respuestas de formulario 1'!M456))"),"6 a 7 veces por semana")</f>
        <v>6 a 7 veces por semana</v>
      </c>
      <c r="N456" s="7">
        <f t="shared" si="1"/>
        <v>2024</v>
      </c>
      <c r="O456" s="7" t="str">
        <f t="shared" si="2"/>
        <v>febrero</v>
      </c>
      <c r="P456" s="7" t="s">
        <v>5106</v>
      </c>
    </row>
    <row r="457">
      <c r="A457" s="19">
        <f>'Respuestas de formulario 1'!A457</f>
        <v>45343.81909</v>
      </c>
      <c r="B457" s="7" t="str">
        <f>'Respuestas de formulario 1'!B457</f>
        <v>Nuñez </v>
      </c>
      <c r="C457" s="7" t="str">
        <f>'Respuestas de formulario 1'!C457</f>
        <v>Alfredo Ernesto </v>
      </c>
      <c r="D457" s="7" t="str">
        <f>'Respuestas de formulario 1'!D457</f>
        <v>nalfredo1968@gmail.com</v>
      </c>
      <c r="E457" s="20">
        <f>'Respuestas de formulario 1'!E457</f>
        <v>24853</v>
      </c>
      <c r="F457" s="7">
        <f>'Respuestas de formulario 1'!F457</f>
        <v>20958988</v>
      </c>
      <c r="G457" s="7" t="str">
        <f>IFERROR(__xludf.DUMMYFUNCTION("IF('Respuestas de formulario 1'!G457="""","""",IF(LEFT(REGEXREPLACE(TO_TEXT('Respuestas de formulario 1'!G457),""[^0-9]"",""""),2)=""54"",""+""&amp;REGEXREPLACE(TO_TEXT('Respuestas de formulario 1'!G457),""[^0-9]"",""""),""+54""&amp;REGEXREPLACE(TO_TEXT('Respuest"&amp;"as de formulario 1'!G457),""[^0-9]"","""")))"),"+543516688686")</f>
        <v>+543516688686</v>
      </c>
      <c r="H457" s="7">
        <f>'Respuestas de formulario 1'!S457</f>
        <v>2024</v>
      </c>
      <c r="I457" s="7" t="str">
        <f>IFERROR(__xludf.DUMMYFUNCTION("IF('Respuestas de formulario 1'!I457="""","""",TO_TEXT('Respuestas de formulario 1'!I457))"),"Particular")</f>
        <v>Particular</v>
      </c>
      <c r="J457" s="7" t="str">
        <f>IFERROR(__xludf.DUMMYFUNCTION("IF('Respuestas de formulario 1'!J457&lt;&gt;"""",UPPER(TRIM(TO_TEXT('Respuestas de formulario 1'!J457))),IF('Respuestas de formulario 1'!O457&lt;&gt;"""",UPPER(TRIM(TO_TEXT('Respuestas de formulario 1'!O457))),""""))"),"")</f>
        <v/>
      </c>
      <c r="K457" s="7" t="str">
        <f>IFERROR(__xludf.DUMMYFUNCTION("IF('Respuestas de formulario 1'!K457="""","""",TO_TEXT('Respuestas de formulario 1'!K457))"),"")</f>
        <v/>
      </c>
      <c r="L457" s="7" t="str">
        <f>IFERROR(__xludf.DUMMYFUNCTION("IF('Respuestas de formulario 1'!L457="""","""",TO_TEXT('Respuestas de formulario 1'!L457))"),"Gimnasio")</f>
        <v>Gimnasio</v>
      </c>
      <c r="M457" s="7" t="str">
        <f>IFERROR(__xludf.DUMMYFUNCTION("IF('Respuestas de formulario 1'!M457="""","""",TO_TEXT('Respuestas de formulario 1'!M457))"),"3 a 5 veces por semana")</f>
        <v>3 a 5 veces por semana</v>
      </c>
      <c r="N457" s="7">
        <f t="shared" si="1"/>
        <v>2024</v>
      </c>
      <c r="O457" s="7" t="str">
        <f t="shared" si="2"/>
        <v>febrero</v>
      </c>
      <c r="P457" s="7" t="s">
        <v>5108</v>
      </c>
    </row>
    <row r="458">
      <c r="A458" s="19">
        <f>'Respuestas de formulario 1'!A458</f>
        <v>45344.83911</v>
      </c>
      <c r="B458" s="7" t="str">
        <f>'Respuestas de formulario 1'!B458</f>
        <v>Aguero</v>
      </c>
      <c r="C458" s="7" t="str">
        <f>'Respuestas de formulario 1'!C458</f>
        <v>Nidia </v>
      </c>
      <c r="D458" s="7" t="str">
        <f>'Respuestas de formulario 1'!D458</f>
        <v>nidyaest3@gmail.com</v>
      </c>
      <c r="E458" s="20">
        <f>'Respuestas de formulario 1'!E458</f>
        <v>45427</v>
      </c>
      <c r="F458" s="7">
        <f>'Respuestas de formulario 1'!F458</f>
        <v>6396741</v>
      </c>
      <c r="G458" s="7" t="str">
        <f>IFERROR(__xludf.DUMMYFUNCTION("IF('Respuestas de formulario 1'!G458="""","""",IF(LEFT(REGEXREPLACE(TO_TEXT('Respuestas de formulario 1'!G458),""[^0-9]"",""""),2)=""54"",""+""&amp;REGEXREPLACE(TO_TEXT('Respuestas de formulario 1'!G458),""[^0-9]"",""""),""+54""&amp;REGEXREPLACE(TO_TEXT('Respuest"&amp;"as de formulario 1'!G458),""[^0-9]"","""")))"),"+543513587000")</f>
        <v>+543513587000</v>
      </c>
      <c r="H458" s="7">
        <f>'Respuestas de formulario 1'!S458</f>
        <v>2024</v>
      </c>
      <c r="I458" s="7" t="str">
        <f>IFERROR(__xludf.DUMMYFUNCTION("IF('Respuestas de formulario 1'!I458="""","""",TO_TEXT('Respuestas de formulario 1'!I458))"),"Obra social")</f>
        <v>Obra social</v>
      </c>
      <c r="J458" s="7" t="str">
        <f>IFERROR(__xludf.DUMMYFUNCTION("IF('Respuestas de formulario 1'!J458&lt;&gt;"""",UPPER(TRIM(TO_TEXT('Respuestas de formulario 1'!J458))),IF('Respuestas de formulario 1'!O458&lt;&gt;"""",UPPER(TRIM(TO_TEXT('Respuestas de formulario 1'!O458))),""""))"),"APROSS")</f>
        <v>APROSS</v>
      </c>
      <c r="K458" s="7" t="str">
        <f>IFERROR(__xludf.DUMMYFUNCTION("IF('Respuestas de formulario 1'!K458="""","""",TO_TEXT('Respuestas de formulario 1'!K458))"),"No")</f>
        <v>No</v>
      </c>
      <c r="L458" s="7" t="str">
        <f>IFERROR(__xludf.DUMMYFUNCTION("IF('Respuestas de formulario 1'!L458="""","""",TO_TEXT('Respuestas de formulario 1'!L458))"),"")</f>
        <v/>
      </c>
      <c r="M458" s="7" t="str">
        <f>IFERROR(__xludf.DUMMYFUNCTION("IF('Respuestas de formulario 1'!M458="""","""",TO_TEXT('Respuestas de formulario 1'!M458))"),"")</f>
        <v/>
      </c>
      <c r="N458" s="7">
        <f t="shared" si="1"/>
        <v>2024</v>
      </c>
      <c r="O458" s="7" t="str">
        <f t="shared" si="2"/>
        <v>febrero</v>
      </c>
      <c r="P458" s="7" t="s">
        <v>5110</v>
      </c>
    </row>
    <row r="459">
      <c r="A459" s="19">
        <f>'Respuestas de formulario 1'!A459</f>
        <v>45348.67383</v>
      </c>
      <c r="B459" s="7" t="str">
        <f>'Respuestas de formulario 1'!B459</f>
        <v>Baroni</v>
      </c>
      <c r="C459" s="7" t="str">
        <f>'Respuestas de formulario 1'!C459</f>
        <v>Tania Anahí </v>
      </c>
      <c r="D459" s="7" t="str">
        <f>'Respuestas de formulario 1'!D459</f>
        <v>Taniabaroni23@gmail.com</v>
      </c>
      <c r="E459" s="20">
        <f>'Respuestas de formulario 1'!E459</f>
        <v>36614</v>
      </c>
      <c r="F459" s="7">
        <f>'Respuestas de formulario 1'!F459</f>
        <v>42474808</v>
      </c>
      <c r="G459" s="7" t="str">
        <f>IFERROR(__xludf.DUMMYFUNCTION("IF('Respuestas de formulario 1'!G459="""","""",IF(LEFT(REGEXREPLACE(TO_TEXT('Respuestas de formulario 1'!G459),""[^0-9]"",""""),2)=""54"",""+""&amp;REGEXREPLACE(TO_TEXT('Respuestas de formulario 1'!G459),""[^0-9]"",""""),""+54""&amp;REGEXREPLACE(TO_TEXT('Respuest"&amp;"as de formulario 1'!G459),""[^0-9]"","""")))"),"+543515193313")</f>
        <v>+543515193313</v>
      </c>
      <c r="H459" s="7">
        <f>'Respuestas de formulario 1'!S459</f>
        <v>2024</v>
      </c>
      <c r="I459" s="7" t="str">
        <f>IFERROR(__xludf.DUMMYFUNCTION("IF('Respuestas de formulario 1'!I459="""","""",TO_TEXT('Respuestas de formulario 1'!I459))"),"Obra social")</f>
        <v>Obra social</v>
      </c>
      <c r="J459" s="7" t="str">
        <f>IFERROR(__xludf.DUMMYFUNCTION("IF('Respuestas de formulario 1'!J459&lt;&gt;"""",UPPER(TRIM(TO_TEXT('Respuestas de formulario 1'!J459))),IF('Respuestas de formulario 1'!O459&lt;&gt;"""",UPPER(TRIM(TO_TEXT('Respuestas de formulario 1'!O459))),""""))"),"PREVENCIÓN")</f>
        <v>PREVENCIÓN</v>
      </c>
      <c r="K459" s="7" t="str">
        <f>IFERROR(__xludf.DUMMYFUNCTION("IF('Respuestas de formulario 1'!K459="""","""",TO_TEXT('Respuestas de formulario 1'!K459))"),"No")</f>
        <v>No</v>
      </c>
      <c r="L459" s="7" t="str">
        <f>IFERROR(__xludf.DUMMYFUNCTION("IF('Respuestas de formulario 1'!L459="""","""",TO_TEXT('Respuestas de formulario 1'!L459))"),"")</f>
        <v/>
      </c>
      <c r="M459" s="7" t="str">
        <f>IFERROR(__xludf.DUMMYFUNCTION("IF('Respuestas de formulario 1'!M459="""","""",TO_TEXT('Respuestas de formulario 1'!M459))"),"")</f>
        <v/>
      </c>
      <c r="N459" s="7">
        <f t="shared" si="1"/>
        <v>2024</v>
      </c>
      <c r="O459" s="7" t="str">
        <f t="shared" si="2"/>
        <v>febrero</v>
      </c>
      <c r="P459" s="7" t="s">
        <v>5111</v>
      </c>
    </row>
    <row r="460">
      <c r="A460" s="19">
        <f>'Respuestas de formulario 1'!A460</f>
        <v>45349.74688</v>
      </c>
      <c r="B460" s="7" t="str">
        <f>'Respuestas de formulario 1'!B460</f>
        <v>Novaira</v>
      </c>
      <c r="C460" s="7" t="str">
        <f>'Respuestas de formulario 1'!C460</f>
        <v>Alejandra</v>
      </c>
      <c r="D460" s="7" t="str">
        <f>'Respuestas de formulario 1'!D460</f>
        <v>alenoa@hotmail.com</v>
      </c>
      <c r="E460" s="20">
        <f>'Respuestas de formulario 1'!E460</f>
        <v>24703</v>
      </c>
      <c r="F460" s="7">
        <f>'Respuestas de formulario 1'!F460</f>
        <v>18350328</v>
      </c>
      <c r="G460" s="7" t="str">
        <f>IFERROR(__xludf.DUMMYFUNCTION("IF('Respuestas de formulario 1'!G460="""","""",IF(LEFT(REGEXREPLACE(TO_TEXT('Respuestas de formulario 1'!G460),""[^0-9]"",""""),2)=""54"",""+""&amp;REGEXREPLACE(TO_TEXT('Respuestas de formulario 1'!G460),""[^0-9]"",""""),""+54""&amp;REGEXREPLACE(TO_TEXT('Respuest"&amp;"as de formulario 1'!G460),""[^0-9]"","""")))"),"+543515607661")</f>
        <v>+543515607661</v>
      </c>
      <c r="H460" s="7">
        <f>'Respuestas de formulario 1'!S460</f>
        <v>2024</v>
      </c>
      <c r="I460" s="7" t="str">
        <f>IFERROR(__xludf.DUMMYFUNCTION("IF('Respuestas de formulario 1'!I460="""","""",TO_TEXT('Respuestas de formulario 1'!I460))"),"Obra social")</f>
        <v>Obra social</v>
      </c>
      <c r="J460" s="7" t="str">
        <f>IFERROR(__xludf.DUMMYFUNCTION("IF('Respuestas de formulario 1'!J460&lt;&gt;"""",UPPER(TRIM(TO_TEXT('Respuestas de formulario 1'!J460))),IF('Respuestas de formulario 1'!O460&lt;&gt;"""",UPPER(TRIM(TO_TEXT('Respuestas de formulario 1'!O460))),""""))"),"MEDIFE")</f>
        <v>MEDIFE</v>
      </c>
      <c r="K460" s="7" t="str">
        <f>IFERROR(__xludf.DUMMYFUNCTION("IF('Respuestas de formulario 1'!K460="""","""",TO_TEXT('Respuestas de formulario 1'!K460))"),"No")</f>
        <v>No</v>
      </c>
      <c r="L460" s="7" t="str">
        <f>IFERROR(__xludf.DUMMYFUNCTION("IF('Respuestas de formulario 1'!L460="""","""",TO_TEXT('Respuestas de formulario 1'!L460))"),"")</f>
        <v/>
      </c>
      <c r="M460" s="7" t="str">
        <f>IFERROR(__xludf.DUMMYFUNCTION("IF('Respuestas de formulario 1'!M460="""","""",TO_TEXT('Respuestas de formulario 1'!M460))"),"")</f>
        <v/>
      </c>
      <c r="N460" s="7">
        <f t="shared" si="1"/>
        <v>2024</v>
      </c>
      <c r="O460" s="7" t="str">
        <f t="shared" si="2"/>
        <v>febrero</v>
      </c>
      <c r="P460" s="7" t="s">
        <v>5113</v>
      </c>
    </row>
    <row r="461">
      <c r="A461" s="19">
        <f>'Respuestas de formulario 1'!A461</f>
        <v>45349.78723</v>
      </c>
      <c r="B461" s="7" t="str">
        <f>'Respuestas de formulario 1'!B461</f>
        <v>Marques</v>
      </c>
      <c r="C461" s="7" t="str">
        <f>'Respuestas de formulario 1'!C461</f>
        <v>Jose Eduardo</v>
      </c>
      <c r="D461" s="7" t="str">
        <f>'Respuestas de formulario 1'!D461</f>
        <v>mediterraneaserviciosgenerales@gmail.com</v>
      </c>
      <c r="E461" s="20">
        <f>'Respuestas de formulario 1'!E461</f>
        <v>25491</v>
      </c>
      <c r="F461" s="7">
        <f>'Respuestas de formulario 1'!F461</f>
        <v>20997079</v>
      </c>
      <c r="G461" s="7" t="str">
        <f>IFERROR(__xludf.DUMMYFUNCTION("IF('Respuestas de formulario 1'!G461="""","""",IF(LEFT(REGEXREPLACE(TO_TEXT('Respuestas de formulario 1'!G461),""[^0-9]"",""""),2)=""54"",""+""&amp;REGEXREPLACE(TO_TEXT('Respuestas de formulario 1'!G461),""[^0-9]"",""""),""+54""&amp;REGEXREPLACE(TO_TEXT('Respuest"&amp;"as de formulario 1'!G461),""[^0-9]"","""")))"),"+543513979501")</f>
        <v>+543513979501</v>
      </c>
      <c r="H461" s="7">
        <f>'Respuestas de formulario 1'!S461</f>
        <v>2024</v>
      </c>
      <c r="I461" s="7" t="str">
        <f>IFERROR(__xludf.DUMMYFUNCTION("IF('Respuestas de formulario 1'!I461="""","""",TO_TEXT('Respuestas de formulario 1'!I461))"),"Obra social")</f>
        <v>Obra social</v>
      </c>
      <c r="J461" s="7" t="str">
        <f>IFERROR(__xludf.DUMMYFUNCTION("IF('Respuestas de formulario 1'!J461&lt;&gt;"""",UPPER(TRIM(TO_TEXT('Respuestas de formulario 1'!J461))),IF('Respuestas de formulario 1'!O461&lt;&gt;"""",UPPER(TRIM(TO_TEXT('Respuestas de formulario 1'!O461))),""""))"),"SANCOR")</f>
        <v>SANCOR</v>
      </c>
      <c r="K461" s="7" t="str">
        <f>IFERROR(__xludf.DUMMYFUNCTION("IF('Respuestas de formulario 1'!K461="""","""",TO_TEXT('Respuestas de formulario 1'!K461))"),"Si")</f>
        <v>Si</v>
      </c>
      <c r="L461" s="7" t="str">
        <f>IFERROR(__xludf.DUMMYFUNCTION("IF('Respuestas de formulario 1'!L461="""","""",TO_TEXT('Respuestas de formulario 1'!L461))"),"Fútbol")</f>
        <v>Fútbol</v>
      </c>
      <c r="M461" s="7" t="str">
        <f>IFERROR(__xludf.DUMMYFUNCTION("IF('Respuestas de formulario 1'!M461="""","""",TO_TEXT('Respuestas de formulario 1'!M461))"),"1 a 2 veces por semana")</f>
        <v>1 a 2 veces por semana</v>
      </c>
      <c r="N461" s="7">
        <f t="shared" si="1"/>
        <v>2024</v>
      </c>
      <c r="O461" s="7" t="str">
        <f t="shared" si="2"/>
        <v>febrero</v>
      </c>
      <c r="P461" s="7" t="s">
        <v>5115</v>
      </c>
    </row>
    <row r="462">
      <c r="A462" s="19">
        <f>'Respuestas de formulario 1'!A462</f>
        <v>45349.78786</v>
      </c>
      <c r="B462" s="7" t="str">
        <f>'Respuestas de formulario 1'!B462</f>
        <v>Loforte </v>
      </c>
      <c r="C462" s="7" t="str">
        <f>'Respuestas de formulario 1'!C462</f>
        <v>Diego </v>
      </c>
      <c r="D462" s="7" t="str">
        <f>'Respuestas de formulario 1'!D462</f>
        <v>lofdiego@gmail.com</v>
      </c>
      <c r="E462" s="20">
        <f>'Respuestas de formulario 1'!E462</f>
        <v>31528</v>
      </c>
      <c r="F462" s="7">
        <f>'Respuestas de formulario 1'!F462</f>
        <v>32240312</v>
      </c>
      <c r="G462" s="7" t="str">
        <f>IFERROR(__xludf.DUMMYFUNCTION("IF('Respuestas de formulario 1'!G462="""","""",IF(LEFT(REGEXREPLACE(TO_TEXT('Respuestas de formulario 1'!G462),""[^0-9]"",""""),2)=""54"",""+""&amp;REGEXREPLACE(TO_TEXT('Respuestas de formulario 1'!G462),""[^0-9]"",""""),""+54""&amp;REGEXREPLACE(TO_TEXT('Respuest"&amp;"as de formulario 1'!G462),""[^0-9]"","""")))"),"+543512082142")</f>
        <v>+543512082142</v>
      </c>
      <c r="H462" s="7">
        <f>'Respuestas de formulario 1'!S462</f>
        <v>2024</v>
      </c>
      <c r="I462" s="7" t="str">
        <f>IFERROR(__xludf.DUMMYFUNCTION("IF('Respuestas de formulario 1'!I462="""","""",TO_TEXT('Respuestas de formulario 1'!I462))"),"Obra social")</f>
        <v>Obra social</v>
      </c>
      <c r="J462" s="7" t="str">
        <f>IFERROR(__xludf.DUMMYFUNCTION("IF('Respuestas de formulario 1'!J462&lt;&gt;"""",UPPER(TRIM(TO_TEXT('Respuestas de formulario 1'!J462))),IF('Respuestas de formulario 1'!O462&lt;&gt;"""",UPPER(TRIM(TO_TEXT('Respuestas de formulario 1'!O462))),""""))"),"APROSS")</f>
        <v>APROSS</v>
      </c>
      <c r="K462" s="7" t="str">
        <f>IFERROR(__xludf.DUMMYFUNCTION("IF('Respuestas de formulario 1'!K462="""","""",TO_TEXT('Respuestas de formulario 1'!K462))"),"Si")</f>
        <v>Si</v>
      </c>
      <c r="L462" s="7" t="str">
        <f>IFERROR(__xludf.DUMMYFUNCTION("IF('Respuestas de formulario 1'!L462="""","""",TO_TEXT('Respuestas de formulario 1'!L462))"),"CrossFit ")</f>
        <v>CrossFit </v>
      </c>
      <c r="M462" s="7" t="str">
        <f>IFERROR(__xludf.DUMMYFUNCTION("IF('Respuestas de formulario 1'!M462="""","""",TO_TEXT('Respuestas de formulario 1'!M462))"),"3 a 5 veces por semana")</f>
        <v>3 a 5 veces por semana</v>
      </c>
      <c r="N462" s="7">
        <f t="shared" si="1"/>
        <v>2024</v>
      </c>
      <c r="O462" s="7" t="str">
        <f t="shared" si="2"/>
        <v>febrero</v>
      </c>
      <c r="P462" s="7" t="s">
        <v>5117</v>
      </c>
    </row>
    <row r="463">
      <c r="A463" s="19">
        <f>'Respuestas de formulario 1'!A463</f>
        <v>45349.85533</v>
      </c>
      <c r="B463" s="7" t="str">
        <f>'Respuestas de formulario 1'!B463</f>
        <v>Rodolfi</v>
      </c>
      <c r="C463" s="7" t="str">
        <f>'Respuestas de formulario 1'!C463</f>
        <v>Juan Cruz </v>
      </c>
      <c r="D463" s="7" t="str">
        <f>'Respuestas de formulario 1'!D463</f>
        <v>Juanrodolfi1923@gmail.com</v>
      </c>
      <c r="E463" s="20">
        <f>'Respuestas de formulario 1'!E463</f>
        <v>34903</v>
      </c>
      <c r="F463" s="7">
        <f>'Respuestas de formulario 1'!F463</f>
        <v>38882842</v>
      </c>
      <c r="G463" s="7" t="str">
        <f>IFERROR(__xludf.DUMMYFUNCTION("IF('Respuestas de formulario 1'!G463="""","""",IF(LEFT(REGEXREPLACE(TO_TEXT('Respuestas de formulario 1'!G463),""[^0-9]"",""""),2)=""54"",""+""&amp;REGEXREPLACE(TO_TEXT('Respuestas de formulario 1'!G463),""[^0-9]"",""""),""+54""&amp;REGEXREPLACE(TO_TEXT('Respuest"&amp;"as de formulario 1'!G463),""[^0-9]"","""")))"),"+543512107843")</f>
        <v>+543512107843</v>
      </c>
      <c r="H463" s="7">
        <f>'Respuestas de formulario 1'!S463</f>
        <v>2024</v>
      </c>
      <c r="I463" s="7" t="str">
        <f>IFERROR(__xludf.DUMMYFUNCTION("IF('Respuestas de formulario 1'!I463="""","""",TO_TEXT('Respuestas de formulario 1'!I463))"),"Particular")</f>
        <v>Particular</v>
      </c>
      <c r="J463" s="7" t="str">
        <f>IFERROR(__xludf.DUMMYFUNCTION("IF('Respuestas de formulario 1'!J463&lt;&gt;"""",UPPER(TRIM(TO_TEXT('Respuestas de formulario 1'!J463))),IF('Respuestas de formulario 1'!O463&lt;&gt;"""",UPPER(TRIM(TO_TEXT('Respuestas de formulario 1'!O463))),""""))"),"")</f>
        <v/>
      </c>
      <c r="K463" s="7" t="str">
        <f>IFERROR(__xludf.DUMMYFUNCTION("IF('Respuestas de formulario 1'!K463="""","""",TO_TEXT('Respuestas de formulario 1'!K463))"),"Si")</f>
        <v>Si</v>
      </c>
      <c r="L463" s="7" t="str">
        <f>IFERROR(__xludf.DUMMYFUNCTION("IF('Respuestas de formulario 1'!L463="""","""",TO_TEXT('Respuestas de formulario 1'!L463))"),"Básquet")</f>
        <v>Básquet</v>
      </c>
      <c r="M463" s="7" t="str">
        <f>IFERROR(__xludf.DUMMYFUNCTION("IF('Respuestas de formulario 1'!M463="""","""",TO_TEXT('Respuestas de formulario 1'!M463))"),"1 a 2 veces por semana")</f>
        <v>1 a 2 veces por semana</v>
      </c>
      <c r="N463" s="7">
        <f t="shared" si="1"/>
        <v>2024</v>
      </c>
      <c r="O463" s="7" t="str">
        <f t="shared" si="2"/>
        <v>febrero</v>
      </c>
      <c r="P463" s="7" t="s">
        <v>5119</v>
      </c>
    </row>
    <row r="464">
      <c r="A464" s="19">
        <f>'Respuestas de formulario 1'!A464</f>
        <v>45352.77002</v>
      </c>
      <c r="B464" s="7" t="str">
        <f>'Respuestas de formulario 1'!B464</f>
        <v>Martínez </v>
      </c>
      <c r="C464" s="7" t="str">
        <f>'Respuestas de formulario 1'!C464</f>
        <v>Esmeralda</v>
      </c>
      <c r="D464" s="7" t="str">
        <f>'Respuestas de formulario 1'!D464</f>
        <v>Ejecutivavilahouse.em@gmail.com</v>
      </c>
      <c r="E464" s="20">
        <f>'Respuestas de formulario 1'!E464</f>
        <v>32705</v>
      </c>
      <c r="F464" s="7">
        <f>'Respuestas de formulario 1'!F464</f>
        <v>34601816</v>
      </c>
      <c r="G464" s="7" t="str">
        <f>IFERROR(__xludf.DUMMYFUNCTION("IF('Respuestas de formulario 1'!G464="""","""",IF(LEFT(REGEXREPLACE(TO_TEXT('Respuestas de formulario 1'!G464),""[^0-9]"",""""),2)=""54"",""+""&amp;REGEXREPLACE(TO_TEXT('Respuestas de formulario 1'!G464),""[^0-9]"",""""),""+54""&amp;REGEXREPLACE(TO_TEXT('Respuest"&amp;"as de formulario 1'!G464),""[^0-9]"","""")))"),"+543517049267")</f>
        <v>+543517049267</v>
      </c>
      <c r="H464" s="7">
        <f>'Respuestas de formulario 1'!S464</f>
        <v>2024</v>
      </c>
      <c r="I464" s="7" t="str">
        <f>IFERROR(__xludf.DUMMYFUNCTION("IF('Respuestas de formulario 1'!I464="""","""",TO_TEXT('Respuestas de formulario 1'!I464))"),"Obra social")</f>
        <v>Obra social</v>
      </c>
      <c r="J464" s="7" t="str">
        <f>IFERROR(__xludf.DUMMYFUNCTION("IF('Respuestas de formulario 1'!J464&lt;&gt;"""",UPPER(TRIM(TO_TEXT('Respuestas de formulario 1'!J464))),IF('Respuestas de formulario 1'!O464&lt;&gt;"""",UPPER(TRIM(TO_TEXT('Respuestas de formulario 1'!O464))),""""))"),"PREVENCIÓN")</f>
        <v>PREVENCIÓN</v>
      </c>
      <c r="K464" s="7" t="str">
        <f>IFERROR(__xludf.DUMMYFUNCTION("IF('Respuestas de formulario 1'!K464="""","""",TO_TEXT('Respuestas de formulario 1'!K464))"),"Si")</f>
        <v>Si</v>
      </c>
      <c r="L464" s="7" t="str">
        <f>IFERROR(__xludf.DUMMYFUNCTION("IF('Respuestas de formulario 1'!L464="""","""",TO_TEXT('Respuestas de formulario 1'!L464))"),"Gimnasio")</f>
        <v>Gimnasio</v>
      </c>
      <c r="M464" s="7" t="str">
        <f>IFERROR(__xludf.DUMMYFUNCTION("IF('Respuestas de formulario 1'!M464="""","""",TO_TEXT('Respuestas de formulario 1'!M464))"),"1 a 2 veces por semana")</f>
        <v>1 a 2 veces por semana</v>
      </c>
      <c r="N464" s="7">
        <f t="shared" si="1"/>
        <v>2024</v>
      </c>
      <c r="O464" s="7" t="str">
        <f t="shared" si="2"/>
        <v>marzo</v>
      </c>
      <c r="P464" s="7" t="s">
        <v>5121</v>
      </c>
    </row>
    <row r="465">
      <c r="A465" s="19">
        <f>'Respuestas de formulario 1'!A465</f>
        <v>45353.61551</v>
      </c>
      <c r="B465" s="7" t="str">
        <f>'Respuestas de formulario 1'!B465</f>
        <v>Balestrini </v>
      </c>
      <c r="C465" s="7" t="str">
        <f>'Respuestas de formulario 1'!C465</f>
        <v>Agustina Belén </v>
      </c>
      <c r="D465" s="7" t="str">
        <f>'Respuestas de formulario 1'!D465</f>
        <v>agustinabalestrini26@gmail.com </v>
      </c>
      <c r="E465" s="20">
        <f>'Respuestas de formulario 1'!E465</f>
        <v>34799</v>
      </c>
      <c r="F465" s="21">
        <f>'Respuestas de formulario 1'!F465</f>
        <v>38986452</v>
      </c>
      <c r="G465" s="7" t="str">
        <f>IFERROR(__xludf.DUMMYFUNCTION("IF('Respuestas de formulario 1'!G465="""","""",IF(LEFT(REGEXREPLACE(TO_TEXT('Respuestas de formulario 1'!G465),""[^0-9]"",""""),2)=""54"",""+""&amp;REGEXREPLACE(TO_TEXT('Respuestas de formulario 1'!G465),""[^0-9]"",""""),""+54""&amp;REGEXREPLACE(TO_TEXT('Respuest"&amp;"as de formulario 1'!G465),""[^0-9]"","""")))"),"+543512051211")</f>
        <v>+543512051211</v>
      </c>
      <c r="H465" s="7">
        <f>'Respuestas de formulario 1'!S465</f>
        <v>2024</v>
      </c>
      <c r="I465" s="7" t="str">
        <f>IFERROR(__xludf.DUMMYFUNCTION("IF('Respuestas de formulario 1'!I465="""","""",TO_TEXT('Respuestas de formulario 1'!I465))"),"Particular")</f>
        <v>Particular</v>
      </c>
      <c r="J465" s="7" t="str">
        <f>IFERROR(__xludf.DUMMYFUNCTION("IF('Respuestas de formulario 1'!J465&lt;&gt;"""",UPPER(TRIM(TO_TEXT('Respuestas de formulario 1'!J465))),IF('Respuestas de formulario 1'!O465&lt;&gt;"""",UPPER(TRIM(TO_TEXT('Respuestas de formulario 1'!O465))),""""))"),"")</f>
        <v/>
      </c>
      <c r="K465" s="7" t="str">
        <f>IFERROR(__xludf.DUMMYFUNCTION("IF('Respuestas de formulario 1'!K465="""","""",TO_TEXT('Respuestas de formulario 1'!K465))"),"No")</f>
        <v>No</v>
      </c>
      <c r="L465" s="7" t="str">
        <f>IFERROR(__xludf.DUMMYFUNCTION("IF('Respuestas de formulario 1'!L465="""","""",TO_TEXT('Respuestas de formulario 1'!L465))"),"")</f>
        <v/>
      </c>
      <c r="M465" s="7" t="str">
        <f>IFERROR(__xludf.DUMMYFUNCTION("IF('Respuestas de formulario 1'!M465="""","""",TO_TEXT('Respuestas de formulario 1'!M465))"),"")</f>
        <v/>
      </c>
      <c r="N465" s="7">
        <f t="shared" si="1"/>
        <v>2024</v>
      </c>
      <c r="O465" s="7" t="str">
        <f t="shared" si="2"/>
        <v>marzo</v>
      </c>
      <c r="P465" s="7" t="s">
        <v>5123</v>
      </c>
    </row>
    <row r="466">
      <c r="A466" s="19">
        <f>'Respuestas de formulario 1'!A466</f>
        <v>45355.64736</v>
      </c>
      <c r="B466" s="7" t="str">
        <f>'Respuestas de formulario 1'!B466</f>
        <v>HERNANDEZ</v>
      </c>
      <c r="C466" s="7" t="str">
        <f>'Respuestas de formulario 1'!C466</f>
        <v>Maria Cecilia</v>
      </c>
      <c r="D466" s="7" t="str">
        <f>'Respuestas de formulario 1'!D466</f>
        <v>cecilia821@hotmail.com</v>
      </c>
      <c r="E466" s="20">
        <f>'Respuestas de formulario 1'!E466</f>
        <v>30022</v>
      </c>
      <c r="F466" s="7">
        <f>'Respuestas de formulario 1'!F466</f>
        <v>29474256</v>
      </c>
      <c r="G466" s="7" t="str">
        <f>IFERROR(__xludf.DUMMYFUNCTION("IF('Respuestas de formulario 1'!G466="""","""",IF(LEFT(REGEXREPLACE(TO_TEXT('Respuestas de formulario 1'!G466),""[^0-9]"",""""),2)=""54"",""+""&amp;REGEXREPLACE(TO_TEXT('Respuestas de formulario 1'!G466),""[^0-9]"",""""),""+54""&amp;REGEXREPLACE(TO_TEXT('Respuest"&amp;"as de formulario 1'!G466),""[^0-9]"","""")))"),"+543512630652")</f>
        <v>+543512630652</v>
      </c>
      <c r="H466" s="7">
        <f>'Respuestas de formulario 1'!S466</f>
        <v>2024</v>
      </c>
      <c r="I466" s="7" t="str">
        <f>IFERROR(__xludf.DUMMYFUNCTION("IF('Respuestas de formulario 1'!I466="""","""",TO_TEXT('Respuestas de formulario 1'!I466))"),"Obra social")</f>
        <v>Obra social</v>
      </c>
      <c r="J466" s="7" t="str">
        <f>IFERROR(__xludf.DUMMYFUNCTION("IF('Respuestas de formulario 1'!J466&lt;&gt;"""",UPPER(TRIM(TO_TEXT('Respuestas de formulario 1'!J466))),IF('Respuestas de formulario 1'!O466&lt;&gt;"""",UPPER(TRIM(TO_TEXT('Respuestas de formulario 1'!O466))),""""))"),"APROSS")</f>
        <v>APROSS</v>
      </c>
      <c r="K466" s="7" t="str">
        <f>IFERROR(__xludf.DUMMYFUNCTION("IF('Respuestas de formulario 1'!K466="""","""",TO_TEXT('Respuestas de formulario 1'!K466))"),"Si")</f>
        <v>Si</v>
      </c>
      <c r="L466" s="7" t="str">
        <f>IFERROR(__xludf.DUMMYFUNCTION("IF('Respuestas de formulario 1'!L466="""","""",TO_TEXT('Respuestas de formulario 1'!L466))"),"Gimnasio")</f>
        <v>Gimnasio</v>
      </c>
      <c r="M466" s="7" t="str">
        <f>IFERROR(__xludf.DUMMYFUNCTION("IF('Respuestas de formulario 1'!M466="""","""",TO_TEXT('Respuestas de formulario 1'!M466))"),"3 a 5 veces por semana")</f>
        <v>3 a 5 veces por semana</v>
      </c>
      <c r="N466" s="7">
        <f t="shared" si="1"/>
        <v>2024</v>
      </c>
      <c r="O466" s="7" t="str">
        <f t="shared" si="2"/>
        <v>marzo</v>
      </c>
      <c r="P466" s="7" t="s">
        <v>5125</v>
      </c>
    </row>
    <row r="467">
      <c r="A467" s="19">
        <f>'Respuestas de formulario 1'!A467</f>
        <v>45355.83774</v>
      </c>
      <c r="B467" s="7" t="str">
        <f>'Respuestas de formulario 1'!B467</f>
        <v>Oviedo </v>
      </c>
      <c r="C467" s="7" t="str">
        <f>'Respuestas de formulario 1'!C467</f>
        <v>Camila lucía</v>
      </c>
      <c r="D467" s="7" t="str">
        <f>'Respuestas de formulario 1'!D467</f>
        <v>oviedocam9@gmail.com</v>
      </c>
      <c r="E467" s="20">
        <f>'Respuestas de formulario 1'!E467</f>
        <v>36801</v>
      </c>
      <c r="F467" s="7">
        <f>'Respuestas de formulario 1'!F467</f>
        <v>42856112</v>
      </c>
      <c r="G467" s="7" t="str">
        <f>IFERROR(__xludf.DUMMYFUNCTION("IF('Respuestas de formulario 1'!G467="""","""",IF(LEFT(REGEXREPLACE(TO_TEXT('Respuestas de formulario 1'!G467),""[^0-9]"",""""),2)=""54"",""+""&amp;REGEXREPLACE(TO_TEXT('Respuestas de formulario 1'!G467),""[^0-9]"",""""),""+54""&amp;REGEXREPLACE(TO_TEXT('Respuest"&amp;"as de formulario 1'!G467),""[^0-9]"","""")))"),"+543512397685")</f>
        <v>+543512397685</v>
      </c>
      <c r="H467" s="7">
        <f>'Respuestas de formulario 1'!S467</f>
        <v>2024</v>
      </c>
      <c r="I467" s="7" t="str">
        <f>IFERROR(__xludf.DUMMYFUNCTION("IF('Respuestas de formulario 1'!I467="""","""",TO_TEXT('Respuestas de formulario 1'!I467))"),"Particular")</f>
        <v>Particular</v>
      </c>
      <c r="J467" s="7" t="str">
        <f>IFERROR(__xludf.DUMMYFUNCTION("IF('Respuestas de formulario 1'!J467&lt;&gt;"""",UPPER(TRIM(TO_TEXT('Respuestas de formulario 1'!J467))),IF('Respuestas de formulario 1'!O467&lt;&gt;"""",UPPER(TRIM(TO_TEXT('Respuestas de formulario 1'!O467))),""""))"),"")</f>
        <v/>
      </c>
      <c r="K467" s="7" t="str">
        <f>IFERROR(__xludf.DUMMYFUNCTION("IF('Respuestas de formulario 1'!K467="""","""",TO_TEXT('Respuestas de formulario 1'!K467))"),"Si")</f>
        <v>Si</v>
      </c>
      <c r="L467" s="7" t="str">
        <f>IFERROR(__xludf.DUMMYFUNCTION("IF('Respuestas de formulario 1'!L467="""","""",TO_TEXT('Respuestas de formulario 1'!L467))"),"Pilates")</f>
        <v>Pilates</v>
      </c>
      <c r="M467" s="7" t="str">
        <f>IFERROR(__xludf.DUMMYFUNCTION("IF('Respuestas de formulario 1'!M467="""","""",TO_TEXT('Respuestas de formulario 1'!M467))"),"3 a 5 veces por semana")</f>
        <v>3 a 5 veces por semana</v>
      </c>
      <c r="N467" s="7">
        <f t="shared" si="1"/>
        <v>2024</v>
      </c>
      <c r="O467" s="7" t="str">
        <f t="shared" si="2"/>
        <v>marzo</v>
      </c>
      <c r="P467" s="7" t="s">
        <v>5127</v>
      </c>
    </row>
    <row r="468">
      <c r="A468" s="19">
        <f>'Respuestas de formulario 1'!A468</f>
        <v>45356.73033</v>
      </c>
      <c r="B468" s="7" t="str">
        <f>'Respuestas de formulario 1'!B468</f>
        <v>Boretto </v>
      </c>
      <c r="C468" s="7" t="str">
        <f>'Respuestas de formulario 1'!C468</f>
        <v>Andrea</v>
      </c>
      <c r="D468" s="7" t="str">
        <f>'Respuestas de formulario 1'!D468</f>
        <v>andresboretto11@gmail.com</v>
      </c>
      <c r="E468" s="20">
        <f>'Respuestas de formulario 1'!E468</f>
        <v>31027</v>
      </c>
      <c r="F468" s="7">
        <f>'Respuestas de formulario 1'!F468</f>
        <v>31219974</v>
      </c>
      <c r="G468" s="7" t="str">
        <f>IFERROR(__xludf.DUMMYFUNCTION("IF('Respuestas de formulario 1'!G468="""","""",IF(LEFT(REGEXREPLACE(TO_TEXT('Respuestas de formulario 1'!G468),""[^0-9]"",""""),2)=""54"",""+""&amp;REGEXREPLACE(TO_TEXT('Respuestas de formulario 1'!G468),""[^0-9]"",""""),""+54""&amp;REGEXREPLACE(TO_TEXT('Respuest"&amp;"as de formulario 1'!G468),""[^0-9]"","""")))"),"+543512343275")</f>
        <v>+543512343275</v>
      </c>
      <c r="H468" s="7">
        <f>'Respuestas de formulario 1'!S468</f>
        <v>2024</v>
      </c>
      <c r="I468" s="7" t="str">
        <f>IFERROR(__xludf.DUMMYFUNCTION("IF('Respuestas de formulario 1'!I468="""","""",TO_TEXT('Respuestas de formulario 1'!I468))"),"Obra social")</f>
        <v>Obra social</v>
      </c>
      <c r="J468" s="7" t="str">
        <f>IFERROR(__xludf.DUMMYFUNCTION("IF('Respuestas de formulario 1'!J468&lt;&gt;"""",UPPER(TRIM(TO_TEXT('Respuestas de formulario 1'!J468))),IF('Respuestas de formulario 1'!O468&lt;&gt;"""",UPPER(TRIM(TO_TEXT('Respuestas de formulario 1'!O468))),""""))"),"PREVENCIÓN")</f>
        <v>PREVENCIÓN</v>
      </c>
      <c r="K468" s="7" t="str">
        <f>IFERROR(__xludf.DUMMYFUNCTION("IF('Respuestas de formulario 1'!K468="""","""",TO_TEXT('Respuestas de formulario 1'!K468))"),"No")</f>
        <v>No</v>
      </c>
      <c r="L468" s="7" t="str">
        <f>IFERROR(__xludf.DUMMYFUNCTION("IF('Respuestas de formulario 1'!L468="""","""",TO_TEXT('Respuestas de formulario 1'!L468))"),"")</f>
        <v/>
      </c>
      <c r="M468" s="7" t="str">
        <f>IFERROR(__xludf.DUMMYFUNCTION("IF('Respuestas de formulario 1'!M468="""","""",TO_TEXT('Respuestas de formulario 1'!M468))"),"")</f>
        <v/>
      </c>
      <c r="N468" s="7">
        <f t="shared" si="1"/>
        <v>2024</v>
      </c>
      <c r="O468" s="7" t="str">
        <f t="shared" si="2"/>
        <v>marzo</v>
      </c>
      <c r="P468" s="7" t="s">
        <v>5129</v>
      </c>
    </row>
    <row r="469">
      <c r="A469" s="19">
        <f>'Respuestas de formulario 1'!A469</f>
        <v>45356.73251</v>
      </c>
      <c r="B469" s="7" t="str">
        <f>'Respuestas de formulario 1'!B469</f>
        <v>Irisarri</v>
      </c>
      <c r="C469" s="7" t="str">
        <f>'Respuestas de formulario 1'!C469</f>
        <v>Carlos</v>
      </c>
      <c r="D469" s="7" t="str">
        <f>'Respuestas de formulario 1'!D469</f>
        <v>cirisarri@gmail.com</v>
      </c>
      <c r="E469" s="20">
        <f>'Respuestas de formulario 1'!E469</f>
        <v>24942</v>
      </c>
      <c r="F469" s="7">
        <f>'Respuestas de formulario 1'!F469</f>
        <v>20345615</v>
      </c>
      <c r="G469" s="7" t="str">
        <f>IFERROR(__xludf.DUMMYFUNCTION("IF('Respuestas de formulario 1'!G469="""","""",IF(LEFT(REGEXREPLACE(TO_TEXT('Respuestas de formulario 1'!G469),""[^0-9]"",""""),2)=""54"",""+""&amp;REGEXREPLACE(TO_TEXT('Respuestas de formulario 1'!G469),""[^0-9]"",""""),""+54""&amp;REGEXREPLACE(TO_TEXT('Respuest"&amp;"as de formulario 1'!G469),""[^0-9]"","""")))"),"+543513571392")</f>
        <v>+543513571392</v>
      </c>
      <c r="H469" s="7">
        <f>'Respuestas de formulario 1'!S469</f>
        <v>2024</v>
      </c>
      <c r="I469" s="7" t="str">
        <f>IFERROR(__xludf.DUMMYFUNCTION("IF('Respuestas de formulario 1'!I469="""","""",TO_TEXT('Respuestas de formulario 1'!I469))"),"Obra social")</f>
        <v>Obra social</v>
      </c>
      <c r="J469" s="7" t="str">
        <f>IFERROR(__xludf.DUMMYFUNCTION("IF('Respuestas de formulario 1'!J469&lt;&gt;"""",UPPER(TRIM(TO_TEXT('Respuestas de formulario 1'!J469))),IF('Respuestas de formulario 1'!O469&lt;&gt;"""",UPPER(TRIM(TO_TEXT('Respuestas de formulario 1'!O469))),""""))"),"SANCOR")</f>
        <v>SANCOR</v>
      </c>
      <c r="K469" s="7" t="str">
        <f>IFERROR(__xludf.DUMMYFUNCTION("IF('Respuestas de formulario 1'!K469="""","""",TO_TEXT('Respuestas de formulario 1'!K469))"),"Si")</f>
        <v>Si</v>
      </c>
      <c r="L469" s="7" t="str">
        <f>IFERROR(__xludf.DUMMYFUNCTION("IF('Respuestas de formulario 1'!L469="""","""",TO_TEXT('Respuestas de formulario 1'!L469))"),"Fútbol")</f>
        <v>Fútbol</v>
      </c>
      <c r="M469" s="7" t="str">
        <f>IFERROR(__xludf.DUMMYFUNCTION("IF('Respuestas de formulario 1'!M469="""","""",TO_TEXT('Respuestas de formulario 1'!M469))"),"1 a 2 veces por semana")</f>
        <v>1 a 2 veces por semana</v>
      </c>
      <c r="N469" s="7">
        <f t="shared" si="1"/>
        <v>2024</v>
      </c>
      <c r="O469" s="7" t="str">
        <f t="shared" si="2"/>
        <v>marzo</v>
      </c>
      <c r="P469" s="7" t="s">
        <v>5131</v>
      </c>
    </row>
    <row r="470">
      <c r="A470" s="19">
        <f>'Respuestas de formulario 1'!A470</f>
        <v>45356.77411</v>
      </c>
      <c r="B470" s="7" t="str">
        <f>'Respuestas de formulario 1'!B470</f>
        <v>Pereira Cabrera</v>
      </c>
      <c r="C470" s="7" t="str">
        <f>'Respuestas de formulario 1'!C470</f>
        <v>Maria Laura</v>
      </c>
      <c r="D470" s="7" t="str">
        <f>'Respuestas de formulario 1'!D470</f>
        <v>lalau02@hotmail.com </v>
      </c>
      <c r="E470" s="20">
        <f>'Respuestas de formulario 1'!E470</f>
        <v>30088</v>
      </c>
      <c r="F470" s="7">
        <f>'Respuestas de formulario 1'!F470</f>
        <v>29475530</v>
      </c>
      <c r="G470" s="7" t="str">
        <f>IFERROR(__xludf.DUMMYFUNCTION("IF('Respuestas de formulario 1'!G470="""","""",IF(LEFT(REGEXREPLACE(TO_TEXT('Respuestas de formulario 1'!G470),""[^0-9]"",""""),2)=""54"",""+""&amp;REGEXREPLACE(TO_TEXT('Respuestas de formulario 1'!G470),""[^0-9]"",""""),""+54""&amp;REGEXREPLACE(TO_TEXT('Respuest"&amp;"as de formulario 1'!G470),""[^0-9]"","""")))"),"+543512451017")</f>
        <v>+543512451017</v>
      </c>
      <c r="H470" s="7">
        <f>'Respuestas de formulario 1'!S470</f>
        <v>2024</v>
      </c>
      <c r="I470" s="7" t="str">
        <f>IFERROR(__xludf.DUMMYFUNCTION("IF('Respuestas de formulario 1'!I470="""","""",TO_TEXT('Respuestas de formulario 1'!I470))"),"Obra social")</f>
        <v>Obra social</v>
      </c>
      <c r="J470" s="7" t="str">
        <f>IFERROR(__xludf.DUMMYFUNCTION("IF('Respuestas de formulario 1'!J470&lt;&gt;"""",UPPER(TRIM(TO_TEXT('Respuestas de formulario 1'!J470))),IF('Respuestas de formulario 1'!O470&lt;&gt;"""",UPPER(TRIM(TO_TEXT('Respuestas de formulario 1'!O470))),""""))"),"DASPU")</f>
        <v>DASPU</v>
      </c>
      <c r="K470" s="7" t="str">
        <f>IFERROR(__xludf.DUMMYFUNCTION("IF('Respuestas de formulario 1'!K470="""","""",TO_TEXT('Respuestas de formulario 1'!K470))"),"Si")</f>
        <v>Si</v>
      </c>
      <c r="L470" s="7" t="str">
        <f>IFERROR(__xludf.DUMMYFUNCTION("IF('Respuestas de formulario 1'!L470="""","""",TO_TEXT('Respuestas de formulario 1'!L470))"),"Yoga. Método Iyengar")</f>
        <v>Yoga. Método Iyengar</v>
      </c>
      <c r="M470" s="7" t="str">
        <f>IFERROR(__xludf.DUMMYFUNCTION("IF('Respuestas de formulario 1'!M470="""","""",TO_TEXT('Respuestas de formulario 1'!M470))"),"3 a 5 veces por semana")</f>
        <v>3 a 5 veces por semana</v>
      </c>
      <c r="N470" s="7">
        <f t="shared" si="1"/>
        <v>2024</v>
      </c>
      <c r="O470" s="7" t="str">
        <f t="shared" si="2"/>
        <v>marzo</v>
      </c>
      <c r="P470" s="7" t="s">
        <v>5133</v>
      </c>
    </row>
    <row r="471">
      <c r="A471" s="19">
        <f>'Respuestas de formulario 1'!A471</f>
        <v>45356.81823</v>
      </c>
      <c r="B471" s="7" t="str">
        <f>'Respuestas de formulario 1'!B471</f>
        <v>Irisarri </v>
      </c>
      <c r="C471" s="7" t="str">
        <f>'Respuestas de formulario 1'!C471</f>
        <v>Tomas</v>
      </c>
      <c r="D471" s="7" t="str">
        <f>'Respuestas de formulario 1'!D471</f>
        <v>Tomasirisarri00@gmail.com</v>
      </c>
      <c r="E471" s="20">
        <f>'Respuestas de formulario 1'!E471</f>
        <v>36690</v>
      </c>
      <c r="F471" s="7">
        <f>'Respuestas de formulario 1'!F471</f>
        <v>42476418</v>
      </c>
      <c r="G471" s="7" t="str">
        <f>IFERROR(__xludf.DUMMYFUNCTION("IF('Respuestas de formulario 1'!G471="""","""",IF(LEFT(REGEXREPLACE(TO_TEXT('Respuestas de formulario 1'!G471),""[^0-9]"",""""),2)=""54"",""+""&amp;REGEXREPLACE(TO_TEXT('Respuestas de formulario 1'!G471),""[^0-9]"",""""),""+54""&amp;REGEXREPLACE(TO_TEXT('Respuest"&amp;"as de formulario 1'!G471),""[^0-9]"","""")))"),"+543512620340")</f>
        <v>+543512620340</v>
      </c>
      <c r="H471" s="7">
        <f>'Respuestas de formulario 1'!S471</f>
        <v>2024</v>
      </c>
      <c r="I471" s="7" t="str">
        <f>IFERROR(__xludf.DUMMYFUNCTION("IF('Respuestas de formulario 1'!I471="""","""",TO_TEXT('Respuestas de formulario 1'!I471))"),"Obra social")</f>
        <v>Obra social</v>
      </c>
      <c r="J471" s="7" t="str">
        <f>IFERROR(__xludf.DUMMYFUNCTION("IF('Respuestas de formulario 1'!J471&lt;&gt;"""",UPPER(TRIM(TO_TEXT('Respuestas de formulario 1'!J471))),IF('Respuestas de formulario 1'!O471&lt;&gt;"""",UPPER(TRIM(TO_TEXT('Respuestas de formulario 1'!O471))),""""))"),"SANCOR")</f>
        <v>SANCOR</v>
      </c>
      <c r="K471" s="7" t="str">
        <f>IFERROR(__xludf.DUMMYFUNCTION("IF('Respuestas de formulario 1'!K471="""","""",TO_TEXT('Respuestas de formulario 1'!K471))"),"Si")</f>
        <v>Si</v>
      </c>
      <c r="L471" s="7" t="str">
        <f>IFERROR(__xludf.DUMMYFUNCTION("IF('Respuestas de formulario 1'!L471="""","""",TO_TEXT('Respuestas de formulario 1'!L471))"),"Fútbol")</f>
        <v>Fútbol</v>
      </c>
      <c r="M471" s="7" t="str">
        <f>IFERROR(__xludf.DUMMYFUNCTION("IF('Respuestas de formulario 1'!M471="""","""",TO_TEXT('Respuestas de formulario 1'!M471))"),"3 a 5 veces por semana")</f>
        <v>3 a 5 veces por semana</v>
      </c>
      <c r="N471" s="7">
        <f t="shared" si="1"/>
        <v>2024</v>
      </c>
      <c r="O471" s="7" t="str">
        <f t="shared" si="2"/>
        <v>marzo</v>
      </c>
      <c r="P471" s="7" t="s">
        <v>5135</v>
      </c>
    </row>
    <row r="472">
      <c r="A472" s="19">
        <f>'Respuestas de formulario 1'!A472</f>
        <v>45356.85863</v>
      </c>
      <c r="B472" s="7" t="str">
        <f>'Respuestas de formulario 1'!B472</f>
        <v>Chancalay </v>
      </c>
      <c r="C472" s="7" t="str">
        <f>'Respuestas de formulario 1'!C472</f>
        <v>María Victoria </v>
      </c>
      <c r="D472" s="7" t="str">
        <f>'Respuestas de formulario 1'!D472</f>
        <v>victoriachanca@hotmail.com</v>
      </c>
      <c r="E472" s="20">
        <f>'Respuestas de formulario 1'!E472</f>
        <v>30315</v>
      </c>
      <c r="F472" s="7">
        <f>'Respuestas de formulario 1'!F472</f>
        <v>29965517</v>
      </c>
      <c r="G472" s="7" t="str">
        <f>IFERROR(__xludf.DUMMYFUNCTION("IF('Respuestas de formulario 1'!G472="""","""",IF(LEFT(REGEXREPLACE(TO_TEXT('Respuestas de formulario 1'!G472),""[^0-9]"",""""),2)=""54"",""+""&amp;REGEXREPLACE(TO_TEXT('Respuestas de formulario 1'!G472),""[^0-9]"",""""),""+54""&amp;REGEXREPLACE(TO_TEXT('Respuest"&amp;"as de formulario 1'!G472),""[^0-9]"","""")))"),"+543516991024")</f>
        <v>+543516991024</v>
      </c>
      <c r="H472" s="7">
        <f>'Respuestas de formulario 1'!S472</f>
        <v>2024</v>
      </c>
      <c r="I472" s="7" t="str">
        <f>IFERROR(__xludf.DUMMYFUNCTION("IF('Respuestas de formulario 1'!I472="""","""",TO_TEXT('Respuestas de formulario 1'!I472))"),"Obra social")</f>
        <v>Obra social</v>
      </c>
      <c r="J472" s="7" t="str">
        <f>IFERROR(__xludf.DUMMYFUNCTION("IF('Respuestas de formulario 1'!J472&lt;&gt;"""",UPPER(TRIM(TO_TEXT('Respuestas de formulario 1'!J472))),IF('Respuestas de formulario 1'!O472&lt;&gt;"""",UPPER(TRIM(TO_TEXT('Respuestas de formulario 1'!O472))),""""))"),"SANCOR")</f>
        <v>SANCOR</v>
      </c>
      <c r="K472" s="7" t="str">
        <f>IFERROR(__xludf.DUMMYFUNCTION("IF('Respuestas de formulario 1'!K472="""","""",TO_TEXT('Respuestas de formulario 1'!K472))"),"Si")</f>
        <v>Si</v>
      </c>
      <c r="L472" s="7" t="str">
        <f>IFERROR(__xludf.DUMMYFUNCTION("IF('Respuestas de formulario 1'!L472="""","""",TO_TEXT('Respuestas de formulario 1'!L472))"),"Pilates")</f>
        <v>Pilates</v>
      </c>
      <c r="M472" s="7" t="str">
        <f>IFERROR(__xludf.DUMMYFUNCTION("IF('Respuestas de formulario 1'!M472="""","""",TO_TEXT('Respuestas de formulario 1'!M472))"),"1 a 2 veces por semana")</f>
        <v>1 a 2 veces por semana</v>
      </c>
      <c r="N472" s="7">
        <f t="shared" si="1"/>
        <v>2024</v>
      </c>
      <c r="O472" s="7" t="str">
        <f t="shared" si="2"/>
        <v>marzo</v>
      </c>
      <c r="P472" s="7" t="s">
        <v>5137</v>
      </c>
    </row>
    <row r="473">
      <c r="A473" s="19">
        <f>'Respuestas de formulario 1'!A473</f>
        <v>45357.44107</v>
      </c>
      <c r="B473" s="7" t="str">
        <f>'Respuestas de formulario 1'!B473</f>
        <v>Arab cohen</v>
      </c>
      <c r="C473" s="7" t="str">
        <f>'Respuestas de formulario 1'!C473</f>
        <v>Leonardo</v>
      </c>
      <c r="D473" s="7" t="str">
        <f>'Respuestas de formulario 1'!D473</f>
        <v>Arableonardi@gmail.com</v>
      </c>
      <c r="E473" s="20">
        <f>'Respuestas de formulario 1'!E473</f>
        <v>31870</v>
      </c>
      <c r="F473" s="7">
        <f>'Respuestas de formulario 1'!F473</f>
        <v>32926225</v>
      </c>
      <c r="G473" s="7" t="str">
        <f>IFERROR(__xludf.DUMMYFUNCTION("IF('Respuestas de formulario 1'!G473="""","""",IF(LEFT(REGEXREPLACE(TO_TEXT('Respuestas de formulario 1'!G473),""[^0-9]"",""""),2)=""54"",""+""&amp;REGEXREPLACE(TO_TEXT('Respuestas de formulario 1'!G473),""[^0-9]"",""""),""+54""&amp;REGEXREPLACE(TO_TEXT('Respuest"&amp;"as de formulario 1'!G473),""[^0-9]"","""")))"),"+543513416296")</f>
        <v>+543513416296</v>
      </c>
      <c r="H473" s="7">
        <f>'Respuestas de formulario 1'!S473</f>
        <v>2024</v>
      </c>
      <c r="I473" s="7" t="str">
        <f>IFERROR(__xludf.DUMMYFUNCTION("IF('Respuestas de formulario 1'!I473="""","""",TO_TEXT('Respuestas de formulario 1'!I473))"),"Particular")</f>
        <v>Particular</v>
      </c>
      <c r="J473" s="7" t="str">
        <f>IFERROR(__xludf.DUMMYFUNCTION("IF('Respuestas de formulario 1'!J473&lt;&gt;"""",UPPER(TRIM(TO_TEXT('Respuestas de formulario 1'!J473))),IF('Respuestas de formulario 1'!O473&lt;&gt;"""",UPPER(TRIM(TO_TEXT('Respuestas de formulario 1'!O473))),""""))"),"")</f>
        <v/>
      </c>
      <c r="K473" s="7" t="str">
        <f>IFERROR(__xludf.DUMMYFUNCTION("IF('Respuestas de formulario 1'!K473="""","""",TO_TEXT('Respuestas de formulario 1'!K473))"),"Si")</f>
        <v>Si</v>
      </c>
      <c r="L473" s="7" t="str">
        <f>IFERROR(__xludf.DUMMYFUNCTION("IF('Respuestas de formulario 1'!L473="""","""",TO_TEXT('Respuestas de formulario 1'!L473))"),"Padel y Gimnasio")</f>
        <v>Padel y Gimnasio</v>
      </c>
      <c r="M473" s="7" t="str">
        <f>IFERROR(__xludf.DUMMYFUNCTION("IF('Respuestas de formulario 1'!M473="""","""",TO_TEXT('Respuestas de formulario 1'!M473))"),"3 a 5 veces por semana")</f>
        <v>3 a 5 veces por semana</v>
      </c>
      <c r="N473" s="7">
        <f t="shared" si="1"/>
        <v>2024</v>
      </c>
      <c r="O473" s="7" t="str">
        <f t="shared" si="2"/>
        <v>marzo</v>
      </c>
      <c r="P473" s="7" t="s">
        <v>5139</v>
      </c>
    </row>
    <row r="474">
      <c r="A474" s="19">
        <f>'Respuestas de formulario 1'!A474</f>
        <v>45357.80282</v>
      </c>
      <c r="B474" s="7" t="str">
        <f>'Respuestas de formulario 1'!B474</f>
        <v>Montero</v>
      </c>
      <c r="C474" s="7" t="str">
        <f>'Respuestas de formulario 1'!C474</f>
        <v>Lautaro</v>
      </c>
      <c r="D474" s="7" t="str">
        <f>'Respuestas de formulario 1'!D474</f>
        <v>juampimontero@gmail.com</v>
      </c>
      <c r="E474" s="20">
        <f>'Respuestas de formulario 1'!E474</f>
        <v>41500</v>
      </c>
      <c r="F474" s="7">
        <f>'Respuestas de formulario 1'!F474</f>
        <v>53098102</v>
      </c>
      <c r="G474" s="7" t="str">
        <f>IFERROR(__xludf.DUMMYFUNCTION("IF('Respuestas de formulario 1'!G474="""","""",IF(LEFT(REGEXREPLACE(TO_TEXT('Respuestas de formulario 1'!G474),""[^0-9]"",""""),2)=""54"",""+""&amp;REGEXREPLACE(TO_TEXT('Respuestas de formulario 1'!G474),""[^0-9]"",""""),""+54""&amp;REGEXREPLACE(TO_TEXT('Respuest"&amp;"as de formulario 1'!G474),""[^0-9]"","""")))"),"+543512001589")</f>
        <v>+543512001589</v>
      </c>
      <c r="H474" s="7">
        <f>'Respuestas de formulario 1'!S474</f>
        <v>2024</v>
      </c>
      <c r="I474" s="7" t="str">
        <f>IFERROR(__xludf.DUMMYFUNCTION("IF('Respuestas de formulario 1'!I474="""","""",TO_TEXT('Respuestas de formulario 1'!I474))"),"Particular")</f>
        <v>Particular</v>
      </c>
      <c r="J474" s="7" t="str">
        <f>IFERROR(__xludf.DUMMYFUNCTION("IF('Respuestas de formulario 1'!J474&lt;&gt;"""",UPPER(TRIM(TO_TEXT('Respuestas de formulario 1'!J474))),IF('Respuestas de formulario 1'!O474&lt;&gt;"""",UPPER(TRIM(TO_TEXT('Respuestas de formulario 1'!O474))),""""))"),"")</f>
        <v/>
      </c>
      <c r="K474" s="7" t="str">
        <f>IFERROR(__xludf.DUMMYFUNCTION("IF('Respuestas de formulario 1'!K474="""","""",TO_TEXT('Respuestas de formulario 1'!K474))"),"Si")</f>
        <v>Si</v>
      </c>
      <c r="L474" s="7" t="str">
        <f>IFERROR(__xludf.DUMMYFUNCTION("IF('Respuestas de formulario 1'!L474="""","""",TO_TEXT('Respuestas de formulario 1'!L474))"),"Fútbol")</f>
        <v>Fútbol</v>
      </c>
      <c r="M474" s="7" t="str">
        <f>IFERROR(__xludf.DUMMYFUNCTION("IF('Respuestas de formulario 1'!M474="""","""",TO_TEXT('Respuestas de formulario 1'!M474))"),"3 a 5 veces por semana")</f>
        <v>3 a 5 veces por semana</v>
      </c>
      <c r="N474" s="7">
        <f t="shared" si="1"/>
        <v>2024</v>
      </c>
      <c r="O474" s="7" t="str">
        <f t="shared" si="2"/>
        <v>marzo</v>
      </c>
      <c r="P474" s="7" t="s">
        <v>5141</v>
      </c>
    </row>
    <row r="475">
      <c r="A475" s="19">
        <f>'Respuestas de formulario 1'!A475</f>
        <v>45357.80287</v>
      </c>
      <c r="B475" s="7" t="str">
        <f>'Respuestas de formulario 1'!B475</f>
        <v>Llanos </v>
      </c>
      <c r="C475" s="7" t="str">
        <f>'Respuestas de formulario 1'!C475</f>
        <v>Debora marina </v>
      </c>
      <c r="D475" s="7" t="str">
        <f>'Respuestas de formulario 1'!D475</f>
        <v>deborallanos@gmail.com</v>
      </c>
      <c r="E475" s="20">
        <f>'Respuestas de formulario 1'!E475</f>
        <v>29186</v>
      </c>
      <c r="F475" s="7">
        <f>'Respuestas de formulario 1'!F475</f>
        <v>27657503</v>
      </c>
      <c r="G475" s="7" t="str">
        <f>IFERROR(__xludf.DUMMYFUNCTION("IF('Respuestas de formulario 1'!G475="""","""",IF(LEFT(REGEXREPLACE(TO_TEXT('Respuestas de formulario 1'!G475),""[^0-9]"",""""),2)=""54"",""+""&amp;REGEXREPLACE(TO_TEXT('Respuestas de formulario 1'!G475),""[^0-9]"",""""),""+54""&amp;REGEXREPLACE(TO_TEXT('Respuest"&amp;"as de formulario 1'!G475),""[^0-9]"","""")))"),"+543515304633")</f>
        <v>+543515304633</v>
      </c>
      <c r="H475" s="7">
        <f>'Respuestas de formulario 1'!S475</f>
        <v>2024</v>
      </c>
      <c r="I475" s="7" t="str">
        <f>IFERROR(__xludf.DUMMYFUNCTION("IF('Respuestas de formulario 1'!I475="""","""",TO_TEXT('Respuestas de formulario 1'!I475))"),"Obra social")</f>
        <v>Obra social</v>
      </c>
      <c r="J475" s="7" t="str">
        <f>IFERROR(__xludf.DUMMYFUNCTION("IF('Respuestas de formulario 1'!J475&lt;&gt;"""",UPPER(TRIM(TO_TEXT('Respuestas de formulario 1'!J475))),IF('Respuestas de formulario 1'!O475&lt;&gt;"""",UPPER(TRIM(TO_TEXT('Respuestas de formulario 1'!O475))),""""))"),"SANCOR")</f>
        <v>SANCOR</v>
      </c>
      <c r="K475" s="7" t="str">
        <f>IFERROR(__xludf.DUMMYFUNCTION("IF('Respuestas de formulario 1'!K475="""","""",TO_TEXT('Respuestas de formulario 1'!K475))"),"Si")</f>
        <v>Si</v>
      </c>
      <c r="L475" s="7" t="str">
        <f>IFERROR(__xludf.DUMMYFUNCTION("IF('Respuestas de formulario 1'!L475="""","""",TO_TEXT('Respuestas de formulario 1'!L475))"),"Padel")</f>
        <v>Padel</v>
      </c>
      <c r="M475" s="7" t="str">
        <f>IFERROR(__xludf.DUMMYFUNCTION("IF('Respuestas de formulario 1'!M475="""","""",TO_TEXT('Respuestas de formulario 1'!M475))"),"1 a 2 veces por semana")</f>
        <v>1 a 2 veces por semana</v>
      </c>
      <c r="N475" s="7">
        <f t="shared" si="1"/>
        <v>2024</v>
      </c>
      <c r="O475" s="7" t="str">
        <f t="shared" si="2"/>
        <v>marzo</v>
      </c>
      <c r="P475" s="7" t="s">
        <v>5143</v>
      </c>
    </row>
    <row r="476">
      <c r="A476" s="19">
        <f>'Respuestas de formulario 1'!A476</f>
        <v>45362.79949</v>
      </c>
      <c r="B476" s="7" t="str">
        <f>'Respuestas de formulario 1'!B476</f>
        <v>Salamone</v>
      </c>
      <c r="C476" s="7" t="str">
        <f>'Respuestas de formulario 1'!C476</f>
        <v>Mario</v>
      </c>
      <c r="D476" s="7" t="str">
        <f>'Respuestas de formulario 1'!D476</f>
        <v>mariosalamone@hotmail.com</v>
      </c>
      <c r="E476" s="20">
        <f>'Respuestas de formulario 1'!E476</f>
        <v>30929</v>
      </c>
      <c r="F476" s="7">
        <f>'Respuestas de formulario 1'!F476</f>
        <v>31056390</v>
      </c>
      <c r="G476" s="7" t="str">
        <f>IFERROR(__xludf.DUMMYFUNCTION("IF('Respuestas de formulario 1'!G476="""","""",IF(LEFT(REGEXREPLACE(TO_TEXT('Respuestas de formulario 1'!G476),""[^0-9]"",""""),2)=""54"",""+""&amp;REGEXREPLACE(TO_TEXT('Respuestas de formulario 1'!G476),""[^0-9]"",""""),""+54""&amp;REGEXREPLACE(TO_TEXT('Respuest"&amp;"as de formulario 1'!G476),""[^0-9]"","""")))"),"+543515954670")</f>
        <v>+543515954670</v>
      </c>
      <c r="H476" s="7">
        <f>'Respuestas de formulario 1'!S476</f>
        <v>2024</v>
      </c>
      <c r="I476" s="7" t="str">
        <f>IFERROR(__xludf.DUMMYFUNCTION("IF('Respuestas de formulario 1'!I476="""","""",TO_TEXT('Respuestas de formulario 1'!I476))"),"Obra social")</f>
        <v>Obra social</v>
      </c>
      <c r="J476" s="7" t="str">
        <f>IFERROR(__xludf.DUMMYFUNCTION("IF('Respuestas de formulario 1'!J476&lt;&gt;"""",UPPER(TRIM(TO_TEXT('Respuestas de formulario 1'!J476))),IF('Respuestas de formulario 1'!O476&lt;&gt;"""",UPPER(TRIM(TO_TEXT('Respuestas de formulario 1'!O476))),""""))"),"MEDIFE")</f>
        <v>MEDIFE</v>
      </c>
      <c r="K476" s="7" t="str">
        <f>IFERROR(__xludf.DUMMYFUNCTION("IF('Respuestas de formulario 1'!K476="""","""",TO_TEXT('Respuestas de formulario 1'!K476))"),"Si")</f>
        <v>Si</v>
      </c>
      <c r="L476" s="7" t="str">
        <f>IFERROR(__xludf.DUMMYFUNCTION("IF('Respuestas de formulario 1'!L476="""","""",TO_TEXT('Respuestas de formulario 1'!L476))"),"Gimnasio")</f>
        <v>Gimnasio</v>
      </c>
      <c r="M476" s="7" t="str">
        <f>IFERROR(__xludf.DUMMYFUNCTION("IF('Respuestas de formulario 1'!M476="""","""",TO_TEXT('Respuestas de formulario 1'!M476))"),"3 a 5 veces por semana")</f>
        <v>3 a 5 veces por semana</v>
      </c>
      <c r="N476" s="7">
        <f t="shared" si="1"/>
        <v>2024</v>
      </c>
      <c r="O476" s="7" t="str">
        <f t="shared" si="2"/>
        <v>marzo</v>
      </c>
      <c r="P476" s="7" t="s">
        <v>5145</v>
      </c>
    </row>
    <row r="477">
      <c r="A477" s="19">
        <f>'Respuestas de formulario 1'!A477</f>
        <v>45363.88734</v>
      </c>
      <c r="B477" s="7" t="str">
        <f>'Respuestas de formulario 1'!B477</f>
        <v>Romera</v>
      </c>
      <c r="C477" s="7" t="str">
        <f>'Respuestas de formulario 1'!C477</f>
        <v>Analia</v>
      </c>
      <c r="D477" s="7" t="str">
        <f>'Respuestas de formulario 1'!D477</f>
        <v>analiaromera70@gmail.com</v>
      </c>
      <c r="E477" s="20">
        <f>'Respuestas de formulario 1'!E477</f>
        <v>45389</v>
      </c>
      <c r="F477" s="7">
        <f>'Respuestas de formulario 1'!F477</f>
        <v>21358373</v>
      </c>
      <c r="G477" s="7" t="str">
        <f>IFERROR(__xludf.DUMMYFUNCTION("IF('Respuestas de formulario 1'!G477="""","""",IF(LEFT(REGEXREPLACE(TO_TEXT('Respuestas de formulario 1'!G477),""[^0-9]"",""""),2)=""54"",""+""&amp;REGEXREPLACE(TO_TEXT('Respuestas de formulario 1'!G477),""[^0-9]"",""""),""+54""&amp;REGEXREPLACE(TO_TEXT('Respuest"&amp;"as de formulario 1'!G477),""[^0-9]"","""")))"),"+543512336451")</f>
        <v>+543512336451</v>
      </c>
      <c r="H477" s="7">
        <f>'Respuestas de formulario 1'!S477</f>
        <v>2024</v>
      </c>
      <c r="I477" s="7" t="str">
        <f>IFERROR(__xludf.DUMMYFUNCTION("IF('Respuestas de formulario 1'!I477="""","""",TO_TEXT('Respuestas de formulario 1'!I477))"),"Obra social")</f>
        <v>Obra social</v>
      </c>
      <c r="J477" s="7" t="str">
        <f>IFERROR(__xludf.DUMMYFUNCTION("IF('Respuestas de formulario 1'!J477&lt;&gt;"""",UPPER(TRIM(TO_TEXT('Respuestas de formulario 1'!J477))),IF('Respuestas de formulario 1'!O477&lt;&gt;"""",UPPER(TRIM(TO_TEXT('Respuestas de formulario 1'!O477))),""""))"),"")</f>
        <v/>
      </c>
      <c r="K477" s="7" t="str">
        <f>IFERROR(__xludf.DUMMYFUNCTION("IF('Respuestas de formulario 1'!K477="""","""",TO_TEXT('Respuestas de formulario 1'!K477))"),"Si")</f>
        <v>Si</v>
      </c>
      <c r="L477" s="7" t="str">
        <f>IFERROR(__xludf.DUMMYFUNCTION("IF('Respuestas de formulario 1'!L477="""","""",TO_TEXT('Respuestas de formulario 1'!L477))"),"")</f>
        <v/>
      </c>
      <c r="M477" s="7" t="str">
        <f>IFERROR(__xludf.DUMMYFUNCTION("IF('Respuestas de formulario 1'!M477="""","""",TO_TEXT('Respuestas de formulario 1'!M477))"),"1 a 2 veces por semana")</f>
        <v>1 a 2 veces por semana</v>
      </c>
      <c r="N477" s="7">
        <f t="shared" si="1"/>
        <v>2024</v>
      </c>
      <c r="O477" s="7" t="str">
        <f t="shared" si="2"/>
        <v>marzo</v>
      </c>
      <c r="P477" s="7" t="s">
        <v>5147</v>
      </c>
    </row>
    <row r="478">
      <c r="A478" s="19">
        <f>'Respuestas de formulario 1'!A478</f>
        <v>45364.72559</v>
      </c>
      <c r="B478" s="7" t="str">
        <f>'Respuestas de formulario 1'!B478</f>
        <v>Pisarskis</v>
      </c>
      <c r="C478" s="7" t="str">
        <f>'Respuestas de formulario 1'!C478</f>
        <v>Lautaro</v>
      </c>
      <c r="D478" s="7" t="str">
        <f>'Respuestas de formulario 1'!D478</f>
        <v>Lautipi123@gmail.com</v>
      </c>
      <c r="E478" s="20">
        <f>'Respuestas de formulario 1'!E478</f>
        <v>39001</v>
      </c>
      <c r="F478" s="7">
        <f>'Respuestas de formulario 1'!F478</f>
        <v>47662391</v>
      </c>
      <c r="G478" s="7" t="str">
        <f>IFERROR(__xludf.DUMMYFUNCTION("IF('Respuestas de formulario 1'!G478="""","""",IF(LEFT(REGEXREPLACE(TO_TEXT('Respuestas de formulario 1'!G478),""[^0-9]"",""""),2)=""54"",""+""&amp;REGEXREPLACE(TO_TEXT('Respuestas de formulario 1'!G478),""[^0-9]"",""""),""+54""&amp;REGEXREPLACE(TO_TEXT('Respuest"&amp;"as de formulario 1'!G478),""[^0-9]"","""")))"),"+543513053037")</f>
        <v>+543513053037</v>
      </c>
      <c r="H478" s="7">
        <f>'Respuestas de formulario 1'!S478</f>
        <v>2024</v>
      </c>
      <c r="I478" s="7" t="str">
        <f>IFERROR(__xludf.DUMMYFUNCTION("IF('Respuestas de formulario 1'!I478="""","""",TO_TEXT('Respuestas de formulario 1'!I478))"),"Obra social")</f>
        <v>Obra social</v>
      </c>
      <c r="J478" s="7" t="str">
        <f>IFERROR(__xludf.DUMMYFUNCTION("IF('Respuestas de formulario 1'!J478&lt;&gt;"""",UPPER(TRIM(TO_TEXT('Respuestas de formulario 1'!J478))),IF('Respuestas de formulario 1'!O478&lt;&gt;"""",UPPER(TRIM(TO_TEXT('Respuestas de formulario 1'!O478))),""""))"),"OMINT")</f>
        <v>OMINT</v>
      </c>
      <c r="K478" s="7" t="str">
        <f>IFERROR(__xludf.DUMMYFUNCTION("IF('Respuestas de formulario 1'!K478="""","""",TO_TEXT('Respuestas de formulario 1'!K478))"),"Si")</f>
        <v>Si</v>
      </c>
      <c r="L478" s="7" t="str">
        <f>IFERROR(__xludf.DUMMYFUNCTION("IF('Respuestas de formulario 1'!L478="""","""",TO_TEXT('Respuestas de formulario 1'!L478))"),"Gimnasio")</f>
        <v>Gimnasio</v>
      </c>
      <c r="M478" s="7" t="str">
        <f>IFERROR(__xludf.DUMMYFUNCTION("IF('Respuestas de formulario 1'!M478="""","""",TO_TEXT('Respuestas de formulario 1'!M478))"),"3 a 5 veces por semana")</f>
        <v>3 a 5 veces por semana</v>
      </c>
      <c r="N478" s="7">
        <f t="shared" si="1"/>
        <v>2024</v>
      </c>
      <c r="O478" s="7" t="str">
        <f t="shared" si="2"/>
        <v>marzo</v>
      </c>
      <c r="P478" s="7" t="s">
        <v>5149</v>
      </c>
    </row>
    <row r="479">
      <c r="A479" s="19">
        <f>'Respuestas de formulario 1'!A479</f>
        <v>45365.72584</v>
      </c>
      <c r="B479" s="7" t="str">
        <f>'Respuestas de formulario 1'!B479</f>
        <v>Ahumada</v>
      </c>
      <c r="C479" s="7" t="str">
        <f>'Respuestas de formulario 1'!C479</f>
        <v>Lucas</v>
      </c>
      <c r="D479" s="7" t="str">
        <f>'Respuestas de formulario 1'!D479</f>
        <v>lucasahumada1977@gmail.com</v>
      </c>
      <c r="E479" s="20">
        <f>'Respuestas de formulario 1'!E479</f>
        <v>32059</v>
      </c>
      <c r="F479" s="7">
        <f>'Respuestas de formulario 1'!F479</f>
        <v>36373419</v>
      </c>
      <c r="G479" s="7" t="str">
        <f>IFERROR(__xludf.DUMMYFUNCTION("IF('Respuestas de formulario 1'!G479="""","""",IF(LEFT(REGEXREPLACE(TO_TEXT('Respuestas de formulario 1'!G479),""[^0-9]"",""""),2)=""54"",""+""&amp;REGEXREPLACE(TO_TEXT('Respuestas de formulario 1'!G479),""[^0-9]"",""""),""+54""&amp;REGEXREPLACE(TO_TEXT('Respuest"&amp;"as de formulario 1'!G479),""[^0-9]"","""")))"),"+543516258020")</f>
        <v>+543516258020</v>
      </c>
      <c r="H479" s="7">
        <f>'Respuestas de formulario 1'!S479</f>
        <v>2024</v>
      </c>
      <c r="I479" s="7" t="str">
        <f>IFERROR(__xludf.DUMMYFUNCTION("IF('Respuestas de formulario 1'!I479="""","""",TO_TEXT('Respuestas de formulario 1'!I479))"),"Obra social")</f>
        <v>Obra social</v>
      </c>
      <c r="J479" s="7" t="str">
        <f>IFERROR(__xludf.DUMMYFUNCTION("IF('Respuestas de formulario 1'!J479&lt;&gt;"""",UPPER(TRIM(TO_TEXT('Respuestas de formulario 1'!J479))),IF('Respuestas de formulario 1'!O479&lt;&gt;"""",UPPER(TRIM(TO_TEXT('Respuestas de formulario 1'!O479))),""""))"),"SERVIRED")</f>
        <v>SERVIRED</v>
      </c>
      <c r="K479" s="7" t="str">
        <f>IFERROR(__xludf.DUMMYFUNCTION("IF('Respuestas de formulario 1'!K479="""","""",TO_TEXT('Respuestas de formulario 1'!K479))"),"Si")</f>
        <v>Si</v>
      </c>
      <c r="L479" s="7" t="str">
        <f>IFERROR(__xludf.DUMMYFUNCTION("IF('Respuestas de formulario 1'!L479="""","""",TO_TEXT('Respuestas de formulario 1'!L479))"),"Kickboxing")</f>
        <v>Kickboxing</v>
      </c>
      <c r="M479" s="7" t="str">
        <f>IFERROR(__xludf.DUMMYFUNCTION("IF('Respuestas de formulario 1'!M479="""","""",TO_TEXT('Respuestas de formulario 1'!M479))"),"3 a 5 veces por semana")</f>
        <v>3 a 5 veces por semana</v>
      </c>
      <c r="N479" s="7">
        <f t="shared" si="1"/>
        <v>2024</v>
      </c>
      <c r="O479" s="7" t="str">
        <f t="shared" si="2"/>
        <v>marzo</v>
      </c>
      <c r="P479" s="7" t="s">
        <v>5151</v>
      </c>
    </row>
    <row r="480">
      <c r="A480" s="19">
        <f>'Respuestas de formulario 1'!A480</f>
        <v>45365.88777</v>
      </c>
      <c r="B480" s="7" t="str">
        <f>'Respuestas de formulario 1'!B480</f>
        <v>Valdez</v>
      </c>
      <c r="C480" s="7" t="str">
        <f>'Respuestas de formulario 1'!C480</f>
        <v>Agustin Ernesto</v>
      </c>
      <c r="D480" s="7" t="str">
        <f>'Respuestas de formulario 1'!D480</f>
        <v>agustin_cba13@outlook.es</v>
      </c>
      <c r="E480" s="20">
        <f>'Respuestas de formulario 1'!E480</f>
        <v>33626</v>
      </c>
      <c r="F480" s="7">
        <f>'Respuestas de formulario 1'!F480</f>
        <v>36147091</v>
      </c>
      <c r="G480" s="7" t="str">
        <f>IFERROR(__xludf.DUMMYFUNCTION("IF('Respuestas de formulario 1'!G480="""","""",IF(LEFT(REGEXREPLACE(TO_TEXT('Respuestas de formulario 1'!G480),""[^0-9]"",""""),2)=""54"",""+""&amp;REGEXREPLACE(TO_TEXT('Respuestas de formulario 1'!G480),""[^0-9]"",""""),""+54""&amp;REGEXREPLACE(TO_TEXT('Respuest"&amp;"as de formulario 1'!G480),""[^0-9]"","""")))"),"+543518588248")</f>
        <v>+543518588248</v>
      </c>
      <c r="H480" s="7">
        <f>'Respuestas de formulario 1'!S480</f>
        <v>2024</v>
      </c>
      <c r="I480" s="7" t="str">
        <f>IFERROR(__xludf.DUMMYFUNCTION("IF('Respuestas de formulario 1'!I480="""","""",TO_TEXT('Respuestas de formulario 1'!I480))"),"Particular")</f>
        <v>Particular</v>
      </c>
      <c r="J480" s="7" t="str">
        <f>IFERROR(__xludf.DUMMYFUNCTION("IF('Respuestas de formulario 1'!J480&lt;&gt;"""",UPPER(TRIM(TO_TEXT('Respuestas de formulario 1'!J480))),IF('Respuestas de formulario 1'!O480&lt;&gt;"""",UPPER(TRIM(TO_TEXT('Respuestas de formulario 1'!O480))),""""))"),"")</f>
        <v/>
      </c>
      <c r="K480" s="7" t="str">
        <f>IFERROR(__xludf.DUMMYFUNCTION("IF('Respuestas de formulario 1'!K480="""","""",TO_TEXT('Respuestas de formulario 1'!K480))"),"No")</f>
        <v>No</v>
      </c>
      <c r="L480" s="7" t="str">
        <f>IFERROR(__xludf.DUMMYFUNCTION("IF('Respuestas de formulario 1'!L480="""","""",TO_TEXT('Respuestas de formulario 1'!L480))"),"")</f>
        <v/>
      </c>
      <c r="M480" s="7" t="str">
        <f>IFERROR(__xludf.DUMMYFUNCTION("IF('Respuestas de formulario 1'!M480="""","""",TO_TEXT('Respuestas de formulario 1'!M480))"),"")</f>
        <v/>
      </c>
      <c r="N480" s="7">
        <f t="shared" si="1"/>
        <v>2024</v>
      </c>
      <c r="O480" s="7" t="str">
        <f t="shared" si="2"/>
        <v>marzo</v>
      </c>
      <c r="P480" s="7" t="s">
        <v>5153</v>
      </c>
    </row>
    <row r="481">
      <c r="A481" s="19">
        <f>'Respuestas de formulario 1'!A481</f>
        <v>45366.39008</v>
      </c>
      <c r="B481" s="7" t="str">
        <f>'Respuestas de formulario 1'!B481</f>
        <v>Lozano</v>
      </c>
      <c r="C481" s="7" t="str">
        <f>'Respuestas de formulario 1'!C481</f>
        <v>Brisa</v>
      </c>
      <c r="D481" s="7" t="str">
        <f>'Respuestas de formulario 1'!D481</f>
        <v>Brisaclp@hotmail.com</v>
      </c>
      <c r="E481" s="20">
        <f>'Respuestas de formulario 1'!E481</f>
        <v>36690</v>
      </c>
      <c r="F481" s="7">
        <f>'Respuestas de formulario 1'!F481</f>
        <v>42693311</v>
      </c>
      <c r="G481" s="7" t="str">
        <f>IFERROR(__xludf.DUMMYFUNCTION("IF('Respuestas de formulario 1'!G481="""","""",IF(LEFT(REGEXREPLACE(TO_TEXT('Respuestas de formulario 1'!G481),""[^0-9]"",""""),2)=""54"",""+""&amp;REGEXREPLACE(TO_TEXT('Respuestas de formulario 1'!G481),""[^0-9]"",""""),""+54""&amp;REGEXREPLACE(TO_TEXT('Respuest"&amp;"as de formulario 1'!G481),""[^0-9]"","""")))"),"+543512091753")</f>
        <v>+543512091753</v>
      </c>
      <c r="H481" s="7">
        <f>'Respuestas de formulario 1'!S481</f>
        <v>2024</v>
      </c>
      <c r="I481" s="7" t="str">
        <f>IFERROR(__xludf.DUMMYFUNCTION("IF('Respuestas de formulario 1'!I481="""","""",TO_TEXT('Respuestas de formulario 1'!I481))"),"Obra social")</f>
        <v>Obra social</v>
      </c>
      <c r="J481" s="7" t="str">
        <f>IFERROR(__xludf.DUMMYFUNCTION("IF('Respuestas de formulario 1'!J481&lt;&gt;"""",UPPER(TRIM(TO_TEXT('Respuestas de formulario 1'!J481))),IF('Respuestas de formulario 1'!O481&lt;&gt;"""",UPPER(TRIM(TO_TEXT('Respuestas de formulario 1'!O481))),""""))"),"UNIMED")</f>
        <v>UNIMED</v>
      </c>
      <c r="K481" s="7" t="str">
        <f>IFERROR(__xludf.DUMMYFUNCTION("IF('Respuestas de formulario 1'!K481="""","""",TO_TEXT('Respuestas de formulario 1'!K481))"),"Si")</f>
        <v>Si</v>
      </c>
      <c r="L481" s="7" t="str">
        <f>IFERROR(__xludf.DUMMYFUNCTION("IF('Respuestas de formulario 1'!L481="""","""",TO_TEXT('Respuestas de formulario 1'!L481))"),"Hockey")</f>
        <v>Hockey</v>
      </c>
      <c r="M481" s="7" t="str">
        <f>IFERROR(__xludf.DUMMYFUNCTION("IF('Respuestas de formulario 1'!M481="""","""",TO_TEXT('Respuestas de formulario 1'!M481))"),"3 a 5 veces por semana")</f>
        <v>3 a 5 veces por semana</v>
      </c>
      <c r="N481" s="7">
        <f t="shared" si="1"/>
        <v>2024</v>
      </c>
      <c r="O481" s="7" t="str">
        <f t="shared" si="2"/>
        <v>marzo</v>
      </c>
      <c r="P481" s="7" t="s">
        <v>5155</v>
      </c>
    </row>
    <row r="482">
      <c r="A482" s="19">
        <f>'Respuestas de formulario 1'!A482</f>
        <v>45369.27559</v>
      </c>
      <c r="B482" s="7" t="str">
        <f>'Respuestas de formulario 1'!B482</f>
        <v>Arab Cohen</v>
      </c>
      <c r="C482" s="7" t="str">
        <f>'Respuestas de formulario 1'!C482</f>
        <v>Eduardo</v>
      </c>
      <c r="D482" s="7" t="str">
        <f>'Respuestas de formulario 1'!D482</f>
        <v>eduardoarab@hotmail.com</v>
      </c>
      <c r="E482" s="20">
        <f>'Respuestas de formulario 1'!E482</f>
        <v>19900</v>
      </c>
      <c r="F482" s="7">
        <f>'Respuestas de formulario 1'!F482</f>
        <v>11055600</v>
      </c>
      <c r="G482" s="7" t="str">
        <f>IFERROR(__xludf.DUMMYFUNCTION("IF('Respuestas de formulario 1'!G482="""","""",IF(LEFT(REGEXREPLACE(TO_TEXT('Respuestas de formulario 1'!G482),""[^0-9]"",""""),2)=""54"",""+""&amp;REGEXREPLACE(TO_TEXT('Respuestas de formulario 1'!G482),""[^0-9]"",""""),""+54""&amp;REGEXREPLACE(TO_TEXT('Respuest"&amp;"as de formulario 1'!G482),""[^0-9]"","""")))"),"+543516569411")</f>
        <v>+543516569411</v>
      </c>
      <c r="H482" s="7">
        <f>'Respuestas de formulario 1'!S482</f>
        <v>2024</v>
      </c>
      <c r="I482" s="7" t="str">
        <f>IFERROR(__xludf.DUMMYFUNCTION("IF('Respuestas de formulario 1'!I482="""","""",TO_TEXT('Respuestas de formulario 1'!I482))"),"Particular")</f>
        <v>Particular</v>
      </c>
      <c r="J482" s="7" t="str">
        <f>IFERROR(__xludf.DUMMYFUNCTION("IF('Respuestas de formulario 1'!J482&lt;&gt;"""",UPPER(TRIM(TO_TEXT('Respuestas de formulario 1'!J482))),IF('Respuestas de formulario 1'!O482&lt;&gt;"""",UPPER(TRIM(TO_TEXT('Respuestas de formulario 1'!O482))),""""))"),"")</f>
        <v/>
      </c>
      <c r="K482" s="7" t="str">
        <f>IFERROR(__xludf.DUMMYFUNCTION("IF('Respuestas de formulario 1'!K482="""","""",TO_TEXT('Respuestas de formulario 1'!K482))"),"No")</f>
        <v>No</v>
      </c>
      <c r="L482" s="7" t="str">
        <f>IFERROR(__xludf.DUMMYFUNCTION("IF('Respuestas de formulario 1'!L482="""","""",TO_TEXT('Respuestas de formulario 1'!L482))"),"")</f>
        <v/>
      </c>
      <c r="M482" s="7" t="str">
        <f>IFERROR(__xludf.DUMMYFUNCTION("IF('Respuestas de formulario 1'!M482="""","""",TO_TEXT('Respuestas de formulario 1'!M482))"),"")</f>
        <v/>
      </c>
      <c r="N482" s="7">
        <f t="shared" si="1"/>
        <v>2024</v>
      </c>
      <c r="O482" s="7" t="str">
        <f t="shared" si="2"/>
        <v>marzo</v>
      </c>
      <c r="P482" s="7" t="s">
        <v>5157</v>
      </c>
    </row>
    <row r="483">
      <c r="A483" s="19">
        <f>'Respuestas de formulario 1'!A483</f>
        <v>45369.42749</v>
      </c>
      <c r="B483" s="7" t="str">
        <f>'Respuestas de formulario 1'!B483</f>
        <v>rodriguez</v>
      </c>
      <c r="C483" s="7" t="str">
        <f>'Respuestas de formulario 1'!C483</f>
        <v>luis martin</v>
      </c>
      <c r="D483" s="7" t="str">
        <f>'Respuestas de formulario 1'!D483</f>
        <v>luismartinrodriguez194747@gmail.com</v>
      </c>
      <c r="E483" s="20">
        <f>'Respuestas de formulario 1'!E483</f>
        <v>17482</v>
      </c>
      <c r="F483" s="7">
        <f>'Respuestas de formulario 1'!F483</f>
        <v>7959048</v>
      </c>
      <c r="G483" s="7" t="str">
        <f>IFERROR(__xludf.DUMMYFUNCTION("IF('Respuestas de formulario 1'!G483="""","""",IF(LEFT(REGEXREPLACE(TO_TEXT('Respuestas de formulario 1'!G483),""[^0-9]"",""""),2)=""54"",""+""&amp;REGEXREPLACE(TO_TEXT('Respuestas de formulario 1'!G483),""[^0-9]"",""""),""+54""&amp;REGEXREPLACE(TO_TEXT('Respuest"&amp;"as de formulario 1'!G483),""[^0-9]"","""")))"),"+541152483323")</f>
        <v>+541152483323</v>
      </c>
      <c r="H483" s="7">
        <f>'Respuestas de formulario 1'!S483</f>
        <v>2024</v>
      </c>
      <c r="I483" s="7" t="str">
        <f>IFERROR(__xludf.DUMMYFUNCTION("IF('Respuestas de formulario 1'!I483="""","""",TO_TEXT('Respuestas de formulario 1'!I483))"),"Particular")</f>
        <v>Particular</v>
      </c>
      <c r="J483" s="7" t="str">
        <f>IFERROR(__xludf.DUMMYFUNCTION("IF('Respuestas de formulario 1'!J483&lt;&gt;"""",UPPER(TRIM(TO_TEXT('Respuestas de formulario 1'!J483))),IF('Respuestas de formulario 1'!O483&lt;&gt;"""",UPPER(TRIM(TO_TEXT('Respuestas de formulario 1'!O483))),""""))"),"")</f>
        <v/>
      </c>
      <c r="K483" s="7" t="str">
        <f>IFERROR(__xludf.DUMMYFUNCTION("IF('Respuestas de formulario 1'!K483="""","""",TO_TEXT('Respuestas de formulario 1'!K483))"),"No")</f>
        <v>No</v>
      </c>
      <c r="L483" s="7" t="str">
        <f>IFERROR(__xludf.DUMMYFUNCTION("IF('Respuestas de formulario 1'!L483="""","""",TO_TEXT('Respuestas de formulario 1'!L483))"),"")</f>
        <v/>
      </c>
      <c r="M483" s="7" t="str">
        <f>IFERROR(__xludf.DUMMYFUNCTION("IF('Respuestas de formulario 1'!M483="""","""",TO_TEXT('Respuestas de formulario 1'!M483))"),"")</f>
        <v/>
      </c>
      <c r="N483" s="7">
        <f t="shared" si="1"/>
        <v>2024</v>
      </c>
      <c r="O483" s="7" t="str">
        <f t="shared" si="2"/>
        <v>marzo</v>
      </c>
      <c r="P483" s="7" t="s">
        <v>5159</v>
      </c>
    </row>
    <row r="484">
      <c r="A484" s="19">
        <f>'Respuestas de formulario 1'!A484</f>
        <v>45369.73027</v>
      </c>
      <c r="B484" s="7" t="str">
        <f>'Respuestas de formulario 1'!B484</f>
        <v>Diaz</v>
      </c>
      <c r="C484" s="7" t="str">
        <f>'Respuestas de formulario 1'!C484</f>
        <v>Juan Eduardo </v>
      </c>
      <c r="D484" s="7" t="str">
        <f>'Respuestas de formulario 1'!D484</f>
        <v>juaneduardodiaz81@outlook.com</v>
      </c>
      <c r="E484" s="20">
        <f>'Respuestas de formulario 1'!E484</f>
        <v>29645</v>
      </c>
      <c r="F484" s="7">
        <f>'Respuestas de formulario 1'!F484</f>
        <v>28652650</v>
      </c>
      <c r="G484" s="7" t="str">
        <f>IFERROR(__xludf.DUMMYFUNCTION("IF('Respuestas de formulario 1'!G484="""","""",IF(LEFT(REGEXREPLACE(TO_TEXT('Respuestas de formulario 1'!G484),""[^0-9]"",""""),2)=""54"",""+""&amp;REGEXREPLACE(TO_TEXT('Respuestas de formulario 1'!G484),""[^0-9]"",""""),""+54""&amp;REGEXREPLACE(TO_TEXT('Respuest"&amp;"as de formulario 1'!G484),""[^0-9]"","""")))"),"+543517607935")</f>
        <v>+543517607935</v>
      </c>
      <c r="H484" s="7">
        <f>'Respuestas de formulario 1'!S484</f>
        <v>2024</v>
      </c>
      <c r="I484" s="7" t="str">
        <f>IFERROR(__xludf.DUMMYFUNCTION("IF('Respuestas de formulario 1'!I484="""","""",TO_TEXT('Respuestas de formulario 1'!I484))"),"Obra social")</f>
        <v>Obra social</v>
      </c>
      <c r="J484" s="7" t="str">
        <f>IFERROR(__xludf.DUMMYFUNCTION("IF('Respuestas de formulario 1'!J484&lt;&gt;"""",UPPER(TRIM(TO_TEXT('Respuestas de formulario 1'!J484))),IF('Respuestas de formulario 1'!O484&lt;&gt;"""",UPPER(TRIM(TO_TEXT('Respuestas de formulario 1'!O484))),""""))"),"PREVENCIÓN")</f>
        <v>PREVENCIÓN</v>
      </c>
      <c r="K484" s="7" t="str">
        <f>IFERROR(__xludf.DUMMYFUNCTION("IF('Respuestas de formulario 1'!K484="""","""",TO_TEXT('Respuestas de formulario 1'!K484))"),"No")</f>
        <v>No</v>
      </c>
      <c r="L484" s="7" t="str">
        <f>IFERROR(__xludf.DUMMYFUNCTION("IF('Respuestas de formulario 1'!L484="""","""",TO_TEXT('Respuestas de formulario 1'!L484))"),"")</f>
        <v/>
      </c>
      <c r="M484" s="7" t="str">
        <f>IFERROR(__xludf.DUMMYFUNCTION("IF('Respuestas de formulario 1'!M484="""","""",TO_TEXT('Respuestas de formulario 1'!M484))"),"")</f>
        <v/>
      </c>
      <c r="N484" s="7">
        <f t="shared" si="1"/>
        <v>2024</v>
      </c>
      <c r="O484" s="7" t="str">
        <f t="shared" si="2"/>
        <v>marzo</v>
      </c>
      <c r="P484" s="7" t="s">
        <v>5161</v>
      </c>
    </row>
    <row r="485">
      <c r="A485" s="19">
        <f>'Respuestas de formulario 1'!A485</f>
        <v>45369.78911</v>
      </c>
      <c r="B485" s="7" t="str">
        <f>'Respuestas de formulario 1'!B485</f>
        <v>Larrey</v>
      </c>
      <c r="C485" s="7" t="str">
        <f>'Respuestas de formulario 1'!C485</f>
        <v>Diego Francisco</v>
      </c>
      <c r="D485" s="7" t="str">
        <f>'Respuestas de formulario 1'!D485</f>
        <v>estudiolarrey@gmail.com</v>
      </c>
      <c r="E485" s="20">
        <f>'Respuestas de formulario 1'!E485</f>
        <v>45369</v>
      </c>
      <c r="F485" s="7">
        <f>'Respuestas de formulario 1'!F485</f>
        <v>24246949</v>
      </c>
      <c r="G485" s="7" t="str">
        <f>IFERROR(__xludf.DUMMYFUNCTION("IF('Respuestas de formulario 1'!G485="""","""",IF(LEFT(REGEXREPLACE(TO_TEXT('Respuestas de formulario 1'!G485),""[^0-9]"",""""),2)=""54"",""+""&amp;REGEXREPLACE(TO_TEXT('Respuestas de formulario 1'!G485),""[^0-9]"",""""),""+54""&amp;REGEXREPLACE(TO_TEXT('Respuest"&amp;"as de formulario 1'!G485),""[^0-9]"","""")))"),"+543514033772")</f>
        <v>+543514033772</v>
      </c>
      <c r="H485" s="7">
        <f>'Respuestas de formulario 1'!S485</f>
        <v>2024</v>
      </c>
      <c r="I485" s="7" t="str">
        <f>IFERROR(__xludf.DUMMYFUNCTION("IF('Respuestas de formulario 1'!I485="""","""",TO_TEXT('Respuestas de formulario 1'!I485))"),"Obra social")</f>
        <v>Obra social</v>
      </c>
      <c r="J485" s="7" t="str">
        <f>IFERROR(__xludf.DUMMYFUNCTION("IF('Respuestas de formulario 1'!J485&lt;&gt;"""",UPPER(TRIM(TO_TEXT('Respuestas de formulario 1'!J485))),IF('Respuestas de formulario 1'!O485&lt;&gt;"""",UPPER(TRIM(TO_TEXT('Respuestas de formulario 1'!O485))),""""))"),"PREVENCIÓN")</f>
        <v>PREVENCIÓN</v>
      </c>
      <c r="K485" s="7" t="str">
        <f>IFERROR(__xludf.DUMMYFUNCTION("IF('Respuestas de formulario 1'!K485="""","""",TO_TEXT('Respuestas de formulario 1'!K485))"),"Si")</f>
        <v>Si</v>
      </c>
      <c r="L485" s="7" t="str">
        <f>IFERROR(__xludf.DUMMYFUNCTION("IF('Respuestas de formulario 1'!L485="""","""",TO_TEXT('Respuestas de formulario 1'!L485))"),"Jiu jitsii")</f>
        <v>Jiu jitsii</v>
      </c>
      <c r="M485" s="7" t="str">
        <f>IFERROR(__xludf.DUMMYFUNCTION("IF('Respuestas de formulario 1'!M485="""","""",TO_TEXT('Respuestas de formulario 1'!M485))"),"6 a 7 veces por semana")</f>
        <v>6 a 7 veces por semana</v>
      </c>
      <c r="N485" s="7">
        <f t="shared" si="1"/>
        <v>2024</v>
      </c>
      <c r="O485" s="7" t="str">
        <f t="shared" si="2"/>
        <v>marzo</v>
      </c>
      <c r="P485" s="7" t="s">
        <v>5163</v>
      </c>
    </row>
    <row r="486">
      <c r="A486" s="19">
        <f>'Respuestas de formulario 1'!A486</f>
        <v>45370.44826</v>
      </c>
      <c r="B486" s="7" t="str">
        <f>'Respuestas de formulario 1'!B486</f>
        <v>Nieto</v>
      </c>
      <c r="C486" s="7" t="str">
        <f>'Respuestas de formulario 1'!C486</f>
        <v>Manuel</v>
      </c>
      <c r="D486" s="7" t="str">
        <f>'Respuestas de formulario 1'!D486</f>
        <v>rolandomanuel_nieto@hotmail.com</v>
      </c>
      <c r="E486" s="20">
        <f>'Respuestas de formulario 1'!E486</f>
        <v>32363</v>
      </c>
      <c r="F486" s="7">
        <f>'Respuestas de formulario 1'!F486</f>
        <v>33831512</v>
      </c>
      <c r="G486" s="7" t="str">
        <f>IFERROR(__xludf.DUMMYFUNCTION("IF('Respuestas de formulario 1'!G486="""","""",IF(LEFT(REGEXREPLACE(TO_TEXT('Respuestas de formulario 1'!G486),""[^0-9]"",""""),2)=""54"",""+""&amp;REGEXREPLACE(TO_TEXT('Respuestas de formulario 1'!G486),""[^0-9]"",""""),""+54""&amp;REGEXREPLACE(TO_TEXT('Respuest"&amp;"as de formulario 1'!G486),""[^0-9]"","""")))"),"+543516187533")</f>
        <v>+543516187533</v>
      </c>
      <c r="H486" s="7">
        <f>'Respuestas de formulario 1'!S486</f>
        <v>2024</v>
      </c>
      <c r="I486" s="7" t="str">
        <f>IFERROR(__xludf.DUMMYFUNCTION("IF('Respuestas de formulario 1'!I486="""","""",TO_TEXT('Respuestas de formulario 1'!I486))"),"Particular")</f>
        <v>Particular</v>
      </c>
      <c r="J486" s="7" t="str">
        <f>IFERROR(__xludf.DUMMYFUNCTION("IF('Respuestas de formulario 1'!J486&lt;&gt;"""",UPPER(TRIM(TO_TEXT('Respuestas de formulario 1'!J486))),IF('Respuestas de formulario 1'!O486&lt;&gt;"""",UPPER(TRIM(TO_TEXT('Respuestas de formulario 1'!O486))),""""))"),"")</f>
        <v/>
      </c>
      <c r="K486" s="7" t="str">
        <f>IFERROR(__xludf.DUMMYFUNCTION("IF('Respuestas de formulario 1'!K486="""","""",TO_TEXT('Respuestas de formulario 1'!K486))"),"No")</f>
        <v>No</v>
      </c>
      <c r="L486" s="7" t="str">
        <f>IFERROR(__xludf.DUMMYFUNCTION("IF('Respuestas de formulario 1'!L486="""","""",TO_TEXT('Respuestas de formulario 1'!L486))"),"")</f>
        <v/>
      </c>
      <c r="M486" s="7" t="str">
        <f>IFERROR(__xludf.DUMMYFUNCTION("IF('Respuestas de formulario 1'!M486="""","""",TO_TEXT('Respuestas de formulario 1'!M486))"),"")</f>
        <v/>
      </c>
      <c r="N486" s="7">
        <f t="shared" si="1"/>
        <v>2024</v>
      </c>
      <c r="O486" s="7" t="str">
        <f t="shared" si="2"/>
        <v>marzo</v>
      </c>
      <c r="P486" s="7" t="s">
        <v>5165</v>
      </c>
    </row>
    <row r="487">
      <c r="A487" s="19">
        <f>'Respuestas de formulario 1'!A487</f>
        <v>45370.8037</v>
      </c>
      <c r="B487" s="7" t="str">
        <f>'Respuestas de formulario 1'!B487</f>
        <v>Moix</v>
      </c>
      <c r="C487" s="7" t="str">
        <f>'Respuestas de formulario 1'!C487</f>
        <v>Javier</v>
      </c>
      <c r="D487" s="7" t="str">
        <f>'Respuestas de formulario 1'!D487</f>
        <v>javier.moix@gmail.com</v>
      </c>
      <c r="E487" s="20">
        <f>'Respuestas de formulario 1'!E487</f>
        <v>27239</v>
      </c>
      <c r="F487" s="7">
        <f>'Respuestas de formulario 1'!F487</f>
        <v>24016593</v>
      </c>
      <c r="G487" s="7" t="str">
        <f>IFERROR(__xludf.DUMMYFUNCTION("IF('Respuestas de formulario 1'!G487="""","""",IF(LEFT(REGEXREPLACE(TO_TEXT('Respuestas de formulario 1'!G487),""[^0-9]"",""""),2)=""54"",""+""&amp;REGEXREPLACE(TO_TEXT('Respuestas de formulario 1'!G487),""[^0-9]"",""""),""+54""&amp;REGEXREPLACE(TO_TEXT('Respuest"&amp;"as de formulario 1'!G487),""[^0-9]"","""")))"),"+543513326266")</f>
        <v>+543513326266</v>
      </c>
      <c r="H487" s="7">
        <f>'Respuestas de formulario 1'!S487</f>
        <v>2024</v>
      </c>
      <c r="I487" s="7" t="str">
        <f>IFERROR(__xludf.DUMMYFUNCTION("IF('Respuestas de formulario 1'!I487="""","""",TO_TEXT('Respuestas de formulario 1'!I487))"),"Obra social")</f>
        <v>Obra social</v>
      </c>
      <c r="J487" s="7" t="str">
        <f>IFERROR(__xludf.DUMMYFUNCTION("IF('Respuestas de formulario 1'!J487&lt;&gt;"""",UPPER(TRIM(TO_TEXT('Respuestas de formulario 1'!J487))),IF('Respuestas de formulario 1'!O487&lt;&gt;"""",UPPER(TRIM(TO_TEXT('Respuestas de formulario 1'!O487))),""""))"),"APROSS")</f>
        <v>APROSS</v>
      </c>
      <c r="K487" s="7" t="str">
        <f>IFERROR(__xludf.DUMMYFUNCTION("IF('Respuestas de formulario 1'!K487="""","""",TO_TEXT('Respuestas de formulario 1'!K487))"),"Si")</f>
        <v>Si</v>
      </c>
      <c r="L487" s="7" t="str">
        <f>IFERROR(__xludf.DUMMYFUNCTION("IF('Respuestas de formulario 1'!L487="""","""",TO_TEXT('Respuestas de formulario 1'!L487))"),"Gimnasio")</f>
        <v>Gimnasio</v>
      </c>
      <c r="M487" s="7" t="str">
        <f>IFERROR(__xludf.DUMMYFUNCTION("IF('Respuestas de formulario 1'!M487="""","""",TO_TEXT('Respuestas de formulario 1'!M487))"),"3 a 5 veces por semana")</f>
        <v>3 a 5 veces por semana</v>
      </c>
      <c r="N487" s="7">
        <f t="shared" si="1"/>
        <v>2024</v>
      </c>
      <c r="O487" s="7" t="str">
        <f t="shared" si="2"/>
        <v>marzo</v>
      </c>
      <c r="P487" s="7" t="s">
        <v>5167</v>
      </c>
    </row>
    <row r="488">
      <c r="A488" s="19">
        <f>'Respuestas de formulario 1'!A488</f>
        <v>45370.81938</v>
      </c>
      <c r="B488" s="7" t="str">
        <f>'Respuestas de formulario 1'!B488</f>
        <v>FOURCADE</v>
      </c>
      <c r="C488" s="7" t="str">
        <f>'Respuestas de formulario 1'!C488</f>
        <v>Valentina</v>
      </c>
      <c r="D488" s="7" t="str">
        <f>'Respuestas de formulario 1'!D488</f>
        <v>valentinafourcadejerez@gmail.com</v>
      </c>
      <c r="E488" s="20">
        <f>'Respuestas de formulario 1'!E488</f>
        <v>38799</v>
      </c>
      <c r="F488" s="7">
        <f>'Respuestas de formulario 1'!F488</f>
        <v>46588782</v>
      </c>
      <c r="G488" s="7" t="str">
        <f>IFERROR(__xludf.DUMMYFUNCTION("IF('Respuestas de formulario 1'!G488="""","""",IF(LEFT(REGEXREPLACE(TO_TEXT('Respuestas de formulario 1'!G488),""[^0-9]"",""""),2)=""54"",""+""&amp;REGEXREPLACE(TO_TEXT('Respuestas de formulario 1'!G488),""[^0-9]"",""""),""+54""&amp;REGEXREPLACE(TO_TEXT('Respuest"&amp;"as de formulario 1'!G488),""[^0-9]"","""")))"),"+543512035054")</f>
        <v>+543512035054</v>
      </c>
      <c r="H488" s="7">
        <f>'Respuestas de formulario 1'!S488</f>
        <v>2024</v>
      </c>
      <c r="I488" s="7" t="str">
        <f>IFERROR(__xludf.DUMMYFUNCTION("IF('Respuestas de formulario 1'!I488="""","""",TO_TEXT('Respuestas de formulario 1'!I488))"),"Obra social")</f>
        <v>Obra social</v>
      </c>
      <c r="J488" s="7" t="str">
        <f>IFERROR(__xludf.DUMMYFUNCTION("IF('Respuestas de formulario 1'!J488&lt;&gt;"""",UPPER(TRIM(TO_TEXT('Respuestas de formulario 1'!J488))),IF('Respuestas de formulario 1'!O488&lt;&gt;"""",UPPER(TRIM(TO_TEXT('Respuestas de formulario 1'!O488))),""""))"),"OMINT")</f>
        <v>OMINT</v>
      </c>
      <c r="K488" s="7" t="str">
        <f>IFERROR(__xludf.DUMMYFUNCTION("IF('Respuestas de formulario 1'!K488="""","""",TO_TEXT('Respuestas de formulario 1'!K488))"),"Si")</f>
        <v>Si</v>
      </c>
      <c r="L488" s="7" t="str">
        <f>IFERROR(__xludf.DUMMYFUNCTION("IF('Respuestas de formulario 1'!L488="""","""",TO_TEXT('Respuestas de formulario 1'!L488))"),"Voley")</f>
        <v>Voley</v>
      </c>
      <c r="M488" s="7" t="str">
        <f>IFERROR(__xludf.DUMMYFUNCTION("IF('Respuestas de formulario 1'!M488="""","""",TO_TEXT('Respuestas de formulario 1'!M488))"),"3 a 5 veces por semana")</f>
        <v>3 a 5 veces por semana</v>
      </c>
      <c r="N488" s="7">
        <f t="shared" si="1"/>
        <v>2024</v>
      </c>
      <c r="O488" s="7" t="str">
        <f t="shared" si="2"/>
        <v>marzo</v>
      </c>
      <c r="P488" s="7" t="s">
        <v>5169</v>
      </c>
    </row>
    <row r="489">
      <c r="A489" s="19">
        <f>'Respuestas de formulario 1'!A489</f>
        <v>45371.81704</v>
      </c>
      <c r="B489" s="7" t="str">
        <f>'Respuestas de formulario 1'!B489</f>
        <v>Cuello</v>
      </c>
      <c r="C489" s="7" t="str">
        <f>'Respuestas de formulario 1'!C489</f>
        <v>Jose </v>
      </c>
      <c r="D489" s="7" t="str">
        <f>'Respuestas de formulario 1'!D489</f>
        <v>jcuellocuello365@gmail.com</v>
      </c>
      <c r="E489" s="20">
        <f>'Respuestas de formulario 1'!E489</f>
        <v>36975</v>
      </c>
      <c r="F489" s="7">
        <f>'Respuestas de formulario 1'!F489</f>
        <v>43271796</v>
      </c>
      <c r="G489" s="7" t="str">
        <f>IFERROR(__xludf.DUMMYFUNCTION("IF('Respuestas de formulario 1'!G489="""","""",IF(LEFT(REGEXREPLACE(TO_TEXT('Respuestas de formulario 1'!G489),""[^0-9]"",""""),2)=""54"",""+""&amp;REGEXREPLACE(TO_TEXT('Respuestas de formulario 1'!G489),""[^0-9]"",""""),""+54""&amp;REGEXREPLACE(TO_TEXT('Respuest"&amp;"as de formulario 1'!G489),""[^0-9]"","""")))"),"+543518650307")</f>
        <v>+543518650307</v>
      </c>
      <c r="H489" s="7">
        <f>'Respuestas de formulario 1'!S489</f>
        <v>2024</v>
      </c>
      <c r="I489" s="7" t="str">
        <f>IFERROR(__xludf.DUMMYFUNCTION("IF('Respuestas de formulario 1'!I489="""","""",TO_TEXT('Respuestas de formulario 1'!I489))"),"Particular")</f>
        <v>Particular</v>
      </c>
      <c r="J489" s="7" t="str">
        <f>IFERROR(__xludf.DUMMYFUNCTION("IF('Respuestas de formulario 1'!J489&lt;&gt;"""",UPPER(TRIM(TO_TEXT('Respuestas de formulario 1'!J489))),IF('Respuestas de formulario 1'!O489&lt;&gt;"""",UPPER(TRIM(TO_TEXT('Respuestas de formulario 1'!O489))),""""))"),"")</f>
        <v/>
      </c>
      <c r="K489" s="7" t="str">
        <f>IFERROR(__xludf.DUMMYFUNCTION("IF('Respuestas de formulario 1'!K489="""","""",TO_TEXT('Respuestas de formulario 1'!K489))"),"Si")</f>
        <v>Si</v>
      </c>
      <c r="L489" s="7" t="str">
        <f>IFERROR(__xludf.DUMMYFUNCTION("IF('Respuestas de formulario 1'!L489="""","""",TO_TEXT('Respuestas de formulario 1'!L489))"),"Running")</f>
        <v>Running</v>
      </c>
      <c r="M489" s="7" t="str">
        <f>IFERROR(__xludf.DUMMYFUNCTION("IF('Respuestas de formulario 1'!M489="""","""",TO_TEXT('Respuestas de formulario 1'!M489))"),"3 a 5 veces por semana")</f>
        <v>3 a 5 veces por semana</v>
      </c>
      <c r="N489" s="7">
        <f t="shared" si="1"/>
        <v>2024</v>
      </c>
      <c r="O489" s="7" t="str">
        <f t="shared" si="2"/>
        <v>marzo</v>
      </c>
      <c r="P489" s="7" t="s">
        <v>5171</v>
      </c>
    </row>
    <row r="490">
      <c r="A490" s="19">
        <f>'Respuestas de formulario 1'!A490</f>
        <v>45373.77979</v>
      </c>
      <c r="B490" s="7" t="str">
        <f>'Respuestas de formulario 1'!B490</f>
        <v>Baravalle</v>
      </c>
      <c r="C490" s="7" t="str">
        <f>'Respuestas de formulario 1'!C490</f>
        <v>Bautista</v>
      </c>
      <c r="D490" s="7" t="str">
        <f>'Respuestas de formulario 1'!D490</f>
        <v>bautybaravalle@gmail.com</v>
      </c>
      <c r="E490" s="20">
        <f>'Respuestas de formulario 1'!E490</f>
        <v>39724</v>
      </c>
      <c r="F490" s="7">
        <f>'Respuestas de formulario 1'!F490</f>
        <v>47475673</v>
      </c>
      <c r="G490" s="7" t="str">
        <f>IFERROR(__xludf.DUMMYFUNCTION("IF('Respuestas de formulario 1'!G490="""","""",IF(LEFT(REGEXREPLACE(TO_TEXT('Respuestas de formulario 1'!G490),""[^0-9]"",""""),2)=""54"",""+""&amp;REGEXREPLACE(TO_TEXT('Respuestas de formulario 1'!G490),""[^0-9]"",""""),""+54""&amp;REGEXREPLACE(TO_TEXT('Respuest"&amp;"as de formulario 1'!G490),""[^0-9]"","""")))"),"+543516830023")</f>
        <v>+543516830023</v>
      </c>
      <c r="H490" s="7">
        <f>'Respuestas de formulario 1'!S490</f>
        <v>2024</v>
      </c>
      <c r="I490" s="7" t="str">
        <f>IFERROR(__xludf.DUMMYFUNCTION("IF('Respuestas de formulario 1'!I490="""","""",TO_TEXT('Respuestas de formulario 1'!I490))"),"Obra social")</f>
        <v>Obra social</v>
      </c>
      <c r="J490" s="7" t="str">
        <f>IFERROR(__xludf.DUMMYFUNCTION("IF('Respuestas de formulario 1'!J490&lt;&gt;"""",UPPER(TRIM(TO_TEXT('Respuestas de formulario 1'!J490))),IF('Respuestas de formulario 1'!O490&lt;&gt;"""",UPPER(TRIM(TO_TEXT('Respuestas de formulario 1'!O490))),""""))"),"DASPU")</f>
        <v>DASPU</v>
      </c>
      <c r="K490" s="7" t="str">
        <f>IFERROR(__xludf.DUMMYFUNCTION("IF('Respuestas de formulario 1'!K490="""","""",TO_TEXT('Respuestas de formulario 1'!K490))"),"Si")</f>
        <v>Si</v>
      </c>
      <c r="L490" s="7" t="str">
        <f>IFERROR(__xludf.DUMMYFUNCTION("IF('Respuestas de formulario 1'!L490="""","""",TO_TEXT('Respuestas de formulario 1'!L490))"),"Gimnasio")</f>
        <v>Gimnasio</v>
      </c>
      <c r="M490" s="7" t="str">
        <f>IFERROR(__xludf.DUMMYFUNCTION("IF('Respuestas de formulario 1'!M490="""","""",TO_TEXT('Respuestas de formulario 1'!M490))"),"1 a 2 veces por semana")</f>
        <v>1 a 2 veces por semana</v>
      </c>
      <c r="N490" s="7">
        <f t="shared" si="1"/>
        <v>2024</v>
      </c>
      <c r="O490" s="7" t="str">
        <f t="shared" si="2"/>
        <v>marzo</v>
      </c>
      <c r="P490" s="7" t="s">
        <v>5173</v>
      </c>
    </row>
    <row r="491">
      <c r="A491" s="19">
        <f>'Respuestas de formulario 1'!A491</f>
        <v>45373.78162</v>
      </c>
      <c r="B491" s="7" t="str">
        <f>'Respuestas de formulario 1'!B491</f>
        <v>Baravalle</v>
      </c>
      <c r="C491" s="7" t="str">
        <f>'Respuestas de formulario 1'!C491</f>
        <v>Benjamin</v>
      </c>
      <c r="D491" s="7" t="str">
        <f>'Respuestas de formulario 1'!D491</f>
        <v>marinabergoglio@gmail.com</v>
      </c>
      <c r="E491" s="20">
        <f>'Respuestas de formulario 1'!E491</f>
        <v>40443</v>
      </c>
      <c r="F491" s="7">
        <f>'Respuestas de formulario 1'!F491</f>
        <v>50420146</v>
      </c>
      <c r="G491" s="7" t="str">
        <f>IFERROR(__xludf.DUMMYFUNCTION("IF('Respuestas de formulario 1'!G491="""","""",IF(LEFT(REGEXREPLACE(TO_TEXT('Respuestas de formulario 1'!G491),""[^0-9]"",""""),2)=""54"",""+""&amp;REGEXREPLACE(TO_TEXT('Respuestas de formulario 1'!G491),""[^0-9]"",""""),""+54""&amp;REGEXREPLACE(TO_TEXT('Respuest"&amp;"as de formulario 1'!G491),""[^0-9]"","""")))"),"+543516830023")</f>
        <v>+543516830023</v>
      </c>
      <c r="H491" s="7">
        <f>'Respuestas de formulario 1'!S491</f>
        <v>2024</v>
      </c>
      <c r="I491" s="7" t="str">
        <f>IFERROR(__xludf.DUMMYFUNCTION("IF('Respuestas de formulario 1'!I491="""","""",TO_TEXT('Respuestas de formulario 1'!I491))"),"Obra social")</f>
        <v>Obra social</v>
      </c>
      <c r="J491" s="7" t="str">
        <f>IFERROR(__xludf.DUMMYFUNCTION("IF('Respuestas de formulario 1'!J491&lt;&gt;"""",UPPER(TRIM(TO_TEXT('Respuestas de formulario 1'!J491))),IF('Respuestas de formulario 1'!O491&lt;&gt;"""",UPPER(TRIM(TO_TEXT('Respuestas de formulario 1'!O491))),""""))"),"DASPU")</f>
        <v>DASPU</v>
      </c>
      <c r="K491" s="7" t="str">
        <f>IFERROR(__xludf.DUMMYFUNCTION("IF('Respuestas de formulario 1'!K491="""","""",TO_TEXT('Respuestas de formulario 1'!K491))"),"Si")</f>
        <v>Si</v>
      </c>
      <c r="L491" s="7" t="str">
        <f>IFERROR(__xludf.DUMMYFUNCTION("IF('Respuestas de formulario 1'!L491="""","""",TO_TEXT('Respuestas de formulario 1'!L491))"),"Fútbol")</f>
        <v>Fútbol</v>
      </c>
      <c r="M491" s="7" t="str">
        <f>IFERROR(__xludf.DUMMYFUNCTION("IF('Respuestas de formulario 1'!M491="""","""",TO_TEXT('Respuestas de formulario 1'!M491))"),"1 a 2 veces por semana")</f>
        <v>1 a 2 veces por semana</v>
      </c>
      <c r="N491" s="7">
        <f t="shared" si="1"/>
        <v>2024</v>
      </c>
      <c r="O491" s="7" t="str">
        <f t="shared" si="2"/>
        <v>marzo</v>
      </c>
      <c r="P491" s="7" t="s">
        <v>5175</v>
      </c>
    </row>
    <row r="492">
      <c r="A492" s="19">
        <f>'Respuestas de formulario 1'!A492</f>
        <v>45376.5513</v>
      </c>
      <c r="B492" s="7" t="str">
        <f>'Respuestas de formulario 1'!B492</f>
        <v>BORGNA</v>
      </c>
      <c r="C492" s="7" t="str">
        <f>'Respuestas de formulario 1'!C492</f>
        <v>SACHA NAHUEL</v>
      </c>
      <c r="D492" s="7" t="str">
        <f>'Respuestas de formulario 1'!D492</f>
        <v>snborgna@hotmail.com</v>
      </c>
      <c r="E492" s="20">
        <f>'Respuestas de formulario 1'!E492</f>
        <v>33431</v>
      </c>
      <c r="F492" s="7">
        <f>'Respuestas de formulario 1'!F492</f>
        <v>36239039</v>
      </c>
      <c r="G492" s="7" t="str">
        <f>IFERROR(__xludf.DUMMYFUNCTION("IF('Respuestas de formulario 1'!G492="""","""",IF(LEFT(REGEXREPLACE(TO_TEXT('Respuestas de formulario 1'!G492),""[^0-9]"",""""),2)=""54"",""+""&amp;REGEXREPLACE(TO_TEXT('Respuestas de formulario 1'!G492),""[^0-9]"",""""),""+54""&amp;REGEXREPLACE(TO_TEXT('Respuest"&amp;"as de formulario 1'!G492),""[^0-9]"","""")))"),"+543516262969")</f>
        <v>+543516262969</v>
      </c>
      <c r="H492" s="7">
        <f>'Respuestas de formulario 1'!S492</f>
        <v>2024</v>
      </c>
      <c r="I492" s="7" t="str">
        <f>IFERROR(__xludf.DUMMYFUNCTION("IF('Respuestas de formulario 1'!I492="""","""",TO_TEXT('Respuestas de formulario 1'!I492))"),"Obra social")</f>
        <v>Obra social</v>
      </c>
      <c r="J492" s="7" t="str">
        <f>IFERROR(__xludf.DUMMYFUNCTION("IF('Respuestas de formulario 1'!J492&lt;&gt;"""",UPPER(TRIM(TO_TEXT('Respuestas de formulario 1'!J492))),IF('Respuestas de formulario 1'!O492&lt;&gt;"""",UPPER(TRIM(TO_TEXT('Respuestas de formulario 1'!O492))),""""))"),"PREVENCIÓN")</f>
        <v>PREVENCIÓN</v>
      </c>
      <c r="K492" s="7" t="str">
        <f>IFERROR(__xludf.DUMMYFUNCTION("IF('Respuestas de formulario 1'!K492="""","""",TO_TEXT('Respuestas de formulario 1'!K492))"),"Si")</f>
        <v>Si</v>
      </c>
      <c r="L492" s="7" t="str">
        <f>IFERROR(__xludf.DUMMYFUNCTION("IF('Respuestas de formulario 1'!L492="""","""",TO_TEXT('Respuestas de formulario 1'!L492))"),"Fútbol")</f>
        <v>Fútbol</v>
      </c>
      <c r="M492" s="7" t="str">
        <f>IFERROR(__xludf.DUMMYFUNCTION("IF('Respuestas de formulario 1'!M492="""","""",TO_TEXT('Respuestas de formulario 1'!M492))"),"3 a 5 veces por semana")</f>
        <v>3 a 5 veces por semana</v>
      </c>
      <c r="N492" s="7">
        <f t="shared" si="1"/>
        <v>2024</v>
      </c>
      <c r="O492" s="7" t="str">
        <f t="shared" si="2"/>
        <v>marzo</v>
      </c>
      <c r="P492" s="7" t="s">
        <v>5176</v>
      </c>
    </row>
    <row r="493">
      <c r="A493" s="19">
        <f>'Respuestas de formulario 1'!A493</f>
        <v>45376.70326</v>
      </c>
      <c r="B493" s="7" t="str">
        <f>'Respuestas de formulario 1'!B493</f>
        <v>Travella</v>
      </c>
      <c r="C493" s="7" t="str">
        <f>'Respuestas de formulario 1'!C493</f>
        <v>Guido</v>
      </c>
      <c r="D493" s="7" t="str">
        <f>'Respuestas de formulario 1'!D493</f>
        <v>gtgolfguide@gmail.com</v>
      </c>
      <c r="E493" s="20">
        <f>'Respuestas de formulario 1'!E493</f>
        <v>33393</v>
      </c>
      <c r="F493" s="7">
        <f>'Respuestas de formulario 1'!F493</f>
        <v>36169675</v>
      </c>
      <c r="G493" s="7" t="str">
        <f>IFERROR(__xludf.DUMMYFUNCTION("IF('Respuestas de formulario 1'!G493="""","""",IF(LEFT(REGEXREPLACE(TO_TEXT('Respuestas de formulario 1'!G493),""[^0-9]"",""""),2)=""54"",""+""&amp;REGEXREPLACE(TO_TEXT('Respuestas de formulario 1'!G493),""[^0-9]"",""""),""+54""&amp;REGEXREPLACE(TO_TEXT('Respuest"&amp;"as de formulario 1'!G493),""[^0-9]"","""")))"),"+5493516300005")</f>
        <v>+5493516300005</v>
      </c>
      <c r="H493" s="7">
        <f>'Respuestas de formulario 1'!S493</f>
        <v>2024</v>
      </c>
      <c r="I493" s="7" t="str">
        <f>IFERROR(__xludf.DUMMYFUNCTION("IF('Respuestas de formulario 1'!I493="""","""",TO_TEXT('Respuestas de formulario 1'!I493))"),"Obra social")</f>
        <v>Obra social</v>
      </c>
      <c r="J493" s="7" t="str">
        <f>IFERROR(__xludf.DUMMYFUNCTION("IF('Respuestas de formulario 1'!J493&lt;&gt;"""",UPPER(TRIM(TO_TEXT('Respuestas de formulario 1'!J493))),IF('Respuestas de formulario 1'!O493&lt;&gt;"""",UPPER(TRIM(TO_TEXT('Respuestas de formulario 1'!O493))),""""))"),"MET")</f>
        <v>MET</v>
      </c>
      <c r="K493" s="7" t="str">
        <f>IFERROR(__xludf.DUMMYFUNCTION("IF('Respuestas de formulario 1'!K493="""","""",TO_TEXT('Respuestas de formulario 1'!K493))"),"Si")</f>
        <v>Si</v>
      </c>
      <c r="L493" s="7" t="str">
        <f>IFERROR(__xludf.DUMMYFUNCTION("IF('Respuestas de formulario 1'!L493="""","""",TO_TEXT('Respuestas de formulario 1'!L493))"),"golf y tenis")</f>
        <v>golf y tenis</v>
      </c>
      <c r="M493" s="7" t="str">
        <f>IFERROR(__xludf.DUMMYFUNCTION("IF('Respuestas de formulario 1'!M493="""","""",TO_TEXT('Respuestas de formulario 1'!M493))"),"1 a 2 veces por semana")</f>
        <v>1 a 2 veces por semana</v>
      </c>
      <c r="N493" s="7">
        <f t="shared" si="1"/>
        <v>2024</v>
      </c>
      <c r="O493" s="7" t="str">
        <f t="shared" si="2"/>
        <v>marzo</v>
      </c>
      <c r="P493" s="7" t="s">
        <v>5178</v>
      </c>
    </row>
    <row r="494">
      <c r="A494" s="19">
        <f>'Respuestas de formulario 1'!A494</f>
        <v>45376.7992</v>
      </c>
      <c r="B494" s="7" t="str">
        <f>'Respuestas de formulario 1'!B494</f>
        <v>Avella</v>
      </c>
      <c r="C494" s="7" t="str">
        <f>'Respuestas de formulario 1'!C494</f>
        <v>Amelia</v>
      </c>
      <c r="D494" s="7" t="str">
        <f>'Respuestas de formulario 1'!D494</f>
        <v/>
      </c>
      <c r="E494" s="20">
        <f>'Respuestas de formulario 1'!E494</f>
        <v>16768</v>
      </c>
      <c r="F494" s="7">
        <f>'Respuestas de formulario 1'!F494</f>
        <v>5294954</v>
      </c>
      <c r="G494" s="7" t="str">
        <f>IFERROR(__xludf.DUMMYFUNCTION("IF('Respuestas de formulario 1'!G494="""","""",IF(LEFT(REGEXREPLACE(TO_TEXT('Respuestas de formulario 1'!G494),""[^0-9]"",""""),2)=""54"",""+""&amp;REGEXREPLACE(TO_TEXT('Respuestas de formulario 1'!G494),""[^0-9]"",""""),""+54""&amp;REGEXREPLACE(TO_TEXT('Respuest"&amp;"as de formulario 1'!G494),""[^0-9]"","""")))"),"+543513282084")</f>
        <v>+543513282084</v>
      </c>
      <c r="H494" s="7">
        <f>'Respuestas de formulario 1'!S494</f>
        <v>2024</v>
      </c>
      <c r="I494" s="7" t="str">
        <f>IFERROR(__xludf.DUMMYFUNCTION("IF('Respuestas de formulario 1'!I494="""","""",TO_TEXT('Respuestas de formulario 1'!I494))"),"Obra social")</f>
        <v>Obra social</v>
      </c>
      <c r="J494" s="7" t="str">
        <f>IFERROR(__xludf.DUMMYFUNCTION("IF('Respuestas de formulario 1'!J494&lt;&gt;"""",UPPER(TRIM(TO_TEXT('Respuestas de formulario 1'!J494))),IF('Respuestas de formulario 1'!O494&lt;&gt;"""",UPPER(TRIM(TO_TEXT('Respuestas de formulario 1'!O494))),""""))"),"APROSS")</f>
        <v>APROSS</v>
      </c>
      <c r="K494" s="7" t="str">
        <f>IFERROR(__xludf.DUMMYFUNCTION("IF('Respuestas de formulario 1'!K494="""","""",TO_TEXT('Respuestas de formulario 1'!K494))"),"No")</f>
        <v>No</v>
      </c>
      <c r="L494" s="7" t="str">
        <f>IFERROR(__xludf.DUMMYFUNCTION("IF('Respuestas de formulario 1'!L494="""","""",TO_TEXT('Respuestas de formulario 1'!L494))"),"")</f>
        <v/>
      </c>
      <c r="M494" s="7" t="str">
        <f>IFERROR(__xludf.DUMMYFUNCTION("IF('Respuestas de formulario 1'!M494="""","""",TO_TEXT('Respuestas de formulario 1'!M494))"),"")</f>
        <v/>
      </c>
      <c r="N494" s="7">
        <f t="shared" si="1"/>
        <v>2024</v>
      </c>
      <c r="O494" s="7" t="str">
        <f t="shared" si="2"/>
        <v>marzo</v>
      </c>
      <c r="P494" s="7" t="s">
        <v>5180</v>
      </c>
    </row>
    <row r="495">
      <c r="A495" s="19">
        <f>'Respuestas de formulario 1'!A495</f>
        <v>45376.8261</v>
      </c>
      <c r="B495" s="7" t="str">
        <f>'Respuestas de formulario 1'!B495</f>
        <v>nardelli</v>
      </c>
      <c r="C495" s="7" t="str">
        <f>'Respuestas de formulario 1'!C495</f>
        <v>marian</v>
      </c>
      <c r="D495" s="7" t="str">
        <f>'Respuestas de formulario 1'!D495</f>
        <v>nardellimarian@gmail.com</v>
      </c>
      <c r="E495" s="20">
        <f>'Respuestas de formulario 1'!E495</f>
        <v>37778</v>
      </c>
      <c r="F495" s="7">
        <f>'Respuestas de formulario 1'!F495</f>
        <v>44828607</v>
      </c>
      <c r="G495" s="7" t="str">
        <f>IFERROR(__xludf.DUMMYFUNCTION("IF('Respuestas de formulario 1'!G495="""","""",IF(LEFT(REGEXREPLACE(TO_TEXT('Respuestas de formulario 1'!G495),""[^0-9]"",""""),2)=""54"",""+""&amp;REGEXREPLACE(TO_TEXT('Respuestas de formulario 1'!G495),""[^0-9]"",""""),""+54""&amp;REGEXREPLACE(TO_TEXT('Respuest"&amp;"as de formulario 1'!G495),""[^0-9]"","""")))"),"+543517325355")</f>
        <v>+543517325355</v>
      </c>
      <c r="H495" s="7">
        <f>'Respuestas de formulario 1'!S495</f>
        <v>2024</v>
      </c>
      <c r="I495" s="7" t="str">
        <f>IFERROR(__xludf.DUMMYFUNCTION("IF('Respuestas de formulario 1'!I495="""","""",TO_TEXT('Respuestas de formulario 1'!I495))"),"Obra social")</f>
        <v>Obra social</v>
      </c>
      <c r="J495" s="7" t="str">
        <f>IFERROR(__xludf.DUMMYFUNCTION("IF('Respuestas de formulario 1'!J495&lt;&gt;"""",UPPER(TRIM(TO_TEXT('Respuestas de formulario 1'!J495))),IF('Respuestas de formulario 1'!O495&lt;&gt;"""",UPPER(TRIM(TO_TEXT('Respuestas de formulario 1'!O495))),""""))"),"APROSS")</f>
        <v>APROSS</v>
      </c>
      <c r="K495" s="7" t="str">
        <f>IFERROR(__xludf.DUMMYFUNCTION("IF('Respuestas de formulario 1'!K495="""","""",TO_TEXT('Respuestas de formulario 1'!K495))"),"Si")</f>
        <v>Si</v>
      </c>
      <c r="L495" s="7" t="str">
        <f>IFERROR(__xludf.DUMMYFUNCTION("IF('Respuestas de formulario 1'!L495="""","""",TO_TEXT('Respuestas de formulario 1'!L495))"),"Baile")</f>
        <v>Baile</v>
      </c>
      <c r="M495" s="7" t="str">
        <f>IFERROR(__xludf.DUMMYFUNCTION("IF('Respuestas de formulario 1'!M495="""","""",TO_TEXT('Respuestas de formulario 1'!M495))"),"3 a 5 veces por semana")</f>
        <v>3 a 5 veces por semana</v>
      </c>
      <c r="N495" s="7">
        <f t="shared" si="1"/>
        <v>2024</v>
      </c>
      <c r="O495" s="7" t="str">
        <f t="shared" si="2"/>
        <v>marzo</v>
      </c>
      <c r="P495" s="7" t="s">
        <v>5182</v>
      </c>
    </row>
    <row r="496">
      <c r="A496" s="19">
        <f>'Respuestas de formulario 1'!A496</f>
        <v>45377.74403</v>
      </c>
      <c r="B496" s="7" t="str">
        <f>'Respuestas de formulario 1'!B496</f>
        <v>Micolini</v>
      </c>
      <c r="C496" s="7" t="str">
        <f>'Respuestas de formulario 1'!C496</f>
        <v>Isabel</v>
      </c>
      <c r="D496" s="7" t="str">
        <f>'Respuestas de formulario 1'!D496</f>
        <v>imicolini@hotmail.com</v>
      </c>
      <c r="E496" s="20">
        <f>'Respuestas de formulario 1'!E496</f>
        <v>26269</v>
      </c>
      <c r="F496" s="7">
        <f>'Respuestas de formulario 1'!F496</f>
        <v>22136984</v>
      </c>
      <c r="G496" s="7" t="str">
        <f>IFERROR(__xludf.DUMMYFUNCTION("IF('Respuestas de formulario 1'!G496="""","""",IF(LEFT(REGEXREPLACE(TO_TEXT('Respuestas de formulario 1'!G496),""[^0-9]"",""""),2)=""54"",""+""&amp;REGEXREPLACE(TO_TEXT('Respuestas de formulario 1'!G496),""[^0-9]"",""""),""+54""&amp;REGEXREPLACE(TO_TEXT('Respuest"&amp;"as de formulario 1'!G496),""[^0-9]"","""")))"),"+543512373722")</f>
        <v>+543512373722</v>
      </c>
      <c r="H496" s="7">
        <f>'Respuestas de formulario 1'!S496</f>
        <v>2024</v>
      </c>
      <c r="I496" s="7" t="str">
        <f>IFERROR(__xludf.DUMMYFUNCTION("IF('Respuestas de formulario 1'!I496="""","""",TO_TEXT('Respuestas de formulario 1'!I496))"),"Obra social")</f>
        <v>Obra social</v>
      </c>
      <c r="J496" s="7" t="str">
        <f>IFERROR(__xludf.DUMMYFUNCTION("IF('Respuestas de formulario 1'!J496&lt;&gt;"""",UPPER(TRIM(TO_TEXT('Respuestas de formulario 1'!J496))),IF('Respuestas de formulario 1'!O496&lt;&gt;"""",UPPER(TRIM(TO_TEXT('Respuestas de formulario 1'!O496))),""""))"),"SANCOR")</f>
        <v>SANCOR</v>
      </c>
      <c r="K496" s="7" t="str">
        <f>IFERROR(__xludf.DUMMYFUNCTION("IF('Respuestas de formulario 1'!K496="""","""",TO_TEXT('Respuestas de formulario 1'!K496))"),"Si")</f>
        <v>Si</v>
      </c>
      <c r="L496" s="7" t="str">
        <f>IFERROR(__xludf.DUMMYFUNCTION("IF('Respuestas de formulario 1'!L496="""","""",TO_TEXT('Respuestas de formulario 1'!L496))"),"Gimnasio")</f>
        <v>Gimnasio</v>
      </c>
      <c r="M496" s="7" t="str">
        <f>IFERROR(__xludf.DUMMYFUNCTION("IF('Respuestas de formulario 1'!M496="""","""",TO_TEXT('Respuestas de formulario 1'!M496))"),"3 a 5 veces por semana")</f>
        <v>3 a 5 veces por semana</v>
      </c>
      <c r="N496" s="7">
        <f t="shared" si="1"/>
        <v>2024</v>
      </c>
      <c r="O496" s="7" t="str">
        <f t="shared" si="2"/>
        <v>marzo</v>
      </c>
      <c r="P496" s="7" t="s">
        <v>5184</v>
      </c>
    </row>
    <row r="497">
      <c r="A497" s="19">
        <f>'Respuestas de formulario 1'!A497</f>
        <v>45382.79083</v>
      </c>
      <c r="B497" s="7" t="str">
        <f>'Respuestas de formulario 1'!B497</f>
        <v>Santodomingo </v>
      </c>
      <c r="C497" s="7" t="str">
        <f>'Respuestas de formulario 1'!C497</f>
        <v>Luis Antonio </v>
      </c>
      <c r="D497" s="7" t="str">
        <f>'Respuestas de formulario 1'!D497</f>
        <v>santodomingo83@hotmail.com</v>
      </c>
      <c r="E497" s="20">
        <f>'Respuestas de formulario 1'!E497</f>
        <v>30621</v>
      </c>
      <c r="F497" s="7">
        <f>'Respuestas de formulario 1'!F497</f>
        <v>30311255</v>
      </c>
      <c r="G497" s="7" t="str">
        <f>IFERROR(__xludf.DUMMYFUNCTION("IF('Respuestas de formulario 1'!G497="""","""",IF(LEFT(REGEXREPLACE(TO_TEXT('Respuestas de formulario 1'!G497),""[^0-9]"",""""),2)=""54"",""+""&amp;REGEXREPLACE(TO_TEXT('Respuestas de formulario 1'!G497),""[^0-9]"",""""),""+54""&amp;REGEXREPLACE(TO_TEXT('Respuest"&amp;"as de formulario 1'!G497),""[^0-9]"","""")))"),"+543513432313")</f>
        <v>+543513432313</v>
      </c>
      <c r="H497" s="7">
        <f>'Respuestas de formulario 1'!S497</f>
        <v>2024</v>
      </c>
      <c r="I497" s="7" t="str">
        <f>IFERROR(__xludf.DUMMYFUNCTION("IF('Respuestas de formulario 1'!I497="""","""",TO_TEXT('Respuestas de formulario 1'!I497))"),"Particular")</f>
        <v>Particular</v>
      </c>
      <c r="J497" s="7" t="str">
        <f>IFERROR(__xludf.DUMMYFUNCTION("IF('Respuestas de formulario 1'!J497&lt;&gt;"""",UPPER(TRIM(TO_TEXT('Respuestas de formulario 1'!J497))),IF('Respuestas de formulario 1'!O497&lt;&gt;"""",UPPER(TRIM(TO_TEXT('Respuestas de formulario 1'!O497))),""""))"),"")</f>
        <v/>
      </c>
      <c r="K497" s="7" t="str">
        <f>IFERROR(__xludf.DUMMYFUNCTION("IF('Respuestas de formulario 1'!K497="""","""",TO_TEXT('Respuestas de formulario 1'!K497))"),"Si")</f>
        <v>Si</v>
      </c>
      <c r="L497" s="7" t="str">
        <f>IFERROR(__xludf.DUMMYFUNCTION("IF('Respuestas de formulario 1'!L497="""","""",TO_TEXT('Respuestas de formulario 1'!L497))"),"Running y futbol ")</f>
        <v>Running y futbol </v>
      </c>
      <c r="M497" s="7" t="str">
        <f>IFERROR(__xludf.DUMMYFUNCTION("IF('Respuestas de formulario 1'!M497="""","""",TO_TEXT('Respuestas de formulario 1'!M497))"),"3 a 5 veces por semana")</f>
        <v>3 a 5 veces por semana</v>
      </c>
      <c r="N497" s="7">
        <f t="shared" si="1"/>
        <v>2024</v>
      </c>
      <c r="O497" s="7" t="str">
        <f t="shared" si="2"/>
        <v>marzo</v>
      </c>
      <c r="P497" s="7" t="s">
        <v>5186</v>
      </c>
    </row>
    <row r="498">
      <c r="A498" s="19">
        <f>'Respuestas de formulario 1'!A498</f>
        <v>45385.62829</v>
      </c>
      <c r="B498" s="7" t="str">
        <f>'Respuestas de formulario 1'!B498</f>
        <v>Reyna</v>
      </c>
      <c r="C498" s="7" t="str">
        <f>'Respuestas de formulario 1'!C498</f>
        <v> Nicolas</v>
      </c>
      <c r="D498" s="7" t="str">
        <f>'Respuestas de formulario 1'!D498</f>
        <v>nicolasreyna79@gmail.com</v>
      </c>
      <c r="E498" s="20">
        <f>'Respuestas de formulario 1'!E498</f>
        <v>37449</v>
      </c>
      <c r="F498" s="7">
        <f>'Respuestas de formulario 1'!F498</f>
        <v>43998065</v>
      </c>
      <c r="G498" s="7" t="str">
        <f>IFERROR(__xludf.DUMMYFUNCTION("IF('Respuestas de formulario 1'!G498="""","""",IF(LEFT(REGEXREPLACE(TO_TEXT('Respuestas de formulario 1'!G498),""[^0-9]"",""""),2)=""54"",""+""&amp;REGEXREPLACE(TO_TEXT('Respuestas de formulario 1'!G498),""[^0-9]"",""""),""+54""&amp;REGEXREPLACE(TO_TEXT('Respuest"&amp;"as de formulario 1'!G498),""[^0-9]"","""")))"),"+543518127039")</f>
        <v>+543518127039</v>
      </c>
      <c r="H498" s="7">
        <f>'Respuestas de formulario 1'!S498</f>
        <v>2024</v>
      </c>
      <c r="I498" s="7" t="str">
        <f>IFERROR(__xludf.DUMMYFUNCTION("IF('Respuestas de formulario 1'!I498="""","""",TO_TEXT('Respuestas de formulario 1'!I498))"),"Obra social")</f>
        <v>Obra social</v>
      </c>
      <c r="J498" s="7" t="str">
        <f>IFERROR(__xludf.DUMMYFUNCTION("IF('Respuestas de formulario 1'!J498&lt;&gt;"""",UPPER(TRIM(TO_TEXT('Respuestas de formulario 1'!J498))),IF('Respuestas de formulario 1'!O498&lt;&gt;"""",UPPER(TRIM(TO_TEXT('Respuestas de formulario 1'!O498))),""""))"),"APROSS")</f>
        <v>APROSS</v>
      </c>
      <c r="K498" s="7" t="str">
        <f>IFERROR(__xludf.DUMMYFUNCTION("IF('Respuestas de formulario 1'!K498="""","""",TO_TEXT('Respuestas de formulario 1'!K498))"),"Si")</f>
        <v>Si</v>
      </c>
      <c r="L498" s="7" t="str">
        <f>IFERROR(__xludf.DUMMYFUNCTION("IF('Respuestas de formulario 1'!L498="""","""",TO_TEXT('Respuestas de formulario 1'!L498))"),"Running")</f>
        <v>Running</v>
      </c>
      <c r="M498" s="7" t="str">
        <f>IFERROR(__xludf.DUMMYFUNCTION("IF('Respuestas de formulario 1'!M498="""","""",TO_TEXT('Respuestas de formulario 1'!M498))"),"3 a 5 veces por semana")</f>
        <v>3 a 5 veces por semana</v>
      </c>
      <c r="N498" s="7">
        <f t="shared" si="1"/>
        <v>2024</v>
      </c>
      <c r="O498" s="7" t="str">
        <f t="shared" si="2"/>
        <v>abril</v>
      </c>
      <c r="P498" s="7" t="s">
        <v>5188</v>
      </c>
    </row>
    <row r="499">
      <c r="A499" s="19">
        <f>'Respuestas de formulario 1'!A499</f>
        <v>45385.68742</v>
      </c>
      <c r="B499" s="7" t="str">
        <f>'Respuestas de formulario 1'!B499</f>
        <v>Giannoboli</v>
      </c>
      <c r="C499" s="7" t="str">
        <f>'Respuestas de formulario 1'!C499</f>
        <v>Ciro</v>
      </c>
      <c r="D499" s="7" t="str">
        <f>'Respuestas de formulario 1'!D499</f>
        <v>ciro.giannoboli@gmail.com</v>
      </c>
      <c r="E499" s="20">
        <f>'Respuestas de formulario 1'!E499</f>
        <v>40245</v>
      </c>
      <c r="F499" s="7">
        <f>'Respuestas de formulario 1'!F499</f>
        <v>50188849</v>
      </c>
      <c r="G499" s="7" t="str">
        <f>IFERROR(__xludf.DUMMYFUNCTION("IF('Respuestas de formulario 1'!G499="""","""",IF(LEFT(REGEXREPLACE(TO_TEXT('Respuestas de formulario 1'!G499),""[^0-9]"",""""),2)=""54"",""+""&amp;REGEXREPLACE(TO_TEXT('Respuestas de formulario 1'!G499),""[^0-9]"",""""),""+54""&amp;REGEXREPLACE(TO_TEXT('Respuest"&amp;"as de formulario 1'!G499),""[^0-9]"","""")))"),"+543517659763")</f>
        <v>+543517659763</v>
      </c>
      <c r="H499" s="7">
        <f>'Respuestas de formulario 1'!S499</f>
        <v>2024</v>
      </c>
      <c r="I499" s="7" t="str">
        <f>IFERROR(__xludf.DUMMYFUNCTION("IF('Respuestas de formulario 1'!I499="""","""",TO_TEXT('Respuestas de formulario 1'!I499))"),"Obra social")</f>
        <v>Obra social</v>
      </c>
      <c r="J499" s="7" t="str">
        <f>IFERROR(__xludf.DUMMYFUNCTION("IF('Respuestas de formulario 1'!J499&lt;&gt;"""",UPPER(TRIM(TO_TEXT('Respuestas de formulario 1'!J499))),IF('Respuestas de formulario 1'!O499&lt;&gt;"""",UPPER(TRIM(TO_TEXT('Respuestas de formulario 1'!O499))),""""))"),"DASPU")</f>
        <v>DASPU</v>
      </c>
      <c r="K499" s="7" t="str">
        <f>IFERROR(__xludf.DUMMYFUNCTION("IF('Respuestas de formulario 1'!K499="""","""",TO_TEXT('Respuestas de formulario 1'!K499))"),"Si")</f>
        <v>Si</v>
      </c>
      <c r="L499" s="7" t="str">
        <f>IFERROR(__xludf.DUMMYFUNCTION("IF('Respuestas de formulario 1'!L499="""","""",TO_TEXT('Respuestas de formulario 1'!L499))"),"hockey")</f>
        <v>hockey</v>
      </c>
      <c r="M499" s="7" t="str">
        <f>IFERROR(__xludf.DUMMYFUNCTION("IF('Respuestas de formulario 1'!M499="""","""",TO_TEXT('Respuestas de formulario 1'!M499))"),"3 a 5 veces por semana")</f>
        <v>3 a 5 veces por semana</v>
      </c>
      <c r="N499" s="7">
        <f t="shared" si="1"/>
        <v>2024</v>
      </c>
      <c r="O499" s="7" t="str">
        <f t="shared" si="2"/>
        <v>abril</v>
      </c>
      <c r="P499" s="7" t="s">
        <v>5190</v>
      </c>
    </row>
    <row r="500">
      <c r="A500" s="19">
        <f>'Respuestas de formulario 1'!A500</f>
        <v>45385.8194</v>
      </c>
      <c r="B500" s="7" t="str">
        <f>'Respuestas de formulario 1'!B500</f>
        <v>Santore</v>
      </c>
      <c r="C500" s="7" t="str">
        <f>'Respuestas de formulario 1'!C500</f>
        <v>Eliana</v>
      </c>
      <c r="D500" s="7" t="str">
        <f>'Respuestas de formulario 1'!D500</f>
        <v>elysantoree@gmail.com </v>
      </c>
      <c r="E500" s="20">
        <f>'Respuestas de formulario 1'!E500</f>
        <v>32463</v>
      </c>
      <c r="F500" s="7">
        <f>'Respuestas de formulario 1'!F500</f>
        <v>34689011</v>
      </c>
      <c r="G500" s="7" t="str">
        <f>IFERROR(__xludf.DUMMYFUNCTION("IF('Respuestas de formulario 1'!G500="""","""",IF(LEFT(REGEXREPLACE(TO_TEXT('Respuestas de formulario 1'!G500),""[^0-9]"",""""),2)=""54"",""+""&amp;REGEXREPLACE(TO_TEXT('Respuestas de formulario 1'!G500),""[^0-9]"",""""),""+54""&amp;REGEXREPLACE(TO_TEXT('Respuest"&amp;"as de formulario 1'!G500),""[^0-9]"","""")))"),"+543513477569")</f>
        <v>+543513477569</v>
      </c>
      <c r="H500" s="7">
        <f>'Respuestas de formulario 1'!S500</f>
        <v>2024</v>
      </c>
      <c r="I500" s="7" t="str">
        <f>IFERROR(__xludf.DUMMYFUNCTION("IF('Respuestas de formulario 1'!I500="""","""",TO_TEXT('Respuestas de formulario 1'!I500))"),"Particular")</f>
        <v>Particular</v>
      </c>
      <c r="J500" s="7" t="str">
        <f>IFERROR(__xludf.DUMMYFUNCTION("IF('Respuestas de formulario 1'!J500&lt;&gt;"""",UPPER(TRIM(TO_TEXT('Respuestas de formulario 1'!J500))),IF('Respuestas de formulario 1'!O500&lt;&gt;"""",UPPER(TRIM(TO_TEXT('Respuestas de formulario 1'!O500))),""""))"),"")</f>
        <v/>
      </c>
      <c r="K500" s="7" t="str">
        <f>IFERROR(__xludf.DUMMYFUNCTION("IF('Respuestas de formulario 1'!K500="""","""",TO_TEXT('Respuestas de formulario 1'!K500))"),"No")</f>
        <v>No</v>
      </c>
      <c r="L500" s="7" t="str">
        <f>IFERROR(__xludf.DUMMYFUNCTION("IF('Respuestas de formulario 1'!L500="""","""",TO_TEXT('Respuestas de formulario 1'!L500))"),"")</f>
        <v/>
      </c>
      <c r="M500" s="7" t="str">
        <f>IFERROR(__xludf.DUMMYFUNCTION("IF('Respuestas de formulario 1'!M500="""","""",TO_TEXT('Respuestas de formulario 1'!M500))"),"")</f>
        <v/>
      </c>
      <c r="N500" s="7">
        <f t="shared" si="1"/>
        <v>2024</v>
      </c>
      <c r="O500" s="7" t="str">
        <f t="shared" si="2"/>
        <v>abril</v>
      </c>
      <c r="P500" s="7" t="s">
        <v>4711</v>
      </c>
    </row>
    <row r="501">
      <c r="A501" s="19">
        <f>'Respuestas de formulario 1'!A501</f>
        <v>45386.4969</v>
      </c>
      <c r="B501" s="7" t="str">
        <f>'Respuestas de formulario 1'!B501</f>
        <v>Vargas</v>
      </c>
      <c r="C501" s="7" t="str">
        <f>'Respuestas de formulario 1'!C501</f>
        <v>Rocío Belen </v>
      </c>
      <c r="D501" s="7" t="str">
        <f>'Respuestas de formulario 1'!D501</f>
        <v>rociobelenvargas1408@gmail.com</v>
      </c>
      <c r="E501" s="20">
        <f>'Respuestas de formulario 1'!E501</f>
        <v>37482</v>
      </c>
      <c r="F501" s="7">
        <f>'Respuestas de formulario 1'!F501</f>
        <v>43954889</v>
      </c>
      <c r="G501" s="7" t="str">
        <f>IFERROR(__xludf.DUMMYFUNCTION("IF('Respuestas de formulario 1'!G501="""","""",IF(LEFT(REGEXREPLACE(TO_TEXT('Respuestas de formulario 1'!G501),""[^0-9]"",""""),2)=""54"",""+""&amp;REGEXREPLACE(TO_TEXT('Respuestas de formulario 1'!G501),""[^0-9]"",""""),""+54""&amp;REGEXREPLACE(TO_TEXT('Respuest"&amp;"as de formulario 1'!G501),""[^0-9]"","""")))"),"+543513349220")</f>
        <v>+543513349220</v>
      </c>
      <c r="H501" s="7">
        <f>'Respuestas de formulario 1'!S501</f>
        <v>2024</v>
      </c>
      <c r="I501" s="7" t="str">
        <f>IFERROR(__xludf.DUMMYFUNCTION("IF('Respuestas de formulario 1'!I501="""","""",TO_TEXT('Respuestas de formulario 1'!I501))"),"Particular")</f>
        <v>Particular</v>
      </c>
      <c r="J501" s="7" t="str">
        <f>IFERROR(__xludf.DUMMYFUNCTION("IF('Respuestas de formulario 1'!J501&lt;&gt;"""",UPPER(TRIM(TO_TEXT('Respuestas de formulario 1'!J501))),IF('Respuestas de formulario 1'!O501&lt;&gt;"""",UPPER(TRIM(TO_TEXT('Respuestas de formulario 1'!O501))),""""))"),"")</f>
        <v/>
      </c>
      <c r="K501" s="7" t="str">
        <f>IFERROR(__xludf.DUMMYFUNCTION("IF('Respuestas de formulario 1'!K501="""","""",TO_TEXT('Respuestas de formulario 1'!K501))"),"No")</f>
        <v>No</v>
      </c>
      <c r="L501" s="7" t="str">
        <f>IFERROR(__xludf.DUMMYFUNCTION("IF('Respuestas de formulario 1'!L501="""","""",TO_TEXT('Respuestas de formulario 1'!L501))"),"")</f>
        <v/>
      </c>
      <c r="M501" s="7" t="str">
        <f>IFERROR(__xludf.DUMMYFUNCTION("IF('Respuestas de formulario 1'!M501="""","""",TO_TEXT('Respuestas de formulario 1'!M501))"),"")</f>
        <v/>
      </c>
      <c r="N501" s="7">
        <f t="shared" si="1"/>
        <v>2024</v>
      </c>
      <c r="O501" s="7" t="str">
        <f t="shared" si="2"/>
        <v>abril</v>
      </c>
      <c r="P501" s="7" t="s">
        <v>5192</v>
      </c>
    </row>
    <row r="502">
      <c r="A502" s="19">
        <f>'Respuestas de formulario 1'!A502</f>
        <v>45386.52764</v>
      </c>
      <c r="B502" s="7" t="str">
        <f>'Respuestas de formulario 1'!B502</f>
        <v>ARIAS</v>
      </c>
      <c r="C502" s="7" t="str">
        <f>'Respuestas de formulario 1'!C502</f>
        <v>Sergio Sebastián</v>
      </c>
      <c r="D502" s="7" t="str">
        <f>'Respuestas de formulario 1'!D502</f>
        <v>sergioarias@live.com.ar</v>
      </c>
      <c r="E502" s="20">
        <f>'Respuestas de formulario 1'!E502</f>
        <v>31685</v>
      </c>
      <c r="F502" s="7">
        <f>'Respuestas de formulario 1'!F502</f>
        <v>32471761</v>
      </c>
      <c r="G502" s="7" t="str">
        <f>IFERROR(__xludf.DUMMYFUNCTION("IF('Respuestas de formulario 1'!G502="""","""",IF(LEFT(REGEXREPLACE(TO_TEXT('Respuestas de formulario 1'!G502),""[^0-9]"",""""),2)=""54"",""+""&amp;REGEXREPLACE(TO_TEXT('Respuestas de formulario 1'!G502),""[^0-9]"",""""),""+54""&amp;REGEXREPLACE(TO_TEXT('Respuest"&amp;"as de formulario 1'!G502),""[^0-9]"","""")))"),"+541150959593")</f>
        <v>+541150959593</v>
      </c>
      <c r="H502" s="7">
        <f>'Respuestas de formulario 1'!S502</f>
        <v>2024</v>
      </c>
      <c r="I502" s="7" t="str">
        <f>IFERROR(__xludf.DUMMYFUNCTION("IF('Respuestas de formulario 1'!I502="""","""",TO_TEXT('Respuestas de formulario 1'!I502))"),"Obra social")</f>
        <v>Obra social</v>
      </c>
      <c r="J502" s="7" t="str">
        <f>IFERROR(__xludf.DUMMYFUNCTION("IF('Respuestas de formulario 1'!J502&lt;&gt;"""",UPPER(TRIM(TO_TEXT('Respuestas de formulario 1'!J502))),IF('Respuestas de formulario 1'!O502&lt;&gt;"""",UPPER(TRIM(TO_TEXT('Respuestas de formulario 1'!O502))),""""))"),"POLICIA FEDERAL ARGENTINA (SUPERINTENDENCIA DE BIENESTAR)")</f>
        <v>POLICIA FEDERAL ARGENTINA (SUPERINTENDENCIA DE BIENESTAR)</v>
      </c>
      <c r="K502" s="7" t="str">
        <f>IFERROR(__xludf.DUMMYFUNCTION("IF('Respuestas de formulario 1'!K502="""","""",TO_TEXT('Respuestas de formulario 1'!K502))"),"No")</f>
        <v>No</v>
      </c>
      <c r="L502" s="7" t="str">
        <f>IFERROR(__xludf.DUMMYFUNCTION("IF('Respuestas de formulario 1'!L502="""","""",TO_TEXT('Respuestas de formulario 1'!L502))"),"")</f>
        <v/>
      </c>
      <c r="M502" s="7" t="str">
        <f>IFERROR(__xludf.DUMMYFUNCTION("IF('Respuestas de formulario 1'!M502="""","""",TO_TEXT('Respuestas de formulario 1'!M502))"),"")</f>
        <v/>
      </c>
      <c r="N502" s="7">
        <f t="shared" si="1"/>
        <v>2024</v>
      </c>
      <c r="O502" s="7" t="str">
        <f t="shared" si="2"/>
        <v>abril</v>
      </c>
      <c r="P502" s="7" t="s">
        <v>5194</v>
      </c>
    </row>
    <row r="503">
      <c r="A503" s="19">
        <f>'Respuestas de formulario 1'!A503</f>
        <v>45387.82638</v>
      </c>
      <c r="B503" s="7" t="str">
        <f>'Respuestas de formulario 1'!B503</f>
        <v>Rover olivera </v>
      </c>
      <c r="C503" s="7" t="str">
        <f>'Respuestas de formulario 1'!C503</f>
        <v>Julian</v>
      </c>
      <c r="D503" s="7" t="str">
        <f>'Respuestas de formulario 1'!D503</f>
        <v>Soniaolivera7@hotmail.com </v>
      </c>
      <c r="E503" s="20">
        <f>'Respuestas de formulario 1'!E503</f>
        <v>40289</v>
      </c>
      <c r="F503" s="7">
        <f>'Respuestas de formulario 1'!F503</f>
        <v>50222434</v>
      </c>
      <c r="G503" s="7" t="str">
        <f>IFERROR(__xludf.DUMMYFUNCTION("IF('Respuestas de formulario 1'!G503="""","""",IF(LEFT(REGEXREPLACE(TO_TEXT('Respuestas de formulario 1'!G503),""[^0-9]"",""""),2)=""54"",""+""&amp;REGEXREPLACE(TO_TEXT('Respuestas de formulario 1'!G503),""[^0-9]"",""""),""+54""&amp;REGEXREPLACE(TO_TEXT('Respuest"&amp;"as de formulario 1'!G503),""[^0-9]"","""")))"),"+543513592526")</f>
        <v>+543513592526</v>
      </c>
      <c r="H503" s="7">
        <f>'Respuestas de formulario 1'!S503</f>
        <v>2024</v>
      </c>
      <c r="I503" s="7" t="str">
        <f>IFERROR(__xludf.DUMMYFUNCTION("IF('Respuestas de formulario 1'!I503="""","""",TO_TEXT('Respuestas de formulario 1'!I503))"),"Obra social")</f>
        <v>Obra social</v>
      </c>
      <c r="J503" s="7" t="str">
        <f>IFERROR(__xludf.DUMMYFUNCTION("IF('Respuestas de formulario 1'!J503&lt;&gt;"""",UPPER(TRIM(TO_TEXT('Respuestas de formulario 1'!J503))),IF('Respuestas de formulario 1'!O503&lt;&gt;"""",UPPER(TRIM(TO_TEXT('Respuestas de formulario 1'!O503))),""""))"),"APROSS")</f>
        <v>APROSS</v>
      </c>
      <c r="K503" s="7" t="str">
        <f>IFERROR(__xludf.DUMMYFUNCTION("IF('Respuestas de formulario 1'!K503="""","""",TO_TEXT('Respuestas de formulario 1'!K503))"),"Si")</f>
        <v>Si</v>
      </c>
      <c r="L503" s="7" t="str">
        <f>IFERROR(__xludf.DUMMYFUNCTION("IF('Respuestas de formulario 1'!L503="""","""",TO_TEXT('Respuestas de formulario 1'!L503))"),"Gimnasio")</f>
        <v>Gimnasio</v>
      </c>
      <c r="M503" s="7" t="str">
        <f>IFERROR(__xludf.DUMMYFUNCTION("IF('Respuestas de formulario 1'!M503="""","""",TO_TEXT('Respuestas de formulario 1'!M503))"),"1 a 2 veces por semana")</f>
        <v>1 a 2 veces por semana</v>
      </c>
      <c r="N503" s="7">
        <f t="shared" si="1"/>
        <v>2024</v>
      </c>
      <c r="O503" s="7" t="str">
        <f t="shared" si="2"/>
        <v>abril</v>
      </c>
      <c r="P503" s="7" t="s">
        <v>5196</v>
      </c>
    </row>
    <row r="504">
      <c r="A504" s="19">
        <f>'Respuestas de formulario 1'!A504</f>
        <v>45390.47271</v>
      </c>
      <c r="B504" s="7" t="str">
        <f>'Respuestas de formulario 1'!B504</f>
        <v>Baena</v>
      </c>
      <c r="C504" s="7" t="str">
        <f>'Respuestas de formulario 1'!C504</f>
        <v>Daniel</v>
      </c>
      <c r="D504" s="7" t="str">
        <f>'Respuestas de formulario 1'!D504</f>
        <v>baenadaniel1@gmail.com</v>
      </c>
      <c r="E504" s="20">
        <f>'Respuestas de formulario 1'!E504</f>
        <v>29207</v>
      </c>
      <c r="F504" s="7">
        <f>'Respuestas de formulario 1'!F504</f>
        <v>27671274</v>
      </c>
      <c r="G504" s="7" t="str">
        <f>IFERROR(__xludf.DUMMYFUNCTION("IF('Respuestas de formulario 1'!G504="""","""",IF(LEFT(REGEXREPLACE(TO_TEXT('Respuestas de formulario 1'!G504),""[^0-9]"",""""),2)=""54"",""+""&amp;REGEXREPLACE(TO_TEXT('Respuestas de formulario 1'!G504),""[^0-9]"",""""),""+54""&amp;REGEXREPLACE(TO_TEXT('Respuest"&amp;"as de formulario 1'!G504),""[^0-9]"","""")))"),"+543515114143")</f>
        <v>+543515114143</v>
      </c>
      <c r="H504" s="7">
        <f>'Respuestas de formulario 1'!S504</f>
        <v>2024</v>
      </c>
      <c r="I504" s="7" t="str">
        <f>IFERROR(__xludf.DUMMYFUNCTION("IF('Respuestas de formulario 1'!I504="""","""",TO_TEXT('Respuestas de formulario 1'!I504))"),"Particular")</f>
        <v>Particular</v>
      </c>
      <c r="J504" s="7" t="str">
        <f>IFERROR(__xludf.DUMMYFUNCTION("IF('Respuestas de formulario 1'!J504&lt;&gt;"""",UPPER(TRIM(TO_TEXT('Respuestas de formulario 1'!J504))),IF('Respuestas de formulario 1'!O504&lt;&gt;"""",UPPER(TRIM(TO_TEXT('Respuestas de formulario 1'!O504))),""""))"),"")</f>
        <v/>
      </c>
      <c r="K504" s="7" t="str">
        <f>IFERROR(__xludf.DUMMYFUNCTION("IF('Respuestas de formulario 1'!K504="""","""",TO_TEXT('Respuestas de formulario 1'!K504))"),"Si")</f>
        <v>Si</v>
      </c>
      <c r="L504" s="7" t="str">
        <f>IFERROR(__xludf.DUMMYFUNCTION("IF('Respuestas de formulario 1'!L504="""","""",TO_TEXT('Respuestas de formulario 1'!L504))"),"Básquet")</f>
        <v>Básquet</v>
      </c>
      <c r="M504" s="7" t="str">
        <f>IFERROR(__xludf.DUMMYFUNCTION("IF('Respuestas de formulario 1'!M504="""","""",TO_TEXT('Respuestas de formulario 1'!M504))"),"3 a 5 veces por semana")</f>
        <v>3 a 5 veces por semana</v>
      </c>
      <c r="N504" s="7">
        <f t="shared" si="1"/>
        <v>2024</v>
      </c>
      <c r="O504" s="7" t="str">
        <f t="shared" si="2"/>
        <v>abril</v>
      </c>
      <c r="P504" s="7" t="s">
        <v>5198</v>
      </c>
    </row>
    <row r="505">
      <c r="A505" s="19">
        <f>'Respuestas de formulario 1'!A505</f>
        <v>45390.67824</v>
      </c>
      <c r="B505" s="7" t="str">
        <f>'Respuestas de formulario 1'!B505</f>
        <v>Polesel</v>
      </c>
      <c r="C505" s="7" t="str">
        <f>'Respuestas de formulario 1'!C505</f>
        <v>Facundo</v>
      </c>
      <c r="D505" s="7" t="str">
        <f>'Respuestas de formulario 1'!D505</f>
        <v>facundopolesel@gmail.com </v>
      </c>
      <c r="E505" s="20">
        <f>'Respuestas de formulario 1'!E505</f>
        <v>36262</v>
      </c>
      <c r="F505" s="7">
        <f>'Respuestas de formulario 1'!F505</f>
        <v>41697667</v>
      </c>
      <c r="G505" s="7" t="str">
        <f>IFERROR(__xludf.DUMMYFUNCTION("IF('Respuestas de formulario 1'!G505="""","""",IF(LEFT(REGEXREPLACE(TO_TEXT('Respuestas de formulario 1'!G505),""[^0-9]"",""""),2)=""54"",""+""&amp;REGEXREPLACE(TO_TEXT('Respuestas de formulario 1'!G505),""[^0-9]"",""""),""+54""&amp;REGEXREPLACE(TO_TEXT('Respuest"&amp;"as de formulario 1'!G505),""[^0-9]"","""")))"),"+543522650239")</f>
        <v>+543522650239</v>
      </c>
      <c r="H505" s="7">
        <f>'Respuestas de formulario 1'!S505</f>
        <v>2024</v>
      </c>
      <c r="I505" s="7" t="str">
        <f>IFERROR(__xludf.DUMMYFUNCTION("IF('Respuestas de formulario 1'!I505="""","""",TO_TEXT('Respuestas de formulario 1'!I505))"),"Obra social")</f>
        <v>Obra social</v>
      </c>
      <c r="J505" s="7" t="str">
        <f>IFERROR(__xludf.DUMMYFUNCTION("IF('Respuestas de formulario 1'!J505&lt;&gt;"""",UPPER(TRIM(TO_TEXT('Respuestas de formulario 1'!J505))),IF('Respuestas de formulario 1'!O505&lt;&gt;"""",UPPER(TRIM(TO_TEXT('Respuestas de formulario 1'!O505))),""""))"),"APROSS")</f>
        <v>APROSS</v>
      </c>
      <c r="K505" s="7" t="str">
        <f>IFERROR(__xludf.DUMMYFUNCTION("IF('Respuestas de formulario 1'!K505="""","""",TO_TEXT('Respuestas de formulario 1'!K505))"),"Si")</f>
        <v>Si</v>
      </c>
      <c r="L505" s="7" t="str">
        <f>IFERROR(__xludf.DUMMYFUNCTION("IF('Respuestas de formulario 1'!L505="""","""",TO_TEXT('Respuestas de formulario 1'!L505))"),"Fútbol")</f>
        <v>Fútbol</v>
      </c>
      <c r="M505" s="7" t="str">
        <f>IFERROR(__xludf.DUMMYFUNCTION("IF('Respuestas de formulario 1'!M505="""","""",TO_TEXT('Respuestas de formulario 1'!M505))"),"3 a 5 veces por semana")</f>
        <v>3 a 5 veces por semana</v>
      </c>
      <c r="N505" s="7">
        <f t="shared" si="1"/>
        <v>2024</v>
      </c>
      <c r="O505" s="7" t="str">
        <f t="shared" si="2"/>
        <v>abril</v>
      </c>
      <c r="P505" s="7" t="s">
        <v>5200</v>
      </c>
    </row>
    <row r="506">
      <c r="A506" s="19">
        <f>'Respuestas de formulario 1'!A506</f>
        <v>45390.81835</v>
      </c>
      <c r="B506" s="7" t="str">
        <f>'Respuestas de formulario 1'!B506</f>
        <v>Sarsur </v>
      </c>
      <c r="C506" s="7" t="str">
        <f>'Respuestas de formulario 1'!C506</f>
        <v>Celia</v>
      </c>
      <c r="D506" s="7" t="str">
        <f>'Respuestas de formulario 1'!D506</f>
        <v>c.sarsur@gmail.com</v>
      </c>
      <c r="E506" s="20">
        <f>'Respuestas de formulario 1'!E506</f>
        <v>23583</v>
      </c>
      <c r="F506" s="7">
        <f>'Respuestas de formulario 1'!F506</f>
        <v>16904443</v>
      </c>
      <c r="G506" s="7" t="str">
        <f>IFERROR(__xludf.DUMMYFUNCTION("IF('Respuestas de formulario 1'!G506="""","""",IF(LEFT(REGEXREPLACE(TO_TEXT('Respuestas de formulario 1'!G506),""[^0-9]"",""""),2)=""54"",""+""&amp;REGEXREPLACE(TO_TEXT('Respuestas de formulario 1'!G506),""[^0-9]"",""""),""+54""&amp;REGEXREPLACE(TO_TEXT('Respuest"&amp;"as de formulario 1'!G506),""[^0-9]"","""")))"),"+543516086487")</f>
        <v>+543516086487</v>
      </c>
      <c r="H506" s="7">
        <f>'Respuestas de formulario 1'!S506</f>
        <v>2024</v>
      </c>
      <c r="I506" s="7" t="str">
        <f>IFERROR(__xludf.DUMMYFUNCTION("IF('Respuestas de formulario 1'!I506="""","""",TO_TEXT('Respuestas de formulario 1'!I506))"),"Obra social")</f>
        <v>Obra social</v>
      </c>
      <c r="J506" s="7" t="str">
        <f>IFERROR(__xludf.DUMMYFUNCTION("IF('Respuestas de formulario 1'!J506&lt;&gt;"""",UPPER(TRIM(TO_TEXT('Respuestas de formulario 1'!J506))),IF('Respuestas de formulario 1'!O506&lt;&gt;"""",UPPER(TRIM(TO_TEXT('Respuestas de formulario 1'!O506))),""""))"),"MEDIFE")</f>
        <v>MEDIFE</v>
      </c>
      <c r="K506" s="7" t="str">
        <f>IFERROR(__xludf.DUMMYFUNCTION("IF('Respuestas de formulario 1'!K506="""","""",TO_TEXT('Respuestas de formulario 1'!K506))"),"Si")</f>
        <v>Si</v>
      </c>
      <c r="L506" s="7" t="str">
        <f>IFERROR(__xludf.DUMMYFUNCTION("IF('Respuestas de formulario 1'!L506="""","""",TO_TEXT('Respuestas de formulario 1'!L506))"),"Baile")</f>
        <v>Baile</v>
      </c>
      <c r="M506" s="7" t="str">
        <f>IFERROR(__xludf.DUMMYFUNCTION("IF('Respuestas de formulario 1'!M506="""","""",TO_TEXT('Respuestas de formulario 1'!M506))"),"3 a 5 veces por semana")</f>
        <v>3 a 5 veces por semana</v>
      </c>
      <c r="N506" s="7">
        <f t="shared" si="1"/>
        <v>2024</v>
      </c>
      <c r="O506" s="7" t="str">
        <f t="shared" si="2"/>
        <v>abril</v>
      </c>
      <c r="P506" s="7" t="s">
        <v>5201</v>
      </c>
    </row>
    <row r="507">
      <c r="A507" s="19">
        <f>'Respuestas de formulario 1'!A507</f>
        <v>45391.65803</v>
      </c>
      <c r="B507" s="7" t="str">
        <f>'Respuestas de formulario 1'!B507</f>
        <v>German</v>
      </c>
      <c r="C507" s="7" t="str">
        <f>'Respuestas de formulario 1'!C507</f>
        <v>Guillermo</v>
      </c>
      <c r="D507" s="7" t="str">
        <f>'Respuestas de formulario 1'!D507</f>
        <v>guilleger84@gmail.com</v>
      </c>
      <c r="E507" s="20">
        <f>'Respuestas de formulario 1'!E507</f>
        <v>30738</v>
      </c>
      <c r="F507" s="7">
        <f>'Respuestas de formulario 1'!F507</f>
        <v>30843976</v>
      </c>
      <c r="G507" s="7" t="str">
        <f>IFERROR(__xludf.DUMMYFUNCTION("IF('Respuestas de formulario 1'!G507="""","""",IF(LEFT(REGEXREPLACE(TO_TEXT('Respuestas de formulario 1'!G507),""[^0-9]"",""""),2)=""54"",""+""&amp;REGEXREPLACE(TO_TEXT('Respuestas de formulario 1'!G507),""[^0-9]"",""""),""+54""&amp;REGEXREPLACE(TO_TEXT('Respuest"&amp;"as de formulario 1'!G507),""[^0-9]"","""")))"),"+543515317558")</f>
        <v>+543515317558</v>
      </c>
      <c r="H507" s="7">
        <f>'Respuestas de formulario 1'!S507</f>
        <v>2024</v>
      </c>
      <c r="I507" s="7" t="str">
        <f>IFERROR(__xludf.DUMMYFUNCTION("IF('Respuestas de formulario 1'!I507="""","""",TO_TEXT('Respuestas de formulario 1'!I507))"),"Obra social")</f>
        <v>Obra social</v>
      </c>
      <c r="J507" s="7" t="str">
        <f>IFERROR(__xludf.DUMMYFUNCTION("IF('Respuestas de formulario 1'!J507&lt;&gt;"""",UPPER(TRIM(TO_TEXT('Respuestas de formulario 1'!J507))),IF('Respuestas de formulario 1'!O507&lt;&gt;"""",UPPER(TRIM(TO_TEXT('Respuestas de formulario 1'!O507))),""""))"),"OSDE")</f>
        <v>OSDE</v>
      </c>
      <c r="K507" s="7" t="str">
        <f>IFERROR(__xludf.DUMMYFUNCTION("IF('Respuestas de formulario 1'!K507="""","""",TO_TEXT('Respuestas de formulario 1'!K507))"),"Si")</f>
        <v>Si</v>
      </c>
      <c r="L507" s="7" t="str">
        <f>IFERROR(__xludf.DUMMYFUNCTION("IF('Respuestas de formulario 1'!L507="""","""",TO_TEXT('Respuestas de formulario 1'!L507))"),"Gimnasio")</f>
        <v>Gimnasio</v>
      </c>
      <c r="M507" s="7" t="str">
        <f>IFERROR(__xludf.DUMMYFUNCTION("IF('Respuestas de formulario 1'!M507="""","""",TO_TEXT('Respuestas de formulario 1'!M507))"),"3 a 5 veces por semana")</f>
        <v>3 a 5 veces por semana</v>
      </c>
      <c r="N507" s="7">
        <f t="shared" si="1"/>
        <v>2024</v>
      </c>
      <c r="O507" s="7" t="str">
        <f t="shared" si="2"/>
        <v>abril</v>
      </c>
      <c r="P507" s="7" t="s">
        <v>5203</v>
      </c>
    </row>
    <row r="508">
      <c r="A508" s="19">
        <f>'Respuestas de formulario 1'!A508</f>
        <v>45391.75119</v>
      </c>
      <c r="B508" s="7" t="str">
        <f>'Respuestas de formulario 1'!B508</f>
        <v>Lozano</v>
      </c>
      <c r="C508" s="7" t="str">
        <f>'Respuestas de formulario 1'!C508</f>
        <v>Santiago</v>
      </c>
      <c r="D508" s="7" t="str">
        <f>'Respuestas de formulario 1'!D508</f>
        <v>lozanosantiago987@gmail.com</v>
      </c>
      <c r="E508" s="20">
        <f>'Respuestas de formulario 1'!E508</f>
        <v>38618</v>
      </c>
      <c r="F508" s="7">
        <f>'Respuestas de formulario 1'!F508</f>
        <v>46505907</v>
      </c>
      <c r="G508" s="7" t="str">
        <f>IFERROR(__xludf.DUMMYFUNCTION("IF('Respuestas de formulario 1'!G508="""","""",IF(LEFT(REGEXREPLACE(TO_TEXT('Respuestas de formulario 1'!G508),""[^0-9]"",""""),2)=""54"",""+""&amp;REGEXREPLACE(TO_TEXT('Respuestas de formulario 1'!G508),""[^0-9]"",""""),""+54""&amp;REGEXREPLACE(TO_TEXT('Respuest"&amp;"as de formulario 1'!G508),""[^0-9]"","""")))"),"+543517913805")</f>
        <v>+543517913805</v>
      </c>
      <c r="H508" s="7">
        <f>'Respuestas de formulario 1'!S508</f>
        <v>2024</v>
      </c>
      <c r="I508" s="7" t="str">
        <f>IFERROR(__xludf.DUMMYFUNCTION("IF('Respuestas de formulario 1'!I508="""","""",TO_TEXT('Respuestas de formulario 1'!I508))"),"Particular")</f>
        <v>Particular</v>
      </c>
      <c r="J508" s="7" t="str">
        <f>IFERROR(__xludf.DUMMYFUNCTION("IF('Respuestas de formulario 1'!J508&lt;&gt;"""",UPPER(TRIM(TO_TEXT('Respuestas de formulario 1'!J508))),IF('Respuestas de formulario 1'!O508&lt;&gt;"""",UPPER(TRIM(TO_TEXT('Respuestas de formulario 1'!O508))),""""))"),"")</f>
        <v/>
      </c>
      <c r="K508" s="7" t="str">
        <f>IFERROR(__xludf.DUMMYFUNCTION("IF('Respuestas de formulario 1'!K508="""","""",TO_TEXT('Respuestas de formulario 1'!K508))"),"Si")</f>
        <v>Si</v>
      </c>
      <c r="L508" s="7" t="str">
        <f>IFERROR(__xludf.DUMMYFUNCTION("IF('Respuestas de formulario 1'!L508="""","""",TO_TEXT('Respuestas de formulario 1'!L508))"),"Fútbol")</f>
        <v>Fútbol</v>
      </c>
      <c r="M508" s="7" t="str">
        <f>IFERROR(__xludf.DUMMYFUNCTION("IF('Respuestas de formulario 1'!M508="""","""",TO_TEXT('Respuestas de formulario 1'!M508))"),"1 a 2 veces por semana")</f>
        <v>1 a 2 veces por semana</v>
      </c>
      <c r="N508" s="7">
        <f t="shared" si="1"/>
        <v>2024</v>
      </c>
      <c r="O508" s="7" t="str">
        <f t="shared" si="2"/>
        <v>abril</v>
      </c>
      <c r="P508" s="7" t="s">
        <v>5205</v>
      </c>
    </row>
    <row r="509">
      <c r="A509" s="19">
        <f>'Respuestas de formulario 1'!A509</f>
        <v>45391.7952</v>
      </c>
      <c r="B509" s="7" t="str">
        <f>'Respuestas de formulario 1'!B509</f>
        <v>Polesel</v>
      </c>
      <c r="C509" s="7" t="str">
        <f>'Respuestas de formulario 1'!C509</f>
        <v>Facundo</v>
      </c>
      <c r="D509" s="7" t="str">
        <f>'Respuestas de formulario 1'!D509</f>
        <v>facundopolesel@gmail.com </v>
      </c>
      <c r="E509" s="20">
        <f>'Respuestas de formulario 1'!E509</f>
        <v>36262</v>
      </c>
      <c r="F509" s="7">
        <f>'Respuestas de formulario 1'!F509</f>
        <v>41697667</v>
      </c>
      <c r="G509" s="7" t="str">
        <f>IFERROR(__xludf.DUMMYFUNCTION("IF('Respuestas de formulario 1'!G509="""","""",IF(LEFT(REGEXREPLACE(TO_TEXT('Respuestas de formulario 1'!G509),""[^0-9]"",""""),2)=""54"",""+""&amp;REGEXREPLACE(TO_TEXT('Respuestas de formulario 1'!G509),""[^0-9]"",""""),""+54""&amp;REGEXREPLACE(TO_TEXT('Respuest"&amp;"as de formulario 1'!G509),""[^0-9]"","""")))"),"+543522650239")</f>
        <v>+543522650239</v>
      </c>
      <c r="H509" s="7">
        <f>'Respuestas de formulario 1'!S509</f>
        <v>2024</v>
      </c>
      <c r="I509" s="7" t="str">
        <f>IFERROR(__xludf.DUMMYFUNCTION("IF('Respuestas de formulario 1'!I509="""","""",TO_TEXT('Respuestas de formulario 1'!I509))"),"Obra social")</f>
        <v>Obra social</v>
      </c>
      <c r="J509" s="7" t="str">
        <f>IFERROR(__xludf.DUMMYFUNCTION("IF('Respuestas de formulario 1'!J509&lt;&gt;"""",UPPER(TRIM(TO_TEXT('Respuestas de formulario 1'!J509))),IF('Respuestas de formulario 1'!O509&lt;&gt;"""",UPPER(TRIM(TO_TEXT('Respuestas de formulario 1'!O509))),""""))"),"APROSS")</f>
        <v>APROSS</v>
      </c>
      <c r="K509" s="7" t="str">
        <f>IFERROR(__xludf.DUMMYFUNCTION("IF('Respuestas de formulario 1'!K509="""","""",TO_TEXT('Respuestas de formulario 1'!K509))"),"Si")</f>
        <v>Si</v>
      </c>
      <c r="L509" s="7" t="str">
        <f>IFERROR(__xludf.DUMMYFUNCTION("IF('Respuestas de formulario 1'!L509="""","""",TO_TEXT('Respuestas de formulario 1'!L509))"),"Fútbol")</f>
        <v>Fútbol</v>
      </c>
      <c r="M509" s="7" t="str">
        <f>IFERROR(__xludf.DUMMYFUNCTION("IF('Respuestas de formulario 1'!M509="""","""",TO_TEXT('Respuestas de formulario 1'!M509))"),"3 a 5 veces por semana")</f>
        <v>3 a 5 veces por semana</v>
      </c>
      <c r="N509" s="7">
        <f t="shared" si="1"/>
        <v>2024</v>
      </c>
      <c r="O509" s="7" t="str">
        <f t="shared" si="2"/>
        <v>abril</v>
      </c>
      <c r="P509" s="7" t="s">
        <v>5200</v>
      </c>
    </row>
    <row r="510">
      <c r="A510" s="19">
        <f>'Respuestas de formulario 1'!A510</f>
        <v>45391.79878</v>
      </c>
      <c r="B510" s="7" t="str">
        <f>'Respuestas de formulario 1'!B510</f>
        <v>Rover</v>
      </c>
      <c r="C510" s="7" t="str">
        <f>'Respuestas de formulario 1'!C510</f>
        <v>Julian</v>
      </c>
      <c r="D510" s="7" t="str">
        <f>'Respuestas de formulario 1'!D510</f>
        <v>soniaolivera7@hotmail.com</v>
      </c>
      <c r="E510" s="20">
        <f>'Respuestas de formulario 1'!E510</f>
        <v>40289</v>
      </c>
      <c r="F510" s="7">
        <f>'Respuestas de formulario 1'!F510</f>
        <v>50222434</v>
      </c>
      <c r="G510" s="7" t="str">
        <f>IFERROR(__xludf.DUMMYFUNCTION("IF('Respuestas de formulario 1'!G510="""","""",IF(LEFT(REGEXREPLACE(TO_TEXT('Respuestas de formulario 1'!G510),""[^0-9]"",""""),2)=""54"",""+""&amp;REGEXREPLACE(TO_TEXT('Respuestas de formulario 1'!G510),""[^0-9]"",""""),""+54""&amp;REGEXREPLACE(TO_TEXT('Respuest"&amp;"as de formulario 1'!G510),""[^0-9]"","""")))"),"+543516512619")</f>
        <v>+543516512619</v>
      </c>
      <c r="H510" s="7">
        <f>'Respuestas de formulario 1'!S510</f>
        <v>2024</v>
      </c>
      <c r="I510" s="7" t="str">
        <f>IFERROR(__xludf.DUMMYFUNCTION("IF('Respuestas de formulario 1'!I510="""","""",TO_TEXT('Respuestas de formulario 1'!I510))"),"Obra social")</f>
        <v>Obra social</v>
      </c>
      <c r="J510" s="7" t="str">
        <f>IFERROR(__xludf.DUMMYFUNCTION("IF('Respuestas de formulario 1'!J510&lt;&gt;"""",UPPER(TRIM(TO_TEXT('Respuestas de formulario 1'!J510))),IF('Respuestas de formulario 1'!O510&lt;&gt;"""",UPPER(TRIM(TO_TEXT('Respuestas de formulario 1'!O510))),""""))"),"APROSS")</f>
        <v>APROSS</v>
      </c>
      <c r="K510" s="7" t="str">
        <f>IFERROR(__xludf.DUMMYFUNCTION("IF('Respuestas de formulario 1'!K510="""","""",TO_TEXT('Respuestas de formulario 1'!K510))"),"Si")</f>
        <v>Si</v>
      </c>
      <c r="L510" s="7" t="str">
        <f>IFERROR(__xludf.DUMMYFUNCTION("IF('Respuestas de formulario 1'!L510="""","""",TO_TEXT('Respuestas de formulario 1'!L510))"),"Fútbol")</f>
        <v>Fútbol</v>
      </c>
      <c r="M510" s="7" t="str">
        <f>IFERROR(__xludf.DUMMYFUNCTION("IF('Respuestas de formulario 1'!M510="""","""",TO_TEXT('Respuestas de formulario 1'!M510))"),"3 a 5 veces por semana")</f>
        <v>3 a 5 veces por semana</v>
      </c>
      <c r="N510" s="7">
        <f t="shared" si="1"/>
        <v>2024</v>
      </c>
      <c r="O510" s="7" t="str">
        <f t="shared" si="2"/>
        <v>abril</v>
      </c>
      <c r="P510" s="7" t="s">
        <v>5207</v>
      </c>
    </row>
    <row r="511">
      <c r="A511" s="19">
        <f>'Respuestas de formulario 1'!A511</f>
        <v>45393.78479</v>
      </c>
      <c r="B511" s="7" t="str">
        <f>'Respuestas de formulario 1'!B511</f>
        <v>Bomone</v>
      </c>
      <c r="C511" s="7" t="str">
        <f>'Respuestas de formulario 1'!C511</f>
        <v>Carlos horacio</v>
      </c>
      <c r="D511" s="7" t="str">
        <f>'Respuestas de formulario 1'!D511</f>
        <v>carlosbomone@gmail.com</v>
      </c>
      <c r="E511" s="20">
        <f>'Respuestas de formulario 1'!E511</f>
        <v>45386</v>
      </c>
      <c r="F511" s="7">
        <f>'Respuestas de formulario 1'!F511</f>
        <v>12812239</v>
      </c>
      <c r="G511" s="7" t="str">
        <f>IFERROR(__xludf.DUMMYFUNCTION("IF('Respuestas de formulario 1'!G511="""","""",IF(LEFT(REGEXREPLACE(TO_TEXT('Respuestas de formulario 1'!G511),""[^0-9]"",""""),2)=""54"",""+""&amp;REGEXREPLACE(TO_TEXT('Respuestas de formulario 1'!G511),""[^0-9]"",""""),""+54""&amp;REGEXREPLACE(TO_TEXT('Respuest"&amp;"as de formulario 1'!G511),""[^0-9]"","""")))"),"+543516424506")</f>
        <v>+543516424506</v>
      </c>
      <c r="H511" s="7">
        <f>'Respuestas de formulario 1'!S511</f>
        <v>2024</v>
      </c>
      <c r="I511" s="7" t="str">
        <f>IFERROR(__xludf.DUMMYFUNCTION("IF('Respuestas de formulario 1'!I511="""","""",TO_TEXT('Respuestas de formulario 1'!I511))"),"Obra social")</f>
        <v>Obra social</v>
      </c>
      <c r="J511" s="7" t="str">
        <f>IFERROR(__xludf.DUMMYFUNCTION("IF('Respuestas de formulario 1'!J511&lt;&gt;"""",UPPER(TRIM(TO_TEXT('Respuestas de formulario 1'!J511))),IF('Respuestas de formulario 1'!O511&lt;&gt;"""",UPPER(TRIM(TO_TEXT('Respuestas de formulario 1'!O511))),""""))"),"SANCOR")</f>
        <v>SANCOR</v>
      </c>
      <c r="K511" s="7" t="str">
        <f>IFERROR(__xludf.DUMMYFUNCTION("IF('Respuestas de formulario 1'!K511="""","""",TO_TEXT('Respuestas de formulario 1'!K511))"),"Si")</f>
        <v>Si</v>
      </c>
      <c r="L511" s="7" t="str">
        <f>IFERROR(__xludf.DUMMYFUNCTION("IF('Respuestas de formulario 1'!L511="""","""",TO_TEXT('Respuestas de formulario 1'!L511))"),"Fútbol")</f>
        <v>Fútbol</v>
      </c>
      <c r="M511" s="7" t="str">
        <f>IFERROR(__xludf.DUMMYFUNCTION("IF('Respuestas de formulario 1'!M511="""","""",TO_TEXT('Respuestas de formulario 1'!M511))"),"1 a 2 veces por semana")</f>
        <v>1 a 2 veces por semana</v>
      </c>
      <c r="N511" s="7">
        <f t="shared" si="1"/>
        <v>2024</v>
      </c>
      <c r="O511" s="7" t="str">
        <f t="shared" si="2"/>
        <v>abril</v>
      </c>
      <c r="P511" s="7" t="s">
        <v>5209</v>
      </c>
    </row>
    <row r="512">
      <c r="A512" s="19">
        <f>'Respuestas de formulario 1'!A512</f>
        <v>45394.34206</v>
      </c>
      <c r="B512" s="7" t="str">
        <f>'Respuestas de formulario 1'!B512</f>
        <v>Tillard</v>
      </c>
      <c r="C512" s="7" t="str">
        <f>'Respuestas de formulario 1'!C512</f>
        <v>Mateo</v>
      </c>
      <c r="D512" s="7" t="str">
        <f>'Respuestas de formulario 1'!D512</f>
        <v>mateotillard@gmail.com</v>
      </c>
      <c r="E512" s="20">
        <f>'Respuestas de formulario 1'!E512</f>
        <v>34288</v>
      </c>
      <c r="F512" s="7">
        <f>'Respuestas de formulario 1'!F512</f>
        <v>30474307</v>
      </c>
      <c r="G512" s="7" t="str">
        <f>IFERROR(__xludf.DUMMYFUNCTION("IF('Respuestas de formulario 1'!G512="""","""",IF(LEFT(REGEXREPLACE(TO_TEXT('Respuestas de formulario 1'!G512),""[^0-9]"",""""),2)=""54"",""+""&amp;REGEXREPLACE(TO_TEXT('Respuestas de formulario 1'!G512),""[^0-9]"",""""),""+54""&amp;REGEXREPLACE(TO_TEXT('Respuest"&amp;"as de formulario 1'!G512),""[^0-9]"","""")))"),"+543515557367")</f>
        <v>+543515557367</v>
      </c>
      <c r="H512" s="7">
        <f>'Respuestas de formulario 1'!S512</f>
        <v>2024</v>
      </c>
      <c r="I512" s="7" t="str">
        <f>IFERROR(__xludf.DUMMYFUNCTION("IF('Respuestas de formulario 1'!I512="""","""",TO_TEXT('Respuestas de formulario 1'!I512))"),"Particular")</f>
        <v>Particular</v>
      </c>
      <c r="J512" s="7" t="str">
        <f>IFERROR(__xludf.DUMMYFUNCTION("IF('Respuestas de formulario 1'!J512&lt;&gt;"""",UPPER(TRIM(TO_TEXT('Respuestas de formulario 1'!J512))),IF('Respuestas de formulario 1'!O512&lt;&gt;"""",UPPER(TRIM(TO_TEXT('Respuestas de formulario 1'!O512))),""""))"),"")</f>
        <v/>
      </c>
      <c r="K512" s="7" t="str">
        <f>IFERROR(__xludf.DUMMYFUNCTION("IF('Respuestas de formulario 1'!K512="""","""",TO_TEXT('Respuestas de formulario 1'!K512))"),"Si")</f>
        <v>Si</v>
      </c>
      <c r="L512" s="7" t="str">
        <f>IFERROR(__xludf.DUMMYFUNCTION("IF('Respuestas de formulario 1'!L512="""","""",TO_TEXT('Respuestas de formulario 1'!L512))"),"Fútbol")</f>
        <v>Fútbol</v>
      </c>
      <c r="M512" s="7" t="str">
        <f>IFERROR(__xludf.DUMMYFUNCTION("IF('Respuestas de formulario 1'!M512="""","""",TO_TEXT('Respuestas de formulario 1'!M512))"),"3 a 5 veces por semana")</f>
        <v>3 a 5 veces por semana</v>
      </c>
      <c r="N512" s="7">
        <f t="shared" si="1"/>
        <v>2024</v>
      </c>
      <c r="O512" s="7" t="str">
        <f t="shared" si="2"/>
        <v>abril</v>
      </c>
      <c r="P512" s="7" t="s">
        <v>5211</v>
      </c>
    </row>
    <row r="513">
      <c r="A513" s="19">
        <f>'Respuestas de formulario 1'!A513</f>
        <v>45395.61986</v>
      </c>
      <c r="B513" s="7" t="str">
        <f>'Respuestas de formulario 1'!B513</f>
        <v>Mendoza chavez </v>
      </c>
      <c r="C513" s="7" t="str">
        <f>'Respuestas de formulario 1'!C513</f>
        <v>Rosa esther </v>
      </c>
      <c r="D513" s="7" t="str">
        <f>'Respuestas de formulario 1'!D513</f>
        <v>Chavezrosaesthermendoza@gmail.com</v>
      </c>
      <c r="E513" s="20">
        <f>'Respuestas de formulario 1'!E513</f>
        <v>27544</v>
      </c>
      <c r="F513" s="7">
        <f>'Respuestas de formulario 1'!F513</f>
        <v>95801901</v>
      </c>
      <c r="G513" s="7" t="str">
        <f>IFERROR(__xludf.DUMMYFUNCTION("IF('Respuestas de formulario 1'!G513="""","""",IF(LEFT(REGEXREPLACE(TO_TEXT('Respuestas de formulario 1'!G513),""[^0-9]"",""""),2)=""54"",""+""&amp;REGEXREPLACE(TO_TEXT('Respuestas de formulario 1'!G513),""[^0-9]"",""""),""+54""&amp;REGEXREPLACE(TO_TEXT('Respuest"&amp;"as de formulario 1'!G513),""[^0-9]"","""")))"),"+543515106479")</f>
        <v>+543515106479</v>
      </c>
      <c r="H513" s="7">
        <f>'Respuestas de formulario 1'!S513</f>
        <v>2024</v>
      </c>
      <c r="I513" s="7" t="str">
        <f>IFERROR(__xludf.DUMMYFUNCTION("IF('Respuestas de formulario 1'!I513="""","""",TO_TEXT('Respuestas de formulario 1'!I513))"),"Particular")</f>
        <v>Particular</v>
      </c>
      <c r="J513" s="7" t="str">
        <f>IFERROR(__xludf.DUMMYFUNCTION("IF('Respuestas de formulario 1'!J513&lt;&gt;"""",UPPER(TRIM(TO_TEXT('Respuestas de formulario 1'!J513))),IF('Respuestas de formulario 1'!O513&lt;&gt;"""",UPPER(TRIM(TO_TEXT('Respuestas de formulario 1'!O513))),""""))"),"")</f>
        <v/>
      </c>
      <c r="K513" s="7" t="str">
        <f>IFERROR(__xludf.DUMMYFUNCTION("IF('Respuestas de formulario 1'!K513="""","""",TO_TEXT('Respuestas de formulario 1'!K513))"),"No")</f>
        <v>No</v>
      </c>
      <c r="L513" s="7" t="str">
        <f>IFERROR(__xludf.DUMMYFUNCTION("IF('Respuestas de formulario 1'!L513="""","""",TO_TEXT('Respuestas de formulario 1'!L513))"),"")</f>
        <v/>
      </c>
      <c r="M513" s="7" t="str">
        <f>IFERROR(__xludf.DUMMYFUNCTION("IF('Respuestas de formulario 1'!M513="""","""",TO_TEXT('Respuestas de formulario 1'!M513))"),"")</f>
        <v/>
      </c>
      <c r="N513" s="7">
        <f t="shared" si="1"/>
        <v>2024</v>
      </c>
      <c r="O513" s="7" t="str">
        <f t="shared" si="2"/>
        <v>abril</v>
      </c>
      <c r="P513" s="7" t="s">
        <v>5213</v>
      </c>
    </row>
    <row r="514">
      <c r="A514" s="19">
        <f>'Respuestas de formulario 1'!A514</f>
        <v>45398.79358</v>
      </c>
      <c r="B514" s="7" t="str">
        <f>'Respuestas de formulario 1'!B514</f>
        <v>DEA COL</v>
      </c>
      <c r="C514" s="7" t="str">
        <f>'Respuestas de formulario 1'!C514</f>
        <v>Pedro</v>
      </c>
      <c r="D514" s="23" t="str">
        <f>'Respuestas de formulario 1'!D514</f>
        <v>p.francisco.27hotmail.com</v>
      </c>
      <c r="E514" s="20">
        <f>'Respuestas de formulario 1'!E514</f>
        <v>19386</v>
      </c>
      <c r="F514" s="7">
        <f>'Respuestas de formulario 1'!F514</f>
        <v>10544706</v>
      </c>
      <c r="G514" s="7" t="str">
        <f>IFERROR(__xludf.DUMMYFUNCTION("IF('Respuestas de formulario 1'!G514="""","""",IF(LEFT(REGEXREPLACE(TO_TEXT('Respuestas de formulario 1'!G514),""[^0-9]"",""""),2)=""54"",""+""&amp;REGEXREPLACE(TO_TEXT('Respuestas de formulario 1'!G514),""[^0-9]"",""""),""+54""&amp;REGEXREPLACE(TO_TEXT('Respuest"&amp;"as de formulario 1'!G514),""[^0-9]"","""")))"),"+543512191217")</f>
        <v>+543512191217</v>
      </c>
      <c r="H514" s="7">
        <f>'Respuestas de formulario 1'!S514</f>
        <v>2024</v>
      </c>
      <c r="I514" s="7" t="str">
        <f>IFERROR(__xludf.DUMMYFUNCTION("IF('Respuestas de formulario 1'!I514="""","""",TO_TEXT('Respuestas de formulario 1'!I514))"),"Obra social")</f>
        <v>Obra social</v>
      </c>
      <c r="J514" s="7" t="str">
        <f>IFERROR(__xludf.DUMMYFUNCTION("IF('Respuestas de formulario 1'!J514&lt;&gt;"""",UPPER(TRIM(TO_TEXT('Respuestas de formulario 1'!J514))),IF('Respuestas de formulario 1'!O514&lt;&gt;"""",UPPER(TRIM(TO_TEXT('Respuestas de formulario 1'!O514))),""""))"),"MEDIFE")</f>
        <v>MEDIFE</v>
      </c>
      <c r="K514" s="7" t="str">
        <f>IFERROR(__xludf.DUMMYFUNCTION("IF('Respuestas de formulario 1'!K514="""","""",TO_TEXT('Respuestas de formulario 1'!K514))"),"No")</f>
        <v>No</v>
      </c>
      <c r="L514" s="7" t="str">
        <f>IFERROR(__xludf.DUMMYFUNCTION("IF('Respuestas de formulario 1'!L514="""","""",TO_TEXT('Respuestas de formulario 1'!L514))"),"")</f>
        <v/>
      </c>
      <c r="M514" s="7" t="str">
        <f>IFERROR(__xludf.DUMMYFUNCTION("IF('Respuestas de formulario 1'!M514="""","""",TO_TEXT('Respuestas de formulario 1'!M514))"),"")</f>
        <v/>
      </c>
      <c r="N514" s="7">
        <f t="shared" si="1"/>
        <v>2024</v>
      </c>
      <c r="O514" s="7" t="str">
        <f t="shared" si="2"/>
        <v>abril</v>
      </c>
      <c r="P514" s="7" t="s">
        <v>5215</v>
      </c>
    </row>
    <row r="515">
      <c r="A515" s="19">
        <f>'Respuestas de formulario 1'!A515</f>
        <v>45399.67134</v>
      </c>
      <c r="B515" s="7" t="str">
        <f>'Respuestas de formulario 1'!B515</f>
        <v>Vaca</v>
      </c>
      <c r="C515" s="7" t="str">
        <f>'Respuestas de formulario 1'!C515</f>
        <v>Miguel</v>
      </c>
      <c r="D515" s="7" t="str">
        <f>'Respuestas de formulario 1'!D515</f>
        <v>hugovacanarvaja@hotmail.com</v>
      </c>
      <c r="E515" s="20">
        <f>'Respuestas de formulario 1'!E515</f>
        <v>24437</v>
      </c>
      <c r="F515" s="7">
        <f>'Respuestas de formulario 1'!F515</f>
        <v>18030042</v>
      </c>
      <c r="G515" s="7" t="str">
        <f>IFERROR(__xludf.DUMMYFUNCTION("IF('Respuestas de formulario 1'!G515="""","""",IF(LEFT(REGEXREPLACE(TO_TEXT('Respuestas de formulario 1'!G515),""[^0-9]"",""""),2)=""54"",""+""&amp;REGEXREPLACE(TO_TEXT('Respuestas de formulario 1'!G515),""[^0-9]"",""""),""+54""&amp;REGEXREPLACE(TO_TEXT('Respuest"&amp;"as de formulario 1'!G515),""[^0-9]"","""")))"),"+543515406413")</f>
        <v>+543515406413</v>
      </c>
      <c r="H515" s="7">
        <f>'Respuestas de formulario 1'!S515</f>
        <v>2024</v>
      </c>
      <c r="I515" s="7" t="str">
        <f>IFERROR(__xludf.DUMMYFUNCTION("IF('Respuestas de formulario 1'!I515="""","""",TO_TEXT('Respuestas de formulario 1'!I515))"),"Obra social")</f>
        <v>Obra social</v>
      </c>
      <c r="J515" s="7" t="str">
        <f>IFERROR(__xludf.DUMMYFUNCTION("IF('Respuestas de formulario 1'!J515&lt;&gt;"""",UPPER(TRIM(TO_TEXT('Respuestas de formulario 1'!J515))),IF('Respuestas de formulario 1'!O515&lt;&gt;"""",UPPER(TRIM(TO_TEXT('Respuestas de formulario 1'!O515))),""""))"),"PODER JUDICIAL")</f>
        <v>PODER JUDICIAL</v>
      </c>
      <c r="K515" s="7" t="str">
        <f>IFERROR(__xludf.DUMMYFUNCTION("IF('Respuestas de formulario 1'!K515="""","""",TO_TEXT('Respuestas de formulario 1'!K515))"),"Si")</f>
        <v>Si</v>
      </c>
      <c r="L515" s="7" t="str">
        <f>IFERROR(__xludf.DUMMYFUNCTION("IF('Respuestas de formulario 1'!L515="""","""",TO_TEXT('Respuestas de formulario 1'!L515))"),"Gimnasio")</f>
        <v>Gimnasio</v>
      </c>
      <c r="M515" s="7" t="str">
        <f>IFERROR(__xludf.DUMMYFUNCTION("IF('Respuestas de formulario 1'!M515="""","""",TO_TEXT('Respuestas de formulario 1'!M515))"),"3 a 5 veces por semana")</f>
        <v>3 a 5 veces por semana</v>
      </c>
      <c r="N515" s="7">
        <f t="shared" si="1"/>
        <v>2024</v>
      </c>
      <c r="O515" s="7" t="str">
        <f t="shared" si="2"/>
        <v>abril</v>
      </c>
      <c r="P515" s="7" t="s">
        <v>5217</v>
      </c>
    </row>
    <row r="516">
      <c r="A516" s="19">
        <f>'Respuestas de formulario 1'!A516</f>
        <v>45400.79575</v>
      </c>
      <c r="B516" s="7" t="str">
        <f>'Respuestas de formulario 1'!B516</f>
        <v>Delatorre</v>
      </c>
      <c r="C516" s="7" t="str">
        <f>'Respuestas de formulario 1'!C516</f>
        <v>Sebastian</v>
      </c>
      <c r="D516" s="7" t="str">
        <f>'Respuestas de formulario 1'!D516</f>
        <v>-</v>
      </c>
      <c r="E516" s="20">
        <f>'Respuestas de formulario 1'!E516</f>
        <v>32143</v>
      </c>
      <c r="F516" s="7">
        <f>'Respuestas de formulario 1'!F516</f>
        <v>25647473</v>
      </c>
      <c r="G516" s="7" t="str">
        <f>IFERROR(__xludf.DUMMYFUNCTION("IF('Respuestas de formulario 1'!G516="""","""",IF(LEFT(REGEXREPLACE(TO_TEXT('Respuestas de formulario 1'!G516),""[^0-9]"",""""),2)=""54"",""+""&amp;REGEXREPLACE(TO_TEXT('Respuestas de formulario 1'!G516),""[^0-9]"",""""),""+54""&amp;REGEXREPLACE(TO_TEXT('Respuest"&amp;"as de formulario 1'!G516),""[^0-9]"","""")))"),"+543513054939")</f>
        <v>+543513054939</v>
      </c>
      <c r="H516" s="7">
        <f>'Respuestas de formulario 1'!S516</f>
        <v>2024</v>
      </c>
      <c r="I516" s="7" t="str">
        <f>IFERROR(__xludf.DUMMYFUNCTION("IF('Respuestas de formulario 1'!I516="""","""",TO_TEXT('Respuestas de formulario 1'!I516))"),"Particular")</f>
        <v>Particular</v>
      </c>
      <c r="J516" s="7" t="str">
        <f>IFERROR(__xludf.DUMMYFUNCTION("IF('Respuestas de formulario 1'!J516&lt;&gt;"""",UPPER(TRIM(TO_TEXT('Respuestas de formulario 1'!J516))),IF('Respuestas de formulario 1'!O516&lt;&gt;"""",UPPER(TRIM(TO_TEXT('Respuestas de formulario 1'!O516))),""""))"),"")</f>
        <v/>
      </c>
      <c r="K516" s="7" t="str">
        <f>IFERROR(__xludf.DUMMYFUNCTION("IF('Respuestas de formulario 1'!K516="""","""",TO_TEXT('Respuestas de formulario 1'!K516))"),"Si")</f>
        <v>Si</v>
      </c>
      <c r="L516" s="7" t="str">
        <f>IFERROR(__xludf.DUMMYFUNCTION("IF('Respuestas de formulario 1'!L516="""","""",TO_TEXT('Respuestas de formulario 1'!L516))"),"Gimnasio")</f>
        <v>Gimnasio</v>
      </c>
      <c r="M516" s="7" t="str">
        <f>IFERROR(__xludf.DUMMYFUNCTION("IF('Respuestas de formulario 1'!M516="""","""",TO_TEXT('Respuestas de formulario 1'!M516))"),"3 a 5 veces por semana")</f>
        <v>3 a 5 veces por semana</v>
      </c>
      <c r="N516" s="7">
        <f t="shared" si="1"/>
        <v>2024</v>
      </c>
      <c r="O516" s="7" t="str">
        <f t="shared" si="2"/>
        <v>abril</v>
      </c>
      <c r="P516" s="7" t="s">
        <v>5219</v>
      </c>
    </row>
    <row r="517">
      <c r="A517" s="19">
        <f>'Respuestas de formulario 1'!A517</f>
        <v>45401.51771</v>
      </c>
      <c r="B517" s="7" t="str">
        <f>'Respuestas de formulario 1'!B517</f>
        <v>Costa</v>
      </c>
      <c r="C517" s="7" t="str">
        <f>'Respuestas de formulario 1'!C517</f>
        <v>Santiago</v>
      </c>
      <c r="D517" s="7" t="str">
        <f>'Respuestas de formulario 1'!D517</f>
        <v>Santiago.costa.m@gmail.com</v>
      </c>
      <c r="E517" s="20">
        <f>'Respuestas de formulario 1'!E517</f>
        <v>33994</v>
      </c>
      <c r="F517" s="7">
        <f>'Respuestas de formulario 1'!F517</f>
        <v>37173163</v>
      </c>
      <c r="G517" s="7" t="str">
        <f>IFERROR(__xludf.DUMMYFUNCTION("IF('Respuestas de formulario 1'!G517="""","""",IF(LEFT(REGEXREPLACE(TO_TEXT('Respuestas de formulario 1'!G517),""[^0-9]"",""""),2)=""54"",""+""&amp;REGEXREPLACE(TO_TEXT('Respuestas de formulario 1'!G517),""[^0-9]"",""""),""+54""&amp;REGEXREPLACE(TO_TEXT('Respuest"&amp;"as de formulario 1'!G517),""[^0-9]"","""")))"),"+543512101784")</f>
        <v>+543512101784</v>
      </c>
      <c r="H517" s="7">
        <f>'Respuestas de formulario 1'!S517</f>
        <v>2024</v>
      </c>
      <c r="I517" s="7" t="str">
        <f>IFERROR(__xludf.DUMMYFUNCTION("IF('Respuestas de formulario 1'!I517="""","""",TO_TEXT('Respuestas de formulario 1'!I517))"),"Particular")</f>
        <v>Particular</v>
      </c>
      <c r="J517" s="7" t="str">
        <f>IFERROR(__xludf.DUMMYFUNCTION("IF('Respuestas de formulario 1'!J517&lt;&gt;"""",UPPER(TRIM(TO_TEXT('Respuestas de formulario 1'!J517))),IF('Respuestas de formulario 1'!O517&lt;&gt;"""",UPPER(TRIM(TO_TEXT('Respuestas de formulario 1'!O517))),""""))"),"")</f>
        <v/>
      </c>
      <c r="K517" s="7" t="str">
        <f>IFERROR(__xludf.DUMMYFUNCTION("IF('Respuestas de formulario 1'!K517="""","""",TO_TEXT('Respuestas de formulario 1'!K517))"),"Si")</f>
        <v>Si</v>
      </c>
      <c r="L517" s="7" t="str">
        <f>IFERROR(__xludf.DUMMYFUNCTION("IF('Respuestas de formulario 1'!L517="""","""",TO_TEXT('Respuestas de formulario 1'!L517))"),"Tenis y gim")</f>
        <v>Tenis y gim</v>
      </c>
      <c r="M517" s="7" t="str">
        <f>IFERROR(__xludf.DUMMYFUNCTION("IF('Respuestas de formulario 1'!M517="""","""",TO_TEXT('Respuestas de formulario 1'!M517))"),"3 a 5 veces por semana")</f>
        <v>3 a 5 veces por semana</v>
      </c>
      <c r="N517" s="7">
        <f t="shared" si="1"/>
        <v>2024</v>
      </c>
      <c r="O517" s="7" t="str">
        <f t="shared" si="2"/>
        <v>abril</v>
      </c>
      <c r="P517" s="7" t="s">
        <v>5221</v>
      </c>
    </row>
    <row r="518">
      <c r="A518" s="19">
        <f>'Respuestas de formulario 1'!A518</f>
        <v>45401.81789</v>
      </c>
      <c r="B518" s="7" t="str">
        <f>'Respuestas de formulario 1'!B518</f>
        <v>Nieto</v>
      </c>
      <c r="C518" s="7" t="str">
        <f>'Respuestas de formulario 1'!C518</f>
        <v>Bastian</v>
      </c>
      <c r="D518" s="7" t="str">
        <f>'Respuestas de formulario 1'!D518</f>
        <v>claudionieto2002@gmail.com</v>
      </c>
      <c r="E518" s="20">
        <f>'Respuestas de formulario 1'!E518</f>
        <v>41271</v>
      </c>
      <c r="F518" s="7">
        <f>'Respuestas de formulario 1'!F518</f>
        <v>52862154</v>
      </c>
      <c r="G518" s="7" t="str">
        <f>IFERROR(__xludf.DUMMYFUNCTION("IF('Respuestas de formulario 1'!G518="""","""",IF(LEFT(REGEXREPLACE(TO_TEXT('Respuestas de formulario 1'!G518),""[^0-9]"",""""),2)=""54"",""+""&amp;REGEXREPLACE(TO_TEXT('Respuestas de formulario 1'!G518),""[^0-9]"",""""),""+54""&amp;REGEXREPLACE(TO_TEXT('Respuest"&amp;"as de formulario 1'!G518),""[^0-9]"","""")))"),"+543515104601")</f>
        <v>+543515104601</v>
      </c>
      <c r="H518" s="7">
        <f>'Respuestas de formulario 1'!S518</f>
        <v>2024</v>
      </c>
      <c r="I518" s="7" t="str">
        <f>IFERROR(__xludf.DUMMYFUNCTION("IF('Respuestas de formulario 1'!I518="""","""",TO_TEXT('Respuestas de formulario 1'!I518))"),"Obra social")</f>
        <v>Obra social</v>
      </c>
      <c r="J518" s="7" t="str">
        <f>IFERROR(__xludf.DUMMYFUNCTION("IF('Respuestas de formulario 1'!J518&lt;&gt;"""",UPPER(TRIM(TO_TEXT('Respuestas de formulario 1'!J518))),IF('Respuestas de formulario 1'!O518&lt;&gt;"""",UPPER(TRIM(TO_TEXT('Respuestas de formulario 1'!O518))),""""))"),"GALENO")</f>
        <v>GALENO</v>
      </c>
      <c r="K518" s="7" t="str">
        <f>IFERROR(__xludf.DUMMYFUNCTION("IF('Respuestas de formulario 1'!K518="""","""",TO_TEXT('Respuestas de formulario 1'!K518))"),"Si")</f>
        <v>Si</v>
      </c>
      <c r="L518" s="7" t="str">
        <f>IFERROR(__xludf.DUMMYFUNCTION("IF('Respuestas de formulario 1'!L518="""","""",TO_TEXT('Respuestas de formulario 1'!L518))"),"Fútbol")</f>
        <v>Fútbol</v>
      </c>
      <c r="M518" s="7" t="str">
        <f>IFERROR(__xludf.DUMMYFUNCTION("IF('Respuestas de formulario 1'!M518="""","""",TO_TEXT('Respuestas de formulario 1'!M518))"),"3 a 5 veces por semana")</f>
        <v>3 a 5 veces por semana</v>
      </c>
      <c r="N518" s="7">
        <f t="shared" si="1"/>
        <v>2024</v>
      </c>
      <c r="O518" s="7" t="str">
        <f t="shared" si="2"/>
        <v>abril</v>
      </c>
      <c r="P518" s="7" t="s">
        <v>5223</v>
      </c>
    </row>
    <row r="519">
      <c r="A519" s="19">
        <f>'Respuestas de formulario 1'!A519</f>
        <v>45404.68632</v>
      </c>
      <c r="B519" s="7" t="str">
        <f>'Respuestas de formulario 1'!B519</f>
        <v>Martínez </v>
      </c>
      <c r="C519" s="7" t="str">
        <f>'Respuestas de formulario 1'!C519</f>
        <v>Dolores</v>
      </c>
      <c r="D519" s="7" t="str">
        <f>'Respuestas de formulario 1'!D519</f>
        <v>doloresm.cervi@hotmail.com</v>
      </c>
      <c r="E519" s="20">
        <f>'Respuestas de formulario 1'!E519</f>
        <v>29369</v>
      </c>
      <c r="F519" s="7">
        <f>'Respuestas de formulario 1'!F519</f>
        <v>28116737</v>
      </c>
      <c r="G519" s="7" t="str">
        <f>IFERROR(__xludf.DUMMYFUNCTION("IF('Respuestas de formulario 1'!G519="""","""",IF(LEFT(REGEXREPLACE(TO_TEXT('Respuestas de formulario 1'!G519),""[^0-9]"",""""),2)=""54"",""+""&amp;REGEXREPLACE(TO_TEXT('Respuestas de formulario 1'!G519),""[^0-9]"",""""),""+54""&amp;REGEXREPLACE(TO_TEXT('Respuest"&amp;"as de formulario 1'!G519),""[^0-9]"","""")))"),"+543517069048")</f>
        <v>+543517069048</v>
      </c>
      <c r="H519" s="7">
        <f>'Respuestas de formulario 1'!S519</f>
        <v>2024</v>
      </c>
      <c r="I519" s="7" t="str">
        <f>IFERROR(__xludf.DUMMYFUNCTION("IF('Respuestas de formulario 1'!I519="""","""",TO_TEXT('Respuestas de formulario 1'!I519))"),"Particular")</f>
        <v>Particular</v>
      </c>
      <c r="J519" s="7" t="str">
        <f>IFERROR(__xludf.DUMMYFUNCTION("IF('Respuestas de formulario 1'!J519&lt;&gt;"""",UPPER(TRIM(TO_TEXT('Respuestas de formulario 1'!J519))),IF('Respuestas de formulario 1'!O519&lt;&gt;"""",UPPER(TRIM(TO_TEXT('Respuestas de formulario 1'!O519))),""""))"),"")</f>
        <v/>
      </c>
      <c r="K519" s="7" t="str">
        <f>IFERROR(__xludf.DUMMYFUNCTION("IF('Respuestas de formulario 1'!K519="""","""",TO_TEXT('Respuestas de formulario 1'!K519))"),"Si")</f>
        <v>Si</v>
      </c>
      <c r="L519" s="7" t="str">
        <f>IFERROR(__xludf.DUMMYFUNCTION("IF('Respuestas de formulario 1'!L519="""","""",TO_TEXT('Respuestas de formulario 1'!L519))"),"Yoga")</f>
        <v>Yoga</v>
      </c>
      <c r="M519" s="7" t="str">
        <f>IFERROR(__xludf.DUMMYFUNCTION("IF('Respuestas de formulario 1'!M519="""","""",TO_TEXT('Respuestas de formulario 1'!M519))"),"3 a 5 veces por semana")</f>
        <v>3 a 5 veces por semana</v>
      </c>
      <c r="N519" s="7">
        <f t="shared" si="1"/>
        <v>2024</v>
      </c>
      <c r="O519" s="7" t="str">
        <f t="shared" si="2"/>
        <v>abril</v>
      </c>
      <c r="P519" s="7" t="s">
        <v>5225</v>
      </c>
    </row>
    <row r="520">
      <c r="A520" s="19">
        <f>'Respuestas de formulario 1'!A520</f>
        <v>45406.44571</v>
      </c>
      <c r="B520" s="7" t="str">
        <f>'Respuestas de formulario 1'!B520</f>
        <v>Bruno</v>
      </c>
      <c r="C520" s="7" t="str">
        <f>'Respuestas de formulario 1'!C520</f>
        <v>Jonathan Gabriel</v>
      </c>
      <c r="D520" s="7" t="str">
        <f>'Respuestas de formulario 1'!D520</f>
        <v>Gabrielbrunoo2016@gmail.com</v>
      </c>
      <c r="E520" s="20">
        <f>'Respuestas de formulario 1'!E520</f>
        <v>33957</v>
      </c>
      <c r="F520" s="7">
        <f>'Respuestas de formulario 1'!F520</f>
        <v>39623224</v>
      </c>
      <c r="G520" s="7" t="str">
        <f>IFERROR(__xludf.DUMMYFUNCTION("IF('Respuestas de formulario 1'!G520="""","""",IF(LEFT(REGEXREPLACE(TO_TEXT('Respuestas de formulario 1'!G520),""[^0-9]"",""""),2)=""54"",""+""&amp;REGEXREPLACE(TO_TEXT('Respuestas de formulario 1'!G520),""[^0-9]"",""""),""+54""&amp;REGEXREPLACE(TO_TEXT('Respuest"&amp;"as de formulario 1'!G520),""[^0-9]"","""")))"),"+543513165576")</f>
        <v>+543513165576</v>
      </c>
      <c r="H520" s="7">
        <f>'Respuestas de formulario 1'!S520</f>
        <v>2024</v>
      </c>
      <c r="I520" s="7" t="str">
        <f>IFERROR(__xludf.DUMMYFUNCTION("IF('Respuestas de formulario 1'!I520="""","""",TO_TEXT('Respuestas de formulario 1'!I520))"),"Particular")</f>
        <v>Particular</v>
      </c>
      <c r="J520" s="7" t="str">
        <f>IFERROR(__xludf.DUMMYFUNCTION("IF('Respuestas de formulario 1'!J520&lt;&gt;"""",UPPER(TRIM(TO_TEXT('Respuestas de formulario 1'!J520))),IF('Respuestas de formulario 1'!O520&lt;&gt;"""",UPPER(TRIM(TO_TEXT('Respuestas de formulario 1'!O520))),""""))"),"")</f>
        <v/>
      </c>
      <c r="K520" s="7" t="str">
        <f>IFERROR(__xludf.DUMMYFUNCTION("IF('Respuestas de formulario 1'!K520="""","""",TO_TEXT('Respuestas de formulario 1'!K520))"),"Si")</f>
        <v>Si</v>
      </c>
      <c r="L520" s="7" t="str">
        <f>IFERROR(__xludf.DUMMYFUNCTION("IF('Respuestas de formulario 1'!L520="""","""",TO_TEXT('Respuestas de formulario 1'!L520))"),"Fútbol")</f>
        <v>Fútbol</v>
      </c>
      <c r="M520" s="7" t="str">
        <f>IFERROR(__xludf.DUMMYFUNCTION("IF('Respuestas de formulario 1'!M520="""","""",TO_TEXT('Respuestas de formulario 1'!M520))"),"1 a 2 veces por semana")</f>
        <v>1 a 2 veces por semana</v>
      </c>
      <c r="N520" s="7">
        <f t="shared" si="1"/>
        <v>2024</v>
      </c>
      <c r="O520" s="7" t="str">
        <f t="shared" si="2"/>
        <v>abril</v>
      </c>
      <c r="P520" s="7" t="s">
        <v>5227</v>
      </c>
    </row>
    <row r="521">
      <c r="A521" s="19">
        <f>'Respuestas de formulario 1'!A521</f>
        <v>45406.49598</v>
      </c>
      <c r="B521" s="7" t="str">
        <f>'Respuestas de formulario 1'!B521</f>
        <v>Nuccetelli </v>
      </c>
      <c r="C521" s="7" t="str">
        <f>'Respuestas de formulario 1'!C521</f>
        <v>Federico </v>
      </c>
      <c r="D521" s="7" t="str">
        <f>'Respuestas de formulario 1'!D521</f>
        <v>fedenuche@gmail.com</v>
      </c>
      <c r="E521" s="20">
        <f>'Respuestas de formulario 1'!E521</f>
        <v>29269</v>
      </c>
      <c r="F521" s="7">
        <f>'Respuestas de formulario 1'!F521</f>
        <v>27959800</v>
      </c>
      <c r="G521" s="7" t="str">
        <f>IFERROR(__xludf.DUMMYFUNCTION("IF('Respuestas de formulario 1'!G521="""","""",IF(LEFT(REGEXREPLACE(TO_TEXT('Respuestas de formulario 1'!G521),""[^0-9]"",""""),2)=""54"",""+""&amp;REGEXREPLACE(TO_TEXT('Respuestas de formulario 1'!G521),""[^0-9]"",""""),""+54""&amp;REGEXREPLACE(TO_TEXT('Respuest"&amp;"as de formulario 1'!G521),""[^0-9]"","""")))"),"+543512378483")</f>
        <v>+543512378483</v>
      </c>
      <c r="H521" s="7">
        <f>'Respuestas de formulario 1'!S521</f>
        <v>2024</v>
      </c>
      <c r="I521" s="7" t="str">
        <f>IFERROR(__xludf.DUMMYFUNCTION("IF('Respuestas de formulario 1'!I521="""","""",TO_TEXT('Respuestas de formulario 1'!I521))"),"Obra social")</f>
        <v>Obra social</v>
      </c>
      <c r="J521" s="7" t="str">
        <f>IFERROR(__xludf.DUMMYFUNCTION("IF('Respuestas de formulario 1'!J521&lt;&gt;"""",UPPER(TRIM(TO_TEXT('Respuestas de formulario 1'!J521))),IF('Respuestas de formulario 1'!O521&lt;&gt;"""",UPPER(TRIM(TO_TEXT('Respuestas de formulario 1'!O521))),""""))"),"DASPU")</f>
        <v>DASPU</v>
      </c>
      <c r="K521" s="7" t="str">
        <f>IFERROR(__xludf.DUMMYFUNCTION("IF('Respuestas de formulario 1'!K521="""","""",TO_TEXT('Respuestas de formulario 1'!K521))"),"Si")</f>
        <v>Si</v>
      </c>
      <c r="L521" s="7" t="str">
        <f>IFERROR(__xludf.DUMMYFUNCTION("IF('Respuestas de formulario 1'!L521="""","""",TO_TEXT('Respuestas de formulario 1'!L521))"),"Jiujitsu brasilero ")</f>
        <v>Jiujitsu brasilero </v>
      </c>
      <c r="M521" s="7" t="str">
        <f>IFERROR(__xludf.DUMMYFUNCTION("IF('Respuestas de formulario 1'!M521="""","""",TO_TEXT('Respuestas de formulario 1'!M521))"),"1 a 2 veces por semana")</f>
        <v>1 a 2 veces por semana</v>
      </c>
      <c r="N521" s="7">
        <f t="shared" si="1"/>
        <v>2024</v>
      </c>
      <c r="O521" s="7" t="str">
        <f t="shared" si="2"/>
        <v>abril</v>
      </c>
      <c r="P521" s="7" t="s">
        <v>5229</v>
      </c>
    </row>
    <row r="522">
      <c r="A522" s="19">
        <f>'Respuestas de formulario 1'!A522</f>
        <v>45406.84148</v>
      </c>
      <c r="B522" s="7" t="str">
        <f>'Respuestas de formulario 1'!B522</f>
        <v>Pacher</v>
      </c>
      <c r="C522" s="7" t="str">
        <f>'Respuestas de formulario 1'!C522</f>
        <v>Maria Eugenia </v>
      </c>
      <c r="D522" s="7" t="str">
        <f>'Respuestas de formulario 1'!D522</f>
        <v>mepacher2016@gmail.com</v>
      </c>
      <c r="E522" s="20">
        <f>'Respuestas de formulario 1'!E522</f>
        <v>28362</v>
      </c>
      <c r="F522" s="7">
        <f>'Respuestas de formulario 1'!F522</f>
        <v>26150128</v>
      </c>
      <c r="G522" s="7" t="str">
        <f>IFERROR(__xludf.DUMMYFUNCTION("IF('Respuestas de formulario 1'!G522="""","""",IF(LEFT(REGEXREPLACE(TO_TEXT('Respuestas de formulario 1'!G522),""[^0-9]"",""""),2)=""54"",""+""&amp;REGEXREPLACE(TO_TEXT('Respuestas de formulario 1'!G522),""[^0-9]"",""""),""+54""&amp;REGEXREPLACE(TO_TEXT('Respuest"&amp;"as de formulario 1'!G522),""[^0-9]"","""")))"),"+543513573431")</f>
        <v>+543513573431</v>
      </c>
      <c r="H522" s="7">
        <f>'Respuestas de formulario 1'!S522</f>
        <v>2024</v>
      </c>
      <c r="I522" s="7" t="str">
        <f>IFERROR(__xludf.DUMMYFUNCTION("IF('Respuestas de formulario 1'!I522="""","""",TO_TEXT('Respuestas de formulario 1'!I522))"),"Particular")</f>
        <v>Particular</v>
      </c>
      <c r="J522" s="7" t="str">
        <f>IFERROR(__xludf.DUMMYFUNCTION("IF('Respuestas de formulario 1'!J522&lt;&gt;"""",UPPER(TRIM(TO_TEXT('Respuestas de formulario 1'!J522))),IF('Respuestas de formulario 1'!O522&lt;&gt;"""",UPPER(TRIM(TO_TEXT('Respuestas de formulario 1'!O522))),""""))"),"")</f>
        <v/>
      </c>
      <c r="K522" s="7" t="str">
        <f>IFERROR(__xludf.DUMMYFUNCTION("IF('Respuestas de formulario 1'!K522="""","""",TO_TEXT('Respuestas de formulario 1'!K522))"),"Si")</f>
        <v>Si</v>
      </c>
      <c r="L522" s="7" t="str">
        <f>IFERROR(__xludf.DUMMYFUNCTION("IF('Respuestas de formulario 1'!L522="""","""",TO_TEXT('Respuestas de formulario 1'!L522))"),"Zumba")</f>
        <v>Zumba</v>
      </c>
      <c r="M522" s="7" t="str">
        <f>IFERROR(__xludf.DUMMYFUNCTION("IF('Respuestas de formulario 1'!M522="""","""",TO_TEXT('Respuestas de formulario 1'!M522))"),"1 a 2 veces por semana")</f>
        <v>1 a 2 veces por semana</v>
      </c>
      <c r="N522" s="7">
        <f t="shared" si="1"/>
        <v>2024</v>
      </c>
      <c r="O522" s="7" t="str">
        <f t="shared" si="2"/>
        <v>abril</v>
      </c>
      <c r="P522" s="7" t="s">
        <v>5231</v>
      </c>
    </row>
    <row r="523">
      <c r="A523" s="19">
        <f>'Respuestas de formulario 1'!A523</f>
        <v>45411.37985</v>
      </c>
      <c r="B523" s="7" t="str">
        <f>'Respuestas de formulario 1'!B523</f>
        <v>Nores</v>
      </c>
      <c r="C523" s="7" t="str">
        <f>'Respuestas de formulario 1'!C523</f>
        <v>Nicolas Luis</v>
      </c>
      <c r="D523" s="7" t="str">
        <f>'Respuestas de formulario 1'!D523</f>
        <v>niconores@hotmail.com</v>
      </c>
      <c r="E523" s="20">
        <f>'Respuestas de formulario 1'!E523</f>
        <v>29247</v>
      </c>
      <c r="F523" s="7">
        <f>'Respuestas de formulario 1'!F523</f>
        <v>27955579</v>
      </c>
      <c r="G523" s="7" t="str">
        <f>IFERROR(__xludf.DUMMYFUNCTION("IF('Respuestas de formulario 1'!G523="""","""",IF(LEFT(REGEXREPLACE(TO_TEXT('Respuestas de formulario 1'!G523),""[^0-9]"",""""),2)=""54"",""+""&amp;REGEXREPLACE(TO_TEXT('Respuestas de formulario 1'!G523),""[^0-9]"",""""),""+54""&amp;REGEXREPLACE(TO_TEXT('Respuest"&amp;"as de formulario 1'!G523),""[^0-9]"","""")))"),"+543515317848")</f>
        <v>+543515317848</v>
      </c>
      <c r="H523" s="7">
        <f>'Respuestas de formulario 1'!S523</f>
        <v>2024</v>
      </c>
      <c r="I523" s="7" t="str">
        <f>IFERROR(__xludf.DUMMYFUNCTION("IF('Respuestas de formulario 1'!I523="""","""",TO_TEXT('Respuestas de formulario 1'!I523))"),"Obra social")</f>
        <v>Obra social</v>
      </c>
      <c r="J523" s="7" t="str">
        <f>IFERROR(__xludf.DUMMYFUNCTION("IF('Respuestas de formulario 1'!J523&lt;&gt;"""",UPPER(TRIM(TO_TEXT('Respuestas de formulario 1'!J523))),IF('Respuestas de formulario 1'!O523&lt;&gt;"""",UPPER(TRIM(TO_TEXT('Respuestas de formulario 1'!O523))),""""))"),"PREVENCIÓN")</f>
        <v>PREVENCIÓN</v>
      </c>
      <c r="K523" s="7" t="str">
        <f>IFERROR(__xludf.DUMMYFUNCTION("IF('Respuestas de formulario 1'!K523="""","""",TO_TEXT('Respuestas de formulario 1'!K523))"),"Si")</f>
        <v>Si</v>
      </c>
      <c r="L523" s="7" t="str">
        <f>IFERROR(__xludf.DUMMYFUNCTION("IF('Respuestas de formulario 1'!L523="""","""",TO_TEXT('Respuestas de formulario 1'!L523))"),"tenis")</f>
        <v>tenis</v>
      </c>
      <c r="M523" s="7" t="str">
        <f>IFERROR(__xludf.DUMMYFUNCTION("IF('Respuestas de formulario 1'!M523="""","""",TO_TEXT('Respuestas de formulario 1'!M523))"),"1 a 2 veces por semana")</f>
        <v>1 a 2 veces por semana</v>
      </c>
      <c r="N523" s="7">
        <f t="shared" si="1"/>
        <v>2024</v>
      </c>
      <c r="O523" s="7" t="str">
        <f t="shared" si="2"/>
        <v>abril</v>
      </c>
      <c r="P523" s="7" t="s">
        <v>5233</v>
      </c>
    </row>
    <row r="524">
      <c r="A524" s="19">
        <f>'Respuestas de formulario 1'!A524</f>
        <v>45411.79094</v>
      </c>
      <c r="B524" s="7" t="str">
        <f>'Respuestas de formulario 1'!B524</f>
        <v>Acosta</v>
      </c>
      <c r="C524" s="7" t="str">
        <f>'Respuestas de formulario 1'!C524</f>
        <v>Ezequiel</v>
      </c>
      <c r="D524" s="7" t="str">
        <f>'Respuestas de formulario 1'!D524</f>
        <v>ezequielacosta1992@gmail.com</v>
      </c>
      <c r="E524" s="20">
        <f>'Respuestas de formulario 1'!E524</f>
        <v>33903</v>
      </c>
      <c r="F524" s="7">
        <f>'Respuestas de formulario 1'!F524</f>
        <v>37084528</v>
      </c>
      <c r="G524" s="7" t="str">
        <f>IFERROR(__xludf.DUMMYFUNCTION("IF('Respuestas de formulario 1'!G524="""","""",IF(LEFT(REGEXREPLACE(TO_TEXT('Respuestas de formulario 1'!G524),""[^0-9]"",""""),2)=""54"",""+""&amp;REGEXREPLACE(TO_TEXT('Respuestas de formulario 1'!G524),""[^0-9]"",""""),""+54""&amp;REGEXREPLACE(TO_TEXT('Respuest"&amp;"as de formulario 1'!G524),""[^0-9]"","""")))"),"+543513395407")</f>
        <v>+543513395407</v>
      </c>
      <c r="H524" s="7">
        <f>'Respuestas de formulario 1'!S524</f>
        <v>2024</v>
      </c>
      <c r="I524" s="7" t="str">
        <f>IFERROR(__xludf.DUMMYFUNCTION("IF('Respuestas de formulario 1'!I524="""","""",TO_TEXT('Respuestas de formulario 1'!I524))"),"Obra social")</f>
        <v>Obra social</v>
      </c>
      <c r="J524" s="7" t="str">
        <f>IFERROR(__xludf.DUMMYFUNCTION("IF('Respuestas de formulario 1'!J524&lt;&gt;"""",UPPER(TRIM(TO_TEXT('Respuestas de formulario 1'!J524))),IF('Respuestas de formulario 1'!O524&lt;&gt;"""",UPPER(TRIM(TO_TEXT('Respuestas de formulario 1'!O524))),""""))"),"APROSS")</f>
        <v>APROSS</v>
      </c>
      <c r="K524" s="7" t="str">
        <f>IFERROR(__xludf.DUMMYFUNCTION("IF('Respuestas de formulario 1'!K524="""","""",TO_TEXT('Respuestas de formulario 1'!K524))"),"Si")</f>
        <v>Si</v>
      </c>
      <c r="L524" s="7" t="str">
        <f>IFERROR(__xludf.DUMMYFUNCTION("IF('Respuestas de formulario 1'!L524="""","""",TO_TEXT('Respuestas de formulario 1'!L524))"),"Fútbol")</f>
        <v>Fútbol</v>
      </c>
      <c r="M524" s="7" t="str">
        <f>IFERROR(__xludf.DUMMYFUNCTION("IF('Respuestas de formulario 1'!M524="""","""",TO_TEXT('Respuestas de formulario 1'!M524))"),"1 a 2 veces por semana")</f>
        <v>1 a 2 veces por semana</v>
      </c>
      <c r="N524" s="7">
        <f t="shared" si="1"/>
        <v>2024</v>
      </c>
      <c r="O524" s="7" t="str">
        <f t="shared" si="2"/>
        <v>abril</v>
      </c>
      <c r="P524" s="7" t="s">
        <v>5235</v>
      </c>
    </row>
    <row r="525">
      <c r="A525" s="19">
        <f>'Respuestas de formulario 1'!A525</f>
        <v>45414.83301</v>
      </c>
      <c r="B525" s="7" t="str">
        <f>'Respuestas de formulario 1'!B525</f>
        <v>bonetto</v>
      </c>
      <c r="C525" s="7" t="str">
        <f>'Respuestas de formulario 1'!C525</f>
        <v>Alicia Beatriz</v>
      </c>
      <c r="D525" s="7" t="str">
        <f>'Respuestas de formulario 1'!D525</f>
        <v>aliciabbonetto@gmail.com</v>
      </c>
      <c r="E525" s="20">
        <f>'Respuestas de formulario 1'!E525</f>
        <v>21102</v>
      </c>
      <c r="F525" s="7">
        <f>'Respuestas de formulario 1'!F525</f>
        <v>13584803</v>
      </c>
      <c r="G525" s="7" t="str">
        <f>IFERROR(__xludf.DUMMYFUNCTION("IF('Respuestas de formulario 1'!G525="""","""",IF(LEFT(REGEXREPLACE(TO_TEXT('Respuestas de formulario 1'!G525),""[^0-9]"",""""),2)=""54"",""+""&amp;REGEXREPLACE(TO_TEXT('Respuestas de formulario 1'!G525),""[^0-9]"",""""),""+54""&amp;REGEXREPLACE(TO_TEXT('Respuest"&amp;"as de formulario 1'!G525),""[^0-9]"","""")))"),"+543516465446")</f>
        <v>+543516465446</v>
      </c>
      <c r="H525" s="7">
        <f>'Respuestas de formulario 1'!S525</f>
        <v>2024</v>
      </c>
      <c r="I525" s="7" t="str">
        <f>IFERROR(__xludf.DUMMYFUNCTION("IF('Respuestas de formulario 1'!I525="""","""",TO_TEXT('Respuestas de formulario 1'!I525))"),"Obra social")</f>
        <v>Obra social</v>
      </c>
      <c r="J525" s="7" t="str">
        <f>IFERROR(__xludf.DUMMYFUNCTION("IF('Respuestas de formulario 1'!J525&lt;&gt;"""",UPPER(TRIM(TO_TEXT('Respuestas de formulario 1'!J525))),IF('Respuestas de formulario 1'!O525&lt;&gt;"""",UPPER(TRIM(TO_TEXT('Respuestas de formulario 1'!O525))),""""))"),"APROSS")</f>
        <v>APROSS</v>
      </c>
      <c r="K525" s="7" t="str">
        <f>IFERROR(__xludf.DUMMYFUNCTION("IF('Respuestas de formulario 1'!K525="""","""",TO_TEXT('Respuestas de formulario 1'!K525))"),"Si")</f>
        <v>Si</v>
      </c>
      <c r="L525" s="7" t="str">
        <f>IFERROR(__xludf.DUMMYFUNCTION("IF('Respuestas de formulario 1'!L525="""","""",TO_TEXT('Respuestas de formulario 1'!L525))"),"pilates, Tap y ,caminata")</f>
        <v>pilates, Tap y ,caminata</v>
      </c>
      <c r="M525" s="7" t="str">
        <f>IFERROR(__xludf.DUMMYFUNCTION("IF('Respuestas de formulario 1'!M525="""","""",TO_TEXT('Respuestas de formulario 1'!M525))"),"3 a 5 veces por semana")</f>
        <v>3 a 5 veces por semana</v>
      </c>
      <c r="N525" s="7">
        <f t="shared" si="1"/>
        <v>2024</v>
      </c>
      <c r="O525" s="7" t="str">
        <f t="shared" si="2"/>
        <v>mayo</v>
      </c>
      <c r="P525" s="7" t="s">
        <v>5237</v>
      </c>
    </row>
    <row r="526">
      <c r="A526" s="19">
        <f>'Respuestas de formulario 1'!A526</f>
        <v>45415.44258</v>
      </c>
      <c r="B526" s="7" t="str">
        <f>'Respuestas de formulario 1'!B526</f>
        <v>Moreno Salinas</v>
      </c>
      <c r="C526" s="7" t="str">
        <f>'Respuestas de formulario 1'!C526</f>
        <v>Camila</v>
      </c>
      <c r="D526" s="7" t="str">
        <f>'Respuestas de formulario 1'!D526</f>
        <v>silvia.salinas78@gmail.com</v>
      </c>
      <c r="E526" s="20">
        <f>'Respuestas de formulario 1'!E526</f>
        <v>40415</v>
      </c>
      <c r="F526" s="7">
        <f>'Respuestas de formulario 1'!F526</f>
        <v>50422101</v>
      </c>
      <c r="G526" s="7" t="str">
        <f>IFERROR(__xludf.DUMMYFUNCTION("IF('Respuestas de formulario 1'!G526="""","""",IF(LEFT(REGEXREPLACE(TO_TEXT('Respuestas de formulario 1'!G526),""[^0-9]"",""""),2)=""54"",""+""&amp;REGEXREPLACE(TO_TEXT('Respuestas de formulario 1'!G526),""[^0-9]"",""""),""+54""&amp;REGEXREPLACE(TO_TEXT('Respuest"&amp;"as de formulario 1'!G526),""[^0-9]"","""")))"),"+543513929219")</f>
        <v>+543513929219</v>
      </c>
      <c r="H526" s="7">
        <f>'Respuestas de formulario 1'!S526</f>
        <v>2024</v>
      </c>
      <c r="I526" s="7" t="str">
        <f>IFERROR(__xludf.DUMMYFUNCTION("IF('Respuestas de formulario 1'!I526="""","""",TO_TEXT('Respuestas de formulario 1'!I526))"),"Particular")</f>
        <v>Particular</v>
      </c>
      <c r="J526" s="7" t="str">
        <f>IFERROR(__xludf.DUMMYFUNCTION("IF('Respuestas de formulario 1'!J526&lt;&gt;"""",UPPER(TRIM(TO_TEXT('Respuestas de formulario 1'!J526))),IF('Respuestas de formulario 1'!O526&lt;&gt;"""",UPPER(TRIM(TO_TEXT('Respuestas de formulario 1'!O526))),""""))"),"")</f>
        <v/>
      </c>
      <c r="K526" s="7" t="str">
        <f>IFERROR(__xludf.DUMMYFUNCTION("IF('Respuestas de formulario 1'!K526="""","""",TO_TEXT('Respuestas de formulario 1'!K526))"),"Si")</f>
        <v>Si</v>
      </c>
      <c r="L526" s="7" t="str">
        <f>IFERROR(__xludf.DUMMYFUNCTION("IF('Respuestas de formulario 1'!L526="""","""",TO_TEXT('Respuestas de formulario 1'!L526))"),"Básquet")</f>
        <v>Básquet</v>
      </c>
      <c r="M526" s="7" t="str">
        <f>IFERROR(__xludf.DUMMYFUNCTION("IF('Respuestas de formulario 1'!M526="""","""",TO_TEXT('Respuestas de formulario 1'!M526))"),"3 a 5 veces por semana")</f>
        <v>3 a 5 veces por semana</v>
      </c>
      <c r="N526" s="7">
        <f t="shared" si="1"/>
        <v>2024</v>
      </c>
      <c r="O526" s="7" t="str">
        <f t="shared" si="2"/>
        <v>mayo</v>
      </c>
      <c r="P526" s="7" t="s">
        <v>5239</v>
      </c>
    </row>
    <row r="527">
      <c r="A527" s="19">
        <f>'Respuestas de formulario 1'!A527</f>
        <v>45415.50863</v>
      </c>
      <c r="B527" s="7" t="str">
        <f>'Respuestas de formulario 1'!B527</f>
        <v>Sanchez </v>
      </c>
      <c r="C527" s="7" t="str">
        <f>'Respuestas de formulario 1'!C527</f>
        <v>Eliana </v>
      </c>
      <c r="D527" s="7" t="str">
        <f>'Respuestas de formulario 1'!D527</f>
        <v>eli.sanchez@hotmail.com</v>
      </c>
      <c r="E527" s="20">
        <f>'Respuestas de formulario 1'!E527</f>
        <v>33292</v>
      </c>
      <c r="F527" s="7">
        <f>'Respuestas de formulario 1'!F527</f>
        <v>35575853</v>
      </c>
      <c r="G527" s="7" t="str">
        <f>IFERROR(__xludf.DUMMYFUNCTION("IF('Respuestas de formulario 1'!G527="""","""",IF(LEFT(REGEXREPLACE(TO_TEXT('Respuestas de formulario 1'!G527),""[^0-9]"",""""),2)=""54"",""+""&amp;REGEXREPLACE(TO_TEXT('Respuestas de formulario 1'!G527),""[^0-9]"",""""),""+54""&amp;REGEXREPLACE(TO_TEXT('Respuest"&amp;"as de formulario 1'!G527),""[^0-9]"","""")))"),"+543512488931")</f>
        <v>+543512488931</v>
      </c>
      <c r="H527" s="7">
        <f>'Respuestas de formulario 1'!S527</f>
        <v>2024</v>
      </c>
      <c r="I527" s="7" t="str">
        <f>IFERROR(__xludf.DUMMYFUNCTION("IF('Respuestas de formulario 1'!I527="""","""",TO_TEXT('Respuestas de formulario 1'!I527))"),"Obra social")</f>
        <v>Obra social</v>
      </c>
      <c r="J527" s="7" t="str">
        <f>IFERROR(__xludf.DUMMYFUNCTION("IF('Respuestas de formulario 1'!J527&lt;&gt;"""",UPPER(TRIM(TO_TEXT('Respuestas de formulario 1'!J527))),IF('Respuestas de formulario 1'!O527&lt;&gt;"""",UPPER(TRIM(TO_TEXT('Respuestas de formulario 1'!O527))),""""))"),"SANCOR")</f>
        <v>SANCOR</v>
      </c>
      <c r="K527" s="7" t="str">
        <f>IFERROR(__xludf.DUMMYFUNCTION("IF('Respuestas de formulario 1'!K527="""","""",TO_TEXT('Respuestas de formulario 1'!K527))"),"Si")</f>
        <v>Si</v>
      </c>
      <c r="L527" s="7" t="str">
        <f>IFERROR(__xludf.DUMMYFUNCTION("IF('Respuestas de formulario 1'!L527="""","""",TO_TEXT('Respuestas de formulario 1'!L527))"),"Fútbol")</f>
        <v>Fútbol</v>
      </c>
      <c r="M527" s="7" t="str">
        <f>IFERROR(__xludf.DUMMYFUNCTION("IF('Respuestas de formulario 1'!M527="""","""",TO_TEXT('Respuestas de formulario 1'!M527))"),"1 a 2 veces por semana")</f>
        <v>1 a 2 veces por semana</v>
      </c>
      <c r="N527" s="7">
        <f t="shared" si="1"/>
        <v>2024</v>
      </c>
      <c r="O527" s="7" t="str">
        <f t="shared" si="2"/>
        <v>mayo</v>
      </c>
      <c r="P527" s="7" t="s">
        <v>5241</v>
      </c>
    </row>
    <row r="528">
      <c r="A528" s="19">
        <f>'Respuestas de formulario 1'!A528</f>
        <v>45415.72997</v>
      </c>
      <c r="B528" s="7" t="str">
        <f>'Respuestas de formulario 1'!B528</f>
        <v>Menacho</v>
      </c>
      <c r="C528" s="7" t="str">
        <f>'Respuestas de formulario 1'!C528</f>
        <v>David</v>
      </c>
      <c r="D528" s="7" t="str">
        <f>'Respuestas de formulario 1'!D528</f>
        <v>davidmenacho@hotmail.com</v>
      </c>
      <c r="E528" s="20">
        <f>'Respuestas de formulario 1'!E528</f>
        <v>29304</v>
      </c>
      <c r="F528" s="7">
        <f>'Respuestas de formulario 1'!F528</f>
        <v>27956744</v>
      </c>
      <c r="G528" s="7" t="str">
        <f>IFERROR(__xludf.DUMMYFUNCTION("IF('Respuestas de formulario 1'!G528="""","""",IF(LEFT(REGEXREPLACE(TO_TEXT('Respuestas de formulario 1'!G528),""[^0-9]"",""""),2)=""54"",""+""&amp;REGEXREPLACE(TO_TEXT('Respuestas de formulario 1'!G528),""[^0-9]"",""""),""+54""&amp;REGEXREPLACE(TO_TEXT('Respuest"&amp;"as de formulario 1'!G528),""[^0-9]"","""")))"),"+543516167281")</f>
        <v>+543516167281</v>
      </c>
      <c r="H528" s="7">
        <f>'Respuestas de formulario 1'!S528</f>
        <v>2024</v>
      </c>
      <c r="I528" s="7" t="str">
        <f>IFERROR(__xludf.DUMMYFUNCTION("IF('Respuestas de formulario 1'!I528="""","""",TO_TEXT('Respuestas de formulario 1'!I528))"),"Particular")</f>
        <v>Particular</v>
      </c>
      <c r="J528" s="7" t="str">
        <f>IFERROR(__xludf.DUMMYFUNCTION("IF('Respuestas de formulario 1'!J528&lt;&gt;"""",UPPER(TRIM(TO_TEXT('Respuestas de formulario 1'!J528))),IF('Respuestas de formulario 1'!O528&lt;&gt;"""",UPPER(TRIM(TO_TEXT('Respuestas de formulario 1'!O528))),""""))"),"")</f>
        <v/>
      </c>
      <c r="K528" s="7" t="str">
        <f>IFERROR(__xludf.DUMMYFUNCTION("IF('Respuestas de formulario 1'!K528="""","""",TO_TEXT('Respuestas de formulario 1'!K528))"),"Si")</f>
        <v>Si</v>
      </c>
      <c r="L528" s="7" t="str">
        <f>IFERROR(__xludf.DUMMYFUNCTION("IF('Respuestas de formulario 1'!L528="""","""",TO_TEXT('Respuestas de formulario 1'!L528))"),"Profe de Arte Marciales")</f>
        <v>Profe de Arte Marciales</v>
      </c>
      <c r="M528" s="7" t="str">
        <f>IFERROR(__xludf.DUMMYFUNCTION("IF('Respuestas de formulario 1'!M528="""","""",TO_TEXT('Respuestas de formulario 1'!M528))"),"3 a 5 veces por semana")</f>
        <v>3 a 5 veces por semana</v>
      </c>
      <c r="N528" s="7">
        <f t="shared" si="1"/>
        <v>2024</v>
      </c>
      <c r="O528" s="7" t="str">
        <f t="shared" si="2"/>
        <v>mayo</v>
      </c>
      <c r="P528" s="7" t="s">
        <v>5243</v>
      </c>
    </row>
    <row r="529">
      <c r="A529" s="19">
        <f>'Respuestas de formulario 1'!A529</f>
        <v>45417.78325</v>
      </c>
      <c r="B529" s="7" t="str">
        <f>'Respuestas de formulario 1'!B529</f>
        <v>PARASKEVOPULOS</v>
      </c>
      <c r="C529" s="7" t="str">
        <f>'Respuestas de formulario 1'!C529</f>
        <v>Marco Antonio </v>
      </c>
      <c r="D529" s="7" t="str">
        <f>'Respuestas de formulario 1'!D529</f>
        <v>marcoantonioparask@gmail.com</v>
      </c>
      <c r="E529" s="20">
        <f>'Respuestas de formulario 1'!E529</f>
        <v>-663384</v>
      </c>
      <c r="F529" s="7">
        <f>'Respuestas de formulario 1'!F529</f>
        <v>30470882</v>
      </c>
      <c r="G529" s="7" t="str">
        <f>IFERROR(__xludf.DUMMYFUNCTION("IF('Respuestas de formulario 1'!G529="""","""",IF(LEFT(REGEXREPLACE(TO_TEXT('Respuestas de formulario 1'!G529),""[^0-9]"",""""),2)=""54"",""+""&amp;REGEXREPLACE(TO_TEXT('Respuestas de formulario 1'!G529),""[^0-9]"",""""),""+54""&amp;REGEXREPLACE(TO_TEXT('Respuest"&amp;"as de formulario 1'!G529),""[^0-9]"","""")))"),"+543515631822")</f>
        <v>+543515631822</v>
      </c>
      <c r="H529" s="7">
        <f>'Respuestas de formulario 1'!S529</f>
        <v>2024</v>
      </c>
      <c r="I529" s="7" t="str">
        <f>IFERROR(__xludf.DUMMYFUNCTION("IF('Respuestas de formulario 1'!I529="""","""",TO_TEXT('Respuestas de formulario 1'!I529))"),"Particular")</f>
        <v>Particular</v>
      </c>
      <c r="J529" s="7" t="str">
        <f>IFERROR(__xludf.DUMMYFUNCTION("IF('Respuestas de formulario 1'!J529&lt;&gt;"""",UPPER(TRIM(TO_TEXT('Respuestas de formulario 1'!J529))),IF('Respuestas de formulario 1'!O529&lt;&gt;"""",UPPER(TRIM(TO_TEXT('Respuestas de formulario 1'!O529))),""""))"),"")</f>
        <v/>
      </c>
      <c r="K529" s="7" t="str">
        <f>IFERROR(__xludf.DUMMYFUNCTION("IF('Respuestas de formulario 1'!K529="""","""",TO_TEXT('Respuestas de formulario 1'!K529))"),"No")</f>
        <v>No</v>
      </c>
      <c r="L529" s="7" t="str">
        <f>IFERROR(__xludf.DUMMYFUNCTION("IF('Respuestas de formulario 1'!L529="""","""",TO_TEXT('Respuestas de formulario 1'!L529))"),"")</f>
        <v/>
      </c>
      <c r="M529" s="7" t="str">
        <f>IFERROR(__xludf.DUMMYFUNCTION("IF('Respuestas de formulario 1'!M529="""","""",TO_TEXT('Respuestas de formulario 1'!M529))"),"")</f>
        <v/>
      </c>
      <c r="N529" s="7">
        <f t="shared" si="1"/>
        <v>2024</v>
      </c>
      <c r="O529" s="7" t="str">
        <f t="shared" si="2"/>
        <v>mayo</v>
      </c>
      <c r="P529" s="7" t="s">
        <v>5245</v>
      </c>
    </row>
    <row r="530">
      <c r="A530" s="19">
        <f>'Respuestas de formulario 1'!A530</f>
        <v>45418.49906</v>
      </c>
      <c r="B530" s="7" t="str">
        <f>'Respuestas de formulario 1'!B530</f>
        <v>vaschetti</v>
      </c>
      <c r="C530" s="7" t="str">
        <f>'Respuestas de formulario 1'!C530</f>
        <v>mariano</v>
      </c>
      <c r="D530" s="7" t="str">
        <f>'Respuestas de formulario 1'!D530</f>
        <v>mvaschetti@hotmail.com</v>
      </c>
      <c r="E530" s="20">
        <f>'Respuestas de formulario 1'!E530</f>
        <v>30940</v>
      </c>
      <c r="F530" s="7">
        <f>'Respuestas de formulario 1'!F530</f>
        <v>31056377</v>
      </c>
      <c r="G530" s="7" t="str">
        <f>IFERROR(__xludf.DUMMYFUNCTION("IF('Respuestas de formulario 1'!G530="""","""",IF(LEFT(REGEXREPLACE(TO_TEXT('Respuestas de formulario 1'!G530),""[^0-9]"",""""),2)=""54"",""+""&amp;REGEXREPLACE(TO_TEXT('Respuestas de formulario 1'!G530),""[^0-9]"",""""),""+54""&amp;REGEXREPLACE(TO_TEXT('Respuest"&amp;"as de formulario 1'!G530),""[^0-9]"","""")))"),"+543517674577")</f>
        <v>+543517674577</v>
      </c>
      <c r="H530" s="7">
        <f>'Respuestas de formulario 1'!S530</f>
        <v>2024</v>
      </c>
      <c r="I530" s="7" t="str">
        <f>IFERROR(__xludf.DUMMYFUNCTION("IF('Respuestas de formulario 1'!I530="""","""",TO_TEXT('Respuestas de formulario 1'!I530))"),"Obra social")</f>
        <v>Obra social</v>
      </c>
      <c r="J530" s="7" t="str">
        <f>IFERROR(__xludf.DUMMYFUNCTION("IF('Respuestas de formulario 1'!J530&lt;&gt;"""",UPPER(TRIM(TO_TEXT('Respuestas de formulario 1'!J530))),IF('Respuestas de formulario 1'!O530&lt;&gt;"""",UPPER(TRIM(TO_TEXT('Respuestas de formulario 1'!O530))),""""))"),"SANCOR")</f>
        <v>SANCOR</v>
      </c>
      <c r="K530" s="7" t="str">
        <f>IFERROR(__xludf.DUMMYFUNCTION("IF('Respuestas de formulario 1'!K530="""","""",TO_TEXT('Respuestas de formulario 1'!K530))"),"Si")</f>
        <v>Si</v>
      </c>
      <c r="L530" s="7" t="str">
        <f>IFERROR(__xludf.DUMMYFUNCTION("IF('Respuestas de formulario 1'!L530="""","""",TO_TEXT('Respuestas de formulario 1'!L530))"),"padel, bici")</f>
        <v>padel, bici</v>
      </c>
      <c r="M530" s="7" t="str">
        <f>IFERROR(__xludf.DUMMYFUNCTION("IF('Respuestas de formulario 1'!M530="""","""",TO_TEXT('Respuestas de formulario 1'!M530))"),"3 a 5 veces por semana")</f>
        <v>3 a 5 veces por semana</v>
      </c>
      <c r="N530" s="7">
        <f t="shared" si="1"/>
        <v>2024</v>
      </c>
      <c r="O530" s="7" t="str">
        <f t="shared" si="2"/>
        <v>mayo</v>
      </c>
      <c r="P530" s="7" t="s">
        <v>5247</v>
      </c>
    </row>
    <row r="531">
      <c r="A531" s="19">
        <f>'Respuestas de formulario 1'!A531</f>
        <v>45418.54224</v>
      </c>
      <c r="B531" s="7" t="str">
        <f>'Respuestas de formulario 1'!B531</f>
        <v>Armando</v>
      </c>
      <c r="C531" s="7" t="str">
        <f>'Respuestas de formulario 1'!C531</f>
        <v>Marcos Ezequiel</v>
      </c>
      <c r="D531" s="7" t="str">
        <f>'Respuestas de formulario 1'!D531</f>
        <v>marcos.armando1@gmail.com</v>
      </c>
      <c r="E531" s="20">
        <f>'Respuestas de formulario 1'!E531</f>
        <v>32509</v>
      </c>
      <c r="F531" s="7">
        <f>'Respuestas de formulario 1'!F531</f>
        <v>34130395</v>
      </c>
      <c r="G531" s="7" t="str">
        <f>IFERROR(__xludf.DUMMYFUNCTION("IF('Respuestas de formulario 1'!G531="""","""",IF(LEFT(REGEXREPLACE(TO_TEXT('Respuestas de formulario 1'!G531),""[^0-9]"",""""),2)=""54"",""+""&amp;REGEXREPLACE(TO_TEXT('Respuestas de formulario 1'!G531),""[^0-9]"",""""),""+54""&amp;REGEXREPLACE(TO_TEXT('Respuest"&amp;"as de formulario 1'!G531),""[^0-9]"","""")))"),"+543513887184")</f>
        <v>+543513887184</v>
      </c>
      <c r="H531" s="7">
        <f>'Respuestas de formulario 1'!S531</f>
        <v>2024</v>
      </c>
      <c r="I531" s="7" t="str">
        <f>IFERROR(__xludf.DUMMYFUNCTION("IF('Respuestas de formulario 1'!I531="""","""",TO_TEXT('Respuestas de formulario 1'!I531))"),"Obra social")</f>
        <v>Obra social</v>
      </c>
      <c r="J531" s="7" t="str">
        <f>IFERROR(__xludf.DUMMYFUNCTION("IF('Respuestas de formulario 1'!J531&lt;&gt;"""",UPPER(TRIM(TO_TEXT('Respuestas de formulario 1'!J531))),IF('Respuestas de formulario 1'!O531&lt;&gt;"""",UPPER(TRIM(TO_TEXT('Respuestas de formulario 1'!O531))),""""))"),"OSDE")</f>
        <v>OSDE</v>
      </c>
      <c r="K531" s="7" t="str">
        <f>IFERROR(__xludf.DUMMYFUNCTION("IF('Respuestas de formulario 1'!K531="""","""",TO_TEXT('Respuestas de formulario 1'!K531))"),"Si")</f>
        <v>Si</v>
      </c>
      <c r="L531" s="7" t="str">
        <f>IFERROR(__xludf.DUMMYFUNCTION("IF('Respuestas de formulario 1'!L531="""","""",TO_TEXT('Respuestas de formulario 1'!L531))"),"Fútbol")</f>
        <v>Fútbol</v>
      </c>
      <c r="M531" s="7" t="str">
        <f>IFERROR(__xludf.DUMMYFUNCTION("IF('Respuestas de formulario 1'!M531="""","""",TO_TEXT('Respuestas de formulario 1'!M531))"),"3 a 5 veces por semana")</f>
        <v>3 a 5 veces por semana</v>
      </c>
      <c r="N531" s="7">
        <f t="shared" si="1"/>
        <v>2024</v>
      </c>
      <c r="O531" s="7" t="str">
        <f t="shared" si="2"/>
        <v>mayo</v>
      </c>
      <c r="P531" s="7" t="s">
        <v>5249</v>
      </c>
    </row>
    <row r="532">
      <c r="A532" s="19">
        <f>'Respuestas de formulario 1'!A532</f>
        <v>45418.74952</v>
      </c>
      <c r="B532" s="7" t="str">
        <f>'Respuestas de formulario 1'!B532</f>
        <v>Merlini</v>
      </c>
      <c r="C532" s="7" t="str">
        <f>'Respuestas de formulario 1'!C532</f>
        <v>Guadalupe</v>
      </c>
      <c r="D532" s="7" t="str">
        <f>'Respuestas de formulario 1'!D532</f>
        <v>gmerlini2005@gmail.com</v>
      </c>
      <c r="E532" s="20">
        <f>'Respuestas de formulario 1'!E532</f>
        <v>38805</v>
      </c>
      <c r="F532" s="7">
        <f>'Respuestas de formulario 1'!F532</f>
        <v>46850723</v>
      </c>
      <c r="G532" s="7" t="str">
        <f>IFERROR(__xludf.DUMMYFUNCTION("IF('Respuestas de formulario 1'!G532="""","""",IF(LEFT(REGEXREPLACE(TO_TEXT('Respuestas de formulario 1'!G532),""[^0-9]"",""""),2)=""54"",""+""&amp;REGEXREPLACE(TO_TEXT('Respuestas de formulario 1'!G532),""[^0-9]"",""""),""+54""&amp;REGEXREPLACE(TO_TEXT('Respuest"&amp;"as de formulario 1'!G532),""[^0-9]"","""")))"),"+543564333703")</f>
        <v>+543564333703</v>
      </c>
      <c r="H532" s="7">
        <f>'Respuestas de formulario 1'!S532</f>
        <v>2024</v>
      </c>
      <c r="I532" s="7" t="str">
        <f>IFERROR(__xludf.DUMMYFUNCTION("IF('Respuestas de formulario 1'!I532="""","""",TO_TEXT('Respuestas de formulario 1'!I532))"),"Particular")</f>
        <v>Particular</v>
      </c>
      <c r="J532" s="7" t="str">
        <f>IFERROR(__xludf.DUMMYFUNCTION("IF('Respuestas de formulario 1'!J532&lt;&gt;"""",UPPER(TRIM(TO_TEXT('Respuestas de formulario 1'!J532))),IF('Respuestas de formulario 1'!O532&lt;&gt;"""",UPPER(TRIM(TO_TEXT('Respuestas de formulario 1'!O532))),""""))"),"")</f>
        <v/>
      </c>
      <c r="K532" s="7" t="str">
        <f>IFERROR(__xludf.DUMMYFUNCTION("IF('Respuestas de formulario 1'!K532="""","""",TO_TEXT('Respuestas de formulario 1'!K532))"),"Si")</f>
        <v>Si</v>
      </c>
      <c r="L532" s="7" t="str">
        <f>IFERROR(__xludf.DUMMYFUNCTION("IF('Respuestas de formulario 1'!L532="""","""",TO_TEXT('Respuestas de formulario 1'!L532))"),"Voley")</f>
        <v>Voley</v>
      </c>
      <c r="M532" s="7" t="str">
        <f>IFERROR(__xludf.DUMMYFUNCTION("IF('Respuestas de formulario 1'!M532="""","""",TO_TEXT('Respuestas de formulario 1'!M532))"),"3 a 5 veces por semana")</f>
        <v>3 a 5 veces por semana</v>
      </c>
      <c r="N532" s="7">
        <f t="shared" si="1"/>
        <v>2024</v>
      </c>
      <c r="O532" s="7" t="str">
        <f t="shared" si="2"/>
        <v>mayo</v>
      </c>
      <c r="P532" s="7" t="s">
        <v>5250</v>
      </c>
    </row>
    <row r="533">
      <c r="A533" s="19">
        <f>'Respuestas de formulario 1'!A533</f>
        <v>45418.80934</v>
      </c>
      <c r="B533" s="7" t="str">
        <f>'Respuestas de formulario 1'!B533</f>
        <v>Valles</v>
      </c>
      <c r="C533" s="7" t="str">
        <f>'Respuestas de formulario 1'!C533</f>
        <v>Gabriel agustin</v>
      </c>
      <c r="D533" s="7" t="str">
        <f>'Respuestas de formulario 1'!D533</f>
        <v>Gaby_Belgrano90@hotmail.com</v>
      </c>
      <c r="E533" s="20">
        <f>'Respuestas de formulario 1'!E533</f>
        <v>33142</v>
      </c>
      <c r="F533" s="7">
        <f>'Respuestas de formulario 1'!F533</f>
        <v>36124007</v>
      </c>
      <c r="G533" s="7" t="str">
        <f>IFERROR(__xludf.DUMMYFUNCTION("IF('Respuestas de formulario 1'!G533="""","""",IF(LEFT(REGEXREPLACE(TO_TEXT('Respuestas de formulario 1'!G533),""[^0-9]"",""""),2)=""54"",""+""&amp;REGEXREPLACE(TO_TEXT('Respuestas de formulario 1'!G533),""[^0-9]"",""""),""+54""&amp;REGEXREPLACE(TO_TEXT('Respuest"&amp;"as de formulario 1'!G533),""[^0-9]"","""")))"),"+543516173592")</f>
        <v>+543516173592</v>
      </c>
      <c r="H533" s="7">
        <f>'Respuestas de formulario 1'!S533</f>
        <v>2024</v>
      </c>
      <c r="I533" s="7" t="str">
        <f>IFERROR(__xludf.DUMMYFUNCTION("IF('Respuestas de formulario 1'!I533="""","""",TO_TEXT('Respuestas de formulario 1'!I533))"),"Obra social")</f>
        <v>Obra social</v>
      </c>
      <c r="J533" s="7" t="str">
        <f>IFERROR(__xludf.DUMMYFUNCTION("IF('Respuestas de formulario 1'!J533&lt;&gt;"""",UPPER(TRIM(TO_TEXT('Respuestas de formulario 1'!J533))),IF('Respuestas de formulario 1'!O533&lt;&gt;"""",UPPER(TRIM(TO_TEXT('Respuestas de formulario 1'!O533))),""""))"),"APROSS")</f>
        <v>APROSS</v>
      </c>
      <c r="K533" s="7" t="str">
        <f>IFERROR(__xludf.DUMMYFUNCTION("IF('Respuestas de formulario 1'!K533="""","""",TO_TEXT('Respuestas de formulario 1'!K533))"),"Si")</f>
        <v>Si</v>
      </c>
      <c r="L533" s="7" t="str">
        <f>IFERROR(__xludf.DUMMYFUNCTION("IF('Respuestas de formulario 1'!L533="""","""",TO_TEXT('Respuestas de formulario 1'!L533))"),"Fútbol")</f>
        <v>Fútbol</v>
      </c>
      <c r="M533" s="7" t="str">
        <f>IFERROR(__xludf.DUMMYFUNCTION("IF('Respuestas de formulario 1'!M533="""","""",TO_TEXT('Respuestas de formulario 1'!M533))"),"1 a 2 veces por semana")</f>
        <v>1 a 2 veces por semana</v>
      </c>
      <c r="N533" s="7">
        <f t="shared" si="1"/>
        <v>2024</v>
      </c>
      <c r="O533" s="7" t="str">
        <f t="shared" si="2"/>
        <v>mayo</v>
      </c>
      <c r="P533" s="7" t="s">
        <v>5252</v>
      </c>
    </row>
    <row r="534">
      <c r="A534" s="19">
        <f>'Respuestas de formulario 1'!A534</f>
        <v>45419.38193</v>
      </c>
      <c r="B534" s="7" t="str">
        <f>'Respuestas de formulario 1'!B534</f>
        <v>Reano</v>
      </c>
      <c r="C534" s="7" t="str">
        <f>'Respuestas de formulario 1'!C534</f>
        <v>Veronica</v>
      </c>
      <c r="D534" s="7" t="str">
        <f>'Respuestas de formulario 1'!D534</f>
        <v>Veroreano@hotmail.com</v>
      </c>
      <c r="E534" s="20">
        <f>'Respuestas de formulario 1'!E534</f>
        <v>28536</v>
      </c>
      <c r="F534" s="7">
        <f>'Respuestas de formulario 1'!F534</f>
        <v>26083746</v>
      </c>
      <c r="G534" s="7" t="str">
        <f>IFERROR(__xludf.DUMMYFUNCTION("IF('Respuestas de formulario 1'!G534="""","""",IF(LEFT(REGEXREPLACE(TO_TEXT('Respuestas de formulario 1'!G534),""[^0-9]"",""""),2)=""54"",""+""&amp;REGEXREPLACE(TO_TEXT('Respuestas de formulario 1'!G534),""[^0-9]"",""""),""+54""&amp;REGEXREPLACE(TO_TEXT('Respuest"&amp;"as de formulario 1'!G534),""[^0-9]"","""")))"),"+543516619705")</f>
        <v>+543516619705</v>
      </c>
      <c r="H534" s="7">
        <f>'Respuestas de formulario 1'!S534</f>
        <v>2024</v>
      </c>
      <c r="I534" s="7" t="str">
        <f>IFERROR(__xludf.DUMMYFUNCTION("IF('Respuestas de formulario 1'!I534="""","""",TO_TEXT('Respuestas de formulario 1'!I534))"),"Obra social")</f>
        <v>Obra social</v>
      </c>
      <c r="J534" s="7" t="str">
        <f>IFERROR(__xludf.DUMMYFUNCTION("IF('Respuestas de formulario 1'!J534&lt;&gt;"""",UPPER(TRIM(TO_TEXT('Respuestas de formulario 1'!J534))),IF('Respuestas de formulario 1'!O534&lt;&gt;"""",UPPER(TRIM(TO_TEXT('Respuestas de formulario 1'!O534))),""""))"),"DASPU")</f>
        <v>DASPU</v>
      </c>
      <c r="K534" s="7" t="str">
        <f>IFERROR(__xludf.DUMMYFUNCTION("IF('Respuestas de formulario 1'!K534="""","""",TO_TEXT('Respuestas de formulario 1'!K534))"),"Si")</f>
        <v>Si</v>
      </c>
      <c r="L534" s="7" t="str">
        <f>IFERROR(__xludf.DUMMYFUNCTION("IF('Respuestas de formulario 1'!L534="""","""",TO_TEXT('Respuestas de formulario 1'!L534))"),"Voley")</f>
        <v>Voley</v>
      </c>
      <c r="M534" s="7" t="str">
        <f>IFERROR(__xludf.DUMMYFUNCTION("IF('Respuestas de formulario 1'!M534="""","""",TO_TEXT('Respuestas de formulario 1'!M534))"),"3 a 5 veces por semana")</f>
        <v>3 a 5 veces por semana</v>
      </c>
      <c r="N534" s="7">
        <f t="shared" si="1"/>
        <v>2024</v>
      </c>
      <c r="O534" s="7" t="str">
        <f t="shared" si="2"/>
        <v>mayo</v>
      </c>
      <c r="P534" s="7" t="s">
        <v>5254</v>
      </c>
    </row>
    <row r="535">
      <c r="A535" s="19">
        <f>'Respuestas de formulario 1'!A535</f>
        <v>45419.46737</v>
      </c>
      <c r="B535" s="7" t="str">
        <f>'Respuestas de formulario 1'!B535</f>
        <v>Takaya </v>
      </c>
      <c r="C535" s="7" t="str">
        <f>'Respuestas de formulario 1'!C535</f>
        <v>Ana María </v>
      </c>
      <c r="D535" s="7" t="str">
        <f>'Respuestas de formulario 1'!D535</f>
        <v>fliatakaya@gmail.com</v>
      </c>
      <c r="E535" s="20">
        <f>'Respuestas de formulario 1'!E535</f>
        <v>18784</v>
      </c>
      <c r="F535" s="7">
        <f>'Respuestas de formulario 1'!F535</f>
        <v>6679246</v>
      </c>
      <c r="G535" s="7" t="str">
        <f>IFERROR(__xludf.DUMMYFUNCTION("IF('Respuestas de formulario 1'!G535="""","""",IF(LEFT(REGEXREPLACE(TO_TEXT('Respuestas de formulario 1'!G535),""[^0-9]"",""""),2)=""54"",""+""&amp;REGEXREPLACE(TO_TEXT('Respuestas de formulario 1'!G535),""[^0-9]"",""""),""+54""&amp;REGEXREPLACE(TO_TEXT('Respuest"&amp;"as de formulario 1'!G535),""[^0-9]"","""")))"),"+543513859662")</f>
        <v>+543513859662</v>
      </c>
      <c r="H535" s="7">
        <f>'Respuestas de formulario 1'!S535</f>
        <v>2024</v>
      </c>
      <c r="I535" s="7" t="str">
        <f>IFERROR(__xludf.DUMMYFUNCTION("IF('Respuestas de formulario 1'!I535="""","""",TO_TEXT('Respuestas de formulario 1'!I535))"),"Obra social")</f>
        <v>Obra social</v>
      </c>
      <c r="J535" s="7" t="str">
        <f>IFERROR(__xludf.DUMMYFUNCTION("IF('Respuestas de formulario 1'!J535&lt;&gt;"""",UPPER(TRIM(TO_TEXT('Respuestas de formulario 1'!J535))),IF('Respuestas de formulario 1'!O535&lt;&gt;"""",UPPER(TRIM(TO_TEXT('Respuestas de formulario 1'!O535))),""""))"),"APROSS")</f>
        <v>APROSS</v>
      </c>
      <c r="K535" s="7" t="str">
        <f>IFERROR(__xludf.DUMMYFUNCTION("IF('Respuestas de formulario 1'!K535="""","""",TO_TEXT('Respuestas de formulario 1'!K535))"),"Si")</f>
        <v>Si</v>
      </c>
      <c r="L535" s="7" t="str">
        <f>IFERROR(__xludf.DUMMYFUNCTION("IF('Respuestas de formulario 1'!L535="""","""",TO_TEXT('Respuestas de formulario 1'!L535))"),"Taichichuan ")</f>
        <v>Taichichuan </v>
      </c>
      <c r="M535" s="7" t="str">
        <f>IFERROR(__xludf.DUMMYFUNCTION("IF('Respuestas de formulario 1'!M535="""","""",TO_TEXT('Respuestas de formulario 1'!M535))"),"3 a 5 veces por semana")</f>
        <v>3 a 5 veces por semana</v>
      </c>
      <c r="N535" s="7">
        <f t="shared" si="1"/>
        <v>2024</v>
      </c>
      <c r="O535" s="7" t="str">
        <f t="shared" si="2"/>
        <v>mayo</v>
      </c>
      <c r="P535" s="7" t="s">
        <v>5256</v>
      </c>
    </row>
    <row r="536">
      <c r="A536" s="19">
        <f>'Respuestas de formulario 1'!A536</f>
        <v>45420.68064</v>
      </c>
      <c r="B536" s="7" t="str">
        <f>'Respuestas de formulario 1'!B536</f>
        <v>Quispe Zevallos </v>
      </c>
      <c r="C536" s="7" t="str">
        <f>'Respuestas de formulario 1'!C536</f>
        <v>Fernando Mateo </v>
      </c>
      <c r="D536" s="7" t="str">
        <f>'Respuestas de formulario 1'!D536</f>
        <v>matelfixx@gmail.com</v>
      </c>
      <c r="E536" s="20">
        <f>'Respuestas de formulario 1'!E536</f>
        <v>38190</v>
      </c>
      <c r="F536" s="7">
        <f>'Respuestas de formulario 1'!F536</f>
        <v>95220664</v>
      </c>
      <c r="G536" s="7" t="str">
        <f>IFERROR(__xludf.DUMMYFUNCTION("IF('Respuestas de formulario 1'!G536="""","""",IF(LEFT(REGEXREPLACE(TO_TEXT('Respuestas de formulario 1'!G536),""[^0-9]"",""""),2)=""54"",""+""&amp;REGEXREPLACE(TO_TEXT('Respuestas de formulario 1'!G536),""[^0-9]"",""""),""+54""&amp;REGEXREPLACE(TO_TEXT('Respuest"&amp;"as de formulario 1'!G536),""[^0-9]"","""")))"),"+543518029805")</f>
        <v>+543518029805</v>
      </c>
      <c r="H536" s="7">
        <f>'Respuestas de formulario 1'!S536</f>
        <v>2024</v>
      </c>
      <c r="I536" s="7" t="str">
        <f>IFERROR(__xludf.DUMMYFUNCTION("IF('Respuestas de formulario 1'!I536="""","""",TO_TEXT('Respuestas de formulario 1'!I536))"),"Particular")</f>
        <v>Particular</v>
      </c>
      <c r="J536" s="7" t="str">
        <f>IFERROR(__xludf.DUMMYFUNCTION("IF('Respuestas de formulario 1'!J536&lt;&gt;"""",UPPER(TRIM(TO_TEXT('Respuestas de formulario 1'!J536))),IF('Respuestas de formulario 1'!O536&lt;&gt;"""",UPPER(TRIM(TO_TEXT('Respuestas de formulario 1'!O536))),""""))"),"")</f>
        <v/>
      </c>
      <c r="K536" s="7" t="str">
        <f>IFERROR(__xludf.DUMMYFUNCTION("IF('Respuestas de formulario 1'!K536="""","""",TO_TEXT('Respuestas de formulario 1'!K536))"),"Si")</f>
        <v>Si</v>
      </c>
      <c r="L536" s="7" t="str">
        <f>IFERROR(__xludf.DUMMYFUNCTION("IF('Respuestas de formulario 1'!L536="""","""",TO_TEXT('Respuestas de formulario 1'!L536))"),"Gimnasio")</f>
        <v>Gimnasio</v>
      </c>
      <c r="M536" s="7" t="str">
        <f>IFERROR(__xludf.DUMMYFUNCTION("IF('Respuestas de formulario 1'!M536="""","""",TO_TEXT('Respuestas de formulario 1'!M536))"),"1 a 2 veces por semana")</f>
        <v>1 a 2 veces por semana</v>
      </c>
      <c r="N536" s="7">
        <f t="shared" si="1"/>
        <v>2024</v>
      </c>
      <c r="O536" s="7" t="str">
        <f t="shared" si="2"/>
        <v>mayo</v>
      </c>
      <c r="P536" s="7" t="s">
        <v>5258</v>
      </c>
    </row>
    <row r="537">
      <c r="A537" s="19">
        <f>'Respuestas de formulario 1'!A537</f>
        <v>45421.39449</v>
      </c>
      <c r="B537" s="7" t="str">
        <f>'Respuestas de formulario 1'!B537</f>
        <v>Palacios</v>
      </c>
      <c r="C537" s="7" t="str">
        <f>'Respuestas de formulario 1'!C537</f>
        <v>Ana Paula</v>
      </c>
      <c r="D537" s="7" t="str">
        <f>'Respuestas de formulario 1'!D537</f>
        <v>Anapaulapalacios17@gmail.com</v>
      </c>
      <c r="E537" s="20">
        <f>'Respuestas de formulario 1'!E537</f>
        <v>38594</v>
      </c>
      <c r="F537" s="7">
        <f>'Respuestas de formulario 1'!F537</f>
        <v>46127662</v>
      </c>
      <c r="G537" s="7" t="str">
        <f>IFERROR(__xludf.DUMMYFUNCTION("IF('Respuestas de formulario 1'!G537="""","""",IF(LEFT(REGEXREPLACE(TO_TEXT('Respuestas de formulario 1'!G537),""[^0-9]"",""""),2)=""54"",""+""&amp;REGEXREPLACE(TO_TEXT('Respuestas de formulario 1'!G537),""[^0-9]"",""""),""+54""&amp;REGEXREPLACE(TO_TEXT('Respuest"&amp;"as de formulario 1'!G537),""[^0-9]"","""")))"),"+543517357423")</f>
        <v>+543517357423</v>
      </c>
      <c r="H537" s="7">
        <f>'Respuestas de formulario 1'!S537</f>
        <v>2024</v>
      </c>
      <c r="I537" s="7" t="str">
        <f>IFERROR(__xludf.DUMMYFUNCTION("IF('Respuestas de formulario 1'!I537="""","""",TO_TEXT('Respuestas de formulario 1'!I537))"),"Obra social")</f>
        <v>Obra social</v>
      </c>
      <c r="J537" s="7" t="str">
        <f>IFERROR(__xludf.DUMMYFUNCTION("IF('Respuestas de formulario 1'!J537&lt;&gt;"""",UPPER(TRIM(TO_TEXT('Respuestas de formulario 1'!J537))),IF('Respuestas de formulario 1'!O537&lt;&gt;"""",UPPER(TRIM(TO_TEXT('Respuestas de formulario 1'!O537))),""""))"),"APROSS")</f>
        <v>APROSS</v>
      </c>
      <c r="K537" s="7" t="str">
        <f>IFERROR(__xludf.DUMMYFUNCTION("IF('Respuestas de formulario 1'!K537="""","""",TO_TEXT('Respuestas de formulario 1'!K537))"),"Si")</f>
        <v>Si</v>
      </c>
      <c r="L537" s="7" t="str">
        <f>IFERROR(__xludf.DUMMYFUNCTION("IF('Respuestas de formulario 1'!L537="""","""",TO_TEXT('Respuestas de formulario 1'!L537))"),"Voley")</f>
        <v>Voley</v>
      </c>
      <c r="M537" s="7" t="str">
        <f>IFERROR(__xludf.DUMMYFUNCTION("IF('Respuestas de formulario 1'!M537="""","""",TO_TEXT('Respuestas de formulario 1'!M537))"),"3 a 5 veces por semana")</f>
        <v>3 a 5 veces por semana</v>
      </c>
      <c r="N537" s="7">
        <f t="shared" si="1"/>
        <v>2024</v>
      </c>
      <c r="O537" s="7" t="str">
        <f t="shared" si="2"/>
        <v>mayo</v>
      </c>
      <c r="P537" s="7" t="s">
        <v>5260</v>
      </c>
    </row>
    <row r="538">
      <c r="A538" s="19">
        <f>'Respuestas de formulario 1'!A538</f>
        <v>45421.44551</v>
      </c>
      <c r="B538" s="7" t="str">
        <f>'Respuestas de formulario 1'!B538</f>
        <v>Reyes</v>
      </c>
      <c r="C538" s="7" t="str">
        <f>'Respuestas de formulario 1'!C538</f>
        <v>Pilar</v>
      </c>
      <c r="D538" s="7" t="str">
        <f>'Respuestas de formulario 1'!D538</f>
        <v>pilar584@gmail.com</v>
      </c>
      <c r="E538" s="20">
        <f>'Respuestas de formulario 1'!E538</f>
        <v>31287</v>
      </c>
      <c r="F538" s="7">
        <f>'Respuestas de formulario 1'!F538</f>
        <v>31769995</v>
      </c>
      <c r="G538" s="7" t="str">
        <f>IFERROR(__xludf.DUMMYFUNCTION("IF('Respuestas de formulario 1'!G538="""","""",IF(LEFT(REGEXREPLACE(TO_TEXT('Respuestas de formulario 1'!G538),""[^0-9]"",""""),2)=""54"",""+""&amp;REGEXREPLACE(TO_TEXT('Respuestas de formulario 1'!G538),""[^0-9]"",""""),""+54""&amp;REGEXREPLACE(TO_TEXT('Respuest"&amp;"as de formulario 1'!G538),""[^0-9]"","""")))"),"+543515928931")</f>
        <v>+543515928931</v>
      </c>
      <c r="H538" s="7">
        <f>'Respuestas de formulario 1'!S538</f>
        <v>2024</v>
      </c>
      <c r="I538" s="7" t="str">
        <f>IFERROR(__xludf.DUMMYFUNCTION("IF('Respuestas de formulario 1'!I538="""","""",TO_TEXT('Respuestas de formulario 1'!I538))"),"Obra social")</f>
        <v>Obra social</v>
      </c>
      <c r="J538" s="7" t="str">
        <f>IFERROR(__xludf.DUMMYFUNCTION("IF('Respuestas de formulario 1'!J538&lt;&gt;"""",UPPER(TRIM(TO_TEXT('Respuestas de formulario 1'!J538))),IF('Respuestas de formulario 1'!O538&lt;&gt;"""",UPPER(TRIM(TO_TEXT('Respuestas de formulario 1'!O538))),""""))"),"MET")</f>
        <v>MET</v>
      </c>
      <c r="K538" s="7" t="str">
        <f>IFERROR(__xludf.DUMMYFUNCTION("IF('Respuestas de formulario 1'!K538="""","""",TO_TEXT('Respuestas de formulario 1'!K538))"),"Si")</f>
        <v>Si</v>
      </c>
      <c r="L538" s="7" t="str">
        <f>IFERROR(__xludf.DUMMYFUNCTION("IF('Respuestas de formulario 1'!L538="""","""",TO_TEXT('Respuestas de formulario 1'!L538))"),"Padlet")</f>
        <v>Padlet</v>
      </c>
      <c r="M538" s="7" t="str">
        <f>IFERROR(__xludf.DUMMYFUNCTION("IF('Respuestas de formulario 1'!M538="""","""",TO_TEXT('Respuestas de formulario 1'!M538))"),"3 a 5 veces por semana")</f>
        <v>3 a 5 veces por semana</v>
      </c>
      <c r="N538" s="7">
        <f t="shared" si="1"/>
        <v>2024</v>
      </c>
      <c r="O538" s="7" t="str">
        <f t="shared" si="2"/>
        <v>mayo</v>
      </c>
      <c r="P538" s="7" t="s">
        <v>5262</v>
      </c>
    </row>
    <row r="539">
      <c r="A539" s="19">
        <f>'Respuestas de formulario 1'!A539</f>
        <v>45421.70566</v>
      </c>
      <c r="B539" s="7" t="str">
        <f>'Respuestas de formulario 1'!B539</f>
        <v>RAUEH </v>
      </c>
      <c r="C539" s="7" t="str">
        <f>'Respuestas de formulario 1'!C539</f>
        <v>ADRIANA</v>
      </c>
      <c r="D539" s="7" t="str">
        <f>'Respuestas de formulario 1'!D539</f>
        <v>adri_raueh@hotmail.com</v>
      </c>
      <c r="E539" s="20">
        <f>'Respuestas de formulario 1'!E539</f>
        <v>24245</v>
      </c>
      <c r="F539" s="7">
        <f>'Respuestas de formulario 1'!F539</f>
        <v>17629199</v>
      </c>
      <c r="G539" s="7" t="str">
        <f>IFERROR(__xludf.DUMMYFUNCTION("IF('Respuestas de formulario 1'!G539="""","""",IF(LEFT(REGEXREPLACE(TO_TEXT('Respuestas de formulario 1'!G539),""[^0-9]"",""""),2)=""54"",""+""&amp;REGEXREPLACE(TO_TEXT('Respuestas de formulario 1'!G539),""[^0-9]"",""""),""+54""&amp;REGEXREPLACE(TO_TEXT('Respuest"&amp;"as de formulario 1'!G539),""[^0-9]"","""")))"),"+543513211132")</f>
        <v>+543513211132</v>
      </c>
      <c r="H539" s="7">
        <f>'Respuestas de formulario 1'!S539</f>
        <v>2024</v>
      </c>
      <c r="I539" s="7" t="str">
        <f>IFERROR(__xludf.DUMMYFUNCTION("IF('Respuestas de formulario 1'!I539="""","""",TO_TEXT('Respuestas de formulario 1'!I539))"),"Obra social")</f>
        <v>Obra social</v>
      </c>
      <c r="J539" s="7" t="str">
        <f>IFERROR(__xludf.DUMMYFUNCTION("IF('Respuestas de formulario 1'!J539&lt;&gt;"""",UPPER(TRIM(TO_TEXT('Respuestas de formulario 1'!J539))),IF('Respuestas de formulario 1'!O539&lt;&gt;"""",UPPER(TRIM(TO_TEXT('Respuestas de formulario 1'!O539))),""""))"),"MEDICUS, PLAN FAMILY CARE")</f>
        <v>MEDICUS, PLAN FAMILY CARE</v>
      </c>
      <c r="K539" s="7" t="str">
        <f>IFERROR(__xludf.DUMMYFUNCTION("IF('Respuestas de formulario 1'!K539="""","""",TO_TEXT('Respuestas de formulario 1'!K539))"),"No")</f>
        <v>No</v>
      </c>
      <c r="L539" s="7" t="str">
        <f>IFERROR(__xludf.DUMMYFUNCTION("IF('Respuestas de formulario 1'!L539="""","""",TO_TEXT('Respuestas de formulario 1'!L539))"),"")</f>
        <v/>
      </c>
      <c r="M539" s="7" t="str">
        <f>IFERROR(__xludf.DUMMYFUNCTION("IF('Respuestas de formulario 1'!M539="""","""",TO_TEXT('Respuestas de formulario 1'!M539))"),"")</f>
        <v/>
      </c>
      <c r="N539" s="7">
        <f t="shared" si="1"/>
        <v>2024</v>
      </c>
      <c r="O539" s="7" t="str">
        <f t="shared" si="2"/>
        <v>mayo</v>
      </c>
      <c r="P539" s="7" t="s">
        <v>5264</v>
      </c>
    </row>
    <row r="540">
      <c r="A540" s="19">
        <f>'Respuestas de formulario 1'!A540</f>
        <v>45422.33087</v>
      </c>
      <c r="B540" s="7" t="str">
        <f>'Respuestas de formulario 1'!B540</f>
        <v>Kerkebe</v>
      </c>
      <c r="C540" s="7" t="str">
        <f>'Respuestas de formulario 1'!C540</f>
        <v>Jorge Adrián</v>
      </c>
      <c r="D540" s="7" t="str">
        <f>'Respuestas de formulario 1'!D540</f>
        <v>jkerkebe@mac.com</v>
      </c>
      <c r="E540" s="20">
        <f>'Respuestas de formulario 1'!E540</f>
        <v>28725</v>
      </c>
      <c r="F540" s="7">
        <f>'Respuestas de formulario 1'!F540</f>
        <v>26903086</v>
      </c>
      <c r="G540" s="7" t="str">
        <f>IFERROR(__xludf.DUMMYFUNCTION("IF('Respuestas de formulario 1'!G540="""","""",IF(LEFT(REGEXREPLACE(TO_TEXT('Respuestas de formulario 1'!G540),""[^0-9]"",""""),2)=""54"",""+""&amp;REGEXREPLACE(TO_TEXT('Respuestas de formulario 1'!G540),""[^0-9]"",""""),""+54""&amp;REGEXREPLACE(TO_TEXT('Respuest"&amp;"as de formulario 1'!G540),""[^0-9]"","""")))"),"+543515116201")</f>
        <v>+543515116201</v>
      </c>
      <c r="H540" s="7">
        <f>'Respuestas de formulario 1'!S540</f>
        <v>2024</v>
      </c>
      <c r="I540" s="7" t="str">
        <f>IFERROR(__xludf.DUMMYFUNCTION("IF('Respuestas de formulario 1'!I540="""","""",TO_TEXT('Respuestas de formulario 1'!I540))"),"Particular")</f>
        <v>Particular</v>
      </c>
      <c r="J540" s="7" t="str">
        <f>IFERROR(__xludf.DUMMYFUNCTION("IF('Respuestas de formulario 1'!J540&lt;&gt;"""",UPPER(TRIM(TO_TEXT('Respuestas de formulario 1'!J540))),IF('Respuestas de formulario 1'!O540&lt;&gt;"""",UPPER(TRIM(TO_TEXT('Respuestas de formulario 1'!O540))),""""))"),"")</f>
        <v/>
      </c>
      <c r="K540" s="7" t="str">
        <f>IFERROR(__xludf.DUMMYFUNCTION("IF('Respuestas de formulario 1'!K540="""","""",TO_TEXT('Respuestas de formulario 1'!K540))"),"Si")</f>
        <v>Si</v>
      </c>
      <c r="L540" s="7" t="str">
        <f>IFERROR(__xludf.DUMMYFUNCTION("IF('Respuestas de formulario 1'!L540="""","""",TO_TEXT('Respuestas de formulario 1'!L540))"),"Fútbol")</f>
        <v>Fútbol</v>
      </c>
      <c r="M540" s="7" t="str">
        <f>IFERROR(__xludf.DUMMYFUNCTION("IF('Respuestas de formulario 1'!M540="""","""",TO_TEXT('Respuestas de formulario 1'!M540))"),"3 a 5 veces por semana")</f>
        <v>3 a 5 veces por semana</v>
      </c>
      <c r="N540" s="7">
        <f t="shared" si="1"/>
        <v>2024</v>
      </c>
      <c r="O540" s="7" t="str">
        <f t="shared" si="2"/>
        <v>mayo</v>
      </c>
      <c r="P540" s="7" t="s">
        <v>5266</v>
      </c>
    </row>
    <row r="541">
      <c r="A541" s="19">
        <f>'Respuestas de formulario 1'!A541</f>
        <v>45425.82092</v>
      </c>
      <c r="B541" s="7" t="str">
        <f>'Respuestas de formulario 1'!B541</f>
        <v>Desposito</v>
      </c>
      <c r="C541" s="7" t="str">
        <f>'Respuestas de formulario 1'!C541</f>
        <v>Hernán</v>
      </c>
      <c r="D541" s="7" t="str">
        <f>'Respuestas de formulario 1'!D541</f>
        <v>Hernandesposito@hotmail.com</v>
      </c>
      <c r="E541" s="20">
        <f>'Respuestas de formulario 1'!E541</f>
        <v>33772</v>
      </c>
      <c r="F541" s="7">
        <f>'Respuestas de formulario 1'!F541</f>
        <v>36355806</v>
      </c>
      <c r="G541" s="7" t="str">
        <f>IFERROR(__xludf.DUMMYFUNCTION("IF('Respuestas de formulario 1'!G541="""","""",IF(LEFT(REGEXREPLACE(TO_TEXT('Respuestas de formulario 1'!G541),""[^0-9]"",""""),2)=""54"",""+""&amp;REGEXREPLACE(TO_TEXT('Respuestas de formulario 1'!G541),""[^0-9]"",""""),""+54""&amp;REGEXREPLACE(TO_TEXT('Respuest"&amp;"as de formulario 1'!G541),""[^0-9]"","""")))"),"+543512594972")</f>
        <v>+543512594972</v>
      </c>
      <c r="H541" s="7">
        <f>'Respuestas de formulario 1'!S541</f>
        <v>2024</v>
      </c>
      <c r="I541" s="7" t="str">
        <f>IFERROR(__xludf.DUMMYFUNCTION("IF('Respuestas de formulario 1'!I541="""","""",TO_TEXT('Respuestas de formulario 1'!I541))"),"Particular")</f>
        <v>Particular</v>
      </c>
      <c r="J541" s="7" t="str">
        <f>IFERROR(__xludf.DUMMYFUNCTION("IF('Respuestas de formulario 1'!J541&lt;&gt;"""",UPPER(TRIM(TO_TEXT('Respuestas de formulario 1'!J541))),IF('Respuestas de formulario 1'!O541&lt;&gt;"""",UPPER(TRIM(TO_TEXT('Respuestas de formulario 1'!O541))),""""))"),"")</f>
        <v/>
      </c>
      <c r="K541" s="7" t="str">
        <f>IFERROR(__xludf.DUMMYFUNCTION("IF('Respuestas de formulario 1'!K541="""","""",TO_TEXT('Respuestas de formulario 1'!K541))"),"Si")</f>
        <v>Si</v>
      </c>
      <c r="L541" s="7" t="str">
        <f>IFERROR(__xludf.DUMMYFUNCTION("IF('Respuestas de formulario 1'!L541="""","""",TO_TEXT('Respuestas de formulario 1'!L541))"),"Musculacion")</f>
        <v>Musculacion</v>
      </c>
      <c r="M541" s="7" t="str">
        <f>IFERROR(__xludf.DUMMYFUNCTION("IF('Respuestas de formulario 1'!M541="""","""",TO_TEXT('Respuestas de formulario 1'!M541))"),"6 a 7 veces por semana")</f>
        <v>6 a 7 veces por semana</v>
      </c>
      <c r="N541" s="7">
        <f t="shared" si="1"/>
        <v>2024</v>
      </c>
      <c r="O541" s="7" t="str">
        <f t="shared" si="2"/>
        <v>mayo</v>
      </c>
      <c r="P541" s="7" t="s">
        <v>5268</v>
      </c>
    </row>
    <row r="542">
      <c r="A542" s="19">
        <f>'Respuestas de formulario 1'!A542</f>
        <v>45427.50251</v>
      </c>
      <c r="B542" s="7" t="str">
        <f>'Respuestas de formulario 1'!B542</f>
        <v>Martinez</v>
      </c>
      <c r="C542" s="7" t="str">
        <f>'Respuestas de formulario 1'!C542</f>
        <v>Gonzalo</v>
      </c>
      <c r="D542" s="7" t="str">
        <f>'Respuestas de formulario 1'!D542</f>
        <v>arq.martinezgonzalo@gmail.com</v>
      </c>
      <c r="E542" s="20">
        <f>'Respuestas de formulario 1'!E542</f>
        <v>30372</v>
      </c>
      <c r="F542" s="7">
        <f>'Respuestas de formulario 1'!F542</f>
        <v>30121686</v>
      </c>
      <c r="G542" s="7" t="str">
        <f>IFERROR(__xludf.DUMMYFUNCTION("IF('Respuestas de formulario 1'!G542="""","""",IF(LEFT(REGEXREPLACE(TO_TEXT('Respuestas de formulario 1'!G542),""[^0-9]"",""""),2)=""54"",""+""&amp;REGEXREPLACE(TO_TEXT('Respuestas de formulario 1'!G542),""[^0-9]"",""""),""+54""&amp;REGEXREPLACE(TO_TEXT('Respuest"&amp;"as de formulario 1'!G542),""[^0-9]"","""")))"),"+543513880924")</f>
        <v>+543513880924</v>
      </c>
      <c r="H542" s="7">
        <f>'Respuestas de formulario 1'!S542</f>
        <v>2024</v>
      </c>
      <c r="I542" s="7" t="str">
        <f>IFERROR(__xludf.DUMMYFUNCTION("IF('Respuestas de formulario 1'!I542="""","""",TO_TEXT('Respuestas de formulario 1'!I542))"),"Obra social")</f>
        <v>Obra social</v>
      </c>
      <c r="J542" s="7" t="str">
        <f>IFERROR(__xludf.DUMMYFUNCTION("IF('Respuestas de formulario 1'!J542&lt;&gt;"""",UPPER(TRIM(TO_TEXT('Respuestas de formulario 1'!J542))),IF('Respuestas de formulario 1'!O542&lt;&gt;"""",UPPER(TRIM(TO_TEXT('Respuestas de formulario 1'!O542))),""""))"),"SANCOR")</f>
        <v>SANCOR</v>
      </c>
      <c r="K542" s="7" t="str">
        <f>IFERROR(__xludf.DUMMYFUNCTION("IF('Respuestas de formulario 1'!K542="""","""",TO_TEXT('Respuestas de formulario 1'!K542))"),"Si")</f>
        <v>Si</v>
      </c>
      <c r="L542" s="7" t="str">
        <f>IFERROR(__xludf.DUMMYFUNCTION("IF('Respuestas de formulario 1'!L542="""","""",TO_TEXT('Respuestas de formulario 1'!L542))"),"Gimnasio")</f>
        <v>Gimnasio</v>
      </c>
      <c r="M542" s="7" t="str">
        <f>IFERROR(__xludf.DUMMYFUNCTION("IF('Respuestas de formulario 1'!M542="""","""",TO_TEXT('Respuestas de formulario 1'!M542))"),"1 a 2 veces por semana")</f>
        <v>1 a 2 veces por semana</v>
      </c>
      <c r="N542" s="7">
        <f t="shared" si="1"/>
        <v>2024</v>
      </c>
      <c r="O542" s="7" t="str">
        <f t="shared" si="2"/>
        <v>mayo</v>
      </c>
      <c r="P542" s="7" t="s">
        <v>5270</v>
      </c>
    </row>
    <row r="543">
      <c r="A543" s="19">
        <f>'Respuestas de formulario 1'!A543</f>
        <v>45429.40182</v>
      </c>
      <c r="B543" s="7" t="str">
        <f>'Respuestas de formulario 1'!B543</f>
        <v>BALZI</v>
      </c>
      <c r="C543" s="7" t="str">
        <f>'Respuestas de formulario 1'!C543</f>
        <v>SANTINO</v>
      </c>
      <c r="D543" s="7" t="str">
        <f>'Respuestas de formulario 1'!D543</f>
        <v>meguanziroli@unc.edu.ar</v>
      </c>
      <c r="E543" s="20">
        <f>'Respuestas de formulario 1'!E543</f>
        <v>40516</v>
      </c>
      <c r="F543" s="7">
        <f>'Respuestas de formulario 1'!F543</f>
        <v>50627674</v>
      </c>
      <c r="G543" s="7" t="str">
        <f>IFERROR(__xludf.DUMMYFUNCTION("IF('Respuestas de formulario 1'!G543="""","""",IF(LEFT(REGEXREPLACE(TO_TEXT('Respuestas de formulario 1'!G543),""[^0-9]"",""""),2)=""54"",""+""&amp;REGEXREPLACE(TO_TEXT('Respuestas de formulario 1'!G543),""[^0-9]"",""""),""+54""&amp;REGEXREPLACE(TO_TEXT('Respuest"&amp;"as de formulario 1'!G543),""[^0-9]"","""")))"),"+543516327965")</f>
        <v>+543516327965</v>
      </c>
      <c r="H543" s="7">
        <f>'Respuestas de formulario 1'!S543</f>
        <v>2024</v>
      </c>
      <c r="I543" s="7" t="str">
        <f>IFERROR(__xludf.DUMMYFUNCTION("IF('Respuestas de formulario 1'!I543="""","""",TO_TEXT('Respuestas de formulario 1'!I543))"),"Obra social")</f>
        <v>Obra social</v>
      </c>
      <c r="J543" s="7" t="str">
        <f>IFERROR(__xludf.DUMMYFUNCTION("IF('Respuestas de formulario 1'!J543&lt;&gt;"""",UPPER(TRIM(TO_TEXT('Respuestas de formulario 1'!J543))),IF('Respuestas de formulario 1'!O543&lt;&gt;"""",UPPER(TRIM(TO_TEXT('Respuestas de formulario 1'!O543))),""""))"),"DASPU")</f>
        <v>DASPU</v>
      </c>
      <c r="K543" s="7" t="str">
        <f>IFERROR(__xludf.DUMMYFUNCTION("IF('Respuestas de formulario 1'!K543="""","""",TO_TEXT('Respuestas de formulario 1'!K543))"),"Si")</f>
        <v>Si</v>
      </c>
      <c r="L543" s="7" t="str">
        <f>IFERROR(__xludf.DUMMYFUNCTION("IF('Respuestas de formulario 1'!L543="""","""",TO_TEXT('Respuestas de formulario 1'!L543))"),"Fútbol")</f>
        <v>Fútbol</v>
      </c>
      <c r="M543" s="7" t="str">
        <f>IFERROR(__xludf.DUMMYFUNCTION("IF('Respuestas de formulario 1'!M543="""","""",TO_TEXT('Respuestas de formulario 1'!M543))"),"3 a 5 veces por semana")</f>
        <v>3 a 5 veces por semana</v>
      </c>
      <c r="N543" s="7">
        <f t="shared" si="1"/>
        <v>2024</v>
      </c>
      <c r="O543" s="7" t="str">
        <f t="shared" si="2"/>
        <v>mayo</v>
      </c>
      <c r="P543" s="7" t="s">
        <v>5272</v>
      </c>
    </row>
    <row r="544">
      <c r="A544" s="19">
        <f>'Respuestas de formulario 1'!A544</f>
        <v>45430.54052</v>
      </c>
      <c r="B544" s="7" t="str">
        <f>'Respuestas de formulario 1'!B544</f>
        <v>Maccio</v>
      </c>
      <c r="C544" s="7" t="str">
        <f>'Respuestas de formulario 1'!C544</f>
        <v>Matias</v>
      </c>
      <c r="D544" s="7" t="str">
        <f>'Respuestas de formulario 1'!D544</f>
        <v>maccio.matias@gmail.com</v>
      </c>
      <c r="E544" s="20">
        <f>'Respuestas de formulario 1'!E544</f>
        <v>33524</v>
      </c>
      <c r="F544" s="7">
        <f>'Respuestas de formulario 1'!F544</f>
        <v>36141330</v>
      </c>
      <c r="G544" s="7" t="str">
        <f>IFERROR(__xludf.DUMMYFUNCTION("IF('Respuestas de formulario 1'!G544="""","""",IF(LEFT(REGEXREPLACE(TO_TEXT('Respuestas de formulario 1'!G544),""[^0-9]"",""""),2)=""54"",""+""&amp;REGEXREPLACE(TO_TEXT('Respuestas de formulario 1'!G544),""[^0-9]"",""""),""+54""&amp;REGEXREPLACE(TO_TEXT('Respuest"&amp;"as de formulario 1'!G544),""[^0-9]"","""")))"),"+543517630449")</f>
        <v>+543517630449</v>
      </c>
      <c r="H544" s="7">
        <f>'Respuestas de formulario 1'!S544</f>
        <v>2024</v>
      </c>
      <c r="I544" s="7" t="str">
        <f>IFERROR(__xludf.DUMMYFUNCTION("IF('Respuestas de formulario 1'!I544="""","""",TO_TEXT('Respuestas de formulario 1'!I544))"),"Particular")</f>
        <v>Particular</v>
      </c>
      <c r="J544" s="7" t="str">
        <f>IFERROR(__xludf.DUMMYFUNCTION("IF('Respuestas de formulario 1'!J544&lt;&gt;"""",UPPER(TRIM(TO_TEXT('Respuestas de formulario 1'!J544))),IF('Respuestas de formulario 1'!O544&lt;&gt;"""",UPPER(TRIM(TO_TEXT('Respuestas de formulario 1'!O544))),""""))"),"")</f>
        <v/>
      </c>
      <c r="K544" s="7" t="str">
        <f>IFERROR(__xludf.DUMMYFUNCTION("IF('Respuestas de formulario 1'!K544="""","""",TO_TEXT('Respuestas de formulario 1'!K544))"),"No")</f>
        <v>No</v>
      </c>
      <c r="L544" s="7" t="str">
        <f>IFERROR(__xludf.DUMMYFUNCTION("IF('Respuestas de formulario 1'!L544="""","""",TO_TEXT('Respuestas de formulario 1'!L544))"),"")</f>
        <v/>
      </c>
      <c r="M544" s="7" t="str">
        <f>IFERROR(__xludf.DUMMYFUNCTION("IF('Respuestas de formulario 1'!M544="""","""",TO_TEXT('Respuestas de formulario 1'!M544))"),"")</f>
        <v/>
      </c>
      <c r="N544" s="7">
        <f t="shared" si="1"/>
        <v>2024</v>
      </c>
      <c r="O544" s="7" t="str">
        <f t="shared" si="2"/>
        <v>mayo</v>
      </c>
      <c r="P544" s="7" t="s">
        <v>5274</v>
      </c>
    </row>
    <row r="545">
      <c r="A545" s="19">
        <f>'Respuestas de formulario 1'!A545</f>
        <v>45432.73453</v>
      </c>
      <c r="B545" s="7" t="str">
        <f>'Respuestas de formulario 1'!B545</f>
        <v>Lazaro</v>
      </c>
      <c r="C545" s="7" t="str">
        <f>'Respuestas de formulario 1'!C545</f>
        <v>Dardo omar</v>
      </c>
      <c r="D545" s="7" t="str">
        <f>'Respuestas de formulario 1'!D545</f>
        <v>creacion3204@gmail.com</v>
      </c>
      <c r="E545" s="20">
        <f>'Respuestas de formulario 1'!E545</f>
        <v>21666</v>
      </c>
      <c r="F545" s="7">
        <f>'Respuestas de formulario 1'!F545</f>
        <v>13036471</v>
      </c>
      <c r="G545" s="7" t="str">
        <f>IFERROR(__xludf.DUMMYFUNCTION("IF('Respuestas de formulario 1'!G545="""","""",IF(LEFT(REGEXREPLACE(TO_TEXT('Respuestas de formulario 1'!G545),""[^0-9]"",""""),2)=""54"",""+""&amp;REGEXREPLACE(TO_TEXT('Respuestas de formulario 1'!G545),""[^0-9]"",""""),""+54""&amp;REGEXREPLACE(TO_TEXT('Respuest"&amp;"as de formulario 1'!G545),""[^0-9]"","""")))"),"+542944606553")</f>
        <v>+542944606553</v>
      </c>
      <c r="H545" s="7">
        <f>'Respuestas de formulario 1'!S545</f>
        <v>2024</v>
      </c>
      <c r="I545" s="7" t="str">
        <f>IFERROR(__xludf.DUMMYFUNCTION("IF('Respuestas de formulario 1'!I545="""","""",TO_TEXT('Respuestas de formulario 1'!I545))"),"Obra social")</f>
        <v>Obra social</v>
      </c>
      <c r="J545" s="7" t="str">
        <f>IFERROR(__xludf.DUMMYFUNCTION("IF('Respuestas de formulario 1'!J545&lt;&gt;"""",UPPER(TRIM(TO_TEXT('Respuestas de formulario 1'!J545))),IF('Respuestas de formulario 1'!O545&lt;&gt;"""",UPPER(TRIM(TO_TEXT('Respuestas de formulario 1'!O545))),""""))"),"APROSS")</f>
        <v>APROSS</v>
      </c>
      <c r="K545" s="7" t="str">
        <f>IFERROR(__xludf.DUMMYFUNCTION("IF('Respuestas de formulario 1'!K545="""","""",TO_TEXT('Respuestas de formulario 1'!K545))"),"Si")</f>
        <v>Si</v>
      </c>
      <c r="L545" s="7" t="str">
        <f>IFERROR(__xludf.DUMMYFUNCTION("IF('Respuestas de formulario 1'!L545="""","""",TO_TEXT('Respuestas de formulario 1'!L545))"),"Newcom")</f>
        <v>Newcom</v>
      </c>
      <c r="M545" s="7" t="str">
        <f>IFERROR(__xludf.DUMMYFUNCTION("IF('Respuestas de formulario 1'!M545="""","""",TO_TEXT('Respuestas de formulario 1'!M545))"),"3 a 5 veces por semana")</f>
        <v>3 a 5 veces por semana</v>
      </c>
      <c r="N545" s="7">
        <f t="shared" si="1"/>
        <v>2024</v>
      </c>
      <c r="O545" s="7" t="str">
        <f t="shared" si="2"/>
        <v>mayo</v>
      </c>
      <c r="P545" s="7" t="s">
        <v>5276</v>
      </c>
    </row>
    <row r="546">
      <c r="A546" s="19">
        <f>'Respuestas de formulario 1'!A546</f>
        <v>45432.74345</v>
      </c>
      <c r="B546" s="7" t="str">
        <f>'Respuestas de formulario 1'!B546</f>
        <v>Pappalardo</v>
      </c>
      <c r="C546" s="7" t="str">
        <f>'Respuestas de formulario 1'!C546</f>
        <v>Juan</v>
      </c>
      <c r="D546" s="7" t="str">
        <f>'Respuestas de formulario 1'!D546</f>
        <v>pappalardoj@gmail.com</v>
      </c>
      <c r="E546" s="20">
        <f>'Respuestas de formulario 1'!E546</f>
        <v>16826</v>
      </c>
      <c r="F546" s="7">
        <f>'Respuestas de formulario 1'!F546</f>
        <v>7986243</v>
      </c>
      <c r="G546" s="7" t="str">
        <f>IFERROR(__xludf.DUMMYFUNCTION("IF('Respuestas de formulario 1'!G546="""","""",IF(LEFT(REGEXREPLACE(TO_TEXT('Respuestas de formulario 1'!G546),""[^0-9]"",""""),2)=""54"",""+""&amp;REGEXREPLACE(TO_TEXT('Respuestas de formulario 1'!G546),""[^0-9]"",""""),""+54""&amp;REGEXREPLACE(TO_TEXT('Respuest"&amp;"as de formulario 1'!G546),""[^0-9]"","""")))"),"+543516371481")</f>
        <v>+543516371481</v>
      </c>
      <c r="H546" s="7">
        <f>'Respuestas de formulario 1'!S546</f>
        <v>2024</v>
      </c>
      <c r="I546" s="7" t="str">
        <f>IFERROR(__xludf.DUMMYFUNCTION("IF('Respuestas de formulario 1'!I546="""","""",TO_TEXT('Respuestas de formulario 1'!I546))"),"Obra social")</f>
        <v>Obra social</v>
      </c>
      <c r="J546" s="7" t="str">
        <f>IFERROR(__xludf.DUMMYFUNCTION("IF('Respuestas de formulario 1'!J546&lt;&gt;"""",UPPER(TRIM(TO_TEXT('Respuestas de formulario 1'!J546))),IF('Respuestas de formulario 1'!O546&lt;&gt;"""",UPPER(TRIM(TO_TEXT('Respuestas de formulario 1'!O546))),""""))"),"AVALIAN")</f>
        <v>AVALIAN</v>
      </c>
      <c r="K546" s="7" t="str">
        <f>IFERROR(__xludf.DUMMYFUNCTION("IF('Respuestas de formulario 1'!K546="""","""",TO_TEXT('Respuestas de formulario 1'!K546))"),"Si")</f>
        <v>Si</v>
      </c>
      <c r="L546" s="7" t="str">
        <f>IFERROR(__xludf.DUMMYFUNCTION("IF('Respuestas de formulario 1'!L546="""","""",TO_TEXT('Respuestas de formulario 1'!L546))"),"Caminata")</f>
        <v>Caminata</v>
      </c>
      <c r="M546" s="7" t="str">
        <f>IFERROR(__xludf.DUMMYFUNCTION("IF('Respuestas de formulario 1'!M546="""","""",TO_TEXT('Respuestas de formulario 1'!M546))"),"3 a 5 veces por semana")</f>
        <v>3 a 5 veces por semana</v>
      </c>
      <c r="N546" s="7">
        <f t="shared" si="1"/>
        <v>2024</v>
      </c>
      <c r="O546" s="7" t="str">
        <f t="shared" si="2"/>
        <v>mayo</v>
      </c>
      <c r="P546" s="7" t="s">
        <v>5278</v>
      </c>
    </row>
    <row r="547">
      <c r="A547" s="19">
        <f>'Respuestas de formulario 1'!A547</f>
        <v>45433.83673</v>
      </c>
      <c r="B547" s="7" t="str">
        <f>'Respuestas de formulario 1'!B547</f>
        <v>Giovannoni caminos</v>
      </c>
      <c r="C547" s="7" t="str">
        <f>'Respuestas de formulario 1'!C547</f>
        <v>Graciela maria</v>
      </c>
      <c r="D547" s="7" t="str">
        <f>'Respuestas de formulario 1'!D547</f>
        <v>Sivinnca@gmail.com</v>
      </c>
      <c r="E547" s="20">
        <f>'Respuestas de formulario 1'!E547</f>
        <v>24800</v>
      </c>
      <c r="F547" s="7">
        <f>'Respuestas de formulario 1'!F547</f>
        <v>18607619</v>
      </c>
      <c r="G547" s="7" t="str">
        <f>IFERROR(__xludf.DUMMYFUNCTION("IF('Respuestas de formulario 1'!G547="""","""",IF(LEFT(REGEXREPLACE(TO_TEXT('Respuestas de formulario 1'!G547),""[^0-9]"",""""),2)=""54"",""+""&amp;REGEXREPLACE(TO_TEXT('Respuestas de formulario 1'!G547),""[^0-9]"",""""),""+54""&amp;REGEXREPLACE(TO_TEXT('Respuest"&amp;"as de formulario 1'!G547),""[^0-9]"","""")))"),"+543415779654")</f>
        <v>+543415779654</v>
      </c>
      <c r="H547" s="7">
        <f>'Respuestas de formulario 1'!S547</f>
        <v>2024</v>
      </c>
      <c r="I547" s="7" t="str">
        <f>IFERROR(__xludf.DUMMYFUNCTION("IF('Respuestas de formulario 1'!I547="""","""",TO_TEXT('Respuestas de formulario 1'!I547))"),"Particular")</f>
        <v>Particular</v>
      </c>
      <c r="J547" s="7" t="str">
        <f>IFERROR(__xludf.DUMMYFUNCTION("IF('Respuestas de formulario 1'!J547&lt;&gt;"""",UPPER(TRIM(TO_TEXT('Respuestas de formulario 1'!J547))),IF('Respuestas de formulario 1'!O547&lt;&gt;"""",UPPER(TRIM(TO_TEXT('Respuestas de formulario 1'!O547))),""""))"),"")</f>
        <v/>
      </c>
      <c r="K547" s="7" t="str">
        <f>IFERROR(__xludf.DUMMYFUNCTION("IF('Respuestas de formulario 1'!K547="""","""",TO_TEXT('Respuestas de formulario 1'!K547))"),"Si")</f>
        <v>Si</v>
      </c>
      <c r="L547" s="7" t="str">
        <f>IFERROR(__xludf.DUMMYFUNCTION("IF('Respuestas de formulario 1'!L547="""","""",TO_TEXT('Respuestas de formulario 1'!L547))"),"Gimnasio")</f>
        <v>Gimnasio</v>
      </c>
      <c r="M547" s="7" t="str">
        <f>IFERROR(__xludf.DUMMYFUNCTION("IF('Respuestas de formulario 1'!M547="""","""",TO_TEXT('Respuestas de formulario 1'!M547))"),"3 a 5 veces por semana")</f>
        <v>3 a 5 veces por semana</v>
      </c>
      <c r="N547" s="7">
        <f t="shared" si="1"/>
        <v>2024</v>
      </c>
      <c r="O547" s="7" t="str">
        <f t="shared" si="2"/>
        <v>mayo</v>
      </c>
      <c r="P547" s="7" t="s">
        <v>5280</v>
      </c>
    </row>
    <row r="548">
      <c r="A548" s="19">
        <f>'Respuestas de formulario 1'!A548</f>
        <v>45434.44501</v>
      </c>
      <c r="B548" s="7" t="str">
        <f>'Respuestas de formulario 1'!B548</f>
        <v>Beltran Lanfranconi </v>
      </c>
      <c r="C548" s="7" t="str">
        <f>'Respuestas de formulario 1'!C548</f>
        <v>Tatiana </v>
      </c>
      <c r="D548" s="7" t="str">
        <f>'Respuestas de formulario 1'!D548</f>
        <v>tatibeltran1112@gmail.com</v>
      </c>
      <c r="E548" s="20">
        <f>'Respuestas de formulario 1'!E548</f>
        <v>-668313</v>
      </c>
      <c r="F548" s="7">
        <f>'Respuestas de formulario 1'!F548</f>
        <v>21395884</v>
      </c>
      <c r="G548" s="7" t="str">
        <f>IFERROR(__xludf.DUMMYFUNCTION("IF('Respuestas de formulario 1'!G548="""","""",IF(LEFT(REGEXREPLACE(TO_TEXT('Respuestas de formulario 1'!G548),""[^0-9]"",""""),2)=""54"",""+""&amp;REGEXREPLACE(TO_TEXT('Respuestas de formulario 1'!G548),""[^0-9]"",""""),""+54""&amp;REGEXREPLACE(TO_TEXT('Respuest"&amp;"as de formulario 1'!G548),""[^0-9]"","""")))"),"+543517678122")</f>
        <v>+543517678122</v>
      </c>
      <c r="H548" s="7">
        <f>'Respuestas de formulario 1'!S548</f>
        <v>2024</v>
      </c>
      <c r="I548" s="7" t="str">
        <f>IFERROR(__xludf.DUMMYFUNCTION("IF('Respuestas de formulario 1'!I548="""","""",TO_TEXT('Respuestas de formulario 1'!I548))"),"Obra social")</f>
        <v>Obra social</v>
      </c>
      <c r="J548" s="7" t="str">
        <f>IFERROR(__xludf.DUMMYFUNCTION("IF('Respuestas de formulario 1'!J548&lt;&gt;"""",UPPER(TRIM(TO_TEXT('Respuestas de formulario 1'!J548))),IF('Respuestas de formulario 1'!O548&lt;&gt;"""",UPPER(TRIM(TO_TEXT('Respuestas de formulario 1'!O548))),""""))"),"APROSS")</f>
        <v>APROSS</v>
      </c>
      <c r="K548" s="7" t="str">
        <f>IFERROR(__xludf.DUMMYFUNCTION("IF('Respuestas de formulario 1'!K548="""","""",TO_TEXT('Respuestas de formulario 1'!K548))"),"No")</f>
        <v>No</v>
      </c>
      <c r="L548" s="7" t="str">
        <f>IFERROR(__xludf.DUMMYFUNCTION("IF('Respuestas de formulario 1'!L548="""","""",TO_TEXT('Respuestas de formulario 1'!L548))"),"")</f>
        <v/>
      </c>
      <c r="M548" s="7" t="str">
        <f>IFERROR(__xludf.DUMMYFUNCTION("IF('Respuestas de formulario 1'!M548="""","""",TO_TEXT('Respuestas de formulario 1'!M548))"),"")</f>
        <v/>
      </c>
      <c r="N548" s="7">
        <f t="shared" si="1"/>
        <v>2024</v>
      </c>
      <c r="O548" s="7" t="str">
        <f t="shared" si="2"/>
        <v>mayo</v>
      </c>
      <c r="P548" s="7" t="s">
        <v>5282</v>
      </c>
    </row>
    <row r="549">
      <c r="A549" s="19">
        <f>'Respuestas de formulario 1'!A549</f>
        <v>45434.73883</v>
      </c>
      <c r="B549" s="7" t="str">
        <f>'Respuestas de formulario 1'!B549</f>
        <v>Munch Rabanal</v>
      </c>
      <c r="C549" s="7" t="str">
        <f>'Respuestas de formulario 1'!C549</f>
        <v>Oriana</v>
      </c>
      <c r="D549" s="7" t="str">
        <f>'Respuestas de formulario 1'!D549</f>
        <v>Sandrarz19@gmail.com </v>
      </c>
      <c r="E549" s="20">
        <f>'Respuestas de formulario 1'!E549</f>
        <v>41047</v>
      </c>
      <c r="F549" s="7">
        <f>'Respuestas de formulario 1'!F549</f>
        <v>52210081</v>
      </c>
      <c r="G549" s="7" t="str">
        <f>IFERROR(__xludf.DUMMYFUNCTION("IF('Respuestas de formulario 1'!G549="""","""",IF(LEFT(REGEXREPLACE(TO_TEXT('Respuestas de formulario 1'!G549),""[^0-9]"",""""),2)=""54"",""+""&amp;REGEXREPLACE(TO_TEXT('Respuestas de formulario 1'!G549),""[^0-9]"",""""),""+54""&amp;REGEXREPLACE(TO_TEXT('Respuest"&amp;"as de formulario 1'!G549),""[^0-9]"","""")))"),"+543516332430")</f>
        <v>+543516332430</v>
      </c>
      <c r="H549" s="7">
        <f>'Respuestas de formulario 1'!S549</f>
        <v>2024</v>
      </c>
      <c r="I549" s="7" t="str">
        <f>IFERROR(__xludf.DUMMYFUNCTION("IF('Respuestas de formulario 1'!I549="""","""",TO_TEXT('Respuestas de formulario 1'!I549))"),"Particular")</f>
        <v>Particular</v>
      </c>
      <c r="J549" s="7" t="str">
        <f>IFERROR(__xludf.DUMMYFUNCTION("IF('Respuestas de formulario 1'!J549&lt;&gt;"""",UPPER(TRIM(TO_TEXT('Respuestas de formulario 1'!J549))),IF('Respuestas de formulario 1'!O549&lt;&gt;"""",UPPER(TRIM(TO_TEXT('Respuestas de formulario 1'!O549))),""""))"),"")</f>
        <v/>
      </c>
      <c r="K549" s="7" t="str">
        <f>IFERROR(__xludf.DUMMYFUNCTION("IF('Respuestas de formulario 1'!K549="""","""",TO_TEXT('Respuestas de formulario 1'!K549))"),"Si")</f>
        <v>Si</v>
      </c>
      <c r="L549" s="7" t="str">
        <f>IFERROR(__xludf.DUMMYFUNCTION("IF('Respuestas de formulario 1'!L549="""","""",TO_TEXT('Respuestas de formulario 1'!L549))"),"Acrotela")</f>
        <v>Acrotela</v>
      </c>
      <c r="M549" s="7" t="str">
        <f>IFERROR(__xludf.DUMMYFUNCTION("IF('Respuestas de formulario 1'!M549="""","""",TO_TEXT('Respuestas de formulario 1'!M549))"),"3 a 5 veces por semana")</f>
        <v>3 a 5 veces por semana</v>
      </c>
      <c r="N549" s="7">
        <f t="shared" si="1"/>
        <v>2024</v>
      </c>
      <c r="O549" s="7" t="str">
        <f t="shared" si="2"/>
        <v>mayo</v>
      </c>
      <c r="P549" s="7" t="s">
        <v>5284</v>
      </c>
    </row>
    <row r="550">
      <c r="A550" s="19">
        <f>'Respuestas de formulario 1'!A550</f>
        <v>45434.74118</v>
      </c>
      <c r="B550" s="7" t="str">
        <f>'Respuestas de formulario 1'!B550</f>
        <v>Apfelbaum</v>
      </c>
      <c r="C550" s="7" t="str">
        <f>'Respuestas de formulario 1'!C550</f>
        <v>Julieta</v>
      </c>
      <c r="D550" s="7" t="str">
        <f>'Respuestas de formulario 1'!D550</f>
        <v>laura.herman1@gmail.com</v>
      </c>
      <c r="E550" s="20">
        <f>'Respuestas de formulario 1'!E550</f>
        <v>39513</v>
      </c>
      <c r="F550" s="7">
        <f>'Respuestas de formulario 1'!F550</f>
        <v>47819784</v>
      </c>
      <c r="G550" s="7" t="str">
        <f>IFERROR(__xludf.DUMMYFUNCTION("IF('Respuestas de formulario 1'!G550="""","""",IF(LEFT(REGEXREPLACE(TO_TEXT('Respuestas de formulario 1'!G550),""[^0-9]"",""""),2)=""54"",""+""&amp;REGEXREPLACE(TO_TEXT('Respuestas de formulario 1'!G550),""[^0-9]"",""""),""+54""&amp;REGEXREPLACE(TO_TEXT('Respuest"&amp;"as de formulario 1'!G550),""[^0-9]"","""")))"),"+543515913364")</f>
        <v>+543515913364</v>
      </c>
      <c r="H550" s="7">
        <f>'Respuestas de formulario 1'!S550</f>
        <v>2024</v>
      </c>
      <c r="I550" s="7" t="str">
        <f>IFERROR(__xludf.DUMMYFUNCTION("IF('Respuestas de formulario 1'!I550="""","""",TO_TEXT('Respuestas de formulario 1'!I550))"),"Obra social")</f>
        <v>Obra social</v>
      </c>
      <c r="J550" s="7" t="str">
        <f>IFERROR(__xludf.DUMMYFUNCTION("IF('Respuestas de formulario 1'!J550&lt;&gt;"""",UPPER(TRIM(TO_TEXT('Respuestas de formulario 1'!J550))),IF('Respuestas de formulario 1'!O550&lt;&gt;"""",UPPER(TRIM(TO_TEXT('Respuestas de formulario 1'!O550))),""""))"),"SANCOR")</f>
        <v>SANCOR</v>
      </c>
      <c r="K550" s="7" t="str">
        <f>IFERROR(__xludf.DUMMYFUNCTION("IF('Respuestas de formulario 1'!K550="""","""",TO_TEXT('Respuestas de formulario 1'!K550))"),"Si")</f>
        <v>Si</v>
      </c>
      <c r="L550" s="7" t="str">
        <f>IFERROR(__xludf.DUMMYFUNCTION("IF('Respuestas de formulario 1'!L550="""","""",TO_TEXT('Respuestas de formulario 1'!L550))"),"Fútbol")</f>
        <v>Fútbol</v>
      </c>
      <c r="M550" s="7" t="str">
        <f>IFERROR(__xludf.DUMMYFUNCTION("IF('Respuestas de formulario 1'!M550="""","""",TO_TEXT('Respuestas de formulario 1'!M550))"),"3 a 5 veces por semana")</f>
        <v>3 a 5 veces por semana</v>
      </c>
      <c r="N550" s="7">
        <f t="shared" si="1"/>
        <v>2024</v>
      </c>
      <c r="O550" s="7" t="str">
        <f t="shared" si="2"/>
        <v>mayo</v>
      </c>
      <c r="P550" s="7" t="s">
        <v>5286</v>
      </c>
    </row>
    <row r="551">
      <c r="A551" s="19">
        <f>'Respuestas de formulario 1'!A551</f>
        <v>45434.82096</v>
      </c>
      <c r="B551" s="7" t="str">
        <f>'Respuestas de formulario 1'!B551</f>
        <v>Reviglio</v>
      </c>
      <c r="C551" s="7" t="str">
        <f>'Respuestas de formulario 1'!C551</f>
        <v>Hilda</v>
      </c>
      <c r="D551" s="7" t="str">
        <f>'Respuestas de formulario 1'!D551</f>
        <v>cesarmg77@gmail.com</v>
      </c>
      <c r="E551" s="20">
        <f>'Respuestas de formulario 1'!E551</f>
        <v>17041</v>
      </c>
      <c r="F551" s="7">
        <f>'Respuestas de formulario 1'!F551</f>
        <v>5452578</v>
      </c>
      <c r="G551" s="7" t="str">
        <f>IFERROR(__xludf.DUMMYFUNCTION("IF('Respuestas de formulario 1'!G551="""","""",IF(LEFT(REGEXREPLACE(TO_TEXT('Respuestas de formulario 1'!G551),""[^0-9]"",""""),2)=""54"",""+""&amp;REGEXREPLACE(TO_TEXT('Respuestas de formulario 1'!G551),""[^0-9]"",""""),""+54""&amp;REGEXREPLACE(TO_TEXT('Respuest"&amp;"as de formulario 1'!G551),""[^0-9]"","""")))"),"+543516646943")</f>
        <v>+543516646943</v>
      </c>
      <c r="H551" s="7">
        <f>'Respuestas de formulario 1'!S551</f>
        <v>2024</v>
      </c>
      <c r="I551" s="7" t="str">
        <f>IFERROR(__xludf.DUMMYFUNCTION("IF('Respuestas de formulario 1'!I551="""","""",TO_TEXT('Respuestas de formulario 1'!I551))"),"Obra social")</f>
        <v>Obra social</v>
      </c>
      <c r="J551" s="7" t="str">
        <f>IFERROR(__xludf.DUMMYFUNCTION("IF('Respuestas de formulario 1'!J551&lt;&gt;"""",UPPER(TRIM(TO_TEXT('Respuestas de formulario 1'!J551))),IF('Respuestas de formulario 1'!O551&lt;&gt;"""",UPPER(TRIM(TO_TEXT('Respuestas de formulario 1'!O551))),""""))"),"APROSS")</f>
        <v>APROSS</v>
      </c>
      <c r="K551" s="7" t="str">
        <f>IFERROR(__xludf.DUMMYFUNCTION("IF('Respuestas de formulario 1'!K551="""","""",TO_TEXT('Respuestas de formulario 1'!K551))"),"No")</f>
        <v>No</v>
      </c>
      <c r="L551" s="7" t="str">
        <f>IFERROR(__xludf.DUMMYFUNCTION("IF('Respuestas de formulario 1'!L551="""","""",TO_TEXT('Respuestas de formulario 1'!L551))"),"")</f>
        <v/>
      </c>
      <c r="M551" s="7" t="str">
        <f>IFERROR(__xludf.DUMMYFUNCTION("IF('Respuestas de formulario 1'!M551="""","""",TO_TEXT('Respuestas de formulario 1'!M551))"),"")</f>
        <v/>
      </c>
      <c r="N551" s="7">
        <f t="shared" si="1"/>
        <v>2024</v>
      </c>
      <c r="O551" s="7" t="str">
        <f t="shared" si="2"/>
        <v>mayo</v>
      </c>
      <c r="P551" s="7" t="s">
        <v>5288</v>
      </c>
    </row>
    <row r="552">
      <c r="A552" s="19">
        <f>'Respuestas de formulario 1'!A552</f>
        <v>45436.85879</v>
      </c>
      <c r="B552" s="7" t="str">
        <f>'Respuestas de formulario 1'!B552</f>
        <v>Ferreyra</v>
      </c>
      <c r="C552" s="7" t="str">
        <f>'Respuestas de formulario 1'!C552</f>
        <v>Gonzalo</v>
      </c>
      <c r="D552" s="7" t="str">
        <f>'Respuestas de formulario 1'!D552</f>
        <v>Gonza_6944@hotmail.com </v>
      </c>
      <c r="E552" s="20">
        <f>'Respuestas de formulario 1'!E552</f>
        <v>32279</v>
      </c>
      <c r="F552" s="7">
        <f>'Respuestas de formulario 1'!F552</f>
        <v>33391389</v>
      </c>
      <c r="G552" s="7" t="str">
        <f>IFERROR(__xludf.DUMMYFUNCTION("IF('Respuestas de formulario 1'!G552="""","""",IF(LEFT(REGEXREPLACE(TO_TEXT('Respuestas de formulario 1'!G552),""[^0-9]"",""""),2)=""54"",""+""&amp;REGEXREPLACE(TO_TEXT('Respuestas de formulario 1'!G552),""[^0-9]"",""""),""+54""&amp;REGEXREPLACE(TO_TEXT('Respuest"&amp;"as de formulario 1'!G552),""[^0-9]"","""")))"),"+543572548472")</f>
        <v>+543572548472</v>
      </c>
      <c r="H552" s="7">
        <f>'Respuestas de formulario 1'!S552</f>
        <v>2024</v>
      </c>
      <c r="I552" s="7" t="str">
        <f>IFERROR(__xludf.DUMMYFUNCTION("IF('Respuestas de formulario 1'!I552="""","""",TO_TEXT('Respuestas de formulario 1'!I552))"),"Obra social")</f>
        <v>Obra social</v>
      </c>
      <c r="J552" s="7" t="str">
        <f>IFERROR(__xludf.DUMMYFUNCTION("IF('Respuestas de formulario 1'!J552&lt;&gt;"""",UPPER(TRIM(TO_TEXT('Respuestas de formulario 1'!J552))),IF('Respuestas de formulario 1'!O552&lt;&gt;"""",UPPER(TRIM(TO_TEXT('Respuestas de formulario 1'!O552))),""""))"),"PREVENCIÓN")</f>
        <v>PREVENCIÓN</v>
      </c>
      <c r="K552" s="7" t="str">
        <f>IFERROR(__xludf.DUMMYFUNCTION("IF('Respuestas de formulario 1'!K552="""","""",TO_TEXT('Respuestas de formulario 1'!K552))"),"Si")</f>
        <v>Si</v>
      </c>
      <c r="L552" s="7" t="str">
        <f>IFERROR(__xludf.DUMMYFUNCTION("IF('Respuestas de formulario 1'!L552="""","""",TO_TEXT('Respuestas de formulario 1'!L552))"),"Fútbol")</f>
        <v>Fútbol</v>
      </c>
      <c r="M552" s="7" t="str">
        <f>IFERROR(__xludf.DUMMYFUNCTION("IF('Respuestas de formulario 1'!M552="""","""",TO_TEXT('Respuestas de formulario 1'!M552))"),"3 a 5 veces por semana")</f>
        <v>3 a 5 veces por semana</v>
      </c>
      <c r="N552" s="7">
        <f t="shared" si="1"/>
        <v>2024</v>
      </c>
      <c r="O552" s="7" t="str">
        <f t="shared" si="2"/>
        <v>mayo</v>
      </c>
      <c r="P552" s="7" t="s">
        <v>5290</v>
      </c>
    </row>
    <row r="553">
      <c r="A553" s="19">
        <f>'Respuestas de formulario 1'!A553</f>
        <v>45439.66711</v>
      </c>
      <c r="B553" s="7" t="str">
        <f>'Respuestas de formulario 1'!B553</f>
        <v>Ercoli</v>
      </c>
      <c r="C553" s="7" t="str">
        <f>'Respuestas de formulario 1'!C553</f>
        <v>Matias</v>
      </c>
      <c r="D553" s="7" t="str">
        <f>'Respuestas de formulario 1'!D553</f>
        <v>matiasercoli95@gmail.com</v>
      </c>
      <c r="E553" s="20">
        <f>'Respuestas de formulario 1'!E553</f>
        <v>34751</v>
      </c>
      <c r="F553" s="7">
        <f>'Respuestas de formulario 1'!F553</f>
        <v>38984659</v>
      </c>
      <c r="G553" s="7" t="str">
        <f>IFERROR(__xludf.DUMMYFUNCTION("IF('Respuestas de formulario 1'!G553="""","""",IF(LEFT(REGEXREPLACE(TO_TEXT('Respuestas de formulario 1'!G553),""[^0-9]"",""""),2)=""54"",""+""&amp;REGEXREPLACE(TO_TEXT('Respuestas de formulario 1'!G553),""[^0-9]"",""""),""+54""&amp;REGEXREPLACE(TO_TEXT('Respuest"&amp;"as de formulario 1'!G553),""[^0-9]"","""")))"),"+543512727110")</f>
        <v>+543512727110</v>
      </c>
      <c r="H553" s="7">
        <f>'Respuestas de formulario 1'!S553</f>
        <v>2024</v>
      </c>
      <c r="I553" s="7" t="str">
        <f>IFERROR(__xludf.DUMMYFUNCTION("IF('Respuestas de formulario 1'!I553="""","""",TO_TEXT('Respuestas de formulario 1'!I553))"),"Particular")</f>
        <v>Particular</v>
      </c>
      <c r="J553" s="7" t="str">
        <f>IFERROR(__xludf.DUMMYFUNCTION("IF('Respuestas de formulario 1'!J553&lt;&gt;"""",UPPER(TRIM(TO_TEXT('Respuestas de formulario 1'!J553))),IF('Respuestas de formulario 1'!O553&lt;&gt;"""",UPPER(TRIM(TO_TEXT('Respuestas de formulario 1'!O553))),""""))"),"")</f>
        <v/>
      </c>
      <c r="K553" s="7" t="str">
        <f>IFERROR(__xludf.DUMMYFUNCTION("IF('Respuestas de formulario 1'!K553="""","""",TO_TEXT('Respuestas de formulario 1'!K553))"),"No")</f>
        <v>No</v>
      </c>
      <c r="L553" s="7" t="str">
        <f>IFERROR(__xludf.DUMMYFUNCTION("IF('Respuestas de formulario 1'!L553="""","""",TO_TEXT('Respuestas de formulario 1'!L553))"),"")</f>
        <v/>
      </c>
      <c r="M553" s="7" t="str">
        <f>IFERROR(__xludf.DUMMYFUNCTION("IF('Respuestas de formulario 1'!M553="""","""",TO_TEXT('Respuestas de formulario 1'!M553))"),"")</f>
        <v/>
      </c>
      <c r="N553" s="7">
        <f t="shared" si="1"/>
        <v>2024</v>
      </c>
      <c r="O553" s="7" t="str">
        <f t="shared" si="2"/>
        <v>mayo</v>
      </c>
      <c r="P553" s="7" t="s">
        <v>5292</v>
      </c>
    </row>
    <row r="554">
      <c r="A554" s="19">
        <f>'Respuestas de formulario 1'!A554</f>
        <v>45439.80456</v>
      </c>
      <c r="B554" s="7" t="str">
        <f>'Respuestas de formulario 1'!B554</f>
        <v>Giacomelli</v>
      </c>
      <c r="C554" s="7" t="str">
        <f>'Respuestas de formulario 1'!C554</f>
        <v>Lucila</v>
      </c>
      <c r="D554" s="7" t="str">
        <f>'Respuestas de formulario 1'!D554</f>
        <v>lucilagiacomelliv@gmail.com</v>
      </c>
      <c r="E554" s="20">
        <f>'Respuestas de formulario 1'!E554</f>
        <v>35585</v>
      </c>
      <c r="F554" s="7">
        <f>'Respuestas de formulario 1'!F554</f>
        <v>40246552</v>
      </c>
      <c r="G554" s="7" t="str">
        <f>IFERROR(__xludf.DUMMYFUNCTION("IF('Respuestas de formulario 1'!G554="""","""",IF(LEFT(REGEXREPLACE(TO_TEXT('Respuestas de formulario 1'!G554),""[^0-9]"",""""),2)=""54"",""+""&amp;REGEXREPLACE(TO_TEXT('Respuestas de formulario 1'!G554),""[^0-9]"",""""),""+54""&amp;REGEXREPLACE(TO_TEXT('Respuest"&amp;"as de formulario 1'!G554),""[^0-9]"","""")))"),"+543516765970")</f>
        <v>+543516765970</v>
      </c>
      <c r="H554" s="7">
        <f>'Respuestas de formulario 1'!S554</f>
        <v>2024</v>
      </c>
      <c r="I554" s="7" t="str">
        <f>IFERROR(__xludf.DUMMYFUNCTION("IF('Respuestas de formulario 1'!I554="""","""",TO_TEXT('Respuestas de formulario 1'!I554))"),"Obra social")</f>
        <v>Obra social</v>
      </c>
      <c r="J554" s="7" t="str">
        <f>IFERROR(__xludf.DUMMYFUNCTION("IF('Respuestas de formulario 1'!J554&lt;&gt;"""",UPPER(TRIM(TO_TEXT('Respuestas de formulario 1'!J554))),IF('Respuestas de formulario 1'!O554&lt;&gt;"""",UPPER(TRIM(TO_TEXT('Respuestas de formulario 1'!O554))),""""))"),"APROSS")</f>
        <v>APROSS</v>
      </c>
      <c r="K554" s="7" t="str">
        <f>IFERROR(__xludf.DUMMYFUNCTION("IF('Respuestas de formulario 1'!K554="""","""",TO_TEXT('Respuestas de formulario 1'!K554))"),"Si")</f>
        <v>Si</v>
      </c>
      <c r="L554" s="7" t="str">
        <f>IFERROR(__xludf.DUMMYFUNCTION("IF('Respuestas de formulario 1'!L554="""","""",TO_TEXT('Respuestas de formulario 1'!L554))"),"Gimnasio")</f>
        <v>Gimnasio</v>
      </c>
      <c r="M554" s="7" t="str">
        <f>IFERROR(__xludf.DUMMYFUNCTION("IF('Respuestas de formulario 1'!M554="""","""",TO_TEXT('Respuestas de formulario 1'!M554))"),"3 a 5 veces por semana")</f>
        <v>3 a 5 veces por semana</v>
      </c>
      <c r="N554" s="7">
        <f t="shared" si="1"/>
        <v>2024</v>
      </c>
      <c r="O554" s="7" t="str">
        <f t="shared" si="2"/>
        <v>mayo</v>
      </c>
      <c r="P554" s="7" t="s">
        <v>5294</v>
      </c>
    </row>
    <row r="555">
      <c r="A555" s="19">
        <f>'Respuestas de formulario 1'!A555</f>
        <v>45440.39837</v>
      </c>
      <c r="B555" s="7" t="str">
        <f>'Respuestas de formulario 1'!B555</f>
        <v>Tita</v>
      </c>
      <c r="C555" s="7" t="str">
        <f>'Respuestas de formulario 1'!C555</f>
        <v>Ileana Micaela</v>
      </c>
      <c r="D555" s="7" t="str">
        <f>'Respuestas de formulario 1'!D555</f>
        <v>i.micaelatita@gmail.com</v>
      </c>
      <c r="E555" s="20">
        <f>'Respuestas de formulario 1'!E555</f>
        <v>34472</v>
      </c>
      <c r="F555" s="7">
        <f>'Respuestas de formulario 1'!F555</f>
        <v>38182695</v>
      </c>
      <c r="G555" s="7" t="str">
        <f>IFERROR(__xludf.DUMMYFUNCTION("IF('Respuestas de formulario 1'!G555="""","""",IF(LEFT(REGEXREPLACE(TO_TEXT('Respuestas de formulario 1'!G555),""[^0-9]"",""""),2)=""54"",""+""&amp;REGEXREPLACE(TO_TEXT('Respuestas de formulario 1'!G555),""[^0-9]"",""""),""+54""&amp;REGEXREPLACE(TO_TEXT('Respuest"&amp;"as de formulario 1'!G555),""[^0-9]"","""")))"),"+543515908389")</f>
        <v>+543515908389</v>
      </c>
      <c r="H555" s="7">
        <f>'Respuestas de formulario 1'!S555</f>
        <v>2024</v>
      </c>
      <c r="I555" s="7" t="str">
        <f>IFERROR(__xludf.DUMMYFUNCTION("IF('Respuestas de formulario 1'!I555="""","""",TO_TEXT('Respuestas de formulario 1'!I555))"),"Obra social")</f>
        <v>Obra social</v>
      </c>
      <c r="J555" s="7" t="str">
        <f>IFERROR(__xludf.DUMMYFUNCTION("IF('Respuestas de formulario 1'!J555&lt;&gt;"""",UPPER(TRIM(TO_TEXT('Respuestas de formulario 1'!J555))),IF('Respuestas de formulario 1'!O555&lt;&gt;"""",UPPER(TRIM(TO_TEXT('Respuestas de formulario 1'!O555))),""""))"),"SANCOR")</f>
        <v>SANCOR</v>
      </c>
      <c r="K555" s="7" t="str">
        <f>IFERROR(__xludf.DUMMYFUNCTION("IF('Respuestas de formulario 1'!K555="""","""",TO_TEXT('Respuestas de formulario 1'!K555))"),"Si")</f>
        <v>Si</v>
      </c>
      <c r="L555" s="7" t="str">
        <f>IFERROR(__xludf.DUMMYFUNCTION("IF('Respuestas de formulario 1'!L555="""","""",TO_TEXT('Respuestas de formulario 1'!L555))"),"Gimnasio")</f>
        <v>Gimnasio</v>
      </c>
      <c r="M555" s="7" t="str">
        <f>IFERROR(__xludf.DUMMYFUNCTION("IF('Respuestas de formulario 1'!M555="""","""",TO_TEXT('Respuestas de formulario 1'!M555))"),"3 a 5 veces por semana")</f>
        <v>3 a 5 veces por semana</v>
      </c>
      <c r="N555" s="7">
        <f t="shared" si="1"/>
        <v>2024</v>
      </c>
      <c r="O555" s="7" t="str">
        <f t="shared" si="2"/>
        <v>mayo</v>
      </c>
      <c r="P555" s="7" t="s">
        <v>5296</v>
      </c>
    </row>
    <row r="556">
      <c r="A556" s="19">
        <f>'Respuestas de formulario 1'!A556</f>
        <v>45440.47381</v>
      </c>
      <c r="B556" s="7" t="str">
        <f>'Respuestas de formulario 1'!B556</f>
        <v>LOPEZ</v>
      </c>
      <c r="C556" s="7" t="str">
        <f>'Respuestas de formulario 1'!C556</f>
        <v>Maite</v>
      </c>
      <c r="D556" s="7" t="str">
        <f>'Respuestas de formulario 1'!D556</f>
        <v/>
      </c>
      <c r="E556" s="20">
        <f>'Respuestas de formulario 1'!E556</f>
        <v>22235</v>
      </c>
      <c r="F556" s="7">
        <f>'Respuestas de formulario 1'!F556</f>
        <v>14057387</v>
      </c>
      <c r="G556" s="7" t="str">
        <f>IFERROR(__xludf.DUMMYFUNCTION("IF('Respuestas de formulario 1'!G556="""","""",IF(LEFT(REGEXREPLACE(TO_TEXT('Respuestas de formulario 1'!G556),""[^0-9]"",""""),2)=""54"",""+""&amp;REGEXREPLACE(TO_TEXT('Respuestas de formulario 1'!G556),""[^0-9]"",""""),""+54""&amp;REGEXREPLACE(TO_TEXT('Respuest"&amp;"as de formulario 1'!G556),""[^0-9]"","""")))"),"+543518080998")</f>
        <v>+543518080998</v>
      </c>
      <c r="H556" s="7">
        <f>'Respuestas de formulario 1'!S556</f>
        <v>2024</v>
      </c>
      <c r="I556" s="7" t="str">
        <f>IFERROR(__xludf.DUMMYFUNCTION("IF('Respuestas de formulario 1'!I556="""","""",TO_TEXT('Respuestas de formulario 1'!I556))"),"Obra social")</f>
        <v>Obra social</v>
      </c>
      <c r="J556" s="7" t="str">
        <f>IFERROR(__xludf.DUMMYFUNCTION("IF('Respuestas de formulario 1'!J556&lt;&gt;"""",UPPER(TRIM(TO_TEXT('Respuestas de formulario 1'!J556))),IF('Respuestas de formulario 1'!O556&lt;&gt;"""",UPPER(TRIM(TO_TEXT('Respuestas de formulario 1'!O556))),""""))"),"APROSS")</f>
        <v>APROSS</v>
      </c>
      <c r="K556" s="7" t="str">
        <f>IFERROR(__xludf.DUMMYFUNCTION("IF('Respuestas de formulario 1'!K556="""","""",TO_TEXT('Respuestas de formulario 1'!K556))"),"Si")</f>
        <v>Si</v>
      </c>
      <c r="L556" s="7" t="str">
        <f>IFERROR(__xludf.DUMMYFUNCTION("IF('Respuestas de formulario 1'!L556="""","""",TO_TEXT('Respuestas de formulario 1'!L556))"),"Gimnasio")</f>
        <v>Gimnasio</v>
      </c>
      <c r="M556" s="7" t="str">
        <f>IFERROR(__xludf.DUMMYFUNCTION("IF('Respuestas de formulario 1'!M556="""","""",TO_TEXT('Respuestas de formulario 1'!M556))"),"3 a 5 veces por semana")</f>
        <v>3 a 5 veces por semana</v>
      </c>
      <c r="N556" s="7">
        <f t="shared" si="1"/>
        <v>2024</v>
      </c>
      <c r="O556" s="7" t="str">
        <f t="shared" si="2"/>
        <v>mayo</v>
      </c>
      <c r="P556" s="7" t="s">
        <v>5298</v>
      </c>
    </row>
    <row r="557">
      <c r="A557" s="19">
        <f>'Respuestas de formulario 1'!A557</f>
        <v>45442.42106</v>
      </c>
      <c r="B557" s="7" t="str">
        <f>'Respuestas de formulario 1'!B557</f>
        <v>Ochandorena</v>
      </c>
      <c r="C557" s="7" t="str">
        <f>'Respuestas de formulario 1'!C557</f>
        <v>Martin</v>
      </c>
      <c r="D557" s="7" t="str">
        <f>'Respuestas de formulario 1'!D557</f>
        <v>martinochandorena@hotmail.com</v>
      </c>
      <c r="E557" s="20">
        <f>'Respuestas de formulario 1'!E557</f>
        <v>25024</v>
      </c>
      <c r="F557" s="7">
        <f>'Respuestas de formulario 1'!F557</f>
        <v>20033277</v>
      </c>
      <c r="G557" s="7" t="str">
        <f>IFERROR(__xludf.DUMMYFUNCTION("IF('Respuestas de formulario 1'!G557="""","""",IF(LEFT(REGEXREPLACE(TO_TEXT('Respuestas de formulario 1'!G557),""[^0-9]"",""""),2)=""54"",""+""&amp;REGEXREPLACE(TO_TEXT('Respuestas de formulario 1'!G557),""[^0-9]"",""""),""+54""&amp;REGEXREPLACE(TO_TEXT('Respuest"&amp;"as de formulario 1'!G557),""[^0-9]"","""")))"),"+543512238507")</f>
        <v>+543512238507</v>
      </c>
      <c r="H557" s="7">
        <f>'Respuestas de formulario 1'!S557</f>
        <v>2024</v>
      </c>
      <c r="I557" s="7" t="str">
        <f>IFERROR(__xludf.DUMMYFUNCTION("IF('Respuestas de formulario 1'!I557="""","""",TO_TEXT('Respuestas de formulario 1'!I557))"),"Obra social")</f>
        <v>Obra social</v>
      </c>
      <c r="J557" s="7" t="str">
        <f>IFERROR(__xludf.DUMMYFUNCTION("IF('Respuestas de formulario 1'!J557&lt;&gt;"""",UPPER(TRIM(TO_TEXT('Respuestas de formulario 1'!J557))),IF('Respuestas de formulario 1'!O557&lt;&gt;"""",UPPER(TRIM(TO_TEXT('Respuestas de formulario 1'!O557))),""""))"),"APROSS")</f>
        <v>APROSS</v>
      </c>
      <c r="K557" s="7" t="str">
        <f>IFERROR(__xludf.DUMMYFUNCTION("IF('Respuestas de formulario 1'!K557="""","""",TO_TEXT('Respuestas de formulario 1'!K557))"),"Si")</f>
        <v>Si</v>
      </c>
      <c r="L557" s="7" t="str">
        <f>IFERROR(__xludf.DUMMYFUNCTION("IF('Respuestas de formulario 1'!L557="""","""",TO_TEXT('Respuestas de formulario 1'!L557))"),"Hockey")</f>
        <v>Hockey</v>
      </c>
      <c r="M557" s="7" t="str">
        <f>IFERROR(__xludf.DUMMYFUNCTION("IF('Respuestas de formulario 1'!M557="""","""",TO_TEXT('Respuestas de formulario 1'!M557))"),"3 a 5 veces por semana")</f>
        <v>3 a 5 veces por semana</v>
      </c>
      <c r="N557" s="7">
        <f t="shared" si="1"/>
        <v>2024</v>
      </c>
      <c r="O557" s="7" t="str">
        <f t="shared" si="2"/>
        <v>mayo</v>
      </c>
      <c r="P557" s="7" t="s">
        <v>5300</v>
      </c>
    </row>
    <row r="558">
      <c r="A558" s="19">
        <f>'Respuestas de formulario 1'!A558</f>
        <v>45444.3962</v>
      </c>
      <c r="B558" s="7" t="str">
        <f>'Respuestas de formulario 1'!B558</f>
        <v>Moyano</v>
      </c>
      <c r="C558" s="7" t="str">
        <f>'Respuestas de formulario 1'!C558</f>
        <v>Magdalena </v>
      </c>
      <c r="D558" s="7" t="str">
        <f>'Respuestas de formulario 1'!D558</f>
        <v>magdamoyano1@gmail.com</v>
      </c>
      <c r="E558" s="20">
        <f>'Respuestas de formulario 1'!E558</f>
        <v>26245</v>
      </c>
      <c r="F558" s="7">
        <f>'Respuestas de formulario 1'!F558</f>
        <v>22373745</v>
      </c>
      <c r="G558" s="7" t="str">
        <f>IFERROR(__xludf.DUMMYFUNCTION("IF('Respuestas de formulario 1'!G558="""","""",IF(LEFT(REGEXREPLACE(TO_TEXT('Respuestas de formulario 1'!G558),""[^0-9]"",""""),2)=""54"",""+""&amp;REGEXREPLACE(TO_TEXT('Respuestas de formulario 1'!G558),""[^0-9]"",""""),""+54""&amp;REGEXREPLACE(TO_TEXT('Respuest"&amp;"as de formulario 1'!G558),""[^0-9]"","""")))"),"+543516872041")</f>
        <v>+543516872041</v>
      </c>
      <c r="H558" s="7">
        <f>'Respuestas de formulario 1'!S558</f>
        <v>2024</v>
      </c>
      <c r="I558" s="7" t="str">
        <f>IFERROR(__xludf.DUMMYFUNCTION("IF('Respuestas de formulario 1'!I558="""","""",TO_TEXT('Respuestas de formulario 1'!I558))"),"Obra social")</f>
        <v>Obra social</v>
      </c>
      <c r="J558" s="7" t="str">
        <f>IFERROR(__xludf.DUMMYFUNCTION("IF('Respuestas de formulario 1'!J558&lt;&gt;"""",UPPER(TRIM(TO_TEXT('Respuestas de formulario 1'!J558))),IF('Respuestas de formulario 1'!O558&lt;&gt;"""",UPPER(TRIM(TO_TEXT('Respuestas de formulario 1'!O558))),""""))"),"APROSS")</f>
        <v>APROSS</v>
      </c>
      <c r="K558" s="7" t="str">
        <f>IFERROR(__xludf.DUMMYFUNCTION("IF('Respuestas de formulario 1'!K558="""","""",TO_TEXT('Respuestas de formulario 1'!K558))"),"Si")</f>
        <v>Si</v>
      </c>
      <c r="L558" s="7" t="str">
        <f>IFERROR(__xludf.DUMMYFUNCTION("IF('Respuestas de formulario 1'!L558="""","""",TO_TEXT('Respuestas de formulario 1'!L558))"),"Natación ")</f>
        <v>Natación </v>
      </c>
      <c r="M558" s="7" t="str">
        <f>IFERROR(__xludf.DUMMYFUNCTION("IF('Respuestas de formulario 1'!M558="""","""",TO_TEXT('Respuestas de formulario 1'!M558))"),"1 a 2 veces por semana")</f>
        <v>1 a 2 veces por semana</v>
      </c>
      <c r="N558" s="7">
        <f t="shared" si="1"/>
        <v>2024</v>
      </c>
      <c r="O558" s="7" t="str">
        <f t="shared" si="2"/>
        <v>junio</v>
      </c>
      <c r="P558" s="7" t="s">
        <v>5302</v>
      </c>
    </row>
    <row r="559">
      <c r="A559" s="19">
        <f>'Respuestas de formulario 1'!A559</f>
        <v>45444.40452</v>
      </c>
      <c r="B559" s="7" t="str">
        <f>'Respuestas de formulario 1'!B559</f>
        <v>Almada</v>
      </c>
      <c r="C559" s="7" t="str">
        <f>'Respuestas de formulario 1'!C559</f>
        <v>Luis Ricardo</v>
      </c>
      <c r="D559" s="7" t="str">
        <f>'Respuestas de formulario 1'!D559</f>
        <v>orlandi.olga@gmail.com</v>
      </c>
      <c r="E559" s="20">
        <f>'Respuestas de formulario 1'!E559</f>
        <v>15835</v>
      </c>
      <c r="F559" s="7">
        <f>'Respuestas de formulario 1'!F559</f>
        <v>7972132</v>
      </c>
      <c r="G559" s="7" t="str">
        <f>IFERROR(__xludf.DUMMYFUNCTION("IF('Respuestas de formulario 1'!G559="""","""",IF(LEFT(REGEXREPLACE(TO_TEXT('Respuestas de formulario 1'!G559),""[^0-9]"",""""),2)=""54"",""+""&amp;REGEXREPLACE(TO_TEXT('Respuestas de formulario 1'!G559),""[^0-9]"",""""),""+54""&amp;REGEXREPLACE(TO_TEXT('Respuest"&amp;"as de formulario 1'!G559),""[^0-9]"","""")))"),"+543516379799")</f>
        <v>+543516379799</v>
      </c>
      <c r="H559" s="7">
        <f>'Respuestas de formulario 1'!S559</f>
        <v>2024</v>
      </c>
      <c r="I559" s="7" t="str">
        <f>IFERROR(__xludf.DUMMYFUNCTION("IF('Respuestas de formulario 1'!I559="""","""",TO_TEXT('Respuestas de formulario 1'!I559))"),"Obra social")</f>
        <v>Obra social</v>
      </c>
      <c r="J559" s="7" t="str">
        <f>IFERROR(__xludf.DUMMYFUNCTION("IF('Respuestas de formulario 1'!J559&lt;&gt;"""",UPPER(TRIM(TO_TEXT('Respuestas de formulario 1'!J559))),IF('Respuestas de formulario 1'!O559&lt;&gt;"""",UPPER(TRIM(TO_TEXT('Respuestas de formulario 1'!O559))),""""))"),"APROSS")</f>
        <v>APROSS</v>
      </c>
      <c r="K559" s="7" t="str">
        <f>IFERROR(__xludf.DUMMYFUNCTION("IF('Respuestas de formulario 1'!K559="""","""",TO_TEXT('Respuestas de formulario 1'!K559))"),"No")</f>
        <v>No</v>
      </c>
      <c r="L559" s="7" t="str">
        <f>IFERROR(__xludf.DUMMYFUNCTION("IF('Respuestas de formulario 1'!L559="""","""",TO_TEXT('Respuestas de formulario 1'!L559))"),"")</f>
        <v/>
      </c>
      <c r="M559" s="7" t="str">
        <f>IFERROR(__xludf.DUMMYFUNCTION("IF('Respuestas de formulario 1'!M559="""","""",TO_TEXT('Respuestas de formulario 1'!M559))"),"")</f>
        <v/>
      </c>
      <c r="N559" s="7">
        <f t="shared" si="1"/>
        <v>2024</v>
      </c>
      <c r="O559" s="7" t="str">
        <f t="shared" si="2"/>
        <v>junio</v>
      </c>
      <c r="P559" s="7" t="s">
        <v>5304</v>
      </c>
    </row>
    <row r="560">
      <c r="A560" s="19">
        <f>'Respuestas de formulario 1'!A560</f>
        <v>45444.4066</v>
      </c>
      <c r="B560" s="7" t="str">
        <f>'Respuestas de formulario 1'!B560</f>
        <v>Orlandi</v>
      </c>
      <c r="C560" s="7" t="str">
        <f>'Respuestas de formulario 1'!C560</f>
        <v>Olga E. </v>
      </c>
      <c r="D560" s="7" t="str">
        <f>'Respuestas de formulario 1'!D560</f>
        <v>orlandi.olga@gmail.com</v>
      </c>
      <c r="E560" s="20">
        <f>'Respuestas de formulario 1'!E560</f>
        <v>18560</v>
      </c>
      <c r="F560" s="7">
        <f>'Respuestas de formulario 1'!F560</f>
        <v>6398193</v>
      </c>
      <c r="G560" s="7" t="str">
        <f>IFERROR(__xludf.DUMMYFUNCTION("IF('Respuestas de formulario 1'!G560="""","""",IF(LEFT(REGEXREPLACE(TO_TEXT('Respuestas de formulario 1'!G560),""[^0-9]"",""""),2)=""54"",""+""&amp;REGEXREPLACE(TO_TEXT('Respuestas de formulario 1'!G560),""[^0-9]"",""""),""+54""&amp;REGEXREPLACE(TO_TEXT('Respuest"&amp;"as de formulario 1'!G560),""[^0-9]"","""")))"),"+543516379799")</f>
        <v>+543516379799</v>
      </c>
      <c r="H560" s="7">
        <f>'Respuestas de formulario 1'!S560</f>
        <v>2024</v>
      </c>
      <c r="I560" s="7" t="str">
        <f>IFERROR(__xludf.DUMMYFUNCTION("IF('Respuestas de formulario 1'!I560="""","""",TO_TEXT('Respuestas de formulario 1'!I560))"),"Obra social")</f>
        <v>Obra social</v>
      </c>
      <c r="J560" s="7" t="str">
        <f>IFERROR(__xludf.DUMMYFUNCTION("IF('Respuestas de formulario 1'!J560&lt;&gt;"""",UPPER(TRIM(TO_TEXT('Respuestas de formulario 1'!J560))),IF('Respuestas de formulario 1'!O560&lt;&gt;"""",UPPER(TRIM(TO_TEXT('Respuestas de formulario 1'!O560))),""""))"),"DASPU")</f>
        <v>DASPU</v>
      </c>
      <c r="K560" s="7" t="str">
        <f>IFERROR(__xludf.DUMMYFUNCTION("IF('Respuestas de formulario 1'!K560="""","""",TO_TEXT('Respuestas de formulario 1'!K560))"),"Si")</f>
        <v>Si</v>
      </c>
      <c r="L560" s="7" t="str">
        <f>IFERROR(__xludf.DUMMYFUNCTION("IF('Respuestas de formulario 1'!L560="""","""",TO_TEXT('Respuestas de formulario 1'!L560))"),"yoga")</f>
        <v>yoga</v>
      </c>
      <c r="M560" s="7" t="str">
        <f>IFERROR(__xludf.DUMMYFUNCTION("IF('Respuestas de formulario 1'!M560="""","""",TO_TEXT('Respuestas de formulario 1'!M560))"),"1 a 2 veces por semana")</f>
        <v>1 a 2 veces por semana</v>
      </c>
      <c r="N560" s="7">
        <f t="shared" si="1"/>
        <v>2024</v>
      </c>
      <c r="O560" s="7" t="str">
        <f t="shared" si="2"/>
        <v>junio</v>
      </c>
      <c r="P560" s="7" t="s">
        <v>5306</v>
      </c>
    </row>
    <row r="561">
      <c r="A561" s="19">
        <f>'Respuestas de formulario 1'!A561</f>
        <v>45446.51923</v>
      </c>
      <c r="B561" s="7" t="str">
        <f>'Respuestas de formulario 1'!B561</f>
        <v>Martinez</v>
      </c>
      <c r="C561" s="7" t="str">
        <f>'Respuestas de formulario 1'!C561</f>
        <v>Gabriela</v>
      </c>
      <c r="D561" s="7" t="str">
        <f>'Respuestas de formulario 1'!D561</f>
        <v>gabriela.martinezmarma@grupomarma.com.ar</v>
      </c>
      <c r="E561" s="20">
        <f>'Respuestas de formulario 1'!E561</f>
        <v>23641</v>
      </c>
      <c r="F561" s="7">
        <f>'Respuestas de formulario 1'!F561</f>
        <v>16907262</v>
      </c>
      <c r="G561" s="7" t="str">
        <f>IFERROR(__xludf.DUMMYFUNCTION("IF('Respuestas de formulario 1'!G561="""","""",IF(LEFT(REGEXREPLACE(TO_TEXT('Respuestas de formulario 1'!G561),""[^0-9]"",""""),2)=""54"",""+""&amp;REGEXREPLACE(TO_TEXT('Respuestas de formulario 1'!G561),""[^0-9]"",""""),""+54""&amp;REGEXREPLACE(TO_TEXT('Respuest"&amp;"as de formulario 1'!G561),""[^0-9]"","""")))"),"+543516641216")</f>
        <v>+543516641216</v>
      </c>
      <c r="H561" s="7">
        <f>'Respuestas de formulario 1'!S561</f>
        <v>2024</v>
      </c>
      <c r="I561" s="7" t="str">
        <f>IFERROR(__xludf.DUMMYFUNCTION("IF('Respuestas de formulario 1'!I561="""","""",TO_TEXT('Respuestas de formulario 1'!I561))"),"Particular")</f>
        <v>Particular</v>
      </c>
      <c r="J561" s="7" t="str">
        <f>IFERROR(__xludf.DUMMYFUNCTION("IF('Respuestas de formulario 1'!J561&lt;&gt;"""",UPPER(TRIM(TO_TEXT('Respuestas de formulario 1'!J561))),IF('Respuestas de formulario 1'!O561&lt;&gt;"""",UPPER(TRIM(TO_TEXT('Respuestas de formulario 1'!O561))),""""))"),"")</f>
        <v/>
      </c>
      <c r="K561" s="7" t="str">
        <f>IFERROR(__xludf.DUMMYFUNCTION("IF('Respuestas de formulario 1'!K561="""","""",TO_TEXT('Respuestas de formulario 1'!K561))"),"Si")</f>
        <v>Si</v>
      </c>
      <c r="L561" s="7" t="str">
        <f>IFERROR(__xludf.DUMMYFUNCTION("IF('Respuestas de formulario 1'!L561="""","""",TO_TEXT('Respuestas de formulario 1'!L561))"),"Running")</f>
        <v>Running</v>
      </c>
      <c r="M561" s="7" t="str">
        <f>IFERROR(__xludf.DUMMYFUNCTION("IF('Respuestas de formulario 1'!M561="""","""",TO_TEXT('Respuestas de formulario 1'!M561))"),"1 a 2 veces por semana")</f>
        <v>1 a 2 veces por semana</v>
      </c>
      <c r="N561" s="7">
        <f t="shared" si="1"/>
        <v>2024</v>
      </c>
      <c r="O561" s="7" t="str">
        <f t="shared" si="2"/>
        <v>junio</v>
      </c>
      <c r="P561" s="7" t="s">
        <v>5307</v>
      </c>
    </row>
    <row r="562">
      <c r="A562" s="19">
        <f>'Respuestas de formulario 1'!A562</f>
        <v>45447.50918</v>
      </c>
      <c r="B562" s="7" t="str">
        <f>'Respuestas de formulario 1'!B562</f>
        <v>Solana Martinez </v>
      </c>
      <c r="C562" s="7" t="str">
        <f>'Respuestas de formulario 1'!C562</f>
        <v>Lourdes</v>
      </c>
      <c r="D562" s="7" t="str">
        <f>'Respuestas de formulario 1'!D562</f>
        <v>flavio.solana@hotmail.com</v>
      </c>
      <c r="E562" s="20">
        <f>'Respuestas de formulario 1'!E562</f>
        <v>41292</v>
      </c>
      <c r="F562" s="7">
        <f>'Respuestas de formulario 1'!F562</f>
        <v>52862345</v>
      </c>
      <c r="G562" s="7" t="str">
        <f>IFERROR(__xludf.DUMMYFUNCTION("IF('Respuestas de formulario 1'!G562="""","""",IF(LEFT(REGEXREPLACE(TO_TEXT('Respuestas de formulario 1'!G562),""[^0-9]"",""""),2)=""54"",""+""&amp;REGEXREPLACE(TO_TEXT('Respuestas de formulario 1'!G562),""[^0-9]"",""""),""+54""&amp;REGEXREPLACE(TO_TEXT('Respuest"&amp;"as de formulario 1'!G562),""[^0-9]"","""")))"),"+543516136605")</f>
        <v>+543516136605</v>
      </c>
      <c r="H562" s="7">
        <f>'Respuestas de formulario 1'!S562</f>
        <v>2024</v>
      </c>
      <c r="I562" s="7" t="str">
        <f>IFERROR(__xludf.DUMMYFUNCTION("IF('Respuestas de formulario 1'!I562="""","""",TO_TEXT('Respuestas de formulario 1'!I562))"),"Obra social")</f>
        <v>Obra social</v>
      </c>
      <c r="J562" s="7" t="str">
        <f>IFERROR(__xludf.DUMMYFUNCTION("IF('Respuestas de formulario 1'!J562&lt;&gt;"""",UPPER(TRIM(TO_TEXT('Respuestas de formulario 1'!J562))),IF('Respuestas de formulario 1'!O562&lt;&gt;"""",UPPER(TRIM(TO_TEXT('Respuestas de formulario 1'!O562))),""""))"),"APROSS")</f>
        <v>APROSS</v>
      </c>
      <c r="K562" s="7" t="str">
        <f>IFERROR(__xludf.DUMMYFUNCTION("IF('Respuestas de formulario 1'!K562="""","""",TO_TEXT('Respuestas de formulario 1'!K562))"),"Si")</f>
        <v>Si</v>
      </c>
      <c r="L562" s="7" t="str">
        <f>IFERROR(__xludf.DUMMYFUNCTION("IF('Respuestas de formulario 1'!L562="""","""",TO_TEXT('Respuestas de formulario 1'!L562))"),"Fútbol")</f>
        <v>Fútbol</v>
      </c>
      <c r="M562" s="7" t="str">
        <f>IFERROR(__xludf.DUMMYFUNCTION("IF('Respuestas de formulario 1'!M562="""","""",TO_TEXT('Respuestas de formulario 1'!M562))"),"3 a 5 veces por semana")</f>
        <v>3 a 5 veces por semana</v>
      </c>
      <c r="N562" s="7">
        <f t="shared" si="1"/>
        <v>2024</v>
      </c>
      <c r="O562" s="7" t="str">
        <f t="shared" si="2"/>
        <v>junio</v>
      </c>
      <c r="P562" s="7" t="s">
        <v>5309</v>
      </c>
    </row>
    <row r="563">
      <c r="A563" s="19">
        <f>'Respuestas de formulario 1'!A563</f>
        <v>45448.63353</v>
      </c>
      <c r="B563" s="7" t="str">
        <f>'Respuestas de formulario 1'!B563</f>
        <v>Bohne</v>
      </c>
      <c r="C563" s="7" t="str">
        <f>'Respuestas de formulario 1'!C563</f>
        <v>Erica</v>
      </c>
      <c r="D563" s="7" t="str">
        <f>'Respuestas de formulario 1'!D563</f>
        <v>eribohne@yahoo.com.ar</v>
      </c>
      <c r="E563" s="20">
        <f>'Respuestas de formulario 1'!E563</f>
        <v>27689</v>
      </c>
      <c r="F563" s="7">
        <f>'Respuestas de formulario 1'!F563</f>
        <v>24841442</v>
      </c>
      <c r="G563" s="7" t="str">
        <f>IFERROR(__xludf.DUMMYFUNCTION("IF('Respuestas de formulario 1'!G563="""","""",IF(LEFT(REGEXREPLACE(TO_TEXT('Respuestas de formulario 1'!G563),""[^0-9]"",""""),2)=""54"",""+""&amp;REGEXREPLACE(TO_TEXT('Respuestas de formulario 1'!G563),""[^0-9]"",""""),""+54""&amp;REGEXREPLACE(TO_TEXT('Respuest"&amp;"as de formulario 1'!G563),""[^0-9]"","""")))"),"+543513545007")</f>
        <v>+543513545007</v>
      </c>
      <c r="H563" s="7">
        <f>'Respuestas de formulario 1'!S563</f>
        <v>2024</v>
      </c>
      <c r="I563" s="7" t="str">
        <f>IFERROR(__xludf.DUMMYFUNCTION("IF('Respuestas de formulario 1'!I563="""","""",TO_TEXT('Respuestas de formulario 1'!I563))"),"Obra social")</f>
        <v>Obra social</v>
      </c>
      <c r="J563" s="7" t="str">
        <f>IFERROR(__xludf.DUMMYFUNCTION("IF('Respuestas de formulario 1'!J563&lt;&gt;"""",UPPER(TRIM(TO_TEXT('Respuestas de formulario 1'!J563))),IF('Respuestas de formulario 1'!O563&lt;&gt;"""",UPPER(TRIM(TO_TEXT('Respuestas de formulario 1'!O563))),""""))"),"APROSS")</f>
        <v>APROSS</v>
      </c>
      <c r="K563" s="7" t="str">
        <f>IFERROR(__xludf.DUMMYFUNCTION("IF('Respuestas de formulario 1'!K563="""","""",TO_TEXT('Respuestas de formulario 1'!K563))"),"No")</f>
        <v>No</v>
      </c>
      <c r="L563" s="7" t="str">
        <f>IFERROR(__xludf.DUMMYFUNCTION("IF('Respuestas de formulario 1'!L563="""","""",TO_TEXT('Respuestas de formulario 1'!L563))"),"")</f>
        <v/>
      </c>
      <c r="M563" s="7" t="str">
        <f>IFERROR(__xludf.DUMMYFUNCTION("IF('Respuestas de formulario 1'!M563="""","""",TO_TEXT('Respuestas de formulario 1'!M563))"),"")</f>
        <v/>
      </c>
      <c r="N563" s="7">
        <f t="shared" si="1"/>
        <v>2024</v>
      </c>
      <c r="O563" s="7" t="str">
        <f t="shared" si="2"/>
        <v>junio</v>
      </c>
      <c r="P563" s="7" t="s">
        <v>5311</v>
      </c>
    </row>
    <row r="564">
      <c r="A564" s="19">
        <f>'Respuestas de formulario 1'!A564</f>
        <v>45448.71086</v>
      </c>
      <c r="B564" s="7" t="str">
        <f>'Respuestas de formulario 1'!B564</f>
        <v>Amato</v>
      </c>
      <c r="C564" s="7" t="str">
        <f>'Respuestas de formulario 1'!C564</f>
        <v>Melanie Sol</v>
      </c>
      <c r="D564" s="7" t="str">
        <f>'Respuestas de formulario 1'!D564</f>
        <v>melanie.amato@mi.unc.edu.ar</v>
      </c>
      <c r="E564" s="20">
        <f>'Respuestas de formulario 1'!E564</f>
        <v>37469</v>
      </c>
      <c r="F564" s="7">
        <f>'Respuestas de formulario 1'!F564</f>
        <v>45081579</v>
      </c>
      <c r="G564" s="7" t="str">
        <f>IFERROR(__xludf.DUMMYFUNCTION("IF('Respuestas de formulario 1'!G564="""","""",IF(LEFT(REGEXREPLACE(TO_TEXT('Respuestas de formulario 1'!G564),""[^0-9]"",""""),2)=""54"",""+""&amp;REGEXREPLACE(TO_TEXT('Respuestas de formulario 1'!G564),""[^0-9]"",""""),""+54""&amp;REGEXREPLACE(TO_TEXT('Respuest"&amp;"as de formulario 1'!G564),""[^0-9]"","""")))"),"+543512480097")</f>
        <v>+543512480097</v>
      </c>
      <c r="H564" s="7">
        <f>'Respuestas de formulario 1'!S564</f>
        <v>2024</v>
      </c>
      <c r="I564" s="7" t="str">
        <f>IFERROR(__xludf.DUMMYFUNCTION("IF('Respuestas de formulario 1'!I564="""","""",TO_TEXT('Respuestas de formulario 1'!I564))"),"Particular")</f>
        <v>Particular</v>
      </c>
      <c r="J564" s="7" t="str">
        <f>IFERROR(__xludf.DUMMYFUNCTION("IF('Respuestas de formulario 1'!J564&lt;&gt;"""",UPPER(TRIM(TO_TEXT('Respuestas de formulario 1'!J564))),IF('Respuestas de formulario 1'!O564&lt;&gt;"""",UPPER(TRIM(TO_TEXT('Respuestas de formulario 1'!O564))),""""))"),"")</f>
        <v/>
      </c>
      <c r="K564" s="7" t="str">
        <f>IFERROR(__xludf.DUMMYFUNCTION("IF('Respuestas de formulario 1'!K564="""","""",TO_TEXT('Respuestas de formulario 1'!K564))"),"Si")</f>
        <v>Si</v>
      </c>
      <c r="L564" s="7" t="str">
        <f>IFERROR(__xludf.DUMMYFUNCTION("IF('Respuestas de formulario 1'!L564="""","""",TO_TEXT('Respuestas de formulario 1'!L564))"),"Gimnasio")</f>
        <v>Gimnasio</v>
      </c>
      <c r="M564" s="7" t="str">
        <f>IFERROR(__xludf.DUMMYFUNCTION("IF('Respuestas de formulario 1'!M564="""","""",TO_TEXT('Respuestas de formulario 1'!M564))"),"6 a 7 veces por semana")</f>
        <v>6 a 7 veces por semana</v>
      </c>
      <c r="N564" s="7">
        <f t="shared" si="1"/>
        <v>2024</v>
      </c>
      <c r="O564" s="7" t="str">
        <f t="shared" si="2"/>
        <v>junio</v>
      </c>
      <c r="P564" s="7" t="s">
        <v>5313</v>
      </c>
    </row>
    <row r="565">
      <c r="A565" s="19">
        <f>'Respuestas de formulario 1'!A565</f>
        <v>45448.74275</v>
      </c>
      <c r="B565" s="7" t="str">
        <f>'Respuestas de formulario 1'!B565</f>
        <v>Ketibian</v>
      </c>
      <c r="C565" s="7" t="str">
        <f>'Respuestas de formulario 1'!C565</f>
        <v>Fabian</v>
      </c>
      <c r="D565" s="7" t="str">
        <f>'Respuestas de formulario 1'!D565</f>
        <v>ketibian@hotmail.com</v>
      </c>
      <c r="E565" s="20">
        <f>'Respuestas de formulario 1'!E565</f>
        <v>23995</v>
      </c>
      <c r="F565" s="7">
        <f>'Respuestas de formulario 1'!F565</f>
        <v>17625264</v>
      </c>
      <c r="G565" s="7" t="str">
        <f>IFERROR(__xludf.DUMMYFUNCTION("IF('Respuestas de formulario 1'!G565="""","""",IF(LEFT(REGEXREPLACE(TO_TEXT('Respuestas de formulario 1'!G565),""[^0-9]"",""""),2)=""54"",""+""&amp;REGEXREPLACE(TO_TEXT('Respuestas de formulario 1'!G565),""[^0-9]"",""""),""+54""&amp;REGEXREPLACE(TO_TEXT('Respuest"&amp;"as de formulario 1'!G565),""[^0-9]"","""")))"),"+543515186926")</f>
        <v>+543515186926</v>
      </c>
      <c r="H565" s="7">
        <f>'Respuestas de formulario 1'!S565</f>
        <v>2024</v>
      </c>
      <c r="I565" s="7" t="str">
        <f>IFERROR(__xludf.DUMMYFUNCTION("IF('Respuestas de formulario 1'!I565="""","""",TO_TEXT('Respuestas de formulario 1'!I565))"),"Obra social")</f>
        <v>Obra social</v>
      </c>
      <c r="J565" s="7" t="str">
        <f>IFERROR(__xludf.DUMMYFUNCTION("IF('Respuestas de formulario 1'!J565&lt;&gt;"""",UPPER(TRIM(TO_TEXT('Respuestas de formulario 1'!J565))),IF('Respuestas de formulario 1'!O565&lt;&gt;"""",UPPER(TRIM(TO_TEXT('Respuestas de formulario 1'!O565))),""""))"),"CPCE")</f>
        <v>CPCE</v>
      </c>
      <c r="K565" s="7" t="str">
        <f>IFERROR(__xludf.DUMMYFUNCTION("IF('Respuestas de formulario 1'!K565="""","""",TO_TEXT('Respuestas de formulario 1'!K565))"),"Si")</f>
        <v>Si</v>
      </c>
      <c r="L565" s="7" t="str">
        <f>IFERROR(__xludf.DUMMYFUNCTION("IF('Respuestas de formulario 1'!L565="""","""",TO_TEXT('Respuestas de formulario 1'!L565))"),"Padlet")</f>
        <v>Padlet</v>
      </c>
      <c r="M565" s="7" t="str">
        <f>IFERROR(__xludf.DUMMYFUNCTION("IF('Respuestas de formulario 1'!M565="""","""",TO_TEXT('Respuestas de formulario 1'!M565))"),"3 a 5 veces por semana")</f>
        <v>3 a 5 veces por semana</v>
      </c>
      <c r="N565" s="7">
        <f t="shared" si="1"/>
        <v>2024</v>
      </c>
      <c r="O565" s="7" t="str">
        <f t="shared" si="2"/>
        <v>junio</v>
      </c>
      <c r="P565" s="7" t="s">
        <v>5315</v>
      </c>
    </row>
    <row r="566">
      <c r="A566" s="19">
        <f>'Respuestas de formulario 1'!A566</f>
        <v>45448.79335</v>
      </c>
      <c r="B566" s="7" t="str">
        <f>'Respuestas de formulario 1'!B566</f>
        <v>Alvarez</v>
      </c>
      <c r="C566" s="7" t="str">
        <f>'Respuestas de formulario 1'!C566</f>
        <v>Marcelo</v>
      </c>
      <c r="D566" s="7" t="str">
        <f>'Respuestas de formulario 1'!D566</f>
        <v>marcealvarez4@hotmail.com</v>
      </c>
      <c r="E566" s="20">
        <f>'Respuestas de formulario 1'!E566</f>
        <v>25735</v>
      </c>
      <c r="F566" s="7">
        <f>'Respuestas de formulario 1'!F566</f>
        <v>21398244</v>
      </c>
      <c r="G566" s="7" t="str">
        <f>IFERROR(__xludf.DUMMYFUNCTION("IF('Respuestas de formulario 1'!G566="""","""",IF(LEFT(REGEXREPLACE(TO_TEXT('Respuestas de formulario 1'!G566),""[^0-9]"",""""),2)=""54"",""+""&amp;REGEXREPLACE(TO_TEXT('Respuestas de formulario 1'!G566),""[^0-9]"",""""),""+54""&amp;REGEXREPLACE(TO_TEXT('Respuest"&amp;"as de formulario 1'!G566),""[^0-9]"","""")))"),"+543516547039")</f>
        <v>+543516547039</v>
      </c>
      <c r="H566" s="7">
        <f>'Respuestas de formulario 1'!S566</f>
        <v>2024</v>
      </c>
      <c r="I566" s="7" t="str">
        <f>IFERROR(__xludf.DUMMYFUNCTION("IF('Respuestas de formulario 1'!I566="""","""",TO_TEXT('Respuestas de formulario 1'!I566))"),"Obra social")</f>
        <v>Obra social</v>
      </c>
      <c r="J566" s="7" t="str">
        <f>IFERROR(__xludf.DUMMYFUNCTION("IF('Respuestas de formulario 1'!J566&lt;&gt;"""",UPPER(TRIM(TO_TEXT('Respuestas de formulario 1'!J566))),IF('Respuestas de formulario 1'!O566&lt;&gt;"""",UPPER(TRIM(TO_TEXT('Respuestas de formulario 1'!O566))),""""))"),"DASPU")</f>
        <v>DASPU</v>
      </c>
      <c r="K566" s="7" t="str">
        <f>IFERROR(__xludf.DUMMYFUNCTION("IF('Respuestas de formulario 1'!K566="""","""",TO_TEXT('Respuestas de formulario 1'!K566))"),"Si")</f>
        <v>Si</v>
      </c>
      <c r="L566" s="7" t="str">
        <f>IFERROR(__xludf.DUMMYFUNCTION("IF('Respuestas de formulario 1'!L566="""","""",TO_TEXT('Respuestas de formulario 1'!L566))"),"Gimnasio")</f>
        <v>Gimnasio</v>
      </c>
      <c r="M566" s="7" t="str">
        <f>IFERROR(__xludf.DUMMYFUNCTION("IF('Respuestas de formulario 1'!M566="""","""",TO_TEXT('Respuestas de formulario 1'!M566))"),"3 a 5 veces por semana")</f>
        <v>3 a 5 veces por semana</v>
      </c>
      <c r="N566" s="7">
        <f t="shared" si="1"/>
        <v>2024</v>
      </c>
      <c r="O566" s="7" t="str">
        <f t="shared" si="2"/>
        <v>junio</v>
      </c>
      <c r="P566" s="7" t="s">
        <v>5317</v>
      </c>
    </row>
    <row r="567">
      <c r="A567" s="19">
        <f>'Respuestas de formulario 1'!A567</f>
        <v>45453.67293</v>
      </c>
      <c r="B567" s="7" t="str">
        <f>'Respuestas de formulario 1'!B567</f>
        <v>La Valva</v>
      </c>
      <c r="C567" s="7" t="str">
        <f>'Respuestas de formulario 1'!C567</f>
        <v>Trinidad</v>
      </c>
      <c r="D567" s="7" t="str">
        <f>'Respuestas de formulario 1'!D567</f>
        <v>trinilav2004@gmail.com</v>
      </c>
      <c r="E567" s="20">
        <f>'Respuestas de formulario 1'!E567</f>
        <v>37996</v>
      </c>
      <c r="F567" s="7">
        <f>'Respuestas de formulario 1'!F567</f>
        <v>45243123</v>
      </c>
      <c r="G567" s="7" t="str">
        <f>IFERROR(__xludf.DUMMYFUNCTION("IF('Respuestas de formulario 1'!G567="""","""",IF(LEFT(REGEXREPLACE(TO_TEXT('Respuestas de formulario 1'!G567),""[^0-9]"",""""),2)=""54"",""+""&amp;REGEXREPLACE(TO_TEXT('Respuestas de formulario 1'!G567),""[^0-9]"",""""),""+54""&amp;REGEXREPLACE(TO_TEXT('Respuest"&amp;"as de formulario 1'!G567),""[^0-9]"","""")))"),"+543512606496")</f>
        <v>+543512606496</v>
      </c>
      <c r="H567" s="7">
        <f>'Respuestas de formulario 1'!S567</f>
        <v>2024</v>
      </c>
      <c r="I567" s="7" t="str">
        <f>IFERROR(__xludf.DUMMYFUNCTION("IF('Respuestas de formulario 1'!I567="""","""",TO_TEXT('Respuestas de formulario 1'!I567))"),"Obra social")</f>
        <v>Obra social</v>
      </c>
      <c r="J567" s="7" t="str">
        <f>IFERROR(__xludf.DUMMYFUNCTION("IF('Respuestas de formulario 1'!J567&lt;&gt;"""",UPPER(TRIM(TO_TEXT('Respuestas de formulario 1'!J567))),IF('Respuestas de formulario 1'!O567&lt;&gt;"""",UPPER(TRIM(TO_TEXT('Respuestas de formulario 1'!O567))),""""))"),"APROSS")</f>
        <v>APROSS</v>
      </c>
      <c r="K567" s="7" t="str">
        <f>IFERROR(__xludf.DUMMYFUNCTION("IF('Respuestas de formulario 1'!K567="""","""",TO_TEXT('Respuestas de formulario 1'!K567))"),"Si")</f>
        <v>Si</v>
      </c>
      <c r="L567" s="7" t="str">
        <f>IFERROR(__xludf.DUMMYFUNCTION("IF('Respuestas de formulario 1'!L567="""","""",TO_TEXT('Respuestas de formulario 1'!L567))"),"Fútbol")</f>
        <v>Fútbol</v>
      </c>
      <c r="M567" s="7" t="str">
        <f>IFERROR(__xludf.DUMMYFUNCTION("IF('Respuestas de formulario 1'!M567="""","""",TO_TEXT('Respuestas de formulario 1'!M567))"),"1 a 2 veces por semana")</f>
        <v>1 a 2 veces por semana</v>
      </c>
      <c r="N567" s="7">
        <f t="shared" si="1"/>
        <v>2024</v>
      </c>
      <c r="O567" s="7" t="str">
        <f t="shared" si="2"/>
        <v>junio</v>
      </c>
      <c r="P567" s="7" t="s">
        <v>5319</v>
      </c>
    </row>
    <row r="568">
      <c r="A568" s="19">
        <f>'Respuestas de formulario 1'!A568</f>
        <v>45453.79268</v>
      </c>
      <c r="B568" s="7" t="str">
        <f>'Respuestas de formulario 1'!B568</f>
        <v>Festa</v>
      </c>
      <c r="C568" s="7" t="str">
        <f>'Respuestas de formulario 1'!C568</f>
        <v>Walter</v>
      </c>
      <c r="D568" s="7" t="str">
        <f>'Respuestas de formulario 1'!D568</f>
        <v>unmaridoencasaweb@gmail.com</v>
      </c>
      <c r="E568" s="20">
        <f>'Respuestas de formulario 1'!E568</f>
        <v>24445</v>
      </c>
      <c r="F568" s="7">
        <f>'Respuestas de formulario 1'!F568</f>
        <v>18174227</v>
      </c>
      <c r="G568" s="7" t="str">
        <f>IFERROR(__xludf.DUMMYFUNCTION("IF('Respuestas de formulario 1'!G568="""","""",IF(LEFT(REGEXREPLACE(TO_TEXT('Respuestas de formulario 1'!G568),""[^0-9]"",""""),2)=""54"",""+""&amp;REGEXREPLACE(TO_TEXT('Respuestas de formulario 1'!G568),""[^0-9]"",""""),""+54""&amp;REGEXREPLACE(TO_TEXT('Respuest"&amp;"as de formulario 1'!G568),""[^0-9]"","""")))"),"+543516878235")</f>
        <v>+543516878235</v>
      </c>
      <c r="H568" s="7">
        <f>'Respuestas de formulario 1'!S568</f>
        <v>2024</v>
      </c>
      <c r="I568" s="7" t="str">
        <f>IFERROR(__xludf.DUMMYFUNCTION("IF('Respuestas de formulario 1'!I568="""","""",TO_TEXT('Respuestas de formulario 1'!I568))"),"Particular")</f>
        <v>Particular</v>
      </c>
      <c r="J568" s="7" t="str">
        <f>IFERROR(__xludf.DUMMYFUNCTION("IF('Respuestas de formulario 1'!J568&lt;&gt;"""",UPPER(TRIM(TO_TEXT('Respuestas de formulario 1'!J568))),IF('Respuestas de formulario 1'!O568&lt;&gt;"""",UPPER(TRIM(TO_TEXT('Respuestas de formulario 1'!O568))),""""))"),"")</f>
        <v/>
      </c>
      <c r="K568" s="7" t="str">
        <f>IFERROR(__xludf.DUMMYFUNCTION("IF('Respuestas de formulario 1'!K568="""","""",TO_TEXT('Respuestas de formulario 1'!K568))"),"Si")</f>
        <v>Si</v>
      </c>
      <c r="L568" s="7" t="str">
        <f>IFERROR(__xludf.DUMMYFUNCTION("IF('Respuestas de formulario 1'!L568="""","""",TO_TEXT('Respuestas de formulario 1'!L568))"),"Running")</f>
        <v>Running</v>
      </c>
      <c r="M568" s="7" t="str">
        <f>IFERROR(__xludf.DUMMYFUNCTION("IF('Respuestas de formulario 1'!M568="""","""",TO_TEXT('Respuestas de formulario 1'!M568))"),"6 a 7 veces por semana")</f>
        <v>6 a 7 veces por semana</v>
      </c>
      <c r="N568" s="7">
        <f t="shared" si="1"/>
        <v>2024</v>
      </c>
      <c r="O568" s="7" t="str">
        <f t="shared" si="2"/>
        <v>junio</v>
      </c>
      <c r="P568" s="7" t="s">
        <v>5321</v>
      </c>
    </row>
    <row r="569">
      <c r="A569" s="19">
        <f>'Respuestas de formulario 1'!A569</f>
        <v>45453.95019</v>
      </c>
      <c r="B569" s="7" t="str">
        <f>'Respuestas de formulario 1'!B569</f>
        <v>Salguero </v>
      </c>
      <c r="C569" s="7" t="str">
        <f>'Respuestas de formulario 1'!C569</f>
        <v>Daniel</v>
      </c>
      <c r="D569" s="7" t="str">
        <f>'Respuestas de formulario 1'!D569</f>
        <v>Daniel.salguero820@gmail.com </v>
      </c>
      <c r="E569" s="20">
        <f>'Respuestas de formulario 1'!E569</f>
        <v>32396</v>
      </c>
      <c r="F569" s="7">
        <f>'Respuestas de formulario 1'!F569</f>
        <v>33894820</v>
      </c>
      <c r="G569" s="7" t="str">
        <f>IFERROR(__xludf.DUMMYFUNCTION("IF('Respuestas de formulario 1'!G569="""","""",IF(LEFT(REGEXREPLACE(TO_TEXT('Respuestas de formulario 1'!G569),""[^0-9]"",""""),2)=""54"",""+""&amp;REGEXREPLACE(TO_TEXT('Respuestas de formulario 1'!G569),""[^0-9]"",""""),""+54""&amp;REGEXREPLACE(TO_TEXT('Respuest"&amp;"as de formulario 1'!G569),""[^0-9]"","""")))"),"+543518058807")</f>
        <v>+543518058807</v>
      </c>
      <c r="H569" s="7">
        <f>'Respuestas de formulario 1'!S569</f>
        <v>2024</v>
      </c>
      <c r="I569" s="7" t="str">
        <f>IFERROR(__xludf.DUMMYFUNCTION("IF('Respuestas de formulario 1'!I569="""","""",TO_TEXT('Respuestas de formulario 1'!I569))"),"Obra social")</f>
        <v>Obra social</v>
      </c>
      <c r="J569" s="7" t="str">
        <f>IFERROR(__xludf.DUMMYFUNCTION("IF('Respuestas de formulario 1'!J569&lt;&gt;"""",UPPER(TRIM(TO_TEXT('Respuestas de formulario 1'!J569))),IF('Respuestas de formulario 1'!O569&lt;&gt;"""",UPPER(TRIM(TO_TEXT('Respuestas de formulario 1'!O569))),""""))"),"GEA")</f>
        <v>GEA</v>
      </c>
      <c r="K569" s="7" t="str">
        <f>IFERROR(__xludf.DUMMYFUNCTION("IF('Respuestas de formulario 1'!K569="""","""",TO_TEXT('Respuestas de formulario 1'!K569))"),"Si")</f>
        <v>Si</v>
      </c>
      <c r="L569" s="7" t="str">
        <f>IFERROR(__xludf.DUMMYFUNCTION("IF('Respuestas de formulario 1'!L569="""","""",TO_TEXT('Respuestas de formulario 1'!L569))"),"Running")</f>
        <v>Running</v>
      </c>
      <c r="M569" s="7" t="str">
        <f>IFERROR(__xludf.DUMMYFUNCTION("IF('Respuestas de formulario 1'!M569="""","""",TO_TEXT('Respuestas de formulario 1'!M569))"),"3 a 5 veces por semana")</f>
        <v>3 a 5 veces por semana</v>
      </c>
      <c r="N569" s="7">
        <f t="shared" si="1"/>
        <v>2024</v>
      </c>
      <c r="O569" s="7" t="str">
        <f t="shared" si="2"/>
        <v>junio</v>
      </c>
      <c r="P569" s="7" t="s">
        <v>5323</v>
      </c>
    </row>
    <row r="570">
      <c r="A570" s="19">
        <f>'Respuestas de formulario 1'!A570</f>
        <v>45455.83231</v>
      </c>
      <c r="B570" s="7" t="str">
        <f>'Respuestas de formulario 1'!B570</f>
        <v>Bruzzo</v>
      </c>
      <c r="C570" s="7" t="str">
        <f>'Respuestas de formulario 1'!C570</f>
        <v>César </v>
      </c>
      <c r="D570" s="7" t="str">
        <f>'Respuestas de formulario 1'!D570</f>
        <v>ce_bruzzo@hotmail.com</v>
      </c>
      <c r="E570" s="20">
        <f>'Respuestas de formulario 1'!E570</f>
        <v>30972</v>
      </c>
      <c r="F570" s="7">
        <f>'Respuestas de formulario 1'!F570</f>
        <v>31057686</v>
      </c>
      <c r="G570" s="7" t="str">
        <f>IFERROR(__xludf.DUMMYFUNCTION("IF('Respuestas de formulario 1'!G570="""","""",IF(LEFT(REGEXREPLACE(TO_TEXT('Respuestas de formulario 1'!G570),""[^0-9]"",""""),2)=""54"",""+""&amp;REGEXREPLACE(TO_TEXT('Respuestas de formulario 1'!G570),""[^0-9]"",""""),""+54""&amp;REGEXREPLACE(TO_TEXT('Respuest"&amp;"as de formulario 1'!G570),""[^0-9]"","""")))"),"+543513139577")</f>
        <v>+543513139577</v>
      </c>
      <c r="H570" s="7">
        <f>'Respuestas de formulario 1'!S570</f>
        <v>2024</v>
      </c>
      <c r="I570" s="7" t="str">
        <f>IFERROR(__xludf.DUMMYFUNCTION("IF('Respuestas de formulario 1'!I570="""","""",TO_TEXT('Respuestas de formulario 1'!I570))"),"Obra social")</f>
        <v>Obra social</v>
      </c>
      <c r="J570" s="7" t="str">
        <f>IFERROR(__xludf.DUMMYFUNCTION("IF('Respuestas de formulario 1'!J570&lt;&gt;"""",UPPER(TRIM(TO_TEXT('Respuestas de formulario 1'!J570))),IF('Respuestas de formulario 1'!O570&lt;&gt;"""",UPPER(TRIM(TO_TEXT('Respuestas de formulario 1'!O570))),""""))"),"PREVENCIÓN")</f>
        <v>PREVENCIÓN</v>
      </c>
      <c r="K570" s="7" t="str">
        <f>IFERROR(__xludf.DUMMYFUNCTION("IF('Respuestas de formulario 1'!K570="""","""",TO_TEXT('Respuestas de formulario 1'!K570))"),"Si")</f>
        <v>Si</v>
      </c>
      <c r="L570" s="7" t="str">
        <f>IFERROR(__xludf.DUMMYFUNCTION("IF('Respuestas de formulario 1'!L570="""","""",TO_TEXT('Respuestas de formulario 1'!L570))"),"Fútbol")</f>
        <v>Fútbol</v>
      </c>
      <c r="M570" s="7" t="str">
        <f>IFERROR(__xludf.DUMMYFUNCTION("IF('Respuestas de formulario 1'!M570="""","""",TO_TEXT('Respuestas de formulario 1'!M570))"),"1 a 2 veces por semana")</f>
        <v>1 a 2 veces por semana</v>
      </c>
      <c r="N570" s="7">
        <f t="shared" si="1"/>
        <v>2024</v>
      </c>
      <c r="O570" s="7" t="str">
        <f t="shared" si="2"/>
        <v>junio</v>
      </c>
      <c r="P570" s="7" t="s">
        <v>5325</v>
      </c>
    </row>
    <row r="571">
      <c r="A571" s="19">
        <f>'Respuestas de formulario 1'!A571</f>
        <v>45455.85147</v>
      </c>
      <c r="B571" s="7" t="str">
        <f>'Respuestas de formulario 1'!B571</f>
        <v>Atienza</v>
      </c>
      <c r="C571" s="7" t="str">
        <f>'Respuestas de formulario 1'!C571</f>
        <v>Julieta</v>
      </c>
      <c r="D571" s="7" t="str">
        <f>'Respuestas de formulario 1'!D571</f>
        <v>Julieta.atienza@mi.unc.edu.ar </v>
      </c>
      <c r="E571" s="20">
        <f>'Respuestas de formulario 1'!E571</f>
        <v>37203</v>
      </c>
      <c r="F571" s="21">
        <f>'Respuestas de formulario 1'!F571</f>
        <v>43763356</v>
      </c>
      <c r="G571" s="7" t="str">
        <f>IFERROR(__xludf.DUMMYFUNCTION("IF('Respuestas de formulario 1'!G571="""","""",IF(LEFT(REGEXREPLACE(TO_TEXT('Respuestas de formulario 1'!G571),""[^0-9]"",""""),2)=""54"",""+""&amp;REGEXREPLACE(TO_TEXT('Respuestas de formulario 1'!G571),""[^0-9]"",""""),""+54""&amp;REGEXREPLACE(TO_TEXT('Respuest"&amp;"as de formulario 1'!G571),""[^0-9]"","""")))"),"+542645300647")</f>
        <v>+542645300647</v>
      </c>
      <c r="H571" s="7">
        <f>'Respuestas de formulario 1'!S571</f>
        <v>2024</v>
      </c>
      <c r="I571" s="7" t="str">
        <f>IFERROR(__xludf.DUMMYFUNCTION("IF('Respuestas de formulario 1'!I571="""","""",TO_TEXT('Respuestas de formulario 1'!I571))"),"Particular")</f>
        <v>Particular</v>
      </c>
      <c r="J571" s="7" t="str">
        <f>IFERROR(__xludf.DUMMYFUNCTION("IF('Respuestas de formulario 1'!J571&lt;&gt;"""",UPPER(TRIM(TO_TEXT('Respuestas de formulario 1'!J571))),IF('Respuestas de formulario 1'!O571&lt;&gt;"""",UPPER(TRIM(TO_TEXT('Respuestas de formulario 1'!O571))),""""))"),"")</f>
        <v/>
      </c>
      <c r="K571" s="7" t="str">
        <f>IFERROR(__xludf.DUMMYFUNCTION("IF('Respuestas de formulario 1'!K571="""","""",TO_TEXT('Respuestas de formulario 1'!K571))"),"No")</f>
        <v>No</v>
      </c>
      <c r="L571" s="7" t="str">
        <f>IFERROR(__xludf.DUMMYFUNCTION("IF('Respuestas de formulario 1'!L571="""","""",TO_TEXT('Respuestas de formulario 1'!L571))"),"")</f>
        <v/>
      </c>
      <c r="M571" s="7" t="str">
        <f>IFERROR(__xludf.DUMMYFUNCTION("IF('Respuestas de formulario 1'!M571="""","""",TO_TEXT('Respuestas de formulario 1'!M571))"),"")</f>
        <v/>
      </c>
      <c r="N571" s="7">
        <f t="shared" si="1"/>
        <v>2024</v>
      </c>
      <c r="O571" s="7" t="str">
        <f t="shared" si="2"/>
        <v>junio</v>
      </c>
      <c r="P571" s="7" t="s">
        <v>5327</v>
      </c>
    </row>
    <row r="572">
      <c r="A572" s="19">
        <f>'Respuestas de formulario 1'!A572</f>
        <v>45461.61398</v>
      </c>
      <c r="B572" s="7" t="str">
        <f>'Respuestas de formulario 1'!B572</f>
        <v>Gudiño</v>
      </c>
      <c r="C572" s="7" t="str">
        <f>'Respuestas de formulario 1'!C572</f>
        <v>Ivana </v>
      </c>
      <c r="D572" s="7" t="str">
        <f>'Respuestas de formulario 1'!D572</f>
        <v>ivanagudinio@gmail.com</v>
      </c>
      <c r="E572" s="20">
        <f>'Respuestas de formulario 1'!E572</f>
        <v>32396</v>
      </c>
      <c r="F572" s="7">
        <f>'Respuestas de formulario 1'!F572</f>
        <v>33892932</v>
      </c>
      <c r="G572" s="7" t="str">
        <f>IFERROR(__xludf.DUMMYFUNCTION("IF('Respuestas de formulario 1'!G572="""","""",IF(LEFT(REGEXREPLACE(TO_TEXT('Respuestas de formulario 1'!G572),""[^0-9]"",""""),2)=""54"",""+""&amp;REGEXREPLACE(TO_TEXT('Respuestas de formulario 1'!G572),""[^0-9]"",""""),""+54""&amp;REGEXREPLACE(TO_TEXT('Respuest"&amp;"as de formulario 1'!G572),""[^0-9]"","""")))"),"+543517548373")</f>
        <v>+543517548373</v>
      </c>
      <c r="H572" s="7">
        <f>'Respuestas de formulario 1'!S572</f>
        <v>2024</v>
      </c>
      <c r="I572" s="7" t="str">
        <f>IFERROR(__xludf.DUMMYFUNCTION("IF('Respuestas de formulario 1'!I572="""","""",TO_TEXT('Respuestas de formulario 1'!I572))"),"Particular")</f>
        <v>Particular</v>
      </c>
      <c r="J572" s="7" t="str">
        <f>IFERROR(__xludf.DUMMYFUNCTION("IF('Respuestas de formulario 1'!J572&lt;&gt;"""",UPPER(TRIM(TO_TEXT('Respuestas de formulario 1'!J572))),IF('Respuestas de formulario 1'!O572&lt;&gt;"""",UPPER(TRIM(TO_TEXT('Respuestas de formulario 1'!O572))),""""))"),"")</f>
        <v/>
      </c>
      <c r="K572" s="7" t="str">
        <f>IFERROR(__xludf.DUMMYFUNCTION("IF('Respuestas de formulario 1'!K572="""","""",TO_TEXT('Respuestas de formulario 1'!K572))"),"Si")</f>
        <v>Si</v>
      </c>
      <c r="L572" s="7" t="str">
        <f>IFERROR(__xludf.DUMMYFUNCTION("IF('Respuestas de formulario 1'!L572="""","""",TO_TEXT('Respuestas de formulario 1'!L572))"),"Running")</f>
        <v>Running</v>
      </c>
      <c r="M572" s="7" t="str">
        <f>IFERROR(__xludf.DUMMYFUNCTION("IF('Respuestas de formulario 1'!M572="""","""",TO_TEXT('Respuestas de formulario 1'!M572))"),"3 a 5 veces por semana")</f>
        <v>3 a 5 veces por semana</v>
      </c>
      <c r="N572" s="7">
        <f t="shared" si="1"/>
        <v>2024</v>
      </c>
      <c r="O572" s="7" t="str">
        <f t="shared" si="2"/>
        <v>junio</v>
      </c>
      <c r="P572" s="7" t="s">
        <v>5329</v>
      </c>
    </row>
    <row r="573">
      <c r="A573" s="19">
        <f>'Respuestas de formulario 1'!A573</f>
        <v>45462.78624</v>
      </c>
      <c r="B573" s="7" t="str">
        <f>'Respuestas de formulario 1'!B573</f>
        <v>Figueroa Giardi </v>
      </c>
      <c r="C573" s="7" t="str">
        <f>'Respuestas de formulario 1'!C573</f>
        <v>Francisco Uriel </v>
      </c>
      <c r="D573" s="7" t="str">
        <f>'Respuestas de formulario 1'!D573</f>
        <v>figue9804@gmail.com</v>
      </c>
      <c r="E573" s="20">
        <f>'Respuestas de formulario 1'!E573</f>
        <v>35927</v>
      </c>
      <c r="F573" s="7">
        <f>'Respuestas de formulario 1'!F573</f>
        <v>41115390</v>
      </c>
      <c r="G573" s="7" t="str">
        <f>IFERROR(__xludf.DUMMYFUNCTION("IF('Respuestas de formulario 1'!G573="""","""",IF(LEFT(REGEXREPLACE(TO_TEXT('Respuestas de formulario 1'!G573),""[^0-9]"",""""),2)=""54"",""+""&amp;REGEXREPLACE(TO_TEXT('Respuestas de formulario 1'!G573),""[^0-9]"",""""),""+54""&amp;REGEXREPLACE(TO_TEXT('Respuest"&amp;"as de formulario 1'!G573),""[^0-9]"","""")))"),"+543543642008")</f>
        <v>+543543642008</v>
      </c>
      <c r="H573" s="7">
        <f>'Respuestas de formulario 1'!S573</f>
        <v>2024</v>
      </c>
      <c r="I573" s="7" t="str">
        <f>IFERROR(__xludf.DUMMYFUNCTION("IF('Respuestas de formulario 1'!I573="""","""",TO_TEXT('Respuestas de formulario 1'!I573))"),"Particular")</f>
        <v>Particular</v>
      </c>
      <c r="J573" s="7" t="str">
        <f>IFERROR(__xludf.DUMMYFUNCTION("IF('Respuestas de formulario 1'!J573&lt;&gt;"""",UPPER(TRIM(TO_TEXT('Respuestas de formulario 1'!J573))),IF('Respuestas de formulario 1'!O573&lt;&gt;"""",UPPER(TRIM(TO_TEXT('Respuestas de formulario 1'!O573))),""""))"),"")</f>
        <v/>
      </c>
      <c r="K573" s="7" t="str">
        <f>IFERROR(__xludf.DUMMYFUNCTION("IF('Respuestas de formulario 1'!K573="""","""",TO_TEXT('Respuestas de formulario 1'!K573))"),"Si")</f>
        <v>Si</v>
      </c>
      <c r="L573" s="7" t="str">
        <f>IFERROR(__xludf.DUMMYFUNCTION("IF('Respuestas de formulario 1'!L573="""","""",TO_TEXT('Respuestas de formulario 1'!L573))"),"Gimnasio")</f>
        <v>Gimnasio</v>
      </c>
      <c r="M573" s="7" t="str">
        <f>IFERROR(__xludf.DUMMYFUNCTION("IF('Respuestas de formulario 1'!M573="""","""",TO_TEXT('Respuestas de formulario 1'!M573))"),"3 a 5 veces por semana")</f>
        <v>3 a 5 veces por semana</v>
      </c>
      <c r="N573" s="7">
        <f t="shared" si="1"/>
        <v>2024</v>
      </c>
      <c r="O573" s="7" t="str">
        <f t="shared" si="2"/>
        <v>junio</v>
      </c>
      <c r="P573" s="7" t="s">
        <v>5331</v>
      </c>
    </row>
    <row r="574">
      <c r="A574" s="19">
        <f>'Respuestas de formulario 1'!A574</f>
        <v>45463.83861</v>
      </c>
      <c r="B574" s="7" t="str">
        <f>'Respuestas de formulario 1'!B574</f>
        <v>Carreras</v>
      </c>
      <c r="C574" s="7" t="str">
        <f>'Respuestas de formulario 1'!C574</f>
        <v>Julieta </v>
      </c>
      <c r="D574" s="7" t="str">
        <f>'Respuestas de formulario 1'!D574</f>
        <v>julieta.carreras09@gmail.com</v>
      </c>
      <c r="E574" s="20">
        <f>'Respuestas de formulario 1'!E574</f>
        <v>38330</v>
      </c>
      <c r="F574" s="7">
        <f>'Respuestas de formulario 1'!F574</f>
        <v>46032866</v>
      </c>
      <c r="G574" s="7" t="str">
        <f>IFERROR(__xludf.DUMMYFUNCTION("IF('Respuestas de formulario 1'!G574="""","""",IF(LEFT(REGEXREPLACE(TO_TEXT('Respuestas de formulario 1'!G574),""[^0-9]"",""""),2)=""54"",""+""&amp;REGEXREPLACE(TO_TEXT('Respuestas de formulario 1'!G574),""[^0-9]"",""""),""+54""&amp;REGEXREPLACE(TO_TEXT('Respuest"&amp;"as de formulario 1'!G574),""[^0-9]"","""")))"),"+543513083558")</f>
        <v>+543513083558</v>
      </c>
      <c r="H574" s="7">
        <f>'Respuestas de formulario 1'!S574</f>
        <v>2024</v>
      </c>
      <c r="I574" s="7" t="str">
        <f>IFERROR(__xludf.DUMMYFUNCTION("IF('Respuestas de formulario 1'!I574="""","""",TO_TEXT('Respuestas de formulario 1'!I574))"),"Obra social")</f>
        <v>Obra social</v>
      </c>
      <c r="J574" s="7" t="str">
        <f>IFERROR(__xludf.DUMMYFUNCTION("IF('Respuestas de formulario 1'!J574&lt;&gt;"""",UPPER(TRIM(TO_TEXT('Respuestas de formulario 1'!J574))),IF('Respuestas de formulario 1'!O574&lt;&gt;"""",UPPER(TRIM(TO_TEXT('Respuestas de formulario 1'!O574))),""""))"),"BOREAL")</f>
        <v>BOREAL</v>
      </c>
      <c r="K574" s="7" t="str">
        <f>IFERROR(__xludf.DUMMYFUNCTION("IF('Respuestas de formulario 1'!K574="""","""",TO_TEXT('Respuestas de formulario 1'!K574))"),"Si")</f>
        <v>Si</v>
      </c>
      <c r="L574" s="7" t="str">
        <f>IFERROR(__xludf.DUMMYFUNCTION("IF('Respuestas de formulario 1'!L574="""","""",TO_TEXT('Respuestas de formulario 1'!L574))"),"Voley")</f>
        <v>Voley</v>
      </c>
      <c r="M574" s="7" t="str">
        <f>IFERROR(__xludf.DUMMYFUNCTION("IF('Respuestas de formulario 1'!M574="""","""",TO_TEXT('Respuestas de formulario 1'!M574))"),"3 a 5 veces por semana")</f>
        <v>3 a 5 veces por semana</v>
      </c>
      <c r="N574" s="7">
        <f t="shared" si="1"/>
        <v>2024</v>
      </c>
      <c r="O574" s="7" t="str">
        <f t="shared" si="2"/>
        <v>junio</v>
      </c>
      <c r="P574" s="7" t="s">
        <v>5333</v>
      </c>
    </row>
    <row r="575">
      <c r="A575" s="19">
        <f>'Respuestas de formulario 1'!A575</f>
        <v>45467.68086</v>
      </c>
      <c r="B575" s="7" t="str">
        <f>'Respuestas de formulario 1'!B575</f>
        <v>Bergoglio</v>
      </c>
      <c r="C575" s="7" t="str">
        <f>'Respuestas de formulario 1'!C575</f>
        <v>Bruno </v>
      </c>
      <c r="D575" s="7" t="str">
        <f>'Respuestas de formulario 1'!D575</f>
        <v>brunobergoglio99@gmail.com</v>
      </c>
      <c r="E575" s="20">
        <f>'Respuestas de formulario 1'!E575</f>
        <v>36199</v>
      </c>
      <c r="F575" s="7">
        <f>'Respuestas de formulario 1'!F575</f>
        <v>41735937</v>
      </c>
      <c r="G575" s="7" t="str">
        <f>IFERROR(__xludf.DUMMYFUNCTION("IF('Respuestas de formulario 1'!G575="""","""",IF(LEFT(REGEXREPLACE(TO_TEXT('Respuestas de formulario 1'!G575),""[^0-9]"",""""),2)=""54"",""+""&amp;REGEXREPLACE(TO_TEXT('Respuestas de formulario 1'!G575),""[^0-9]"",""""),""+54""&amp;REGEXREPLACE(TO_TEXT('Respuest"&amp;"as de formulario 1'!G575),""[^0-9]"","""")))"),"+543517535954")</f>
        <v>+543517535954</v>
      </c>
      <c r="H575" s="7">
        <f>'Respuestas de formulario 1'!S575</f>
        <v>2024</v>
      </c>
      <c r="I575" s="7" t="str">
        <f>IFERROR(__xludf.DUMMYFUNCTION("IF('Respuestas de formulario 1'!I575="""","""",TO_TEXT('Respuestas de formulario 1'!I575))"),"Particular")</f>
        <v>Particular</v>
      </c>
      <c r="J575" s="7" t="str">
        <f>IFERROR(__xludf.DUMMYFUNCTION("IF('Respuestas de formulario 1'!J575&lt;&gt;"""",UPPER(TRIM(TO_TEXT('Respuestas de formulario 1'!J575))),IF('Respuestas de formulario 1'!O575&lt;&gt;"""",UPPER(TRIM(TO_TEXT('Respuestas de formulario 1'!O575))),""""))"),"")</f>
        <v/>
      </c>
      <c r="K575" s="7" t="str">
        <f>IFERROR(__xludf.DUMMYFUNCTION("IF('Respuestas de formulario 1'!K575="""","""",TO_TEXT('Respuestas de formulario 1'!K575))"),"Si")</f>
        <v>Si</v>
      </c>
      <c r="L575" s="7" t="str">
        <f>IFERROR(__xludf.DUMMYFUNCTION("IF('Respuestas de formulario 1'!L575="""","""",TO_TEXT('Respuestas de formulario 1'!L575))"),"Fútbol")</f>
        <v>Fútbol</v>
      </c>
      <c r="M575" s="7" t="str">
        <f>IFERROR(__xludf.DUMMYFUNCTION("IF('Respuestas de formulario 1'!M575="""","""",TO_TEXT('Respuestas de formulario 1'!M575))"),"")</f>
        <v/>
      </c>
      <c r="N575" s="7">
        <f t="shared" si="1"/>
        <v>2024</v>
      </c>
      <c r="O575" s="7" t="str">
        <f t="shared" si="2"/>
        <v>junio</v>
      </c>
      <c r="P575" s="7" t="s">
        <v>5335</v>
      </c>
    </row>
    <row r="576">
      <c r="A576" s="19">
        <f>'Respuestas de formulario 1'!A576</f>
        <v>45467.75726</v>
      </c>
      <c r="B576" s="7" t="str">
        <f>'Respuestas de formulario 1'!B576</f>
        <v>Sinastra</v>
      </c>
      <c r="C576" s="7" t="str">
        <f>'Respuestas de formulario 1'!C576</f>
        <v>Ezequiel</v>
      </c>
      <c r="D576" s="7" t="str">
        <f>'Respuestas de formulario 1'!D576</f>
        <v>esinastra@gmail.com</v>
      </c>
      <c r="E576" s="20">
        <f>'Respuestas de formulario 1'!E576</f>
        <v>33710</v>
      </c>
      <c r="F576" s="7">
        <f>'Respuestas de formulario 1'!F576</f>
        <v>36766785</v>
      </c>
      <c r="G576" s="7" t="str">
        <f>IFERROR(__xludf.DUMMYFUNCTION("IF('Respuestas de formulario 1'!G576="""","""",IF(LEFT(REGEXREPLACE(TO_TEXT('Respuestas de formulario 1'!G576),""[^0-9]"",""""),2)=""54"",""+""&amp;REGEXREPLACE(TO_TEXT('Respuestas de formulario 1'!G576),""[^0-9]"",""""),""+54""&amp;REGEXREPLACE(TO_TEXT('Respuest"&amp;"as de formulario 1'!G576),""[^0-9]"","""")))"),"+543512084672")</f>
        <v>+543512084672</v>
      </c>
      <c r="H576" s="7">
        <f>'Respuestas de formulario 1'!S576</f>
        <v>2024</v>
      </c>
      <c r="I576" s="7" t="str">
        <f>IFERROR(__xludf.DUMMYFUNCTION("IF('Respuestas de formulario 1'!I576="""","""",TO_TEXT('Respuestas de formulario 1'!I576))"),"Obra social")</f>
        <v>Obra social</v>
      </c>
      <c r="J576" s="7" t="str">
        <f>IFERROR(__xludf.DUMMYFUNCTION("IF('Respuestas de formulario 1'!J576&lt;&gt;"""",UPPER(TRIM(TO_TEXT('Respuestas de formulario 1'!J576))),IF('Respuestas de formulario 1'!O576&lt;&gt;"""",UPPER(TRIM(TO_TEXT('Respuestas de formulario 1'!O576))),""""))"),"SANCOR")</f>
        <v>SANCOR</v>
      </c>
      <c r="K576" s="7" t="str">
        <f>IFERROR(__xludf.DUMMYFUNCTION("IF('Respuestas de formulario 1'!K576="""","""",TO_TEXT('Respuestas de formulario 1'!K576))"),"No")</f>
        <v>No</v>
      </c>
      <c r="L576" s="7" t="str">
        <f>IFERROR(__xludf.DUMMYFUNCTION("IF('Respuestas de formulario 1'!L576="""","""",TO_TEXT('Respuestas de formulario 1'!L576))"),"")</f>
        <v/>
      </c>
      <c r="M576" s="7" t="str">
        <f>IFERROR(__xludf.DUMMYFUNCTION("IF('Respuestas de formulario 1'!M576="""","""",TO_TEXT('Respuestas de formulario 1'!M576))"),"")</f>
        <v/>
      </c>
      <c r="N576" s="7">
        <f t="shared" si="1"/>
        <v>2024</v>
      </c>
      <c r="O576" s="7" t="str">
        <f t="shared" si="2"/>
        <v>junio</v>
      </c>
      <c r="P576" s="7" t="s">
        <v>5337</v>
      </c>
    </row>
    <row r="577">
      <c r="A577" s="19">
        <f>'Respuestas de formulario 1'!A577</f>
        <v>45467.78975</v>
      </c>
      <c r="B577" s="7" t="str">
        <f>'Respuestas de formulario 1'!B577</f>
        <v>Leichner</v>
      </c>
      <c r="C577" s="7" t="str">
        <f>'Respuestas de formulario 1'!C577</f>
        <v>Matías </v>
      </c>
      <c r="D577" s="7" t="str">
        <f>'Respuestas de formulario 1'!D577</f>
        <v>Leichner.matias27@gmail.com</v>
      </c>
      <c r="E577" s="20">
        <f>'Respuestas de formulario 1'!E577</f>
        <v>31960</v>
      </c>
      <c r="F577" s="7">
        <f>'Respuestas de formulario 1'!F577</f>
        <v>33101362</v>
      </c>
      <c r="G577" s="7" t="str">
        <f>IFERROR(__xludf.DUMMYFUNCTION("IF('Respuestas de formulario 1'!G577="""","""",IF(LEFT(REGEXREPLACE(TO_TEXT('Respuestas de formulario 1'!G577),""[^0-9]"",""""),2)=""54"",""+""&amp;REGEXREPLACE(TO_TEXT('Respuestas de formulario 1'!G577),""[^0-9]"",""""),""+54""&amp;REGEXREPLACE(TO_TEXT('Respuest"&amp;"as de formulario 1'!G577),""[^0-9]"","""")))"),"+543512335760")</f>
        <v>+543512335760</v>
      </c>
      <c r="H577" s="7">
        <f>'Respuestas de formulario 1'!S577</f>
        <v>2024</v>
      </c>
      <c r="I577" s="7" t="str">
        <f>IFERROR(__xludf.DUMMYFUNCTION("IF('Respuestas de formulario 1'!I577="""","""",TO_TEXT('Respuestas de formulario 1'!I577))"),"Obra social")</f>
        <v>Obra social</v>
      </c>
      <c r="J577" s="7" t="str">
        <f>IFERROR(__xludf.DUMMYFUNCTION("IF('Respuestas de formulario 1'!J577&lt;&gt;"""",UPPER(TRIM(TO_TEXT('Respuestas de formulario 1'!J577))),IF('Respuestas de formulario 1'!O577&lt;&gt;"""",UPPER(TRIM(TO_TEXT('Respuestas de formulario 1'!O577))),""""))"),"OMIN")</f>
        <v>OMIN</v>
      </c>
      <c r="K577" s="7" t="str">
        <f>IFERROR(__xludf.DUMMYFUNCTION("IF('Respuestas de formulario 1'!K577="""","""",TO_TEXT('Respuestas de formulario 1'!K577))"),"Si")</f>
        <v>Si</v>
      </c>
      <c r="L577" s="7" t="str">
        <f>IFERROR(__xludf.DUMMYFUNCTION("IF('Respuestas de formulario 1'!L577="""","""",TO_TEXT('Respuestas de formulario 1'!L577))"),"Fútbol")</f>
        <v>Fútbol</v>
      </c>
      <c r="M577" s="7" t="str">
        <f>IFERROR(__xludf.DUMMYFUNCTION("IF('Respuestas de formulario 1'!M577="""","""",TO_TEXT('Respuestas de formulario 1'!M577))"),"1 a 2 veces por semana")</f>
        <v>1 a 2 veces por semana</v>
      </c>
      <c r="N577" s="7">
        <f t="shared" si="1"/>
        <v>2024</v>
      </c>
      <c r="O577" s="7" t="str">
        <f t="shared" si="2"/>
        <v>junio</v>
      </c>
      <c r="P577" s="7" t="s">
        <v>5339</v>
      </c>
    </row>
    <row r="578">
      <c r="A578" s="19">
        <f>'Respuestas de formulario 1'!A578</f>
        <v>45468.60597</v>
      </c>
      <c r="B578" s="7" t="str">
        <f>'Respuestas de formulario 1'!B578</f>
        <v>Capuano </v>
      </c>
      <c r="C578" s="7" t="str">
        <f>'Respuestas de formulario 1'!C578</f>
        <v>Carolina</v>
      </c>
      <c r="D578" s="7" t="str">
        <f>'Respuestas de formulario 1'!D578</f>
        <v>caritocapuano@gmail.com</v>
      </c>
      <c r="E578" s="20">
        <f>'Respuestas de formulario 1'!E578</f>
        <v>36227</v>
      </c>
      <c r="F578" s="7">
        <f>'Respuestas de formulario 1'!F578</f>
        <v>41810153</v>
      </c>
      <c r="G578" s="7" t="str">
        <f>IFERROR(__xludf.DUMMYFUNCTION("IF('Respuestas de formulario 1'!G578="""","""",IF(LEFT(REGEXREPLACE(TO_TEXT('Respuestas de formulario 1'!G578),""[^0-9]"",""""),2)=""54"",""+""&amp;REGEXREPLACE(TO_TEXT('Respuestas de formulario 1'!G578),""[^0-9]"",""""),""+54""&amp;REGEXREPLACE(TO_TEXT('Respuest"&amp;"as de formulario 1'!G578),""[^0-9]"","""")))"),"+543517516899")</f>
        <v>+543517516899</v>
      </c>
      <c r="H578" s="7">
        <f>'Respuestas de formulario 1'!S578</f>
        <v>2024</v>
      </c>
      <c r="I578" s="7" t="str">
        <f>IFERROR(__xludf.DUMMYFUNCTION("IF('Respuestas de formulario 1'!I578="""","""",TO_TEXT('Respuestas de formulario 1'!I578))"),"Obra social")</f>
        <v>Obra social</v>
      </c>
      <c r="J578" s="7" t="str">
        <f>IFERROR(__xludf.DUMMYFUNCTION("IF('Respuestas de formulario 1'!J578&lt;&gt;"""",UPPER(TRIM(TO_TEXT('Respuestas de formulario 1'!J578))),IF('Respuestas de formulario 1'!O578&lt;&gt;"""",UPPER(TRIM(TO_TEXT('Respuestas de formulario 1'!O578))),""""))"),"DASPU")</f>
        <v>DASPU</v>
      </c>
      <c r="K578" s="7" t="str">
        <f>IFERROR(__xludf.DUMMYFUNCTION("IF('Respuestas de formulario 1'!K578="""","""",TO_TEXT('Respuestas de formulario 1'!K578))"),"Si")</f>
        <v>Si</v>
      </c>
      <c r="L578" s="7" t="str">
        <f>IFERROR(__xludf.DUMMYFUNCTION("IF('Respuestas de formulario 1'!L578="""","""",TO_TEXT('Respuestas de formulario 1'!L578))"),"Gimnasio")</f>
        <v>Gimnasio</v>
      </c>
      <c r="M578" s="7" t="str">
        <f>IFERROR(__xludf.DUMMYFUNCTION("IF('Respuestas de formulario 1'!M578="""","""",TO_TEXT('Respuestas de formulario 1'!M578))"),"3 a 5 veces por semana")</f>
        <v>3 a 5 veces por semana</v>
      </c>
      <c r="N578" s="7">
        <f t="shared" si="1"/>
        <v>2024</v>
      </c>
      <c r="O578" s="7" t="str">
        <f t="shared" si="2"/>
        <v>junio</v>
      </c>
      <c r="P578" s="7" t="s">
        <v>5341</v>
      </c>
    </row>
    <row r="579">
      <c r="A579" s="19">
        <f>'Respuestas de formulario 1'!A579</f>
        <v>45469.47734</v>
      </c>
      <c r="B579" s="7" t="str">
        <f>'Respuestas de formulario 1'!B579</f>
        <v>Martinez</v>
      </c>
      <c r="C579" s="7" t="str">
        <f>'Respuestas de formulario 1'!C579</f>
        <v>Marite</v>
      </c>
      <c r="D579" s="7" t="str">
        <f>'Respuestas de formulario 1'!D579</f>
        <v>marite-martinez@hotmail.com</v>
      </c>
      <c r="E579" s="24">
        <f>'Respuestas de formulario 1'!E579</f>
        <v>20803</v>
      </c>
      <c r="F579" s="7">
        <f>'Respuestas de formulario 1'!F579</f>
        <v>12744863</v>
      </c>
      <c r="G579" s="7" t="str">
        <f>IFERROR(__xludf.DUMMYFUNCTION("IF('Respuestas de formulario 1'!G579="""","""",IF(LEFT(REGEXREPLACE(TO_TEXT('Respuestas de formulario 1'!G579),""[^0-9]"",""""),2)=""54"",""+""&amp;REGEXREPLACE(TO_TEXT('Respuestas de formulario 1'!G579),""[^0-9]"",""""),""+54""&amp;REGEXREPLACE(TO_TEXT('Respuest"&amp;"as de formulario 1'!G579),""[^0-9]"","""")))"),"+543513189626")</f>
        <v>+543513189626</v>
      </c>
      <c r="H579" s="7">
        <f>'Respuestas de formulario 1'!S579</f>
        <v>2024</v>
      </c>
      <c r="I579" s="7" t="str">
        <f>IFERROR(__xludf.DUMMYFUNCTION("IF('Respuestas de formulario 1'!I579="""","""",TO_TEXT('Respuestas de formulario 1'!I579))"),"Particular")</f>
        <v>Particular</v>
      </c>
      <c r="J579" s="7" t="str">
        <f>IFERROR(__xludf.DUMMYFUNCTION("IF('Respuestas de formulario 1'!J579&lt;&gt;"""",UPPER(TRIM(TO_TEXT('Respuestas de formulario 1'!J579))),IF('Respuestas de formulario 1'!O579&lt;&gt;"""",UPPER(TRIM(TO_TEXT('Respuestas de formulario 1'!O579))),""""))"),"")</f>
        <v/>
      </c>
      <c r="K579" s="7" t="str">
        <f>IFERROR(__xludf.DUMMYFUNCTION("IF('Respuestas de formulario 1'!K579="""","""",TO_TEXT('Respuestas de formulario 1'!K579))"),"Si")</f>
        <v>Si</v>
      </c>
      <c r="L579" s="7" t="str">
        <f>IFERROR(__xludf.DUMMYFUNCTION("IF('Respuestas de formulario 1'!L579="""","""",TO_TEXT('Respuestas de formulario 1'!L579))"),"Baile")</f>
        <v>Baile</v>
      </c>
      <c r="M579" s="7" t="str">
        <f>IFERROR(__xludf.DUMMYFUNCTION("IF('Respuestas de formulario 1'!M579="""","""",TO_TEXT('Respuestas de formulario 1'!M579))"),"3 a 5 veces por semana")</f>
        <v>3 a 5 veces por semana</v>
      </c>
      <c r="N579" s="7">
        <f t="shared" si="1"/>
        <v>2024</v>
      </c>
      <c r="O579" s="7" t="str">
        <f t="shared" si="2"/>
        <v>junio</v>
      </c>
      <c r="P579" s="7" t="s">
        <v>5343</v>
      </c>
    </row>
    <row r="580">
      <c r="A580" s="19">
        <f>'Respuestas de formulario 1'!A580</f>
        <v>45469.54419</v>
      </c>
      <c r="B580" s="7" t="str">
        <f>'Respuestas de formulario 1'!B580</f>
        <v>Barrera </v>
      </c>
      <c r="C580" s="7" t="str">
        <f>'Respuestas de formulario 1'!C580</f>
        <v>Patricia </v>
      </c>
      <c r="D580" s="7" t="str">
        <f>'Respuestas de formulario 1'!D580</f>
        <v>victoroviedo@live.com.ar</v>
      </c>
      <c r="E580" s="20">
        <f>'Respuestas de formulario 1'!E580</f>
        <v>45469</v>
      </c>
      <c r="F580" s="7">
        <f>'Respuestas de formulario 1'!F580</f>
        <v>20528479</v>
      </c>
      <c r="G580" s="7" t="str">
        <f>IFERROR(__xludf.DUMMYFUNCTION("IF('Respuestas de formulario 1'!G580="""","""",IF(LEFT(REGEXREPLACE(TO_TEXT('Respuestas de formulario 1'!G580),""[^0-9]"",""""),2)=""54"",""+""&amp;REGEXREPLACE(TO_TEXT('Respuestas de formulario 1'!G580),""[^0-9]"",""""),""+54""&amp;REGEXREPLACE(TO_TEXT('Respuest"&amp;"as de formulario 1'!G580),""[^0-9]"","""")))"),"+543513510244")</f>
        <v>+543513510244</v>
      </c>
      <c r="H580" s="7">
        <f>'Respuestas de formulario 1'!S580</f>
        <v>2024</v>
      </c>
      <c r="I580" s="7" t="str">
        <f>IFERROR(__xludf.DUMMYFUNCTION("IF('Respuestas de formulario 1'!I580="""","""",TO_TEXT('Respuestas de formulario 1'!I580))"),"Obra social")</f>
        <v>Obra social</v>
      </c>
      <c r="J580" s="7" t="str">
        <f>IFERROR(__xludf.DUMMYFUNCTION("IF('Respuestas de formulario 1'!J580&lt;&gt;"""",UPPER(TRIM(TO_TEXT('Respuestas de formulario 1'!J580))),IF('Respuestas de formulario 1'!O580&lt;&gt;"""",UPPER(TRIM(TO_TEXT('Respuestas de formulario 1'!O580))),""""))"),"BOREAL")</f>
        <v>BOREAL</v>
      </c>
      <c r="K580" s="7" t="str">
        <f>IFERROR(__xludf.DUMMYFUNCTION("IF('Respuestas de formulario 1'!K580="""","""",TO_TEXT('Respuestas de formulario 1'!K580))"),"No")</f>
        <v>No</v>
      </c>
      <c r="L580" s="7" t="str">
        <f>IFERROR(__xludf.DUMMYFUNCTION("IF('Respuestas de formulario 1'!L580="""","""",TO_TEXT('Respuestas de formulario 1'!L580))"),"")</f>
        <v/>
      </c>
      <c r="M580" s="7" t="str">
        <f>IFERROR(__xludf.DUMMYFUNCTION("IF('Respuestas de formulario 1'!M580="""","""",TO_TEXT('Respuestas de formulario 1'!M580))"),"")</f>
        <v/>
      </c>
      <c r="N580" s="7">
        <f t="shared" si="1"/>
        <v>2024</v>
      </c>
      <c r="O580" s="7" t="str">
        <f t="shared" si="2"/>
        <v>junio</v>
      </c>
      <c r="P580" s="7" t="s">
        <v>5345</v>
      </c>
    </row>
    <row r="581">
      <c r="A581" s="19">
        <f>'Respuestas de formulario 1'!A581</f>
        <v>45469.5827</v>
      </c>
      <c r="B581" s="7" t="str">
        <f>'Respuestas de formulario 1'!B581</f>
        <v>Vásquez </v>
      </c>
      <c r="C581" s="7" t="str">
        <f>'Respuestas de formulario 1'!C581</f>
        <v>Inés María </v>
      </c>
      <c r="D581" s="7" t="str">
        <f>'Respuestas de formulario 1'!D581</f>
        <v>Inés 77@live .com.ar</v>
      </c>
      <c r="E581" s="20">
        <f>'Respuestas de formulario 1'!E581</f>
        <v>28201</v>
      </c>
      <c r="F581" s="7">
        <f>'Respuestas de formulario 1'!F581</f>
        <v>25964312</v>
      </c>
      <c r="G581" s="7" t="str">
        <f>IFERROR(__xludf.DUMMYFUNCTION("IF('Respuestas de formulario 1'!G581="""","""",IF(LEFT(REGEXREPLACE(TO_TEXT('Respuestas de formulario 1'!G581),""[^0-9]"",""""),2)=""54"",""+""&amp;REGEXREPLACE(TO_TEXT('Respuestas de formulario 1'!G581),""[^0-9]"",""""),""+54""&amp;REGEXREPLACE(TO_TEXT('Respuest"&amp;"as de formulario 1'!G581),""[^0-9]"","""")))"),"+543516109616")</f>
        <v>+543516109616</v>
      </c>
      <c r="H581" s="7">
        <f>'Respuestas de formulario 1'!S581</f>
        <v>2024</v>
      </c>
      <c r="I581" s="7" t="str">
        <f>IFERROR(__xludf.DUMMYFUNCTION("IF('Respuestas de formulario 1'!I581="""","""",TO_TEXT('Respuestas de formulario 1'!I581))"),"Obra social")</f>
        <v>Obra social</v>
      </c>
      <c r="J581" s="7" t="str">
        <f>IFERROR(__xludf.DUMMYFUNCTION("IF('Respuestas de formulario 1'!J581&lt;&gt;"""",UPPER(TRIM(TO_TEXT('Respuestas de formulario 1'!J581))),IF('Respuestas de formulario 1'!O581&lt;&gt;"""",UPPER(TRIM(TO_TEXT('Respuestas de formulario 1'!O581))),""""))"),"PREVENCIÓN")</f>
        <v>PREVENCIÓN</v>
      </c>
      <c r="K581" s="7" t="str">
        <f>IFERROR(__xludf.DUMMYFUNCTION("IF('Respuestas de formulario 1'!K581="""","""",TO_TEXT('Respuestas de formulario 1'!K581))"),"Si")</f>
        <v>Si</v>
      </c>
      <c r="L581" s="7" t="str">
        <f>IFERROR(__xludf.DUMMYFUNCTION("IF('Respuestas de formulario 1'!L581="""","""",TO_TEXT('Respuestas de formulario 1'!L581))"),"Running")</f>
        <v>Running</v>
      </c>
      <c r="M581" s="7" t="str">
        <f>IFERROR(__xludf.DUMMYFUNCTION("IF('Respuestas de formulario 1'!M581="""","""",TO_TEXT('Respuestas de formulario 1'!M581))"),"3 a 5 veces por semana")</f>
        <v>3 a 5 veces por semana</v>
      </c>
      <c r="N581" s="7">
        <f t="shared" si="1"/>
        <v>2024</v>
      </c>
      <c r="O581" s="7" t="str">
        <f t="shared" si="2"/>
        <v>junio</v>
      </c>
      <c r="P581" s="7" t="s">
        <v>5347</v>
      </c>
    </row>
    <row r="582">
      <c r="A582" s="19">
        <f>'Respuestas de formulario 1'!A582</f>
        <v>45469.79867</v>
      </c>
      <c r="B582" s="7" t="str">
        <f>'Respuestas de formulario 1'!B582</f>
        <v>Cecchi</v>
      </c>
      <c r="C582" s="7" t="str">
        <f>'Respuestas de formulario 1'!C582</f>
        <v>Valentin</v>
      </c>
      <c r="D582" s="7" t="str">
        <f>'Respuestas de formulario 1'!D582</f>
        <v>cecchivalentin@gmail.com</v>
      </c>
      <c r="E582" s="20">
        <f>'Respuestas de formulario 1'!E582</f>
        <v>37038</v>
      </c>
      <c r="F582" s="7">
        <f>'Respuestas de formulario 1'!F582</f>
        <v>43367114</v>
      </c>
      <c r="G582" s="7" t="str">
        <f>IFERROR(__xludf.DUMMYFUNCTION("IF('Respuestas de formulario 1'!G582="""","""",IF(LEFT(REGEXREPLACE(TO_TEXT('Respuestas de formulario 1'!G582),""[^0-9]"",""""),2)=""54"",""+""&amp;REGEXREPLACE(TO_TEXT('Respuestas de formulario 1'!G582),""[^0-9]"",""""),""+54""&amp;REGEXREPLACE(TO_TEXT('Respuest"&amp;"as de formulario 1'!G582),""[^0-9]"","""")))"),"+543516893622")</f>
        <v>+543516893622</v>
      </c>
      <c r="H582" s="7">
        <f>'Respuestas de formulario 1'!S582</f>
        <v>2024</v>
      </c>
      <c r="I582" s="7" t="str">
        <f>IFERROR(__xludf.DUMMYFUNCTION("IF('Respuestas de formulario 1'!I582="""","""",TO_TEXT('Respuestas de formulario 1'!I582))"),"Particular")</f>
        <v>Particular</v>
      </c>
      <c r="J582" s="7" t="str">
        <f>IFERROR(__xludf.DUMMYFUNCTION("IF('Respuestas de formulario 1'!J582&lt;&gt;"""",UPPER(TRIM(TO_TEXT('Respuestas de formulario 1'!J582))),IF('Respuestas de formulario 1'!O582&lt;&gt;"""",UPPER(TRIM(TO_TEXT('Respuestas de formulario 1'!O582))),""""))"),"")</f>
        <v/>
      </c>
      <c r="K582" s="7" t="str">
        <f>IFERROR(__xludf.DUMMYFUNCTION("IF('Respuestas de formulario 1'!K582="""","""",TO_TEXT('Respuestas de formulario 1'!K582))"),"Si")</f>
        <v>Si</v>
      </c>
      <c r="L582" s="7" t="str">
        <f>IFERROR(__xludf.DUMMYFUNCTION("IF('Respuestas de formulario 1'!L582="""","""",TO_TEXT('Respuestas de formulario 1'!L582))"),"Gimnasio")</f>
        <v>Gimnasio</v>
      </c>
      <c r="M582" s="7" t="str">
        <f>IFERROR(__xludf.DUMMYFUNCTION("IF('Respuestas de formulario 1'!M582="""","""",TO_TEXT('Respuestas de formulario 1'!M582))"),"3 a 5 veces por semana")</f>
        <v>3 a 5 veces por semana</v>
      </c>
      <c r="N582" s="7">
        <f t="shared" si="1"/>
        <v>2024</v>
      </c>
      <c r="O582" s="7" t="str">
        <f t="shared" si="2"/>
        <v>junio</v>
      </c>
      <c r="P582" s="7" t="s">
        <v>5349</v>
      </c>
    </row>
    <row r="583">
      <c r="A583" s="19">
        <f>'Respuestas de formulario 1'!A583</f>
        <v>45469.81615</v>
      </c>
      <c r="B583" s="7" t="str">
        <f>'Respuestas de formulario 1'!B583</f>
        <v>MOLINA</v>
      </c>
      <c r="C583" s="7" t="str">
        <f>'Respuestas de formulario 1'!C583</f>
        <v>RICARDO JAVIER</v>
      </c>
      <c r="D583" s="7" t="str">
        <f>'Respuestas de formulario 1'!D583</f>
        <v>Gym-javi@hotmail.com</v>
      </c>
      <c r="E583" s="20">
        <f>'Respuestas de formulario 1'!E583</f>
        <v>29697</v>
      </c>
      <c r="F583" s="7">
        <f>'Respuestas de formulario 1'!F583</f>
        <v>28849108</v>
      </c>
      <c r="G583" s="7" t="str">
        <f>IFERROR(__xludf.DUMMYFUNCTION("IF('Respuestas de formulario 1'!G583="""","""",IF(LEFT(REGEXREPLACE(TO_TEXT('Respuestas de formulario 1'!G583),""[^0-9]"",""""),2)=""54"",""+""&amp;REGEXREPLACE(TO_TEXT('Respuestas de formulario 1'!G583),""[^0-9]"",""""),""+54""&amp;REGEXREPLACE(TO_TEXT('Respuest"&amp;"as de formulario 1'!G583),""[^0-9]"","""")))"),"+543516331313")</f>
        <v>+543516331313</v>
      </c>
      <c r="H583" s="7">
        <f>'Respuestas de formulario 1'!S583</f>
        <v>2024</v>
      </c>
      <c r="I583" s="7" t="str">
        <f>IFERROR(__xludf.DUMMYFUNCTION("IF('Respuestas de formulario 1'!I583="""","""",TO_TEXT('Respuestas de formulario 1'!I583))"),"Obra social")</f>
        <v>Obra social</v>
      </c>
      <c r="J583" s="7" t="str">
        <f>IFERROR(__xludf.DUMMYFUNCTION("IF('Respuestas de formulario 1'!J583&lt;&gt;"""",UPPER(TRIM(TO_TEXT('Respuestas de formulario 1'!J583))),IF('Respuestas de formulario 1'!O583&lt;&gt;"""",UPPER(TRIM(TO_TEXT('Respuestas de formulario 1'!O583))),""""))"),"APROSS")</f>
        <v>APROSS</v>
      </c>
      <c r="K583" s="7" t="str">
        <f>IFERROR(__xludf.DUMMYFUNCTION("IF('Respuestas de formulario 1'!K583="""","""",TO_TEXT('Respuestas de formulario 1'!K583))"),"Si")</f>
        <v>Si</v>
      </c>
      <c r="L583" s="7" t="str">
        <f>IFERROR(__xludf.DUMMYFUNCTION("IF('Respuestas de formulario 1'!L583="""","""",TO_TEXT('Respuestas de formulario 1'!L583))"),"Gimnasio")</f>
        <v>Gimnasio</v>
      </c>
      <c r="M583" s="7" t="str">
        <f>IFERROR(__xludf.DUMMYFUNCTION("IF('Respuestas de formulario 1'!M583="""","""",TO_TEXT('Respuestas de formulario 1'!M583))"),"3 a 5 veces por semana")</f>
        <v>3 a 5 veces por semana</v>
      </c>
      <c r="N583" s="7">
        <f t="shared" si="1"/>
        <v>2024</v>
      </c>
      <c r="O583" s="7" t="str">
        <f t="shared" si="2"/>
        <v>junio</v>
      </c>
      <c r="P583" s="7" t="s">
        <v>5351</v>
      </c>
    </row>
    <row r="584">
      <c r="A584" s="19">
        <f>'Respuestas de formulario 1'!A584</f>
        <v>45474.59513</v>
      </c>
      <c r="B584" s="7" t="str">
        <f>'Respuestas de formulario 1'!B584</f>
        <v>Aliaga</v>
      </c>
      <c r="C584" s="7" t="str">
        <f>'Respuestas de formulario 1'!C584</f>
        <v>Maria Mercedes</v>
      </c>
      <c r="D584" s="7" t="str">
        <f>'Respuestas de formulario 1'!D584</f>
        <v>marimealiaga@hormail.com</v>
      </c>
      <c r="E584" s="20">
        <f>'Respuestas de formulario 1'!E584</f>
        <v>27059</v>
      </c>
      <c r="F584" s="7">
        <f>'Respuestas de formulario 1'!F584</f>
        <v>23821812</v>
      </c>
      <c r="G584" s="7" t="str">
        <f>IFERROR(__xludf.DUMMYFUNCTION("IF('Respuestas de formulario 1'!G584="""","""",IF(LEFT(REGEXREPLACE(TO_TEXT('Respuestas de formulario 1'!G584),""[^0-9]"",""""),2)=""54"",""+""&amp;REGEXREPLACE(TO_TEXT('Respuestas de formulario 1'!G584),""[^0-9]"",""""),""+54""&amp;REGEXREPLACE(TO_TEXT('Respuest"&amp;"as de formulario 1'!G584),""[^0-9]"","""")))"),"+543516128265")</f>
        <v>+543516128265</v>
      </c>
      <c r="H584" s="7">
        <f>'Respuestas de formulario 1'!S584</f>
        <v>2024</v>
      </c>
      <c r="I584" s="7" t="str">
        <f>IFERROR(__xludf.DUMMYFUNCTION("IF('Respuestas de formulario 1'!I584="""","""",TO_TEXT('Respuestas de formulario 1'!I584))"),"Obra social")</f>
        <v>Obra social</v>
      </c>
      <c r="J584" s="7" t="str">
        <f>IFERROR(__xludf.DUMMYFUNCTION("IF('Respuestas de formulario 1'!J584&lt;&gt;"""",UPPER(TRIM(TO_TEXT('Respuestas de formulario 1'!J584))),IF('Respuestas de formulario 1'!O584&lt;&gt;"""",UPPER(TRIM(TO_TEXT('Respuestas de formulario 1'!O584))),""""))"),"MEDIFE")</f>
        <v>MEDIFE</v>
      </c>
      <c r="K584" s="7" t="str">
        <f>IFERROR(__xludf.DUMMYFUNCTION("IF('Respuestas de formulario 1'!K584="""","""",TO_TEXT('Respuestas de formulario 1'!K584))"),"No")</f>
        <v>No</v>
      </c>
      <c r="L584" s="7" t="str">
        <f>IFERROR(__xludf.DUMMYFUNCTION("IF('Respuestas de formulario 1'!L584="""","""",TO_TEXT('Respuestas de formulario 1'!L584))"),"")</f>
        <v/>
      </c>
      <c r="M584" s="7" t="str">
        <f>IFERROR(__xludf.DUMMYFUNCTION("IF('Respuestas de formulario 1'!M584="""","""",TO_TEXT('Respuestas de formulario 1'!M584))"),"")</f>
        <v/>
      </c>
      <c r="N584" s="7">
        <f t="shared" si="1"/>
        <v>2024</v>
      </c>
      <c r="O584" s="7" t="str">
        <f t="shared" si="2"/>
        <v>julio</v>
      </c>
      <c r="P584" s="7" t="s">
        <v>5353</v>
      </c>
    </row>
    <row r="585">
      <c r="A585" s="19">
        <f>'Respuestas de formulario 1'!A585</f>
        <v>45475.72485</v>
      </c>
      <c r="B585" s="7" t="str">
        <f>'Respuestas de formulario 1'!B585</f>
        <v>Bonifacio</v>
      </c>
      <c r="C585" s="7" t="str">
        <f>'Respuestas de formulario 1'!C585</f>
        <v>Daniel</v>
      </c>
      <c r="D585" s="7" t="str">
        <f>'Respuestas de formulario 1'!D585</f>
        <v/>
      </c>
      <c r="E585" s="20">
        <f>'Respuestas de formulario 1'!E585</f>
        <v>19327</v>
      </c>
      <c r="F585" s="7">
        <f>'Respuestas de formulario 1'!F585</f>
        <v>10683351</v>
      </c>
      <c r="G585" s="7" t="str">
        <f>IFERROR(__xludf.DUMMYFUNCTION("IF('Respuestas de formulario 1'!G585="""","""",IF(LEFT(REGEXREPLACE(TO_TEXT('Respuestas de formulario 1'!G585),""[^0-9]"",""""),2)=""54"",""+""&amp;REGEXREPLACE(TO_TEXT('Respuestas de formulario 1'!G585),""[^0-9]"",""""),""+54""&amp;REGEXREPLACE(TO_TEXT('Respuest"&amp;"as de formulario 1'!G585),""[^0-9]"","""")))"),"+543515083098")</f>
        <v>+543515083098</v>
      </c>
      <c r="H585" s="7">
        <f>'Respuestas de formulario 1'!S585</f>
        <v>2024</v>
      </c>
      <c r="I585" s="7" t="str">
        <f>IFERROR(__xludf.DUMMYFUNCTION("IF('Respuestas de formulario 1'!I585="""","""",TO_TEXT('Respuestas de formulario 1'!I585))"),"Particular")</f>
        <v>Particular</v>
      </c>
      <c r="J585" s="7" t="str">
        <f>IFERROR(__xludf.DUMMYFUNCTION("IF('Respuestas de formulario 1'!J585&lt;&gt;"""",UPPER(TRIM(TO_TEXT('Respuestas de formulario 1'!J585))),IF('Respuestas de formulario 1'!O585&lt;&gt;"""",UPPER(TRIM(TO_TEXT('Respuestas de formulario 1'!O585))),""""))"),"")</f>
        <v/>
      </c>
      <c r="K585" s="7" t="str">
        <f>IFERROR(__xludf.DUMMYFUNCTION("IF('Respuestas de formulario 1'!K585="""","""",TO_TEXT('Respuestas de formulario 1'!K585))"),"No")</f>
        <v>No</v>
      </c>
      <c r="L585" s="7" t="str">
        <f>IFERROR(__xludf.DUMMYFUNCTION("IF('Respuestas de formulario 1'!L585="""","""",TO_TEXT('Respuestas de formulario 1'!L585))"),"")</f>
        <v/>
      </c>
      <c r="M585" s="7" t="str">
        <f>IFERROR(__xludf.DUMMYFUNCTION("IF('Respuestas de formulario 1'!M585="""","""",TO_TEXT('Respuestas de formulario 1'!M585))"),"")</f>
        <v/>
      </c>
      <c r="N585" s="7">
        <f t="shared" si="1"/>
        <v>2024</v>
      </c>
      <c r="O585" s="7" t="str">
        <f t="shared" si="2"/>
        <v>julio</v>
      </c>
      <c r="P585" s="7" t="s">
        <v>5355</v>
      </c>
    </row>
    <row r="586">
      <c r="A586" s="19">
        <f>'Respuestas de formulario 1'!A586</f>
        <v>45475.81337</v>
      </c>
      <c r="B586" s="7" t="str">
        <f>'Respuestas de formulario 1'!B586</f>
        <v>Magallanes </v>
      </c>
      <c r="C586" s="7" t="str">
        <f>'Respuestas de formulario 1'!C586</f>
        <v>Rodrigo </v>
      </c>
      <c r="D586" s="7" t="str">
        <f>'Respuestas de formulario 1'!D586</f>
        <v>Rodrigocadcam@hotmail.com</v>
      </c>
      <c r="E586" s="20">
        <f>'Respuestas de formulario 1'!E586</f>
        <v>33279</v>
      </c>
      <c r="F586" s="7">
        <f>'Respuestas de formulario 1'!F586</f>
        <v>36240161</v>
      </c>
      <c r="G586" s="7" t="str">
        <f>IFERROR(__xludf.DUMMYFUNCTION("IF('Respuestas de formulario 1'!G586="""","""",IF(LEFT(REGEXREPLACE(TO_TEXT('Respuestas de formulario 1'!G586),""[^0-9]"",""""),2)=""54"",""+""&amp;REGEXREPLACE(TO_TEXT('Respuestas de formulario 1'!G586),""[^0-9]"",""""),""+54""&amp;REGEXREPLACE(TO_TEXT('Respuest"&amp;"as de formulario 1'!G586),""[^0-9]"","""")))"),"+543517674937")</f>
        <v>+543517674937</v>
      </c>
      <c r="H586" s="7">
        <f>'Respuestas de formulario 1'!S586</f>
        <v>2024</v>
      </c>
      <c r="I586" s="7" t="str">
        <f>IFERROR(__xludf.DUMMYFUNCTION("IF('Respuestas de formulario 1'!I586="""","""",TO_TEXT('Respuestas de formulario 1'!I586))"),"Particular")</f>
        <v>Particular</v>
      </c>
      <c r="J586" s="7" t="str">
        <f>IFERROR(__xludf.DUMMYFUNCTION("IF('Respuestas de formulario 1'!J586&lt;&gt;"""",UPPER(TRIM(TO_TEXT('Respuestas de formulario 1'!J586))),IF('Respuestas de formulario 1'!O586&lt;&gt;"""",UPPER(TRIM(TO_TEXT('Respuestas de formulario 1'!O586))),""""))"),"")</f>
        <v/>
      </c>
      <c r="K586" s="7" t="str">
        <f>IFERROR(__xludf.DUMMYFUNCTION("IF('Respuestas de formulario 1'!K586="""","""",TO_TEXT('Respuestas de formulario 1'!K586))"),"Si")</f>
        <v>Si</v>
      </c>
      <c r="L586" s="7" t="str">
        <f>IFERROR(__xludf.DUMMYFUNCTION("IF('Respuestas de formulario 1'!L586="""","""",TO_TEXT('Respuestas de formulario 1'!L586))"),"Gimnasio")</f>
        <v>Gimnasio</v>
      </c>
      <c r="M586" s="7" t="str">
        <f>IFERROR(__xludf.DUMMYFUNCTION("IF('Respuestas de formulario 1'!M586="""","""",TO_TEXT('Respuestas de formulario 1'!M586))"),"1 a 2 veces por semana")</f>
        <v>1 a 2 veces por semana</v>
      </c>
      <c r="N586" s="7">
        <f t="shared" si="1"/>
        <v>2024</v>
      </c>
      <c r="O586" s="7" t="str">
        <f t="shared" si="2"/>
        <v>julio</v>
      </c>
      <c r="P586" s="7" t="s">
        <v>5357</v>
      </c>
    </row>
    <row r="587">
      <c r="A587" s="19">
        <f>'Respuestas de formulario 1'!A587</f>
        <v>45476.79148</v>
      </c>
      <c r="B587" s="7" t="str">
        <f>'Respuestas de formulario 1'!B587</f>
        <v>Salas</v>
      </c>
      <c r="C587" s="7" t="str">
        <f>'Respuestas de formulario 1'!C587</f>
        <v>Yanina</v>
      </c>
      <c r="D587" s="7" t="str">
        <f>'Respuestas de formulario 1'!D587</f>
        <v>yaninasalas@gmail.com </v>
      </c>
      <c r="E587" s="20">
        <f>'Respuestas de formulario 1'!E587</f>
        <v>31274</v>
      </c>
      <c r="F587" s="7">
        <f>'Respuestas de formulario 1'!F587</f>
        <v>31768690</v>
      </c>
      <c r="G587" s="7" t="str">
        <f>IFERROR(__xludf.DUMMYFUNCTION("IF('Respuestas de formulario 1'!G587="""","""",IF(LEFT(REGEXREPLACE(TO_TEXT('Respuestas de formulario 1'!G587),""[^0-9]"",""""),2)=""54"",""+""&amp;REGEXREPLACE(TO_TEXT('Respuestas de formulario 1'!G587),""[^0-9]"",""""),""+54""&amp;REGEXREPLACE(TO_TEXT('Respuest"&amp;"as de formulario 1'!G587),""[^0-9]"","""")))"),"+543513912985")</f>
        <v>+543513912985</v>
      </c>
      <c r="H587" s="7">
        <f>'Respuestas de formulario 1'!S587</f>
        <v>2024</v>
      </c>
      <c r="I587" s="7" t="str">
        <f>IFERROR(__xludf.DUMMYFUNCTION("IF('Respuestas de formulario 1'!I587="""","""",TO_TEXT('Respuestas de formulario 1'!I587))"),"Obra social")</f>
        <v>Obra social</v>
      </c>
      <c r="J587" s="7" t="str">
        <f>IFERROR(__xludf.DUMMYFUNCTION("IF('Respuestas de formulario 1'!J587&lt;&gt;"""",UPPER(TRIM(TO_TEXT('Respuestas de formulario 1'!J587))),IF('Respuestas de formulario 1'!O587&lt;&gt;"""",UPPER(TRIM(TO_TEXT('Respuestas de formulario 1'!O587))),""""))"),"PREVENCIÓN")</f>
        <v>PREVENCIÓN</v>
      </c>
      <c r="K587" s="7" t="str">
        <f>IFERROR(__xludf.DUMMYFUNCTION("IF('Respuestas de formulario 1'!K587="""","""",TO_TEXT('Respuestas de formulario 1'!K587))"),"No")</f>
        <v>No</v>
      </c>
      <c r="L587" s="7" t="str">
        <f>IFERROR(__xludf.DUMMYFUNCTION("IF('Respuestas de formulario 1'!L587="""","""",TO_TEXT('Respuestas de formulario 1'!L587))"),"")</f>
        <v/>
      </c>
      <c r="M587" s="7" t="str">
        <f>IFERROR(__xludf.DUMMYFUNCTION("IF('Respuestas de formulario 1'!M587="""","""",TO_TEXT('Respuestas de formulario 1'!M587))"),"")</f>
        <v/>
      </c>
      <c r="N587" s="7">
        <f t="shared" si="1"/>
        <v>2024</v>
      </c>
      <c r="O587" s="7" t="str">
        <f t="shared" si="2"/>
        <v>julio</v>
      </c>
      <c r="P587" s="7" t="s">
        <v>5359</v>
      </c>
    </row>
    <row r="588">
      <c r="A588" s="19">
        <f>'Respuestas de formulario 1'!A588</f>
        <v>45477.35374</v>
      </c>
      <c r="B588" s="7" t="str">
        <f>'Respuestas de formulario 1'!B588</f>
        <v>BECCACECE </v>
      </c>
      <c r="C588" s="7" t="str">
        <f>'Respuestas de formulario 1'!C588</f>
        <v>Mariela Vanina</v>
      </c>
      <c r="D588" s="7" t="str">
        <f>'Respuestas de formulario 1'!D588</f>
        <v>marielabeccacece@gmail.com</v>
      </c>
      <c r="E588" s="20">
        <f>'Respuestas de formulario 1'!E588</f>
        <v>45588</v>
      </c>
      <c r="F588" s="7">
        <f>'Respuestas de formulario 1'!F588</f>
        <v>29713558</v>
      </c>
      <c r="G588" s="7" t="str">
        <f>IFERROR(__xludf.DUMMYFUNCTION("IF('Respuestas de formulario 1'!G588="""","""",IF(LEFT(REGEXREPLACE(TO_TEXT('Respuestas de formulario 1'!G588),""[^0-9]"",""""),2)=""54"",""+""&amp;REGEXREPLACE(TO_TEXT('Respuestas de formulario 1'!G588),""[^0-9]"",""""),""+54""&amp;REGEXREPLACE(TO_TEXT('Respuest"&amp;"as de formulario 1'!G588),""[^0-9]"","""")))"),"+543512069905")</f>
        <v>+543512069905</v>
      </c>
      <c r="H588" s="7">
        <f>'Respuestas de formulario 1'!S588</f>
        <v>2024</v>
      </c>
      <c r="I588" s="7" t="str">
        <f>IFERROR(__xludf.DUMMYFUNCTION("IF('Respuestas de formulario 1'!I588="""","""",TO_TEXT('Respuestas de formulario 1'!I588))"),"Obra social")</f>
        <v>Obra social</v>
      </c>
      <c r="J588" s="7" t="str">
        <f>IFERROR(__xludf.DUMMYFUNCTION("IF('Respuestas de formulario 1'!J588&lt;&gt;"""",UPPER(TRIM(TO_TEXT('Respuestas de formulario 1'!J588))),IF('Respuestas de formulario 1'!O588&lt;&gt;"""",UPPER(TRIM(TO_TEXT('Respuestas de formulario 1'!O588))),""""))"),"APROSS")</f>
        <v>APROSS</v>
      </c>
      <c r="K588" s="7" t="str">
        <f>IFERROR(__xludf.DUMMYFUNCTION("IF('Respuestas de formulario 1'!K588="""","""",TO_TEXT('Respuestas de formulario 1'!K588))"),"No")</f>
        <v>No</v>
      </c>
      <c r="L588" s="7" t="str">
        <f>IFERROR(__xludf.DUMMYFUNCTION("IF('Respuestas de formulario 1'!L588="""","""",TO_TEXT('Respuestas de formulario 1'!L588))"),"")</f>
        <v/>
      </c>
      <c r="M588" s="7" t="str">
        <f>IFERROR(__xludf.DUMMYFUNCTION("IF('Respuestas de formulario 1'!M588="""","""",TO_TEXT('Respuestas de formulario 1'!M588))"),"")</f>
        <v/>
      </c>
      <c r="N588" s="7">
        <f t="shared" si="1"/>
        <v>2024</v>
      </c>
      <c r="O588" s="7" t="str">
        <f t="shared" si="2"/>
        <v>julio</v>
      </c>
      <c r="P588" s="7" t="s">
        <v>5361</v>
      </c>
    </row>
    <row r="589">
      <c r="A589" s="19">
        <f>'Respuestas de formulario 1'!A589</f>
        <v>45477.4446</v>
      </c>
      <c r="B589" s="7" t="str">
        <f>'Respuestas de formulario 1'!B589</f>
        <v>Villafañe </v>
      </c>
      <c r="C589" s="7" t="str">
        <f>'Respuestas de formulario 1'!C589</f>
        <v>Claudio </v>
      </c>
      <c r="D589" s="7" t="str">
        <f>'Respuestas de formulario 1'!D589</f>
        <v>claudiovillafane@gmail.com</v>
      </c>
      <c r="E589" s="20">
        <f>'Respuestas de formulario 1'!E589</f>
        <v>27461</v>
      </c>
      <c r="F589" s="7">
        <f>'Respuestas de formulario 1'!F589</f>
        <v>24472277</v>
      </c>
      <c r="G589" s="7" t="str">
        <f>IFERROR(__xludf.DUMMYFUNCTION("IF('Respuestas de formulario 1'!G589="""","""",IF(LEFT(REGEXREPLACE(TO_TEXT('Respuestas de formulario 1'!G589),""[^0-9]"",""""),2)=""54"",""+""&amp;REGEXREPLACE(TO_TEXT('Respuestas de formulario 1'!G589),""[^0-9]"",""""),""+54""&amp;REGEXREPLACE(TO_TEXT('Respuest"&amp;"as de formulario 1'!G589),""[^0-9]"","""")))"),"+543515638053")</f>
        <v>+543515638053</v>
      </c>
      <c r="H589" s="7">
        <f>'Respuestas de formulario 1'!S589</f>
        <v>2024</v>
      </c>
      <c r="I589" s="7" t="str">
        <f>IFERROR(__xludf.DUMMYFUNCTION("IF('Respuestas de formulario 1'!I589="""","""",TO_TEXT('Respuestas de formulario 1'!I589))"),"Particular")</f>
        <v>Particular</v>
      </c>
      <c r="J589" s="7" t="str">
        <f>IFERROR(__xludf.DUMMYFUNCTION("IF('Respuestas de formulario 1'!J589&lt;&gt;"""",UPPER(TRIM(TO_TEXT('Respuestas de formulario 1'!J589))),IF('Respuestas de formulario 1'!O589&lt;&gt;"""",UPPER(TRIM(TO_TEXT('Respuestas de formulario 1'!O589))),""""))"),"")</f>
        <v/>
      </c>
      <c r="K589" s="7" t="str">
        <f>IFERROR(__xludf.DUMMYFUNCTION("IF('Respuestas de formulario 1'!K589="""","""",TO_TEXT('Respuestas de formulario 1'!K589))"),"Si")</f>
        <v>Si</v>
      </c>
      <c r="L589" s="7" t="str">
        <f>IFERROR(__xludf.DUMMYFUNCTION("IF('Respuestas de formulario 1'!L589="""","""",TO_TEXT('Respuestas de formulario 1'!L589))"),"Bicicleta ")</f>
        <v>Bicicleta </v>
      </c>
      <c r="M589" s="7" t="str">
        <f>IFERROR(__xludf.DUMMYFUNCTION("IF('Respuestas de formulario 1'!M589="""","""",TO_TEXT('Respuestas de formulario 1'!M589))"),"1 a 2 veces por semana")</f>
        <v>1 a 2 veces por semana</v>
      </c>
      <c r="N589" s="7">
        <f t="shared" si="1"/>
        <v>2024</v>
      </c>
      <c r="O589" s="7" t="str">
        <f t="shared" si="2"/>
        <v>julio</v>
      </c>
      <c r="P589" s="7" t="s">
        <v>5363</v>
      </c>
    </row>
    <row r="590">
      <c r="A590" s="19">
        <f>'Respuestas de formulario 1'!A590</f>
        <v>45477.7864</v>
      </c>
      <c r="B590" s="7" t="str">
        <f>'Respuestas de formulario 1'!B590</f>
        <v>Soukiassian</v>
      </c>
      <c r="C590" s="7" t="str">
        <f>'Respuestas de formulario 1'!C590</f>
        <v>Patricia </v>
      </c>
      <c r="D590" s="7" t="str">
        <f>'Respuestas de formulario 1'!D590</f>
        <v>nestorypatri1@gmail.com</v>
      </c>
      <c r="E590" s="20">
        <f>'Respuestas de formulario 1'!E590</f>
        <v>25309</v>
      </c>
      <c r="F590" s="7">
        <f>'Respuestas de formulario 1'!F590</f>
        <v>20649721</v>
      </c>
      <c r="G590" s="7" t="str">
        <f>IFERROR(__xludf.DUMMYFUNCTION("IF('Respuestas de formulario 1'!G590="""","""",IF(LEFT(REGEXREPLACE(TO_TEXT('Respuestas de formulario 1'!G590),""[^0-9]"",""""),2)=""54"",""+""&amp;REGEXREPLACE(TO_TEXT('Respuestas de formulario 1'!G590),""[^0-9]"",""""),""+54""&amp;REGEXREPLACE(TO_TEXT('Respuest"&amp;"as de formulario 1'!G590),""[^0-9]"","""")))"),"+543518613437")</f>
        <v>+543518613437</v>
      </c>
      <c r="H590" s="7">
        <f>'Respuestas de formulario 1'!S590</f>
        <v>2024</v>
      </c>
      <c r="I590" s="7" t="str">
        <f>IFERROR(__xludf.DUMMYFUNCTION("IF('Respuestas de formulario 1'!I590="""","""",TO_TEXT('Respuestas de formulario 1'!I590))"),"Obra social")</f>
        <v>Obra social</v>
      </c>
      <c r="J590" s="7" t="str">
        <f>IFERROR(__xludf.DUMMYFUNCTION("IF('Respuestas de formulario 1'!J590&lt;&gt;"""",UPPER(TRIM(TO_TEXT('Respuestas de formulario 1'!J590))),IF('Respuestas de formulario 1'!O590&lt;&gt;"""",UPPER(TRIM(TO_TEXT('Respuestas de formulario 1'!O590))),""""))"),"APM")</f>
        <v>APM</v>
      </c>
      <c r="K590" s="7" t="str">
        <f>IFERROR(__xludf.DUMMYFUNCTION("IF('Respuestas de formulario 1'!K590="""","""",TO_TEXT('Respuestas de formulario 1'!K590))"),"Si")</f>
        <v>Si</v>
      </c>
      <c r="L590" s="7" t="str">
        <f>IFERROR(__xludf.DUMMYFUNCTION("IF('Respuestas de formulario 1'!L590="""","""",TO_TEXT('Respuestas de formulario 1'!L590))"),"Bici")</f>
        <v>Bici</v>
      </c>
      <c r="M590" s="7" t="str">
        <f>IFERROR(__xludf.DUMMYFUNCTION("IF('Respuestas de formulario 1'!M590="""","""",TO_TEXT('Respuestas de formulario 1'!M590))"),"3 a 5 veces por semana")</f>
        <v>3 a 5 veces por semana</v>
      </c>
      <c r="N590" s="7">
        <f t="shared" si="1"/>
        <v>2024</v>
      </c>
      <c r="O590" s="7" t="str">
        <f t="shared" si="2"/>
        <v>julio</v>
      </c>
      <c r="P590" s="7" t="s">
        <v>5365</v>
      </c>
    </row>
    <row r="591">
      <c r="A591" s="19">
        <f>'Respuestas de formulario 1'!A591</f>
        <v>45481.46043</v>
      </c>
      <c r="B591" s="7" t="str">
        <f>'Respuestas de formulario 1'!B591</f>
        <v>Campos</v>
      </c>
      <c r="C591" s="7" t="str">
        <f>'Respuestas de formulario 1'!C591</f>
        <v>Julio</v>
      </c>
      <c r="D591" s="7" t="str">
        <f>'Respuestas de formulario 1'!D591</f>
        <v>juliocamposherrera@gmail.com</v>
      </c>
      <c r="E591" s="20">
        <f>'Respuestas de formulario 1'!E591</f>
        <v>35808</v>
      </c>
      <c r="F591" s="7">
        <f>'Respuestas de formulario 1'!F591</f>
        <v>40681996</v>
      </c>
      <c r="G591" s="7" t="str">
        <f>IFERROR(__xludf.DUMMYFUNCTION("IF('Respuestas de formulario 1'!G591="""","""",IF(LEFT(REGEXREPLACE(TO_TEXT('Respuestas de formulario 1'!G591),""[^0-9]"",""""),2)=""54"",""+""&amp;REGEXREPLACE(TO_TEXT('Respuestas de formulario 1'!G591),""[^0-9]"",""""),""+54""&amp;REGEXREPLACE(TO_TEXT('Respuest"&amp;"as de formulario 1'!G591),""[^0-9]"","""")))"),"+543513566060")</f>
        <v>+543513566060</v>
      </c>
      <c r="H591" s="7">
        <f>'Respuestas de formulario 1'!S591</f>
        <v>2024</v>
      </c>
      <c r="I591" s="7" t="str">
        <f>IFERROR(__xludf.DUMMYFUNCTION("IF('Respuestas de formulario 1'!I591="""","""",TO_TEXT('Respuestas de formulario 1'!I591))"),"Obra social")</f>
        <v>Obra social</v>
      </c>
      <c r="J591" s="7" t="str">
        <f>IFERROR(__xludf.DUMMYFUNCTION("IF('Respuestas de formulario 1'!J591&lt;&gt;"""",UPPER(TRIM(TO_TEXT('Respuestas de formulario 1'!J591))),IF('Respuestas de formulario 1'!O591&lt;&gt;"""",UPPER(TRIM(TO_TEXT('Respuestas de formulario 1'!O591))),""""))"),"APROSS")</f>
        <v>APROSS</v>
      </c>
      <c r="K591" s="7" t="str">
        <f>IFERROR(__xludf.DUMMYFUNCTION("IF('Respuestas de formulario 1'!K591="""","""",TO_TEXT('Respuestas de formulario 1'!K591))"),"Si")</f>
        <v>Si</v>
      </c>
      <c r="L591" s="7" t="str">
        <f>IFERROR(__xludf.DUMMYFUNCTION("IF('Respuestas de formulario 1'!L591="""","""",TO_TEXT('Respuestas de formulario 1'!L591))"),"Fútbol")</f>
        <v>Fútbol</v>
      </c>
      <c r="M591" s="7" t="str">
        <f>IFERROR(__xludf.DUMMYFUNCTION("IF('Respuestas de formulario 1'!M591="""","""",TO_TEXT('Respuestas de formulario 1'!M591))"),"1 a 2 veces por semana")</f>
        <v>1 a 2 veces por semana</v>
      </c>
      <c r="N591" s="7">
        <f t="shared" si="1"/>
        <v>2024</v>
      </c>
      <c r="O591" s="7" t="str">
        <f t="shared" si="2"/>
        <v>julio</v>
      </c>
      <c r="P591" s="7" t="s">
        <v>5367</v>
      </c>
    </row>
    <row r="592">
      <c r="A592" s="19">
        <f>'Respuestas de formulario 1'!A592</f>
        <v>45481.53531</v>
      </c>
      <c r="B592" s="7" t="str">
        <f>'Respuestas de formulario 1'!B592</f>
        <v>Moron</v>
      </c>
      <c r="C592" s="7" t="str">
        <f>'Respuestas de formulario 1'!C592</f>
        <v>Rodolfo  antonio</v>
      </c>
      <c r="D592" s="7" t="str">
        <f>'Respuestas de formulario 1'!D592</f>
        <v>Rodolfoantoniomoron50@gmail.com</v>
      </c>
      <c r="E592" s="20">
        <f>'Respuestas de formulario 1'!E592</f>
        <v>-671620</v>
      </c>
      <c r="F592" s="7">
        <f>'Respuestas de formulario 1'!F592</f>
        <v>14409795</v>
      </c>
      <c r="G592" s="7" t="str">
        <f>IFERROR(__xludf.DUMMYFUNCTION("IF('Respuestas de formulario 1'!G592="""","""",IF(LEFT(REGEXREPLACE(TO_TEXT('Respuestas de formulario 1'!G592),""[^0-9]"",""""),2)=""54"",""+""&amp;REGEXREPLACE(TO_TEXT('Respuestas de formulario 1'!G592),""[^0-9]"",""""),""+54""&amp;REGEXREPLACE(TO_TEXT('Respuest"&amp;"as de formulario 1'!G592),""[^0-9]"","""")))"),"+543512464627")</f>
        <v>+543512464627</v>
      </c>
      <c r="H592" s="7">
        <f>'Respuestas de formulario 1'!S592</f>
        <v>2024</v>
      </c>
      <c r="I592" s="7" t="str">
        <f>IFERROR(__xludf.DUMMYFUNCTION("IF('Respuestas de formulario 1'!I592="""","""",TO_TEXT('Respuestas de formulario 1'!I592))"),"Obra social")</f>
        <v>Obra social</v>
      </c>
      <c r="J592" s="7" t="str">
        <f>IFERROR(__xludf.DUMMYFUNCTION("IF('Respuestas de formulario 1'!J592&lt;&gt;"""",UPPER(TRIM(TO_TEXT('Respuestas de formulario 1'!J592))),IF('Respuestas de formulario 1'!O592&lt;&gt;"""",UPPER(TRIM(TO_TEXT('Respuestas de formulario 1'!O592))),""""))"),"APROSS")</f>
        <v>APROSS</v>
      </c>
      <c r="K592" s="7" t="str">
        <f>IFERROR(__xludf.DUMMYFUNCTION("IF('Respuestas de formulario 1'!K592="""","""",TO_TEXT('Respuestas de formulario 1'!K592))"),"Si")</f>
        <v>Si</v>
      </c>
      <c r="L592" s="7" t="str">
        <f>IFERROR(__xludf.DUMMYFUNCTION("IF('Respuestas de formulario 1'!L592="""","""",TO_TEXT('Respuestas de formulario 1'!L592))"),"Tenis")</f>
        <v>Tenis</v>
      </c>
      <c r="M592" s="7" t="str">
        <f>IFERROR(__xludf.DUMMYFUNCTION("IF('Respuestas de formulario 1'!M592="""","""",TO_TEXT('Respuestas de formulario 1'!M592))"),"1 a 2 veces por semana")</f>
        <v>1 a 2 veces por semana</v>
      </c>
      <c r="N592" s="7">
        <f t="shared" si="1"/>
        <v>2024</v>
      </c>
      <c r="O592" s="7" t="str">
        <f t="shared" si="2"/>
        <v>julio</v>
      </c>
      <c r="P592" s="7" t="s">
        <v>5369</v>
      </c>
    </row>
    <row r="593">
      <c r="A593" s="19">
        <f>'Respuestas de formulario 1'!A593</f>
        <v>45483.38304</v>
      </c>
      <c r="B593" s="7" t="str">
        <f>'Respuestas de formulario 1'!B593</f>
        <v>Naranjo</v>
      </c>
      <c r="C593" s="7" t="str">
        <f>'Respuestas de formulario 1'!C593</f>
        <v>Damian Joel</v>
      </c>
      <c r="D593" s="7" t="str">
        <f>'Respuestas de formulario 1'!D593</f>
        <v>noranasello@hotmail.com </v>
      </c>
      <c r="E593" s="20">
        <f>'Respuestas de formulario 1'!E593</f>
        <v>-660452</v>
      </c>
      <c r="F593" s="7">
        <f>'Respuestas de formulario 1'!F593</f>
        <v>36448094</v>
      </c>
      <c r="G593" s="7" t="str">
        <f>IFERROR(__xludf.DUMMYFUNCTION("IF('Respuestas de formulario 1'!G593="""","""",IF(LEFT(REGEXREPLACE(TO_TEXT('Respuestas de formulario 1'!G593),""[^0-9]"",""""),2)=""54"",""+""&amp;REGEXREPLACE(TO_TEXT('Respuestas de formulario 1'!G593),""[^0-9]"",""""),""+54""&amp;REGEXREPLACE(TO_TEXT('Respuest"&amp;"as de formulario 1'!G593),""[^0-9]"","""")))"),"+543516565317")</f>
        <v>+543516565317</v>
      </c>
      <c r="H593" s="7">
        <f>'Respuestas de formulario 1'!S593</f>
        <v>2024</v>
      </c>
      <c r="I593" s="7" t="str">
        <f>IFERROR(__xludf.DUMMYFUNCTION("IF('Respuestas de formulario 1'!I593="""","""",TO_TEXT('Respuestas de formulario 1'!I593))"),"Obra social")</f>
        <v>Obra social</v>
      </c>
      <c r="J593" s="7" t="str">
        <f>IFERROR(__xludf.DUMMYFUNCTION("IF('Respuestas de formulario 1'!J593&lt;&gt;"""",UPPER(TRIM(TO_TEXT('Respuestas de formulario 1'!J593))),IF('Respuestas de formulario 1'!O593&lt;&gt;"""",UPPER(TRIM(TO_TEXT('Respuestas de formulario 1'!O593))),""""))"),"MET(CON REINTEGRO)")</f>
        <v>MET(CON REINTEGRO)</v>
      </c>
      <c r="K593" s="7" t="str">
        <f>IFERROR(__xludf.DUMMYFUNCTION("IF('Respuestas de formulario 1'!K593="""","""",TO_TEXT('Respuestas de formulario 1'!K593))"),"Si")</f>
        <v>Si</v>
      </c>
      <c r="L593" s="7" t="str">
        <f>IFERROR(__xludf.DUMMYFUNCTION("IF('Respuestas de formulario 1'!L593="""","""",TO_TEXT('Respuestas de formulario 1'!L593))"),"Fútbol")</f>
        <v>Fútbol</v>
      </c>
      <c r="M593" s="7" t="str">
        <f>IFERROR(__xludf.DUMMYFUNCTION("IF('Respuestas de formulario 1'!M593="""","""",TO_TEXT('Respuestas de formulario 1'!M593))"),"1 a 2 veces por semana")</f>
        <v>1 a 2 veces por semana</v>
      </c>
      <c r="N593" s="7">
        <f t="shared" si="1"/>
        <v>2024</v>
      </c>
      <c r="O593" s="7" t="str">
        <f t="shared" si="2"/>
        <v>julio</v>
      </c>
      <c r="P593" s="7" t="s">
        <v>5371</v>
      </c>
    </row>
    <row r="594">
      <c r="A594" s="19">
        <f>'Respuestas de formulario 1'!A594</f>
        <v>45483.4546</v>
      </c>
      <c r="B594" s="7" t="str">
        <f>'Respuestas de formulario 1'!B594</f>
        <v>Madia</v>
      </c>
      <c r="C594" s="7" t="str">
        <f>'Respuestas de formulario 1'!C594</f>
        <v>Laura </v>
      </c>
      <c r="D594" s="7" t="str">
        <f>'Respuestas de formulario 1'!D594</f>
        <v>Laucm@protonmail.com</v>
      </c>
      <c r="E594" s="20">
        <f>'Respuestas de formulario 1'!E594</f>
        <v>24544</v>
      </c>
      <c r="F594" s="7">
        <f>'Respuestas de formulario 1'!F594</f>
        <v>18321241</v>
      </c>
      <c r="G594" s="7" t="str">
        <f>IFERROR(__xludf.DUMMYFUNCTION("IF('Respuestas de formulario 1'!G594="""","""",IF(LEFT(REGEXREPLACE(TO_TEXT('Respuestas de formulario 1'!G594),""[^0-9]"",""""),2)=""54"",""+""&amp;REGEXREPLACE(TO_TEXT('Respuestas de formulario 1'!G594),""[^0-9]"",""""),""+54""&amp;REGEXREPLACE(TO_TEXT('Respuest"&amp;"as de formulario 1'!G594),""[^0-9]"","""")))"),"+541121629091")</f>
        <v>+541121629091</v>
      </c>
      <c r="H594" s="7">
        <f>'Respuestas de formulario 1'!S594</f>
        <v>2024</v>
      </c>
      <c r="I594" s="7" t="str">
        <f>IFERROR(__xludf.DUMMYFUNCTION("IF('Respuestas de formulario 1'!I594="""","""",TO_TEXT('Respuestas de formulario 1'!I594))"),"Particular")</f>
        <v>Particular</v>
      </c>
      <c r="J594" s="7" t="str">
        <f>IFERROR(__xludf.DUMMYFUNCTION("IF('Respuestas de formulario 1'!J594&lt;&gt;"""",UPPER(TRIM(TO_TEXT('Respuestas de formulario 1'!J594))),IF('Respuestas de formulario 1'!O594&lt;&gt;"""",UPPER(TRIM(TO_TEXT('Respuestas de formulario 1'!O594))),""""))"),"")</f>
        <v/>
      </c>
      <c r="K594" s="7" t="str">
        <f>IFERROR(__xludf.DUMMYFUNCTION("IF('Respuestas de formulario 1'!K594="""","""",TO_TEXT('Respuestas de formulario 1'!K594))"),"No")</f>
        <v>No</v>
      </c>
      <c r="L594" s="7" t="str">
        <f>IFERROR(__xludf.DUMMYFUNCTION("IF('Respuestas de formulario 1'!L594="""","""",TO_TEXT('Respuestas de formulario 1'!L594))"),"")</f>
        <v/>
      </c>
      <c r="M594" s="7" t="str">
        <f>IFERROR(__xludf.DUMMYFUNCTION("IF('Respuestas de formulario 1'!M594="""","""",TO_TEXT('Respuestas de formulario 1'!M594))"),"")</f>
        <v/>
      </c>
      <c r="N594" s="7">
        <f t="shared" si="1"/>
        <v>2024</v>
      </c>
      <c r="O594" s="7" t="str">
        <f t="shared" si="2"/>
        <v>julio</v>
      </c>
      <c r="P594" s="7" t="s">
        <v>5373</v>
      </c>
    </row>
    <row r="595">
      <c r="A595" s="19">
        <f>'Respuestas de formulario 1'!A595</f>
        <v>45483.61311</v>
      </c>
      <c r="B595" s="7" t="str">
        <f>'Respuestas de formulario 1'!B595</f>
        <v>Medina</v>
      </c>
      <c r="C595" s="7" t="str">
        <f>'Respuestas de formulario 1'!C595</f>
        <v>Gustavo Federico </v>
      </c>
      <c r="D595" s="7" t="str">
        <f>'Respuestas de formulario 1'!D595</f>
        <v>tavomedina30@hotmail.com</v>
      </c>
      <c r="E595" s="20">
        <f>'Respuestas de formulario 1'!E595</f>
        <v>27841</v>
      </c>
      <c r="F595" s="7">
        <f>'Respuestas de formulario 1'!F595</f>
        <v>25175850</v>
      </c>
      <c r="G595" s="7" t="str">
        <f>IFERROR(__xludf.DUMMYFUNCTION("IF('Respuestas de formulario 1'!G595="""","""",IF(LEFT(REGEXREPLACE(TO_TEXT('Respuestas de formulario 1'!G595),""[^0-9]"",""""),2)=""54"",""+""&amp;REGEXREPLACE(TO_TEXT('Respuestas de formulario 1'!G595),""[^0-9]"",""""),""+54""&amp;REGEXREPLACE(TO_TEXT('Respuest"&amp;"as de formulario 1'!G595),""[^0-9]"","""")))"),"+543516756852")</f>
        <v>+543516756852</v>
      </c>
      <c r="H595" s="7">
        <f>'Respuestas de formulario 1'!S595</f>
        <v>2024</v>
      </c>
      <c r="I595" s="7" t="str">
        <f>IFERROR(__xludf.DUMMYFUNCTION("IF('Respuestas de formulario 1'!I595="""","""",TO_TEXT('Respuestas de formulario 1'!I595))"),"Particular")</f>
        <v>Particular</v>
      </c>
      <c r="J595" s="7" t="str">
        <f>IFERROR(__xludf.DUMMYFUNCTION("IF('Respuestas de formulario 1'!J595&lt;&gt;"""",UPPER(TRIM(TO_TEXT('Respuestas de formulario 1'!J595))),IF('Respuestas de formulario 1'!O595&lt;&gt;"""",UPPER(TRIM(TO_TEXT('Respuestas de formulario 1'!O595))),""""))"),"")</f>
        <v/>
      </c>
      <c r="K595" s="7" t="str">
        <f>IFERROR(__xludf.DUMMYFUNCTION("IF('Respuestas de formulario 1'!K595="""","""",TO_TEXT('Respuestas de formulario 1'!K595))"),"No")</f>
        <v>No</v>
      </c>
      <c r="L595" s="7" t="str">
        <f>IFERROR(__xludf.DUMMYFUNCTION("IF('Respuestas de formulario 1'!L595="""","""",TO_TEXT('Respuestas de formulario 1'!L595))"),"")</f>
        <v/>
      </c>
      <c r="M595" s="7" t="str">
        <f>IFERROR(__xludf.DUMMYFUNCTION("IF('Respuestas de formulario 1'!M595="""","""",TO_TEXT('Respuestas de formulario 1'!M595))"),"")</f>
        <v/>
      </c>
      <c r="N595" s="7">
        <f t="shared" si="1"/>
        <v>2024</v>
      </c>
      <c r="O595" s="7" t="str">
        <f t="shared" si="2"/>
        <v>julio</v>
      </c>
      <c r="P595" s="7" t="s">
        <v>5375</v>
      </c>
    </row>
    <row r="596">
      <c r="A596" s="19">
        <f>'Respuestas de formulario 1'!A596</f>
        <v>45484.43656</v>
      </c>
      <c r="B596" s="7" t="str">
        <f>'Respuestas de formulario 1'!B596</f>
        <v>Ferrarassi Britos </v>
      </c>
      <c r="C596" s="7" t="str">
        <f>'Respuestas de formulario 1'!C596</f>
        <v>Nahuel </v>
      </c>
      <c r="D596" s="7" t="str">
        <f>'Respuestas de formulario 1'!D596</f>
        <v>nicolasferrarassi@gmail.com</v>
      </c>
      <c r="E596" s="20">
        <f>'Respuestas de formulario 1'!E596</f>
        <v>39644</v>
      </c>
      <c r="F596" s="7">
        <f>'Respuestas de formulario 1'!F596</f>
        <v>47475395</v>
      </c>
      <c r="G596" s="7" t="str">
        <f>IFERROR(__xludf.DUMMYFUNCTION("IF('Respuestas de formulario 1'!G596="""","""",IF(LEFT(REGEXREPLACE(TO_TEXT('Respuestas de formulario 1'!G596),""[^0-9]"",""""),2)=""54"",""+""&amp;REGEXREPLACE(TO_TEXT('Respuestas de formulario 1'!G596),""[^0-9]"",""""),""+54""&amp;REGEXREPLACE(TO_TEXT('Respuest"&amp;"as de formulario 1'!G596),""[^0-9]"","""")))"),"+543516710990")</f>
        <v>+543516710990</v>
      </c>
      <c r="H596" s="7">
        <f>'Respuestas de formulario 1'!S596</f>
        <v>2024</v>
      </c>
      <c r="I596" s="7" t="str">
        <f>IFERROR(__xludf.DUMMYFUNCTION("IF('Respuestas de formulario 1'!I596="""","""",TO_TEXT('Respuestas de formulario 1'!I596))"),"Particular")</f>
        <v>Particular</v>
      </c>
      <c r="J596" s="7" t="str">
        <f>IFERROR(__xludf.DUMMYFUNCTION("IF('Respuestas de formulario 1'!J596&lt;&gt;"""",UPPER(TRIM(TO_TEXT('Respuestas de formulario 1'!J596))),IF('Respuestas de formulario 1'!O596&lt;&gt;"""",UPPER(TRIM(TO_TEXT('Respuestas de formulario 1'!O596))),""""))"),"")</f>
        <v/>
      </c>
      <c r="K596" s="7" t="str">
        <f>IFERROR(__xludf.DUMMYFUNCTION("IF('Respuestas de formulario 1'!K596="""","""",TO_TEXT('Respuestas de formulario 1'!K596))"),"Si")</f>
        <v>Si</v>
      </c>
      <c r="L596" s="7" t="str">
        <f>IFERROR(__xludf.DUMMYFUNCTION("IF('Respuestas de formulario 1'!L596="""","""",TO_TEXT('Respuestas de formulario 1'!L596))"),"Fútbol")</f>
        <v>Fútbol</v>
      </c>
      <c r="M596" s="7" t="str">
        <f>IFERROR(__xludf.DUMMYFUNCTION("IF('Respuestas de formulario 1'!M596="""","""",TO_TEXT('Respuestas de formulario 1'!M596))"),"3 a 5 veces por semana")</f>
        <v>3 a 5 veces por semana</v>
      </c>
      <c r="N596" s="7">
        <f t="shared" si="1"/>
        <v>2024</v>
      </c>
      <c r="O596" s="7" t="str">
        <f t="shared" si="2"/>
        <v>julio</v>
      </c>
      <c r="P596" s="7" t="s">
        <v>5377</v>
      </c>
    </row>
    <row r="597">
      <c r="A597" s="19">
        <f>'Respuestas de formulario 1'!A597</f>
        <v>45484.74991</v>
      </c>
      <c r="B597" s="7" t="str">
        <f>'Respuestas de formulario 1'!B597</f>
        <v>Vargas</v>
      </c>
      <c r="C597" s="7" t="str">
        <f>'Respuestas de formulario 1'!C597</f>
        <v>Fiorella</v>
      </c>
      <c r="D597" s="7" t="str">
        <f>'Respuestas de formulario 1'!D597</f>
        <v>-</v>
      </c>
      <c r="E597" s="20">
        <f>'Respuestas de formulario 1'!E597</f>
        <v>33012</v>
      </c>
      <c r="F597" s="7">
        <f>'Respuestas de formulario 1'!F597</f>
        <v>34771733</v>
      </c>
      <c r="G597" s="7" t="str">
        <f>IFERROR(__xludf.DUMMYFUNCTION("IF('Respuestas de formulario 1'!G597="""","""",IF(LEFT(REGEXREPLACE(TO_TEXT('Respuestas de formulario 1'!G597),""[^0-9]"",""""),2)=""54"",""+""&amp;REGEXREPLACE(TO_TEXT('Respuestas de formulario 1'!G597),""[^0-9]"",""""),""+54""&amp;REGEXREPLACE(TO_TEXT('Respuest"&amp;"as de formulario 1'!G597),""[^0-9]"","""")))"),"+543517014769")</f>
        <v>+543517014769</v>
      </c>
      <c r="H597" s="7">
        <f>'Respuestas de formulario 1'!S597</f>
        <v>2024</v>
      </c>
      <c r="I597" s="7" t="str">
        <f>IFERROR(__xludf.DUMMYFUNCTION("IF('Respuestas de formulario 1'!I597="""","""",TO_TEXT('Respuestas de formulario 1'!I597))"),"Particular")</f>
        <v>Particular</v>
      </c>
      <c r="J597" s="7" t="str">
        <f>IFERROR(__xludf.DUMMYFUNCTION("IF('Respuestas de formulario 1'!J597&lt;&gt;"""",UPPER(TRIM(TO_TEXT('Respuestas de formulario 1'!J597))),IF('Respuestas de formulario 1'!O597&lt;&gt;"""",UPPER(TRIM(TO_TEXT('Respuestas de formulario 1'!O597))),""""))"),"")</f>
        <v/>
      </c>
      <c r="K597" s="7" t="str">
        <f>IFERROR(__xludf.DUMMYFUNCTION("IF('Respuestas de formulario 1'!K597="""","""",TO_TEXT('Respuestas de formulario 1'!K597))"),"No")</f>
        <v>No</v>
      </c>
      <c r="L597" s="7" t="str">
        <f>IFERROR(__xludf.DUMMYFUNCTION("IF('Respuestas de formulario 1'!L597="""","""",TO_TEXT('Respuestas de formulario 1'!L597))"),"")</f>
        <v/>
      </c>
      <c r="M597" s="7" t="str">
        <f>IFERROR(__xludf.DUMMYFUNCTION("IF('Respuestas de formulario 1'!M597="""","""",TO_TEXT('Respuestas de formulario 1'!M597))"),"")</f>
        <v/>
      </c>
      <c r="N597" s="7">
        <f t="shared" si="1"/>
        <v>2024</v>
      </c>
      <c r="O597" s="7" t="str">
        <f t="shared" si="2"/>
        <v>julio</v>
      </c>
      <c r="P597" s="7" t="s">
        <v>5379</v>
      </c>
    </row>
    <row r="598">
      <c r="A598" s="19">
        <f>'Respuestas de formulario 1'!A598</f>
        <v>45485.5077</v>
      </c>
      <c r="B598" s="7" t="str">
        <f>'Respuestas de formulario 1'!B598</f>
        <v>PERDOMO</v>
      </c>
      <c r="C598" s="7" t="str">
        <f>'Respuestas de formulario 1'!C598</f>
        <v>Antonella</v>
      </c>
      <c r="D598" s="7" t="str">
        <f>'Respuestas de formulario 1'!D598</f>
        <v>-</v>
      </c>
      <c r="E598" s="20">
        <f>'Respuestas de formulario 1'!E598</f>
        <v>33167</v>
      </c>
      <c r="F598" s="7">
        <f>'Respuestas de formulario 1'!F598</f>
        <v>35512148</v>
      </c>
      <c r="G598" s="7" t="str">
        <f>IFERROR(__xludf.DUMMYFUNCTION("IF('Respuestas de formulario 1'!G598="""","""",IF(LEFT(REGEXREPLACE(TO_TEXT('Respuestas de formulario 1'!G598),""[^0-9]"",""""),2)=""54"",""+""&amp;REGEXREPLACE(TO_TEXT('Respuestas de formulario 1'!G598),""[^0-9]"",""""),""+54""&amp;REGEXREPLACE(TO_TEXT('Respuest"&amp;"as de formulario 1'!G598),""[^0-9]"","""")))"),"+543516819300")</f>
        <v>+543516819300</v>
      </c>
      <c r="H598" s="7">
        <f>'Respuestas de formulario 1'!S598</f>
        <v>2024</v>
      </c>
      <c r="I598" s="7" t="str">
        <f>IFERROR(__xludf.DUMMYFUNCTION("IF('Respuestas de formulario 1'!I598="""","""",TO_TEXT('Respuestas de formulario 1'!I598))"),"Obra social")</f>
        <v>Obra social</v>
      </c>
      <c r="J598" s="7" t="str">
        <f>IFERROR(__xludf.DUMMYFUNCTION("IF('Respuestas de formulario 1'!J598&lt;&gt;"""",UPPER(TRIM(TO_TEXT('Respuestas de formulario 1'!J598))),IF('Respuestas de formulario 1'!O598&lt;&gt;"""",UPPER(TRIM(TO_TEXT('Respuestas de formulario 1'!O598))),""""))"),"APROSS")</f>
        <v>APROSS</v>
      </c>
      <c r="K598" s="7" t="str">
        <f>IFERROR(__xludf.DUMMYFUNCTION("IF('Respuestas de formulario 1'!K598="""","""",TO_TEXT('Respuestas de formulario 1'!K598))"),"No")</f>
        <v>No</v>
      </c>
      <c r="L598" s="7" t="str">
        <f>IFERROR(__xludf.DUMMYFUNCTION("IF('Respuestas de formulario 1'!L598="""","""",TO_TEXT('Respuestas de formulario 1'!L598))"),"")</f>
        <v/>
      </c>
      <c r="M598" s="7" t="str">
        <f>IFERROR(__xludf.DUMMYFUNCTION("IF('Respuestas de formulario 1'!M598="""","""",TO_TEXT('Respuestas de formulario 1'!M598))"),"")</f>
        <v/>
      </c>
      <c r="N598" s="7">
        <f t="shared" si="1"/>
        <v>2024</v>
      </c>
      <c r="O598" s="7" t="str">
        <f t="shared" si="2"/>
        <v>julio</v>
      </c>
      <c r="P598" s="7" t="s">
        <v>5381</v>
      </c>
    </row>
    <row r="599">
      <c r="A599" s="19">
        <f>'Respuestas de formulario 1'!A599</f>
        <v>45485.80061</v>
      </c>
      <c r="B599" s="7" t="str">
        <f>'Respuestas de formulario 1'!B599</f>
        <v>Andretich</v>
      </c>
      <c r="C599" s="7" t="str">
        <f>'Respuestas de formulario 1'!C599</f>
        <v>Luciana</v>
      </c>
      <c r="D599" s="7" t="str">
        <f>'Respuestas de formulario 1'!D599</f>
        <v>lucianaandretich@hotmail.com</v>
      </c>
      <c r="E599" s="20">
        <f>'Respuestas de formulario 1'!E599</f>
        <v>29185</v>
      </c>
      <c r="F599" s="7">
        <f>'Respuestas de formulario 1'!F599</f>
        <v>27681597</v>
      </c>
      <c r="G599" s="7" t="str">
        <f>IFERROR(__xludf.DUMMYFUNCTION("IF('Respuestas de formulario 1'!G599="""","""",IF(LEFT(REGEXREPLACE(TO_TEXT('Respuestas de formulario 1'!G599),""[^0-9]"",""""),2)=""54"",""+""&amp;REGEXREPLACE(TO_TEXT('Respuestas de formulario 1'!G599),""[^0-9]"",""""),""+54""&amp;REGEXREPLACE(TO_TEXT('Respuest"&amp;"as de formulario 1'!G599),""[^0-9]"","""")))"),"+543516468609")</f>
        <v>+543516468609</v>
      </c>
      <c r="H599" s="7">
        <f>'Respuestas de formulario 1'!S599</f>
        <v>2024</v>
      </c>
      <c r="I599" s="7" t="str">
        <f>IFERROR(__xludf.DUMMYFUNCTION("IF('Respuestas de formulario 1'!I599="""","""",TO_TEXT('Respuestas de formulario 1'!I599))"),"Particular")</f>
        <v>Particular</v>
      </c>
      <c r="J599" s="7" t="str">
        <f>IFERROR(__xludf.DUMMYFUNCTION("IF('Respuestas de formulario 1'!J599&lt;&gt;"""",UPPER(TRIM(TO_TEXT('Respuestas de formulario 1'!J599))),IF('Respuestas de formulario 1'!O599&lt;&gt;"""",UPPER(TRIM(TO_TEXT('Respuestas de formulario 1'!O599))),""""))"),"")</f>
        <v/>
      </c>
      <c r="K599" s="7" t="str">
        <f>IFERROR(__xludf.DUMMYFUNCTION("IF('Respuestas de formulario 1'!K599="""","""",TO_TEXT('Respuestas de formulario 1'!K599))"),"Si")</f>
        <v>Si</v>
      </c>
      <c r="L599" s="7" t="str">
        <f>IFERROR(__xludf.DUMMYFUNCTION("IF('Respuestas de formulario 1'!L599="""","""",TO_TEXT('Respuestas de formulario 1'!L599))"),"Gimnasio")</f>
        <v>Gimnasio</v>
      </c>
      <c r="M599" s="7" t="str">
        <f>IFERROR(__xludf.DUMMYFUNCTION("IF('Respuestas de formulario 1'!M599="""","""",TO_TEXT('Respuestas de formulario 1'!M599))"),"3 a 5 veces por semana")</f>
        <v>3 a 5 veces por semana</v>
      </c>
      <c r="N599" s="7">
        <f t="shared" si="1"/>
        <v>2024</v>
      </c>
      <c r="O599" s="7" t="str">
        <f t="shared" si="2"/>
        <v>julio</v>
      </c>
      <c r="P599" s="7" t="s">
        <v>5383</v>
      </c>
    </row>
    <row r="600">
      <c r="A600" s="19">
        <f>'Respuestas de formulario 1'!A600</f>
        <v>45488.65246</v>
      </c>
      <c r="B600" s="7" t="str">
        <f>'Respuestas de formulario 1'!B600</f>
        <v>Nieto Collar</v>
      </c>
      <c r="C600" s="7" t="str">
        <f>'Respuestas de formulario 1'!C600</f>
        <v>Luciana</v>
      </c>
      <c r="D600" s="7" t="str">
        <f>'Respuestas de formulario 1'!D600</f>
        <v>nietoluciana3@gmail.com</v>
      </c>
      <c r="E600" s="20">
        <f>'Respuestas de formulario 1'!E600</f>
        <v>36701</v>
      </c>
      <c r="F600" s="7">
        <f>'Respuestas de formulario 1'!F600</f>
        <v>42639576</v>
      </c>
      <c r="G600" s="7" t="str">
        <f>IFERROR(__xludf.DUMMYFUNCTION("IF('Respuestas de formulario 1'!G600="""","""",IF(LEFT(REGEXREPLACE(TO_TEXT('Respuestas de formulario 1'!G600),""[^0-9]"",""""),2)=""54"",""+""&amp;REGEXREPLACE(TO_TEXT('Respuestas de formulario 1'!G600),""[^0-9]"",""""),""+54""&amp;REGEXREPLACE(TO_TEXT('Respuest"&amp;"as de formulario 1'!G600),""[^0-9]"","""")))"),"+543518166981")</f>
        <v>+543518166981</v>
      </c>
      <c r="H600" s="7">
        <f>'Respuestas de formulario 1'!S600</f>
        <v>2024</v>
      </c>
      <c r="I600" s="7" t="str">
        <f>IFERROR(__xludf.DUMMYFUNCTION("IF('Respuestas de formulario 1'!I600="""","""",TO_TEXT('Respuestas de formulario 1'!I600))"),"Obra social")</f>
        <v>Obra social</v>
      </c>
      <c r="J600" s="7" t="str">
        <f>IFERROR(__xludf.DUMMYFUNCTION("IF('Respuestas de formulario 1'!J600&lt;&gt;"""",UPPER(TRIM(TO_TEXT('Respuestas de formulario 1'!J600))),IF('Respuestas de formulario 1'!O600&lt;&gt;"""",UPPER(TRIM(TO_TEXT('Respuestas de formulario 1'!O600))),""""))"),"UNIMED")</f>
        <v>UNIMED</v>
      </c>
      <c r="K600" s="7" t="str">
        <f>IFERROR(__xludf.DUMMYFUNCTION("IF('Respuestas de formulario 1'!K600="""","""",TO_TEXT('Respuestas de formulario 1'!K600))"),"No")</f>
        <v>No</v>
      </c>
      <c r="L600" s="7" t="str">
        <f>IFERROR(__xludf.DUMMYFUNCTION("IF('Respuestas de formulario 1'!L600="""","""",TO_TEXT('Respuestas de formulario 1'!L600))"),"")</f>
        <v/>
      </c>
      <c r="M600" s="7" t="str">
        <f>IFERROR(__xludf.DUMMYFUNCTION("IF('Respuestas de formulario 1'!M600="""","""",TO_TEXT('Respuestas de formulario 1'!M600))"),"")</f>
        <v/>
      </c>
      <c r="N600" s="7">
        <f t="shared" si="1"/>
        <v>2024</v>
      </c>
      <c r="O600" s="7" t="str">
        <f t="shared" si="2"/>
        <v>julio</v>
      </c>
      <c r="P600" s="7" t="s">
        <v>5385</v>
      </c>
    </row>
    <row r="601">
      <c r="A601" s="19">
        <f>'Respuestas de formulario 1'!A601</f>
        <v>45489.41681</v>
      </c>
      <c r="B601" s="7" t="str">
        <f>'Respuestas de formulario 1'!B601</f>
        <v>Andres </v>
      </c>
      <c r="C601" s="7" t="str">
        <f>'Respuestas de formulario 1'!C601</f>
        <v>Juan Manuel</v>
      </c>
      <c r="D601" s="7" t="str">
        <f>'Respuestas de formulario 1'!D601</f>
        <v>ab.andresjuanmanuel@gmail.com</v>
      </c>
      <c r="E601" s="20">
        <f>'Respuestas de formulario 1'!E601</f>
        <v>30735</v>
      </c>
      <c r="F601" s="7">
        <f>'Respuestas de formulario 1'!F601</f>
        <v>30844310</v>
      </c>
      <c r="G601" s="7" t="str">
        <f>IFERROR(__xludf.DUMMYFUNCTION("IF('Respuestas de formulario 1'!G601="""","""",IF(LEFT(REGEXREPLACE(TO_TEXT('Respuestas de formulario 1'!G601),""[^0-9]"",""""),2)=""54"",""+""&amp;REGEXREPLACE(TO_TEXT('Respuestas de formulario 1'!G601),""[^0-9]"",""""),""+54""&amp;REGEXREPLACE(TO_TEXT('Respuest"&amp;"as de formulario 1'!G601),""[^0-9]"","""")))"),"+543513411318")</f>
        <v>+543513411318</v>
      </c>
      <c r="H601" s="7">
        <f>'Respuestas de formulario 1'!S601</f>
        <v>2024</v>
      </c>
      <c r="I601" s="7" t="str">
        <f>IFERROR(__xludf.DUMMYFUNCTION("IF('Respuestas de formulario 1'!I601="""","""",TO_TEXT('Respuestas de formulario 1'!I601))"),"Particular")</f>
        <v>Particular</v>
      </c>
      <c r="J601" s="7" t="str">
        <f>IFERROR(__xludf.DUMMYFUNCTION("IF('Respuestas de formulario 1'!J601&lt;&gt;"""",UPPER(TRIM(TO_TEXT('Respuestas de formulario 1'!J601))),IF('Respuestas de formulario 1'!O601&lt;&gt;"""",UPPER(TRIM(TO_TEXT('Respuestas de formulario 1'!O601))),""""))"),"")</f>
        <v/>
      </c>
      <c r="K601" s="7" t="str">
        <f>IFERROR(__xludf.DUMMYFUNCTION("IF('Respuestas de formulario 1'!K601="""","""",TO_TEXT('Respuestas de formulario 1'!K601))"),"No")</f>
        <v>No</v>
      </c>
      <c r="L601" s="7" t="str">
        <f>IFERROR(__xludf.DUMMYFUNCTION("IF('Respuestas de formulario 1'!L601="""","""",TO_TEXT('Respuestas de formulario 1'!L601))"),"")</f>
        <v/>
      </c>
      <c r="M601" s="7" t="str">
        <f>IFERROR(__xludf.DUMMYFUNCTION("IF('Respuestas de formulario 1'!M601="""","""",TO_TEXT('Respuestas de formulario 1'!M601))"),"")</f>
        <v/>
      </c>
      <c r="N601" s="7">
        <f t="shared" si="1"/>
        <v>2024</v>
      </c>
      <c r="O601" s="7" t="str">
        <f t="shared" si="2"/>
        <v>julio</v>
      </c>
      <c r="P601" s="7" t="s">
        <v>5387</v>
      </c>
    </row>
    <row r="602">
      <c r="A602" s="19">
        <f>'Respuestas de formulario 1'!A602</f>
        <v>45489.42776</v>
      </c>
      <c r="B602" s="7" t="str">
        <f>'Respuestas de formulario 1'!B602</f>
        <v>Carrizo</v>
      </c>
      <c r="C602" s="7" t="str">
        <f>'Respuestas de formulario 1'!C602</f>
        <v>Lucas</v>
      </c>
      <c r="D602" s="7" t="str">
        <f>'Respuestas de formulario 1'!D602</f>
        <v>lucascarrizo094@gmail.com</v>
      </c>
      <c r="E602" s="20">
        <f>'Respuestas de formulario 1'!E602</f>
        <v>29130</v>
      </c>
      <c r="F602" s="7">
        <f>'Respuestas de formulario 1'!F602</f>
        <v>27657345</v>
      </c>
      <c r="G602" s="7" t="str">
        <f>IFERROR(__xludf.DUMMYFUNCTION("IF('Respuestas de formulario 1'!G602="""","""",IF(LEFT(REGEXREPLACE(TO_TEXT('Respuestas de formulario 1'!G602),""[^0-9]"",""""),2)=""54"",""+""&amp;REGEXREPLACE(TO_TEXT('Respuestas de formulario 1'!G602),""[^0-9]"",""""),""+54""&amp;REGEXREPLACE(TO_TEXT('Respuest"&amp;"as de formulario 1'!G602),""[^0-9]"","""")))"),"+543513475545")</f>
        <v>+543513475545</v>
      </c>
      <c r="H602" s="7">
        <f>'Respuestas de formulario 1'!S602</f>
        <v>2024</v>
      </c>
      <c r="I602" s="7" t="str">
        <f>IFERROR(__xludf.DUMMYFUNCTION("IF('Respuestas de formulario 1'!I602="""","""",TO_TEXT('Respuestas de formulario 1'!I602))"),"Particular")</f>
        <v>Particular</v>
      </c>
      <c r="J602" s="7" t="str">
        <f>IFERROR(__xludf.DUMMYFUNCTION("IF('Respuestas de formulario 1'!J602&lt;&gt;"""",UPPER(TRIM(TO_TEXT('Respuestas de formulario 1'!J602))),IF('Respuestas de formulario 1'!O602&lt;&gt;"""",UPPER(TRIM(TO_TEXT('Respuestas de formulario 1'!O602))),""""))"),"")</f>
        <v/>
      </c>
      <c r="K602" s="7" t="str">
        <f>IFERROR(__xludf.DUMMYFUNCTION("IF('Respuestas de formulario 1'!K602="""","""",TO_TEXT('Respuestas de formulario 1'!K602))"),"Si")</f>
        <v>Si</v>
      </c>
      <c r="L602" s="7" t="str">
        <f>IFERROR(__xludf.DUMMYFUNCTION("IF('Respuestas de formulario 1'!L602="""","""",TO_TEXT('Respuestas de formulario 1'!L602))"),"Gimnasio")</f>
        <v>Gimnasio</v>
      </c>
      <c r="M602" s="7" t="str">
        <f>IFERROR(__xludf.DUMMYFUNCTION("IF('Respuestas de formulario 1'!M602="""","""",TO_TEXT('Respuestas de formulario 1'!M602))"),"6 a 7 veces por semana")</f>
        <v>6 a 7 veces por semana</v>
      </c>
      <c r="N602" s="7">
        <f t="shared" si="1"/>
        <v>2024</v>
      </c>
      <c r="O602" s="7" t="str">
        <f t="shared" si="2"/>
        <v>julio</v>
      </c>
      <c r="P602" s="7" t="s">
        <v>5389</v>
      </c>
    </row>
    <row r="603">
      <c r="A603" s="19">
        <f>'Respuestas de formulario 1'!A603</f>
        <v>45489.57951</v>
      </c>
      <c r="B603" s="7" t="str">
        <f>'Respuestas de formulario 1'!B603</f>
        <v>Palacio</v>
      </c>
      <c r="C603" s="7" t="str">
        <f>'Respuestas de formulario 1'!C603</f>
        <v>Cristian gustavo</v>
      </c>
      <c r="D603" s="7" t="str">
        <f>'Respuestas de formulario 1'!D603</f>
        <v/>
      </c>
      <c r="E603" s="20">
        <f>'Respuestas de formulario 1'!E603</f>
        <v>26561</v>
      </c>
      <c r="F603" s="7">
        <f>'Respuestas de formulario 1'!F603</f>
        <v>22794599</v>
      </c>
      <c r="G603" s="7" t="str">
        <f>IFERROR(__xludf.DUMMYFUNCTION("IF('Respuestas de formulario 1'!G603="""","""",IF(LEFT(REGEXREPLACE(TO_TEXT('Respuestas de formulario 1'!G603),""[^0-9]"",""""),2)=""54"",""+""&amp;REGEXREPLACE(TO_TEXT('Respuestas de formulario 1'!G603),""[^0-9]"",""""),""+54""&amp;REGEXREPLACE(TO_TEXT('Respuest"&amp;"as de formulario 1'!G603),""[^0-9]"","""")))"),"+543512711704")</f>
        <v>+543512711704</v>
      </c>
      <c r="H603" s="7">
        <f>'Respuestas de formulario 1'!S603</f>
        <v>2024</v>
      </c>
      <c r="I603" s="7" t="str">
        <f>IFERROR(__xludf.DUMMYFUNCTION("IF('Respuestas de formulario 1'!I603="""","""",TO_TEXT('Respuestas de formulario 1'!I603))"),"Particular")</f>
        <v>Particular</v>
      </c>
      <c r="J603" s="7" t="str">
        <f>IFERROR(__xludf.DUMMYFUNCTION("IF('Respuestas de formulario 1'!J603&lt;&gt;"""",UPPER(TRIM(TO_TEXT('Respuestas de formulario 1'!J603))),IF('Respuestas de formulario 1'!O603&lt;&gt;"""",UPPER(TRIM(TO_TEXT('Respuestas de formulario 1'!O603))),""""))"),"")</f>
        <v/>
      </c>
      <c r="K603" s="7" t="str">
        <f>IFERROR(__xludf.DUMMYFUNCTION("IF('Respuestas de formulario 1'!K603="""","""",TO_TEXT('Respuestas de formulario 1'!K603))"),"Si")</f>
        <v>Si</v>
      </c>
      <c r="L603" s="7" t="str">
        <f>IFERROR(__xludf.DUMMYFUNCTION("IF('Respuestas de formulario 1'!L603="""","""",TO_TEXT('Respuestas de formulario 1'!L603))"),"Gimnasio")</f>
        <v>Gimnasio</v>
      </c>
      <c r="M603" s="7" t="str">
        <f>IFERROR(__xludf.DUMMYFUNCTION("IF('Respuestas de formulario 1'!M603="""","""",TO_TEXT('Respuestas de formulario 1'!M603))"),"6 a 7 veces por semana")</f>
        <v>6 a 7 veces por semana</v>
      </c>
      <c r="N603" s="7">
        <f t="shared" si="1"/>
        <v>2024</v>
      </c>
      <c r="O603" s="7" t="str">
        <f t="shared" si="2"/>
        <v>julio</v>
      </c>
      <c r="P603" s="7" t="s">
        <v>5391</v>
      </c>
    </row>
    <row r="604">
      <c r="A604" s="19">
        <f>'Respuestas de formulario 1'!A604</f>
        <v>45490.6637</v>
      </c>
      <c r="B604" s="7" t="str">
        <f>'Respuestas de formulario 1'!B604</f>
        <v>Carignano</v>
      </c>
      <c r="C604" s="7" t="str">
        <f>'Respuestas de formulario 1'!C604</f>
        <v>Constanza</v>
      </c>
      <c r="D604" s="7" t="str">
        <f>'Respuestas de formulario 1'!D604</f>
        <v>coticarignano@gmail.com</v>
      </c>
      <c r="E604" s="20">
        <f>'Respuestas de formulario 1'!E604</f>
        <v>38131</v>
      </c>
      <c r="F604" s="7">
        <f>'Respuestas de formulario 1'!F604</f>
        <v>45691202</v>
      </c>
      <c r="G604" s="7" t="str">
        <f>IFERROR(__xludf.DUMMYFUNCTION("IF('Respuestas de formulario 1'!G604="""","""",IF(LEFT(REGEXREPLACE(TO_TEXT('Respuestas de formulario 1'!G604),""[^0-9]"",""""),2)=""54"",""+""&amp;REGEXREPLACE(TO_TEXT('Respuestas de formulario 1'!G604),""[^0-9]"",""""),""+54""&amp;REGEXREPLACE(TO_TEXT('Respuest"&amp;"as de formulario 1'!G604),""[^0-9]"","""")))"),"+543517912616")</f>
        <v>+543517912616</v>
      </c>
      <c r="H604" s="7">
        <f>'Respuestas de formulario 1'!S604</f>
        <v>2024</v>
      </c>
      <c r="I604" s="7" t="str">
        <f>IFERROR(__xludf.DUMMYFUNCTION("IF('Respuestas de formulario 1'!I604="""","""",TO_TEXT('Respuestas de formulario 1'!I604))"),"Obra social")</f>
        <v>Obra social</v>
      </c>
      <c r="J604" s="7" t="str">
        <f>IFERROR(__xludf.DUMMYFUNCTION("IF('Respuestas de formulario 1'!J604&lt;&gt;"""",UPPER(TRIM(TO_TEXT('Respuestas de formulario 1'!J604))),IF('Respuestas de formulario 1'!O604&lt;&gt;"""",UPPER(TRIM(TO_TEXT('Respuestas de formulario 1'!O604))),""""))"),"PREVENCIÓN")</f>
        <v>PREVENCIÓN</v>
      </c>
      <c r="K604" s="7" t="str">
        <f>IFERROR(__xludf.DUMMYFUNCTION("IF('Respuestas de formulario 1'!K604="""","""",TO_TEXT('Respuestas de formulario 1'!K604))"),"Si")</f>
        <v>Si</v>
      </c>
      <c r="L604" s="7" t="str">
        <f>IFERROR(__xludf.DUMMYFUNCTION("IF('Respuestas de formulario 1'!L604="""","""",TO_TEXT('Respuestas de formulario 1'!L604))"),"Voley")</f>
        <v>Voley</v>
      </c>
      <c r="M604" s="7" t="str">
        <f>IFERROR(__xludf.DUMMYFUNCTION("IF('Respuestas de formulario 1'!M604="""","""",TO_TEXT('Respuestas de formulario 1'!M604))"),"6 a 7 veces por semana")</f>
        <v>6 a 7 veces por semana</v>
      </c>
      <c r="N604" s="7">
        <f t="shared" si="1"/>
        <v>2024</v>
      </c>
      <c r="O604" s="7" t="str">
        <f t="shared" si="2"/>
        <v>julio</v>
      </c>
      <c r="P604" s="7" t="s">
        <v>5393</v>
      </c>
    </row>
    <row r="605">
      <c r="A605" s="19">
        <f>'Respuestas de formulario 1'!A605</f>
        <v>45491.65137</v>
      </c>
      <c r="B605" s="7" t="str">
        <f>'Respuestas de formulario 1'!B605</f>
        <v>Rivera</v>
      </c>
      <c r="C605" s="7" t="str">
        <f>'Respuestas de formulario 1'!C605</f>
        <v>Nicolas</v>
      </c>
      <c r="D605" s="7" t="str">
        <f>'Respuestas de formulario 1'!D605</f>
        <v>nriveracolman@yahoo.com.ar</v>
      </c>
      <c r="E605" s="20">
        <f>'Respuestas de formulario 1'!E605</f>
        <v>30219</v>
      </c>
      <c r="F605" s="7">
        <f>'Respuestas de formulario 1'!F605</f>
        <v>29711721</v>
      </c>
      <c r="G605" s="7" t="str">
        <f>IFERROR(__xludf.DUMMYFUNCTION("IF('Respuestas de formulario 1'!G605="""","""",IF(LEFT(REGEXREPLACE(TO_TEXT('Respuestas de formulario 1'!G605),""[^0-9]"",""""),2)=""54"",""+""&amp;REGEXREPLACE(TO_TEXT('Respuestas de formulario 1'!G605),""[^0-9]"",""""),""+54""&amp;REGEXREPLACE(TO_TEXT('Respuest"&amp;"as de formulario 1'!G605),""[^0-9]"","""")))"),"+543512277895")</f>
        <v>+543512277895</v>
      </c>
      <c r="H605" s="7">
        <f>'Respuestas de formulario 1'!S605</f>
        <v>2024</v>
      </c>
      <c r="I605" s="7" t="str">
        <f>IFERROR(__xludf.DUMMYFUNCTION("IF('Respuestas de formulario 1'!I605="""","""",TO_TEXT('Respuestas de formulario 1'!I605))"),"Obra social")</f>
        <v>Obra social</v>
      </c>
      <c r="J605" s="7" t="str">
        <f>IFERROR(__xludf.DUMMYFUNCTION("IF('Respuestas de formulario 1'!J605&lt;&gt;"""",UPPER(TRIM(TO_TEXT('Respuestas de formulario 1'!J605))),IF('Respuestas de formulario 1'!O605&lt;&gt;"""",UPPER(TRIM(TO_TEXT('Respuestas de formulario 1'!O605))),""""))"),"PREVENCIÓN")</f>
        <v>PREVENCIÓN</v>
      </c>
      <c r="K605" s="7" t="str">
        <f>IFERROR(__xludf.DUMMYFUNCTION("IF('Respuestas de formulario 1'!K605="""","""",TO_TEXT('Respuestas de formulario 1'!K605))"),"Si")</f>
        <v>Si</v>
      </c>
      <c r="L605" s="7" t="str">
        <f>IFERROR(__xludf.DUMMYFUNCTION("IF('Respuestas de formulario 1'!L605="""","""",TO_TEXT('Respuestas de formulario 1'!L605))"),"Gimnasio")</f>
        <v>Gimnasio</v>
      </c>
      <c r="M605" s="7" t="str">
        <f>IFERROR(__xludf.DUMMYFUNCTION("IF('Respuestas de formulario 1'!M605="""","""",TO_TEXT('Respuestas de formulario 1'!M605))"),"3 a 5 veces por semana")</f>
        <v>3 a 5 veces por semana</v>
      </c>
      <c r="N605" s="7">
        <f t="shared" si="1"/>
        <v>2024</v>
      </c>
      <c r="O605" s="7" t="str">
        <f t="shared" si="2"/>
        <v>julio</v>
      </c>
      <c r="P605" s="7" t="s">
        <v>5395</v>
      </c>
    </row>
    <row r="606">
      <c r="A606" s="19">
        <f>'Respuestas de formulario 1'!A606</f>
        <v>45493.80713</v>
      </c>
      <c r="B606" s="7" t="str">
        <f>'Respuestas de formulario 1'!B606</f>
        <v>Ramirez</v>
      </c>
      <c r="C606" s="7" t="str">
        <f>'Respuestas de formulario 1'!C606</f>
        <v>Marino</v>
      </c>
      <c r="D606" s="7" t="str">
        <f>'Respuestas de formulario 1'!D606</f>
        <v>marinoramirez56@yahoo.com.ar</v>
      </c>
      <c r="E606" s="20">
        <f>'Respuestas de formulario 1'!E606</f>
        <v>20604</v>
      </c>
      <c r="F606" s="7">
        <f>'Respuestas de formulario 1'!F606</f>
        <v>12341638</v>
      </c>
      <c r="G606" s="7" t="str">
        <f>IFERROR(__xludf.DUMMYFUNCTION("IF('Respuestas de formulario 1'!G606="""","""",IF(LEFT(REGEXREPLACE(TO_TEXT('Respuestas de formulario 1'!G606),""[^0-9]"",""""),2)=""54"",""+""&amp;REGEXREPLACE(TO_TEXT('Respuestas de formulario 1'!G606),""[^0-9]"",""""),""+54""&amp;REGEXREPLACE(TO_TEXT('Respuest"&amp;"as de formulario 1'!G606),""[^0-9]"","""")))"),"+543515995580")</f>
        <v>+543515995580</v>
      </c>
      <c r="H606" s="7">
        <f>'Respuestas de formulario 1'!S606</f>
        <v>2024</v>
      </c>
      <c r="I606" s="7" t="str">
        <f>IFERROR(__xludf.DUMMYFUNCTION("IF('Respuestas de formulario 1'!I606="""","""",TO_TEXT('Respuestas de formulario 1'!I606))"),"Particular")</f>
        <v>Particular</v>
      </c>
      <c r="J606" s="7" t="str">
        <f>IFERROR(__xludf.DUMMYFUNCTION("IF('Respuestas de formulario 1'!J606&lt;&gt;"""",UPPER(TRIM(TO_TEXT('Respuestas de formulario 1'!J606))),IF('Respuestas de formulario 1'!O606&lt;&gt;"""",UPPER(TRIM(TO_TEXT('Respuestas de formulario 1'!O606))),""""))"),"")</f>
        <v/>
      </c>
      <c r="K606" s="7" t="str">
        <f>IFERROR(__xludf.DUMMYFUNCTION("IF('Respuestas de formulario 1'!K606="""","""",TO_TEXT('Respuestas de formulario 1'!K606))"),"No")</f>
        <v>No</v>
      </c>
      <c r="L606" s="7" t="str">
        <f>IFERROR(__xludf.DUMMYFUNCTION("IF('Respuestas de formulario 1'!L606="""","""",TO_TEXT('Respuestas de formulario 1'!L606))"),"")</f>
        <v/>
      </c>
      <c r="M606" s="7" t="str">
        <f>IFERROR(__xludf.DUMMYFUNCTION("IF('Respuestas de formulario 1'!M606="""","""",TO_TEXT('Respuestas de formulario 1'!M606))"),"")</f>
        <v/>
      </c>
      <c r="N606" s="7">
        <f t="shared" si="1"/>
        <v>2024</v>
      </c>
      <c r="O606" s="7" t="str">
        <f t="shared" si="2"/>
        <v>julio</v>
      </c>
      <c r="P606" s="7" t="s">
        <v>5397</v>
      </c>
    </row>
    <row r="607">
      <c r="A607" s="19">
        <f>'Respuestas de formulario 1'!A607</f>
        <v>45495.51753</v>
      </c>
      <c r="B607" s="7" t="str">
        <f>'Respuestas de formulario 1'!B607</f>
        <v>Passerini</v>
      </c>
      <c r="C607" s="7" t="str">
        <f>'Respuestas de formulario 1'!C607</f>
        <v>Santiago</v>
      </c>
      <c r="D607" s="7" t="str">
        <f>'Respuestas de formulario 1'!D607</f>
        <v>santiago.passerini1@gmail.com</v>
      </c>
      <c r="E607" s="20">
        <f>'Respuestas de formulario 1'!E607</f>
        <v>36636</v>
      </c>
      <c r="F607" s="7">
        <f>'Respuestas de formulario 1'!F607</f>
        <v>49640288</v>
      </c>
      <c r="G607" s="7" t="str">
        <f>IFERROR(__xludf.DUMMYFUNCTION("IF('Respuestas de formulario 1'!G607="""","""",IF(LEFT(REGEXREPLACE(TO_TEXT('Respuestas de formulario 1'!G607),""[^0-9]"",""""),2)=""54"",""+""&amp;REGEXREPLACE(TO_TEXT('Respuestas de formulario 1'!G607),""[^0-9]"",""""),""+54""&amp;REGEXREPLACE(TO_TEXT('Respuest"&amp;"as de formulario 1'!G607),""[^0-9]"","""")))"),"+543517650020")</f>
        <v>+543517650020</v>
      </c>
      <c r="H607" s="7">
        <f>'Respuestas de formulario 1'!S607</f>
        <v>2024</v>
      </c>
      <c r="I607" s="7" t="str">
        <f>IFERROR(__xludf.DUMMYFUNCTION("IF('Respuestas de formulario 1'!I607="""","""",TO_TEXT('Respuestas de formulario 1'!I607))"),"Particular")</f>
        <v>Particular</v>
      </c>
      <c r="J607" s="7" t="str">
        <f>IFERROR(__xludf.DUMMYFUNCTION("IF('Respuestas de formulario 1'!J607&lt;&gt;"""",UPPER(TRIM(TO_TEXT('Respuestas de formulario 1'!J607))),IF('Respuestas de formulario 1'!O607&lt;&gt;"""",UPPER(TRIM(TO_TEXT('Respuestas de formulario 1'!O607))),""""))"),"")</f>
        <v/>
      </c>
      <c r="K607" s="7" t="str">
        <f>IFERROR(__xludf.DUMMYFUNCTION("IF('Respuestas de formulario 1'!K607="""","""",TO_TEXT('Respuestas de formulario 1'!K607))"),"Si")</f>
        <v>Si</v>
      </c>
      <c r="L607" s="7" t="str">
        <f>IFERROR(__xludf.DUMMYFUNCTION("IF('Respuestas de formulario 1'!L607="""","""",TO_TEXT('Respuestas de formulario 1'!L607))"),"Golf")</f>
        <v>Golf</v>
      </c>
      <c r="M607" s="7" t="str">
        <f>IFERROR(__xludf.DUMMYFUNCTION("IF('Respuestas de formulario 1'!M607="""","""",TO_TEXT('Respuestas de formulario 1'!M607))"),"1 a 2 veces por semana")</f>
        <v>1 a 2 veces por semana</v>
      </c>
      <c r="N607" s="7">
        <f t="shared" si="1"/>
        <v>2024</v>
      </c>
      <c r="O607" s="7" t="str">
        <f t="shared" si="2"/>
        <v>julio</v>
      </c>
      <c r="P607" s="7" t="s">
        <v>5399</v>
      </c>
    </row>
    <row r="608">
      <c r="A608" s="19">
        <f>'Respuestas de formulario 1'!A608</f>
        <v>45496.46288</v>
      </c>
      <c r="B608" s="7" t="str">
        <f>'Respuestas de formulario 1'!B608</f>
        <v>Flores bur </v>
      </c>
      <c r="C608" s="7" t="str">
        <f>'Respuestas de formulario 1'!C608</f>
        <v>Emanuel </v>
      </c>
      <c r="D608" s="7" t="str">
        <f>'Respuestas de formulario 1'!D608</f>
        <v>Emafloresbur@gmail.com</v>
      </c>
      <c r="E608" s="20">
        <f>'Respuestas de formulario 1'!E608</f>
        <v>29674</v>
      </c>
      <c r="F608" s="7">
        <f>'Respuestas de formulario 1'!F608</f>
        <v>28655411</v>
      </c>
      <c r="G608" s="7" t="str">
        <f>IFERROR(__xludf.DUMMYFUNCTION("IF('Respuestas de formulario 1'!G608="""","""",IF(LEFT(REGEXREPLACE(TO_TEXT('Respuestas de formulario 1'!G608),""[^0-9]"",""""),2)=""54"",""+""&amp;REGEXREPLACE(TO_TEXT('Respuestas de formulario 1'!G608),""[^0-9]"",""""),""+54""&amp;REGEXREPLACE(TO_TEXT('Respuest"&amp;"as de formulario 1'!G608),""[^0-9]"","""")))"),"+543518057754")</f>
        <v>+543518057754</v>
      </c>
      <c r="H608" s="7">
        <f>'Respuestas de formulario 1'!S608</f>
        <v>2024</v>
      </c>
      <c r="I608" s="7" t="str">
        <f>IFERROR(__xludf.DUMMYFUNCTION("IF('Respuestas de formulario 1'!I608="""","""",TO_TEXT('Respuestas de formulario 1'!I608))"),"Particular")</f>
        <v>Particular</v>
      </c>
      <c r="J608" s="7" t="str">
        <f>IFERROR(__xludf.DUMMYFUNCTION("IF('Respuestas de formulario 1'!J608&lt;&gt;"""",UPPER(TRIM(TO_TEXT('Respuestas de formulario 1'!J608))),IF('Respuestas de formulario 1'!O608&lt;&gt;"""",UPPER(TRIM(TO_TEXT('Respuestas de formulario 1'!O608))),""""))"),"")</f>
        <v/>
      </c>
      <c r="K608" s="7" t="str">
        <f>IFERROR(__xludf.DUMMYFUNCTION("IF('Respuestas de formulario 1'!K608="""","""",TO_TEXT('Respuestas de formulario 1'!K608))"),"Si")</f>
        <v>Si</v>
      </c>
      <c r="L608" s="7" t="str">
        <f>IFERROR(__xludf.DUMMYFUNCTION("IF('Respuestas de formulario 1'!L608="""","""",TO_TEXT('Respuestas de formulario 1'!L608))"),"Padel")</f>
        <v>Padel</v>
      </c>
      <c r="M608" s="7" t="str">
        <f>IFERROR(__xludf.DUMMYFUNCTION("IF('Respuestas de formulario 1'!M608="""","""",TO_TEXT('Respuestas de formulario 1'!M608))"),"3 a 5 veces por semana")</f>
        <v>3 a 5 veces por semana</v>
      </c>
      <c r="N608" s="7">
        <f t="shared" si="1"/>
        <v>2024</v>
      </c>
      <c r="O608" s="7" t="str">
        <f t="shared" si="2"/>
        <v>julio</v>
      </c>
      <c r="P608" s="7" t="s">
        <v>5401</v>
      </c>
    </row>
    <row r="609">
      <c r="A609" s="19">
        <f>'Respuestas de formulario 1'!A609</f>
        <v>45496.78967</v>
      </c>
      <c r="B609" s="7" t="str">
        <f>'Respuestas de formulario 1'!B609</f>
        <v>Cristori</v>
      </c>
      <c r="C609" s="7" t="str">
        <f>'Respuestas de formulario 1'!C609</f>
        <v>Nelson</v>
      </c>
      <c r="D609" s="7" t="str">
        <f>'Respuestas de formulario 1'!D609</f>
        <v>cristorinelson@gmail.com</v>
      </c>
      <c r="E609" s="20">
        <f>'Respuestas de formulario 1'!E609</f>
        <v>29882</v>
      </c>
      <c r="F609" s="7">
        <f>'Respuestas de formulario 1'!F609</f>
        <v>29136511</v>
      </c>
      <c r="G609" s="7" t="str">
        <f>IFERROR(__xludf.DUMMYFUNCTION("IF('Respuestas de formulario 1'!G609="""","""",IF(LEFT(REGEXREPLACE(TO_TEXT('Respuestas de formulario 1'!G609),""[^0-9]"",""""),2)=""54"",""+""&amp;REGEXREPLACE(TO_TEXT('Respuestas de formulario 1'!G609),""[^0-9]"",""""),""+54""&amp;REGEXREPLACE(TO_TEXT('Respuest"&amp;"as de formulario 1'!G609),""[^0-9]"","""")))"),"+543516604672")</f>
        <v>+543516604672</v>
      </c>
      <c r="H609" s="7">
        <f>'Respuestas de formulario 1'!S609</f>
        <v>2024</v>
      </c>
      <c r="I609" s="7" t="str">
        <f>IFERROR(__xludf.DUMMYFUNCTION("IF('Respuestas de formulario 1'!I609="""","""",TO_TEXT('Respuestas de formulario 1'!I609))"),"Particular")</f>
        <v>Particular</v>
      </c>
      <c r="J609" s="7" t="str">
        <f>IFERROR(__xludf.DUMMYFUNCTION("IF('Respuestas de formulario 1'!J609&lt;&gt;"""",UPPER(TRIM(TO_TEXT('Respuestas de formulario 1'!J609))),IF('Respuestas de formulario 1'!O609&lt;&gt;"""",UPPER(TRIM(TO_TEXT('Respuestas de formulario 1'!O609))),""""))"),"")</f>
        <v/>
      </c>
      <c r="K609" s="7" t="str">
        <f>IFERROR(__xludf.DUMMYFUNCTION("IF('Respuestas de formulario 1'!K609="""","""",TO_TEXT('Respuestas de formulario 1'!K609))"),"Si")</f>
        <v>Si</v>
      </c>
      <c r="L609" s="7" t="str">
        <f>IFERROR(__xludf.DUMMYFUNCTION("IF('Respuestas de formulario 1'!L609="""","""",TO_TEXT('Respuestas de formulario 1'!L609))"),"Padlet")</f>
        <v>Padlet</v>
      </c>
      <c r="M609" s="7" t="str">
        <f>IFERROR(__xludf.DUMMYFUNCTION("IF('Respuestas de formulario 1'!M609="""","""",TO_TEXT('Respuestas de formulario 1'!M609))"),"1 a 2 veces por semana")</f>
        <v>1 a 2 veces por semana</v>
      </c>
      <c r="N609" s="7">
        <f t="shared" si="1"/>
        <v>2024</v>
      </c>
      <c r="O609" s="7" t="str">
        <f t="shared" si="2"/>
        <v>julio</v>
      </c>
      <c r="P609" s="7" t="s">
        <v>5403</v>
      </c>
    </row>
    <row r="610">
      <c r="A610" s="19">
        <f>'Respuestas de formulario 1'!A610</f>
        <v>45497.69747</v>
      </c>
      <c r="B610" s="7" t="str">
        <f>'Respuestas de formulario 1'!B610</f>
        <v>Naranjo</v>
      </c>
      <c r="C610" s="7" t="str">
        <f>'Respuestas de formulario 1'!C610</f>
        <v>Osvaldo</v>
      </c>
      <c r="D610" s="7" t="str">
        <f>'Respuestas de formulario 1'!D610</f>
        <v>naranjo.osvaldo@gmail.com</v>
      </c>
      <c r="E610" s="20">
        <f>'Respuestas de formulario 1'!E610</f>
        <v>21598</v>
      </c>
      <c r="F610" s="7">
        <f>'Respuestas de formulario 1'!F610</f>
        <v>12874339</v>
      </c>
      <c r="G610" s="7" t="str">
        <f>IFERROR(__xludf.DUMMYFUNCTION("IF('Respuestas de formulario 1'!G610="""","""",IF(LEFT(REGEXREPLACE(TO_TEXT('Respuestas de formulario 1'!G610),""[^0-9]"",""""),2)=""54"",""+""&amp;REGEXREPLACE(TO_TEXT('Respuestas de formulario 1'!G610),""[^0-9]"",""""),""+54""&amp;REGEXREPLACE(TO_TEXT('Respuest"&amp;"as de formulario 1'!G610),""[^0-9]"","""")))"),"+543516569941")</f>
        <v>+543516569941</v>
      </c>
      <c r="H610" s="7">
        <f>'Respuestas de formulario 1'!S610</f>
        <v>2024</v>
      </c>
      <c r="I610" s="7" t="str">
        <f>IFERROR(__xludf.DUMMYFUNCTION("IF('Respuestas de formulario 1'!I610="""","""",TO_TEXT('Respuestas de formulario 1'!I610))"),"Particular")</f>
        <v>Particular</v>
      </c>
      <c r="J610" s="7" t="str">
        <f>IFERROR(__xludf.DUMMYFUNCTION("IF('Respuestas de formulario 1'!J610&lt;&gt;"""",UPPER(TRIM(TO_TEXT('Respuestas de formulario 1'!J610))),IF('Respuestas de formulario 1'!O610&lt;&gt;"""",UPPER(TRIM(TO_TEXT('Respuestas de formulario 1'!O610))),""""))"),"")</f>
        <v/>
      </c>
      <c r="K610" s="7" t="str">
        <f>IFERROR(__xludf.DUMMYFUNCTION("IF('Respuestas de formulario 1'!K610="""","""",TO_TEXT('Respuestas de formulario 1'!K610))"),"No")</f>
        <v>No</v>
      </c>
      <c r="L610" s="7" t="str">
        <f>IFERROR(__xludf.DUMMYFUNCTION("IF('Respuestas de formulario 1'!L610="""","""",TO_TEXT('Respuestas de formulario 1'!L610))"),"")</f>
        <v/>
      </c>
      <c r="M610" s="7" t="str">
        <f>IFERROR(__xludf.DUMMYFUNCTION("IF('Respuestas de formulario 1'!M610="""","""",TO_TEXT('Respuestas de formulario 1'!M610))"),"")</f>
        <v/>
      </c>
      <c r="N610" s="7">
        <f t="shared" si="1"/>
        <v>2024</v>
      </c>
      <c r="O610" s="7" t="str">
        <f t="shared" si="2"/>
        <v>julio</v>
      </c>
      <c r="P610" s="7" t="s">
        <v>5405</v>
      </c>
    </row>
    <row r="611">
      <c r="A611" s="19">
        <f>'Respuestas de formulario 1'!A611</f>
        <v>45497.78416</v>
      </c>
      <c r="B611" s="7" t="str">
        <f>'Respuestas de formulario 1'!B611</f>
        <v>Brizuela</v>
      </c>
      <c r="C611" s="7" t="str">
        <f>'Respuestas de formulario 1'!C611</f>
        <v>Camila</v>
      </c>
      <c r="D611" s="7" t="str">
        <f>'Respuestas de formulario 1'!D611</f>
        <v>camila.b@upc.edu.ar</v>
      </c>
      <c r="E611" s="20">
        <f>'Respuestas de formulario 1'!E611</f>
        <v>34393</v>
      </c>
      <c r="F611" s="7">
        <f>'Respuestas de formulario 1'!F611</f>
        <v>38987217</v>
      </c>
      <c r="G611" s="7" t="str">
        <f>IFERROR(__xludf.DUMMYFUNCTION("IF('Respuestas de formulario 1'!G611="""","""",IF(LEFT(REGEXREPLACE(TO_TEXT('Respuestas de formulario 1'!G611),""[^0-9]"",""""),2)=""54"",""+""&amp;REGEXREPLACE(TO_TEXT('Respuestas de formulario 1'!G611),""[^0-9]"",""""),""+54""&amp;REGEXREPLACE(TO_TEXT('Respuest"&amp;"as de formulario 1'!G611),""[^0-9]"","""")))"),"+543513576861")</f>
        <v>+543513576861</v>
      </c>
      <c r="H611" s="7">
        <f>'Respuestas de formulario 1'!S611</f>
        <v>2024</v>
      </c>
      <c r="I611" s="7" t="str">
        <f>IFERROR(__xludf.DUMMYFUNCTION("IF('Respuestas de formulario 1'!I611="""","""",TO_TEXT('Respuestas de formulario 1'!I611))"),"Particular")</f>
        <v>Particular</v>
      </c>
      <c r="J611" s="7" t="str">
        <f>IFERROR(__xludf.DUMMYFUNCTION("IF('Respuestas de formulario 1'!J611&lt;&gt;"""",UPPER(TRIM(TO_TEXT('Respuestas de formulario 1'!J611))),IF('Respuestas de formulario 1'!O611&lt;&gt;"""",UPPER(TRIM(TO_TEXT('Respuestas de formulario 1'!O611))),""""))"),"")</f>
        <v/>
      </c>
      <c r="K611" s="7" t="str">
        <f>IFERROR(__xludf.DUMMYFUNCTION("IF('Respuestas de formulario 1'!K611="""","""",TO_TEXT('Respuestas de formulario 1'!K611))"),"Si")</f>
        <v>Si</v>
      </c>
      <c r="L611" s="7" t="str">
        <f>IFERROR(__xludf.DUMMYFUNCTION("IF('Respuestas de formulario 1'!L611="""","""",TO_TEXT('Respuestas de formulario 1'!L611))"),"escalada")</f>
        <v>escalada</v>
      </c>
      <c r="M611" s="7" t="str">
        <f>IFERROR(__xludf.DUMMYFUNCTION("IF('Respuestas de formulario 1'!M611="""","""",TO_TEXT('Respuestas de formulario 1'!M611))"),"3 a 5 veces por semana")</f>
        <v>3 a 5 veces por semana</v>
      </c>
      <c r="N611" s="7">
        <f t="shared" si="1"/>
        <v>2024</v>
      </c>
      <c r="O611" s="7" t="str">
        <f t="shared" si="2"/>
        <v>julio</v>
      </c>
      <c r="P611" s="7" t="s">
        <v>5407</v>
      </c>
    </row>
    <row r="612">
      <c r="A612" s="19">
        <f>'Respuestas de formulario 1'!A612</f>
        <v>45498.48921</v>
      </c>
      <c r="B612" s="7" t="str">
        <f>'Respuestas de formulario 1'!B612</f>
        <v>Gianni</v>
      </c>
      <c r="C612" s="7" t="str">
        <f>'Respuestas de formulario 1'!C612</f>
        <v>Juan</v>
      </c>
      <c r="D612" s="7" t="str">
        <f>'Respuestas de formulario 1'!D612</f>
        <v>jcagianni@gmail.com</v>
      </c>
      <c r="E612" s="20">
        <f>'Respuestas de formulario 1'!E612</f>
        <v>19724</v>
      </c>
      <c r="F612" s="7">
        <f>'Respuestas de formulario 1'!F612</f>
        <v>11052471</v>
      </c>
      <c r="G612" s="7" t="str">
        <f>IFERROR(__xludf.DUMMYFUNCTION("IF('Respuestas de formulario 1'!G612="""","""",IF(LEFT(REGEXREPLACE(TO_TEXT('Respuestas de formulario 1'!G612),""[^0-9]"",""""),2)=""54"",""+""&amp;REGEXREPLACE(TO_TEXT('Respuestas de formulario 1'!G612),""[^0-9]"",""""),""+54""&amp;REGEXREPLACE(TO_TEXT('Respuest"&amp;"as de formulario 1'!G612),""[^0-9]"","""")))"),"+543516348177")</f>
        <v>+543516348177</v>
      </c>
      <c r="H612" s="7">
        <f>'Respuestas de formulario 1'!S612</f>
        <v>2024</v>
      </c>
      <c r="I612" s="7" t="str">
        <f>IFERROR(__xludf.DUMMYFUNCTION("IF('Respuestas de formulario 1'!I612="""","""",TO_TEXT('Respuestas de formulario 1'!I612))"),"Obra social")</f>
        <v>Obra social</v>
      </c>
      <c r="J612" s="7" t="str">
        <f>IFERROR(__xludf.DUMMYFUNCTION("IF('Respuestas de formulario 1'!J612&lt;&gt;"""",UPPER(TRIM(TO_TEXT('Respuestas de formulario 1'!J612))),IF('Respuestas de formulario 1'!O612&lt;&gt;"""",UPPER(TRIM(TO_TEXT('Respuestas de formulario 1'!O612))),""""))"),"APROSS")</f>
        <v>APROSS</v>
      </c>
      <c r="K612" s="7" t="str">
        <f>IFERROR(__xludf.DUMMYFUNCTION("IF('Respuestas de formulario 1'!K612="""","""",TO_TEXT('Respuestas de formulario 1'!K612))"),"No")</f>
        <v>No</v>
      </c>
      <c r="L612" s="7" t="str">
        <f>IFERROR(__xludf.DUMMYFUNCTION("IF('Respuestas de formulario 1'!L612="""","""",TO_TEXT('Respuestas de formulario 1'!L612))"),"")</f>
        <v/>
      </c>
      <c r="M612" s="7" t="str">
        <f>IFERROR(__xludf.DUMMYFUNCTION("IF('Respuestas de formulario 1'!M612="""","""",TO_TEXT('Respuestas de formulario 1'!M612))"),"")</f>
        <v/>
      </c>
      <c r="N612" s="7">
        <f t="shared" si="1"/>
        <v>2024</v>
      </c>
      <c r="O612" s="7" t="str">
        <f t="shared" si="2"/>
        <v>julio</v>
      </c>
      <c r="P612" s="7" t="s">
        <v>5409</v>
      </c>
    </row>
    <row r="613">
      <c r="A613" s="19">
        <f>'Respuestas de formulario 1'!A613</f>
        <v>45498.5745</v>
      </c>
      <c r="B613" s="7" t="str">
        <f>'Respuestas de formulario 1'!B613</f>
        <v>Gandolfi </v>
      </c>
      <c r="C613" s="7" t="str">
        <f>'Respuestas de formulario 1'!C613</f>
        <v>Laura de Lourdes </v>
      </c>
      <c r="D613" s="7" t="str">
        <f>'Respuestas de formulario 1'!D613</f>
        <v>lauralgandolfi@gmail.com</v>
      </c>
      <c r="E613" s="20">
        <f>'Respuestas de formulario 1'!E613</f>
        <v>29622</v>
      </c>
      <c r="F613" s="7">
        <f>'Respuestas de formulario 1'!F613</f>
        <v>28653283</v>
      </c>
      <c r="G613" s="7" t="str">
        <f>IFERROR(__xludf.DUMMYFUNCTION("IF('Respuestas de formulario 1'!G613="""","""",IF(LEFT(REGEXREPLACE(TO_TEXT('Respuestas de formulario 1'!G613),""[^0-9]"",""""),2)=""54"",""+""&amp;REGEXREPLACE(TO_TEXT('Respuestas de formulario 1'!G613),""[^0-9]"",""""),""+54""&amp;REGEXREPLACE(TO_TEXT('Respuest"&amp;"as de formulario 1'!G613),""[^0-9]"","""")))"),"+543516229217")</f>
        <v>+543516229217</v>
      </c>
      <c r="H613" s="7">
        <f>'Respuestas de formulario 1'!S613</f>
        <v>2024</v>
      </c>
      <c r="I613" s="7" t="str">
        <f>IFERROR(__xludf.DUMMYFUNCTION("IF('Respuestas de formulario 1'!I613="""","""",TO_TEXT('Respuestas de formulario 1'!I613))"),"Obra social")</f>
        <v>Obra social</v>
      </c>
      <c r="J613" s="7" t="str">
        <f>IFERROR(__xludf.DUMMYFUNCTION("IF('Respuestas de formulario 1'!J613&lt;&gt;"""",UPPER(TRIM(TO_TEXT('Respuestas de formulario 1'!J613))),IF('Respuestas de formulario 1'!O613&lt;&gt;"""",UPPER(TRIM(TO_TEXT('Respuestas de formulario 1'!O613))),""""))"),"BOREAL MAGNUM")</f>
        <v>BOREAL MAGNUM</v>
      </c>
      <c r="K613" s="7" t="str">
        <f>IFERROR(__xludf.DUMMYFUNCTION("IF('Respuestas de formulario 1'!K613="""","""",TO_TEXT('Respuestas de formulario 1'!K613))"),"No")</f>
        <v>No</v>
      </c>
      <c r="L613" s="7" t="str">
        <f>IFERROR(__xludf.DUMMYFUNCTION("IF('Respuestas de formulario 1'!L613="""","""",TO_TEXT('Respuestas de formulario 1'!L613))"),"")</f>
        <v/>
      </c>
      <c r="M613" s="7" t="str">
        <f>IFERROR(__xludf.DUMMYFUNCTION("IF('Respuestas de formulario 1'!M613="""","""",TO_TEXT('Respuestas de formulario 1'!M613))"),"")</f>
        <v/>
      </c>
      <c r="N613" s="7">
        <f t="shared" si="1"/>
        <v>2024</v>
      </c>
      <c r="O613" s="7" t="str">
        <f t="shared" si="2"/>
        <v>julio</v>
      </c>
      <c r="P613" s="7" t="s">
        <v>5411</v>
      </c>
    </row>
    <row r="614">
      <c r="A614" s="19">
        <f>'Respuestas de formulario 1'!A614</f>
        <v>45498.7159</v>
      </c>
      <c r="B614" s="7" t="str">
        <f>'Respuestas de formulario 1'!B614</f>
        <v>González </v>
      </c>
      <c r="C614" s="7" t="str">
        <f>'Respuestas de formulario 1'!C614</f>
        <v>Juan Ignacio </v>
      </c>
      <c r="D614" s="7" t="str">
        <f>'Respuestas de formulario 1'!D614</f>
        <v>gonzaleznacho63@gmail.com</v>
      </c>
      <c r="E614" s="20">
        <f>'Respuestas de formulario 1'!E614</f>
        <v>38443</v>
      </c>
      <c r="F614" s="7">
        <f>'Respuestas de formulario 1'!F614</f>
        <v>46033170</v>
      </c>
      <c r="G614" s="7" t="str">
        <f>IFERROR(__xludf.DUMMYFUNCTION("IF('Respuestas de formulario 1'!G614="""","""",IF(LEFT(REGEXREPLACE(TO_TEXT('Respuestas de formulario 1'!G614),""[^0-9]"",""""),2)=""54"",""+""&amp;REGEXREPLACE(TO_TEXT('Respuestas de formulario 1'!G614),""[^0-9]"",""""),""+54""&amp;REGEXREPLACE(TO_TEXT('Respuest"&amp;"as de formulario 1'!G614),""[^0-9]"","""")))"),"+543517637449")</f>
        <v>+543517637449</v>
      </c>
      <c r="H614" s="7">
        <f>'Respuestas de formulario 1'!S614</f>
        <v>2024</v>
      </c>
      <c r="I614" s="7" t="str">
        <f>IFERROR(__xludf.DUMMYFUNCTION("IF('Respuestas de formulario 1'!I614="""","""",TO_TEXT('Respuestas de formulario 1'!I614))"),"Particular")</f>
        <v>Particular</v>
      </c>
      <c r="J614" s="7" t="str">
        <f>IFERROR(__xludf.DUMMYFUNCTION("IF('Respuestas de formulario 1'!J614&lt;&gt;"""",UPPER(TRIM(TO_TEXT('Respuestas de formulario 1'!J614))),IF('Respuestas de formulario 1'!O614&lt;&gt;"""",UPPER(TRIM(TO_TEXT('Respuestas de formulario 1'!O614))),""""))"),"")</f>
        <v/>
      </c>
      <c r="K614" s="7" t="str">
        <f>IFERROR(__xludf.DUMMYFUNCTION("IF('Respuestas de formulario 1'!K614="""","""",TO_TEXT('Respuestas de formulario 1'!K614))"),"Si")</f>
        <v>Si</v>
      </c>
      <c r="L614" s="7" t="str">
        <f>IFERROR(__xludf.DUMMYFUNCTION("IF('Respuestas de formulario 1'!L614="""","""",TO_TEXT('Respuestas de formulario 1'!L614))"),"Gimnasio")</f>
        <v>Gimnasio</v>
      </c>
      <c r="M614" s="7" t="str">
        <f>IFERROR(__xludf.DUMMYFUNCTION("IF('Respuestas de formulario 1'!M614="""","""",TO_TEXT('Respuestas de formulario 1'!M614))"),"3 a 5 veces por semana")</f>
        <v>3 a 5 veces por semana</v>
      </c>
      <c r="N614" s="7">
        <f t="shared" si="1"/>
        <v>2024</v>
      </c>
      <c r="O614" s="7" t="str">
        <f t="shared" si="2"/>
        <v>julio</v>
      </c>
      <c r="P614" s="7" t="s">
        <v>5413</v>
      </c>
    </row>
    <row r="615">
      <c r="A615" s="19">
        <f>'Respuestas de formulario 1'!A615</f>
        <v>45498.79941</v>
      </c>
      <c r="B615" s="7" t="str">
        <f>'Respuestas de formulario 1'!B615</f>
        <v>Espinosa </v>
      </c>
      <c r="C615" s="7" t="str">
        <f>'Respuestas de formulario 1'!C615</f>
        <v>Aldo</v>
      </c>
      <c r="D615" s="7" t="str">
        <f>'Respuestas de formulario 1'!D615</f>
        <v>smslistos@gmail.com</v>
      </c>
      <c r="E615" s="20">
        <f>'Respuestas de formulario 1'!E615</f>
        <v>20726</v>
      </c>
      <c r="F615" s="7">
        <f>'Respuestas de formulario 1'!F615</f>
        <v>12872217</v>
      </c>
      <c r="G615" s="7" t="str">
        <f>IFERROR(__xludf.DUMMYFUNCTION("IF('Respuestas de formulario 1'!G615="""","""",IF(LEFT(REGEXREPLACE(TO_TEXT('Respuestas de formulario 1'!G615),""[^0-9]"",""""),2)=""54"",""+""&amp;REGEXREPLACE(TO_TEXT('Respuestas de formulario 1'!G615),""[^0-9]"",""""),""+54""&amp;REGEXREPLACE(TO_TEXT('Respuest"&amp;"as de formulario 1'!G615),""[^0-9]"","""")))"),"+543513160016")</f>
        <v>+543513160016</v>
      </c>
      <c r="H615" s="7">
        <f>'Respuestas de formulario 1'!S615</f>
        <v>2024</v>
      </c>
      <c r="I615" s="7" t="str">
        <f>IFERROR(__xludf.DUMMYFUNCTION("IF('Respuestas de formulario 1'!I615="""","""",TO_TEXT('Respuestas de formulario 1'!I615))"),"Particular")</f>
        <v>Particular</v>
      </c>
      <c r="J615" s="7" t="str">
        <f>IFERROR(__xludf.DUMMYFUNCTION("IF('Respuestas de formulario 1'!J615&lt;&gt;"""",UPPER(TRIM(TO_TEXT('Respuestas de formulario 1'!J615))),IF('Respuestas de formulario 1'!O615&lt;&gt;"""",UPPER(TRIM(TO_TEXT('Respuestas de formulario 1'!O615))),""""))"),"")</f>
        <v/>
      </c>
      <c r="K615" s="7" t="str">
        <f>IFERROR(__xludf.DUMMYFUNCTION("IF('Respuestas de formulario 1'!K615="""","""",TO_TEXT('Respuestas de formulario 1'!K615))"),"Si")</f>
        <v>Si</v>
      </c>
      <c r="L615" s="7" t="str">
        <f>IFERROR(__xludf.DUMMYFUNCTION("IF('Respuestas de formulario 1'!L615="""","""",TO_TEXT('Respuestas de formulario 1'!L615))"),"")</f>
        <v/>
      </c>
      <c r="M615" s="7" t="str">
        <f>IFERROR(__xludf.DUMMYFUNCTION("IF('Respuestas de formulario 1'!M615="""","""",TO_TEXT('Respuestas de formulario 1'!M615))"),"3 a 5 veces por semana")</f>
        <v>3 a 5 veces por semana</v>
      </c>
      <c r="N615" s="7">
        <f t="shared" si="1"/>
        <v>2024</v>
      </c>
      <c r="O615" s="7" t="str">
        <f t="shared" si="2"/>
        <v>julio</v>
      </c>
      <c r="P615" s="7" t="s">
        <v>5415</v>
      </c>
    </row>
    <row r="616">
      <c r="A616" s="19">
        <f>'Respuestas de formulario 1'!A616</f>
        <v>45498.89536</v>
      </c>
      <c r="B616" s="7" t="str">
        <f>'Respuestas de formulario 1'!B616</f>
        <v>Floreani</v>
      </c>
      <c r="C616" s="7" t="str">
        <f>'Respuestas de formulario 1'!C616</f>
        <v>Antonella</v>
      </c>
      <c r="D616" s="7" t="str">
        <f>'Respuestas de formulario 1'!D616</f>
        <v>antonellafloreani6@gmail.com</v>
      </c>
      <c r="E616" s="20">
        <f>'Respuestas de formulario 1'!E616</f>
        <v>34978</v>
      </c>
      <c r="F616" s="7">
        <f>'Respuestas de formulario 1'!F616</f>
        <v>38721091</v>
      </c>
      <c r="G616" s="7" t="str">
        <f>IFERROR(__xludf.DUMMYFUNCTION("IF('Respuestas de formulario 1'!G616="""","""",IF(LEFT(REGEXREPLACE(TO_TEXT('Respuestas de formulario 1'!G616),""[^0-9]"",""""),2)=""54"",""+""&amp;REGEXREPLACE(TO_TEXT('Respuestas de formulario 1'!G616),""[^0-9]"",""""),""+54""&amp;REGEXREPLACE(TO_TEXT('Respuest"&amp;"as de formulario 1'!G616),""[^0-9]"","""")))"),"+543513951413")</f>
        <v>+543513951413</v>
      </c>
      <c r="H616" s="7">
        <f>'Respuestas de formulario 1'!S616</f>
        <v>2024</v>
      </c>
      <c r="I616" s="7" t="str">
        <f>IFERROR(__xludf.DUMMYFUNCTION("IF('Respuestas de formulario 1'!I616="""","""",TO_TEXT('Respuestas de formulario 1'!I616))"),"Obra social")</f>
        <v>Obra social</v>
      </c>
      <c r="J616" s="7" t="str">
        <f>IFERROR(__xludf.DUMMYFUNCTION("IF('Respuestas de formulario 1'!J616&lt;&gt;"""",UPPER(TRIM(TO_TEXT('Respuestas de formulario 1'!J616))),IF('Respuestas de formulario 1'!O616&lt;&gt;"""",UPPER(TRIM(TO_TEXT('Respuestas de formulario 1'!O616))),""""))"),"SANCOR")</f>
        <v>SANCOR</v>
      </c>
      <c r="K616" s="7" t="str">
        <f>IFERROR(__xludf.DUMMYFUNCTION("IF('Respuestas de formulario 1'!K616="""","""",TO_TEXT('Respuestas de formulario 1'!K616))"),"Si")</f>
        <v>Si</v>
      </c>
      <c r="L616" s="7" t="str">
        <f>IFERROR(__xludf.DUMMYFUNCTION("IF('Respuestas de formulario 1'!L616="""","""",TO_TEXT('Respuestas de formulario 1'!L616))"),"Taekwondo ")</f>
        <v>Taekwondo </v>
      </c>
      <c r="M616" s="7" t="str">
        <f>IFERROR(__xludf.DUMMYFUNCTION("IF('Respuestas de formulario 1'!M616="""","""",TO_TEXT('Respuestas de formulario 1'!M616))"),"3 a 5 veces por semana")</f>
        <v>3 a 5 veces por semana</v>
      </c>
      <c r="N616" s="7">
        <f t="shared" si="1"/>
        <v>2024</v>
      </c>
      <c r="O616" s="7" t="str">
        <f t="shared" si="2"/>
        <v>julio</v>
      </c>
      <c r="P616" s="7" t="s">
        <v>5417</v>
      </c>
    </row>
    <row r="617">
      <c r="A617" s="19">
        <f>'Respuestas de formulario 1'!A617</f>
        <v>45498.92644</v>
      </c>
      <c r="B617" s="7" t="str">
        <f>'Respuestas de formulario 1'!B617</f>
        <v>Pereyra Brusco</v>
      </c>
      <c r="C617" s="7" t="str">
        <f>'Respuestas de formulario 1'!C617</f>
        <v>Joaquin</v>
      </c>
      <c r="D617" s="7" t="str">
        <f>'Respuestas de formulario 1'!D617</f>
        <v>lilibrusco@yahoo.com.ar</v>
      </c>
      <c r="E617" s="20">
        <f>'Respuestas de formulario 1'!E617</f>
        <v>39972</v>
      </c>
      <c r="F617" s="7">
        <f>'Respuestas de formulario 1'!F617</f>
        <v>49555748</v>
      </c>
      <c r="G617" s="7" t="str">
        <f>IFERROR(__xludf.DUMMYFUNCTION("IF('Respuestas de formulario 1'!G617="""","""",IF(LEFT(REGEXREPLACE(TO_TEXT('Respuestas de formulario 1'!G617),""[^0-9]"",""""),2)=""54"",""+""&amp;REGEXREPLACE(TO_TEXT('Respuestas de formulario 1'!G617),""[^0-9]"",""""),""+54""&amp;REGEXREPLACE(TO_TEXT('Respuest"&amp;"as de formulario 1'!G617),""[^0-9]"","""")))"),"+543516208417")</f>
        <v>+543516208417</v>
      </c>
      <c r="H617" s="7">
        <f>'Respuestas de formulario 1'!S617</f>
        <v>2024</v>
      </c>
      <c r="I617" s="7" t="str">
        <f>IFERROR(__xludf.DUMMYFUNCTION("IF('Respuestas de formulario 1'!I617="""","""",TO_TEXT('Respuestas de formulario 1'!I617))"),"Obra social")</f>
        <v>Obra social</v>
      </c>
      <c r="J617" s="7" t="str">
        <f>IFERROR(__xludf.DUMMYFUNCTION("IF('Respuestas de formulario 1'!J617&lt;&gt;"""",UPPER(TRIM(TO_TEXT('Respuestas de formulario 1'!J617))),IF('Respuestas de formulario 1'!O617&lt;&gt;"""",UPPER(TRIM(TO_TEXT('Respuestas de formulario 1'!O617))),""""))"),"APROSS")</f>
        <v>APROSS</v>
      </c>
      <c r="K617" s="7" t="str">
        <f>IFERROR(__xludf.DUMMYFUNCTION("IF('Respuestas de formulario 1'!K617="""","""",TO_TEXT('Respuestas de formulario 1'!K617))"),"Si")</f>
        <v>Si</v>
      </c>
      <c r="L617" s="7" t="str">
        <f>IFERROR(__xludf.DUMMYFUNCTION("IF('Respuestas de formulario 1'!L617="""","""",TO_TEXT('Respuestas de formulario 1'!L617))"),"Voley")</f>
        <v>Voley</v>
      </c>
      <c r="M617" s="7" t="str">
        <f>IFERROR(__xludf.DUMMYFUNCTION("IF('Respuestas de formulario 1'!M617="""","""",TO_TEXT('Respuestas de formulario 1'!M617))"),"3 a 5 veces por semana")</f>
        <v>3 a 5 veces por semana</v>
      </c>
      <c r="N617" s="7">
        <f t="shared" si="1"/>
        <v>2024</v>
      </c>
      <c r="O617" s="7" t="str">
        <f t="shared" si="2"/>
        <v>julio</v>
      </c>
      <c r="P617" s="7" t="s">
        <v>5419</v>
      </c>
    </row>
    <row r="618">
      <c r="A618" s="19">
        <f>'Respuestas de formulario 1'!A618</f>
        <v>45499.41635</v>
      </c>
      <c r="B618" s="7" t="str">
        <f>'Respuestas de formulario 1'!B618</f>
        <v>Gayol</v>
      </c>
      <c r="C618" s="7" t="str">
        <f>'Respuestas de formulario 1'!C618</f>
        <v>Miriam</v>
      </c>
      <c r="D618" s="7" t="str">
        <f>'Respuestas de formulario 1'!D618</f>
        <v>miriamgayol@hotmail.comm</v>
      </c>
      <c r="E618" s="20">
        <f>'Respuestas de formulario 1'!E618</f>
        <v>20968</v>
      </c>
      <c r="F618" s="7">
        <f>'Respuestas de formulario 1'!F618</f>
        <v>13539288</v>
      </c>
      <c r="G618" s="7" t="str">
        <f>IFERROR(__xludf.DUMMYFUNCTION("IF('Respuestas de formulario 1'!G618="""","""",IF(LEFT(REGEXREPLACE(TO_TEXT('Respuestas de formulario 1'!G618),""[^0-9]"",""""),2)=""54"",""+""&amp;REGEXREPLACE(TO_TEXT('Respuestas de formulario 1'!G618),""[^0-9]"",""""),""+54""&amp;REGEXREPLACE(TO_TEXT('Respuest"&amp;"as de formulario 1'!G618),""[^0-9]"","""")))"),"+543513068284")</f>
        <v>+543513068284</v>
      </c>
      <c r="H618" s="7">
        <f>'Respuestas de formulario 1'!S618</f>
        <v>2024</v>
      </c>
      <c r="I618" s="7" t="str">
        <f>IFERROR(__xludf.DUMMYFUNCTION("IF('Respuestas de formulario 1'!I618="""","""",TO_TEXT('Respuestas de formulario 1'!I618))"),"Obra social")</f>
        <v>Obra social</v>
      </c>
      <c r="J618" s="7" t="str">
        <f>IFERROR(__xludf.DUMMYFUNCTION("IF('Respuestas de formulario 1'!J618&lt;&gt;"""",UPPER(TRIM(TO_TEXT('Respuestas de formulario 1'!J618))),IF('Respuestas de formulario 1'!O618&lt;&gt;"""",UPPER(TRIM(TO_TEXT('Respuestas de formulario 1'!O618))),""""))"),"CPCE")</f>
        <v>CPCE</v>
      </c>
      <c r="K618" s="7" t="str">
        <f>IFERROR(__xludf.DUMMYFUNCTION("IF('Respuestas de formulario 1'!K618="""","""",TO_TEXT('Respuestas de formulario 1'!K618))"),"Si")</f>
        <v>Si</v>
      </c>
      <c r="L618" s="7" t="str">
        <f>IFERROR(__xludf.DUMMYFUNCTION("IF('Respuestas de formulario 1'!L618="""","""",TO_TEXT('Respuestas de formulario 1'!L618))"),"Gimnasio")</f>
        <v>Gimnasio</v>
      </c>
      <c r="M618" s="7" t="str">
        <f>IFERROR(__xludf.DUMMYFUNCTION("IF('Respuestas de formulario 1'!M618="""","""",TO_TEXT('Respuestas de formulario 1'!M618))"),"1 a 2 veces por semana")</f>
        <v>1 a 2 veces por semana</v>
      </c>
      <c r="N618" s="7">
        <f t="shared" si="1"/>
        <v>2024</v>
      </c>
      <c r="O618" s="7" t="str">
        <f t="shared" si="2"/>
        <v>julio</v>
      </c>
      <c r="P618" s="7" t="s">
        <v>5420</v>
      </c>
    </row>
    <row r="619">
      <c r="A619" s="19">
        <f>'Respuestas de formulario 1'!A619</f>
        <v>45499.44804</v>
      </c>
      <c r="B619" s="7" t="str">
        <f>'Respuestas de formulario 1'!B619</f>
        <v>Gallardo</v>
      </c>
      <c r="C619" s="7" t="str">
        <f>'Respuestas de formulario 1'!C619</f>
        <v>Alejandro</v>
      </c>
      <c r="D619" s="7" t="str">
        <f>'Respuestas de formulario 1'!D619</f>
        <v>ale47gallardo@gmail.com</v>
      </c>
      <c r="E619" s="20">
        <f>'Respuestas de formulario 1'!E619</f>
        <v>32028</v>
      </c>
      <c r="F619" s="7">
        <f>'Respuestas de formulario 1'!F619</f>
        <v>33227169</v>
      </c>
      <c r="G619" s="7" t="str">
        <f>IFERROR(__xludf.DUMMYFUNCTION("IF('Respuestas de formulario 1'!G619="""","""",IF(LEFT(REGEXREPLACE(TO_TEXT('Respuestas de formulario 1'!G619),""[^0-9]"",""""),2)=""54"",""+""&amp;REGEXREPLACE(TO_TEXT('Respuestas de formulario 1'!G619),""[^0-9]"",""""),""+54""&amp;REGEXREPLACE(TO_TEXT('Respuest"&amp;"as de formulario 1'!G619),""[^0-9]"","""")))"),"+543517672758")</f>
        <v>+543517672758</v>
      </c>
      <c r="H619" s="7">
        <f>'Respuestas de formulario 1'!S619</f>
        <v>2024</v>
      </c>
      <c r="I619" s="7" t="str">
        <f>IFERROR(__xludf.DUMMYFUNCTION("IF('Respuestas de formulario 1'!I619="""","""",TO_TEXT('Respuestas de formulario 1'!I619))"),"Obra social")</f>
        <v>Obra social</v>
      </c>
      <c r="J619" s="7" t="str">
        <f>IFERROR(__xludf.DUMMYFUNCTION("IF('Respuestas de formulario 1'!J619&lt;&gt;"""",UPPER(TRIM(TO_TEXT('Respuestas de formulario 1'!J619))),IF('Respuestas de formulario 1'!O619&lt;&gt;"""",UPPER(TRIM(TO_TEXT('Respuestas de formulario 1'!O619))),""""))"),"SWISS")</f>
        <v>SWISS</v>
      </c>
      <c r="K619" s="7" t="str">
        <f>IFERROR(__xludf.DUMMYFUNCTION("IF('Respuestas de formulario 1'!K619="""","""",TO_TEXT('Respuestas de formulario 1'!K619))"),"Si")</f>
        <v>Si</v>
      </c>
      <c r="L619" s="7" t="str">
        <f>IFERROR(__xludf.DUMMYFUNCTION("IF('Respuestas de formulario 1'!L619="""","""",TO_TEXT('Respuestas de formulario 1'!L619))"),"Gimnasio")</f>
        <v>Gimnasio</v>
      </c>
      <c r="M619" s="7" t="str">
        <f>IFERROR(__xludf.DUMMYFUNCTION("IF('Respuestas de formulario 1'!M619="""","""",TO_TEXT('Respuestas de formulario 1'!M619))"),"3 a 5 veces por semana")</f>
        <v>3 a 5 veces por semana</v>
      </c>
      <c r="N619" s="7">
        <f t="shared" si="1"/>
        <v>2024</v>
      </c>
      <c r="O619" s="7" t="str">
        <f t="shared" si="2"/>
        <v>julio</v>
      </c>
      <c r="P619" s="7" t="s">
        <v>5422</v>
      </c>
    </row>
    <row r="620">
      <c r="A620" s="19">
        <f>'Respuestas de formulario 1'!A620</f>
        <v>45499.48751</v>
      </c>
      <c r="B620" s="7" t="str">
        <f>'Respuestas de formulario 1'!B620</f>
        <v>Ojeda</v>
      </c>
      <c r="C620" s="7" t="str">
        <f>'Respuestas de formulario 1'!C620</f>
        <v>Joaquin Emanuel</v>
      </c>
      <c r="D620" s="7" t="str">
        <f>'Respuestas de formulario 1'!D620</f>
        <v>lauramaidanasalta@gmail.com</v>
      </c>
      <c r="E620" s="20">
        <f>'Respuestas de formulario 1'!E620</f>
        <v>40313</v>
      </c>
      <c r="F620" s="7">
        <f>'Respuestas de formulario 1'!F620</f>
        <v>50341148</v>
      </c>
      <c r="G620" s="7" t="str">
        <f>IFERROR(__xludf.DUMMYFUNCTION("IF('Respuestas de formulario 1'!G620="""","""",IF(LEFT(REGEXREPLACE(TO_TEXT('Respuestas de formulario 1'!G620),""[^0-9]"",""""),2)=""54"",""+""&amp;REGEXREPLACE(TO_TEXT('Respuestas de formulario 1'!G620),""[^0-9]"",""""),""+54""&amp;REGEXREPLACE(TO_TEXT('Respuest"&amp;"as de formulario 1'!G620),""[^0-9]"","""")))"),"+543518097304")</f>
        <v>+543518097304</v>
      </c>
      <c r="H620" s="7">
        <f>'Respuestas de formulario 1'!S620</f>
        <v>2024</v>
      </c>
      <c r="I620" s="7" t="str">
        <f>IFERROR(__xludf.DUMMYFUNCTION("IF('Respuestas de formulario 1'!I620="""","""",TO_TEXT('Respuestas de formulario 1'!I620))"),"Particular")</f>
        <v>Particular</v>
      </c>
      <c r="J620" s="7" t="str">
        <f>IFERROR(__xludf.DUMMYFUNCTION("IF('Respuestas de formulario 1'!J620&lt;&gt;"""",UPPER(TRIM(TO_TEXT('Respuestas de formulario 1'!J620))),IF('Respuestas de formulario 1'!O620&lt;&gt;"""",UPPER(TRIM(TO_TEXT('Respuestas de formulario 1'!O620))),""""))"),"")</f>
        <v/>
      </c>
      <c r="K620" s="7" t="str">
        <f>IFERROR(__xludf.DUMMYFUNCTION("IF('Respuestas de formulario 1'!K620="""","""",TO_TEXT('Respuestas de formulario 1'!K620))"),"Si")</f>
        <v>Si</v>
      </c>
      <c r="L620" s="7" t="str">
        <f>IFERROR(__xludf.DUMMYFUNCTION("IF('Respuestas de formulario 1'!L620="""","""",TO_TEXT('Respuestas de formulario 1'!L620))"),"Fútbol")</f>
        <v>Fútbol</v>
      </c>
      <c r="M620" s="7" t="str">
        <f>IFERROR(__xludf.DUMMYFUNCTION("IF('Respuestas de formulario 1'!M620="""","""",TO_TEXT('Respuestas de formulario 1'!M620))"),"3 a 5 veces por semana")</f>
        <v>3 a 5 veces por semana</v>
      </c>
      <c r="N620" s="7">
        <f t="shared" si="1"/>
        <v>2024</v>
      </c>
      <c r="O620" s="7" t="str">
        <f t="shared" si="2"/>
        <v>julio</v>
      </c>
      <c r="P620" s="7" t="s">
        <v>5424</v>
      </c>
    </row>
    <row r="621">
      <c r="A621" s="19">
        <f>'Respuestas de formulario 1'!A621</f>
        <v>45499.82588</v>
      </c>
      <c r="B621" s="7" t="str">
        <f>'Respuestas de formulario 1'!B621</f>
        <v>Schuf</v>
      </c>
      <c r="C621" s="7" t="str">
        <f>'Respuestas de formulario 1'!C621</f>
        <v>Camila</v>
      </c>
      <c r="D621" s="7" t="str">
        <f>'Respuestas de formulario 1'!D621</f>
        <v>camischuf@gmail.com</v>
      </c>
      <c r="E621" s="20">
        <f>'Respuestas de formulario 1'!E621</f>
        <v>38611</v>
      </c>
      <c r="F621" s="7">
        <f>'Respuestas de formulario 1'!F621</f>
        <v>46311380</v>
      </c>
      <c r="G621" s="7" t="str">
        <f>IFERROR(__xludf.DUMMYFUNCTION("IF('Respuestas de formulario 1'!G621="""","""",IF(LEFT(REGEXREPLACE(TO_TEXT('Respuestas de formulario 1'!G621),""[^0-9]"",""""),2)=""54"",""+""&amp;REGEXREPLACE(TO_TEXT('Respuestas de formulario 1'!G621),""[^0-9]"",""""),""+54""&amp;REGEXREPLACE(TO_TEXT('Respuest"&amp;"as de formulario 1'!G621),""[^0-9]"","""")))"),"+543512413092")</f>
        <v>+543512413092</v>
      </c>
      <c r="H621" s="7">
        <f>'Respuestas de formulario 1'!S621</f>
        <v>2024</v>
      </c>
      <c r="I621" s="7" t="str">
        <f>IFERROR(__xludf.DUMMYFUNCTION("IF('Respuestas de formulario 1'!I621="""","""",TO_TEXT('Respuestas de formulario 1'!I621))"),"Obra social")</f>
        <v>Obra social</v>
      </c>
      <c r="J621" s="7" t="str">
        <f>IFERROR(__xludf.DUMMYFUNCTION("IF('Respuestas de formulario 1'!J621&lt;&gt;"""",UPPER(TRIM(TO_TEXT('Respuestas de formulario 1'!J621))),IF('Respuestas de formulario 1'!O621&lt;&gt;"""",UPPER(TRIM(TO_TEXT('Respuestas de formulario 1'!O621))),""""))"),"MEDIFE")</f>
        <v>MEDIFE</v>
      </c>
      <c r="K621" s="7" t="str">
        <f>IFERROR(__xludf.DUMMYFUNCTION("IF('Respuestas de formulario 1'!K621="""","""",TO_TEXT('Respuestas de formulario 1'!K621))"),"Si")</f>
        <v>Si</v>
      </c>
      <c r="L621" s="7" t="str">
        <f>IFERROR(__xludf.DUMMYFUNCTION("IF('Respuestas de formulario 1'!L621="""","""",TO_TEXT('Respuestas de formulario 1'!L621))"),"Gimnasio")</f>
        <v>Gimnasio</v>
      </c>
      <c r="M621" s="7" t="str">
        <f>IFERROR(__xludf.DUMMYFUNCTION("IF('Respuestas de formulario 1'!M621="""","""",TO_TEXT('Respuestas de formulario 1'!M621))"),"3 a 5 veces por semana")</f>
        <v>3 a 5 veces por semana</v>
      </c>
      <c r="N621" s="7">
        <f t="shared" si="1"/>
        <v>2024</v>
      </c>
      <c r="O621" s="7" t="str">
        <f t="shared" si="2"/>
        <v>julio</v>
      </c>
      <c r="P621" s="7" t="s">
        <v>5426</v>
      </c>
    </row>
    <row r="622">
      <c r="A622" s="19">
        <f>'Respuestas de formulario 1'!A622</f>
        <v>45502.31424</v>
      </c>
      <c r="B622" s="7" t="str">
        <f>'Respuestas de formulario 1'!B622</f>
        <v>Fernández </v>
      </c>
      <c r="C622" s="7" t="str">
        <f>'Respuestas de formulario 1'!C622</f>
        <v>Esteban</v>
      </c>
      <c r="D622" s="7" t="str">
        <f>'Respuestas de formulario 1'!D622</f>
        <v>esteban0912@gmail.com</v>
      </c>
      <c r="E622" s="20">
        <f>'Respuestas de formulario 1'!E622</f>
        <v>30659</v>
      </c>
      <c r="F622" s="7">
        <f>'Respuestas de formulario 1'!F622</f>
        <v>92888117</v>
      </c>
      <c r="G622" s="7" t="str">
        <f>IFERROR(__xludf.DUMMYFUNCTION("IF('Respuestas de formulario 1'!G622="""","""",IF(LEFT(REGEXREPLACE(TO_TEXT('Respuestas de formulario 1'!G622),""[^0-9]"",""""),2)=""54"",""+""&amp;REGEXREPLACE(TO_TEXT('Respuestas de formulario 1'!G622),""[^0-9]"",""""),""+54""&amp;REGEXREPLACE(TO_TEXT('Respuest"&amp;"as de formulario 1'!G622),""[^0-9]"","""")))"),"+543513375260")</f>
        <v>+543513375260</v>
      </c>
      <c r="H622" s="7">
        <f>'Respuestas de formulario 1'!S622</f>
        <v>2024</v>
      </c>
      <c r="I622" s="7" t="str">
        <f>IFERROR(__xludf.DUMMYFUNCTION("IF('Respuestas de formulario 1'!I622="""","""",TO_TEXT('Respuestas de formulario 1'!I622))"),"Obra social")</f>
        <v>Obra social</v>
      </c>
      <c r="J622" s="7" t="str">
        <f>IFERROR(__xludf.DUMMYFUNCTION("IF('Respuestas de formulario 1'!J622&lt;&gt;"""",UPPER(TRIM(TO_TEXT('Respuestas de formulario 1'!J622))),IF('Respuestas de formulario 1'!O622&lt;&gt;"""",UPPER(TRIM(TO_TEXT('Respuestas de formulario 1'!O622))),""""))"),"DASPU")</f>
        <v>DASPU</v>
      </c>
      <c r="K622" s="7" t="str">
        <f>IFERROR(__xludf.DUMMYFUNCTION("IF('Respuestas de formulario 1'!K622="""","""",TO_TEXT('Respuestas de formulario 1'!K622))"),"Si")</f>
        <v>Si</v>
      </c>
      <c r="L622" s="7" t="str">
        <f>IFERROR(__xludf.DUMMYFUNCTION("IF('Respuestas de formulario 1'!L622="""","""",TO_TEXT('Respuestas de formulario 1'!L622))"),"Squash")</f>
        <v>Squash</v>
      </c>
      <c r="M622" s="7" t="str">
        <f>IFERROR(__xludf.DUMMYFUNCTION("IF('Respuestas de formulario 1'!M622="""","""",TO_TEXT('Respuestas de formulario 1'!M622))"),"3 a 5 veces por semana")</f>
        <v>3 a 5 veces por semana</v>
      </c>
      <c r="N622" s="7">
        <f t="shared" si="1"/>
        <v>2024</v>
      </c>
      <c r="O622" s="7" t="str">
        <f t="shared" si="2"/>
        <v>julio</v>
      </c>
      <c r="P622" s="7" t="s">
        <v>5428</v>
      </c>
    </row>
    <row r="623">
      <c r="A623" s="19">
        <f>'Respuestas de formulario 1'!A623</f>
        <v>45502.82379</v>
      </c>
      <c r="B623" s="7" t="str">
        <f>'Respuestas de formulario 1'!B623</f>
        <v>Rodríguez </v>
      </c>
      <c r="C623" s="7" t="str">
        <f>'Respuestas de formulario 1'!C623</f>
        <v>Alejandra </v>
      </c>
      <c r="D623" s="7" t="str">
        <f>'Respuestas de formulario 1'!D623</f>
        <v>alero841@gmail.com </v>
      </c>
      <c r="E623" s="20">
        <f>'Respuestas de formulario 1'!E623</f>
        <v>27058</v>
      </c>
      <c r="F623" s="7">
        <f>'Respuestas de formulario 1'!F623</f>
        <v>23763152</v>
      </c>
      <c r="G623" s="7" t="str">
        <f>IFERROR(__xludf.DUMMYFUNCTION("IF('Respuestas de formulario 1'!G623="""","""",IF(LEFT(REGEXREPLACE(TO_TEXT('Respuestas de formulario 1'!G623),""[^0-9]"",""""),2)=""54"",""+""&amp;REGEXREPLACE(TO_TEXT('Respuestas de formulario 1'!G623),""[^0-9]"",""""),""+54""&amp;REGEXREPLACE(TO_TEXT('Respuest"&amp;"as de formulario 1'!G623),""[^0-9]"","""")))"),"+543516422201")</f>
        <v>+543516422201</v>
      </c>
      <c r="H623" s="7">
        <f>'Respuestas de formulario 1'!S623</f>
        <v>2024</v>
      </c>
      <c r="I623" s="7" t="str">
        <f>IFERROR(__xludf.DUMMYFUNCTION("IF('Respuestas de formulario 1'!I623="""","""",TO_TEXT('Respuestas de formulario 1'!I623))"),"Obra social")</f>
        <v>Obra social</v>
      </c>
      <c r="J623" s="7" t="str">
        <f>IFERROR(__xludf.DUMMYFUNCTION("IF('Respuestas de formulario 1'!J623&lt;&gt;"""",UPPER(TRIM(TO_TEXT('Respuestas de formulario 1'!J623))),IF('Respuestas de formulario 1'!O623&lt;&gt;"""",UPPER(TRIM(TO_TEXT('Respuestas de formulario 1'!O623))),""""))"),"BOREAL PLAN MAGNUM")</f>
        <v>BOREAL PLAN MAGNUM</v>
      </c>
      <c r="K623" s="7" t="str">
        <f>IFERROR(__xludf.DUMMYFUNCTION("IF('Respuestas de formulario 1'!K623="""","""",TO_TEXT('Respuestas de formulario 1'!K623))"),"Si")</f>
        <v>Si</v>
      </c>
      <c r="L623" s="7" t="str">
        <f>IFERROR(__xludf.DUMMYFUNCTION("IF('Respuestas de formulario 1'!L623="""","""",TO_TEXT('Respuestas de formulario 1'!L623))"),"Yoga y caminatas ")</f>
        <v>Yoga y caminatas </v>
      </c>
      <c r="M623" s="7" t="str">
        <f>IFERROR(__xludf.DUMMYFUNCTION("IF('Respuestas de formulario 1'!M623="""","""",TO_TEXT('Respuestas de formulario 1'!M623))"),"3 a 5 veces por semana")</f>
        <v>3 a 5 veces por semana</v>
      </c>
      <c r="N623" s="7">
        <f t="shared" si="1"/>
        <v>2024</v>
      </c>
      <c r="O623" s="7" t="str">
        <f t="shared" si="2"/>
        <v>julio</v>
      </c>
      <c r="P623" s="7" t="s">
        <v>5430</v>
      </c>
    </row>
    <row r="624">
      <c r="A624" s="19">
        <f>'Respuestas de formulario 1'!A624</f>
        <v>45503.42098</v>
      </c>
      <c r="B624" s="7" t="str">
        <f>'Respuestas de formulario 1'!B624</f>
        <v>Castagnet</v>
      </c>
      <c r="C624" s="7" t="str">
        <f>'Respuestas de formulario 1'!C624</f>
        <v>Gaston</v>
      </c>
      <c r="D624" s="7" t="str">
        <f>'Respuestas de formulario 1'!D624</f>
        <v>gastoncastagnet@gmail.com</v>
      </c>
      <c r="E624" s="20">
        <f>'Respuestas de formulario 1'!E624</f>
        <v>28685</v>
      </c>
      <c r="F624" s="7">
        <f>'Respuestas de formulario 1'!F624</f>
        <v>26672961</v>
      </c>
      <c r="G624" s="7" t="str">
        <f>IFERROR(__xludf.DUMMYFUNCTION("IF('Respuestas de formulario 1'!G624="""","""",IF(LEFT(REGEXREPLACE(TO_TEXT('Respuestas de formulario 1'!G624),""[^0-9]"",""""),2)=""54"",""+""&amp;REGEXREPLACE(TO_TEXT('Respuestas de formulario 1'!G624),""[^0-9]"",""""),""+54""&amp;REGEXREPLACE(TO_TEXT('Respuest"&amp;"as de formulario 1'!G624),""[^0-9]"","""")))"),"+543515149180")</f>
        <v>+543515149180</v>
      </c>
      <c r="H624" s="7">
        <f>'Respuestas de formulario 1'!S624</f>
        <v>2024</v>
      </c>
      <c r="I624" s="7" t="str">
        <f>IFERROR(__xludf.DUMMYFUNCTION("IF('Respuestas de formulario 1'!I624="""","""",TO_TEXT('Respuestas de formulario 1'!I624))"),"Particular")</f>
        <v>Particular</v>
      </c>
      <c r="J624" s="7" t="str">
        <f>IFERROR(__xludf.DUMMYFUNCTION("IF('Respuestas de formulario 1'!J624&lt;&gt;"""",UPPER(TRIM(TO_TEXT('Respuestas de formulario 1'!J624))),IF('Respuestas de formulario 1'!O624&lt;&gt;"""",UPPER(TRIM(TO_TEXT('Respuestas de formulario 1'!O624))),""""))"),"")</f>
        <v/>
      </c>
      <c r="K624" s="7" t="str">
        <f>IFERROR(__xludf.DUMMYFUNCTION("IF('Respuestas de formulario 1'!K624="""","""",TO_TEXT('Respuestas de formulario 1'!K624))"),"Si")</f>
        <v>Si</v>
      </c>
      <c r="L624" s="7" t="str">
        <f>IFERROR(__xludf.DUMMYFUNCTION("IF('Respuestas de formulario 1'!L624="""","""",TO_TEXT('Respuestas de formulario 1'!L624))"),"Running")</f>
        <v>Running</v>
      </c>
      <c r="M624" s="7" t="str">
        <f>IFERROR(__xludf.DUMMYFUNCTION("IF('Respuestas de formulario 1'!M624="""","""",TO_TEXT('Respuestas de formulario 1'!M624))"),"1 a 2 veces por semana")</f>
        <v>1 a 2 veces por semana</v>
      </c>
      <c r="N624" s="7">
        <f t="shared" si="1"/>
        <v>2024</v>
      </c>
      <c r="O624" s="7" t="str">
        <f t="shared" si="2"/>
        <v>julio</v>
      </c>
      <c r="P624" s="7" t="s">
        <v>5432</v>
      </c>
    </row>
    <row r="625">
      <c r="A625" s="19">
        <f>'Respuestas de formulario 1'!A625</f>
        <v>45505.70063</v>
      </c>
      <c r="B625" s="7" t="str">
        <f>'Respuestas de formulario 1'!B625</f>
        <v>Baigorri</v>
      </c>
      <c r="C625" s="7" t="str">
        <f>'Respuestas de formulario 1'!C625</f>
        <v>Sebastian</v>
      </c>
      <c r="D625" s="7" t="str">
        <f>'Respuestas de formulario 1'!D625</f>
        <v>sebabaigorri@hotmail.com</v>
      </c>
      <c r="E625" s="20">
        <f>'Respuestas de formulario 1'!E625</f>
        <v>26973</v>
      </c>
      <c r="F625" s="7">
        <f>'Respuestas de formulario 1'!F625</f>
        <v>23683527</v>
      </c>
      <c r="G625" s="7" t="str">
        <f>IFERROR(__xludf.DUMMYFUNCTION("IF('Respuestas de formulario 1'!G625="""","""",IF(LEFT(REGEXREPLACE(TO_TEXT('Respuestas de formulario 1'!G625),""[^0-9]"",""""),2)=""54"",""+""&amp;REGEXREPLACE(TO_TEXT('Respuestas de formulario 1'!G625),""[^0-9]"",""""),""+54""&amp;REGEXREPLACE(TO_TEXT('Respuest"&amp;"as de formulario 1'!G625),""[^0-9]"","""")))"),"+543516080610")</f>
        <v>+543516080610</v>
      </c>
      <c r="H625" s="7">
        <f>'Respuestas de formulario 1'!S625</f>
        <v>2024</v>
      </c>
      <c r="I625" s="7" t="str">
        <f>IFERROR(__xludf.DUMMYFUNCTION("IF('Respuestas de formulario 1'!I625="""","""",TO_TEXT('Respuestas de formulario 1'!I625))"),"Obra social")</f>
        <v>Obra social</v>
      </c>
      <c r="J625" s="7" t="str">
        <f>IFERROR(__xludf.DUMMYFUNCTION("IF('Respuestas de formulario 1'!J625&lt;&gt;"""",UPPER(TRIM(TO_TEXT('Respuestas de formulario 1'!J625))),IF('Respuestas de formulario 1'!O625&lt;&gt;"""",UPPER(TRIM(TO_TEXT('Respuestas de formulario 1'!O625))),""""))"),"APROSS")</f>
        <v>APROSS</v>
      </c>
      <c r="K625" s="7" t="str">
        <f>IFERROR(__xludf.DUMMYFUNCTION("IF('Respuestas de formulario 1'!K625="""","""",TO_TEXT('Respuestas de formulario 1'!K625))"),"Si")</f>
        <v>Si</v>
      </c>
      <c r="L625" s="7" t="str">
        <f>IFERROR(__xludf.DUMMYFUNCTION("IF('Respuestas de formulario 1'!L625="""","""",TO_TEXT('Respuestas de formulario 1'!L625))"),"Gimnasio")</f>
        <v>Gimnasio</v>
      </c>
      <c r="M625" s="7" t="str">
        <f>IFERROR(__xludf.DUMMYFUNCTION("IF('Respuestas de formulario 1'!M625="""","""",TO_TEXT('Respuestas de formulario 1'!M625))"),"3 a 5 veces por semana")</f>
        <v>3 a 5 veces por semana</v>
      </c>
      <c r="N625" s="7">
        <f t="shared" si="1"/>
        <v>2024</v>
      </c>
      <c r="O625" s="7" t="str">
        <f t="shared" si="2"/>
        <v>agosto</v>
      </c>
      <c r="P625" s="7" t="s">
        <v>5434</v>
      </c>
    </row>
    <row r="626">
      <c r="A626" s="19">
        <f>'Respuestas de formulario 1'!A626</f>
        <v>45506.4118</v>
      </c>
      <c r="B626" s="7" t="str">
        <f>'Respuestas de formulario 1'!B626</f>
        <v>Rodríguez </v>
      </c>
      <c r="C626" s="7" t="str">
        <f>'Respuestas de formulario 1'!C626</f>
        <v>Lautaro Gabriel </v>
      </c>
      <c r="D626" s="7" t="str">
        <f>'Respuestas de formulario 1'!D626</f>
        <v>galleguillocecilia62@gmail.com</v>
      </c>
      <c r="E626" s="20">
        <f>'Respuestas de formulario 1'!E626</f>
        <v>39712</v>
      </c>
      <c r="F626" s="7">
        <f>'Respuestas de formulario 1'!F626</f>
        <v>48532863</v>
      </c>
      <c r="G626" s="7" t="str">
        <f>IFERROR(__xludf.DUMMYFUNCTION("IF('Respuestas de formulario 1'!G626="""","""",IF(LEFT(REGEXREPLACE(TO_TEXT('Respuestas de formulario 1'!G626),""[^0-9]"",""""),2)=""54"",""+""&amp;REGEXREPLACE(TO_TEXT('Respuestas de formulario 1'!G626),""[^0-9]"",""""),""+54""&amp;REGEXREPLACE(TO_TEXT('Respuest"&amp;"as de formulario 1'!G626),""[^0-9]"","""")))"),"+543512182319")</f>
        <v>+543512182319</v>
      </c>
      <c r="H626" s="7">
        <f>'Respuestas de formulario 1'!S626</f>
        <v>2024</v>
      </c>
      <c r="I626" s="7" t="str">
        <f>IFERROR(__xludf.DUMMYFUNCTION("IF('Respuestas de formulario 1'!I626="""","""",TO_TEXT('Respuestas de formulario 1'!I626))"),"Obra social")</f>
        <v>Obra social</v>
      </c>
      <c r="J626" s="7" t="str">
        <f>IFERROR(__xludf.DUMMYFUNCTION("IF('Respuestas de formulario 1'!J626&lt;&gt;"""",UPPER(TRIM(TO_TEXT('Respuestas de formulario 1'!J626))),IF('Respuestas de formulario 1'!O626&lt;&gt;"""",UPPER(TRIM(TO_TEXT('Respuestas de formulario 1'!O626))),""""))"),"BOREAL SALUD")</f>
        <v>BOREAL SALUD</v>
      </c>
      <c r="K626" s="7" t="str">
        <f>IFERROR(__xludf.DUMMYFUNCTION("IF('Respuestas de formulario 1'!K626="""","""",TO_TEXT('Respuestas de formulario 1'!K626))"),"Si")</f>
        <v>Si</v>
      </c>
      <c r="L626" s="7" t="str">
        <f>IFERROR(__xludf.DUMMYFUNCTION("IF('Respuestas de formulario 1'!L626="""","""",TO_TEXT('Respuestas de formulario 1'!L626))"),"Fútbol")</f>
        <v>Fútbol</v>
      </c>
      <c r="M626" s="7" t="str">
        <f>IFERROR(__xludf.DUMMYFUNCTION("IF('Respuestas de formulario 1'!M626="""","""",TO_TEXT('Respuestas de formulario 1'!M626))"),"1 a 2 veces por semana")</f>
        <v>1 a 2 veces por semana</v>
      </c>
      <c r="N626" s="7">
        <f t="shared" si="1"/>
        <v>2024</v>
      </c>
      <c r="O626" s="7" t="str">
        <f t="shared" si="2"/>
        <v>agosto</v>
      </c>
      <c r="P626" s="7" t="s">
        <v>5436</v>
      </c>
    </row>
    <row r="627">
      <c r="A627" s="19">
        <f>'Respuestas de formulario 1'!A627</f>
        <v>45509.6458</v>
      </c>
      <c r="B627" s="7" t="str">
        <f>'Respuestas de formulario 1'!B627</f>
        <v>Pivatto</v>
      </c>
      <c r="C627" s="7" t="str">
        <f>'Respuestas de formulario 1'!C627</f>
        <v>Christian</v>
      </c>
      <c r="D627" s="7" t="str">
        <f>'Respuestas de formulario 1'!D627</f>
        <v>ch.pivatto@gmail.com</v>
      </c>
      <c r="E627" s="20">
        <f>'Respuestas de formulario 1'!E627</f>
        <v>33380</v>
      </c>
      <c r="F627" s="7">
        <f>'Respuestas de formulario 1'!F627</f>
        <v>36240768</v>
      </c>
      <c r="G627" s="7" t="str">
        <f>IFERROR(__xludf.DUMMYFUNCTION("IF('Respuestas de formulario 1'!G627="""","""",IF(LEFT(REGEXREPLACE(TO_TEXT('Respuestas de formulario 1'!G627),""[^0-9]"",""""),2)=""54"",""+""&amp;REGEXREPLACE(TO_TEXT('Respuestas de formulario 1'!G627),""[^0-9]"",""""),""+54""&amp;REGEXREPLACE(TO_TEXT('Respuest"&amp;"as de formulario 1'!G627),""[^0-9]"","""")))"),"+542920663064")</f>
        <v>+542920663064</v>
      </c>
      <c r="H627" s="7">
        <f>'Respuestas de formulario 1'!S627</f>
        <v>2024</v>
      </c>
      <c r="I627" s="7" t="str">
        <f>IFERROR(__xludf.DUMMYFUNCTION("IF('Respuestas de formulario 1'!I627="""","""",TO_TEXT('Respuestas de formulario 1'!I627))"),"Particular")</f>
        <v>Particular</v>
      </c>
      <c r="J627" s="7" t="str">
        <f>IFERROR(__xludf.DUMMYFUNCTION("IF('Respuestas de formulario 1'!J627&lt;&gt;"""",UPPER(TRIM(TO_TEXT('Respuestas de formulario 1'!J627))),IF('Respuestas de formulario 1'!O627&lt;&gt;"""",UPPER(TRIM(TO_TEXT('Respuestas de formulario 1'!O627))),""""))"),"")</f>
        <v/>
      </c>
      <c r="K627" s="7" t="str">
        <f>IFERROR(__xludf.DUMMYFUNCTION("IF('Respuestas de formulario 1'!K627="""","""",TO_TEXT('Respuestas de formulario 1'!K627))"),"Si")</f>
        <v>Si</v>
      </c>
      <c r="L627" s="7" t="str">
        <f>IFERROR(__xludf.DUMMYFUNCTION("IF('Respuestas de formulario 1'!L627="""","""",TO_TEXT('Respuestas de formulario 1'!L627))"),"Fútbol")</f>
        <v>Fútbol</v>
      </c>
      <c r="M627" s="7" t="str">
        <f>IFERROR(__xludf.DUMMYFUNCTION("IF('Respuestas de formulario 1'!M627="""","""",TO_TEXT('Respuestas de formulario 1'!M627))"),"1 a 2 veces por semana")</f>
        <v>1 a 2 veces por semana</v>
      </c>
      <c r="N627" s="7">
        <f t="shared" si="1"/>
        <v>2024</v>
      </c>
      <c r="O627" s="7" t="str">
        <f t="shared" si="2"/>
        <v>agosto</v>
      </c>
      <c r="P627" s="7" t="s">
        <v>5438</v>
      </c>
    </row>
    <row r="628">
      <c r="A628" s="19">
        <f>'Respuestas de formulario 1'!A628</f>
        <v>45509.64909</v>
      </c>
      <c r="B628" s="7" t="str">
        <f>'Respuestas de formulario 1'!B628</f>
        <v>Bustos </v>
      </c>
      <c r="C628" s="7" t="str">
        <f>'Respuestas de formulario 1'!C628</f>
        <v>Alex</v>
      </c>
      <c r="D628" s="7" t="str">
        <f>'Respuestas de formulario 1'!D628</f>
        <v>Aleexcdo@gmail.com</v>
      </c>
      <c r="E628" s="20">
        <f>'Respuestas de formulario 1'!E628</f>
        <v>34354</v>
      </c>
      <c r="F628" s="7">
        <f>'Respuestas de formulario 1'!F628</f>
        <v>38002954</v>
      </c>
      <c r="G628" s="7" t="str">
        <f>IFERROR(__xludf.DUMMYFUNCTION("IF('Respuestas de formulario 1'!G628="""","""",IF(LEFT(REGEXREPLACE(TO_TEXT('Respuestas de formulario 1'!G628),""[^0-9]"",""""),2)=""54"",""+""&amp;REGEXREPLACE(TO_TEXT('Respuestas de formulario 1'!G628),""[^0-9]"",""""),""+54""&amp;REGEXREPLACE(TO_TEXT('Respuest"&amp;"as de formulario 1'!G628),""[^0-9]"","""")))"),"+543513703452")</f>
        <v>+543513703452</v>
      </c>
      <c r="H628" s="7">
        <f>'Respuestas de formulario 1'!S628</f>
        <v>2024</v>
      </c>
      <c r="I628" s="7" t="str">
        <f>IFERROR(__xludf.DUMMYFUNCTION("IF('Respuestas de formulario 1'!I628="""","""",TO_TEXT('Respuestas de formulario 1'!I628))"),"Particular")</f>
        <v>Particular</v>
      </c>
      <c r="J628" s="7" t="str">
        <f>IFERROR(__xludf.DUMMYFUNCTION("IF('Respuestas de formulario 1'!J628&lt;&gt;"""",UPPER(TRIM(TO_TEXT('Respuestas de formulario 1'!J628))),IF('Respuestas de formulario 1'!O628&lt;&gt;"""",UPPER(TRIM(TO_TEXT('Respuestas de formulario 1'!O628))),""""))"),"")</f>
        <v/>
      </c>
      <c r="K628" s="7" t="str">
        <f>IFERROR(__xludf.DUMMYFUNCTION("IF('Respuestas de formulario 1'!K628="""","""",TO_TEXT('Respuestas de formulario 1'!K628))"),"Si")</f>
        <v>Si</v>
      </c>
      <c r="L628" s="7" t="str">
        <f>IFERROR(__xludf.DUMMYFUNCTION("IF('Respuestas de formulario 1'!L628="""","""",TO_TEXT('Respuestas de formulario 1'!L628))"),"Fútbol")</f>
        <v>Fútbol</v>
      </c>
      <c r="M628" s="7" t="str">
        <f>IFERROR(__xludf.DUMMYFUNCTION("IF('Respuestas de formulario 1'!M628="""","""",TO_TEXT('Respuestas de formulario 1'!M628))"),"1 a 2 veces por semana")</f>
        <v>1 a 2 veces por semana</v>
      </c>
      <c r="N628" s="7">
        <f t="shared" si="1"/>
        <v>2024</v>
      </c>
      <c r="O628" s="7" t="str">
        <f t="shared" si="2"/>
        <v>agosto</v>
      </c>
      <c r="P628" s="7" t="s">
        <v>5440</v>
      </c>
    </row>
    <row r="629">
      <c r="A629" s="19">
        <f>'Respuestas de formulario 1'!A629</f>
        <v>45509.70267</v>
      </c>
      <c r="B629" s="7" t="str">
        <f>'Respuestas de formulario 1'!B629</f>
        <v>Reynoso marconetto</v>
      </c>
      <c r="C629" s="7" t="str">
        <f>'Respuestas de formulario 1'!C629</f>
        <v>Nicolás </v>
      </c>
      <c r="D629" s="7" t="str">
        <f>'Respuestas de formulario 1'!D629</f>
        <v>nicolasreynoso20@gmail.com</v>
      </c>
      <c r="E629" s="20">
        <f>'Respuestas de formulario 1'!E629</f>
        <v>35074</v>
      </c>
      <c r="F629" s="7">
        <f>'Respuestas de formulario 1'!F629</f>
        <v>39495074</v>
      </c>
      <c r="G629" s="7" t="str">
        <f>IFERROR(__xludf.DUMMYFUNCTION("IF('Respuestas de formulario 1'!G629="""","""",IF(LEFT(REGEXREPLACE(TO_TEXT('Respuestas de formulario 1'!G629),""[^0-9]"",""""),2)=""54"",""+""&amp;REGEXREPLACE(TO_TEXT('Respuestas de formulario 1'!G629),""[^0-9]"",""""),""+54""&amp;REGEXREPLACE(TO_TEXT('Respuest"&amp;"as de formulario 1'!G629),""[^0-9]"","""")))"),"+543518175527")</f>
        <v>+543518175527</v>
      </c>
      <c r="H629" s="7">
        <f>'Respuestas de formulario 1'!S629</f>
        <v>2024</v>
      </c>
      <c r="I629" s="7" t="str">
        <f>IFERROR(__xludf.DUMMYFUNCTION("IF('Respuestas de formulario 1'!I629="""","""",TO_TEXT('Respuestas de formulario 1'!I629))"),"Obra social")</f>
        <v>Obra social</v>
      </c>
      <c r="J629" s="7" t="str">
        <f>IFERROR(__xludf.DUMMYFUNCTION("IF('Respuestas de formulario 1'!J629&lt;&gt;"""",UPPER(TRIM(TO_TEXT('Respuestas de formulario 1'!J629))),IF('Respuestas de formulario 1'!O629&lt;&gt;"""",UPPER(TRIM(TO_TEXT('Respuestas de formulario 1'!O629))),""""))"),"BOREAL")</f>
        <v>BOREAL</v>
      </c>
      <c r="K629" s="7" t="str">
        <f>IFERROR(__xludf.DUMMYFUNCTION("IF('Respuestas de formulario 1'!K629="""","""",TO_TEXT('Respuestas de formulario 1'!K629))"),"No")</f>
        <v>No</v>
      </c>
      <c r="L629" s="7" t="str">
        <f>IFERROR(__xludf.DUMMYFUNCTION("IF('Respuestas de formulario 1'!L629="""","""",TO_TEXT('Respuestas de formulario 1'!L629))"),"")</f>
        <v/>
      </c>
      <c r="M629" s="7" t="str">
        <f>IFERROR(__xludf.DUMMYFUNCTION("IF('Respuestas de formulario 1'!M629="""","""",TO_TEXT('Respuestas de formulario 1'!M629))"),"")</f>
        <v/>
      </c>
      <c r="N629" s="7">
        <f t="shared" si="1"/>
        <v>2024</v>
      </c>
      <c r="O629" s="7" t="str">
        <f t="shared" si="2"/>
        <v>agosto</v>
      </c>
      <c r="P629" s="7" t="s">
        <v>5442</v>
      </c>
    </row>
    <row r="630">
      <c r="A630" s="19">
        <f>'Respuestas de formulario 1'!A630</f>
        <v>45509.77219</v>
      </c>
      <c r="B630" s="7" t="str">
        <f>'Respuestas de formulario 1'!B630</f>
        <v>Maximiliano </v>
      </c>
      <c r="C630" s="7" t="str">
        <f>'Respuestas de formulario 1'!C630</f>
        <v>Giraudo</v>
      </c>
      <c r="D630" s="7" t="str">
        <f>'Respuestas de formulario 1'!D630</f>
        <v>maxigiraudo@gmail.com</v>
      </c>
      <c r="E630" s="20">
        <f>'Respuestas de formulario 1'!E630</f>
        <v>24513</v>
      </c>
      <c r="F630" s="7">
        <f>'Respuestas de formulario 1'!F630</f>
        <v>18489585</v>
      </c>
      <c r="G630" s="7" t="str">
        <f>IFERROR(__xludf.DUMMYFUNCTION("IF('Respuestas de formulario 1'!G630="""","""",IF(LEFT(REGEXREPLACE(TO_TEXT('Respuestas de formulario 1'!G630),""[^0-9]"",""""),2)=""54"",""+""&amp;REGEXREPLACE(TO_TEXT('Respuestas de formulario 1'!G630),""[^0-9]"",""""),""+54""&amp;REGEXREPLACE(TO_TEXT('Respuest"&amp;"as de formulario 1'!G630),""[^0-9]"","""")))"),"+543517653630")</f>
        <v>+543517653630</v>
      </c>
      <c r="H630" s="7">
        <f>'Respuestas de formulario 1'!S630</f>
        <v>2024</v>
      </c>
      <c r="I630" s="7" t="str">
        <f>IFERROR(__xludf.DUMMYFUNCTION("IF('Respuestas de formulario 1'!I630="""","""",TO_TEXT('Respuestas de formulario 1'!I630))"),"Obra social")</f>
        <v>Obra social</v>
      </c>
      <c r="J630" s="7" t="str">
        <f>IFERROR(__xludf.DUMMYFUNCTION("IF('Respuestas de formulario 1'!J630&lt;&gt;"""",UPPER(TRIM(TO_TEXT('Respuestas de formulario 1'!J630))),IF('Respuestas de formulario 1'!O630&lt;&gt;"""",UPPER(TRIM(TO_TEXT('Respuestas de formulario 1'!O630))),""""))"),"Y DASPU")</f>
        <v>Y DASPU</v>
      </c>
      <c r="K630" s="7" t="str">
        <f>IFERROR(__xludf.DUMMYFUNCTION("IF('Respuestas de formulario 1'!K630="""","""",TO_TEXT('Respuestas de formulario 1'!K630))"),"Si")</f>
        <v>Si</v>
      </c>
      <c r="L630" s="7" t="str">
        <f>IFERROR(__xludf.DUMMYFUNCTION("IF('Respuestas de formulario 1'!L630="""","""",TO_TEXT('Respuestas de formulario 1'!L630))"),"Caminata")</f>
        <v>Caminata</v>
      </c>
      <c r="M630" s="7" t="str">
        <f>IFERROR(__xludf.DUMMYFUNCTION("IF('Respuestas de formulario 1'!M630="""","""",TO_TEXT('Respuestas de formulario 1'!M630))"),"1 a 2 veces por semana")</f>
        <v>1 a 2 veces por semana</v>
      </c>
      <c r="N630" s="7">
        <f t="shared" si="1"/>
        <v>2024</v>
      </c>
      <c r="O630" s="7" t="str">
        <f t="shared" si="2"/>
        <v>agosto</v>
      </c>
      <c r="P630" s="7" t="s">
        <v>5444</v>
      </c>
    </row>
    <row r="631">
      <c r="A631" s="19">
        <f>'Respuestas de formulario 1'!A631</f>
        <v>45510.52542</v>
      </c>
      <c r="B631" s="7" t="str">
        <f>'Respuestas de formulario 1'!B631</f>
        <v>Festa Gaon</v>
      </c>
      <c r="C631" s="7" t="str">
        <f>'Respuestas de formulario 1'!C631</f>
        <v>Diego</v>
      </c>
      <c r="D631" s="7" t="str">
        <f>'Respuestas de formulario 1'!D631</f>
        <v>diegofestagaon10@gmail.com</v>
      </c>
      <c r="E631" s="20">
        <f>'Respuestas de formulario 1'!E631</f>
        <v>37133</v>
      </c>
      <c r="F631" s="7">
        <f>'Respuestas de formulario 1'!F631</f>
        <v>43524167</v>
      </c>
      <c r="G631" s="7" t="str">
        <f>IFERROR(__xludf.DUMMYFUNCTION("IF('Respuestas de formulario 1'!G631="""","""",IF(LEFT(REGEXREPLACE(TO_TEXT('Respuestas de formulario 1'!G631),""[^0-9]"",""""),2)=""54"",""+""&amp;REGEXREPLACE(TO_TEXT('Respuestas de formulario 1'!G631),""[^0-9]"",""""),""+54""&amp;REGEXREPLACE(TO_TEXT('Respuest"&amp;"as de formulario 1'!G631),""[^0-9]"","""")))"),"+543515559108")</f>
        <v>+543515559108</v>
      </c>
      <c r="H631" s="7">
        <f>'Respuestas de formulario 1'!S631</f>
        <v>2024</v>
      </c>
      <c r="I631" s="7" t="str">
        <f>IFERROR(__xludf.DUMMYFUNCTION("IF('Respuestas de formulario 1'!I631="""","""",TO_TEXT('Respuestas de formulario 1'!I631))"),"Obra social")</f>
        <v>Obra social</v>
      </c>
      <c r="J631" s="7" t="str">
        <f>IFERROR(__xludf.DUMMYFUNCTION("IF('Respuestas de formulario 1'!J631&lt;&gt;"""",UPPER(TRIM(TO_TEXT('Respuestas de formulario 1'!J631))),IF('Respuestas de formulario 1'!O631&lt;&gt;"""",UPPER(TRIM(TO_TEXT('Respuestas de formulario 1'!O631))),""""))"),"DASPU")</f>
        <v>DASPU</v>
      </c>
      <c r="K631" s="7" t="str">
        <f>IFERROR(__xludf.DUMMYFUNCTION("IF('Respuestas de formulario 1'!K631="""","""",TO_TEXT('Respuestas de formulario 1'!K631))"),"Si")</f>
        <v>Si</v>
      </c>
      <c r="L631" s="7" t="str">
        <f>IFERROR(__xludf.DUMMYFUNCTION("IF('Respuestas de formulario 1'!L631="""","""",TO_TEXT('Respuestas de formulario 1'!L631))"),"Gimnasio")</f>
        <v>Gimnasio</v>
      </c>
      <c r="M631" s="7" t="str">
        <f>IFERROR(__xludf.DUMMYFUNCTION("IF('Respuestas de formulario 1'!M631="""","""",TO_TEXT('Respuestas de formulario 1'!M631))"),"3 a 5 veces por semana")</f>
        <v>3 a 5 veces por semana</v>
      </c>
      <c r="N631" s="7">
        <f t="shared" si="1"/>
        <v>2024</v>
      </c>
      <c r="O631" s="7" t="str">
        <f t="shared" si="2"/>
        <v>agosto</v>
      </c>
      <c r="P631" s="7" t="s">
        <v>5446</v>
      </c>
    </row>
    <row r="632">
      <c r="A632" s="19">
        <f>'Respuestas de formulario 1'!A632</f>
        <v>45510.60114</v>
      </c>
      <c r="B632" s="7" t="str">
        <f>'Respuestas de formulario 1'!B632</f>
        <v>Gayol</v>
      </c>
      <c r="C632" s="7" t="str">
        <f>'Respuestas de formulario 1'!C632</f>
        <v>Gabriel</v>
      </c>
      <c r="D632" s="7" t="str">
        <f>'Respuestas de formulario 1'!D632</f>
        <v>gabrielgayol@hotmail.com</v>
      </c>
      <c r="E632" s="20">
        <f>'Respuestas de formulario 1'!E632</f>
        <v>23204</v>
      </c>
      <c r="F632" s="7">
        <f>'Respuestas de formulario 1'!F632</f>
        <v>16741765</v>
      </c>
      <c r="G632" s="7" t="str">
        <f>IFERROR(__xludf.DUMMYFUNCTION("IF('Respuestas de formulario 1'!G632="""","""",IF(LEFT(REGEXREPLACE(TO_TEXT('Respuestas de formulario 1'!G632),""[^0-9]"",""""),2)=""54"",""+""&amp;REGEXREPLACE(TO_TEXT('Respuestas de formulario 1'!G632),""[^0-9]"",""""),""+54""&amp;REGEXREPLACE(TO_TEXT('Respuest"&amp;"as de formulario 1'!G632),""[^0-9]"","""")))"),"+543515934519")</f>
        <v>+543515934519</v>
      </c>
      <c r="H632" s="7">
        <f>'Respuestas de formulario 1'!S632</f>
        <v>2024</v>
      </c>
      <c r="I632" s="7" t="str">
        <f>IFERROR(__xludf.DUMMYFUNCTION("IF('Respuestas de formulario 1'!I632="""","""",TO_TEXT('Respuestas de formulario 1'!I632))"),"Particular")</f>
        <v>Particular</v>
      </c>
      <c r="J632" s="7" t="str">
        <f>IFERROR(__xludf.DUMMYFUNCTION("IF('Respuestas de formulario 1'!J632&lt;&gt;"""",UPPER(TRIM(TO_TEXT('Respuestas de formulario 1'!J632))),IF('Respuestas de formulario 1'!O632&lt;&gt;"""",UPPER(TRIM(TO_TEXT('Respuestas de formulario 1'!O632))),""""))"),"")</f>
        <v/>
      </c>
      <c r="K632" s="7" t="str">
        <f>IFERROR(__xludf.DUMMYFUNCTION("IF('Respuestas de formulario 1'!K632="""","""",TO_TEXT('Respuestas de formulario 1'!K632))"),"Si")</f>
        <v>Si</v>
      </c>
      <c r="L632" s="7" t="str">
        <f>IFERROR(__xludf.DUMMYFUNCTION("IF('Respuestas de formulario 1'!L632="""","""",TO_TEXT('Respuestas de formulario 1'!L632))"),"Gimnasio")</f>
        <v>Gimnasio</v>
      </c>
      <c r="M632" s="7" t="str">
        <f>IFERROR(__xludf.DUMMYFUNCTION("IF('Respuestas de formulario 1'!M632="""","""",TO_TEXT('Respuestas de formulario 1'!M632))"),"3 a 5 veces por semana")</f>
        <v>3 a 5 veces por semana</v>
      </c>
      <c r="N632" s="7">
        <f t="shared" si="1"/>
        <v>2024</v>
      </c>
      <c r="O632" s="7" t="str">
        <f t="shared" si="2"/>
        <v>agosto</v>
      </c>
      <c r="P632" s="7" t="s">
        <v>5448</v>
      </c>
    </row>
    <row r="633">
      <c r="A633" s="19">
        <f>'Respuestas de formulario 1'!A633</f>
        <v>45510.66112</v>
      </c>
      <c r="B633" s="7" t="str">
        <f>'Respuestas de formulario 1'!B633</f>
        <v>Walker de martini</v>
      </c>
      <c r="C633" s="7" t="str">
        <f>'Respuestas de formulario 1'!C633</f>
        <v>John</v>
      </c>
      <c r="D633" s="7" t="str">
        <f>'Respuestas de formulario 1'!D633</f>
        <v>guadademartini@gmail.com</v>
      </c>
      <c r="E633" s="20">
        <f>'Respuestas de formulario 1'!E633</f>
        <v>39679</v>
      </c>
      <c r="F633" s="7">
        <f>'Respuestas de formulario 1'!F633</f>
        <v>49397273</v>
      </c>
      <c r="G633" s="7" t="str">
        <f>IFERROR(__xludf.DUMMYFUNCTION("IF('Respuestas de formulario 1'!G633="""","""",IF(LEFT(REGEXREPLACE(TO_TEXT('Respuestas de formulario 1'!G633),""[^0-9]"",""""),2)=""54"",""+""&amp;REGEXREPLACE(TO_TEXT('Respuestas de formulario 1'!G633),""[^0-9]"",""""),""+54""&amp;REGEXREPLACE(TO_TEXT('Respuest"&amp;"as de formulario 1'!G633),""[^0-9]"","""")))"),"+543517342634")</f>
        <v>+543517342634</v>
      </c>
      <c r="H633" s="7">
        <f>'Respuestas de formulario 1'!S633</f>
        <v>2024</v>
      </c>
      <c r="I633" s="7" t="str">
        <f>IFERROR(__xludf.DUMMYFUNCTION("IF('Respuestas de formulario 1'!I633="""","""",TO_TEXT('Respuestas de formulario 1'!I633))"),"Particular")</f>
        <v>Particular</v>
      </c>
      <c r="J633" s="7" t="str">
        <f>IFERROR(__xludf.DUMMYFUNCTION("IF('Respuestas de formulario 1'!J633&lt;&gt;"""",UPPER(TRIM(TO_TEXT('Respuestas de formulario 1'!J633))),IF('Respuestas de formulario 1'!O633&lt;&gt;"""",UPPER(TRIM(TO_TEXT('Respuestas de formulario 1'!O633))),""""))"),"")</f>
        <v/>
      </c>
      <c r="K633" s="7" t="str">
        <f>IFERROR(__xludf.DUMMYFUNCTION("IF('Respuestas de formulario 1'!K633="""","""",TO_TEXT('Respuestas de formulario 1'!K633))"),"Si")</f>
        <v>Si</v>
      </c>
      <c r="L633" s="7" t="str">
        <f>IFERROR(__xludf.DUMMYFUNCTION("IF('Respuestas de formulario 1'!L633="""","""",TO_TEXT('Respuestas de formulario 1'!L633))"),"Rugby")</f>
        <v>Rugby</v>
      </c>
      <c r="M633" s="7" t="str">
        <f>IFERROR(__xludf.DUMMYFUNCTION("IF('Respuestas de formulario 1'!M633="""","""",TO_TEXT('Respuestas de formulario 1'!M633))"),"3 a 5 veces por semana")</f>
        <v>3 a 5 veces por semana</v>
      </c>
      <c r="N633" s="7">
        <f t="shared" si="1"/>
        <v>2024</v>
      </c>
      <c r="O633" s="7" t="str">
        <f t="shared" si="2"/>
        <v>agosto</v>
      </c>
      <c r="P633" s="7" t="s">
        <v>5450</v>
      </c>
    </row>
    <row r="634">
      <c r="A634" s="19">
        <f>'Respuestas de formulario 1'!A634</f>
        <v>45511.42152</v>
      </c>
      <c r="B634" s="7" t="str">
        <f>'Respuestas de formulario 1'!B634</f>
        <v>Matheu</v>
      </c>
      <c r="C634" s="7" t="str">
        <f>'Respuestas de formulario 1'!C634</f>
        <v>Jeronimo</v>
      </c>
      <c r="D634" s="7" t="str">
        <f>'Respuestas de formulario 1'!D634</f>
        <v>jeromatheu93@gmail.com</v>
      </c>
      <c r="E634" s="20">
        <f>'Respuestas de formulario 1'!E634</f>
        <v>37426</v>
      </c>
      <c r="F634" s="7">
        <f>'Respuestas de formulario 1'!F634</f>
        <v>43996798</v>
      </c>
      <c r="G634" s="7" t="str">
        <f>IFERROR(__xludf.DUMMYFUNCTION("IF('Respuestas de formulario 1'!G634="""","""",IF(LEFT(REGEXREPLACE(TO_TEXT('Respuestas de formulario 1'!G634),""[^0-9]"",""""),2)=""54"",""+""&amp;REGEXREPLACE(TO_TEXT('Respuestas de formulario 1'!G634),""[^0-9]"",""""),""+54""&amp;REGEXREPLACE(TO_TEXT('Respuest"&amp;"as de formulario 1'!G634),""[^0-9]"","""")))"),"+543518154005")</f>
        <v>+543518154005</v>
      </c>
      <c r="H634" s="7">
        <f>'Respuestas de formulario 1'!S634</f>
        <v>2024</v>
      </c>
      <c r="I634" s="7" t="str">
        <f>IFERROR(__xludf.DUMMYFUNCTION("IF('Respuestas de formulario 1'!I634="""","""",TO_TEXT('Respuestas de formulario 1'!I634))"),"Obra social")</f>
        <v>Obra social</v>
      </c>
      <c r="J634" s="7" t="str">
        <f>IFERROR(__xludf.DUMMYFUNCTION("IF('Respuestas de formulario 1'!J634&lt;&gt;"""",UPPER(TRIM(TO_TEXT('Respuestas de formulario 1'!J634))),IF('Respuestas de formulario 1'!O634&lt;&gt;"""",UPPER(TRIM(TO_TEXT('Respuestas de formulario 1'!O634))),""""))"),"DASPU")</f>
        <v>DASPU</v>
      </c>
      <c r="K634" s="7" t="str">
        <f>IFERROR(__xludf.DUMMYFUNCTION("IF('Respuestas de formulario 1'!K634="""","""",TO_TEXT('Respuestas de formulario 1'!K634))"),"Si")</f>
        <v>Si</v>
      </c>
      <c r="L634" s="7" t="str">
        <f>IFERROR(__xludf.DUMMYFUNCTION("IF('Respuestas de formulario 1'!L634="""","""",TO_TEXT('Respuestas de formulario 1'!L634))"),"Fútbol")</f>
        <v>Fútbol</v>
      </c>
      <c r="M634" s="7" t="str">
        <f>IFERROR(__xludf.DUMMYFUNCTION("IF('Respuestas de formulario 1'!M634="""","""",TO_TEXT('Respuestas de formulario 1'!M634))"),"3 a 5 veces por semana")</f>
        <v>3 a 5 veces por semana</v>
      </c>
      <c r="N634" s="7">
        <f t="shared" si="1"/>
        <v>2024</v>
      </c>
      <c r="O634" s="7" t="str">
        <f t="shared" si="2"/>
        <v>agosto</v>
      </c>
      <c r="P634" s="7" t="s">
        <v>5452</v>
      </c>
    </row>
    <row r="635">
      <c r="A635" s="19">
        <f>'Respuestas de formulario 1'!A635</f>
        <v>45511.47171</v>
      </c>
      <c r="B635" s="7" t="str">
        <f>'Respuestas de formulario 1'!B635</f>
        <v>Cimo</v>
      </c>
      <c r="C635" s="7" t="str">
        <f>'Respuestas de formulario 1'!C635</f>
        <v>Julia</v>
      </c>
      <c r="D635" s="7" t="str">
        <f>'Respuestas de formulario 1'!D635</f>
        <v/>
      </c>
      <c r="E635" s="20">
        <f>'Respuestas de formulario 1'!E635</f>
        <v>15133</v>
      </c>
      <c r="F635" s="7">
        <f>'Respuestas de formulario 1'!F635</f>
        <v>4120025</v>
      </c>
      <c r="G635" s="7" t="str">
        <f>IFERROR(__xludf.DUMMYFUNCTION("IF('Respuestas de formulario 1'!G635="""","""",IF(LEFT(REGEXREPLACE(TO_TEXT('Respuestas de formulario 1'!G635),""[^0-9]"",""""),2)=""54"",""+""&amp;REGEXREPLACE(TO_TEXT('Respuestas de formulario 1'!G635),""[^0-9]"",""""),""+54""&amp;REGEXREPLACE(TO_TEXT('Respuest"&amp;"as de formulario 1'!G635),""[^0-9]"","""")))"),"+543512145133")</f>
        <v>+543512145133</v>
      </c>
      <c r="H635" s="7">
        <f>'Respuestas de formulario 1'!S635</f>
        <v>2024</v>
      </c>
      <c r="I635" s="7" t="str">
        <f>IFERROR(__xludf.DUMMYFUNCTION("IF('Respuestas de formulario 1'!I635="""","""",TO_TEXT('Respuestas de formulario 1'!I635))"),"Obra social")</f>
        <v>Obra social</v>
      </c>
      <c r="J635" s="7" t="str">
        <f>IFERROR(__xludf.DUMMYFUNCTION("IF('Respuestas de formulario 1'!J635&lt;&gt;"""",UPPER(TRIM(TO_TEXT('Respuestas de formulario 1'!J635))),IF('Respuestas de formulario 1'!O635&lt;&gt;"""",UPPER(TRIM(TO_TEXT('Respuestas de formulario 1'!O635))),""""))"),"APROSS")</f>
        <v>APROSS</v>
      </c>
      <c r="K635" s="7" t="str">
        <f>IFERROR(__xludf.DUMMYFUNCTION("IF('Respuestas de formulario 1'!K635="""","""",TO_TEXT('Respuestas de formulario 1'!K635))"),"Si")</f>
        <v>Si</v>
      </c>
      <c r="L635" s="7" t="str">
        <f>IFERROR(__xludf.DUMMYFUNCTION("IF('Respuestas de formulario 1'!L635="""","""",TO_TEXT('Respuestas de formulario 1'!L635))"),"Gimnasio")</f>
        <v>Gimnasio</v>
      </c>
      <c r="M635" s="7" t="str">
        <f>IFERROR(__xludf.DUMMYFUNCTION("IF('Respuestas de formulario 1'!M635="""","""",TO_TEXT('Respuestas de formulario 1'!M635))"),"1 a 2 veces por semana")</f>
        <v>1 a 2 veces por semana</v>
      </c>
      <c r="N635" s="7">
        <f t="shared" si="1"/>
        <v>2024</v>
      </c>
      <c r="O635" s="7" t="str">
        <f t="shared" si="2"/>
        <v>agosto</v>
      </c>
      <c r="P635" s="7" t="s">
        <v>5454</v>
      </c>
    </row>
    <row r="636">
      <c r="A636" s="19">
        <f>'Respuestas de formulario 1'!A636</f>
        <v>45511.66091</v>
      </c>
      <c r="B636" s="7" t="str">
        <f>'Respuestas de formulario 1'!B636</f>
        <v>Romero</v>
      </c>
      <c r="C636" s="7" t="str">
        <f>'Respuestas de formulario 1'!C636</f>
        <v>Fabricio</v>
      </c>
      <c r="D636" s="7" t="str">
        <f>'Respuestas de formulario 1'!D636</f>
        <v>romerogadea96@gmail.com</v>
      </c>
      <c r="E636" s="20">
        <f>'Respuestas de formulario 1'!E636</f>
        <v>35249</v>
      </c>
      <c r="F636" s="7">
        <f>'Respuestas de formulario 1'!F636</f>
        <v>41033433</v>
      </c>
      <c r="G636" s="7" t="str">
        <f>IFERROR(__xludf.DUMMYFUNCTION("IF('Respuestas de formulario 1'!G636="""","""",IF(LEFT(REGEXREPLACE(TO_TEXT('Respuestas de formulario 1'!G636),""[^0-9]"",""""),2)=""54"",""+""&amp;REGEXREPLACE(TO_TEXT('Respuestas de formulario 1'!G636),""[^0-9]"",""""),""+54""&amp;REGEXREPLACE(TO_TEXT('Respuest"&amp;"as de formulario 1'!G636),""[^0-9]"","""")))"),"+543513200999")</f>
        <v>+543513200999</v>
      </c>
      <c r="H636" s="7">
        <f>'Respuestas de formulario 1'!S636</f>
        <v>2024</v>
      </c>
      <c r="I636" s="7" t="str">
        <f>IFERROR(__xludf.DUMMYFUNCTION("IF('Respuestas de formulario 1'!I636="""","""",TO_TEXT('Respuestas de formulario 1'!I636))"),"Particular")</f>
        <v>Particular</v>
      </c>
      <c r="J636" s="7" t="str">
        <f>IFERROR(__xludf.DUMMYFUNCTION("IF('Respuestas de formulario 1'!J636&lt;&gt;"""",UPPER(TRIM(TO_TEXT('Respuestas de formulario 1'!J636))),IF('Respuestas de formulario 1'!O636&lt;&gt;"""",UPPER(TRIM(TO_TEXT('Respuestas de formulario 1'!O636))),""""))"),"")</f>
        <v/>
      </c>
      <c r="K636" s="7" t="str">
        <f>IFERROR(__xludf.DUMMYFUNCTION("IF('Respuestas de formulario 1'!K636="""","""",TO_TEXT('Respuestas de formulario 1'!K636))"),"Si")</f>
        <v>Si</v>
      </c>
      <c r="L636" s="7" t="str">
        <f>IFERROR(__xludf.DUMMYFUNCTION("IF('Respuestas de formulario 1'!L636="""","""",TO_TEXT('Respuestas de formulario 1'!L636))"),"Gimnasio")</f>
        <v>Gimnasio</v>
      </c>
      <c r="M636" s="7" t="str">
        <f>IFERROR(__xludf.DUMMYFUNCTION("IF('Respuestas de formulario 1'!M636="""","""",TO_TEXT('Respuestas de formulario 1'!M636))"),"3 a 5 veces por semana")</f>
        <v>3 a 5 veces por semana</v>
      </c>
      <c r="N636" s="7">
        <f t="shared" si="1"/>
        <v>2024</v>
      </c>
      <c r="O636" s="7" t="str">
        <f t="shared" si="2"/>
        <v>agosto</v>
      </c>
      <c r="P636" s="7" t="s">
        <v>5456</v>
      </c>
    </row>
    <row r="637">
      <c r="A637" s="19">
        <f>'Respuestas de formulario 1'!A637</f>
        <v>45511.73112</v>
      </c>
      <c r="B637" s="7" t="str">
        <f>'Respuestas de formulario 1'!B637</f>
        <v>Moine</v>
      </c>
      <c r="C637" s="7" t="str">
        <f>'Respuestas de formulario 1'!C637</f>
        <v>Maria del Carmen</v>
      </c>
      <c r="D637" s="7" t="str">
        <f>'Respuestas de formulario 1'!D637</f>
        <v>mariadelcarmenmoine@gmail.com</v>
      </c>
      <c r="E637" s="20">
        <f>'Respuestas de formulario 1'!E637</f>
        <v>18889</v>
      </c>
      <c r="F637" s="7">
        <f>'Respuestas de formulario 1'!F637</f>
        <v>6678798</v>
      </c>
      <c r="G637" s="7" t="str">
        <f>IFERROR(__xludf.DUMMYFUNCTION("IF('Respuestas de formulario 1'!G637="""","""",IF(LEFT(REGEXREPLACE(TO_TEXT('Respuestas de formulario 1'!G637),""[^0-9]"",""""),2)=""54"",""+""&amp;REGEXREPLACE(TO_TEXT('Respuestas de formulario 1'!G637),""[^0-9]"",""""),""+54""&amp;REGEXREPLACE(TO_TEXT('Respuest"&amp;"as de formulario 1'!G637),""[^0-9]"","""")))"),"+543513241344")</f>
        <v>+543513241344</v>
      </c>
      <c r="H637" s="7">
        <f>'Respuestas de formulario 1'!S637</f>
        <v>2024</v>
      </c>
      <c r="I637" s="7" t="str">
        <f>IFERROR(__xludf.DUMMYFUNCTION("IF('Respuestas de formulario 1'!I637="""","""",TO_TEXT('Respuestas de formulario 1'!I637))"),"Obra social")</f>
        <v>Obra social</v>
      </c>
      <c r="J637" s="7" t="str">
        <f>IFERROR(__xludf.DUMMYFUNCTION("IF('Respuestas de formulario 1'!J637&lt;&gt;"""",UPPER(TRIM(TO_TEXT('Respuestas de formulario 1'!J637))),IF('Respuestas de formulario 1'!O637&lt;&gt;"""",UPPER(TRIM(TO_TEXT('Respuestas de formulario 1'!O637))),""""))"),"APROSS")</f>
        <v>APROSS</v>
      </c>
      <c r="K637" s="7" t="str">
        <f>IFERROR(__xludf.DUMMYFUNCTION("IF('Respuestas de formulario 1'!K637="""","""",TO_TEXT('Respuestas de formulario 1'!K637))"),"Si")</f>
        <v>Si</v>
      </c>
      <c r="L637" s="7" t="str">
        <f>IFERROR(__xludf.DUMMYFUNCTION("IF('Respuestas de formulario 1'!L637="""","""",TO_TEXT('Respuestas de formulario 1'!L637))"),"Yoga")</f>
        <v>Yoga</v>
      </c>
      <c r="M637" s="7" t="str">
        <f>IFERROR(__xludf.DUMMYFUNCTION("IF('Respuestas de formulario 1'!M637="""","""",TO_TEXT('Respuestas de formulario 1'!M637))"),"1 a 2 veces por semana")</f>
        <v>1 a 2 veces por semana</v>
      </c>
      <c r="N637" s="7">
        <f t="shared" si="1"/>
        <v>2024</v>
      </c>
      <c r="O637" s="7" t="str">
        <f t="shared" si="2"/>
        <v>agosto</v>
      </c>
      <c r="P637" s="7" t="s">
        <v>5458</v>
      </c>
    </row>
    <row r="638">
      <c r="A638" s="19">
        <f>'Respuestas de formulario 1'!A638</f>
        <v>45511.82193</v>
      </c>
      <c r="B638" s="7" t="str">
        <f>'Respuestas de formulario 1'!B638</f>
        <v>Leon </v>
      </c>
      <c r="C638" s="7" t="str">
        <f>'Respuestas de formulario 1'!C638</f>
        <v>Romina</v>
      </c>
      <c r="D638" s="7" t="str">
        <f>'Respuestas de formulario 1'!D638</f>
        <v>romy5714@hotmail.com</v>
      </c>
      <c r="E638" s="20">
        <f>'Respuestas de formulario 1'!E638</f>
        <v>30379</v>
      </c>
      <c r="F638" s="7">
        <f>'Respuestas de formulario 1'!F638</f>
        <v>30121375</v>
      </c>
      <c r="G638" s="7" t="str">
        <f>IFERROR(__xludf.DUMMYFUNCTION("IF('Respuestas de formulario 1'!G638="""","""",IF(LEFT(REGEXREPLACE(TO_TEXT('Respuestas de formulario 1'!G638),""[^0-9]"",""""),2)=""54"",""+""&amp;REGEXREPLACE(TO_TEXT('Respuestas de formulario 1'!G638),""[^0-9]"",""""),""+54""&amp;REGEXREPLACE(TO_TEXT('Respuest"&amp;"as de formulario 1'!G638),""[^0-9]"","""")))"),"+543513735700")</f>
        <v>+543513735700</v>
      </c>
      <c r="H638" s="7">
        <f>'Respuestas de formulario 1'!S638</f>
        <v>2024</v>
      </c>
      <c r="I638" s="7" t="str">
        <f>IFERROR(__xludf.DUMMYFUNCTION("IF('Respuestas de formulario 1'!I638="""","""",TO_TEXT('Respuestas de formulario 1'!I638))"),"Particular")</f>
        <v>Particular</v>
      </c>
      <c r="J638" s="7" t="str">
        <f>IFERROR(__xludf.DUMMYFUNCTION("IF('Respuestas de formulario 1'!J638&lt;&gt;"""",UPPER(TRIM(TO_TEXT('Respuestas de formulario 1'!J638))),IF('Respuestas de formulario 1'!O638&lt;&gt;"""",UPPER(TRIM(TO_TEXT('Respuestas de formulario 1'!O638))),""""))"),"")</f>
        <v/>
      </c>
      <c r="K638" s="7" t="str">
        <f>IFERROR(__xludf.DUMMYFUNCTION("IF('Respuestas de formulario 1'!K638="""","""",TO_TEXT('Respuestas de formulario 1'!K638))"),"No")</f>
        <v>No</v>
      </c>
      <c r="L638" s="7" t="str">
        <f>IFERROR(__xludf.DUMMYFUNCTION("IF('Respuestas de formulario 1'!L638="""","""",TO_TEXT('Respuestas de formulario 1'!L638))"),"")</f>
        <v/>
      </c>
      <c r="M638" s="7" t="str">
        <f>IFERROR(__xludf.DUMMYFUNCTION("IF('Respuestas de formulario 1'!M638="""","""",TO_TEXT('Respuestas de formulario 1'!M638))"),"")</f>
        <v/>
      </c>
      <c r="N638" s="7">
        <f t="shared" si="1"/>
        <v>2024</v>
      </c>
      <c r="O638" s="7" t="str">
        <f t="shared" si="2"/>
        <v>agosto</v>
      </c>
      <c r="P638" s="7" t="s">
        <v>5460</v>
      </c>
    </row>
    <row r="639">
      <c r="A639" s="19">
        <f>'Respuestas de formulario 1'!A639</f>
        <v>45511.94582</v>
      </c>
      <c r="B639" s="7" t="str">
        <f>'Respuestas de formulario 1'!B639</f>
        <v>Cabaña </v>
      </c>
      <c r="C639" s="7" t="str">
        <f>'Respuestas de formulario 1'!C639</f>
        <v>Julieta</v>
      </c>
      <c r="D639" s="7" t="str">
        <f>'Respuestas de formulario 1'!D639</f>
        <v>sa5m24@hotmail.com</v>
      </c>
      <c r="E639" s="20">
        <f>'Respuestas de formulario 1'!E639</f>
        <v>35354</v>
      </c>
      <c r="F639" s="7">
        <f>'Respuestas de formulario 1'!F639</f>
        <v>39464481</v>
      </c>
      <c r="G639" s="7" t="str">
        <f>IFERROR(__xludf.DUMMYFUNCTION("IF('Respuestas de formulario 1'!G639="""","""",IF(LEFT(REGEXREPLACE(TO_TEXT('Respuestas de formulario 1'!G639),""[^0-9]"",""""),2)=""54"",""+""&amp;REGEXREPLACE(TO_TEXT('Respuestas de formulario 1'!G639),""[^0-9]"",""""),""+54""&amp;REGEXREPLACE(TO_TEXT('Respuest"&amp;"as de formulario 1'!G639),""[^0-9]"","""")))"),"+541126499645")</f>
        <v>+541126499645</v>
      </c>
      <c r="H639" s="7">
        <f>'Respuestas de formulario 1'!S639</f>
        <v>2024</v>
      </c>
      <c r="I639" s="7" t="str">
        <f>IFERROR(__xludf.DUMMYFUNCTION("IF('Respuestas de formulario 1'!I639="""","""",TO_TEXT('Respuestas de formulario 1'!I639))"),"Obra social")</f>
        <v>Obra social</v>
      </c>
      <c r="J639" s="7" t="str">
        <f>IFERROR(__xludf.DUMMYFUNCTION("IF('Respuestas de formulario 1'!J639&lt;&gt;"""",UPPER(TRIM(TO_TEXT('Respuestas de formulario 1'!J639))),IF('Respuestas de formulario 1'!O639&lt;&gt;"""",UPPER(TRIM(TO_TEXT('Respuestas de formulario 1'!O639))),""""))"),"MEDICUS")</f>
        <v>MEDICUS</v>
      </c>
      <c r="K639" s="7" t="str">
        <f>IFERROR(__xludf.DUMMYFUNCTION("IF('Respuestas de formulario 1'!K639="""","""",TO_TEXT('Respuestas de formulario 1'!K639))"),"Si")</f>
        <v>Si</v>
      </c>
      <c r="L639" s="7" t="str">
        <f>IFERROR(__xludf.DUMMYFUNCTION("IF('Respuestas de formulario 1'!L639="""","""",TO_TEXT('Respuestas de formulario 1'!L639))"),"Gimnasio")</f>
        <v>Gimnasio</v>
      </c>
      <c r="M639" s="7" t="str">
        <f>IFERROR(__xludf.DUMMYFUNCTION("IF('Respuestas de formulario 1'!M639="""","""",TO_TEXT('Respuestas de formulario 1'!M639))"),"3 a 5 veces por semana")</f>
        <v>3 a 5 veces por semana</v>
      </c>
      <c r="N639" s="7">
        <f t="shared" si="1"/>
        <v>2024</v>
      </c>
      <c r="O639" s="7" t="str">
        <f t="shared" si="2"/>
        <v>agosto</v>
      </c>
      <c r="P639" s="7" t="s">
        <v>5462</v>
      </c>
    </row>
    <row r="640">
      <c r="A640" s="19">
        <f>'Respuestas de formulario 1'!A640</f>
        <v>45512.41743</v>
      </c>
      <c r="B640" s="7" t="str">
        <f>'Respuestas de formulario 1'!B640</f>
        <v>Balbi</v>
      </c>
      <c r="C640" s="7" t="str">
        <f>'Respuestas de formulario 1'!C640</f>
        <v>Geraldine</v>
      </c>
      <c r="D640" s="7" t="str">
        <f>'Respuestas de formulario 1'!D640</f>
        <v>geraldinebalbi@hotmail.com</v>
      </c>
      <c r="E640" s="20">
        <f>'Respuestas de formulario 1'!E640</f>
        <v>23949</v>
      </c>
      <c r="F640" s="7">
        <f>'Respuestas de formulario 1'!F640</f>
        <v>17628545</v>
      </c>
      <c r="G640" s="7" t="str">
        <f>IFERROR(__xludf.DUMMYFUNCTION("IF('Respuestas de formulario 1'!G640="""","""",IF(LEFT(REGEXREPLACE(TO_TEXT('Respuestas de formulario 1'!G640),""[^0-9]"",""""),2)=""54"",""+""&amp;REGEXREPLACE(TO_TEXT('Respuestas de formulario 1'!G640),""[^0-9]"",""""),""+54""&amp;REGEXREPLACE(TO_TEXT('Respuest"&amp;"as de formulario 1'!G640),""[^0-9]"","""")))"),"+543515636836")</f>
        <v>+543515636836</v>
      </c>
      <c r="H640" s="7">
        <f>'Respuestas de formulario 1'!S640</f>
        <v>2024</v>
      </c>
      <c r="I640" s="7" t="str">
        <f>IFERROR(__xludf.DUMMYFUNCTION("IF('Respuestas de formulario 1'!I640="""","""",TO_TEXT('Respuestas de formulario 1'!I640))"),"Obra social")</f>
        <v>Obra social</v>
      </c>
      <c r="J640" s="7" t="str">
        <f>IFERROR(__xludf.DUMMYFUNCTION("IF('Respuestas de formulario 1'!J640&lt;&gt;"""",UPPER(TRIM(TO_TEXT('Respuestas de formulario 1'!J640))),IF('Respuestas de formulario 1'!O640&lt;&gt;"""",UPPER(TRIM(TO_TEXT('Respuestas de formulario 1'!O640))),""""))"),"CAJA DE ABOGADOS")</f>
        <v>CAJA DE ABOGADOS</v>
      </c>
      <c r="K640" s="7" t="str">
        <f>IFERROR(__xludf.DUMMYFUNCTION("IF('Respuestas de formulario 1'!K640="""","""",TO_TEXT('Respuestas de formulario 1'!K640))"),"Si")</f>
        <v>Si</v>
      </c>
      <c r="L640" s="7" t="str">
        <f>IFERROR(__xludf.DUMMYFUNCTION("IF('Respuestas de formulario 1'!L640="""","""",TO_TEXT('Respuestas de formulario 1'!L640))"),"funcional, zumba y caminar")</f>
        <v>funcional, zumba y caminar</v>
      </c>
      <c r="M640" s="7" t="str">
        <f>IFERROR(__xludf.DUMMYFUNCTION("IF('Respuestas de formulario 1'!M640="""","""",TO_TEXT('Respuestas de formulario 1'!M640))"),"3 a 5 veces por semana")</f>
        <v>3 a 5 veces por semana</v>
      </c>
      <c r="N640" s="7">
        <f t="shared" si="1"/>
        <v>2024</v>
      </c>
      <c r="O640" s="7" t="str">
        <f t="shared" si="2"/>
        <v>agosto</v>
      </c>
      <c r="P640" s="7" t="s">
        <v>5464</v>
      </c>
    </row>
    <row r="641">
      <c r="A641" s="19">
        <f>'Respuestas de formulario 1'!A641</f>
        <v>45512.74621</v>
      </c>
      <c r="B641" s="7" t="str">
        <f>'Respuestas de formulario 1'!B641</f>
        <v>Amata</v>
      </c>
      <c r="C641" s="7" t="str">
        <f>'Respuestas de formulario 1'!C641</f>
        <v>Ricardo</v>
      </c>
      <c r="D641" s="7" t="str">
        <f>'Respuestas de formulario 1'!D641</f>
        <v>tatoamata@hotmail.com</v>
      </c>
      <c r="E641" s="20">
        <f>'Respuestas de formulario 1'!E641</f>
        <v>29606</v>
      </c>
      <c r="F641" s="7">
        <f>'Respuestas de formulario 1'!F641</f>
        <v>28432857</v>
      </c>
      <c r="G641" s="7" t="str">
        <f>IFERROR(__xludf.DUMMYFUNCTION("IF('Respuestas de formulario 1'!G641="""","""",IF(LEFT(REGEXREPLACE(TO_TEXT('Respuestas de formulario 1'!G641),""[^0-9]"",""""),2)=""54"",""+""&amp;REGEXREPLACE(TO_TEXT('Respuestas de formulario 1'!G641),""[^0-9]"",""""),""+54""&amp;REGEXREPLACE(TO_TEXT('Respuest"&amp;"as de formulario 1'!G641),""[^0-9]"","""")))"),"+543517538501")</f>
        <v>+543517538501</v>
      </c>
      <c r="H641" s="7">
        <f>'Respuestas de formulario 1'!S641</f>
        <v>2024</v>
      </c>
      <c r="I641" s="7" t="str">
        <f>IFERROR(__xludf.DUMMYFUNCTION("IF('Respuestas de formulario 1'!I641="""","""",TO_TEXT('Respuestas de formulario 1'!I641))"),"Particular")</f>
        <v>Particular</v>
      </c>
      <c r="J641" s="7" t="str">
        <f>IFERROR(__xludf.DUMMYFUNCTION("IF('Respuestas de formulario 1'!J641&lt;&gt;"""",UPPER(TRIM(TO_TEXT('Respuestas de formulario 1'!J641))),IF('Respuestas de formulario 1'!O641&lt;&gt;"""",UPPER(TRIM(TO_TEXT('Respuestas de formulario 1'!O641))),""""))"),"")</f>
        <v/>
      </c>
      <c r="K641" s="7" t="str">
        <f>IFERROR(__xludf.DUMMYFUNCTION("IF('Respuestas de formulario 1'!K641="""","""",TO_TEXT('Respuestas de formulario 1'!K641))"),"Si")</f>
        <v>Si</v>
      </c>
      <c r="L641" s="7" t="str">
        <f>IFERROR(__xludf.DUMMYFUNCTION("IF('Respuestas de formulario 1'!L641="""","""",TO_TEXT('Respuestas de formulario 1'!L641))"),"Fútbol")</f>
        <v>Fútbol</v>
      </c>
      <c r="M641" s="7" t="str">
        <f>IFERROR(__xludf.DUMMYFUNCTION("IF('Respuestas de formulario 1'!M641="""","""",TO_TEXT('Respuestas de formulario 1'!M641))"),"3 a 5 veces por semana")</f>
        <v>3 a 5 veces por semana</v>
      </c>
      <c r="N641" s="7">
        <f t="shared" si="1"/>
        <v>2024</v>
      </c>
      <c r="O641" s="7" t="str">
        <f t="shared" si="2"/>
        <v>agosto</v>
      </c>
      <c r="P641" s="7" t="s">
        <v>5466</v>
      </c>
    </row>
    <row r="642">
      <c r="A642" s="19">
        <f>'Respuestas de formulario 1'!A642</f>
        <v>45513.77311</v>
      </c>
      <c r="B642" s="7" t="str">
        <f>'Respuestas de formulario 1'!B642</f>
        <v>Battistini</v>
      </c>
      <c r="C642" s="7" t="str">
        <f>'Respuestas de formulario 1'!C642</f>
        <v>Maria Cristina</v>
      </c>
      <c r="D642" s="7" t="str">
        <f>'Respuestas de formulario 1'!D642</f>
        <v/>
      </c>
      <c r="E642" s="20">
        <f>'Respuestas de formulario 1'!E642</f>
        <v>17378</v>
      </c>
      <c r="F642" s="7">
        <f>'Respuestas de formulario 1'!F642</f>
        <v>5681186</v>
      </c>
      <c r="G642" s="7" t="str">
        <f>IFERROR(__xludf.DUMMYFUNCTION("IF('Respuestas de formulario 1'!G642="""","""",IF(LEFT(REGEXREPLACE(TO_TEXT('Respuestas de formulario 1'!G642),""[^0-9]"",""""),2)=""54"",""+""&amp;REGEXREPLACE(TO_TEXT('Respuestas de formulario 1'!G642),""[^0-9]"",""""),""+54""&amp;REGEXREPLACE(TO_TEXT('Respuest"&amp;"as de formulario 1'!G642),""[^0-9]"","""")))"),"+543516450262")</f>
        <v>+543516450262</v>
      </c>
      <c r="H642" s="7">
        <f>'Respuestas de formulario 1'!S642</f>
        <v>2024</v>
      </c>
      <c r="I642" s="7" t="str">
        <f>IFERROR(__xludf.DUMMYFUNCTION("IF('Respuestas de formulario 1'!I642="""","""",TO_TEXT('Respuestas de formulario 1'!I642))"),"Particular")</f>
        <v>Particular</v>
      </c>
      <c r="J642" s="7" t="str">
        <f>IFERROR(__xludf.DUMMYFUNCTION("IF('Respuestas de formulario 1'!J642&lt;&gt;"""",UPPER(TRIM(TO_TEXT('Respuestas de formulario 1'!J642))),IF('Respuestas de formulario 1'!O642&lt;&gt;"""",UPPER(TRIM(TO_TEXT('Respuestas de formulario 1'!O642))),""""))"),"")</f>
        <v/>
      </c>
      <c r="K642" s="7" t="str">
        <f>IFERROR(__xludf.DUMMYFUNCTION("IF('Respuestas de formulario 1'!K642="""","""",TO_TEXT('Respuestas de formulario 1'!K642))"),"No")</f>
        <v>No</v>
      </c>
      <c r="L642" s="7" t="str">
        <f>IFERROR(__xludf.DUMMYFUNCTION("IF('Respuestas de formulario 1'!L642="""","""",TO_TEXT('Respuestas de formulario 1'!L642))"),"")</f>
        <v/>
      </c>
      <c r="M642" s="7" t="str">
        <f>IFERROR(__xludf.DUMMYFUNCTION("IF('Respuestas de formulario 1'!M642="""","""",TO_TEXT('Respuestas de formulario 1'!M642))"),"")</f>
        <v/>
      </c>
      <c r="N642" s="7">
        <f t="shared" si="1"/>
        <v>2024</v>
      </c>
      <c r="O642" s="7" t="str">
        <f t="shared" si="2"/>
        <v>agosto</v>
      </c>
      <c r="P642" s="7" t="s">
        <v>5468</v>
      </c>
    </row>
    <row r="643">
      <c r="A643" s="19">
        <f>'Respuestas de formulario 1'!A643</f>
        <v>45513.80398</v>
      </c>
      <c r="B643" s="7" t="str">
        <f>'Respuestas de formulario 1'!B643</f>
        <v>Carignano</v>
      </c>
      <c r="C643" s="7" t="str">
        <f>'Respuestas de formulario 1'!C643</f>
        <v>Franco</v>
      </c>
      <c r="D643" s="7" t="str">
        <f>'Respuestas de formulario 1'!D643</f>
        <v>francocarignano13@gmail.com</v>
      </c>
      <c r="E643" s="20">
        <f>'Respuestas de formulario 1'!E643</f>
        <v>40413</v>
      </c>
      <c r="F643" s="7">
        <f>'Respuestas de formulario 1'!F643</f>
        <v>50419491</v>
      </c>
      <c r="G643" s="7" t="str">
        <f>IFERROR(__xludf.DUMMYFUNCTION("IF('Respuestas de formulario 1'!G643="""","""",IF(LEFT(REGEXREPLACE(TO_TEXT('Respuestas de formulario 1'!G643),""[^0-9]"",""""),2)=""54"",""+""&amp;REGEXREPLACE(TO_TEXT('Respuestas de formulario 1'!G643),""[^0-9]"",""""),""+54""&amp;REGEXREPLACE(TO_TEXT('Respuest"&amp;"as de formulario 1'!G643),""[^0-9]"","""")))"),"+543515720555")</f>
        <v>+543515720555</v>
      </c>
      <c r="H643" s="7">
        <f>'Respuestas de formulario 1'!S643</f>
        <v>2024</v>
      </c>
      <c r="I643" s="7" t="str">
        <f>IFERROR(__xludf.DUMMYFUNCTION("IF('Respuestas de formulario 1'!I643="""","""",TO_TEXT('Respuestas de formulario 1'!I643))"),"Obra social")</f>
        <v>Obra social</v>
      </c>
      <c r="J643" s="7" t="str">
        <f>IFERROR(__xludf.DUMMYFUNCTION("IF('Respuestas de formulario 1'!J643&lt;&gt;"""",UPPER(TRIM(TO_TEXT('Respuestas de formulario 1'!J643))),IF('Respuestas de formulario 1'!O643&lt;&gt;"""",UPPER(TRIM(TO_TEXT('Respuestas de formulario 1'!O643))),""""))"),"PREVENCIÓN")</f>
        <v>PREVENCIÓN</v>
      </c>
      <c r="K643" s="7" t="str">
        <f>IFERROR(__xludf.DUMMYFUNCTION("IF('Respuestas de formulario 1'!K643="""","""",TO_TEXT('Respuestas de formulario 1'!K643))"),"Si")</f>
        <v>Si</v>
      </c>
      <c r="L643" s="7" t="str">
        <f>IFERROR(__xludf.DUMMYFUNCTION("IF('Respuestas de formulario 1'!L643="""","""",TO_TEXT('Respuestas de formulario 1'!L643))"),"Fútbol")</f>
        <v>Fútbol</v>
      </c>
      <c r="M643" s="7" t="str">
        <f>IFERROR(__xludf.DUMMYFUNCTION("IF('Respuestas de formulario 1'!M643="""","""",TO_TEXT('Respuestas de formulario 1'!M643))"),"6 a 7 veces por semana")</f>
        <v>6 a 7 veces por semana</v>
      </c>
      <c r="N643" s="7">
        <f t="shared" si="1"/>
        <v>2024</v>
      </c>
      <c r="O643" s="7" t="str">
        <f t="shared" si="2"/>
        <v>agosto</v>
      </c>
      <c r="P643" s="7" t="s">
        <v>5470</v>
      </c>
    </row>
    <row r="644">
      <c r="A644" s="19">
        <f>'Respuestas de formulario 1'!A644</f>
        <v>45516.5734</v>
      </c>
      <c r="B644" s="7" t="str">
        <f>'Respuestas de formulario 1'!B644</f>
        <v>serlin</v>
      </c>
      <c r="C644" s="7" t="str">
        <f>'Respuestas de formulario 1'!C644</f>
        <v>lucas</v>
      </c>
      <c r="D644" s="7" t="str">
        <f>'Respuestas de formulario 1'!D644</f>
        <v>lucasserlin1@gmail.com</v>
      </c>
      <c r="E644" s="20">
        <f>'Respuestas de formulario 1'!E644</f>
        <v>37792</v>
      </c>
      <c r="F644" s="7">
        <f>'Respuestas de formulario 1'!F644</f>
        <v>44805781</v>
      </c>
      <c r="G644" s="7" t="str">
        <f>IFERROR(__xludf.DUMMYFUNCTION("IF('Respuestas de formulario 1'!G644="""","""",IF(LEFT(REGEXREPLACE(TO_TEXT('Respuestas de formulario 1'!G644),""[^0-9]"",""""),2)=""54"",""+""&amp;REGEXREPLACE(TO_TEXT('Respuestas de formulario 1'!G644),""[^0-9]"",""""),""+54""&amp;REGEXREPLACE(TO_TEXT('Respuest"&amp;"as de formulario 1'!G644),""[^0-9]"","""")))"),"+543513938792")</f>
        <v>+543513938792</v>
      </c>
      <c r="H644" s="7">
        <f>'Respuestas de formulario 1'!S644</f>
        <v>2024</v>
      </c>
      <c r="I644" s="7" t="str">
        <f>IFERROR(__xludf.DUMMYFUNCTION("IF('Respuestas de formulario 1'!I644="""","""",TO_TEXT('Respuestas de formulario 1'!I644))"),"Obra social")</f>
        <v>Obra social</v>
      </c>
      <c r="J644" s="7" t="str">
        <f>IFERROR(__xludf.DUMMYFUNCTION("IF('Respuestas de formulario 1'!J644&lt;&gt;"""",UPPER(TRIM(TO_TEXT('Respuestas de formulario 1'!J644))),IF('Respuestas de formulario 1'!O644&lt;&gt;"""",UPPER(TRIM(TO_TEXT('Respuestas de formulario 1'!O644))),""""))"),"SWISS MEDICAL")</f>
        <v>SWISS MEDICAL</v>
      </c>
      <c r="K644" s="7" t="str">
        <f>IFERROR(__xludf.DUMMYFUNCTION("IF('Respuestas de formulario 1'!K644="""","""",TO_TEXT('Respuestas de formulario 1'!K644))"),"Si")</f>
        <v>Si</v>
      </c>
      <c r="L644" s="7" t="str">
        <f>IFERROR(__xludf.DUMMYFUNCTION("IF('Respuestas de formulario 1'!L644="""","""",TO_TEXT('Respuestas de formulario 1'!L644))"),"Fútbol")</f>
        <v>Fútbol</v>
      </c>
      <c r="M644" s="7" t="str">
        <f>IFERROR(__xludf.DUMMYFUNCTION("IF('Respuestas de formulario 1'!M644="""","""",TO_TEXT('Respuestas de formulario 1'!M644))"),"3 a 5 veces por semana")</f>
        <v>3 a 5 veces por semana</v>
      </c>
      <c r="N644" s="7">
        <f t="shared" si="1"/>
        <v>2024</v>
      </c>
      <c r="O644" s="7" t="str">
        <f t="shared" si="2"/>
        <v>agosto</v>
      </c>
      <c r="P644" s="7" t="s">
        <v>5472</v>
      </c>
    </row>
    <row r="645">
      <c r="A645" s="19">
        <f>'Respuestas de formulario 1'!A645</f>
        <v>45516.73457</v>
      </c>
      <c r="B645" s="7" t="str">
        <f>'Respuestas de formulario 1'!B645</f>
        <v>Bertone</v>
      </c>
      <c r="C645" s="7" t="str">
        <f>'Respuestas de formulario 1'!C645</f>
        <v>Veronica</v>
      </c>
      <c r="D645" s="7" t="str">
        <f>'Respuestas de formulario 1'!D645</f>
        <v>verogeniabertone@gmail.com</v>
      </c>
      <c r="E645" s="20">
        <f>'Respuestas de formulario 1'!E645</f>
        <v>27434</v>
      </c>
      <c r="F645" s="7">
        <f>'Respuestas de formulario 1'!F645</f>
        <v>24160938</v>
      </c>
      <c r="G645" s="7" t="str">
        <f>IFERROR(__xludf.DUMMYFUNCTION("IF('Respuestas de formulario 1'!G645="""","""",IF(LEFT(REGEXREPLACE(TO_TEXT('Respuestas de formulario 1'!G645),""[^0-9]"",""""),2)=""54"",""+""&amp;REGEXREPLACE(TO_TEXT('Respuestas de formulario 1'!G645),""[^0-9]"",""""),""+54""&amp;REGEXREPLACE(TO_TEXT('Respuest"&amp;"as de formulario 1'!G645),""[^0-9]"","""")))"),"+543515923208")</f>
        <v>+543515923208</v>
      </c>
      <c r="H645" s="7">
        <f>'Respuestas de formulario 1'!S645</f>
        <v>2024</v>
      </c>
      <c r="I645" s="7" t="str">
        <f>IFERROR(__xludf.DUMMYFUNCTION("IF('Respuestas de formulario 1'!I645="""","""",TO_TEXT('Respuestas de formulario 1'!I645))"),"Obra social")</f>
        <v>Obra social</v>
      </c>
      <c r="J645" s="7" t="str">
        <f>IFERROR(__xludf.DUMMYFUNCTION("IF('Respuestas de formulario 1'!J645&lt;&gt;"""",UPPER(TRIM(TO_TEXT('Respuestas de formulario 1'!J645))),IF('Respuestas de formulario 1'!O645&lt;&gt;"""",UPPER(TRIM(TO_TEXT('Respuestas de formulario 1'!O645))),""""))"),"OSPTV")</f>
        <v>OSPTV</v>
      </c>
      <c r="K645" s="7" t="str">
        <f>IFERROR(__xludf.DUMMYFUNCTION("IF('Respuestas de formulario 1'!K645="""","""",TO_TEXT('Respuestas de formulario 1'!K645))"),"Si")</f>
        <v>Si</v>
      </c>
      <c r="L645" s="7" t="str">
        <f>IFERROR(__xludf.DUMMYFUNCTION("IF('Respuestas de formulario 1'!L645="""","""",TO_TEXT('Respuestas de formulario 1'!L645))"),"Gimnasio")</f>
        <v>Gimnasio</v>
      </c>
      <c r="M645" s="7" t="str">
        <f>IFERROR(__xludf.DUMMYFUNCTION("IF('Respuestas de formulario 1'!M645="""","""",TO_TEXT('Respuestas de formulario 1'!M645))"),"3 a 5 veces por semana")</f>
        <v>3 a 5 veces por semana</v>
      </c>
      <c r="N645" s="7">
        <f t="shared" si="1"/>
        <v>2024</v>
      </c>
      <c r="O645" s="7" t="str">
        <f t="shared" si="2"/>
        <v>agosto</v>
      </c>
      <c r="P645" s="7" t="s">
        <v>5474</v>
      </c>
    </row>
    <row r="646">
      <c r="A646" s="19">
        <f>'Respuestas de formulario 1'!A646</f>
        <v>45516.80857</v>
      </c>
      <c r="B646" s="7" t="str">
        <f>'Respuestas de formulario 1'!B646</f>
        <v>Contreras Pulitta</v>
      </c>
      <c r="C646" s="7" t="str">
        <f>'Respuestas de formulario 1'!C646</f>
        <v>Valentino</v>
      </c>
      <c r="D646" s="7" t="str">
        <f>'Respuestas de formulario 1'!D646</f>
        <v>valentinocontreras06@gmail.com</v>
      </c>
      <c r="E646" s="20">
        <f>'Respuestas de formulario 1'!E646</f>
        <v>38817</v>
      </c>
      <c r="F646" s="7">
        <f>'Respuestas de formulario 1'!F646</f>
        <v>46999940</v>
      </c>
      <c r="G646" s="7" t="str">
        <f>IFERROR(__xludf.DUMMYFUNCTION("IF('Respuestas de formulario 1'!G646="""","""",IF(LEFT(REGEXREPLACE(TO_TEXT('Respuestas de formulario 1'!G646),""[^0-9]"",""""),2)=""54"",""+""&amp;REGEXREPLACE(TO_TEXT('Respuestas de formulario 1'!G646),""[^0-9]"",""""),""+54""&amp;REGEXREPLACE(TO_TEXT('Respuest"&amp;"as de formulario 1'!G646),""[^0-9]"","""")))"),"+543518638864")</f>
        <v>+543518638864</v>
      </c>
      <c r="H646" s="7">
        <f>'Respuestas de formulario 1'!S646</f>
        <v>2024</v>
      </c>
      <c r="I646" s="7" t="str">
        <f>IFERROR(__xludf.DUMMYFUNCTION("IF('Respuestas de formulario 1'!I646="""","""",TO_TEXT('Respuestas de formulario 1'!I646))"),"Obra social")</f>
        <v>Obra social</v>
      </c>
      <c r="J646" s="7" t="str">
        <f>IFERROR(__xludf.DUMMYFUNCTION("IF('Respuestas de formulario 1'!J646&lt;&gt;"""",UPPER(TRIM(TO_TEXT('Respuestas de formulario 1'!J646))),IF('Respuestas de formulario 1'!O646&lt;&gt;"""",UPPER(TRIM(TO_TEXT('Respuestas de formulario 1'!O646))),""""))"),"APROSS")</f>
        <v>APROSS</v>
      </c>
      <c r="K646" s="7" t="str">
        <f>IFERROR(__xludf.DUMMYFUNCTION("IF('Respuestas de formulario 1'!K646="""","""",TO_TEXT('Respuestas de formulario 1'!K646))"),"Si")</f>
        <v>Si</v>
      </c>
      <c r="L646" s="7" t="str">
        <f>IFERROR(__xludf.DUMMYFUNCTION("IF('Respuestas de formulario 1'!L646="""","""",TO_TEXT('Respuestas de formulario 1'!L646))"),"Natacion")</f>
        <v>Natacion</v>
      </c>
      <c r="M646" s="7" t="str">
        <f>IFERROR(__xludf.DUMMYFUNCTION("IF('Respuestas de formulario 1'!M646="""","""",TO_TEXT('Respuestas de formulario 1'!M646))"),"6 a 7 veces por semana")</f>
        <v>6 a 7 veces por semana</v>
      </c>
      <c r="N646" s="7">
        <f t="shared" si="1"/>
        <v>2024</v>
      </c>
      <c r="O646" s="7" t="str">
        <f t="shared" si="2"/>
        <v>agosto</v>
      </c>
      <c r="P646" s="7" t="s">
        <v>5476</v>
      </c>
    </row>
    <row r="647">
      <c r="A647" s="19">
        <f>'Respuestas de formulario 1'!A647</f>
        <v>45517.56663</v>
      </c>
      <c r="B647" s="7" t="str">
        <f>'Respuestas de formulario 1'!B647</f>
        <v>TOMASELLI</v>
      </c>
      <c r="C647" s="7" t="str">
        <f>'Respuestas de formulario 1'!C647</f>
        <v>DIEGO</v>
      </c>
      <c r="D647" s="7" t="str">
        <f>'Respuestas de formulario 1'!D647</f>
        <v>diegotomaselli@hotmail.com</v>
      </c>
      <c r="E647" s="20">
        <f>'Respuestas de formulario 1'!E647</f>
        <v>28447</v>
      </c>
      <c r="F647" s="7">
        <f>'Respuestas de formulario 1'!F647</f>
        <v>26385278</v>
      </c>
      <c r="G647" s="7" t="str">
        <f>IFERROR(__xludf.DUMMYFUNCTION("IF('Respuestas de formulario 1'!G647="""","""",IF(LEFT(REGEXREPLACE(TO_TEXT('Respuestas de formulario 1'!G647),""[^0-9]"",""""),2)=""54"",""+""&amp;REGEXREPLACE(TO_TEXT('Respuestas de formulario 1'!G647),""[^0-9]"",""""),""+54""&amp;REGEXREPLACE(TO_TEXT('Respuest"&amp;"as de formulario 1'!G647),""[^0-9]"","""")))"),"+543516744744")</f>
        <v>+543516744744</v>
      </c>
      <c r="H647" s="7">
        <f>'Respuestas de formulario 1'!S647</f>
        <v>2024</v>
      </c>
      <c r="I647" s="7" t="str">
        <f>IFERROR(__xludf.DUMMYFUNCTION("IF('Respuestas de formulario 1'!I647="""","""",TO_TEXT('Respuestas de formulario 1'!I647))"),"Obra social")</f>
        <v>Obra social</v>
      </c>
      <c r="J647" s="7" t="str">
        <f>IFERROR(__xludf.DUMMYFUNCTION("IF('Respuestas de formulario 1'!J647&lt;&gt;"""",UPPER(TRIM(TO_TEXT('Respuestas de formulario 1'!J647))),IF('Respuestas de formulario 1'!O647&lt;&gt;"""",UPPER(TRIM(TO_TEXT('Respuestas de formulario 1'!O647))),""""))"),"APROSS")</f>
        <v>APROSS</v>
      </c>
      <c r="K647" s="7" t="str">
        <f>IFERROR(__xludf.DUMMYFUNCTION("IF('Respuestas de formulario 1'!K647="""","""",TO_TEXT('Respuestas de formulario 1'!K647))"),"Si")</f>
        <v>Si</v>
      </c>
      <c r="L647" s="7" t="str">
        <f>IFERROR(__xludf.DUMMYFUNCTION("IF('Respuestas de formulario 1'!L647="""","""",TO_TEXT('Respuestas de formulario 1'!L647))"),"Running")</f>
        <v>Running</v>
      </c>
      <c r="M647" s="7" t="str">
        <f>IFERROR(__xludf.DUMMYFUNCTION("IF('Respuestas de formulario 1'!M647="""","""",TO_TEXT('Respuestas de formulario 1'!M647))"),"1 a 2 veces por semana")</f>
        <v>1 a 2 veces por semana</v>
      </c>
      <c r="N647" s="7">
        <f t="shared" si="1"/>
        <v>2024</v>
      </c>
      <c r="O647" s="7" t="str">
        <f t="shared" si="2"/>
        <v>agosto</v>
      </c>
      <c r="P647" s="7" t="s">
        <v>5478</v>
      </c>
    </row>
    <row r="648">
      <c r="A648" s="19">
        <f>'Respuestas de formulario 1'!A648</f>
        <v>45517.5713</v>
      </c>
      <c r="B648" s="7" t="str">
        <f>'Respuestas de formulario 1'!B648</f>
        <v>Balestrini</v>
      </c>
      <c r="C648" s="7" t="str">
        <f>'Respuestas de formulario 1'!C648</f>
        <v>Alberto</v>
      </c>
      <c r="D648" s="7" t="str">
        <f>'Respuestas de formulario 1'!D648</f>
        <v/>
      </c>
      <c r="E648" s="20">
        <f>'Respuestas de formulario 1'!E648</f>
        <v>21845</v>
      </c>
      <c r="F648" s="7">
        <f>'Respuestas de formulario 1'!F648</f>
        <v>13684971</v>
      </c>
      <c r="G648" s="7" t="str">
        <f>IFERROR(__xludf.DUMMYFUNCTION("IF('Respuestas de formulario 1'!G648="""","""",IF(LEFT(REGEXREPLACE(TO_TEXT('Respuestas de formulario 1'!G648),""[^0-9]"",""""),2)=""54"",""+""&amp;REGEXREPLACE(TO_TEXT('Respuestas de formulario 1'!G648),""[^0-9]"",""""),""+54""&amp;REGEXREPLACE(TO_TEXT('Respuest"&amp;"as de formulario 1'!G648),""[^0-9]"","""")))"),"+543515317590")</f>
        <v>+543515317590</v>
      </c>
      <c r="H648" s="7">
        <f>'Respuestas de formulario 1'!S648</f>
        <v>2024</v>
      </c>
      <c r="I648" s="7" t="str">
        <f>IFERROR(__xludf.DUMMYFUNCTION("IF('Respuestas de formulario 1'!I648="""","""",TO_TEXT('Respuestas de formulario 1'!I648))"),"Obra social")</f>
        <v>Obra social</v>
      </c>
      <c r="J648" s="7" t="str">
        <f>IFERROR(__xludf.DUMMYFUNCTION("IF('Respuestas de formulario 1'!J648&lt;&gt;"""",UPPER(TRIM(TO_TEXT('Respuestas de formulario 1'!J648))),IF('Respuestas de formulario 1'!O648&lt;&gt;"""",UPPER(TRIM(TO_TEXT('Respuestas de formulario 1'!O648))),""""))"),"APROSS")</f>
        <v>APROSS</v>
      </c>
      <c r="K648" s="7" t="str">
        <f>IFERROR(__xludf.DUMMYFUNCTION("IF('Respuestas de formulario 1'!K648="""","""",TO_TEXT('Respuestas de formulario 1'!K648))"),"No")</f>
        <v>No</v>
      </c>
      <c r="L648" s="7" t="str">
        <f>IFERROR(__xludf.DUMMYFUNCTION("IF('Respuestas de formulario 1'!L648="""","""",TO_TEXT('Respuestas de formulario 1'!L648))"),"")</f>
        <v/>
      </c>
      <c r="M648" s="7" t="str">
        <f>IFERROR(__xludf.DUMMYFUNCTION("IF('Respuestas de formulario 1'!M648="""","""",TO_TEXT('Respuestas de formulario 1'!M648))"),"")</f>
        <v/>
      </c>
      <c r="N648" s="7">
        <f t="shared" si="1"/>
        <v>2024</v>
      </c>
      <c r="O648" s="7" t="str">
        <f t="shared" si="2"/>
        <v>agosto</v>
      </c>
      <c r="P648" s="7" t="s">
        <v>5480</v>
      </c>
    </row>
    <row r="649">
      <c r="A649" s="19">
        <f>'Respuestas de formulario 1'!A649</f>
        <v>45517.6459</v>
      </c>
      <c r="B649" s="7" t="str">
        <f>'Respuestas de formulario 1'!B649</f>
        <v>Sanchez</v>
      </c>
      <c r="C649" s="7" t="str">
        <f>'Respuestas de formulario 1'!C649</f>
        <v>Amilcar</v>
      </c>
      <c r="D649" s="7" t="str">
        <f>'Respuestas de formulario 1'!D649</f>
        <v>amilcarmsanchez@gmail.com</v>
      </c>
      <c r="E649" s="20">
        <f>'Respuestas de formulario 1'!E649</f>
        <v>35287</v>
      </c>
      <c r="F649" s="7">
        <f>'Respuestas de formulario 1'!F649</f>
        <v>39622628</v>
      </c>
      <c r="G649" s="7" t="str">
        <f>IFERROR(__xludf.DUMMYFUNCTION("IF('Respuestas de formulario 1'!G649="""","""",IF(LEFT(REGEXREPLACE(TO_TEXT('Respuestas de formulario 1'!G649),""[^0-9]"",""""),2)=""54"",""+""&amp;REGEXREPLACE(TO_TEXT('Respuestas de formulario 1'!G649),""[^0-9]"",""""),""+54""&amp;REGEXREPLACE(TO_TEXT('Respuest"&amp;"as de formulario 1'!G649),""[^0-9]"","""")))"),"+543512563083")</f>
        <v>+543512563083</v>
      </c>
      <c r="H649" s="7">
        <f>'Respuestas de formulario 1'!S649</f>
        <v>2024</v>
      </c>
      <c r="I649" s="7" t="str">
        <f>IFERROR(__xludf.DUMMYFUNCTION("IF('Respuestas de formulario 1'!I649="""","""",TO_TEXT('Respuestas de formulario 1'!I649))"),"Obra social")</f>
        <v>Obra social</v>
      </c>
      <c r="J649" s="7" t="str">
        <f>IFERROR(__xludf.DUMMYFUNCTION("IF('Respuestas de formulario 1'!J649&lt;&gt;"""",UPPER(TRIM(TO_TEXT('Respuestas de formulario 1'!J649))),IF('Respuestas de formulario 1'!O649&lt;&gt;"""",UPPER(TRIM(TO_TEXT('Respuestas de formulario 1'!O649))),""""))"),"PREVENCIÓN")</f>
        <v>PREVENCIÓN</v>
      </c>
      <c r="K649" s="7" t="str">
        <f>IFERROR(__xludf.DUMMYFUNCTION("IF('Respuestas de formulario 1'!K649="""","""",TO_TEXT('Respuestas de formulario 1'!K649))"),"Si")</f>
        <v>Si</v>
      </c>
      <c r="L649" s="7" t="str">
        <f>IFERROR(__xludf.DUMMYFUNCTION("IF('Respuestas de formulario 1'!L649="""","""",TO_TEXT('Respuestas de formulario 1'!L649))"),"Fútbol")</f>
        <v>Fútbol</v>
      </c>
      <c r="M649" s="7" t="str">
        <f>IFERROR(__xludf.DUMMYFUNCTION("IF('Respuestas de formulario 1'!M649="""","""",TO_TEXT('Respuestas de formulario 1'!M649))"),"3 a 5 veces por semana")</f>
        <v>3 a 5 veces por semana</v>
      </c>
      <c r="N649" s="7">
        <f t="shared" si="1"/>
        <v>2024</v>
      </c>
      <c r="O649" s="7" t="str">
        <f t="shared" si="2"/>
        <v>agosto</v>
      </c>
      <c r="P649" s="7" t="s">
        <v>5482</v>
      </c>
    </row>
    <row r="650">
      <c r="A650" s="19">
        <f>'Respuestas de formulario 1'!A650</f>
        <v>45517.64816</v>
      </c>
      <c r="B650" s="7" t="str">
        <f>'Respuestas de formulario 1'!B650</f>
        <v>Bonato</v>
      </c>
      <c r="C650" s="7" t="str">
        <f>'Respuestas de formulario 1'!C650</f>
        <v>Zoe Alexia </v>
      </c>
      <c r="D650" s="7" t="str">
        <f>'Respuestas de formulario 1'!D650</f>
        <v>bonatozoe@gmail.com</v>
      </c>
      <c r="E650" s="20">
        <f>'Respuestas de formulario 1'!E650</f>
        <v>34163</v>
      </c>
      <c r="F650" s="7">
        <f>'Respuestas de formulario 1'!F650</f>
        <v>37618190</v>
      </c>
      <c r="G650" s="7" t="str">
        <f>IFERROR(__xludf.DUMMYFUNCTION("IF('Respuestas de formulario 1'!G650="""","""",IF(LEFT(REGEXREPLACE(TO_TEXT('Respuestas de formulario 1'!G650),""[^0-9]"",""""),2)=""54"",""+""&amp;REGEXREPLACE(TO_TEXT('Respuestas de formulario 1'!G650),""[^0-9]"",""""),""+54""&amp;REGEXREPLACE(TO_TEXT('Respuest"&amp;"as de formulario 1'!G650),""[^0-9]"","""")))"),"+542966602051")</f>
        <v>+542966602051</v>
      </c>
      <c r="H650" s="7">
        <f>'Respuestas de formulario 1'!S650</f>
        <v>2024</v>
      </c>
      <c r="I650" s="7" t="str">
        <f>IFERROR(__xludf.DUMMYFUNCTION("IF('Respuestas de formulario 1'!I650="""","""",TO_TEXT('Respuestas de formulario 1'!I650))"),"Particular")</f>
        <v>Particular</v>
      </c>
      <c r="J650" s="7" t="str">
        <f>IFERROR(__xludf.DUMMYFUNCTION("IF('Respuestas de formulario 1'!J650&lt;&gt;"""",UPPER(TRIM(TO_TEXT('Respuestas de formulario 1'!J650))),IF('Respuestas de formulario 1'!O650&lt;&gt;"""",UPPER(TRIM(TO_TEXT('Respuestas de formulario 1'!O650))),""""))"),"")</f>
        <v/>
      </c>
      <c r="K650" s="7" t="str">
        <f>IFERROR(__xludf.DUMMYFUNCTION("IF('Respuestas de formulario 1'!K650="""","""",TO_TEXT('Respuestas de formulario 1'!K650))"),"No")</f>
        <v>No</v>
      </c>
      <c r="L650" s="7" t="str">
        <f>IFERROR(__xludf.DUMMYFUNCTION("IF('Respuestas de formulario 1'!L650="""","""",TO_TEXT('Respuestas de formulario 1'!L650))"),"")</f>
        <v/>
      </c>
      <c r="M650" s="7" t="str">
        <f>IFERROR(__xludf.DUMMYFUNCTION("IF('Respuestas de formulario 1'!M650="""","""",TO_TEXT('Respuestas de formulario 1'!M650))"),"")</f>
        <v/>
      </c>
      <c r="N650" s="7">
        <f t="shared" si="1"/>
        <v>2024</v>
      </c>
      <c r="O650" s="7" t="str">
        <f t="shared" si="2"/>
        <v>agosto</v>
      </c>
      <c r="P650" s="7" t="s">
        <v>5484</v>
      </c>
    </row>
    <row r="651">
      <c r="A651" s="19">
        <f>'Respuestas de formulario 1'!A651</f>
        <v>45517.81646</v>
      </c>
      <c r="B651" s="7" t="str">
        <f>'Respuestas de formulario 1'!B651</f>
        <v>Battistoni </v>
      </c>
      <c r="C651" s="7" t="str">
        <f>'Respuestas de formulario 1'!C651</f>
        <v>Santiago</v>
      </c>
      <c r="D651" s="7" t="str">
        <f>'Respuestas de formulario 1'!D651</f>
        <v>santibattistoni22@gmail.com</v>
      </c>
      <c r="E651" s="20">
        <f>'Respuestas de formulario 1'!E651</f>
        <v>35384</v>
      </c>
      <c r="F651" s="7">
        <f>'Respuestas de formulario 1'!F651</f>
        <v>39937350</v>
      </c>
      <c r="G651" s="7" t="str">
        <f>IFERROR(__xludf.DUMMYFUNCTION("IF('Respuestas de formulario 1'!G651="""","""",IF(LEFT(REGEXREPLACE(TO_TEXT('Respuestas de formulario 1'!G651),""[^0-9]"",""""),2)=""54"",""+""&amp;REGEXREPLACE(TO_TEXT('Respuestas de formulario 1'!G651),""[^0-9]"",""""),""+54""&amp;REGEXREPLACE(TO_TEXT('Respuest"&amp;"as de formulario 1'!G651),""[^0-9]"","""")))"),"+543516134519")</f>
        <v>+543516134519</v>
      </c>
      <c r="H651" s="7">
        <f>'Respuestas de formulario 1'!S651</f>
        <v>2024</v>
      </c>
      <c r="I651" s="7" t="str">
        <f>IFERROR(__xludf.DUMMYFUNCTION("IF('Respuestas de formulario 1'!I651="""","""",TO_TEXT('Respuestas de formulario 1'!I651))"),"Particular")</f>
        <v>Particular</v>
      </c>
      <c r="J651" s="7" t="str">
        <f>IFERROR(__xludf.DUMMYFUNCTION("IF('Respuestas de formulario 1'!J651&lt;&gt;"""",UPPER(TRIM(TO_TEXT('Respuestas de formulario 1'!J651))),IF('Respuestas de formulario 1'!O651&lt;&gt;"""",UPPER(TRIM(TO_TEXT('Respuestas de formulario 1'!O651))),""""))"),"")</f>
        <v/>
      </c>
      <c r="K651" s="7" t="str">
        <f>IFERROR(__xludf.DUMMYFUNCTION("IF('Respuestas de formulario 1'!K651="""","""",TO_TEXT('Respuestas de formulario 1'!K651))"),"Si")</f>
        <v>Si</v>
      </c>
      <c r="L651" s="7" t="str">
        <f>IFERROR(__xludf.DUMMYFUNCTION("IF('Respuestas de formulario 1'!L651="""","""",TO_TEXT('Respuestas de formulario 1'!L651))"),"Fútbol")</f>
        <v>Fútbol</v>
      </c>
      <c r="M651" s="7" t="str">
        <f>IFERROR(__xludf.DUMMYFUNCTION("IF('Respuestas de formulario 1'!M651="""","""",TO_TEXT('Respuestas de formulario 1'!M651))"),"1 a 2 veces por semana")</f>
        <v>1 a 2 veces por semana</v>
      </c>
      <c r="N651" s="7">
        <f t="shared" si="1"/>
        <v>2024</v>
      </c>
      <c r="O651" s="7" t="str">
        <f t="shared" si="2"/>
        <v>agosto</v>
      </c>
      <c r="P651" s="7" t="s">
        <v>5486</v>
      </c>
    </row>
    <row r="652">
      <c r="A652" s="19">
        <f>'Respuestas de formulario 1'!A652</f>
        <v>45518.69365</v>
      </c>
      <c r="B652" s="7" t="str">
        <f>'Respuestas de formulario 1'!B652</f>
        <v>González </v>
      </c>
      <c r="C652" s="7" t="str">
        <f>'Respuestas de formulario 1'!C652</f>
        <v>Francisco </v>
      </c>
      <c r="D652" s="7" t="str">
        <f>'Respuestas de formulario 1'!D652</f>
        <v>Bateriascrash@gmail.com</v>
      </c>
      <c r="E652" s="20">
        <f>'Respuestas de formulario 1'!E652</f>
        <v>33543</v>
      </c>
      <c r="F652" s="7">
        <f>'Respuestas de formulario 1'!F652</f>
        <v>36141852</v>
      </c>
      <c r="G652" s="7" t="str">
        <f>IFERROR(__xludf.DUMMYFUNCTION("IF('Respuestas de formulario 1'!G652="""","""",IF(LEFT(REGEXREPLACE(TO_TEXT('Respuestas de formulario 1'!G652),""[^0-9]"",""""),2)=""54"",""+""&amp;REGEXREPLACE(TO_TEXT('Respuestas de formulario 1'!G652),""[^0-9]"",""""),""+54""&amp;REGEXREPLACE(TO_TEXT('Respuest"&amp;"as de formulario 1'!G652),""[^0-9]"","""")))"),"+543513698015")</f>
        <v>+543513698015</v>
      </c>
      <c r="H652" s="7">
        <f>'Respuestas de formulario 1'!S652</f>
        <v>2024</v>
      </c>
      <c r="I652" s="7" t="str">
        <f>IFERROR(__xludf.DUMMYFUNCTION("IF('Respuestas de formulario 1'!I652="""","""",TO_TEXT('Respuestas de formulario 1'!I652))"),"Obra social")</f>
        <v>Obra social</v>
      </c>
      <c r="J652" s="7" t="str">
        <f>IFERROR(__xludf.DUMMYFUNCTION("IF('Respuestas de formulario 1'!J652&lt;&gt;"""",UPPER(TRIM(TO_TEXT('Respuestas de formulario 1'!J652))),IF('Respuestas de formulario 1'!O652&lt;&gt;"""",UPPER(TRIM(TO_TEXT('Respuestas de formulario 1'!O652))),""""))"),"DASPU")</f>
        <v>DASPU</v>
      </c>
      <c r="K652" s="7" t="str">
        <f>IFERROR(__xludf.DUMMYFUNCTION("IF('Respuestas de formulario 1'!K652="""","""",TO_TEXT('Respuestas de formulario 1'!K652))"),"No")</f>
        <v>No</v>
      </c>
      <c r="L652" s="7" t="str">
        <f>IFERROR(__xludf.DUMMYFUNCTION("IF('Respuestas de formulario 1'!L652="""","""",TO_TEXT('Respuestas de formulario 1'!L652))"),"")</f>
        <v/>
      </c>
      <c r="M652" s="7" t="str">
        <f>IFERROR(__xludf.DUMMYFUNCTION("IF('Respuestas de formulario 1'!M652="""","""",TO_TEXT('Respuestas de formulario 1'!M652))"),"")</f>
        <v/>
      </c>
      <c r="N652" s="7">
        <f t="shared" si="1"/>
        <v>2024</v>
      </c>
      <c r="O652" s="7" t="str">
        <f t="shared" si="2"/>
        <v>agosto</v>
      </c>
      <c r="P652" s="7" t="s">
        <v>5488</v>
      </c>
    </row>
    <row r="653">
      <c r="A653" s="19">
        <f>'Respuestas de formulario 1'!A653</f>
        <v>45518.77202</v>
      </c>
      <c r="B653" s="7" t="str">
        <f>'Respuestas de formulario 1'!B653</f>
        <v>Rivadeneyra</v>
      </c>
      <c r="C653" s="7" t="str">
        <f>'Respuestas de formulario 1'!C653</f>
        <v>Evelyn Noelia</v>
      </c>
      <c r="D653" s="7" t="str">
        <f>'Respuestas de formulario 1'!D653</f>
        <v>Noeri</v>
      </c>
      <c r="E653" s="20">
        <f>'Respuestas de formulario 1'!E653</f>
        <v>32193</v>
      </c>
      <c r="F653" s="7">
        <f>'Respuestas de formulario 1'!F653</f>
        <v>33598965</v>
      </c>
      <c r="G653" s="7" t="str">
        <f>IFERROR(__xludf.DUMMYFUNCTION("IF('Respuestas de formulario 1'!G653="""","""",IF(LEFT(REGEXREPLACE(TO_TEXT('Respuestas de formulario 1'!G653),""[^0-9]"",""""),2)=""54"",""+""&amp;REGEXREPLACE(TO_TEXT('Respuestas de formulario 1'!G653),""[^0-9]"",""""),""+54""&amp;REGEXREPLACE(TO_TEXT('Respuest"&amp;"as de formulario 1'!G653),""[^0-9]"","""")))"),"+543516351034")</f>
        <v>+543516351034</v>
      </c>
      <c r="H653" s="7">
        <f>'Respuestas de formulario 1'!S653</f>
        <v>2024</v>
      </c>
      <c r="I653" s="7" t="str">
        <f>IFERROR(__xludf.DUMMYFUNCTION("IF('Respuestas de formulario 1'!I653="""","""",TO_TEXT('Respuestas de formulario 1'!I653))"),"Obra social")</f>
        <v>Obra social</v>
      </c>
      <c r="J653" s="7" t="str">
        <f>IFERROR(__xludf.DUMMYFUNCTION("IF('Respuestas de formulario 1'!J653&lt;&gt;"""",UPPER(TRIM(TO_TEXT('Respuestas de formulario 1'!J653))),IF('Respuestas de formulario 1'!O653&lt;&gt;"""",UPPER(TRIM(TO_TEXT('Respuestas de formulario 1'!O653))),""""))"),"BOREAL")</f>
        <v>BOREAL</v>
      </c>
      <c r="K653" s="7" t="str">
        <f>IFERROR(__xludf.DUMMYFUNCTION("IF('Respuestas de formulario 1'!K653="""","""",TO_TEXT('Respuestas de formulario 1'!K653))"),"No")</f>
        <v>No</v>
      </c>
      <c r="L653" s="7" t="str">
        <f>IFERROR(__xludf.DUMMYFUNCTION("IF('Respuestas de formulario 1'!L653="""","""",TO_TEXT('Respuestas de formulario 1'!L653))"),"")</f>
        <v/>
      </c>
      <c r="M653" s="7" t="str">
        <f>IFERROR(__xludf.DUMMYFUNCTION("IF('Respuestas de formulario 1'!M653="""","""",TO_TEXT('Respuestas de formulario 1'!M653))"),"")</f>
        <v/>
      </c>
      <c r="N653" s="7">
        <f t="shared" si="1"/>
        <v>2024</v>
      </c>
      <c r="O653" s="7" t="str">
        <f t="shared" si="2"/>
        <v>agosto</v>
      </c>
      <c r="P653" s="7" t="s">
        <v>5490</v>
      </c>
    </row>
    <row r="654">
      <c r="A654" s="19">
        <f>'Respuestas de formulario 1'!A654</f>
        <v>45518.78521</v>
      </c>
      <c r="B654" s="7" t="str">
        <f>'Respuestas de formulario 1'!B654</f>
        <v>Bohogu</v>
      </c>
      <c r="C654" s="7" t="str">
        <f>'Respuestas de formulario 1'!C654</f>
        <v>Martin</v>
      </c>
      <c r="D654" s="7" t="str">
        <f>'Respuestas de formulario 1'!D654</f>
        <v/>
      </c>
      <c r="E654" s="20">
        <f>'Respuestas de formulario 1'!E654</f>
        <v>39455</v>
      </c>
      <c r="F654" s="7">
        <f>'Respuestas de formulario 1'!F654</f>
        <v>48123890</v>
      </c>
      <c r="G654" s="7" t="str">
        <f>IFERROR(__xludf.DUMMYFUNCTION("IF('Respuestas de formulario 1'!G654="""","""",IF(LEFT(REGEXREPLACE(TO_TEXT('Respuestas de formulario 1'!G654),""[^0-9]"",""""),2)=""54"",""+""&amp;REGEXREPLACE(TO_TEXT('Respuestas de formulario 1'!G654),""[^0-9]"",""""),""+54""&amp;REGEXREPLACE(TO_TEXT('Respuest"&amp;"as de formulario 1'!G654),""[^0-9]"","""")))"),"+543516826804")</f>
        <v>+543516826804</v>
      </c>
      <c r="H654" s="7">
        <f>'Respuestas de formulario 1'!S654</f>
        <v>2024</v>
      </c>
      <c r="I654" s="7" t="str">
        <f>IFERROR(__xludf.DUMMYFUNCTION("IF('Respuestas de formulario 1'!I654="""","""",TO_TEXT('Respuestas de formulario 1'!I654))"),"Particular")</f>
        <v>Particular</v>
      </c>
      <c r="J654" s="7" t="str">
        <f>IFERROR(__xludf.DUMMYFUNCTION("IF('Respuestas de formulario 1'!J654&lt;&gt;"""",UPPER(TRIM(TO_TEXT('Respuestas de formulario 1'!J654))),IF('Respuestas de formulario 1'!O654&lt;&gt;"""",UPPER(TRIM(TO_TEXT('Respuestas de formulario 1'!O654))),""""))"),"")</f>
        <v/>
      </c>
      <c r="K654" s="7" t="str">
        <f>IFERROR(__xludf.DUMMYFUNCTION("IF('Respuestas de formulario 1'!K654="""","""",TO_TEXT('Respuestas de formulario 1'!K654))"),"Si")</f>
        <v>Si</v>
      </c>
      <c r="L654" s="7" t="str">
        <f>IFERROR(__xludf.DUMMYFUNCTION("IF('Respuestas de formulario 1'!L654="""","""",TO_TEXT('Respuestas de formulario 1'!L654))"),"Fútbol")</f>
        <v>Fútbol</v>
      </c>
      <c r="M654" s="7" t="str">
        <f>IFERROR(__xludf.DUMMYFUNCTION("IF('Respuestas de formulario 1'!M654="""","""",TO_TEXT('Respuestas de formulario 1'!M654))"),"3 a 5 veces por semana")</f>
        <v>3 a 5 veces por semana</v>
      </c>
      <c r="N654" s="7">
        <f t="shared" si="1"/>
        <v>2024</v>
      </c>
      <c r="O654" s="7" t="str">
        <f t="shared" si="2"/>
        <v>agosto</v>
      </c>
      <c r="P654" s="7" t="s">
        <v>5492</v>
      </c>
    </row>
    <row r="655">
      <c r="A655" s="19">
        <f>'Respuestas de formulario 1'!A655</f>
        <v>45519.56915</v>
      </c>
      <c r="B655" s="7" t="str">
        <f>'Respuestas de formulario 1'!B655</f>
        <v>Nuñez </v>
      </c>
      <c r="C655" s="7" t="str">
        <f>'Respuestas de formulario 1'!C655</f>
        <v>Alejandra Verónica </v>
      </c>
      <c r="D655" s="7" t="str">
        <f>'Respuestas de formulario 1'!D655</f>
        <v>ale-veronunez@hotmail.com</v>
      </c>
      <c r="E655" s="20">
        <f>'Respuestas de formulario 1'!E655</f>
        <v>26136</v>
      </c>
      <c r="F655" s="7">
        <f>'Respuestas de formulario 1'!F655</f>
        <v>22224815</v>
      </c>
      <c r="G655" s="7" t="str">
        <f>IFERROR(__xludf.DUMMYFUNCTION("IF('Respuestas de formulario 1'!G655="""","""",IF(LEFT(REGEXREPLACE(TO_TEXT('Respuestas de formulario 1'!G655),""[^0-9]"",""""),2)=""54"",""+""&amp;REGEXREPLACE(TO_TEXT('Respuestas de formulario 1'!G655),""[^0-9]"",""""),""+54""&amp;REGEXREPLACE(TO_TEXT('Respuest"&amp;"as de formulario 1'!G655),""[^0-9]"","""")))"),"+543512242987")</f>
        <v>+543512242987</v>
      </c>
      <c r="H655" s="7">
        <f>'Respuestas de formulario 1'!S655</f>
        <v>2024</v>
      </c>
      <c r="I655" s="7" t="str">
        <f>IFERROR(__xludf.DUMMYFUNCTION("IF('Respuestas de formulario 1'!I655="""","""",TO_TEXT('Respuestas de formulario 1'!I655))"),"Obra social")</f>
        <v>Obra social</v>
      </c>
      <c r="J655" s="7" t="str">
        <f>IFERROR(__xludf.DUMMYFUNCTION("IF('Respuestas de formulario 1'!J655&lt;&gt;"""",UPPER(TRIM(TO_TEXT('Respuestas de formulario 1'!J655))),IF('Respuestas de formulario 1'!O655&lt;&gt;"""",UPPER(TRIM(TO_TEXT('Respuestas de formulario 1'!O655))),""""))"),"BOREAL MAGNUM")</f>
        <v>BOREAL MAGNUM</v>
      </c>
      <c r="K655" s="7" t="str">
        <f>IFERROR(__xludf.DUMMYFUNCTION("IF('Respuestas de formulario 1'!K655="""","""",TO_TEXT('Respuestas de formulario 1'!K655))"),"No")</f>
        <v>No</v>
      </c>
      <c r="L655" s="7" t="str">
        <f>IFERROR(__xludf.DUMMYFUNCTION("IF('Respuestas de formulario 1'!L655="""","""",TO_TEXT('Respuestas de formulario 1'!L655))"),"")</f>
        <v/>
      </c>
      <c r="M655" s="7" t="str">
        <f>IFERROR(__xludf.DUMMYFUNCTION("IF('Respuestas de formulario 1'!M655="""","""",TO_TEXT('Respuestas de formulario 1'!M655))"),"")</f>
        <v/>
      </c>
      <c r="N655" s="7">
        <f t="shared" si="1"/>
        <v>2024</v>
      </c>
      <c r="O655" s="7" t="str">
        <f t="shared" si="2"/>
        <v>agosto</v>
      </c>
      <c r="P655" s="7" t="s">
        <v>5494</v>
      </c>
    </row>
    <row r="656">
      <c r="A656" s="19">
        <f>'Respuestas de formulario 1'!A656</f>
        <v>45519.79601</v>
      </c>
      <c r="B656" s="7" t="str">
        <f>'Respuestas de formulario 1'!B656</f>
        <v>Ande</v>
      </c>
      <c r="C656" s="7" t="str">
        <f>'Respuestas de formulario 1'!C656</f>
        <v>Valentin</v>
      </c>
      <c r="D656" s="7" t="str">
        <f>'Respuestas de formulario 1'!D656</f>
        <v>valentinande8@gmail.com</v>
      </c>
      <c r="E656" s="20">
        <f>'Respuestas de formulario 1'!E656</f>
        <v>38322</v>
      </c>
      <c r="F656" s="7">
        <f>'Respuestas de formulario 1'!F656</f>
        <v>46032852</v>
      </c>
      <c r="G656" s="7" t="str">
        <f>IFERROR(__xludf.DUMMYFUNCTION("IF('Respuestas de formulario 1'!G656="""","""",IF(LEFT(REGEXREPLACE(TO_TEXT('Respuestas de formulario 1'!G656),""[^0-9]"",""""),2)=""54"",""+""&amp;REGEXREPLACE(TO_TEXT('Respuestas de formulario 1'!G656),""[^0-9]"",""""),""+54""&amp;REGEXREPLACE(TO_TEXT('Respuest"&amp;"as de formulario 1'!G656),""[^0-9]"","""")))"),"+543517370378")</f>
        <v>+543517370378</v>
      </c>
      <c r="H656" s="7">
        <f>'Respuestas de formulario 1'!S656</f>
        <v>2024</v>
      </c>
      <c r="I656" s="7" t="str">
        <f>IFERROR(__xludf.DUMMYFUNCTION("IF('Respuestas de formulario 1'!I656="""","""",TO_TEXT('Respuestas de formulario 1'!I656))"),"Particular")</f>
        <v>Particular</v>
      </c>
      <c r="J656" s="7" t="str">
        <f>IFERROR(__xludf.DUMMYFUNCTION("IF('Respuestas de formulario 1'!J656&lt;&gt;"""",UPPER(TRIM(TO_TEXT('Respuestas de formulario 1'!J656))),IF('Respuestas de formulario 1'!O656&lt;&gt;"""",UPPER(TRIM(TO_TEXT('Respuestas de formulario 1'!O656))),""""))"),"")</f>
        <v/>
      </c>
      <c r="K656" s="7" t="str">
        <f>IFERROR(__xludf.DUMMYFUNCTION("IF('Respuestas de formulario 1'!K656="""","""",TO_TEXT('Respuestas de formulario 1'!K656))"),"Si")</f>
        <v>Si</v>
      </c>
      <c r="L656" s="7" t="str">
        <f>IFERROR(__xludf.DUMMYFUNCTION("IF('Respuestas de formulario 1'!L656="""","""",TO_TEXT('Respuestas de formulario 1'!L656))"),"Gimnasio")</f>
        <v>Gimnasio</v>
      </c>
      <c r="M656" s="7" t="str">
        <f>IFERROR(__xludf.DUMMYFUNCTION("IF('Respuestas de formulario 1'!M656="""","""",TO_TEXT('Respuestas de formulario 1'!M656))"),"3 a 5 veces por semana")</f>
        <v>3 a 5 veces por semana</v>
      </c>
      <c r="N656" s="7">
        <f t="shared" si="1"/>
        <v>2024</v>
      </c>
      <c r="O656" s="7" t="str">
        <f t="shared" si="2"/>
        <v>agosto</v>
      </c>
      <c r="P656" s="7" t="s">
        <v>5496</v>
      </c>
    </row>
    <row r="657">
      <c r="A657" s="19">
        <f>'Respuestas de formulario 1'!A657</f>
        <v>45520.47944</v>
      </c>
      <c r="B657" s="7" t="str">
        <f>'Respuestas de formulario 1'!B657</f>
        <v>SESIN</v>
      </c>
      <c r="C657" s="7" t="str">
        <f>'Respuestas de formulario 1'!C657</f>
        <v>Dante</v>
      </c>
      <c r="D657" s="7" t="str">
        <f>'Respuestas de formulario 1'!D657</f>
        <v>-</v>
      </c>
      <c r="E657" s="20">
        <f>'Respuestas de formulario 1'!E657</f>
        <v>13270</v>
      </c>
      <c r="F657" s="7">
        <f>'Respuestas de formulario 1'!F657</f>
        <v>7176771</v>
      </c>
      <c r="G657" s="7" t="str">
        <f>IFERROR(__xludf.DUMMYFUNCTION("IF('Respuestas de formulario 1'!G657="""","""",IF(LEFT(REGEXREPLACE(TO_TEXT('Respuestas de formulario 1'!G657),""[^0-9]"",""""),2)=""54"",""+""&amp;REGEXREPLACE(TO_TEXT('Respuestas de formulario 1'!G657),""[^0-9]"",""""),""+54""&amp;REGEXREPLACE(TO_TEXT('Respuest"&amp;"as de formulario 1'!G657),""[^0-9]"","""")))"),"+543515087917")</f>
        <v>+543515087917</v>
      </c>
      <c r="H657" s="7">
        <f>'Respuestas de formulario 1'!S657</f>
        <v>2024</v>
      </c>
      <c r="I657" s="7" t="str">
        <f>IFERROR(__xludf.DUMMYFUNCTION("IF('Respuestas de formulario 1'!I657="""","""",TO_TEXT('Respuestas de formulario 1'!I657))"),"Particular")</f>
        <v>Particular</v>
      </c>
      <c r="J657" s="7" t="str">
        <f>IFERROR(__xludf.DUMMYFUNCTION("IF('Respuestas de formulario 1'!J657&lt;&gt;"""",UPPER(TRIM(TO_TEXT('Respuestas de formulario 1'!J657))),IF('Respuestas de formulario 1'!O657&lt;&gt;"""",UPPER(TRIM(TO_TEXT('Respuestas de formulario 1'!O657))),""""))"),"")</f>
        <v/>
      </c>
      <c r="K657" s="7" t="str">
        <f>IFERROR(__xludf.DUMMYFUNCTION("IF('Respuestas de formulario 1'!K657="""","""",TO_TEXT('Respuestas de formulario 1'!K657))"),"Si")</f>
        <v>Si</v>
      </c>
      <c r="L657" s="7" t="str">
        <f>IFERROR(__xludf.DUMMYFUNCTION("IF('Respuestas de formulario 1'!L657="""","""",TO_TEXT('Respuestas de formulario 1'!L657))"),"Gimnasio")</f>
        <v>Gimnasio</v>
      </c>
      <c r="M657" s="7" t="str">
        <f>IFERROR(__xludf.DUMMYFUNCTION("IF('Respuestas de formulario 1'!M657="""","""",TO_TEXT('Respuestas de formulario 1'!M657))"),"3 a 5 veces por semana")</f>
        <v>3 a 5 veces por semana</v>
      </c>
      <c r="N657" s="7">
        <f t="shared" si="1"/>
        <v>2024</v>
      </c>
      <c r="O657" s="7" t="str">
        <f t="shared" si="2"/>
        <v>agosto</v>
      </c>
      <c r="P657" s="7" t="s">
        <v>5498</v>
      </c>
    </row>
    <row r="658">
      <c r="A658" s="19">
        <f>'Respuestas de formulario 1'!A658</f>
        <v>45520.59028</v>
      </c>
      <c r="B658" s="7" t="str">
        <f>'Respuestas de formulario 1'!B658</f>
        <v>Carranza </v>
      </c>
      <c r="C658" s="7" t="str">
        <f>'Respuestas de formulario 1'!C658</f>
        <v>Brenda</v>
      </c>
      <c r="D658" s="7" t="str">
        <f>'Respuestas de formulario 1'!D658</f>
        <v>brendacarranza318@gmail.com</v>
      </c>
      <c r="E658" s="20">
        <f>'Respuestas de formulario 1'!E658</f>
        <v>34063</v>
      </c>
      <c r="F658" s="7">
        <f>'Respuestas de formulario 1'!F658</f>
        <v>36430931</v>
      </c>
      <c r="G658" s="7" t="str">
        <f>IFERROR(__xludf.DUMMYFUNCTION("IF('Respuestas de formulario 1'!G658="""","""",IF(LEFT(REGEXREPLACE(TO_TEXT('Respuestas de formulario 1'!G658),""[^0-9]"",""""),2)=""54"",""+""&amp;REGEXREPLACE(TO_TEXT('Respuestas de formulario 1'!G658),""[^0-9]"",""""),""+54""&amp;REGEXREPLACE(TO_TEXT('Respuest"&amp;"as de formulario 1'!G658),""[^0-9]"","""")))"),"+543513338526")</f>
        <v>+543513338526</v>
      </c>
      <c r="H658" s="7">
        <f>'Respuestas de formulario 1'!S658</f>
        <v>2024</v>
      </c>
      <c r="I658" s="7" t="str">
        <f>IFERROR(__xludf.DUMMYFUNCTION("IF('Respuestas de formulario 1'!I658="""","""",TO_TEXT('Respuestas de formulario 1'!I658))"),"Obra social")</f>
        <v>Obra social</v>
      </c>
      <c r="J658" s="7" t="str">
        <f>IFERROR(__xludf.DUMMYFUNCTION("IF('Respuestas de formulario 1'!J658&lt;&gt;"""",UPPER(TRIM(TO_TEXT('Respuestas de formulario 1'!J658))),IF('Respuestas de formulario 1'!O658&lt;&gt;"""",UPPER(TRIM(TO_TEXT('Respuestas de formulario 1'!O658))),""""))"),"BOREAL")</f>
        <v>BOREAL</v>
      </c>
      <c r="K658" s="7" t="str">
        <f>IFERROR(__xludf.DUMMYFUNCTION("IF('Respuestas de formulario 1'!K658="""","""",TO_TEXT('Respuestas de formulario 1'!K658))"),"Si")</f>
        <v>Si</v>
      </c>
      <c r="L658" s="7" t="str">
        <f>IFERROR(__xludf.DUMMYFUNCTION("IF('Respuestas de formulario 1'!L658="""","""",TO_TEXT('Respuestas de formulario 1'!L658))"),"Fútbol")</f>
        <v>Fútbol</v>
      </c>
      <c r="M658" s="7" t="str">
        <f>IFERROR(__xludf.DUMMYFUNCTION("IF('Respuestas de formulario 1'!M658="""","""",TO_TEXT('Respuestas de formulario 1'!M658))"),"3 a 5 veces por semana")</f>
        <v>3 a 5 veces por semana</v>
      </c>
      <c r="N658" s="7">
        <f t="shared" si="1"/>
        <v>2024</v>
      </c>
      <c r="O658" s="7" t="str">
        <f t="shared" si="2"/>
        <v>agosto</v>
      </c>
      <c r="P658" s="7" t="s">
        <v>5500</v>
      </c>
    </row>
    <row r="659">
      <c r="A659" s="19">
        <f>'Respuestas de formulario 1'!A659</f>
        <v>45525.81679</v>
      </c>
      <c r="B659" s="7" t="str">
        <f>'Respuestas de formulario 1'!B659</f>
        <v>Micelli</v>
      </c>
      <c r="C659" s="7" t="str">
        <f>'Respuestas de formulario 1'!C659</f>
        <v>Claudio </v>
      </c>
      <c r="D659" s="7" t="str">
        <f>'Respuestas de formulario 1'!D659</f>
        <v>Claudiomicelli@crystalcord.com.ar</v>
      </c>
      <c r="E659" s="20">
        <f>'Respuestas de formulario 1'!E659</f>
        <v>23507</v>
      </c>
      <c r="F659" s="7">
        <f>'Respuestas de formulario 1'!F659</f>
        <v>16</v>
      </c>
      <c r="G659" s="7" t="str">
        <f>IFERROR(__xludf.DUMMYFUNCTION("IF('Respuestas de formulario 1'!G659="""","""",IF(LEFT(REGEXREPLACE(TO_TEXT('Respuestas de formulario 1'!G659),""[^0-9]"",""""),2)=""54"",""+""&amp;REGEXREPLACE(TO_TEXT('Respuestas de formulario 1'!G659),""[^0-9]"",""""),""+54""&amp;REGEXREPLACE(TO_TEXT('Respuest"&amp;"as de formulario 1'!G659),""[^0-9]"","""")))"),"+543515190577")</f>
        <v>+543515190577</v>
      </c>
      <c r="H659" s="7">
        <f>'Respuestas de formulario 1'!S659</f>
        <v>2024</v>
      </c>
      <c r="I659" s="7" t="str">
        <f>IFERROR(__xludf.DUMMYFUNCTION("IF('Respuestas de formulario 1'!I659="""","""",TO_TEXT('Respuestas de formulario 1'!I659))"),"Obra social")</f>
        <v>Obra social</v>
      </c>
      <c r="J659" s="7" t="str">
        <f>IFERROR(__xludf.DUMMYFUNCTION("IF('Respuestas de formulario 1'!J659&lt;&gt;"""",UPPER(TRIM(TO_TEXT('Respuestas de formulario 1'!J659))),IF('Respuestas de formulario 1'!O659&lt;&gt;"""",UPPER(TRIM(TO_TEXT('Respuestas de formulario 1'!O659))),""""))"),"")</f>
        <v/>
      </c>
      <c r="K659" s="7" t="str">
        <f>IFERROR(__xludf.DUMMYFUNCTION("IF('Respuestas de formulario 1'!K659="""","""",TO_TEXT('Respuestas de formulario 1'!K659))"),"No")</f>
        <v>No</v>
      </c>
      <c r="L659" s="7" t="str">
        <f>IFERROR(__xludf.DUMMYFUNCTION("IF('Respuestas de formulario 1'!L659="""","""",TO_TEXT('Respuestas de formulario 1'!L659))"),"")</f>
        <v/>
      </c>
      <c r="M659" s="7" t="str">
        <f>IFERROR(__xludf.DUMMYFUNCTION("IF('Respuestas de formulario 1'!M659="""","""",TO_TEXT('Respuestas de formulario 1'!M659))"),"")</f>
        <v/>
      </c>
      <c r="N659" s="7">
        <f t="shared" si="1"/>
        <v>2024</v>
      </c>
      <c r="O659" s="7" t="str">
        <f t="shared" si="2"/>
        <v>agosto</v>
      </c>
      <c r="P659" s="7" t="s">
        <v>5502</v>
      </c>
    </row>
    <row r="660">
      <c r="A660" s="19">
        <f>'Respuestas de formulario 1'!A660</f>
        <v>45525.8214</v>
      </c>
      <c r="B660" s="7" t="str">
        <f>'Respuestas de formulario 1'!B660</f>
        <v>Ruano</v>
      </c>
      <c r="C660" s="7" t="str">
        <f>'Respuestas de formulario 1'!C660</f>
        <v>Antonella</v>
      </c>
      <c r="D660" s="7" t="str">
        <f>'Respuestas de formulario 1'!D660</f>
        <v>aruanogomez@gmail.com</v>
      </c>
      <c r="E660" s="20">
        <f>'Respuestas de formulario 1'!E660</f>
        <v>35994</v>
      </c>
      <c r="F660" s="7">
        <f>'Respuestas de formulario 1'!F660</f>
        <v>41410070</v>
      </c>
      <c r="G660" s="7" t="str">
        <f>IFERROR(__xludf.DUMMYFUNCTION("IF('Respuestas de formulario 1'!G660="""","""",IF(LEFT(REGEXREPLACE(TO_TEXT('Respuestas de formulario 1'!G660),""[^0-9]"",""""),2)=""54"",""+""&amp;REGEXREPLACE(TO_TEXT('Respuestas de formulario 1'!G660),""[^0-9]"",""""),""+54""&amp;REGEXREPLACE(TO_TEXT('Respuest"&amp;"as de formulario 1'!G660),""[^0-9]"","""")))"),"+543513143334")</f>
        <v>+543513143334</v>
      </c>
      <c r="H660" s="7">
        <f>'Respuestas de formulario 1'!S660</f>
        <v>2024</v>
      </c>
      <c r="I660" s="7" t="str">
        <f>IFERROR(__xludf.DUMMYFUNCTION("IF('Respuestas de formulario 1'!I660="""","""",TO_TEXT('Respuestas de formulario 1'!I660))"),"Obra social")</f>
        <v>Obra social</v>
      </c>
      <c r="J660" s="7" t="str">
        <f>IFERROR(__xludf.DUMMYFUNCTION("IF('Respuestas de formulario 1'!J660&lt;&gt;"""",UPPER(TRIM(TO_TEXT('Respuestas de formulario 1'!J660))),IF('Respuestas de formulario 1'!O660&lt;&gt;"""",UPPER(TRIM(TO_TEXT('Respuestas de formulario 1'!O660))),""""))"),"MEDIFE")</f>
        <v>MEDIFE</v>
      </c>
      <c r="K660" s="7" t="str">
        <f>IFERROR(__xludf.DUMMYFUNCTION("IF('Respuestas de formulario 1'!K660="""","""",TO_TEXT('Respuestas de formulario 1'!K660))"),"Si")</f>
        <v>Si</v>
      </c>
      <c r="L660" s="7" t="str">
        <f>IFERROR(__xludf.DUMMYFUNCTION("IF('Respuestas de formulario 1'!L660="""","""",TO_TEXT('Respuestas de formulario 1'!L660))"),"Gimnasio")</f>
        <v>Gimnasio</v>
      </c>
      <c r="M660" s="7" t="str">
        <f>IFERROR(__xludf.DUMMYFUNCTION("IF('Respuestas de formulario 1'!M660="""","""",TO_TEXT('Respuestas de formulario 1'!M660))"),"3 a 5 veces por semana")</f>
        <v>3 a 5 veces por semana</v>
      </c>
      <c r="N660" s="7">
        <f t="shared" si="1"/>
        <v>2024</v>
      </c>
      <c r="O660" s="7" t="str">
        <f t="shared" si="2"/>
        <v>agosto</v>
      </c>
      <c r="P660" s="7" t="s">
        <v>5504</v>
      </c>
    </row>
    <row r="661">
      <c r="A661" s="19">
        <f>'Respuestas de formulario 1'!A661</f>
        <v>45526.60736</v>
      </c>
      <c r="B661" s="7" t="str">
        <f>'Respuestas de formulario 1'!B661</f>
        <v>Macchiavello </v>
      </c>
      <c r="C661" s="7" t="str">
        <f>'Respuestas de formulario 1'!C661</f>
        <v>Rosario</v>
      </c>
      <c r="D661" s="7" t="str">
        <f>'Respuestas de formulario 1'!D661</f>
        <v>Rosariomacch@gmail.com</v>
      </c>
      <c r="E661" s="20">
        <f>'Respuestas de formulario 1'!E661</f>
        <v>32572</v>
      </c>
      <c r="F661" s="7">
        <f>'Respuestas de formulario 1'!F661</f>
        <v>34454594</v>
      </c>
      <c r="G661" s="7" t="str">
        <f>IFERROR(__xludf.DUMMYFUNCTION("IF('Respuestas de formulario 1'!G661="""","""",IF(LEFT(REGEXREPLACE(TO_TEXT('Respuestas de formulario 1'!G661),""[^0-9]"",""""),2)=""54"",""+""&amp;REGEXREPLACE(TO_TEXT('Respuestas de formulario 1'!G661),""[^0-9]"",""""),""+54""&amp;REGEXREPLACE(TO_TEXT('Respuest"&amp;"as de formulario 1'!G661),""[^0-9]"","""")))"),"+541149797102")</f>
        <v>+541149797102</v>
      </c>
      <c r="H661" s="7">
        <f>'Respuestas de formulario 1'!S661</f>
        <v>2024</v>
      </c>
      <c r="I661" s="7" t="str">
        <f>IFERROR(__xludf.DUMMYFUNCTION("IF('Respuestas de formulario 1'!I661="""","""",TO_TEXT('Respuestas de formulario 1'!I661))"),"Particular")</f>
        <v>Particular</v>
      </c>
      <c r="J661" s="7" t="str">
        <f>IFERROR(__xludf.DUMMYFUNCTION("IF('Respuestas de formulario 1'!J661&lt;&gt;"""",UPPER(TRIM(TO_TEXT('Respuestas de formulario 1'!J661))),IF('Respuestas de formulario 1'!O661&lt;&gt;"""",UPPER(TRIM(TO_TEXT('Respuestas de formulario 1'!O661))),""""))"),"")</f>
        <v/>
      </c>
      <c r="K661" s="7" t="str">
        <f>IFERROR(__xludf.DUMMYFUNCTION("IF('Respuestas de formulario 1'!K661="""","""",TO_TEXT('Respuestas de formulario 1'!K661))"),"Si")</f>
        <v>Si</v>
      </c>
      <c r="L661" s="7" t="str">
        <f>IFERROR(__xludf.DUMMYFUNCTION("IF('Respuestas de formulario 1'!L661="""","""",TO_TEXT('Respuestas de formulario 1'!L661))"),"Padel ")</f>
        <v>Padel </v>
      </c>
      <c r="M661" s="7" t="str">
        <f>IFERROR(__xludf.DUMMYFUNCTION("IF('Respuestas de formulario 1'!M661="""","""",TO_TEXT('Respuestas de formulario 1'!M661))"),"1 a 2 veces por semana")</f>
        <v>1 a 2 veces por semana</v>
      </c>
      <c r="N661" s="7">
        <f t="shared" si="1"/>
        <v>2024</v>
      </c>
      <c r="O661" s="7" t="str">
        <f t="shared" si="2"/>
        <v>agosto</v>
      </c>
      <c r="P661" s="7" t="s">
        <v>5506</v>
      </c>
    </row>
    <row r="662">
      <c r="A662" s="19">
        <f>'Respuestas de formulario 1'!A662</f>
        <v>45527.51688</v>
      </c>
      <c r="B662" s="7" t="str">
        <f>'Respuestas de formulario 1'!B662</f>
        <v>Acevedo</v>
      </c>
      <c r="C662" s="7" t="str">
        <f>'Respuestas de formulario 1'!C662</f>
        <v>Griselda Del Valle</v>
      </c>
      <c r="D662" s="7" t="str">
        <f>'Respuestas de formulario 1'!D662</f>
        <v>Lagordabella_454@hotmsil.com</v>
      </c>
      <c r="E662" s="20">
        <f>'Respuestas de formulario 1'!E662</f>
        <v>24544</v>
      </c>
      <c r="F662" s="21">
        <f>'Respuestas de formulario 1'!F662</f>
        <v>18176566</v>
      </c>
      <c r="G662" s="7" t="str">
        <f>IFERROR(__xludf.DUMMYFUNCTION("IF('Respuestas de formulario 1'!G662="""","""",IF(LEFT(REGEXREPLACE(TO_TEXT('Respuestas de formulario 1'!G662),""[^0-9]"",""""),2)=""54"",""+""&amp;REGEXREPLACE(TO_TEXT('Respuestas de formulario 1'!G662),""[^0-9]"",""""),""+54""&amp;REGEXREPLACE(TO_TEXT('Respuest"&amp;"as de formulario 1'!G662),""[^0-9]"","""")))"),"+543516077026")</f>
        <v>+543516077026</v>
      </c>
      <c r="H662" s="7">
        <f>'Respuestas de formulario 1'!S662</f>
        <v>2024</v>
      </c>
      <c r="I662" s="7" t="str">
        <f>IFERROR(__xludf.DUMMYFUNCTION("IF('Respuestas de formulario 1'!I662="""","""",TO_TEXT('Respuestas de formulario 1'!I662))"),"Particular")</f>
        <v>Particular</v>
      </c>
      <c r="J662" s="7" t="str">
        <f>IFERROR(__xludf.DUMMYFUNCTION("IF('Respuestas de formulario 1'!J662&lt;&gt;"""",UPPER(TRIM(TO_TEXT('Respuestas de formulario 1'!J662))),IF('Respuestas de formulario 1'!O662&lt;&gt;"""",UPPER(TRIM(TO_TEXT('Respuestas de formulario 1'!O662))),""""))"),"")</f>
        <v/>
      </c>
      <c r="K662" s="7" t="str">
        <f>IFERROR(__xludf.DUMMYFUNCTION("IF('Respuestas de formulario 1'!K662="""","""",TO_TEXT('Respuestas de formulario 1'!K662))"),"No")</f>
        <v>No</v>
      </c>
      <c r="L662" s="7" t="str">
        <f>IFERROR(__xludf.DUMMYFUNCTION("IF('Respuestas de formulario 1'!L662="""","""",TO_TEXT('Respuestas de formulario 1'!L662))"),"")</f>
        <v/>
      </c>
      <c r="M662" s="7" t="str">
        <f>IFERROR(__xludf.DUMMYFUNCTION("IF('Respuestas de formulario 1'!M662="""","""",TO_TEXT('Respuestas de formulario 1'!M662))"),"")</f>
        <v/>
      </c>
      <c r="N662" s="7">
        <f t="shared" si="1"/>
        <v>2024</v>
      </c>
      <c r="O662" s="7" t="str">
        <f t="shared" si="2"/>
        <v>agosto</v>
      </c>
      <c r="P662" s="7" t="s">
        <v>5508</v>
      </c>
    </row>
    <row r="663">
      <c r="A663" s="19">
        <f>'Respuestas de formulario 1'!A663</f>
        <v>45530.92627</v>
      </c>
      <c r="B663" s="7" t="str">
        <f>'Respuestas de formulario 1'!B663</f>
        <v>Dastolfo</v>
      </c>
      <c r="C663" s="7" t="str">
        <f>'Respuestas de formulario 1'!C663</f>
        <v>Gisela Marisa</v>
      </c>
      <c r="D663" s="7" t="str">
        <f>'Respuestas de formulario 1'!D663</f>
        <v>gisedastolfo@gmail.com</v>
      </c>
      <c r="E663" s="20">
        <f>'Respuestas de formulario 1'!E663</f>
        <v>45508</v>
      </c>
      <c r="F663" s="7">
        <f>'Respuestas de formulario 1'!F663</f>
        <v>27077658</v>
      </c>
      <c r="G663" s="7" t="str">
        <f>IFERROR(__xludf.DUMMYFUNCTION("IF('Respuestas de formulario 1'!G663="""","""",IF(LEFT(REGEXREPLACE(TO_TEXT('Respuestas de formulario 1'!G663),""[^0-9]"",""""),2)=""54"",""+""&amp;REGEXREPLACE(TO_TEXT('Respuestas de formulario 1'!G663),""[^0-9]"",""""),""+54""&amp;REGEXREPLACE(TO_TEXT('Respuest"&amp;"as de formulario 1'!G663),""[^0-9]"","""")))"),"+543513854926")</f>
        <v>+543513854926</v>
      </c>
      <c r="H663" s="7">
        <f>'Respuestas de formulario 1'!S663</f>
        <v>2024</v>
      </c>
      <c r="I663" s="7" t="str">
        <f>IFERROR(__xludf.DUMMYFUNCTION("IF('Respuestas de formulario 1'!I663="""","""",TO_TEXT('Respuestas de formulario 1'!I663))"),"Obra social")</f>
        <v>Obra social</v>
      </c>
      <c r="J663" s="7" t="str">
        <f>IFERROR(__xludf.DUMMYFUNCTION("IF('Respuestas de formulario 1'!J663&lt;&gt;"""",UPPER(TRIM(TO_TEXT('Respuestas de formulario 1'!J663))),IF('Respuestas de formulario 1'!O663&lt;&gt;"""",UPPER(TRIM(TO_TEXT('Respuestas de formulario 1'!O663))),""""))"),"PREVENCIÓN")</f>
        <v>PREVENCIÓN</v>
      </c>
      <c r="K663" s="7" t="str">
        <f>IFERROR(__xludf.DUMMYFUNCTION("IF('Respuestas de formulario 1'!K663="""","""",TO_TEXT('Respuestas de formulario 1'!K663))"),"No")</f>
        <v>No</v>
      </c>
      <c r="L663" s="7" t="str">
        <f>IFERROR(__xludf.DUMMYFUNCTION("IF('Respuestas de formulario 1'!L663="""","""",TO_TEXT('Respuestas de formulario 1'!L663))"),"")</f>
        <v/>
      </c>
      <c r="M663" s="7" t="str">
        <f>IFERROR(__xludf.DUMMYFUNCTION("IF('Respuestas de formulario 1'!M663="""","""",TO_TEXT('Respuestas de formulario 1'!M663))"),"")</f>
        <v/>
      </c>
      <c r="N663" s="7">
        <f t="shared" si="1"/>
        <v>2024</v>
      </c>
      <c r="O663" s="7" t="str">
        <f t="shared" si="2"/>
        <v>agosto</v>
      </c>
      <c r="P663" s="7" t="s">
        <v>5510</v>
      </c>
    </row>
    <row r="664">
      <c r="A664" s="19">
        <f>'Respuestas de formulario 1'!A664</f>
        <v>45531.62041</v>
      </c>
      <c r="B664" s="7" t="str">
        <f>'Respuestas de formulario 1'!B664</f>
        <v>Dottori </v>
      </c>
      <c r="C664" s="7" t="str">
        <f>'Respuestas de formulario 1'!C664</f>
        <v>Santino </v>
      </c>
      <c r="D664" s="7" t="str">
        <f>'Respuestas de formulario 1'!D664</f>
        <v>sofianavasd@gmail.com</v>
      </c>
      <c r="E664" s="20">
        <f>'Respuestas de formulario 1'!E664</f>
        <v>39610</v>
      </c>
      <c r="F664" s="7">
        <f>'Respuestas de formulario 1'!F664</f>
        <v>47821471</v>
      </c>
      <c r="G664" s="7" t="str">
        <f>IFERROR(__xludf.DUMMYFUNCTION("IF('Respuestas de formulario 1'!G664="""","""",IF(LEFT(REGEXREPLACE(TO_TEXT('Respuestas de formulario 1'!G664),""[^0-9]"",""""),2)=""54"",""+""&amp;REGEXREPLACE(TO_TEXT('Respuestas de formulario 1'!G664),""[^0-9]"",""""),""+54""&amp;REGEXREPLACE(TO_TEXT('Respuest"&amp;"as de formulario 1'!G664),""[^0-9]"","""")))"),"+543516957798")</f>
        <v>+543516957798</v>
      </c>
      <c r="H664" s="7">
        <f>'Respuestas de formulario 1'!S664</f>
        <v>2024</v>
      </c>
      <c r="I664" s="7" t="str">
        <f>IFERROR(__xludf.DUMMYFUNCTION("IF('Respuestas de formulario 1'!I664="""","""",TO_TEXT('Respuestas de formulario 1'!I664))"),"Obra social")</f>
        <v>Obra social</v>
      </c>
      <c r="J664" s="7" t="str">
        <f>IFERROR(__xludf.DUMMYFUNCTION("IF('Respuestas de formulario 1'!J664&lt;&gt;"""",UPPER(TRIM(TO_TEXT('Respuestas de formulario 1'!J664))),IF('Respuestas de formulario 1'!O664&lt;&gt;"""",UPPER(TRIM(TO_TEXT('Respuestas de formulario 1'!O664))),""""))"),"FEDERADA SALUD")</f>
        <v>FEDERADA SALUD</v>
      </c>
      <c r="K664" s="7" t="str">
        <f>IFERROR(__xludf.DUMMYFUNCTION("IF('Respuestas de formulario 1'!K664="""","""",TO_TEXT('Respuestas de formulario 1'!K664))"),"Si")</f>
        <v>Si</v>
      </c>
      <c r="L664" s="7" t="str">
        <f>IFERROR(__xludf.DUMMYFUNCTION("IF('Respuestas de formulario 1'!L664="""","""",TO_TEXT('Respuestas de formulario 1'!L664))"),"Rugby")</f>
        <v>Rugby</v>
      </c>
      <c r="M664" s="7" t="str">
        <f>IFERROR(__xludf.DUMMYFUNCTION("IF('Respuestas de formulario 1'!M664="""","""",TO_TEXT('Respuestas de formulario 1'!M664))"),"3 a 5 veces por semana")</f>
        <v>3 a 5 veces por semana</v>
      </c>
      <c r="N664" s="7">
        <f t="shared" si="1"/>
        <v>2024</v>
      </c>
      <c r="O664" s="7" t="str">
        <f t="shared" si="2"/>
        <v>agosto</v>
      </c>
      <c r="P664" s="7" t="s">
        <v>5512</v>
      </c>
    </row>
    <row r="665">
      <c r="A665" s="19">
        <f>'Respuestas de formulario 1'!A665</f>
        <v>45531.6977</v>
      </c>
      <c r="B665" s="7" t="str">
        <f>'Respuestas de formulario 1'!B665</f>
        <v>Vargas</v>
      </c>
      <c r="C665" s="7" t="str">
        <f>'Respuestas de formulario 1'!C665</f>
        <v>Emiliano</v>
      </c>
      <c r="D665" s="7" t="str">
        <f>'Respuestas de formulario 1'!D665</f>
        <v>evargas@santander.com.ar</v>
      </c>
      <c r="E665" s="20">
        <f>'Respuestas de formulario 1'!E665</f>
        <v>31484</v>
      </c>
      <c r="F665" s="7">
        <f>'Respuestas de formulario 1'!F665</f>
        <v>32204018</v>
      </c>
      <c r="G665" s="7" t="str">
        <f>IFERROR(__xludf.DUMMYFUNCTION("IF('Respuestas de formulario 1'!G665="""","""",IF(LEFT(REGEXREPLACE(TO_TEXT('Respuestas de formulario 1'!G665),""[^0-9]"",""""),2)=""54"",""+""&amp;REGEXREPLACE(TO_TEXT('Respuestas de formulario 1'!G665),""[^0-9]"",""""),""+54""&amp;REGEXREPLACE(TO_TEXT('Respuest"&amp;"as de formulario 1'!G665),""[^0-9]"","""")))"),"+543512690651")</f>
        <v>+543512690651</v>
      </c>
      <c r="H665" s="7">
        <f>'Respuestas de formulario 1'!S665</f>
        <v>2024</v>
      </c>
      <c r="I665" s="7" t="str">
        <f>IFERROR(__xludf.DUMMYFUNCTION("IF('Respuestas de formulario 1'!I665="""","""",TO_TEXT('Respuestas de formulario 1'!I665))"),"Particular")</f>
        <v>Particular</v>
      </c>
      <c r="J665" s="7" t="str">
        <f>IFERROR(__xludf.DUMMYFUNCTION("IF('Respuestas de formulario 1'!J665&lt;&gt;"""",UPPER(TRIM(TO_TEXT('Respuestas de formulario 1'!J665))),IF('Respuestas de formulario 1'!O665&lt;&gt;"""",UPPER(TRIM(TO_TEXT('Respuestas de formulario 1'!O665))),""""))"),"")</f>
        <v/>
      </c>
      <c r="K665" s="7" t="str">
        <f>IFERROR(__xludf.DUMMYFUNCTION("IF('Respuestas de formulario 1'!K665="""","""",TO_TEXT('Respuestas de formulario 1'!K665))"),"Si")</f>
        <v>Si</v>
      </c>
      <c r="L665" s="7" t="str">
        <f>IFERROR(__xludf.DUMMYFUNCTION("IF('Respuestas de formulario 1'!L665="""","""",TO_TEXT('Respuestas de formulario 1'!L665))"),"Fútbol")</f>
        <v>Fútbol</v>
      </c>
      <c r="M665" s="7" t="str">
        <f>IFERROR(__xludf.DUMMYFUNCTION("IF('Respuestas de formulario 1'!M665="""","""",TO_TEXT('Respuestas de formulario 1'!M665))"),"3 a 5 veces por semana")</f>
        <v>3 a 5 veces por semana</v>
      </c>
      <c r="N665" s="7">
        <f t="shared" si="1"/>
        <v>2024</v>
      </c>
      <c r="O665" s="7" t="str">
        <f t="shared" si="2"/>
        <v>agosto</v>
      </c>
      <c r="P665" s="7" t="s">
        <v>5513</v>
      </c>
    </row>
    <row r="666">
      <c r="A666" s="19">
        <f>'Respuestas de formulario 1'!A666</f>
        <v>45531.75097</v>
      </c>
      <c r="B666" s="7" t="str">
        <f>'Respuestas de formulario 1'!B666</f>
        <v>Saurin</v>
      </c>
      <c r="C666" s="7" t="str">
        <f>'Respuestas de formulario 1'!C666</f>
        <v>Julieta</v>
      </c>
      <c r="D666" s="7" t="str">
        <f>'Respuestas de formulario 1'!D666</f>
        <v>juulisaurin@gmail.com</v>
      </c>
      <c r="E666" s="20">
        <f>'Respuestas de formulario 1'!E666</f>
        <v>32947</v>
      </c>
      <c r="F666" s="7">
        <f>'Respuestas de formulario 1'!F666</f>
        <v>35077134</v>
      </c>
      <c r="G666" s="7" t="str">
        <f>IFERROR(__xludf.DUMMYFUNCTION("IF('Respuestas de formulario 1'!G666="""","""",IF(LEFT(REGEXREPLACE(TO_TEXT('Respuestas de formulario 1'!G666),""[^0-9]"",""""),2)=""54"",""+""&amp;REGEXREPLACE(TO_TEXT('Respuestas de formulario 1'!G666),""[^0-9]"",""""),""+54""&amp;REGEXREPLACE(TO_TEXT('Respuest"&amp;"as de formulario 1'!G666),""[^0-9]"","""")))"),"+543512769374")</f>
        <v>+543512769374</v>
      </c>
      <c r="H666" s="7">
        <f>'Respuestas de formulario 1'!S666</f>
        <v>2024</v>
      </c>
      <c r="I666" s="7" t="str">
        <f>IFERROR(__xludf.DUMMYFUNCTION("IF('Respuestas de formulario 1'!I666="""","""",TO_TEXT('Respuestas de formulario 1'!I666))"),"Obra social")</f>
        <v>Obra social</v>
      </c>
      <c r="J666" s="7" t="str">
        <f>IFERROR(__xludf.DUMMYFUNCTION("IF('Respuestas de formulario 1'!J666&lt;&gt;"""",UPPER(TRIM(TO_TEXT('Respuestas de formulario 1'!J666))),IF('Respuestas de formulario 1'!O666&lt;&gt;"""",UPPER(TRIM(TO_TEXT('Respuestas de formulario 1'!O666))),""""))"),"SANCOR")</f>
        <v>SANCOR</v>
      </c>
      <c r="K666" s="7" t="str">
        <f>IFERROR(__xludf.DUMMYFUNCTION("IF('Respuestas de formulario 1'!K666="""","""",TO_TEXT('Respuestas de formulario 1'!K666))"),"No")</f>
        <v>No</v>
      </c>
      <c r="L666" s="7" t="str">
        <f>IFERROR(__xludf.DUMMYFUNCTION("IF('Respuestas de formulario 1'!L666="""","""",TO_TEXT('Respuestas de formulario 1'!L666))"),"")</f>
        <v/>
      </c>
      <c r="M666" s="7" t="str">
        <f>IFERROR(__xludf.DUMMYFUNCTION("IF('Respuestas de formulario 1'!M666="""","""",TO_TEXT('Respuestas de formulario 1'!M666))"),"")</f>
        <v/>
      </c>
      <c r="N666" s="7">
        <f t="shared" si="1"/>
        <v>2024</v>
      </c>
      <c r="O666" s="7" t="str">
        <f t="shared" si="2"/>
        <v>agosto</v>
      </c>
      <c r="P666" s="7" t="s">
        <v>5515</v>
      </c>
    </row>
    <row r="667">
      <c r="A667" s="19">
        <f>'Respuestas de formulario 1'!A667</f>
        <v>45531.75488</v>
      </c>
      <c r="B667" s="7" t="str">
        <f>'Respuestas de formulario 1'!B667</f>
        <v>Quinteros</v>
      </c>
      <c r="C667" s="7" t="str">
        <f>'Respuestas de formulario 1'!C667</f>
        <v>Faustino</v>
      </c>
      <c r="D667" s="7" t="str">
        <f>'Respuestas de formulario 1'!D667</f>
        <v>Quinterosismael@hotmail.com</v>
      </c>
      <c r="E667" s="20">
        <f>'Respuestas de formulario 1'!E667</f>
        <v>41949</v>
      </c>
      <c r="F667" s="7">
        <f>'Respuestas de formulario 1'!F667</f>
        <v>54019263</v>
      </c>
      <c r="G667" s="7" t="str">
        <f>IFERROR(__xludf.DUMMYFUNCTION("IF('Respuestas de formulario 1'!G667="""","""",IF(LEFT(REGEXREPLACE(TO_TEXT('Respuestas de formulario 1'!G667),""[^0-9]"",""""),2)=""54"",""+""&amp;REGEXREPLACE(TO_TEXT('Respuestas de formulario 1'!G667),""[^0-9]"",""""),""+54""&amp;REGEXREPLACE(TO_TEXT('Respuest"&amp;"as de formulario 1'!G667),""[^0-9]"","""")))"),"+543512357187")</f>
        <v>+543512357187</v>
      </c>
      <c r="H667" s="7">
        <f>'Respuestas de formulario 1'!S667</f>
        <v>2024</v>
      </c>
      <c r="I667" s="7" t="str">
        <f>IFERROR(__xludf.DUMMYFUNCTION("IF('Respuestas de formulario 1'!I667="""","""",TO_TEXT('Respuestas de formulario 1'!I667))"),"Obra social")</f>
        <v>Obra social</v>
      </c>
      <c r="J667" s="7" t="str">
        <f>IFERROR(__xludf.DUMMYFUNCTION("IF('Respuestas de formulario 1'!J667&lt;&gt;"""",UPPER(TRIM(TO_TEXT('Respuestas de formulario 1'!J667))),IF('Respuestas de formulario 1'!O667&lt;&gt;"""",UPPER(TRIM(TO_TEXT('Respuestas de formulario 1'!O667))),""""))"),"MEDIFE")</f>
        <v>MEDIFE</v>
      </c>
      <c r="K667" s="7" t="str">
        <f>IFERROR(__xludf.DUMMYFUNCTION("IF('Respuestas de formulario 1'!K667="""","""",TO_TEXT('Respuestas de formulario 1'!K667))"),"Si")</f>
        <v>Si</v>
      </c>
      <c r="L667" s="7" t="str">
        <f>IFERROR(__xludf.DUMMYFUNCTION("IF('Respuestas de formulario 1'!L667="""","""",TO_TEXT('Respuestas de formulario 1'!L667))"),"Fútbol")</f>
        <v>Fútbol</v>
      </c>
      <c r="M667" s="7" t="str">
        <f>IFERROR(__xludf.DUMMYFUNCTION("IF('Respuestas de formulario 1'!M667="""","""",TO_TEXT('Respuestas de formulario 1'!M667))"),"3 a 5 veces por semana")</f>
        <v>3 a 5 veces por semana</v>
      </c>
      <c r="N667" s="7">
        <f t="shared" si="1"/>
        <v>2024</v>
      </c>
      <c r="O667" s="7" t="str">
        <f t="shared" si="2"/>
        <v>agosto</v>
      </c>
      <c r="P667" s="7" t="s">
        <v>5517</v>
      </c>
    </row>
    <row r="668">
      <c r="A668" s="19">
        <f>'Respuestas de formulario 1'!A668</f>
        <v>45531.79353</v>
      </c>
      <c r="B668" s="7" t="str">
        <f>'Respuestas de formulario 1'!B668</f>
        <v>Moya</v>
      </c>
      <c r="C668" s="7" t="str">
        <f>'Respuestas de formulario 1'!C668</f>
        <v>Estela Cristina</v>
      </c>
      <c r="D668" s="7" t="str">
        <f>'Respuestas de formulario 1'!D668</f>
        <v>estecrimo@gmail.com</v>
      </c>
      <c r="E668" s="20">
        <f>'Respuestas de formulario 1'!E668</f>
        <v>19995</v>
      </c>
      <c r="F668" s="7">
        <f>'Respuestas de formulario 1'!F668</f>
        <v>11193775</v>
      </c>
      <c r="G668" s="7" t="str">
        <f>IFERROR(__xludf.DUMMYFUNCTION("IF('Respuestas de formulario 1'!G668="""","""",IF(LEFT(REGEXREPLACE(TO_TEXT('Respuestas de formulario 1'!G668),""[^0-9]"",""""),2)=""54"",""+""&amp;REGEXREPLACE(TO_TEXT('Respuestas de formulario 1'!G668),""[^0-9]"",""""),""+54""&amp;REGEXREPLACE(TO_TEXT('Respuest"&amp;"as de formulario 1'!G668),""[^0-9]"","""")))"),"+543512277554")</f>
        <v>+543512277554</v>
      </c>
      <c r="H668" s="7">
        <f>'Respuestas de formulario 1'!S668</f>
        <v>2024</v>
      </c>
      <c r="I668" s="7" t="str">
        <f>IFERROR(__xludf.DUMMYFUNCTION("IF('Respuestas de formulario 1'!I668="""","""",TO_TEXT('Respuestas de formulario 1'!I668))"),"Obra social")</f>
        <v>Obra social</v>
      </c>
      <c r="J668" s="7" t="str">
        <f>IFERROR(__xludf.DUMMYFUNCTION("IF('Respuestas de formulario 1'!J668&lt;&gt;"""",UPPER(TRIM(TO_TEXT('Respuestas de formulario 1'!J668))),IF('Respuestas de formulario 1'!O668&lt;&gt;"""",UPPER(TRIM(TO_TEXT('Respuestas de formulario 1'!O668))),""""))"),"CPCE")</f>
        <v>CPCE</v>
      </c>
      <c r="K668" s="7" t="str">
        <f>IFERROR(__xludf.DUMMYFUNCTION("IF('Respuestas de formulario 1'!K668="""","""",TO_TEXT('Respuestas de formulario 1'!K668))"),"Si")</f>
        <v>Si</v>
      </c>
      <c r="L668" s="7" t="str">
        <f>IFERROR(__xludf.DUMMYFUNCTION("IF('Respuestas de formulario 1'!L668="""","""",TO_TEXT('Respuestas de formulario 1'!L668))"),"Baile")</f>
        <v>Baile</v>
      </c>
      <c r="M668" s="7" t="str">
        <f>IFERROR(__xludf.DUMMYFUNCTION("IF('Respuestas de formulario 1'!M668="""","""",TO_TEXT('Respuestas de formulario 1'!M668))"),"1 a 2 veces por semana")</f>
        <v>1 a 2 veces por semana</v>
      </c>
      <c r="N668" s="7">
        <f t="shared" si="1"/>
        <v>2024</v>
      </c>
      <c r="O668" s="7" t="str">
        <f t="shared" si="2"/>
        <v>agosto</v>
      </c>
      <c r="P668" s="7" t="s">
        <v>5518</v>
      </c>
    </row>
    <row r="669">
      <c r="A669" s="19">
        <f>'Respuestas de formulario 1'!A669</f>
        <v>45531.79745</v>
      </c>
      <c r="B669" s="7" t="str">
        <f>'Respuestas de formulario 1'!B669</f>
        <v>Caparros</v>
      </c>
      <c r="C669" s="7" t="str">
        <f>'Respuestas de formulario 1'!C669</f>
        <v>Sergio</v>
      </c>
      <c r="D669" s="7" t="str">
        <f>'Respuestas de formulario 1'!D669</f>
        <v/>
      </c>
      <c r="E669" s="20">
        <f>'Respuestas de formulario 1'!E669</f>
        <v>27742</v>
      </c>
      <c r="F669" s="7">
        <f>'Respuestas de formulario 1'!F669</f>
        <v>531090</v>
      </c>
      <c r="G669" s="7" t="str">
        <f>IFERROR(__xludf.DUMMYFUNCTION("IF('Respuestas de formulario 1'!G669="""","""",IF(LEFT(REGEXREPLACE(TO_TEXT('Respuestas de formulario 1'!G669),""[^0-9]"",""""),2)=""54"",""+""&amp;REGEXREPLACE(TO_TEXT('Respuestas de formulario 1'!G669),""[^0-9]"",""""),""+54""&amp;REGEXREPLACE(TO_TEXT('Respuest"&amp;"as de formulario 1'!G669),""[^0-9]"","""")))"),"+543196322831")</f>
        <v>+543196322831</v>
      </c>
      <c r="H669" s="7">
        <f>'Respuestas de formulario 1'!S669</f>
        <v>2024</v>
      </c>
      <c r="I669" s="7" t="str">
        <f>IFERROR(__xludf.DUMMYFUNCTION("IF('Respuestas de formulario 1'!I669="""","""",TO_TEXT('Respuestas de formulario 1'!I669))"),"Particular")</f>
        <v>Particular</v>
      </c>
      <c r="J669" s="7" t="str">
        <f>IFERROR(__xludf.DUMMYFUNCTION("IF('Respuestas de formulario 1'!J669&lt;&gt;"""",UPPER(TRIM(TO_TEXT('Respuestas de formulario 1'!J669))),IF('Respuestas de formulario 1'!O669&lt;&gt;"""",UPPER(TRIM(TO_TEXT('Respuestas de formulario 1'!O669))),""""))"),"")</f>
        <v/>
      </c>
      <c r="K669" s="7" t="str">
        <f>IFERROR(__xludf.DUMMYFUNCTION("IF('Respuestas de formulario 1'!K669="""","""",TO_TEXT('Respuestas de formulario 1'!K669))"),"No")</f>
        <v>No</v>
      </c>
      <c r="L669" s="7" t="str">
        <f>IFERROR(__xludf.DUMMYFUNCTION("IF('Respuestas de formulario 1'!L669="""","""",TO_TEXT('Respuestas de formulario 1'!L669))"),"")</f>
        <v/>
      </c>
      <c r="M669" s="7" t="str">
        <f>IFERROR(__xludf.DUMMYFUNCTION("IF('Respuestas de formulario 1'!M669="""","""",TO_TEXT('Respuestas de formulario 1'!M669))"),"")</f>
        <v/>
      </c>
      <c r="N669" s="7">
        <f t="shared" si="1"/>
        <v>2024</v>
      </c>
      <c r="O669" s="7" t="str">
        <f t="shared" si="2"/>
        <v>agosto</v>
      </c>
      <c r="P669" s="7" t="s">
        <v>5520</v>
      </c>
    </row>
    <row r="670">
      <c r="A670" s="19">
        <f>'Respuestas de formulario 1'!A670</f>
        <v>45532.76557</v>
      </c>
      <c r="B670" s="7" t="str">
        <f>'Respuestas de formulario 1'!B670</f>
        <v>Maidana</v>
      </c>
      <c r="C670" s="7" t="str">
        <f>'Respuestas de formulario 1'!C670</f>
        <v>Ana Laura</v>
      </c>
      <c r="D670" s="7" t="str">
        <f>'Respuestas de formulario 1'!D670</f>
        <v>lauramaidanasalta@gmail.com</v>
      </c>
      <c r="E670" s="20">
        <f>'Respuestas de formulario 1'!E670</f>
        <v>32813</v>
      </c>
      <c r="F670" s="7">
        <f>'Respuestas de formulario 1'!F670</f>
        <v>34913524</v>
      </c>
      <c r="G670" s="7" t="str">
        <f>IFERROR(__xludf.DUMMYFUNCTION("IF('Respuestas de formulario 1'!G670="""","""",IF(LEFT(REGEXREPLACE(TO_TEXT('Respuestas de formulario 1'!G670),""[^0-9]"",""""),2)=""54"",""+""&amp;REGEXREPLACE(TO_TEXT('Respuestas de formulario 1'!G670),""[^0-9]"",""""),""+54""&amp;REGEXREPLACE(TO_TEXT('Respuest"&amp;"as de formulario 1'!G670),""[^0-9]"","""")))"),"+543518097304")</f>
        <v>+543518097304</v>
      </c>
      <c r="H670" s="7">
        <f>'Respuestas de formulario 1'!S670</f>
        <v>2024</v>
      </c>
      <c r="I670" s="7" t="str">
        <f>IFERROR(__xludf.DUMMYFUNCTION("IF('Respuestas de formulario 1'!I670="""","""",TO_TEXT('Respuestas de formulario 1'!I670))"),"Particular")</f>
        <v>Particular</v>
      </c>
      <c r="J670" s="7" t="str">
        <f>IFERROR(__xludf.DUMMYFUNCTION("IF('Respuestas de formulario 1'!J670&lt;&gt;"""",UPPER(TRIM(TO_TEXT('Respuestas de formulario 1'!J670))),IF('Respuestas de formulario 1'!O670&lt;&gt;"""",UPPER(TRIM(TO_TEXT('Respuestas de formulario 1'!O670))),""""))"),"")</f>
        <v/>
      </c>
      <c r="K670" s="7" t="str">
        <f>IFERROR(__xludf.DUMMYFUNCTION("IF('Respuestas de formulario 1'!K670="""","""",TO_TEXT('Respuestas de formulario 1'!K670))"),"Si")</f>
        <v>Si</v>
      </c>
      <c r="L670" s="7" t="str">
        <f>IFERROR(__xludf.DUMMYFUNCTION("IF('Respuestas de formulario 1'!L670="""","""",TO_TEXT('Respuestas de formulario 1'!L670))"),"Gimnasio")</f>
        <v>Gimnasio</v>
      </c>
      <c r="M670" s="7" t="str">
        <f>IFERROR(__xludf.DUMMYFUNCTION("IF('Respuestas de formulario 1'!M670="""","""",TO_TEXT('Respuestas de formulario 1'!M670))"),"1 a 2 veces por semana")</f>
        <v>1 a 2 veces por semana</v>
      </c>
      <c r="N670" s="7">
        <f t="shared" si="1"/>
        <v>2024</v>
      </c>
      <c r="O670" s="7" t="str">
        <f t="shared" si="2"/>
        <v>agosto</v>
      </c>
      <c r="P670" s="7" t="s">
        <v>5522</v>
      </c>
    </row>
    <row r="671">
      <c r="A671" s="19">
        <f>'Respuestas de formulario 1'!A671</f>
        <v>45533.43922</v>
      </c>
      <c r="B671" s="7" t="str">
        <f>'Respuestas de formulario 1'!B671</f>
        <v>LESSIO</v>
      </c>
      <c r="C671" s="7" t="str">
        <f>'Respuestas de formulario 1'!C671</f>
        <v>MARIO</v>
      </c>
      <c r="D671" s="7" t="str">
        <f>'Respuestas de formulario 1'!D671</f>
        <v>mario@lessio.com.ar</v>
      </c>
      <c r="E671" s="20">
        <f>'Respuestas de formulario 1'!E671</f>
        <v>22658</v>
      </c>
      <c r="F671" s="7">
        <f>'Respuestas de formulario 1'!F671</f>
        <v>14798007</v>
      </c>
      <c r="G671" s="7" t="str">
        <f>IFERROR(__xludf.DUMMYFUNCTION("IF('Respuestas de formulario 1'!G671="""","""",IF(LEFT(REGEXREPLACE(TO_TEXT('Respuestas de formulario 1'!G671),""[^0-9]"",""""),2)=""54"",""+""&amp;REGEXREPLACE(TO_TEXT('Respuestas de formulario 1'!G671),""[^0-9]"",""""),""+54""&amp;REGEXREPLACE(TO_TEXT('Respuest"&amp;"as de formulario 1'!G671),""[^0-9]"","""")))"),"+543516760355")</f>
        <v>+543516760355</v>
      </c>
      <c r="H671" s="7">
        <f>'Respuestas de formulario 1'!S671</f>
        <v>2024</v>
      </c>
      <c r="I671" s="7" t="str">
        <f>IFERROR(__xludf.DUMMYFUNCTION("IF('Respuestas de formulario 1'!I671="""","""",TO_TEXT('Respuestas de formulario 1'!I671))"),"Particular")</f>
        <v>Particular</v>
      </c>
      <c r="J671" s="7" t="str">
        <f>IFERROR(__xludf.DUMMYFUNCTION("IF('Respuestas de formulario 1'!J671&lt;&gt;"""",UPPER(TRIM(TO_TEXT('Respuestas de formulario 1'!J671))),IF('Respuestas de formulario 1'!O671&lt;&gt;"""",UPPER(TRIM(TO_TEXT('Respuestas de formulario 1'!O671))),""""))"),"")</f>
        <v/>
      </c>
      <c r="K671" s="7" t="str">
        <f>IFERROR(__xludf.DUMMYFUNCTION("IF('Respuestas de formulario 1'!K671="""","""",TO_TEXT('Respuestas de formulario 1'!K671))"),"Si")</f>
        <v>Si</v>
      </c>
      <c r="L671" s="7" t="str">
        <f>IFERROR(__xludf.DUMMYFUNCTION("IF('Respuestas de formulario 1'!L671="""","""",TO_TEXT('Respuestas de formulario 1'!L671))"),"Gimnasio")</f>
        <v>Gimnasio</v>
      </c>
      <c r="M671" s="7" t="str">
        <f>IFERROR(__xludf.DUMMYFUNCTION("IF('Respuestas de formulario 1'!M671="""","""",TO_TEXT('Respuestas de formulario 1'!M671))"),"3 a 5 veces por semana")</f>
        <v>3 a 5 veces por semana</v>
      </c>
      <c r="N671" s="7">
        <f t="shared" si="1"/>
        <v>2024</v>
      </c>
      <c r="O671" s="7" t="str">
        <f t="shared" si="2"/>
        <v>agosto</v>
      </c>
      <c r="P671" s="7" t="s">
        <v>5523</v>
      </c>
    </row>
    <row r="672">
      <c r="A672" s="19">
        <f>'Respuestas de formulario 1'!A672</f>
        <v>45533.72148</v>
      </c>
      <c r="B672" s="7" t="str">
        <f>'Respuestas de formulario 1'!B672</f>
        <v>Gomez</v>
      </c>
      <c r="C672" s="7" t="str">
        <f>'Respuestas de formulario 1'!C672</f>
        <v>Gabriela</v>
      </c>
      <c r="D672" s="7" t="str">
        <f>'Respuestas de formulario 1'!D672</f>
        <v>gabygomeznoseda@hotmail.com</v>
      </c>
      <c r="E672" s="20">
        <f>'Respuestas de formulario 1'!E672</f>
        <v>27750</v>
      </c>
      <c r="F672" s="7">
        <f>'Respuestas de formulario 1'!F672</f>
        <v>24703868</v>
      </c>
      <c r="G672" s="7" t="str">
        <f>IFERROR(__xludf.DUMMYFUNCTION("IF('Respuestas de formulario 1'!G672="""","""",IF(LEFT(REGEXREPLACE(TO_TEXT('Respuestas de formulario 1'!G672),""[^0-9]"",""""),2)=""54"",""+""&amp;REGEXREPLACE(TO_TEXT('Respuestas de formulario 1'!G672),""[^0-9]"",""""),""+54""&amp;REGEXREPLACE(TO_TEXT('Respuest"&amp;"as de formulario 1'!G672),""[^0-9]"","""")))"),"+543512407224")</f>
        <v>+543512407224</v>
      </c>
      <c r="H672" s="7">
        <f>'Respuestas de formulario 1'!S672</f>
        <v>2024</v>
      </c>
      <c r="I672" s="7" t="str">
        <f>IFERROR(__xludf.DUMMYFUNCTION("IF('Respuestas de formulario 1'!I672="""","""",TO_TEXT('Respuestas de formulario 1'!I672))"),"Particular")</f>
        <v>Particular</v>
      </c>
      <c r="J672" s="7" t="str">
        <f>IFERROR(__xludf.DUMMYFUNCTION("IF('Respuestas de formulario 1'!J672&lt;&gt;"""",UPPER(TRIM(TO_TEXT('Respuestas de formulario 1'!J672))),IF('Respuestas de formulario 1'!O672&lt;&gt;"""",UPPER(TRIM(TO_TEXT('Respuestas de formulario 1'!O672))),""""))"),"")</f>
        <v/>
      </c>
      <c r="K672" s="7" t="str">
        <f>IFERROR(__xludf.DUMMYFUNCTION("IF('Respuestas de formulario 1'!K672="""","""",TO_TEXT('Respuestas de formulario 1'!K672))"),"Si")</f>
        <v>Si</v>
      </c>
      <c r="L672" s="7" t="str">
        <f>IFERROR(__xludf.DUMMYFUNCTION("IF('Respuestas de formulario 1'!L672="""","""",TO_TEXT('Respuestas de formulario 1'!L672))"),"Gimnasio")</f>
        <v>Gimnasio</v>
      </c>
      <c r="M672" s="7" t="str">
        <f>IFERROR(__xludf.DUMMYFUNCTION("IF('Respuestas de formulario 1'!M672="""","""",TO_TEXT('Respuestas de formulario 1'!M672))"),"3 a 5 veces por semana")</f>
        <v>3 a 5 veces por semana</v>
      </c>
      <c r="N672" s="7">
        <f t="shared" si="1"/>
        <v>2024</v>
      </c>
      <c r="O672" s="7" t="str">
        <f t="shared" si="2"/>
        <v>agosto</v>
      </c>
      <c r="P672" s="7" t="s">
        <v>5525</v>
      </c>
    </row>
    <row r="673">
      <c r="A673" s="19">
        <f>'Respuestas de formulario 1'!A673</f>
        <v>45533.73569</v>
      </c>
      <c r="B673" s="7" t="str">
        <f>'Respuestas de formulario 1'!B673</f>
        <v>Bibiloni</v>
      </c>
      <c r="C673" s="7" t="str">
        <f>'Respuestas de formulario 1'!C673</f>
        <v>Nicolas</v>
      </c>
      <c r="D673" s="7" t="str">
        <f>'Respuestas de formulario 1'!D673</f>
        <v>nicobibiloni2@gmail.com</v>
      </c>
      <c r="E673" s="20">
        <f>'Respuestas de formulario 1'!E673</f>
        <v>38209</v>
      </c>
      <c r="F673" s="7">
        <f>'Respuestas de formulario 1'!F673</f>
        <v>45692578</v>
      </c>
      <c r="G673" s="7" t="str">
        <f>IFERROR(__xludf.DUMMYFUNCTION("IF('Respuestas de formulario 1'!G673="""","""",IF(LEFT(REGEXREPLACE(TO_TEXT('Respuestas de formulario 1'!G673),""[^0-9]"",""""),2)=""54"",""+""&amp;REGEXREPLACE(TO_TEXT('Respuestas de formulario 1'!G673),""[^0-9]"",""""),""+54""&amp;REGEXREPLACE(TO_TEXT('Respuest"&amp;"as de formulario 1'!G673),""[^0-9]"","""")))"),"+543513712696")</f>
        <v>+543513712696</v>
      </c>
      <c r="H673" s="7">
        <f>'Respuestas de formulario 1'!S673</f>
        <v>2024</v>
      </c>
      <c r="I673" s="7" t="str">
        <f>IFERROR(__xludf.DUMMYFUNCTION("IF('Respuestas de formulario 1'!I673="""","""",TO_TEXT('Respuestas de formulario 1'!I673))"),"Obra social")</f>
        <v>Obra social</v>
      </c>
      <c r="J673" s="7" t="str">
        <f>IFERROR(__xludf.DUMMYFUNCTION("IF('Respuestas de formulario 1'!J673&lt;&gt;"""",UPPER(TRIM(TO_TEXT('Respuestas de formulario 1'!J673))),IF('Respuestas de formulario 1'!O673&lt;&gt;"""",UPPER(TRIM(TO_TEXT('Respuestas de formulario 1'!O673))),""""))"),"PREVENCIÓN")</f>
        <v>PREVENCIÓN</v>
      </c>
      <c r="K673" s="7" t="str">
        <f>IFERROR(__xludf.DUMMYFUNCTION("IF('Respuestas de formulario 1'!K673="""","""",TO_TEXT('Respuestas de formulario 1'!K673))"),"Si")</f>
        <v>Si</v>
      </c>
      <c r="L673" s="7" t="str">
        <f>IFERROR(__xludf.DUMMYFUNCTION("IF('Respuestas de formulario 1'!L673="""","""",TO_TEXT('Respuestas de formulario 1'!L673))"),"Rugby")</f>
        <v>Rugby</v>
      </c>
      <c r="M673" s="7" t="str">
        <f>IFERROR(__xludf.DUMMYFUNCTION("IF('Respuestas de formulario 1'!M673="""","""",TO_TEXT('Respuestas de formulario 1'!M673))"),"3 a 5 veces por semana")</f>
        <v>3 a 5 veces por semana</v>
      </c>
      <c r="N673" s="7">
        <f t="shared" si="1"/>
        <v>2024</v>
      </c>
      <c r="O673" s="7" t="str">
        <f t="shared" si="2"/>
        <v>agosto</v>
      </c>
      <c r="P673" s="7" t="s">
        <v>5527</v>
      </c>
    </row>
    <row r="674">
      <c r="A674" s="19">
        <f>'Respuestas de formulario 1'!A674</f>
        <v>45534.50042</v>
      </c>
      <c r="B674" s="7" t="str">
        <f>'Respuestas de formulario 1'!B674</f>
        <v>Di pauli</v>
      </c>
      <c r="C674" s="7" t="str">
        <f>'Respuestas de formulario 1'!C674</f>
        <v>Emiliano</v>
      </c>
      <c r="D674" s="7" t="str">
        <f>'Respuestas de formulario 1'!D674</f>
        <v>emidipauli@gmail.com</v>
      </c>
      <c r="E674" s="20">
        <f>'Respuestas de formulario 1'!E674</f>
        <v>35461</v>
      </c>
      <c r="F674" s="7">
        <f>'Respuestas de formulario 1'!F674</f>
        <v>40110017</v>
      </c>
      <c r="G674" s="7" t="str">
        <f>IFERROR(__xludf.DUMMYFUNCTION("IF('Respuestas de formulario 1'!G674="""","""",IF(LEFT(REGEXREPLACE(TO_TEXT('Respuestas de formulario 1'!G674),""[^0-9]"",""""),2)=""54"",""+""&amp;REGEXREPLACE(TO_TEXT('Respuestas de formulario 1'!G674),""[^0-9]"",""""),""+54""&amp;REGEXREPLACE(TO_TEXT('Respuest"&amp;"as de formulario 1'!G674),""[^0-9]"","""")))"),"+543516760050")</f>
        <v>+543516760050</v>
      </c>
      <c r="H674" s="7">
        <f>'Respuestas de formulario 1'!S674</f>
        <v>2024</v>
      </c>
      <c r="I674" s="7" t="str">
        <f>IFERROR(__xludf.DUMMYFUNCTION("IF('Respuestas de formulario 1'!I674="""","""",TO_TEXT('Respuestas de formulario 1'!I674))"),"Particular")</f>
        <v>Particular</v>
      </c>
      <c r="J674" s="7" t="str">
        <f>IFERROR(__xludf.DUMMYFUNCTION("IF('Respuestas de formulario 1'!J674&lt;&gt;"""",UPPER(TRIM(TO_TEXT('Respuestas de formulario 1'!J674))),IF('Respuestas de formulario 1'!O674&lt;&gt;"""",UPPER(TRIM(TO_TEXT('Respuestas de formulario 1'!O674))),""""))"),"")</f>
        <v/>
      </c>
      <c r="K674" s="7" t="str">
        <f>IFERROR(__xludf.DUMMYFUNCTION("IF('Respuestas de formulario 1'!K674="""","""",TO_TEXT('Respuestas de formulario 1'!K674))"),"Si")</f>
        <v>Si</v>
      </c>
      <c r="L674" s="7" t="str">
        <f>IFERROR(__xludf.DUMMYFUNCTION("IF('Respuestas de formulario 1'!L674="""","""",TO_TEXT('Respuestas de formulario 1'!L674))"),"Gimnasio")</f>
        <v>Gimnasio</v>
      </c>
      <c r="M674" s="7" t="str">
        <f>IFERROR(__xludf.DUMMYFUNCTION("IF('Respuestas de formulario 1'!M674="""","""",TO_TEXT('Respuestas de formulario 1'!M674))"),"6 a 7 veces por semana")</f>
        <v>6 a 7 veces por semana</v>
      </c>
      <c r="N674" s="7">
        <f t="shared" si="1"/>
        <v>2024</v>
      </c>
      <c r="O674" s="7" t="str">
        <f t="shared" si="2"/>
        <v>agosto</v>
      </c>
      <c r="P674" s="7" t="s">
        <v>5529</v>
      </c>
    </row>
    <row r="675">
      <c r="A675" s="19">
        <f>'Respuestas de formulario 1'!A675</f>
        <v>45534.6819</v>
      </c>
      <c r="B675" s="7" t="str">
        <f>'Respuestas de formulario 1'!B675</f>
        <v>Lopez</v>
      </c>
      <c r="C675" s="7" t="str">
        <f>'Respuestas de formulario 1'!C675</f>
        <v>Martin</v>
      </c>
      <c r="D675" s="7" t="str">
        <f>'Respuestas de formulario 1'!D675</f>
        <v/>
      </c>
      <c r="E675" s="20">
        <f>'Respuestas de formulario 1'!E675</f>
        <v>32304</v>
      </c>
      <c r="F675" s="7">
        <f>'Respuestas de formulario 1'!F675</f>
        <v>33752591</v>
      </c>
      <c r="G675" s="7" t="str">
        <f>IFERROR(__xludf.DUMMYFUNCTION("IF('Respuestas de formulario 1'!G675="""","""",IF(LEFT(REGEXREPLACE(TO_TEXT('Respuestas de formulario 1'!G675),""[^0-9]"",""""),2)=""54"",""+""&amp;REGEXREPLACE(TO_TEXT('Respuestas de formulario 1'!G675),""[^0-9]"",""""),""+54""&amp;REGEXREPLACE(TO_TEXT('Respuest"&amp;"as de formulario 1'!G675),""[^0-9]"","""")))"),"+543512014854")</f>
        <v>+543512014854</v>
      </c>
      <c r="H675" s="7">
        <f>'Respuestas de formulario 1'!S675</f>
        <v>2024</v>
      </c>
      <c r="I675" s="7" t="str">
        <f>IFERROR(__xludf.DUMMYFUNCTION("IF('Respuestas de formulario 1'!I675="""","""",TO_TEXT('Respuestas de formulario 1'!I675))"),"Obra social")</f>
        <v>Obra social</v>
      </c>
      <c r="J675" s="7" t="str">
        <f>IFERROR(__xludf.DUMMYFUNCTION("IF('Respuestas de formulario 1'!J675&lt;&gt;"""",UPPER(TRIM(TO_TEXT('Respuestas de formulario 1'!J675))),IF('Respuestas de formulario 1'!O675&lt;&gt;"""",UPPER(TRIM(TO_TEXT('Respuestas de formulario 1'!O675))),""""))"),"BOREAL")</f>
        <v>BOREAL</v>
      </c>
      <c r="K675" s="7" t="str">
        <f>IFERROR(__xludf.DUMMYFUNCTION("IF('Respuestas de formulario 1'!K675="""","""",TO_TEXT('Respuestas de formulario 1'!K675))"),"Si")</f>
        <v>Si</v>
      </c>
      <c r="L675" s="7" t="str">
        <f>IFERROR(__xludf.DUMMYFUNCTION("IF('Respuestas de formulario 1'!L675="""","""",TO_TEXT('Respuestas de formulario 1'!L675))"),"Fútbol")</f>
        <v>Fútbol</v>
      </c>
      <c r="M675" s="7" t="str">
        <f>IFERROR(__xludf.DUMMYFUNCTION("IF('Respuestas de formulario 1'!M675="""","""",TO_TEXT('Respuestas de formulario 1'!M675))"),"1 a 2 veces por semana")</f>
        <v>1 a 2 veces por semana</v>
      </c>
      <c r="N675" s="7">
        <f t="shared" si="1"/>
        <v>2024</v>
      </c>
      <c r="O675" s="7" t="str">
        <f t="shared" si="2"/>
        <v>agosto</v>
      </c>
      <c r="P675" s="7" t="s">
        <v>5531</v>
      </c>
    </row>
    <row r="676">
      <c r="A676" s="19">
        <f>'Respuestas de formulario 1'!A676</f>
        <v>45539.5236</v>
      </c>
      <c r="B676" s="7" t="str">
        <f>'Respuestas de formulario 1'!B676</f>
        <v>Bonadeo</v>
      </c>
      <c r="C676" s="7" t="str">
        <f>'Respuestas de formulario 1'!C676</f>
        <v>Hernán</v>
      </c>
      <c r="D676" s="7" t="str">
        <f>'Respuestas de formulario 1'!D676</f>
        <v>hernanbonadeo@gmail.com</v>
      </c>
      <c r="E676" s="20">
        <f>'Respuestas de formulario 1'!E676</f>
        <v>33793</v>
      </c>
      <c r="F676" s="7">
        <f>'Respuestas de formulario 1'!F676</f>
        <v>36357538</v>
      </c>
      <c r="G676" s="7" t="str">
        <f>IFERROR(__xludf.DUMMYFUNCTION("IF('Respuestas de formulario 1'!G676="""","""",IF(LEFT(REGEXREPLACE(TO_TEXT('Respuestas de formulario 1'!G676),""[^0-9]"",""""),2)=""54"",""+""&amp;REGEXREPLACE(TO_TEXT('Respuestas de formulario 1'!G676),""[^0-9]"",""""),""+54""&amp;REGEXREPLACE(TO_TEXT('Respuest"&amp;"as de formulario 1'!G676),""[^0-9]"","""")))"),"+543513983401")</f>
        <v>+543513983401</v>
      </c>
      <c r="H676" s="7">
        <f>'Respuestas de formulario 1'!S676</f>
        <v>2024</v>
      </c>
      <c r="I676" s="7" t="str">
        <f>IFERROR(__xludf.DUMMYFUNCTION("IF('Respuestas de formulario 1'!I676="""","""",TO_TEXT('Respuestas de formulario 1'!I676))"),"Particular")</f>
        <v>Particular</v>
      </c>
      <c r="J676" s="7" t="str">
        <f>IFERROR(__xludf.DUMMYFUNCTION("IF('Respuestas de formulario 1'!J676&lt;&gt;"""",UPPER(TRIM(TO_TEXT('Respuestas de formulario 1'!J676))),IF('Respuestas de formulario 1'!O676&lt;&gt;"""",UPPER(TRIM(TO_TEXT('Respuestas de formulario 1'!O676))),""""))"),"")</f>
        <v/>
      </c>
      <c r="K676" s="7" t="str">
        <f>IFERROR(__xludf.DUMMYFUNCTION("IF('Respuestas de formulario 1'!K676="""","""",TO_TEXT('Respuestas de formulario 1'!K676))"),"Si")</f>
        <v>Si</v>
      </c>
      <c r="L676" s="7" t="str">
        <f>IFERROR(__xludf.DUMMYFUNCTION("IF('Respuestas de formulario 1'!L676="""","""",TO_TEXT('Respuestas de formulario 1'!L676))"),"Básquet")</f>
        <v>Básquet</v>
      </c>
      <c r="M676" s="7" t="str">
        <f>IFERROR(__xludf.DUMMYFUNCTION("IF('Respuestas de formulario 1'!M676="""","""",TO_TEXT('Respuestas de formulario 1'!M676))"),"1 a 2 veces por semana")</f>
        <v>1 a 2 veces por semana</v>
      </c>
      <c r="N676" s="7">
        <f t="shared" si="1"/>
        <v>2024</v>
      </c>
      <c r="O676" s="7" t="str">
        <f t="shared" si="2"/>
        <v>septiembre</v>
      </c>
      <c r="P676" s="7" t="s">
        <v>5533</v>
      </c>
    </row>
    <row r="677">
      <c r="A677" s="19">
        <f>'Respuestas de formulario 1'!A677</f>
        <v>45539.73048</v>
      </c>
      <c r="B677" s="7" t="str">
        <f>'Respuestas de formulario 1'!B677</f>
        <v>Della Siega</v>
      </c>
      <c r="C677" s="7" t="str">
        <f>'Respuestas de formulario 1'!C677</f>
        <v>Ruben</v>
      </c>
      <c r="D677" s="7" t="str">
        <f>'Respuestas de formulario 1'!D677</f>
        <v>rubendellasiega57@gmail.com</v>
      </c>
      <c r="E677" s="20">
        <f>'Respuestas de formulario 1'!E677</f>
        <v>20997</v>
      </c>
      <c r="F677" s="7">
        <f>'Respuestas de formulario 1'!F677</f>
        <v>13151933</v>
      </c>
      <c r="G677" s="7" t="str">
        <f>IFERROR(__xludf.DUMMYFUNCTION("IF('Respuestas de formulario 1'!G677="""","""",IF(LEFT(REGEXREPLACE(TO_TEXT('Respuestas de formulario 1'!G677),""[^0-9]"",""""),2)=""54"",""+""&amp;REGEXREPLACE(TO_TEXT('Respuestas de formulario 1'!G677),""[^0-9]"",""""),""+54""&amp;REGEXREPLACE(TO_TEXT('Respuest"&amp;"as de formulario 1'!G677),""[^0-9]"","""")))"),"+543518045274")</f>
        <v>+543518045274</v>
      </c>
      <c r="H677" s="7">
        <f>'Respuestas de formulario 1'!S677</f>
        <v>2024</v>
      </c>
      <c r="I677" s="7" t="str">
        <f>IFERROR(__xludf.DUMMYFUNCTION("IF('Respuestas de formulario 1'!I677="""","""",TO_TEXT('Respuestas de formulario 1'!I677))"),"Obra social")</f>
        <v>Obra social</v>
      </c>
      <c r="J677" s="7" t="str">
        <f>IFERROR(__xludf.DUMMYFUNCTION("IF('Respuestas de formulario 1'!J677&lt;&gt;"""",UPPER(TRIM(TO_TEXT('Respuestas de formulario 1'!J677))),IF('Respuestas de formulario 1'!O677&lt;&gt;"""",UPPER(TRIM(TO_TEXT('Respuestas de formulario 1'!O677))),""""))"),"APROSS")</f>
        <v>APROSS</v>
      </c>
      <c r="K677" s="7" t="str">
        <f>IFERROR(__xludf.DUMMYFUNCTION("IF('Respuestas de formulario 1'!K677="""","""",TO_TEXT('Respuestas de formulario 1'!K677))"),"Si")</f>
        <v>Si</v>
      </c>
      <c r="L677" s="7" t="str">
        <f>IFERROR(__xludf.DUMMYFUNCTION("IF('Respuestas de formulario 1'!L677="""","""",TO_TEXT('Respuestas de formulario 1'!L677))"),"Caminata")</f>
        <v>Caminata</v>
      </c>
      <c r="M677" s="7" t="str">
        <f>IFERROR(__xludf.DUMMYFUNCTION("IF('Respuestas de formulario 1'!M677="""","""",TO_TEXT('Respuestas de formulario 1'!M677))"),"3 a 5 veces por semana")</f>
        <v>3 a 5 veces por semana</v>
      </c>
      <c r="N677" s="7">
        <f t="shared" si="1"/>
        <v>2024</v>
      </c>
      <c r="O677" s="7" t="str">
        <f t="shared" si="2"/>
        <v>septiembre</v>
      </c>
      <c r="P677" s="7" t="s">
        <v>5535</v>
      </c>
    </row>
    <row r="678">
      <c r="A678" s="19">
        <f>'Respuestas de formulario 1'!A678</f>
        <v>45540.38745</v>
      </c>
      <c r="B678" s="7" t="str">
        <f>'Respuestas de formulario 1'!B678</f>
        <v>Bongiorno </v>
      </c>
      <c r="C678" s="7" t="str">
        <f>'Respuestas de formulario 1'!C678</f>
        <v>Virginia </v>
      </c>
      <c r="D678" s="7" t="str">
        <f>'Respuestas de formulario 1'!D678</f>
        <v>Vir.bongiorno@hotmail.com</v>
      </c>
      <c r="E678" s="20">
        <f>'Respuestas de formulario 1'!E678</f>
        <v>33690</v>
      </c>
      <c r="F678" s="7">
        <f>'Respuestas de formulario 1'!F678</f>
        <v>36233270</v>
      </c>
      <c r="G678" s="7" t="str">
        <f>IFERROR(__xludf.DUMMYFUNCTION("IF('Respuestas de formulario 1'!G678="""","""",IF(LEFT(REGEXREPLACE(TO_TEXT('Respuestas de formulario 1'!G678),""[^0-9]"",""""),2)=""54"",""+""&amp;REGEXREPLACE(TO_TEXT('Respuestas de formulario 1'!G678),""[^0-9]"",""""),""+54""&amp;REGEXREPLACE(TO_TEXT('Respuest"&amp;"as de formulario 1'!G678),""[^0-9]"","""")))"),"+543515398344")</f>
        <v>+543515398344</v>
      </c>
      <c r="H678" s="7">
        <f>'Respuestas de formulario 1'!S678</f>
        <v>2024</v>
      </c>
      <c r="I678" s="7" t="str">
        <f>IFERROR(__xludf.DUMMYFUNCTION("IF('Respuestas de formulario 1'!I678="""","""",TO_TEXT('Respuestas de formulario 1'!I678))"),"Particular")</f>
        <v>Particular</v>
      </c>
      <c r="J678" s="7" t="str">
        <f>IFERROR(__xludf.DUMMYFUNCTION("IF('Respuestas de formulario 1'!J678&lt;&gt;"""",UPPER(TRIM(TO_TEXT('Respuestas de formulario 1'!J678))),IF('Respuestas de formulario 1'!O678&lt;&gt;"""",UPPER(TRIM(TO_TEXT('Respuestas de formulario 1'!O678))),""""))"),"")</f>
        <v/>
      </c>
      <c r="K678" s="7" t="str">
        <f>IFERROR(__xludf.DUMMYFUNCTION("IF('Respuestas de formulario 1'!K678="""","""",TO_TEXT('Respuestas de formulario 1'!K678))"),"Si")</f>
        <v>Si</v>
      </c>
      <c r="L678" s="7" t="str">
        <f>IFERROR(__xludf.DUMMYFUNCTION("IF('Respuestas de formulario 1'!L678="""","""",TO_TEXT('Respuestas de formulario 1'!L678))"),"Acrobacias aereas")</f>
        <v>Acrobacias aereas</v>
      </c>
      <c r="M678" s="7" t="str">
        <f>IFERROR(__xludf.DUMMYFUNCTION("IF('Respuestas de formulario 1'!M678="""","""",TO_TEXT('Respuestas de formulario 1'!M678))"),"3 a 5 veces por semana")</f>
        <v>3 a 5 veces por semana</v>
      </c>
      <c r="N678" s="7">
        <f t="shared" si="1"/>
        <v>2024</v>
      </c>
      <c r="O678" s="7" t="str">
        <f t="shared" si="2"/>
        <v>septiembre</v>
      </c>
      <c r="P678" s="7" t="s">
        <v>5537</v>
      </c>
    </row>
    <row r="679">
      <c r="A679" s="19">
        <f>'Respuestas de formulario 1'!A679</f>
        <v>45541.70387</v>
      </c>
      <c r="B679" s="7" t="str">
        <f>'Respuestas de formulario 1'!B679</f>
        <v>Izquierdo</v>
      </c>
      <c r="C679" s="7" t="str">
        <f>'Respuestas de formulario 1'!C679</f>
        <v>Isabel</v>
      </c>
      <c r="D679" s="7" t="str">
        <f>'Respuestas de formulario 1'!D679</f>
        <v>miizquierdo59@gmail.com</v>
      </c>
      <c r="E679" s="20">
        <f>'Respuestas de formulario 1'!E679</f>
        <v>21587</v>
      </c>
      <c r="F679" s="7">
        <f>'Respuestas de formulario 1'!F679</f>
        <v>13151280</v>
      </c>
      <c r="G679" s="7" t="str">
        <f>IFERROR(__xludf.DUMMYFUNCTION("IF('Respuestas de formulario 1'!G679="""","""",IF(LEFT(REGEXREPLACE(TO_TEXT('Respuestas de formulario 1'!G679),""[^0-9]"",""""),2)=""54"",""+""&amp;REGEXREPLACE(TO_TEXT('Respuestas de formulario 1'!G679),""[^0-9]"",""""),""+54""&amp;REGEXREPLACE(TO_TEXT('Respuest"&amp;"as de formulario 1'!G679),""[^0-9]"","""")))"),"+543516621433")</f>
        <v>+543516621433</v>
      </c>
      <c r="H679" s="7">
        <f>'Respuestas de formulario 1'!S679</f>
        <v>2024</v>
      </c>
      <c r="I679" s="7" t="str">
        <f>IFERROR(__xludf.DUMMYFUNCTION("IF('Respuestas de formulario 1'!I679="""","""",TO_TEXT('Respuestas de formulario 1'!I679))"),"Obra social")</f>
        <v>Obra social</v>
      </c>
      <c r="J679" s="7" t="str">
        <f>IFERROR(__xludf.DUMMYFUNCTION("IF('Respuestas de formulario 1'!J679&lt;&gt;"""",UPPER(TRIM(TO_TEXT('Respuestas de formulario 1'!J679))),IF('Respuestas de formulario 1'!O679&lt;&gt;"""",UPPER(TRIM(TO_TEXT('Respuestas de formulario 1'!O679))),""""))"),"DASPU")</f>
        <v>DASPU</v>
      </c>
      <c r="K679" s="7" t="str">
        <f>IFERROR(__xludf.DUMMYFUNCTION("IF('Respuestas de formulario 1'!K679="""","""",TO_TEXT('Respuestas de formulario 1'!K679))"),"Si")</f>
        <v>Si</v>
      </c>
      <c r="L679" s="7" t="str">
        <f>IFERROR(__xludf.DUMMYFUNCTION("IF('Respuestas de formulario 1'!L679="""","""",TO_TEXT('Respuestas de formulario 1'!L679))"),"Baila Flamenco")</f>
        <v>Baila Flamenco</v>
      </c>
      <c r="M679" s="7" t="str">
        <f>IFERROR(__xludf.DUMMYFUNCTION("IF('Respuestas de formulario 1'!M679="""","""",TO_TEXT('Respuestas de formulario 1'!M679))"),"1 a 2 veces por semana")</f>
        <v>1 a 2 veces por semana</v>
      </c>
      <c r="N679" s="7">
        <f t="shared" si="1"/>
        <v>2024</v>
      </c>
      <c r="O679" s="7" t="str">
        <f t="shared" si="2"/>
        <v>septiembre</v>
      </c>
      <c r="P679" s="7" t="s">
        <v>5539</v>
      </c>
    </row>
    <row r="680">
      <c r="A680" s="19">
        <f>'Respuestas de formulario 1'!A680</f>
        <v>45541.79054</v>
      </c>
      <c r="B680" s="7" t="str">
        <f>'Respuestas de formulario 1'!B680</f>
        <v>Peñaloza</v>
      </c>
      <c r="C680" s="7" t="str">
        <f>'Respuestas de formulario 1'!C680</f>
        <v>Marta</v>
      </c>
      <c r="D680" s="7" t="str">
        <f>'Respuestas de formulario 1'!D680</f>
        <v/>
      </c>
      <c r="E680" s="20">
        <f>'Respuestas de formulario 1'!E680</f>
        <v>18282</v>
      </c>
      <c r="F680" s="7">
        <f>'Respuestas de formulario 1'!F680</f>
        <v>6029207</v>
      </c>
      <c r="G680" s="7" t="str">
        <f>IFERROR(__xludf.DUMMYFUNCTION("IF('Respuestas de formulario 1'!G680="""","""",IF(LEFT(REGEXREPLACE(TO_TEXT('Respuestas de formulario 1'!G680),""[^0-9]"",""""),2)=""54"",""+""&amp;REGEXREPLACE(TO_TEXT('Respuestas de formulario 1'!G680),""[^0-9]"",""""),""+54""&amp;REGEXREPLACE(TO_TEXT('Respuest"&amp;"as de formulario 1'!G680),""[^0-9]"","""")))"),"+543513278792")</f>
        <v>+543513278792</v>
      </c>
      <c r="H680" s="7">
        <f>'Respuestas de formulario 1'!S680</f>
        <v>2024</v>
      </c>
      <c r="I680" s="7" t="str">
        <f>IFERROR(__xludf.DUMMYFUNCTION("IF('Respuestas de formulario 1'!I680="""","""",TO_TEXT('Respuestas de formulario 1'!I680))"),"Obra social")</f>
        <v>Obra social</v>
      </c>
      <c r="J680" s="7" t="str">
        <f>IFERROR(__xludf.DUMMYFUNCTION("IF('Respuestas de formulario 1'!J680&lt;&gt;"""",UPPER(TRIM(TO_TEXT('Respuestas de formulario 1'!J680))),IF('Respuestas de formulario 1'!O680&lt;&gt;"""",UPPER(TRIM(TO_TEXT('Respuestas de formulario 1'!O680))),""""))"),"MEDIFE")</f>
        <v>MEDIFE</v>
      </c>
      <c r="K680" s="7" t="str">
        <f>IFERROR(__xludf.DUMMYFUNCTION("IF('Respuestas de formulario 1'!K680="""","""",TO_TEXT('Respuestas de formulario 1'!K680))"),"No")</f>
        <v>No</v>
      </c>
      <c r="L680" s="7" t="str">
        <f>IFERROR(__xludf.DUMMYFUNCTION("IF('Respuestas de formulario 1'!L680="""","""",TO_TEXT('Respuestas de formulario 1'!L680))"),"")</f>
        <v/>
      </c>
      <c r="M680" s="7" t="str">
        <f>IFERROR(__xludf.DUMMYFUNCTION("IF('Respuestas de formulario 1'!M680="""","""",TO_TEXT('Respuestas de formulario 1'!M680))"),"")</f>
        <v/>
      </c>
      <c r="N680" s="7">
        <f t="shared" si="1"/>
        <v>2024</v>
      </c>
      <c r="O680" s="7" t="str">
        <f t="shared" si="2"/>
        <v>septiembre</v>
      </c>
      <c r="P680" s="7" t="s">
        <v>5541</v>
      </c>
    </row>
    <row r="681">
      <c r="A681" s="19">
        <f>'Respuestas de formulario 1'!A681</f>
        <v>45542.6321</v>
      </c>
      <c r="B681" s="7" t="str">
        <f>'Respuestas de formulario 1'!B681</f>
        <v>Arias</v>
      </c>
      <c r="C681" s="7" t="str">
        <f>'Respuestas de formulario 1'!C681</f>
        <v>Andres</v>
      </c>
      <c r="D681" s="7" t="str">
        <f>'Respuestas de formulario 1'!D681</f>
        <v>Andresarias04@icloud.com</v>
      </c>
      <c r="E681" s="20">
        <f>'Respuestas de formulario 1'!E681</f>
        <v>35312</v>
      </c>
      <c r="F681" s="7">
        <f>'Respuestas de formulario 1'!F681</f>
        <v>39692270</v>
      </c>
      <c r="G681" s="7" t="str">
        <f>IFERROR(__xludf.DUMMYFUNCTION("IF('Respuestas de formulario 1'!G681="""","""",IF(LEFT(REGEXREPLACE(TO_TEXT('Respuestas de formulario 1'!G681),""[^0-9]"",""""),2)=""54"",""+""&amp;REGEXREPLACE(TO_TEXT('Respuestas de formulario 1'!G681),""[^0-9]"",""""),""+54""&amp;REGEXREPLACE(TO_TEXT('Respuest"&amp;"as de formulario 1'!G681),""[^0-9]"","""")))"),"+543513507322")</f>
        <v>+543513507322</v>
      </c>
      <c r="H681" s="7">
        <f>'Respuestas de formulario 1'!S681</f>
        <v>2024</v>
      </c>
      <c r="I681" s="7" t="str">
        <f>IFERROR(__xludf.DUMMYFUNCTION("IF('Respuestas de formulario 1'!I681="""","""",TO_TEXT('Respuestas de formulario 1'!I681))"),"Particular")</f>
        <v>Particular</v>
      </c>
      <c r="J681" s="7" t="str">
        <f>IFERROR(__xludf.DUMMYFUNCTION("IF('Respuestas de formulario 1'!J681&lt;&gt;"""",UPPER(TRIM(TO_TEXT('Respuestas de formulario 1'!J681))),IF('Respuestas de formulario 1'!O681&lt;&gt;"""",UPPER(TRIM(TO_TEXT('Respuestas de formulario 1'!O681))),""""))"),"")</f>
        <v/>
      </c>
      <c r="K681" s="7" t="str">
        <f>IFERROR(__xludf.DUMMYFUNCTION("IF('Respuestas de formulario 1'!K681="""","""",TO_TEXT('Respuestas de formulario 1'!K681))"),"Si")</f>
        <v>Si</v>
      </c>
      <c r="L681" s="7" t="str">
        <f>IFERROR(__xludf.DUMMYFUNCTION("IF('Respuestas de formulario 1'!L681="""","""",TO_TEXT('Respuestas de formulario 1'!L681))"),"Fútbol")</f>
        <v>Fútbol</v>
      </c>
      <c r="M681" s="7" t="str">
        <f>IFERROR(__xludf.DUMMYFUNCTION("IF('Respuestas de formulario 1'!M681="""","""",TO_TEXT('Respuestas de formulario 1'!M681))"),"3 a 5 veces por semana")</f>
        <v>3 a 5 veces por semana</v>
      </c>
      <c r="N681" s="7">
        <f t="shared" si="1"/>
        <v>2024</v>
      </c>
      <c r="O681" s="7" t="str">
        <f t="shared" si="2"/>
        <v>septiembre</v>
      </c>
      <c r="P681" s="7" t="s">
        <v>5543</v>
      </c>
    </row>
    <row r="682">
      <c r="A682" s="19">
        <f>'Respuestas de formulario 1'!A682</f>
        <v>45544.41134</v>
      </c>
      <c r="B682" s="7" t="str">
        <f>'Respuestas de formulario 1'!B682</f>
        <v>Guerrini</v>
      </c>
      <c r="C682" s="7" t="str">
        <f>'Respuestas de formulario 1'!C682</f>
        <v>Marcelo</v>
      </c>
      <c r="D682" s="7" t="str">
        <f>'Respuestas de formulario 1'!D682</f>
        <v>marceguerrini@gmail.com</v>
      </c>
      <c r="E682" s="20">
        <f>'Respuestas de formulario 1'!E682</f>
        <v>45544</v>
      </c>
      <c r="F682" s="7">
        <f>'Respuestas de formulario 1'!F682</f>
        <v>27959232</v>
      </c>
      <c r="G682" s="7" t="str">
        <f>IFERROR(__xludf.DUMMYFUNCTION("IF('Respuestas de formulario 1'!G682="""","""",IF(LEFT(REGEXREPLACE(TO_TEXT('Respuestas de formulario 1'!G682),""[^0-9]"",""""),2)=""54"",""+""&amp;REGEXREPLACE(TO_TEXT('Respuestas de formulario 1'!G682),""[^0-9]"",""""),""+54""&amp;REGEXREPLACE(TO_TEXT('Respuest"&amp;"as de formulario 1'!G682),""[^0-9]"","""")))"),"+543512126260")</f>
        <v>+543512126260</v>
      </c>
      <c r="H682" s="7">
        <f>'Respuestas de formulario 1'!S682</f>
        <v>2024</v>
      </c>
      <c r="I682" s="7" t="str">
        <f>IFERROR(__xludf.DUMMYFUNCTION("IF('Respuestas de formulario 1'!I682="""","""",TO_TEXT('Respuestas de formulario 1'!I682))"),"Particular")</f>
        <v>Particular</v>
      </c>
      <c r="J682" s="7" t="str">
        <f>IFERROR(__xludf.DUMMYFUNCTION("IF('Respuestas de formulario 1'!J682&lt;&gt;"""",UPPER(TRIM(TO_TEXT('Respuestas de formulario 1'!J682))),IF('Respuestas de formulario 1'!O682&lt;&gt;"""",UPPER(TRIM(TO_TEXT('Respuestas de formulario 1'!O682))),""""))"),"")</f>
        <v/>
      </c>
      <c r="K682" s="7" t="str">
        <f>IFERROR(__xludf.DUMMYFUNCTION("IF('Respuestas de formulario 1'!K682="""","""",TO_TEXT('Respuestas de formulario 1'!K682))"),"Si")</f>
        <v>Si</v>
      </c>
      <c r="L682" s="7" t="str">
        <f>IFERROR(__xludf.DUMMYFUNCTION("IF('Respuestas de formulario 1'!L682="""","""",TO_TEXT('Respuestas de formulario 1'!L682))"),"Running")</f>
        <v>Running</v>
      </c>
      <c r="M682" s="7" t="str">
        <f>IFERROR(__xludf.DUMMYFUNCTION("IF('Respuestas de formulario 1'!M682="""","""",TO_TEXT('Respuestas de formulario 1'!M682))"),"1 a 2 veces por semana")</f>
        <v>1 a 2 veces por semana</v>
      </c>
      <c r="N682" s="7">
        <f t="shared" si="1"/>
        <v>2024</v>
      </c>
      <c r="O682" s="7" t="str">
        <f t="shared" si="2"/>
        <v>septiembre</v>
      </c>
      <c r="P682" s="7" t="s">
        <v>5545</v>
      </c>
    </row>
    <row r="683">
      <c r="A683" s="19">
        <f>'Respuestas de formulario 1'!A683</f>
        <v>45544.66914</v>
      </c>
      <c r="B683" s="7" t="str">
        <f>'Respuestas de formulario 1'!B683</f>
        <v>Malbrán</v>
      </c>
      <c r="C683" s="7" t="str">
        <f>'Respuestas de formulario 1'!C683</f>
        <v>Jorge</v>
      </c>
      <c r="D683" s="7" t="str">
        <f>'Respuestas de formulario 1'!D683</f>
        <v>jrmalbran@hotmai.com</v>
      </c>
      <c r="E683" s="20">
        <f>'Respuestas de formulario 1'!E683</f>
        <v>28410</v>
      </c>
      <c r="F683" s="7">
        <f>'Respuestas de formulario 1'!F683</f>
        <v>26178031</v>
      </c>
      <c r="G683" s="7" t="str">
        <f>IFERROR(__xludf.DUMMYFUNCTION("IF('Respuestas de formulario 1'!G683="""","""",IF(LEFT(REGEXREPLACE(TO_TEXT('Respuestas de formulario 1'!G683),""[^0-9]"",""""),2)=""54"",""+""&amp;REGEXREPLACE(TO_TEXT('Respuestas de formulario 1'!G683),""[^0-9]"",""""),""+54""&amp;REGEXREPLACE(TO_TEXT('Respuest"&amp;"as de formulario 1'!G683),""[^0-9]"","""")))"),"+543535656072")</f>
        <v>+543535656072</v>
      </c>
      <c r="H683" s="7">
        <f>'Respuestas de formulario 1'!S683</f>
        <v>2024</v>
      </c>
      <c r="I683" s="7" t="str">
        <f>IFERROR(__xludf.DUMMYFUNCTION("IF('Respuestas de formulario 1'!I683="""","""",TO_TEXT('Respuestas de formulario 1'!I683))"),"Obra social")</f>
        <v>Obra social</v>
      </c>
      <c r="J683" s="7" t="str">
        <f>IFERROR(__xludf.DUMMYFUNCTION("IF('Respuestas de formulario 1'!J683&lt;&gt;"""",UPPER(TRIM(TO_TEXT('Respuestas de formulario 1'!J683))),IF('Respuestas de formulario 1'!O683&lt;&gt;"""",UPPER(TRIM(TO_TEXT('Respuestas de formulario 1'!O683))),""""))"),"SANCOR")</f>
        <v>SANCOR</v>
      </c>
      <c r="K683" s="7" t="str">
        <f>IFERROR(__xludf.DUMMYFUNCTION("IF('Respuestas de formulario 1'!K683="""","""",TO_TEXT('Respuestas de formulario 1'!K683))"),"Si")</f>
        <v>Si</v>
      </c>
      <c r="L683" s="7" t="str">
        <f>IFERROR(__xludf.DUMMYFUNCTION("IF('Respuestas de formulario 1'!L683="""","""",TO_TEXT('Respuestas de formulario 1'!L683))"),"Padel, caminata.")</f>
        <v>Padel, caminata.</v>
      </c>
      <c r="M683" s="7" t="str">
        <f>IFERROR(__xludf.DUMMYFUNCTION("IF('Respuestas de formulario 1'!M683="""","""",TO_TEXT('Respuestas de formulario 1'!M683))"),"1 a 2 veces por semana")</f>
        <v>1 a 2 veces por semana</v>
      </c>
      <c r="N683" s="7">
        <f t="shared" si="1"/>
        <v>2024</v>
      </c>
      <c r="O683" s="7" t="str">
        <f t="shared" si="2"/>
        <v>septiembre</v>
      </c>
      <c r="P683" s="7" t="s">
        <v>5547</v>
      </c>
    </row>
    <row r="684">
      <c r="A684" s="19">
        <f>'Respuestas de formulario 1'!A684</f>
        <v>45544.68935</v>
      </c>
      <c r="B684" s="7" t="str">
        <f>'Respuestas de formulario 1'!B684</f>
        <v>Rojas</v>
      </c>
      <c r="C684" s="7" t="str">
        <f>'Respuestas de formulario 1'!C684</f>
        <v>Marco</v>
      </c>
      <c r="D684" s="7" t="str">
        <f>'Respuestas de formulario 1'!D684</f>
        <v/>
      </c>
      <c r="E684" s="20">
        <f>'Respuestas de formulario 1'!E684</f>
        <v>33753</v>
      </c>
      <c r="F684" s="7">
        <f>'Respuestas de formulario 1'!F684</f>
        <v>36431204</v>
      </c>
      <c r="G684" s="7" t="str">
        <f>IFERROR(__xludf.DUMMYFUNCTION("IF('Respuestas de formulario 1'!G684="""","""",IF(LEFT(REGEXREPLACE(TO_TEXT('Respuestas de formulario 1'!G684),""[^0-9]"",""""),2)=""54"",""+""&amp;REGEXREPLACE(TO_TEXT('Respuestas de formulario 1'!G684),""[^0-9]"",""""),""+54""&amp;REGEXREPLACE(TO_TEXT('Respuest"&amp;"as de formulario 1'!G684),""[^0-9]"","""")))"),"+543517066754")</f>
        <v>+543517066754</v>
      </c>
      <c r="H684" s="7">
        <f>'Respuestas de formulario 1'!S684</f>
        <v>2024</v>
      </c>
      <c r="I684" s="7" t="str">
        <f>IFERROR(__xludf.DUMMYFUNCTION("IF('Respuestas de formulario 1'!I684="""","""",TO_TEXT('Respuestas de formulario 1'!I684))"),"Obra social")</f>
        <v>Obra social</v>
      </c>
      <c r="J684" s="7" t="str">
        <f>IFERROR(__xludf.DUMMYFUNCTION("IF('Respuestas de formulario 1'!J684&lt;&gt;"""",UPPER(TRIM(TO_TEXT('Respuestas de formulario 1'!J684))),IF('Respuestas de formulario 1'!O684&lt;&gt;"""",UPPER(TRIM(TO_TEXT('Respuestas de formulario 1'!O684))),""""))"),"SANCOR")</f>
        <v>SANCOR</v>
      </c>
      <c r="K684" s="7" t="str">
        <f>IFERROR(__xludf.DUMMYFUNCTION("IF('Respuestas de formulario 1'!K684="""","""",TO_TEXT('Respuestas de formulario 1'!K684))"),"Si")</f>
        <v>Si</v>
      </c>
      <c r="L684" s="7" t="str">
        <f>IFERROR(__xludf.DUMMYFUNCTION("IF('Respuestas de formulario 1'!L684="""","""",TO_TEXT('Respuestas de formulario 1'!L684))"),"Fútbol")</f>
        <v>Fútbol</v>
      </c>
      <c r="M684" s="7" t="str">
        <f>IFERROR(__xludf.DUMMYFUNCTION("IF('Respuestas de formulario 1'!M684="""","""",TO_TEXT('Respuestas de formulario 1'!M684))"),"1 a 2 veces por semana")</f>
        <v>1 a 2 veces por semana</v>
      </c>
      <c r="N684" s="7">
        <f t="shared" si="1"/>
        <v>2024</v>
      </c>
      <c r="O684" s="7" t="str">
        <f t="shared" si="2"/>
        <v>septiembre</v>
      </c>
      <c r="P684" s="7" t="s">
        <v>5549</v>
      </c>
    </row>
    <row r="685">
      <c r="A685" s="19">
        <f>'Respuestas de formulario 1'!A685</f>
        <v>45544.7713</v>
      </c>
      <c r="B685" s="7" t="str">
        <f>'Respuestas de formulario 1'!B685</f>
        <v>Maurino</v>
      </c>
      <c r="C685" s="7" t="str">
        <f>'Respuestas de formulario 1'!C685</f>
        <v>Julio</v>
      </c>
      <c r="D685" s="7" t="str">
        <f>'Respuestas de formulario 1'!D685</f>
        <v>julio@sgv.com.ar</v>
      </c>
      <c r="E685" s="20">
        <f>'Respuestas de formulario 1'!E685</f>
        <v>28128</v>
      </c>
      <c r="F685" s="7">
        <f>'Respuestas de formulario 1'!F685</f>
        <v>25247502</v>
      </c>
      <c r="G685" s="7" t="str">
        <f>IFERROR(__xludf.DUMMYFUNCTION("IF('Respuestas de formulario 1'!G685="""","""",IF(LEFT(REGEXREPLACE(TO_TEXT('Respuestas de formulario 1'!G685),""[^0-9]"",""""),2)=""54"",""+""&amp;REGEXREPLACE(TO_TEXT('Respuestas de formulario 1'!G685),""[^0-9]"",""""),""+54""&amp;REGEXREPLACE(TO_TEXT('Respuest"&amp;"as de formulario 1'!G685),""[^0-9]"","""")))"),"+543515553532")</f>
        <v>+543515553532</v>
      </c>
      <c r="H685" s="7">
        <f>'Respuestas de formulario 1'!S685</f>
        <v>2024</v>
      </c>
      <c r="I685" s="7" t="str">
        <f>IFERROR(__xludf.DUMMYFUNCTION("IF('Respuestas de formulario 1'!I685="""","""",TO_TEXT('Respuestas de formulario 1'!I685))"),"Obra social")</f>
        <v>Obra social</v>
      </c>
      <c r="J685" s="7" t="str">
        <f>IFERROR(__xludf.DUMMYFUNCTION("IF('Respuestas de formulario 1'!J685&lt;&gt;"""",UPPER(TRIM(TO_TEXT('Respuestas de formulario 1'!J685))),IF('Respuestas de formulario 1'!O685&lt;&gt;"""",UPPER(TRIM(TO_TEXT('Respuestas de formulario 1'!O685))),""""))"),"CPCE")</f>
        <v>CPCE</v>
      </c>
      <c r="K685" s="7" t="str">
        <f>IFERROR(__xludf.DUMMYFUNCTION("IF('Respuestas de formulario 1'!K685="""","""",TO_TEXT('Respuestas de formulario 1'!K685))"),"Si")</f>
        <v>Si</v>
      </c>
      <c r="L685" s="7" t="str">
        <f>IFERROR(__xludf.DUMMYFUNCTION("IF('Respuestas de formulario 1'!L685="""","""",TO_TEXT('Respuestas de formulario 1'!L685))"),"Fútbol")</f>
        <v>Fútbol</v>
      </c>
      <c r="M685" s="7" t="str">
        <f>IFERROR(__xludf.DUMMYFUNCTION("IF('Respuestas de formulario 1'!M685="""","""",TO_TEXT('Respuestas de formulario 1'!M685))"),"1 a 2 veces por semana")</f>
        <v>1 a 2 veces por semana</v>
      </c>
      <c r="N685" s="7">
        <f t="shared" si="1"/>
        <v>2024</v>
      </c>
      <c r="O685" s="7" t="str">
        <f t="shared" si="2"/>
        <v>septiembre</v>
      </c>
      <c r="P685" s="7" t="s">
        <v>5551</v>
      </c>
    </row>
    <row r="686">
      <c r="A686" s="19">
        <f>'Respuestas de formulario 1'!A686</f>
        <v>45545.46656</v>
      </c>
      <c r="B686" s="7" t="str">
        <f>'Respuestas de formulario 1'!B686</f>
        <v>Guevara </v>
      </c>
      <c r="C686" s="7" t="str">
        <f>'Respuestas de formulario 1'!C686</f>
        <v>Mariela </v>
      </c>
      <c r="D686" s="7" t="str">
        <f>'Respuestas de formulario 1'!D686</f>
        <v>msguevara2@gmail.com</v>
      </c>
      <c r="E686" s="20">
        <f>'Respuestas de formulario 1'!E686</f>
        <v>30035</v>
      </c>
      <c r="F686" s="7">
        <f>'Respuestas de formulario 1'!F686</f>
        <v>29256259</v>
      </c>
      <c r="G686" s="7" t="str">
        <f>IFERROR(__xludf.DUMMYFUNCTION("IF('Respuestas de formulario 1'!G686="""","""",IF(LEFT(REGEXREPLACE(TO_TEXT('Respuestas de formulario 1'!G686),""[^0-9]"",""""),2)=""54"",""+""&amp;REGEXREPLACE(TO_TEXT('Respuestas de formulario 1'!G686),""[^0-9]"",""""),""+54""&amp;REGEXREPLACE(TO_TEXT('Respuest"&amp;"as de formulario 1'!G686),""[^0-9]"","""")))"),"+543512080135")</f>
        <v>+543512080135</v>
      </c>
      <c r="H686" s="7">
        <f>'Respuestas de formulario 1'!S686</f>
        <v>2024</v>
      </c>
      <c r="I686" s="7" t="str">
        <f>IFERROR(__xludf.DUMMYFUNCTION("IF('Respuestas de formulario 1'!I686="""","""",TO_TEXT('Respuestas de formulario 1'!I686))"),"Particular")</f>
        <v>Particular</v>
      </c>
      <c r="J686" s="7" t="str">
        <f>IFERROR(__xludf.DUMMYFUNCTION("IF('Respuestas de formulario 1'!J686&lt;&gt;"""",UPPER(TRIM(TO_TEXT('Respuestas de formulario 1'!J686))),IF('Respuestas de formulario 1'!O686&lt;&gt;"""",UPPER(TRIM(TO_TEXT('Respuestas de formulario 1'!O686))),""""))"),"")</f>
        <v/>
      </c>
      <c r="K686" s="7" t="str">
        <f>IFERROR(__xludf.DUMMYFUNCTION("IF('Respuestas de formulario 1'!K686="""","""",TO_TEXT('Respuestas de formulario 1'!K686))"),"No")</f>
        <v>No</v>
      </c>
      <c r="L686" s="7" t="str">
        <f>IFERROR(__xludf.DUMMYFUNCTION("IF('Respuestas de formulario 1'!L686="""","""",TO_TEXT('Respuestas de formulario 1'!L686))"),"")</f>
        <v/>
      </c>
      <c r="M686" s="7" t="str">
        <f>IFERROR(__xludf.DUMMYFUNCTION("IF('Respuestas de formulario 1'!M686="""","""",TO_TEXT('Respuestas de formulario 1'!M686))"),"")</f>
        <v/>
      </c>
      <c r="N686" s="7">
        <f t="shared" si="1"/>
        <v>2024</v>
      </c>
      <c r="O686" s="7" t="str">
        <f t="shared" si="2"/>
        <v>septiembre</v>
      </c>
      <c r="P686" s="7" t="s">
        <v>5553</v>
      </c>
    </row>
    <row r="687">
      <c r="A687" s="19">
        <f>'Respuestas de formulario 1'!A687</f>
        <v>45545.70997</v>
      </c>
      <c r="B687" s="7" t="str">
        <f>'Respuestas de formulario 1'!B687</f>
        <v>Pereyra</v>
      </c>
      <c r="C687" s="7" t="str">
        <f>'Respuestas de formulario 1'!C687</f>
        <v>Pablo</v>
      </c>
      <c r="D687" s="7" t="str">
        <f>'Respuestas de formulario 1'!D687</f>
        <v>pablodanielpereyra11@gmail.com</v>
      </c>
      <c r="E687" s="20">
        <f>'Respuestas de formulario 1'!E687</f>
        <v>30743</v>
      </c>
      <c r="F687" s="7">
        <f>'Respuestas de formulario 1'!F687</f>
        <v>30845183</v>
      </c>
      <c r="G687" s="7" t="str">
        <f>IFERROR(__xludf.DUMMYFUNCTION("IF('Respuestas de formulario 1'!G687="""","""",IF(LEFT(REGEXREPLACE(TO_TEXT('Respuestas de formulario 1'!G687),""[^0-9]"",""""),2)=""54"",""+""&amp;REGEXREPLACE(TO_TEXT('Respuestas de formulario 1'!G687),""[^0-9]"",""""),""+54""&amp;REGEXREPLACE(TO_TEXT('Respuest"&amp;"as de formulario 1'!G687),""[^0-9]"","""")))"),"+543516532594")</f>
        <v>+543516532594</v>
      </c>
      <c r="H687" s="7">
        <f>'Respuestas de formulario 1'!S687</f>
        <v>2024</v>
      </c>
      <c r="I687" s="7" t="str">
        <f>IFERROR(__xludf.DUMMYFUNCTION("IF('Respuestas de formulario 1'!I687="""","""",TO_TEXT('Respuestas de formulario 1'!I687))"),"Obra social")</f>
        <v>Obra social</v>
      </c>
      <c r="J687" s="7" t="str">
        <f>IFERROR(__xludf.DUMMYFUNCTION("IF('Respuestas de formulario 1'!J687&lt;&gt;"""",UPPER(TRIM(TO_TEXT('Respuestas de formulario 1'!J687))),IF('Respuestas de formulario 1'!O687&lt;&gt;"""",UPPER(TRIM(TO_TEXT('Respuestas de formulario 1'!O687))),""""))"),"APROSS")</f>
        <v>APROSS</v>
      </c>
      <c r="K687" s="7" t="str">
        <f>IFERROR(__xludf.DUMMYFUNCTION("IF('Respuestas de formulario 1'!K687="""","""",TO_TEXT('Respuestas de formulario 1'!K687))"),"Si")</f>
        <v>Si</v>
      </c>
      <c r="L687" s="7" t="str">
        <f>IFERROR(__xludf.DUMMYFUNCTION("IF('Respuestas de formulario 1'!L687="""","""",TO_TEXT('Respuestas de formulario 1'!L687))"),"Fútbol")</f>
        <v>Fútbol</v>
      </c>
      <c r="M687" s="7" t="str">
        <f>IFERROR(__xludf.DUMMYFUNCTION("IF('Respuestas de formulario 1'!M687="""","""",TO_TEXT('Respuestas de formulario 1'!M687))"),"3 a 5 veces por semana")</f>
        <v>3 a 5 veces por semana</v>
      </c>
      <c r="N687" s="7">
        <f t="shared" si="1"/>
        <v>2024</v>
      </c>
      <c r="O687" s="7" t="str">
        <f t="shared" si="2"/>
        <v>septiembre</v>
      </c>
      <c r="P687" s="7" t="s">
        <v>5555</v>
      </c>
    </row>
    <row r="688">
      <c r="A688" s="19">
        <f>'Respuestas de formulario 1'!A688</f>
        <v>45545.76431</v>
      </c>
      <c r="B688" s="7" t="str">
        <f>'Respuestas de formulario 1'!B688</f>
        <v>Hadad</v>
      </c>
      <c r="C688" s="7" t="str">
        <f>'Respuestas de formulario 1'!C688</f>
        <v>Diego Ignacio</v>
      </c>
      <c r="D688" s="7" t="str">
        <f>'Respuestas de formulario 1'!D688</f>
        <v>diegohadad10@gmail.com</v>
      </c>
      <c r="E688" s="20">
        <f>'Respuestas de formulario 1'!E688</f>
        <v>30927</v>
      </c>
      <c r="F688" s="7">
        <f>'Respuestas de formulario 1'!F688</f>
        <v>31056122</v>
      </c>
      <c r="G688" s="7" t="str">
        <f>IFERROR(__xludf.DUMMYFUNCTION("IF('Respuestas de formulario 1'!G688="""","""",IF(LEFT(REGEXREPLACE(TO_TEXT('Respuestas de formulario 1'!G688),""[^0-9]"",""""),2)=""54"",""+""&amp;REGEXREPLACE(TO_TEXT('Respuestas de formulario 1'!G688),""[^0-9]"",""""),""+54""&amp;REGEXREPLACE(TO_TEXT('Respuest"&amp;"as de formulario 1'!G688),""[^0-9]"","""")))"),"+543512458679")</f>
        <v>+543512458679</v>
      </c>
      <c r="H688" s="7">
        <f>'Respuestas de formulario 1'!S688</f>
        <v>2024</v>
      </c>
      <c r="I688" s="7" t="str">
        <f>IFERROR(__xludf.DUMMYFUNCTION("IF('Respuestas de formulario 1'!I688="""","""",TO_TEXT('Respuestas de formulario 1'!I688))"),"Obra social")</f>
        <v>Obra social</v>
      </c>
      <c r="J688" s="7" t="str">
        <f>IFERROR(__xludf.DUMMYFUNCTION("IF('Respuestas de formulario 1'!J688&lt;&gt;"""",UPPER(TRIM(TO_TEXT('Respuestas de formulario 1'!J688))),IF('Respuestas de formulario 1'!O688&lt;&gt;"""",UPPER(TRIM(TO_TEXT('Respuestas de formulario 1'!O688))),""""))"),"DASPU")</f>
        <v>DASPU</v>
      </c>
      <c r="K688" s="7" t="str">
        <f>IFERROR(__xludf.DUMMYFUNCTION("IF('Respuestas de formulario 1'!K688="""","""",TO_TEXT('Respuestas de formulario 1'!K688))"),"Si")</f>
        <v>Si</v>
      </c>
      <c r="L688" s="7" t="str">
        <f>IFERROR(__xludf.DUMMYFUNCTION("IF('Respuestas de formulario 1'!L688="""","""",TO_TEXT('Respuestas de formulario 1'!L688))"),"Fútbol")</f>
        <v>Fútbol</v>
      </c>
      <c r="M688" s="7" t="str">
        <f>IFERROR(__xludf.DUMMYFUNCTION("IF('Respuestas de formulario 1'!M688="""","""",TO_TEXT('Respuestas de formulario 1'!M688))"),"3 a 5 veces por semana")</f>
        <v>3 a 5 veces por semana</v>
      </c>
      <c r="N688" s="7">
        <f t="shared" si="1"/>
        <v>2024</v>
      </c>
      <c r="O688" s="7" t="str">
        <f t="shared" si="2"/>
        <v>septiembre</v>
      </c>
      <c r="P688" s="7" t="s">
        <v>5557</v>
      </c>
    </row>
    <row r="689">
      <c r="A689" s="19">
        <f>'Respuestas de formulario 1'!A689</f>
        <v>45545.79111</v>
      </c>
      <c r="B689" s="7" t="str">
        <f>'Respuestas de formulario 1'!B689</f>
        <v>Paez</v>
      </c>
      <c r="C689" s="7" t="str">
        <f>'Respuestas de formulario 1'!C689</f>
        <v>Sol</v>
      </c>
      <c r="D689" s="7" t="str">
        <f>'Respuestas de formulario 1'!D689</f>
        <v>solpaez.17@gmail.com</v>
      </c>
      <c r="E689" s="20">
        <f>'Respuestas de formulario 1'!E689</f>
        <v>29399</v>
      </c>
      <c r="F689" s="7">
        <f>'Respuestas de formulario 1'!F689</f>
        <v>28268901</v>
      </c>
      <c r="G689" s="7" t="str">
        <f>IFERROR(__xludf.DUMMYFUNCTION("IF('Respuestas de formulario 1'!G689="""","""",IF(LEFT(REGEXREPLACE(TO_TEXT('Respuestas de formulario 1'!G689),""[^0-9]"",""""),2)=""54"",""+""&amp;REGEXREPLACE(TO_TEXT('Respuestas de formulario 1'!G689),""[^0-9]"",""""),""+54""&amp;REGEXREPLACE(TO_TEXT('Respuest"&amp;"as de formulario 1'!G689),""[^0-9]"","""")))"),"+543515945432")</f>
        <v>+543515945432</v>
      </c>
      <c r="H689" s="7">
        <f>'Respuestas de formulario 1'!S689</f>
        <v>2024</v>
      </c>
      <c r="I689" s="7" t="str">
        <f>IFERROR(__xludf.DUMMYFUNCTION("IF('Respuestas de formulario 1'!I689="""","""",TO_TEXT('Respuestas de formulario 1'!I689))"),"Particular")</f>
        <v>Particular</v>
      </c>
      <c r="J689" s="7" t="str">
        <f>IFERROR(__xludf.DUMMYFUNCTION("IF('Respuestas de formulario 1'!J689&lt;&gt;"""",UPPER(TRIM(TO_TEXT('Respuestas de formulario 1'!J689))),IF('Respuestas de formulario 1'!O689&lt;&gt;"""",UPPER(TRIM(TO_TEXT('Respuestas de formulario 1'!O689))),""""))"),"")</f>
        <v/>
      </c>
      <c r="K689" s="7" t="str">
        <f>IFERROR(__xludf.DUMMYFUNCTION("IF('Respuestas de formulario 1'!K689="""","""",TO_TEXT('Respuestas de formulario 1'!K689))"),"Si")</f>
        <v>Si</v>
      </c>
      <c r="L689" s="7" t="str">
        <f>IFERROR(__xludf.DUMMYFUNCTION("IF('Respuestas de formulario 1'!L689="""","""",TO_TEXT('Respuestas de formulario 1'!L689))"),"Gimnasio")</f>
        <v>Gimnasio</v>
      </c>
      <c r="M689" s="7" t="str">
        <f>IFERROR(__xludf.DUMMYFUNCTION("IF('Respuestas de formulario 1'!M689="""","""",TO_TEXT('Respuestas de formulario 1'!M689))"),"1 a 2 veces por semana")</f>
        <v>1 a 2 veces por semana</v>
      </c>
      <c r="N689" s="7">
        <f t="shared" si="1"/>
        <v>2024</v>
      </c>
      <c r="O689" s="7" t="str">
        <f t="shared" si="2"/>
        <v>septiembre</v>
      </c>
      <c r="P689" s="7" t="s">
        <v>5559</v>
      </c>
    </row>
    <row r="690">
      <c r="A690" s="19">
        <f>'Respuestas de formulario 1'!A690</f>
        <v>45546.47468</v>
      </c>
      <c r="B690" s="7" t="str">
        <f>'Respuestas de formulario 1'!B690</f>
        <v>Diaz</v>
      </c>
      <c r="C690" s="7" t="str">
        <f>'Respuestas de formulario 1'!C690</f>
        <v>María Mauricia</v>
      </c>
      <c r="D690" s="7" t="str">
        <f>'Respuestas de formulario 1'!D690</f>
        <v>Norma.perez71@hotmail.com</v>
      </c>
      <c r="E690" s="20">
        <f>'Respuestas de formulario 1'!E690</f>
        <v>16337</v>
      </c>
      <c r="F690" s="7">
        <f>'Respuestas de formulario 1'!F690</f>
        <v>4891051</v>
      </c>
      <c r="G690" s="7" t="str">
        <f>IFERROR(__xludf.DUMMYFUNCTION("IF('Respuestas de formulario 1'!G690="""","""",IF(LEFT(REGEXREPLACE(TO_TEXT('Respuestas de formulario 1'!G690),""[^0-9]"",""""),2)=""54"",""+""&amp;REGEXREPLACE(TO_TEXT('Respuestas de formulario 1'!G690),""[^0-9]"",""""),""+54""&amp;REGEXREPLACE(TO_TEXT('Respuest"&amp;"as de formulario 1'!G690),""[^0-9]"","""")))"),"+542932467444")</f>
        <v>+542932467444</v>
      </c>
      <c r="H690" s="7">
        <f>'Respuestas de formulario 1'!S690</f>
        <v>2024</v>
      </c>
      <c r="I690" s="7" t="str">
        <f>IFERROR(__xludf.DUMMYFUNCTION("IF('Respuestas de formulario 1'!I690="""","""",TO_TEXT('Respuestas de formulario 1'!I690))"),"Particular")</f>
        <v>Particular</v>
      </c>
      <c r="J690" s="7" t="str">
        <f>IFERROR(__xludf.DUMMYFUNCTION("IF('Respuestas de formulario 1'!J690&lt;&gt;"""",UPPER(TRIM(TO_TEXT('Respuestas de formulario 1'!J690))),IF('Respuestas de formulario 1'!O690&lt;&gt;"""",UPPER(TRIM(TO_TEXT('Respuestas de formulario 1'!O690))),""""))"),"")</f>
        <v/>
      </c>
      <c r="K690" s="7" t="str">
        <f>IFERROR(__xludf.DUMMYFUNCTION("IF('Respuestas de formulario 1'!K690="""","""",TO_TEXT('Respuestas de formulario 1'!K690))"),"No")</f>
        <v>No</v>
      </c>
      <c r="L690" s="7" t="str">
        <f>IFERROR(__xludf.DUMMYFUNCTION("IF('Respuestas de formulario 1'!L690="""","""",TO_TEXT('Respuestas de formulario 1'!L690))"),"")</f>
        <v/>
      </c>
      <c r="M690" s="7" t="str">
        <f>IFERROR(__xludf.DUMMYFUNCTION("IF('Respuestas de formulario 1'!M690="""","""",TO_TEXT('Respuestas de formulario 1'!M690))"),"")</f>
        <v/>
      </c>
      <c r="N690" s="7">
        <f t="shared" si="1"/>
        <v>2024</v>
      </c>
      <c r="O690" s="7" t="str">
        <f t="shared" si="2"/>
        <v>septiembre</v>
      </c>
      <c r="P690" s="7" t="s">
        <v>5561</v>
      </c>
    </row>
    <row r="691">
      <c r="A691" s="19">
        <f>'Respuestas de formulario 1'!A691</f>
        <v>45546.5711</v>
      </c>
      <c r="B691" s="7" t="str">
        <f>'Respuestas de formulario 1'!B691</f>
        <v>Mateos</v>
      </c>
      <c r="C691" s="7" t="str">
        <f>'Respuestas de formulario 1'!C691</f>
        <v>Sebastian</v>
      </c>
      <c r="D691" s="7" t="str">
        <f>'Respuestas de formulario 1'!D691</f>
        <v>sebitamateos1080@gmail.com</v>
      </c>
      <c r="E691" s="20">
        <f>'Respuestas de formulario 1'!E691</f>
        <v>36034</v>
      </c>
      <c r="F691" s="7">
        <f>'Respuestas de formulario 1'!F691</f>
        <v>41482756</v>
      </c>
      <c r="G691" s="7" t="str">
        <f>IFERROR(__xludf.DUMMYFUNCTION("IF('Respuestas de formulario 1'!G691="""","""",IF(LEFT(REGEXREPLACE(TO_TEXT('Respuestas de formulario 1'!G691),""[^0-9]"",""""),2)=""54"",""+""&amp;REGEXREPLACE(TO_TEXT('Respuestas de formulario 1'!G691),""[^0-9]"",""""),""+54""&amp;REGEXREPLACE(TO_TEXT('Respuest"&amp;"as de formulario 1'!G691),""[^0-9]"","""")))"),"+543517441185")</f>
        <v>+543517441185</v>
      </c>
      <c r="H691" s="7">
        <f>'Respuestas de formulario 1'!S691</f>
        <v>2024</v>
      </c>
      <c r="I691" s="7" t="str">
        <f>IFERROR(__xludf.DUMMYFUNCTION("IF('Respuestas de formulario 1'!I691="""","""",TO_TEXT('Respuestas de formulario 1'!I691))"),"Obra social")</f>
        <v>Obra social</v>
      </c>
      <c r="J691" s="7" t="str">
        <f>IFERROR(__xludf.DUMMYFUNCTION("IF('Respuestas de formulario 1'!J691&lt;&gt;"""",UPPER(TRIM(TO_TEXT('Respuestas de formulario 1'!J691))),IF('Respuestas de formulario 1'!O691&lt;&gt;"""",UPPER(TRIM(TO_TEXT('Respuestas de formulario 1'!O691))),""""))"),"SANCOR")</f>
        <v>SANCOR</v>
      </c>
      <c r="K691" s="7" t="str">
        <f>IFERROR(__xludf.DUMMYFUNCTION("IF('Respuestas de formulario 1'!K691="""","""",TO_TEXT('Respuestas de formulario 1'!K691))"),"Si")</f>
        <v>Si</v>
      </c>
      <c r="L691" s="7" t="str">
        <f>IFERROR(__xludf.DUMMYFUNCTION("IF('Respuestas de formulario 1'!L691="""","""",TO_TEXT('Respuestas de formulario 1'!L691))"),"")</f>
        <v/>
      </c>
      <c r="M691" s="7" t="str">
        <f>IFERROR(__xludf.DUMMYFUNCTION("IF('Respuestas de formulario 1'!M691="""","""",TO_TEXT('Respuestas de formulario 1'!M691))"),"1 a 2 veces por semana")</f>
        <v>1 a 2 veces por semana</v>
      </c>
      <c r="N691" s="7">
        <f t="shared" si="1"/>
        <v>2024</v>
      </c>
      <c r="O691" s="7" t="str">
        <f t="shared" si="2"/>
        <v>septiembre</v>
      </c>
      <c r="P691" s="7" t="s">
        <v>5563</v>
      </c>
    </row>
    <row r="692">
      <c r="A692" s="19">
        <f>'Respuestas de formulario 1'!A692</f>
        <v>45547.58937</v>
      </c>
      <c r="B692" s="7" t="str">
        <f>'Respuestas de formulario 1'!B692</f>
        <v>Bustos </v>
      </c>
      <c r="C692" s="7" t="str">
        <f>'Respuestas de formulario 1'!C692</f>
        <v>Raquel elizabeth </v>
      </c>
      <c r="D692" s="7" t="str">
        <f>'Respuestas de formulario 1'!D692</f>
        <v>kelybus.1983@gmail.com</v>
      </c>
      <c r="E692" s="20">
        <f>'Respuestas de formulario 1'!E692</f>
        <v>30322</v>
      </c>
      <c r="F692" s="7">
        <f>'Respuestas de formulario 1'!F692</f>
        <v>29965182</v>
      </c>
      <c r="G692" s="7" t="str">
        <f>IFERROR(__xludf.DUMMYFUNCTION("IF('Respuestas de formulario 1'!G692="""","""",IF(LEFT(REGEXREPLACE(TO_TEXT('Respuestas de formulario 1'!G692),""[^0-9]"",""""),2)=""54"",""+""&amp;REGEXREPLACE(TO_TEXT('Respuestas de formulario 1'!G692),""[^0-9]"",""""),""+54""&amp;REGEXREPLACE(TO_TEXT('Respuest"&amp;"as de formulario 1'!G692),""[^0-9]"","""")))"),"+543515463038")</f>
        <v>+543515463038</v>
      </c>
      <c r="H692" s="7">
        <f>'Respuestas de formulario 1'!S692</f>
        <v>2024</v>
      </c>
      <c r="I692" s="7" t="str">
        <f>IFERROR(__xludf.DUMMYFUNCTION("IF('Respuestas de formulario 1'!I692="""","""",TO_TEXT('Respuestas de formulario 1'!I692))"),"Obra social")</f>
        <v>Obra social</v>
      </c>
      <c r="J692" s="7" t="str">
        <f>IFERROR(__xludf.DUMMYFUNCTION("IF('Respuestas de formulario 1'!J692&lt;&gt;"""",UPPER(TRIM(TO_TEXT('Respuestas de formulario 1'!J692))),IF('Respuestas de formulario 1'!O692&lt;&gt;"""",UPPER(TRIM(TO_TEXT('Respuestas de formulario 1'!O692))),""""))"),"BOREAL")</f>
        <v>BOREAL</v>
      </c>
      <c r="K692" s="7" t="str">
        <f>IFERROR(__xludf.DUMMYFUNCTION("IF('Respuestas de formulario 1'!K692="""","""",TO_TEXT('Respuestas de formulario 1'!K692))"),"No")</f>
        <v>No</v>
      </c>
      <c r="L692" s="7" t="str">
        <f>IFERROR(__xludf.DUMMYFUNCTION("IF('Respuestas de formulario 1'!L692="""","""",TO_TEXT('Respuestas de formulario 1'!L692))"),"")</f>
        <v/>
      </c>
      <c r="M692" s="7" t="str">
        <f>IFERROR(__xludf.DUMMYFUNCTION("IF('Respuestas de formulario 1'!M692="""","""",TO_TEXT('Respuestas de formulario 1'!M692))"),"")</f>
        <v/>
      </c>
      <c r="N692" s="7">
        <f t="shared" si="1"/>
        <v>2024</v>
      </c>
      <c r="O692" s="7" t="str">
        <f t="shared" si="2"/>
        <v>septiembre</v>
      </c>
      <c r="P692" s="7" t="s">
        <v>5565</v>
      </c>
    </row>
    <row r="693">
      <c r="A693" s="19">
        <f>'Respuestas de formulario 1'!A693</f>
        <v>45547.62265</v>
      </c>
      <c r="B693" s="7" t="str">
        <f>'Respuestas de formulario 1'!B693</f>
        <v>Garcia</v>
      </c>
      <c r="C693" s="7" t="str">
        <f>'Respuestas de formulario 1'!C693</f>
        <v>Graciela del Rosario</v>
      </c>
      <c r="D693" s="7" t="str">
        <f>'Respuestas de formulario 1'!D693</f>
        <v>MARIAFERNANDA_PERALTA@HOTMAIL.COM</v>
      </c>
      <c r="E693" s="20">
        <f>'Respuestas de formulario 1'!E693</f>
        <v>14697</v>
      </c>
      <c r="F693" s="7">
        <f>'Respuestas de formulario 1'!F693</f>
        <v>6342154</v>
      </c>
      <c r="G693" s="7" t="str">
        <f>IFERROR(__xludf.DUMMYFUNCTION("IF('Respuestas de formulario 1'!G693="""","""",IF(LEFT(REGEXREPLACE(TO_TEXT('Respuestas de formulario 1'!G693),""[^0-9]"",""""),2)=""54"",""+""&amp;REGEXREPLACE(TO_TEXT('Respuestas de formulario 1'!G693),""[^0-9]"",""""),""+54""&amp;REGEXREPLACE(TO_TEXT('Respuest"&amp;"as de formulario 1'!G693),""[^0-9]"","""")))"),"+543515055014")</f>
        <v>+543515055014</v>
      </c>
      <c r="H693" s="7">
        <f>'Respuestas de formulario 1'!S693</f>
        <v>2024</v>
      </c>
      <c r="I693" s="7" t="str">
        <f>IFERROR(__xludf.DUMMYFUNCTION("IF('Respuestas de formulario 1'!I693="""","""",TO_TEXT('Respuestas de formulario 1'!I693))"),"Particular")</f>
        <v>Particular</v>
      </c>
      <c r="J693" s="7" t="str">
        <f>IFERROR(__xludf.DUMMYFUNCTION("IF('Respuestas de formulario 1'!J693&lt;&gt;"""",UPPER(TRIM(TO_TEXT('Respuestas de formulario 1'!J693))),IF('Respuestas de formulario 1'!O693&lt;&gt;"""",UPPER(TRIM(TO_TEXT('Respuestas de formulario 1'!O693))),""""))"),"")</f>
        <v/>
      </c>
      <c r="K693" s="7" t="str">
        <f>IFERROR(__xludf.DUMMYFUNCTION("IF('Respuestas de formulario 1'!K693="""","""",TO_TEXT('Respuestas de formulario 1'!K693))"),"No")</f>
        <v>No</v>
      </c>
      <c r="L693" s="7" t="str">
        <f>IFERROR(__xludf.DUMMYFUNCTION("IF('Respuestas de formulario 1'!L693="""","""",TO_TEXT('Respuestas de formulario 1'!L693))"),"")</f>
        <v/>
      </c>
      <c r="M693" s="7" t="str">
        <f>IFERROR(__xludf.DUMMYFUNCTION("IF('Respuestas de formulario 1'!M693="""","""",TO_TEXT('Respuestas de formulario 1'!M693))"),"")</f>
        <v/>
      </c>
      <c r="N693" s="7">
        <f t="shared" si="1"/>
        <v>2024</v>
      </c>
      <c r="O693" s="7" t="str">
        <f t="shared" si="2"/>
        <v>septiembre</v>
      </c>
      <c r="P693" s="7" t="s">
        <v>5567</v>
      </c>
    </row>
    <row r="694">
      <c r="A694" s="19">
        <f>'Respuestas de formulario 1'!A694</f>
        <v>45547.77953</v>
      </c>
      <c r="B694" s="7" t="str">
        <f>'Respuestas de formulario 1'!B694</f>
        <v>Otero</v>
      </c>
      <c r="C694" s="7" t="str">
        <f>'Respuestas de formulario 1'!C694</f>
        <v>Rodrigo</v>
      </c>
      <c r="D694" s="7" t="str">
        <f>'Respuestas de formulario 1'!D694</f>
        <v>oterodrigo37@gmail.com</v>
      </c>
      <c r="E694" s="20">
        <f>'Respuestas de formulario 1'!E694</f>
        <v>34144</v>
      </c>
      <c r="F694" s="7">
        <f>'Respuestas de formulario 1'!F694</f>
        <v>37733553</v>
      </c>
      <c r="G694" s="7" t="str">
        <f>IFERROR(__xludf.DUMMYFUNCTION("IF('Respuestas de formulario 1'!G694="""","""",IF(LEFT(REGEXREPLACE(TO_TEXT('Respuestas de formulario 1'!G694),""[^0-9]"",""""),2)=""54"",""+""&amp;REGEXREPLACE(TO_TEXT('Respuestas de formulario 1'!G694),""[^0-9]"",""""),""+54""&amp;REGEXREPLACE(TO_TEXT('Respuest"&amp;"as de formulario 1'!G694),""[^0-9]"","""")))"),"+543513578110")</f>
        <v>+543513578110</v>
      </c>
      <c r="H694" s="7">
        <f>'Respuestas de formulario 1'!S694</f>
        <v>2024</v>
      </c>
      <c r="I694" s="7" t="str">
        <f>IFERROR(__xludf.DUMMYFUNCTION("IF('Respuestas de formulario 1'!I694="""","""",TO_TEXT('Respuestas de formulario 1'!I694))"),"Particular")</f>
        <v>Particular</v>
      </c>
      <c r="J694" s="7" t="str">
        <f>IFERROR(__xludf.DUMMYFUNCTION("IF('Respuestas de formulario 1'!J694&lt;&gt;"""",UPPER(TRIM(TO_TEXT('Respuestas de formulario 1'!J694))),IF('Respuestas de formulario 1'!O694&lt;&gt;"""",UPPER(TRIM(TO_TEXT('Respuestas de formulario 1'!O694))),""""))"),"")</f>
        <v/>
      </c>
      <c r="K694" s="7" t="str">
        <f>IFERROR(__xludf.DUMMYFUNCTION("IF('Respuestas de formulario 1'!K694="""","""",TO_TEXT('Respuestas de formulario 1'!K694))"),"No")</f>
        <v>No</v>
      </c>
      <c r="L694" s="7" t="str">
        <f>IFERROR(__xludf.DUMMYFUNCTION("IF('Respuestas de formulario 1'!L694="""","""",TO_TEXT('Respuestas de formulario 1'!L694))"),"")</f>
        <v/>
      </c>
      <c r="M694" s="7" t="str">
        <f>IFERROR(__xludf.DUMMYFUNCTION("IF('Respuestas de formulario 1'!M694="""","""",TO_TEXT('Respuestas de formulario 1'!M694))"),"")</f>
        <v/>
      </c>
      <c r="N694" s="7">
        <f t="shared" si="1"/>
        <v>2024</v>
      </c>
      <c r="O694" s="7" t="str">
        <f t="shared" si="2"/>
        <v>septiembre</v>
      </c>
      <c r="P694" s="7" t="s">
        <v>5569</v>
      </c>
    </row>
    <row r="695">
      <c r="A695" s="19">
        <f>'Respuestas de formulario 1'!A695</f>
        <v>45547.84218</v>
      </c>
      <c r="B695" s="7" t="str">
        <f>'Respuestas de formulario 1'!B695</f>
        <v>Ricci</v>
      </c>
      <c r="C695" s="7" t="str">
        <f>'Respuestas de formulario 1'!C695</f>
        <v>Bautista</v>
      </c>
      <c r="D695" s="7" t="str">
        <f>'Respuestas de formulario 1'!D695</f>
        <v>ricci_pablo@hotmail.com</v>
      </c>
      <c r="E695" s="20">
        <f>'Respuestas de formulario 1'!E695</f>
        <v>40377</v>
      </c>
      <c r="F695" s="7">
        <f>'Respuestas de formulario 1'!F695</f>
        <v>50329310</v>
      </c>
      <c r="G695" s="7" t="str">
        <f>IFERROR(__xludf.DUMMYFUNCTION("IF('Respuestas de formulario 1'!G695="""","""",IF(LEFT(REGEXREPLACE(TO_TEXT('Respuestas de formulario 1'!G695),""[^0-9]"",""""),2)=""54"",""+""&amp;REGEXREPLACE(TO_TEXT('Respuestas de formulario 1'!G695),""[^0-9]"",""""),""+54""&amp;REGEXREPLACE(TO_TEXT('Respuest"&amp;"as de formulario 1'!G695),""[^0-9]"","""")))"),"+543515595669")</f>
        <v>+543515595669</v>
      </c>
      <c r="H695" s="7">
        <f>'Respuestas de formulario 1'!S695</f>
        <v>2024</v>
      </c>
      <c r="I695" s="7" t="str">
        <f>IFERROR(__xludf.DUMMYFUNCTION("IF('Respuestas de formulario 1'!I695="""","""",TO_TEXT('Respuestas de formulario 1'!I695))"),"Obra social")</f>
        <v>Obra social</v>
      </c>
      <c r="J695" s="7" t="str">
        <f>IFERROR(__xludf.DUMMYFUNCTION("IF('Respuestas de formulario 1'!J695&lt;&gt;"""",UPPER(TRIM(TO_TEXT('Respuestas de formulario 1'!J695))),IF('Respuestas de formulario 1'!O695&lt;&gt;"""",UPPER(TRIM(TO_TEXT('Respuestas de formulario 1'!O695))),""""))"),"APROSS")</f>
        <v>APROSS</v>
      </c>
      <c r="K695" s="7" t="str">
        <f>IFERROR(__xludf.DUMMYFUNCTION("IF('Respuestas de formulario 1'!K695="""","""",TO_TEXT('Respuestas de formulario 1'!K695))"),"Si")</f>
        <v>Si</v>
      </c>
      <c r="L695" s="7" t="str">
        <f>IFERROR(__xludf.DUMMYFUNCTION("IF('Respuestas de formulario 1'!L695="""","""",TO_TEXT('Respuestas de formulario 1'!L695))"),"Futball y Gimnasio")</f>
        <v>Futball y Gimnasio</v>
      </c>
      <c r="M695" s="7" t="str">
        <f>IFERROR(__xludf.DUMMYFUNCTION("IF('Respuestas de formulario 1'!M695="""","""",TO_TEXT('Respuestas de formulario 1'!M695))"),"3 a 5 veces por semana")</f>
        <v>3 a 5 veces por semana</v>
      </c>
      <c r="N695" s="7">
        <f t="shared" si="1"/>
        <v>2024</v>
      </c>
      <c r="O695" s="7" t="str">
        <f t="shared" si="2"/>
        <v>septiembre</v>
      </c>
      <c r="P695" s="7" t="s">
        <v>5571</v>
      </c>
    </row>
    <row r="696">
      <c r="A696" s="19">
        <f>'Respuestas de formulario 1'!A696</f>
        <v>45548.39318</v>
      </c>
      <c r="B696" s="7" t="str">
        <f>'Respuestas de formulario 1'!B696</f>
        <v>Sampayo</v>
      </c>
      <c r="C696" s="7" t="str">
        <f>'Respuestas de formulario 1'!C696</f>
        <v>Alejandro</v>
      </c>
      <c r="D696" s="7" t="str">
        <f>'Respuestas de formulario 1'!D696</f>
        <v>Alesampayo.srf@gmail.com</v>
      </c>
      <c r="E696" s="20">
        <f>'Respuestas de formulario 1'!E696</f>
        <v>35834</v>
      </c>
      <c r="F696" s="7">
        <f>'Respuestas de formulario 1'!F696</f>
        <v>40941470</v>
      </c>
      <c r="G696" s="7" t="str">
        <f>IFERROR(__xludf.DUMMYFUNCTION("IF('Respuestas de formulario 1'!G696="""","""",IF(LEFT(REGEXREPLACE(TO_TEXT('Respuestas de formulario 1'!G696),""[^0-9]"",""""),2)=""54"",""+""&amp;REGEXREPLACE(TO_TEXT('Respuestas de formulario 1'!G696),""[^0-9]"",""""),""+54""&amp;REGEXREPLACE(TO_TEXT('Respuest"&amp;"as de formulario 1'!G696),""[^0-9]"","""")))"),"+543513849359")</f>
        <v>+543513849359</v>
      </c>
      <c r="H696" s="7">
        <f>'Respuestas de formulario 1'!S696</f>
        <v>2024</v>
      </c>
      <c r="I696" s="7" t="str">
        <f>IFERROR(__xludf.DUMMYFUNCTION("IF('Respuestas de formulario 1'!I696="""","""",TO_TEXT('Respuestas de formulario 1'!I696))"),"Particular")</f>
        <v>Particular</v>
      </c>
      <c r="J696" s="7" t="str">
        <f>IFERROR(__xludf.DUMMYFUNCTION("IF('Respuestas de formulario 1'!J696&lt;&gt;"""",UPPER(TRIM(TO_TEXT('Respuestas de formulario 1'!J696))),IF('Respuestas de formulario 1'!O696&lt;&gt;"""",UPPER(TRIM(TO_TEXT('Respuestas de formulario 1'!O696))),""""))"),"")</f>
        <v/>
      </c>
      <c r="K696" s="7" t="str">
        <f>IFERROR(__xludf.DUMMYFUNCTION("IF('Respuestas de formulario 1'!K696="""","""",TO_TEXT('Respuestas de formulario 1'!K696))"),"Si")</f>
        <v>Si</v>
      </c>
      <c r="L696" s="7" t="str">
        <f>IFERROR(__xludf.DUMMYFUNCTION("IF('Respuestas de formulario 1'!L696="""","""",TO_TEXT('Respuestas de formulario 1'!L696))"),"Gimnasio")</f>
        <v>Gimnasio</v>
      </c>
      <c r="M696" s="7" t="str">
        <f>IFERROR(__xludf.DUMMYFUNCTION("IF('Respuestas de formulario 1'!M696="""","""",TO_TEXT('Respuestas de formulario 1'!M696))"),"3 a 5 veces por semana")</f>
        <v>3 a 5 veces por semana</v>
      </c>
      <c r="N696" s="7">
        <f t="shared" si="1"/>
        <v>2024</v>
      </c>
      <c r="O696" s="7" t="str">
        <f t="shared" si="2"/>
        <v>septiembre</v>
      </c>
      <c r="P696" s="7" t="s">
        <v>5573</v>
      </c>
    </row>
    <row r="697">
      <c r="A697" s="19">
        <f>'Respuestas de formulario 1'!A697</f>
        <v>45551.59474</v>
      </c>
      <c r="B697" s="7" t="str">
        <f>'Respuestas de formulario 1'!B697</f>
        <v>Ferro</v>
      </c>
      <c r="C697" s="7" t="str">
        <f>'Respuestas de formulario 1'!C697</f>
        <v>Estefania Eva</v>
      </c>
      <c r="D697" s="7" t="str">
        <f>'Respuestas de formulario 1'!D697</f>
        <v>Ferroestefania@gmail.com</v>
      </c>
      <c r="E697" s="20">
        <f>'Respuestas de formulario 1'!E697</f>
        <v>32762</v>
      </c>
      <c r="F697" s="7">
        <f>'Respuestas de formulario 1'!F697</f>
        <v>34768805</v>
      </c>
      <c r="G697" s="7" t="str">
        <f>IFERROR(__xludf.DUMMYFUNCTION("IF('Respuestas de formulario 1'!G697="""","""",IF(LEFT(REGEXREPLACE(TO_TEXT('Respuestas de formulario 1'!G697),""[^0-9]"",""""),2)=""54"",""+""&amp;REGEXREPLACE(TO_TEXT('Respuestas de formulario 1'!G697),""[^0-9]"",""""),""+54""&amp;REGEXREPLACE(TO_TEXT('Respuest"&amp;"as de formulario 1'!G697),""[^0-9]"","""")))"),"+543512085290")</f>
        <v>+543512085290</v>
      </c>
      <c r="H697" s="7">
        <f>'Respuestas de formulario 1'!S697</f>
        <v>2024</v>
      </c>
      <c r="I697" s="7" t="str">
        <f>IFERROR(__xludf.DUMMYFUNCTION("IF('Respuestas de formulario 1'!I697="""","""",TO_TEXT('Respuestas de formulario 1'!I697))"),"Obra social")</f>
        <v>Obra social</v>
      </c>
      <c r="J697" s="7" t="str">
        <f>IFERROR(__xludf.DUMMYFUNCTION("IF('Respuestas de formulario 1'!J697&lt;&gt;"""",UPPER(TRIM(TO_TEXT('Respuestas de formulario 1'!J697))),IF('Respuestas de formulario 1'!O697&lt;&gt;"""",UPPER(TRIM(TO_TEXT('Respuestas de formulario 1'!O697))),""""))"),"PREVENCIÓN")</f>
        <v>PREVENCIÓN</v>
      </c>
      <c r="K697" s="7" t="str">
        <f>IFERROR(__xludf.DUMMYFUNCTION("IF('Respuestas de formulario 1'!K697="""","""",TO_TEXT('Respuestas de formulario 1'!K697))"),"Si")</f>
        <v>Si</v>
      </c>
      <c r="L697" s="7" t="str">
        <f>IFERROR(__xludf.DUMMYFUNCTION("IF('Respuestas de formulario 1'!L697="""","""",TO_TEXT('Respuestas de formulario 1'!L697))"),"Running")</f>
        <v>Running</v>
      </c>
      <c r="M697" s="7" t="str">
        <f>IFERROR(__xludf.DUMMYFUNCTION("IF('Respuestas de formulario 1'!M697="""","""",TO_TEXT('Respuestas de formulario 1'!M697))"),"3 a 5 veces por semana")</f>
        <v>3 a 5 veces por semana</v>
      </c>
      <c r="N697" s="7">
        <f t="shared" si="1"/>
        <v>2024</v>
      </c>
      <c r="O697" s="7" t="str">
        <f t="shared" si="2"/>
        <v>septiembre</v>
      </c>
      <c r="P697" s="7" t="s">
        <v>5575</v>
      </c>
    </row>
    <row r="698">
      <c r="A698" s="19">
        <f>'Respuestas de formulario 1'!A698</f>
        <v>45551.71452</v>
      </c>
      <c r="B698" s="7" t="str">
        <f>'Respuestas de formulario 1'!B698</f>
        <v>Moran</v>
      </c>
      <c r="C698" s="7" t="str">
        <f>'Respuestas de formulario 1'!C698</f>
        <v>Nahuel</v>
      </c>
      <c r="D698" s="7" t="str">
        <f>'Respuestas de formulario 1'!D698</f>
        <v>eduardomoran22@gmail.com</v>
      </c>
      <c r="E698" s="20">
        <f>'Respuestas de formulario 1'!E698</f>
        <v>32512</v>
      </c>
      <c r="F698" s="7">
        <f>'Respuestas de formulario 1'!F698</f>
        <v>34188738</v>
      </c>
      <c r="G698" s="7" t="str">
        <f>IFERROR(__xludf.DUMMYFUNCTION("IF('Respuestas de formulario 1'!G698="""","""",IF(LEFT(REGEXREPLACE(TO_TEXT('Respuestas de formulario 1'!G698),""[^0-9]"",""""),2)=""54"",""+""&amp;REGEXREPLACE(TO_TEXT('Respuestas de formulario 1'!G698),""[^0-9]"",""""),""+54""&amp;REGEXREPLACE(TO_TEXT('Respuest"&amp;"as de formulario 1'!G698),""[^0-9]"","""")))"),"+543517405784")</f>
        <v>+543517405784</v>
      </c>
      <c r="H698" s="7">
        <f>'Respuestas de formulario 1'!S698</f>
        <v>2024</v>
      </c>
      <c r="I698" s="7" t="str">
        <f>IFERROR(__xludf.DUMMYFUNCTION("IF('Respuestas de formulario 1'!I698="""","""",TO_TEXT('Respuestas de formulario 1'!I698))"),"Obra social")</f>
        <v>Obra social</v>
      </c>
      <c r="J698" s="7" t="str">
        <f>IFERROR(__xludf.DUMMYFUNCTION("IF('Respuestas de formulario 1'!J698&lt;&gt;"""",UPPER(TRIM(TO_TEXT('Respuestas de formulario 1'!J698))),IF('Respuestas de formulario 1'!O698&lt;&gt;"""",UPPER(TRIM(TO_TEXT('Respuestas de formulario 1'!O698))),""""))"),"APROSS")</f>
        <v>APROSS</v>
      </c>
      <c r="K698" s="7" t="str">
        <f>IFERROR(__xludf.DUMMYFUNCTION("IF('Respuestas de formulario 1'!K698="""","""",TO_TEXT('Respuestas de formulario 1'!K698))"),"Si")</f>
        <v>Si</v>
      </c>
      <c r="L698" s="7" t="str">
        <f>IFERROR(__xludf.DUMMYFUNCTION("IF('Respuestas de formulario 1'!L698="""","""",TO_TEXT('Respuestas de formulario 1'!L698))"),"Gimnasio")</f>
        <v>Gimnasio</v>
      </c>
      <c r="M698" s="7" t="str">
        <f>IFERROR(__xludf.DUMMYFUNCTION("IF('Respuestas de formulario 1'!M698="""","""",TO_TEXT('Respuestas de formulario 1'!M698))"),"3 a 5 veces por semana")</f>
        <v>3 a 5 veces por semana</v>
      </c>
      <c r="N698" s="7">
        <f t="shared" si="1"/>
        <v>2024</v>
      </c>
      <c r="O698" s="7" t="str">
        <f t="shared" si="2"/>
        <v>septiembre</v>
      </c>
      <c r="P698" s="7" t="s">
        <v>5577</v>
      </c>
    </row>
    <row r="699">
      <c r="A699" s="19">
        <f>'Respuestas de formulario 1'!A699</f>
        <v>45551.71581</v>
      </c>
      <c r="B699" s="7" t="str">
        <f>'Respuestas de formulario 1'!B699</f>
        <v>Zogbi</v>
      </c>
      <c r="C699" s="7" t="str">
        <f>'Respuestas de formulario 1'!C699</f>
        <v>Santiago Tomas</v>
      </c>
      <c r="D699" s="7" t="str">
        <f>'Respuestas de formulario 1'!D699</f>
        <v>santizogbi98@gmail.com</v>
      </c>
      <c r="E699" s="20">
        <f>'Respuestas de formulario 1'!E699</f>
        <v>35899</v>
      </c>
      <c r="F699" s="7">
        <f>'Respuestas de formulario 1'!F699</f>
        <v>41115028</v>
      </c>
      <c r="G699" s="7" t="str">
        <f>IFERROR(__xludf.DUMMYFUNCTION("IF('Respuestas de formulario 1'!G699="""","""",IF(LEFT(REGEXREPLACE(TO_TEXT('Respuestas de formulario 1'!G699),""[^0-9]"",""""),2)=""54"",""+""&amp;REGEXREPLACE(TO_TEXT('Respuestas de formulario 1'!G699),""[^0-9]"",""""),""+54""&amp;REGEXREPLACE(TO_TEXT('Respuest"&amp;"as de formulario 1'!G699),""[^0-9]"","""")))"),"+543513434424")</f>
        <v>+543513434424</v>
      </c>
      <c r="H699" s="7">
        <f>'Respuestas de formulario 1'!S699</f>
        <v>2024</v>
      </c>
      <c r="I699" s="7" t="str">
        <f>IFERROR(__xludf.DUMMYFUNCTION("IF('Respuestas de formulario 1'!I699="""","""",TO_TEXT('Respuestas de formulario 1'!I699))"),"Obra social")</f>
        <v>Obra social</v>
      </c>
      <c r="J699" s="7" t="str">
        <f>IFERROR(__xludf.DUMMYFUNCTION("IF('Respuestas de formulario 1'!J699&lt;&gt;"""",UPPER(TRIM(TO_TEXT('Respuestas de formulario 1'!J699))),IF('Respuestas de formulario 1'!O699&lt;&gt;"""",UPPER(TRIM(TO_TEXT('Respuestas de formulario 1'!O699))),""""))"),"APROSS")</f>
        <v>APROSS</v>
      </c>
      <c r="K699" s="7" t="str">
        <f>IFERROR(__xludf.DUMMYFUNCTION("IF('Respuestas de formulario 1'!K699="""","""",TO_TEXT('Respuestas de formulario 1'!K699))"),"Si")</f>
        <v>Si</v>
      </c>
      <c r="L699" s="7" t="str">
        <f>IFERROR(__xludf.DUMMYFUNCTION("IF('Respuestas de formulario 1'!L699="""","""",TO_TEXT('Respuestas de formulario 1'!L699))"),"Padel, Futbol y Gimnasio ")</f>
        <v>Padel, Futbol y Gimnasio </v>
      </c>
      <c r="M699" s="7" t="str">
        <f>IFERROR(__xludf.DUMMYFUNCTION("IF('Respuestas de formulario 1'!M699="""","""",TO_TEXT('Respuestas de formulario 1'!M699))"),"3 a 5 veces por semana")</f>
        <v>3 a 5 veces por semana</v>
      </c>
      <c r="N699" s="7">
        <f t="shared" si="1"/>
        <v>2024</v>
      </c>
      <c r="O699" s="7" t="str">
        <f t="shared" si="2"/>
        <v>septiembre</v>
      </c>
      <c r="P699" s="7" t="s">
        <v>5579</v>
      </c>
    </row>
    <row r="700">
      <c r="A700" s="19">
        <f>'Respuestas de formulario 1'!A700</f>
        <v>45552.37839</v>
      </c>
      <c r="B700" s="7" t="str">
        <f>'Respuestas de formulario 1'!B700</f>
        <v>Adamo</v>
      </c>
      <c r="C700" s="7" t="str">
        <f>'Respuestas de formulario 1'!C700</f>
        <v>Sofia</v>
      </c>
      <c r="D700" s="7" t="str">
        <f>'Respuestas de formulario 1'!D700</f>
        <v>sofiadamo@hotmail.com</v>
      </c>
      <c r="E700" s="20">
        <f>'Respuestas de formulario 1'!E700</f>
        <v>33300</v>
      </c>
      <c r="F700" s="7">
        <f>'Respuestas de formulario 1'!F700</f>
        <v>35577658</v>
      </c>
      <c r="G700" s="7" t="str">
        <f>IFERROR(__xludf.DUMMYFUNCTION("IF('Respuestas de formulario 1'!G700="""","""",IF(LEFT(REGEXREPLACE(TO_TEXT('Respuestas de formulario 1'!G700),""[^0-9]"",""""),2)=""54"",""+""&amp;REGEXREPLACE(TO_TEXT('Respuestas de formulario 1'!G700),""[^0-9]"",""""),""+54""&amp;REGEXREPLACE(TO_TEXT('Respuest"&amp;"as de formulario 1'!G700),""[^0-9]"","""")))"),"+543517422014")</f>
        <v>+543517422014</v>
      </c>
      <c r="H700" s="7">
        <f>'Respuestas de formulario 1'!S700</f>
        <v>2024</v>
      </c>
      <c r="I700" s="7" t="str">
        <f>IFERROR(__xludf.DUMMYFUNCTION("IF('Respuestas de formulario 1'!I700="""","""",TO_TEXT('Respuestas de formulario 1'!I700))"),"Obra social")</f>
        <v>Obra social</v>
      </c>
      <c r="J700" s="7" t="str">
        <f>IFERROR(__xludf.DUMMYFUNCTION("IF('Respuestas de formulario 1'!J700&lt;&gt;"""",UPPER(TRIM(TO_TEXT('Respuestas de formulario 1'!J700))),IF('Respuestas de formulario 1'!O700&lt;&gt;"""",UPPER(TRIM(TO_TEXT('Respuestas de formulario 1'!O700))),""""))"),"SANCOR")</f>
        <v>SANCOR</v>
      </c>
      <c r="K700" s="7" t="str">
        <f>IFERROR(__xludf.DUMMYFUNCTION("IF('Respuestas de formulario 1'!K700="""","""",TO_TEXT('Respuestas de formulario 1'!K700))"),"Si")</f>
        <v>Si</v>
      </c>
      <c r="L700" s="7" t="str">
        <f>IFERROR(__xludf.DUMMYFUNCTION("IF('Respuestas de formulario 1'!L700="""","""",TO_TEXT('Respuestas de formulario 1'!L700))"),"Fútbol")</f>
        <v>Fútbol</v>
      </c>
      <c r="M700" s="7" t="str">
        <f>IFERROR(__xludf.DUMMYFUNCTION("IF('Respuestas de formulario 1'!M700="""","""",TO_TEXT('Respuestas de formulario 1'!M700))"),"3 a 5 veces por semana")</f>
        <v>3 a 5 veces por semana</v>
      </c>
      <c r="N700" s="7">
        <f t="shared" si="1"/>
        <v>2024</v>
      </c>
      <c r="O700" s="7" t="str">
        <f t="shared" si="2"/>
        <v>septiembre</v>
      </c>
      <c r="P700" s="7" t="s">
        <v>5581</v>
      </c>
    </row>
    <row r="701">
      <c r="A701" s="19">
        <f>'Respuestas de formulario 1'!A701</f>
        <v>45552.79051</v>
      </c>
      <c r="B701" s="7" t="str">
        <f>'Respuestas de formulario 1'!B701</f>
        <v>Aragones</v>
      </c>
      <c r="C701" s="7" t="str">
        <f>'Respuestas de formulario 1'!C701</f>
        <v>Marianela</v>
      </c>
      <c r="D701" s="7" t="str">
        <f>'Respuestas de formulario 1'!D701</f>
        <v>maridrew13@gmail.com</v>
      </c>
      <c r="E701" s="20">
        <f>'Respuestas de formulario 1'!E701</f>
        <v>35723</v>
      </c>
      <c r="F701" s="7">
        <f>'Respuestas de formulario 1'!F701</f>
        <v>40681753</v>
      </c>
      <c r="G701" s="7" t="str">
        <f>IFERROR(__xludf.DUMMYFUNCTION("IF('Respuestas de formulario 1'!G701="""","""",IF(LEFT(REGEXREPLACE(TO_TEXT('Respuestas de formulario 1'!G701),""[^0-9]"",""""),2)=""54"",""+""&amp;REGEXREPLACE(TO_TEXT('Respuestas de formulario 1'!G701),""[^0-9]"",""""),""+54""&amp;REGEXREPLACE(TO_TEXT('Respuest"&amp;"as de formulario 1'!G701),""[^0-9]"","""")))"),"+543513251381")</f>
        <v>+543513251381</v>
      </c>
      <c r="H701" s="7">
        <f>'Respuestas de formulario 1'!S701</f>
        <v>2024</v>
      </c>
      <c r="I701" s="7" t="str">
        <f>IFERROR(__xludf.DUMMYFUNCTION("IF('Respuestas de formulario 1'!I701="""","""",TO_TEXT('Respuestas de formulario 1'!I701))"),"Particular")</f>
        <v>Particular</v>
      </c>
      <c r="J701" s="7" t="str">
        <f>IFERROR(__xludf.DUMMYFUNCTION("IF('Respuestas de formulario 1'!J701&lt;&gt;"""",UPPER(TRIM(TO_TEXT('Respuestas de formulario 1'!J701))),IF('Respuestas de formulario 1'!O701&lt;&gt;"""",UPPER(TRIM(TO_TEXT('Respuestas de formulario 1'!O701))),""""))"),"")</f>
        <v/>
      </c>
      <c r="K701" s="7" t="str">
        <f>IFERROR(__xludf.DUMMYFUNCTION("IF('Respuestas de formulario 1'!K701="""","""",TO_TEXT('Respuestas de formulario 1'!K701))"),"Si")</f>
        <v>Si</v>
      </c>
      <c r="L701" s="7" t="str">
        <f>IFERROR(__xludf.DUMMYFUNCTION("IF('Respuestas de formulario 1'!L701="""","""",TO_TEXT('Respuestas de formulario 1'!L701))"),"Gimnasio")</f>
        <v>Gimnasio</v>
      </c>
      <c r="M701" s="7" t="str">
        <f>IFERROR(__xludf.DUMMYFUNCTION("IF('Respuestas de formulario 1'!M701="""","""",TO_TEXT('Respuestas de formulario 1'!M701))"),"3 a 5 veces por semana")</f>
        <v>3 a 5 veces por semana</v>
      </c>
      <c r="N701" s="7">
        <f t="shared" si="1"/>
        <v>2024</v>
      </c>
      <c r="O701" s="7" t="str">
        <f t="shared" si="2"/>
        <v>septiembre</v>
      </c>
      <c r="P701" s="7" t="s">
        <v>5583</v>
      </c>
    </row>
    <row r="702">
      <c r="A702" s="19">
        <f>'Respuestas de formulario 1'!A702</f>
        <v>45552.82243</v>
      </c>
      <c r="B702" s="7" t="str">
        <f>'Respuestas de formulario 1'!B702</f>
        <v>Hechalar</v>
      </c>
      <c r="C702" s="7" t="str">
        <f>'Respuestas de formulario 1'!C702</f>
        <v>Gaston </v>
      </c>
      <c r="D702" s="7" t="str">
        <f>'Respuestas de formulario 1'!D702</f>
        <v>Gastonhechalar@gmail.com</v>
      </c>
      <c r="E702" s="20">
        <f>'Respuestas de formulario 1'!E702</f>
        <v>32802</v>
      </c>
      <c r="F702" s="7">
        <f>'Respuestas de formulario 1'!F702</f>
        <v>34838579</v>
      </c>
      <c r="G702" s="7" t="str">
        <f>IFERROR(__xludf.DUMMYFUNCTION("IF('Respuestas de formulario 1'!G702="""","""",IF(LEFT(REGEXREPLACE(TO_TEXT('Respuestas de formulario 1'!G702),""[^0-9]"",""""),2)=""54"",""+""&amp;REGEXREPLACE(TO_TEXT('Respuestas de formulario 1'!G702),""[^0-9]"",""""),""+54""&amp;REGEXREPLACE(TO_TEXT('Respuest"&amp;"as de formulario 1'!G702),""[^0-9]"","""")))"),"+543515998963")</f>
        <v>+543515998963</v>
      </c>
      <c r="H702" s="7">
        <f>'Respuestas de formulario 1'!S702</f>
        <v>2024</v>
      </c>
      <c r="I702" s="7" t="str">
        <f>IFERROR(__xludf.DUMMYFUNCTION("IF('Respuestas de formulario 1'!I702="""","""",TO_TEXT('Respuestas de formulario 1'!I702))"),"Particular")</f>
        <v>Particular</v>
      </c>
      <c r="J702" s="7" t="str">
        <f>IFERROR(__xludf.DUMMYFUNCTION("IF('Respuestas de formulario 1'!J702&lt;&gt;"""",UPPER(TRIM(TO_TEXT('Respuestas de formulario 1'!J702))),IF('Respuestas de formulario 1'!O702&lt;&gt;"""",UPPER(TRIM(TO_TEXT('Respuestas de formulario 1'!O702))),""""))"),"")</f>
        <v/>
      </c>
      <c r="K702" s="7" t="str">
        <f>IFERROR(__xludf.DUMMYFUNCTION("IF('Respuestas de formulario 1'!K702="""","""",TO_TEXT('Respuestas de formulario 1'!K702))"),"Si")</f>
        <v>Si</v>
      </c>
      <c r="L702" s="7" t="str">
        <f>IFERROR(__xludf.DUMMYFUNCTION("IF('Respuestas de formulario 1'!L702="""","""",TO_TEXT('Respuestas de formulario 1'!L702))"),"Fútbol")</f>
        <v>Fútbol</v>
      </c>
      <c r="M702" s="7" t="str">
        <f>IFERROR(__xludf.DUMMYFUNCTION("IF('Respuestas de formulario 1'!M702="""","""",TO_TEXT('Respuestas de formulario 1'!M702))"),"3 a 5 veces por semana")</f>
        <v>3 a 5 veces por semana</v>
      </c>
      <c r="N702" s="7">
        <f t="shared" si="1"/>
        <v>2024</v>
      </c>
      <c r="O702" s="7" t="str">
        <f t="shared" si="2"/>
        <v>septiembre</v>
      </c>
      <c r="P702" s="7" t="s">
        <v>5585</v>
      </c>
    </row>
    <row r="703">
      <c r="A703" s="19">
        <f>'Respuestas de formulario 1'!A703</f>
        <v>45553.68741</v>
      </c>
      <c r="B703" s="7" t="str">
        <f>'Respuestas de formulario 1'!B703</f>
        <v>Ramallo</v>
      </c>
      <c r="C703" s="7" t="str">
        <f>'Respuestas de formulario 1'!C703</f>
        <v>Amir</v>
      </c>
      <c r="D703" s="7" t="str">
        <f>'Respuestas de formulario 1'!D703</f>
        <v>amiirramallo31031998@gmail.com</v>
      </c>
      <c r="E703" s="20">
        <f>'Respuestas de formulario 1'!E703</f>
        <v>35885</v>
      </c>
      <c r="F703" s="7">
        <f>'Respuestas de formulario 1'!F703</f>
        <v>41115033</v>
      </c>
      <c r="G703" s="7" t="str">
        <f>IFERROR(__xludf.DUMMYFUNCTION("IF('Respuestas de formulario 1'!G703="""","""",IF(LEFT(REGEXREPLACE(TO_TEXT('Respuestas de formulario 1'!G703),""[^0-9]"",""""),2)=""54"",""+""&amp;REGEXREPLACE(TO_TEXT('Respuestas de formulario 1'!G703),""[^0-9]"",""""),""+54""&amp;REGEXREPLACE(TO_TEXT('Respuest"&amp;"as de formulario 1'!G703),""[^0-9]"","""")))"),"+543518723367")</f>
        <v>+543518723367</v>
      </c>
      <c r="H703" s="7">
        <f>'Respuestas de formulario 1'!S703</f>
        <v>2024</v>
      </c>
      <c r="I703" s="7" t="str">
        <f>IFERROR(__xludf.DUMMYFUNCTION("IF('Respuestas de formulario 1'!I703="""","""",TO_TEXT('Respuestas de formulario 1'!I703))"),"Particular")</f>
        <v>Particular</v>
      </c>
      <c r="J703" s="7" t="str">
        <f>IFERROR(__xludf.DUMMYFUNCTION("IF('Respuestas de formulario 1'!J703&lt;&gt;"""",UPPER(TRIM(TO_TEXT('Respuestas de formulario 1'!J703))),IF('Respuestas de formulario 1'!O703&lt;&gt;"""",UPPER(TRIM(TO_TEXT('Respuestas de formulario 1'!O703))),""""))"),"")</f>
        <v/>
      </c>
      <c r="K703" s="7" t="str">
        <f>IFERROR(__xludf.DUMMYFUNCTION("IF('Respuestas de formulario 1'!K703="""","""",TO_TEXT('Respuestas de formulario 1'!K703))"),"Si")</f>
        <v>Si</v>
      </c>
      <c r="L703" s="7" t="str">
        <f>IFERROR(__xludf.DUMMYFUNCTION("IF('Respuestas de formulario 1'!L703="""","""",TO_TEXT('Respuestas de formulario 1'!L703))"),"Fútbol")</f>
        <v>Fútbol</v>
      </c>
      <c r="M703" s="7" t="str">
        <f>IFERROR(__xludf.DUMMYFUNCTION("IF('Respuestas de formulario 1'!M703="""","""",TO_TEXT('Respuestas de formulario 1'!M703))"),"3 a 5 veces por semana")</f>
        <v>3 a 5 veces por semana</v>
      </c>
      <c r="N703" s="7">
        <f t="shared" si="1"/>
        <v>2024</v>
      </c>
      <c r="O703" s="7" t="str">
        <f t="shared" si="2"/>
        <v>septiembre</v>
      </c>
      <c r="P703" s="7" t="s">
        <v>5587</v>
      </c>
    </row>
    <row r="704">
      <c r="A704" s="19">
        <f>'Respuestas de formulario 1'!A704</f>
        <v>45553.8337</v>
      </c>
      <c r="B704" s="7" t="str">
        <f>'Respuestas de formulario 1'!B704</f>
        <v>Romero</v>
      </c>
      <c r="C704" s="7" t="str">
        <f>'Respuestas de formulario 1'!C704</f>
        <v>Benjamin</v>
      </c>
      <c r="D704" s="7" t="str">
        <f>'Respuestas de formulario 1'!D704</f>
        <v>danimjuri@hotmail.com</v>
      </c>
      <c r="E704" s="20">
        <f>'Respuestas de formulario 1'!E704</f>
        <v>41024</v>
      </c>
      <c r="F704" s="7">
        <f>'Respuestas de formulario 1'!F704</f>
        <v>52157219</v>
      </c>
      <c r="G704" s="7" t="str">
        <f>IFERROR(__xludf.DUMMYFUNCTION("IF('Respuestas de formulario 1'!G704="""","""",IF(LEFT(REGEXREPLACE(TO_TEXT('Respuestas de formulario 1'!G704),""[^0-9]"",""""),2)=""54"",""+""&amp;REGEXREPLACE(TO_TEXT('Respuestas de formulario 1'!G704),""[^0-9]"",""""),""+54""&amp;REGEXREPLACE(TO_TEXT('Respuest"&amp;"as de formulario 1'!G704),""[^0-9]"","""")))"),"+543513164275")</f>
        <v>+543513164275</v>
      </c>
      <c r="H704" s="7">
        <f>'Respuestas de formulario 1'!S704</f>
        <v>2024</v>
      </c>
      <c r="I704" s="7" t="str">
        <f>IFERROR(__xludf.DUMMYFUNCTION("IF('Respuestas de formulario 1'!I704="""","""",TO_TEXT('Respuestas de formulario 1'!I704))"),"Particular")</f>
        <v>Particular</v>
      </c>
      <c r="J704" s="7" t="str">
        <f>IFERROR(__xludf.DUMMYFUNCTION("IF('Respuestas de formulario 1'!J704&lt;&gt;"""",UPPER(TRIM(TO_TEXT('Respuestas de formulario 1'!J704))),IF('Respuestas de formulario 1'!O704&lt;&gt;"""",UPPER(TRIM(TO_TEXT('Respuestas de formulario 1'!O704))),""""))"),"")</f>
        <v/>
      </c>
      <c r="K704" s="7" t="str">
        <f>IFERROR(__xludf.DUMMYFUNCTION("IF('Respuestas de formulario 1'!K704="""","""",TO_TEXT('Respuestas de formulario 1'!K704))"),"Si")</f>
        <v>Si</v>
      </c>
      <c r="L704" s="7" t="str">
        <f>IFERROR(__xludf.DUMMYFUNCTION("IF('Respuestas de formulario 1'!L704="""","""",TO_TEXT('Respuestas de formulario 1'!L704))"),"Fútbol")</f>
        <v>Fútbol</v>
      </c>
      <c r="M704" s="7" t="str">
        <f>IFERROR(__xludf.DUMMYFUNCTION("IF('Respuestas de formulario 1'!M704="""","""",TO_TEXT('Respuestas de formulario 1'!M704))"),"3 a 5 veces por semana")</f>
        <v>3 a 5 veces por semana</v>
      </c>
      <c r="N704" s="7">
        <f t="shared" si="1"/>
        <v>2024</v>
      </c>
      <c r="O704" s="7" t="str">
        <f t="shared" si="2"/>
        <v>septiembre</v>
      </c>
      <c r="P704" s="7" t="s">
        <v>5589</v>
      </c>
    </row>
    <row r="705">
      <c r="A705" s="19">
        <f>'Respuestas de formulario 1'!A705</f>
        <v>45554.54234</v>
      </c>
      <c r="B705" s="7" t="str">
        <f>'Respuestas de formulario 1'!B705</f>
        <v>Villullas </v>
      </c>
      <c r="C705" s="7" t="str">
        <f>'Respuestas de formulario 1'!C705</f>
        <v>Susana </v>
      </c>
      <c r="D705" s="7" t="str">
        <f>'Respuestas de formulario 1'!D705</f>
        <v>susanavillullas@hotmail.com</v>
      </c>
      <c r="E705" s="20">
        <f>'Respuestas de formulario 1'!E705</f>
        <v>22445</v>
      </c>
      <c r="F705" s="7">
        <f>'Respuestas de formulario 1'!F705</f>
        <v>14401315</v>
      </c>
      <c r="G705" s="7" t="str">
        <f>IFERROR(__xludf.DUMMYFUNCTION("IF('Respuestas de formulario 1'!G705="""","""",IF(LEFT(REGEXREPLACE(TO_TEXT('Respuestas de formulario 1'!G705),""[^0-9]"",""""),2)=""54"",""+""&amp;REGEXREPLACE(TO_TEXT('Respuestas de formulario 1'!G705),""[^0-9]"",""""),""+54""&amp;REGEXREPLACE(TO_TEXT('Respuest"&amp;"as de formulario 1'!G705),""[^0-9]"","""")))"),"+543513703952")</f>
        <v>+543513703952</v>
      </c>
      <c r="H705" s="7">
        <f>'Respuestas de formulario 1'!S705</f>
        <v>2024</v>
      </c>
      <c r="I705" s="7" t="str">
        <f>IFERROR(__xludf.DUMMYFUNCTION("IF('Respuestas de formulario 1'!I705="""","""",TO_TEXT('Respuestas de formulario 1'!I705))"),"Obra social")</f>
        <v>Obra social</v>
      </c>
      <c r="J705" s="7" t="str">
        <f>IFERROR(__xludf.DUMMYFUNCTION("IF('Respuestas de formulario 1'!J705&lt;&gt;"""",UPPER(TRIM(TO_TEXT('Respuestas de formulario 1'!J705))),IF('Respuestas de formulario 1'!O705&lt;&gt;"""",UPPER(TRIM(TO_TEXT('Respuestas de formulario 1'!O705))),""""))"),"APROSS")</f>
        <v>APROSS</v>
      </c>
      <c r="K705" s="7" t="str">
        <f>IFERROR(__xludf.DUMMYFUNCTION("IF('Respuestas de formulario 1'!K705="""","""",TO_TEXT('Respuestas de formulario 1'!K705))"),"Si")</f>
        <v>Si</v>
      </c>
      <c r="L705" s="7" t="str">
        <f>IFERROR(__xludf.DUMMYFUNCTION("IF('Respuestas de formulario 1'!L705="""","""",TO_TEXT('Respuestas de formulario 1'!L705))"),"Caminata")</f>
        <v>Caminata</v>
      </c>
      <c r="M705" s="7" t="str">
        <f>IFERROR(__xludf.DUMMYFUNCTION("IF('Respuestas de formulario 1'!M705="""","""",TO_TEXT('Respuestas de formulario 1'!M705))"),"1 a 2 veces por semana")</f>
        <v>1 a 2 veces por semana</v>
      </c>
      <c r="N705" s="7">
        <f t="shared" si="1"/>
        <v>2024</v>
      </c>
      <c r="O705" s="7" t="str">
        <f t="shared" si="2"/>
        <v>septiembre</v>
      </c>
      <c r="P705" s="7" t="s">
        <v>5591</v>
      </c>
    </row>
    <row r="706">
      <c r="A706" s="19">
        <f>'Respuestas de formulario 1'!A706</f>
        <v>45555.55361</v>
      </c>
      <c r="B706" s="7" t="str">
        <f>'Respuestas de formulario 1'!B706</f>
        <v>Rostagno</v>
      </c>
      <c r="C706" s="7" t="str">
        <f>'Respuestas de formulario 1'!C706</f>
        <v>Leandro</v>
      </c>
      <c r="D706" s="7" t="str">
        <f>'Respuestas de formulario 1'!D706</f>
        <v/>
      </c>
      <c r="E706" s="20">
        <f>'Respuestas de formulario 1'!E706</f>
        <v>36621</v>
      </c>
      <c r="F706" s="7">
        <f>'Respuestas de formulario 1'!F706</f>
        <v>42439947</v>
      </c>
      <c r="G706" s="7" t="str">
        <f>IFERROR(__xludf.DUMMYFUNCTION("IF('Respuestas de formulario 1'!G706="""","""",IF(LEFT(REGEXREPLACE(TO_TEXT('Respuestas de formulario 1'!G706),""[^0-9]"",""""),2)=""54"",""+""&amp;REGEXREPLACE(TO_TEXT('Respuestas de formulario 1'!G706),""[^0-9]"",""""),""+54""&amp;REGEXREPLACE(TO_TEXT('Respuest"&amp;"as de formulario 1'!G706),""[^0-9]"","""")))"),"+543513576395")</f>
        <v>+543513576395</v>
      </c>
      <c r="H706" s="7">
        <f>'Respuestas de formulario 1'!S706</f>
        <v>2024</v>
      </c>
      <c r="I706" s="7" t="str">
        <f>IFERROR(__xludf.DUMMYFUNCTION("IF('Respuestas de formulario 1'!I706="""","""",TO_TEXT('Respuestas de formulario 1'!I706))"),"Obra social")</f>
        <v>Obra social</v>
      </c>
      <c r="J706" s="7" t="str">
        <f>IFERROR(__xludf.DUMMYFUNCTION("IF('Respuestas de formulario 1'!J706&lt;&gt;"""",UPPER(TRIM(TO_TEXT('Respuestas de formulario 1'!J706))),IF('Respuestas de formulario 1'!O706&lt;&gt;"""",UPPER(TRIM(TO_TEXT('Respuestas de formulario 1'!O706))),""""))"),"SWISS MEDICAL")</f>
        <v>SWISS MEDICAL</v>
      </c>
      <c r="K706" s="7" t="str">
        <f>IFERROR(__xludf.DUMMYFUNCTION("IF('Respuestas de formulario 1'!K706="""","""",TO_TEXT('Respuestas de formulario 1'!K706))"),"Si")</f>
        <v>Si</v>
      </c>
      <c r="L706" s="7" t="str">
        <f>IFERROR(__xludf.DUMMYFUNCTION("IF('Respuestas de formulario 1'!L706="""","""",TO_TEXT('Respuestas de formulario 1'!L706))"),"Gimnasio, natación, pádel ")</f>
        <v>Gimnasio, natación, pádel </v>
      </c>
      <c r="M706" s="7" t="str">
        <f>IFERROR(__xludf.DUMMYFUNCTION("IF('Respuestas de formulario 1'!M706="""","""",TO_TEXT('Respuestas de formulario 1'!M706))"),"3 a 5 veces por semana")</f>
        <v>3 a 5 veces por semana</v>
      </c>
      <c r="N706" s="7">
        <f t="shared" si="1"/>
        <v>2024</v>
      </c>
      <c r="O706" s="7" t="str">
        <f t="shared" si="2"/>
        <v>septiembre</v>
      </c>
      <c r="P706" s="7" t="s">
        <v>5593</v>
      </c>
    </row>
    <row r="707">
      <c r="A707" s="19">
        <f>'Respuestas de formulario 1'!A707</f>
        <v>45555.82222</v>
      </c>
      <c r="B707" s="7" t="str">
        <f>'Respuestas de formulario 1'!B707</f>
        <v>Pianaroli</v>
      </c>
      <c r="C707" s="7" t="str">
        <f>'Respuestas de formulario 1'!C707</f>
        <v>Bruno brandon</v>
      </c>
      <c r="D707" s="7" t="str">
        <f>'Respuestas de formulario 1'!D707</f>
        <v>Lalii.pedernera18@gmail.com</v>
      </c>
      <c r="E707" s="20">
        <f>'Respuestas de formulario 1'!E707</f>
        <v>35830</v>
      </c>
      <c r="F707" s="7">
        <f>'Respuestas de formulario 1'!F707</f>
        <v>40940701</v>
      </c>
      <c r="G707" s="7" t="str">
        <f>IFERROR(__xludf.DUMMYFUNCTION("IF('Respuestas de formulario 1'!G707="""","""",IF(LEFT(REGEXREPLACE(TO_TEXT('Respuestas de formulario 1'!G707),""[^0-9]"",""""),2)=""54"",""+""&amp;REGEXREPLACE(TO_TEXT('Respuestas de formulario 1'!G707),""[^0-9]"",""""),""+54""&amp;REGEXREPLACE(TO_TEXT('Respuest"&amp;"as de formulario 1'!G707),""[^0-9]"","""")))"),"+543516596518")</f>
        <v>+543516596518</v>
      </c>
      <c r="H707" s="7">
        <f>'Respuestas de formulario 1'!S707</f>
        <v>2024</v>
      </c>
      <c r="I707" s="7" t="str">
        <f>IFERROR(__xludf.DUMMYFUNCTION("IF('Respuestas de formulario 1'!I707="""","""",TO_TEXT('Respuestas de formulario 1'!I707))"),"Obra social")</f>
        <v>Obra social</v>
      </c>
      <c r="J707" s="7" t="str">
        <f>IFERROR(__xludf.DUMMYFUNCTION("IF('Respuestas de formulario 1'!J707&lt;&gt;"""",UPPER(TRIM(TO_TEXT('Respuestas de formulario 1'!J707))),IF('Respuestas de formulario 1'!O707&lt;&gt;"""",UPPER(TRIM(TO_TEXT('Respuestas de formulario 1'!O707))),""""))"),"BOREAL")</f>
        <v>BOREAL</v>
      </c>
      <c r="K707" s="7" t="str">
        <f>IFERROR(__xludf.DUMMYFUNCTION("IF('Respuestas de formulario 1'!K707="""","""",TO_TEXT('Respuestas de formulario 1'!K707))"),"Si")</f>
        <v>Si</v>
      </c>
      <c r="L707" s="7" t="str">
        <f>IFERROR(__xludf.DUMMYFUNCTION("IF('Respuestas de formulario 1'!L707="""","""",TO_TEXT('Respuestas de formulario 1'!L707))"),"Fútbol")</f>
        <v>Fútbol</v>
      </c>
      <c r="M707" s="7" t="str">
        <f>IFERROR(__xludf.DUMMYFUNCTION("IF('Respuestas de formulario 1'!M707="""","""",TO_TEXT('Respuestas de formulario 1'!M707))"),"1 a 2 veces por semana")</f>
        <v>1 a 2 veces por semana</v>
      </c>
      <c r="N707" s="7">
        <f t="shared" si="1"/>
        <v>2024</v>
      </c>
      <c r="O707" s="7" t="str">
        <f t="shared" si="2"/>
        <v>septiembre</v>
      </c>
      <c r="P707" s="7" t="s">
        <v>5595</v>
      </c>
    </row>
    <row r="708">
      <c r="A708" s="19">
        <f>'Respuestas de formulario 1'!A708</f>
        <v>45559.69</v>
      </c>
      <c r="B708" s="7" t="str">
        <f>'Respuestas de formulario 1'!B708</f>
        <v>HERRERA</v>
      </c>
      <c r="C708" s="7" t="str">
        <f>'Respuestas de formulario 1'!C708</f>
        <v>ISABELLA</v>
      </c>
      <c r="D708" s="7" t="str">
        <f>'Respuestas de formulario 1'!D708</f>
        <v>isabellaherreranasif@gmail.com</v>
      </c>
      <c r="E708" s="20">
        <f>'Respuestas de formulario 1'!E708</f>
        <v>39413</v>
      </c>
      <c r="F708" s="7">
        <f>'Respuestas de formulario 1'!F708</f>
        <v>48041313</v>
      </c>
      <c r="G708" s="7" t="str">
        <f>IFERROR(__xludf.DUMMYFUNCTION("IF('Respuestas de formulario 1'!G708="""","""",IF(LEFT(REGEXREPLACE(TO_TEXT('Respuestas de formulario 1'!G708),""[^0-9]"",""""),2)=""54"",""+""&amp;REGEXREPLACE(TO_TEXT('Respuestas de formulario 1'!G708),""[^0-9]"",""""),""+54""&amp;REGEXREPLACE(TO_TEXT('Respuest"&amp;"as de formulario 1'!G708),""[^0-9]"","""")))"),"+543513276306")</f>
        <v>+543513276306</v>
      </c>
      <c r="H708" s="7">
        <f>'Respuestas de formulario 1'!S708</f>
        <v>2024</v>
      </c>
      <c r="I708" s="7" t="str">
        <f>IFERROR(__xludf.DUMMYFUNCTION("IF('Respuestas de formulario 1'!I708="""","""",TO_TEXT('Respuestas de formulario 1'!I708))"),"Particular")</f>
        <v>Particular</v>
      </c>
      <c r="J708" s="7" t="str">
        <f>IFERROR(__xludf.DUMMYFUNCTION("IF('Respuestas de formulario 1'!J708&lt;&gt;"""",UPPER(TRIM(TO_TEXT('Respuestas de formulario 1'!J708))),IF('Respuestas de formulario 1'!O708&lt;&gt;"""",UPPER(TRIM(TO_TEXT('Respuestas de formulario 1'!O708))),""""))"),"")</f>
        <v/>
      </c>
      <c r="K708" s="7" t="str">
        <f>IFERROR(__xludf.DUMMYFUNCTION("IF('Respuestas de formulario 1'!K708="""","""",TO_TEXT('Respuestas de formulario 1'!K708))"),"No")</f>
        <v>No</v>
      </c>
      <c r="L708" s="7" t="str">
        <f>IFERROR(__xludf.DUMMYFUNCTION("IF('Respuestas de formulario 1'!L708="""","""",TO_TEXT('Respuestas de formulario 1'!L708))"),"")</f>
        <v/>
      </c>
      <c r="M708" s="7" t="str">
        <f>IFERROR(__xludf.DUMMYFUNCTION("IF('Respuestas de formulario 1'!M708="""","""",TO_TEXT('Respuestas de formulario 1'!M708))"),"")</f>
        <v/>
      </c>
      <c r="N708" s="7">
        <f t="shared" si="1"/>
        <v>2024</v>
      </c>
      <c r="O708" s="7" t="str">
        <f t="shared" si="2"/>
        <v>septiembre</v>
      </c>
      <c r="P708" s="7" t="s">
        <v>5597</v>
      </c>
    </row>
    <row r="709">
      <c r="A709" s="19">
        <f>'Respuestas de formulario 1'!A709</f>
        <v>45560.38234</v>
      </c>
      <c r="B709" s="7" t="str">
        <f>'Respuestas de formulario 1'!B709</f>
        <v>Corzo</v>
      </c>
      <c r="C709" s="7" t="str">
        <f>'Respuestas de formulario 1'!C709</f>
        <v>Renzo</v>
      </c>
      <c r="D709" s="7" t="str">
        <f>'Respuestas de formulario 1'!D709</f>
        <v>renzogonzalocorzo@gmail.com</v>
      </c>
      <c r="E709" s="20">
        <f>'Respuestas de formulario 1'!E709</f>
        <v>32899</v>
      </c>
      <c r="F709" s="7">
        <f>'Respuestas de formulario 1'!F709</f>
        <v>34849685</v>
      </c>
      <c r="G709" s="7" t="str">
        <f>IFERROR(__xludf.DUMMYFUNCTION("IF('Respuestas de formulario 1'!G709="""","""",IF(LEFT(REGEXREPLACE(TO_TEXT('Respuestas de formulario 1'!G709),""[^0-9]"",""""),2)=""54"",""+""&amp;REGEXREPLACE(TO_TEXT('Respuestas de formulario 1'!G709),""[^0-9]"",""""),""+54""&amp;REGEXREPLACE(TO_TEXT('Respuest"&amp;"as de formulario 1'!G709),""[^0-9]"","""")))"),"+543515436185")</f>
        <v>+543515436185</v>
      </c>
      <c r="H709" s="7">
        <f>'Respuestas de formulario 1'!S709</f>
        <v>2024</v>
      </c>
      <c r="I709" s="7" t="str">
        <f>IFERROR(__xludf.DUMMYFUNCTION("IF('Respuestas de formulario 1'!I709="""","""",TO_TEXT('Respuestas de formulario 1'!I709))"),"Particular")</f>
        <v>Particular</v>
      </c>
      <c r="J709" s="7" t="str">
        <f>IFERROR(__xludf.DUMMYFUNCTION("IF('Respuestas de formulario 1'!J709&lt;&gt;"""",UPPER(TRIM(TO_TEXT('Respuestas de formulario 1'!J709))),IF('Respuestas de formulario 1'!O709&lt;&gt;"""",UPPER(TRIM(TO_TEXT('Respuestas de formulario 1'!O709))),""""))"),"")</f>
        <v/>
      </c>
      <c r="K709" s="7" t="str">
        <f>IFERROR(__xludf.DUMMYFUNCTION("IF('Respuestas de formulario 1'!K709="""","""",TO_TEXT('Respuestas de formulario 1'!K709))"),"Si")</f>
        <v>Si</v>
      </c>
      <c r="L709" s="7" t="str">
        <f>IFERROR(__xludf.DUMMYFUNCTION("IF('Respuestas de formulario 1'!L709="""","""",TO_TEXT('Respuestas de formulario 1'!L709))"),"Fútbol")</f>
        <v>Fútbol</v>
      </c>
      <c r="M709" s="7" t="str">
        <f>IFERROR(__xludf.DUMMYFUNCTION("IF('Respuestas de formulario 1'!M709="""","""",TO_TEXT('Respuestas de formulario 1'!M709))"),"1 a 2 veces por semana")</f>
        <v>1 a 2 veces por semana</v>
      </c>
      <c r="N709" s="7">
        <f t="shared" si="1"/>
        <v>2024</v>
      </c>
      <c r="O709" s="7" t="str">
        <f t="shared" si="2"/>
        <v>septiembre</v>
      </c>
      <c r="P709" s="7" t="s">
        <v>5599</v>
      </c>
    </row>
    <row r="710">
      <c r="A710" s="19">
        <f>'Respuestas de formulario 1'!A710</f>
        <v>45560.43886</v>
      </c>
      <c r="B710" s="7" t="str">
        <f>'Respuestas de formulario 1'!B710</f>
        <v>Tabares </v>
      </c>
      <c r="C710" s="7" t="str">
        <f>'Respuestas de formulario 1'!C710</f>
        <v>Andres</v>
      </c>
      <c r="D710" s="7" t="str">
        <f>'Respuestas de formulario 1'!D710</f>
        <v>andres17ttt@gmail.com</v>
      </c>
      <c r="E710" s="20">
        <f>'Respuestas de formulario 1'!E710</f>
        <v>-662917</v>
      </c>
      <c r="F710" s="7">
        <f>'Respuestas de formulario 1'!F710</f>
        <v>31222813</v>
      </c>
      <c r="G710" s="7" t="str">
        <f>IFERROR(__xludf.DUMMYFUNCTION("IF('Respuestas de formulario 1'!G710="""","""",IF(LEFT(REGEXREPLACE(TO_TEXT('Respuestas de formulario 1'!G710),""[^0-9]"",""""),2)=""54"",""+""&amp;REGEXREPLACE(TO_TEXT('Respuestas de formulario 1'!G710),""[^0-9]"",""""),""+54""&amp;REGEXREPLACE(TO_TEXT('Respuest"&amp;"as de formulario 1'!G710),""[^0-9]"","""")))"),"+543515169410")</f>
        <v>+543515169410</v>
      </c>
      <c r="H710" s="7">
        <f>'Respuestas de formulario 1'!S710</f>
        <v>2024</v>
      </c>
      <c r="I710" s="7" t="str">
        <f>IFERROR(__xludf.DUMMYFUNCTION("IF('Respuestas de formulario 1'!I710="""","""",TO_TEXT('Respuestas de formulario 1'!I710))"),"Particular")</f>
        <v>Particular</v>
      </c>
      <c r="J710" s="7" t="str">
        <f>IFERROR(__xludf.DUMMYFUNCTION("IF('Respuestas de formulario 1'!J710&lt;&gt;"""",UPPER(TRIM(TO_TEXT('Respuestas de formulario 1'!J710))),IF('Respuestas de formulario 1'!O710&lt;&gt;"""",UPPER(TRIM(TO_TEXT('Respuestas de formulario 1'!O710))),""""))"),"")</f>
        <v/>
      </c>
      <c r="K710" s="7" t="str">
        <f>IFERROR(__xludf.DUMMYFUNCTION("IF('Respuestas de formulario 1'!K710="""","""",TO_TEXT('Respuestas de formulario 1'!K710))"),"Si")</f>
        <v>Si</v>
      </c>
      <c r="L710" s="7" t="str">
        <f>IFERROR(__xludf.DUMMYFUNCTION("IF('Respuestas de formulario 1'!L710="""","""",TO_TEXT('Respuestas de formulario 1'!L710))"),"Fútbol")</f>
        <v>Fútbol</v>
      </c>
      <c r="M710" s="7" t="str">
        <f>IFERROR(__xludf.DUMMYFUNCTION("IF('Respuestas de formulario 1'!M710="""","""",TO_TEXT('Respuestas de formulario 1'!M710))"),"3 a 5 veces por semana")</f>
        <v>3 a 5 veces por semana</v>
      </c>
      <c r="N710" s="7">
        <f t="shared" si="1"/>
        <v>2024</v>
      </c>
      <c r="O710" s="7" t="str">
        <f t="shared" si="2"/>
        <v>septiembre</v>
      </c>
      <c r="P710" s="7" t="s">
        <v>5601</v>
      </c>
    </row>
    <row r="711">
      <c r="A711" s="19">
        <f>'Respuestas de formulario 1'!A711</f>
        <v>45560.48273</v>
      </c>
      <c r="B711" s="7" t="str">
        <f>'Respuestas de formulario 1'!B711</f>
        <v> Carballo </v>
      </c>
      <c r="C711" s="7" t="str">
        <f>'Respuestas de formulario 1'!C711</f>
        <v>Victoria </v>
      </c>
      <c r="D711" s="7" t="str">
        <f>'Respuestas de formulario 1'!D711</f>
        <v>victoriacarballogonzalez@gmail.com</v>
      </c>
      <c r="E711" s="20">
        <f>'Respuestas de formulario 1'!E711</f>
        <v>29324</v>
      </c>
      <c r="F711" s="7">
        <f>'Respuestas de formulario 1'!F711</f>
        <v>93906461</v>
      </c>
      <c r="G711" s="7" t="str">
        <f>IFERROR(__xludf.DUMMYFUNCTION("IF('Respuestas de formulario 1'!G711="""","""",IF(LEFT(REGEXREPLACE(TO_TEXT('Respuestas de formulario 1'!G711),""[^0-9]"",""""),2)=""54"",""+""&amp;REGEXREPLACE(TO_TEXT('Respuestas de formulario 1'!G711),""[^0-9]"",""""),""+54""&amp;REGEXREPLACE(TO_TEXT('Respuest"&amp;"as de formulario 1'!G711),""[^0-9]"","""")))"),"+543516248316")</f>
        <v>+543516248316</v>
      </c>
      <c r="H711" s="7">
        <f>'Respuestas de formulario 1'!S711</f>
        <v>2024</v>
      </c>
      <c r="I711" s="7" t="str">
        <f>IFERROR(__xludf.DUMMYFUNCTION("IF('Respuestas de formulario 1'!I711="""","""",TO_TEXT('Respuestas de formulario 1'!I711))"),"Obra social")</f>
        <v>Obra social</v>
      </c>
      <c r="J711" s="7" t="str">
        <f>IFERROR(__xludf.DUMMYFUNCTION("IF('Respuestas de formulario 1'!J711&lt;&gt;"""",UPPER(TRIM(TO_TEXT('Respuestas de formulario 1'!J711))),IF('Respuestas de formulario 1'!O711&lt;&gt;"""",UPPER(TRIM(TO_TEXT('Respuestas de formulario 1'!O711))),""""))"),"DASPU")</f>
        <v>DASPU</v>
      </c>
      <c r="K711" s="7" t="str">
        <f>IFERROR(__xludf.DUMMYFUNCTION("IF('Respuestas de formulario 1'!K711="""","""",TO_TEXT('Respuestas de formulario 1'!K711))"),"No")</f>
        <v>No</v>
      </c>
      <c r="L711" s="7" t="str">
        <f>IFERROR(__xludf.DUMMYFUNCTION("IF('Respuestas de formulario 1'!L711="""","""",TO_TEXT('Respuestas de formulario 1'!L711))"),"")</f>
        <v/>
      </c>
      <c r="M711" s="7" t="str">
        <f>IFERROR(__xludf.DUMMYFUNCTION("IF('Respuestas de formulario 1'!M711="""","""",TO_TEXT('Respuestas de formulario 1'!M711))"),"")</f>
        <v/>
      </c>
      <c r="N711" s="7">
        <f t="shared" si="1"/>
        <v>2024</v>
      </c>
      <c r="O711" s="7" t="str">
        <f t="shared" si="2"/>
        <v>septiembre</v>
      </c>
      <c r="P711" s="7" t="s">
        <v>5603</v>
      </c>
    </row>
    <row r="712">
      <c r="A712" s="19">
        <f>'Respuestas de formulario 1'!A712</f>
        <v>45560.59616</v>
      </c>
      <c r="B712" s="7" t="str">
        <f>'Respuestas de formulario 1'!B712</f>
        <v>Cabrera </v>
      </c>
      <c r="C712" s="7" t="str">
        <f>'Respuestas de formulario 1'!C712</f>
        <v>Nicolas</v>
      </c>
      <c r="D712" s="7" t="str">
        <f>'Respuestas de formulario 1'!D712</f>
        <v>elpirata.nico10@gmail.com</v>
      </c>
      <c r="E712" s="20">
        <f>'Respuestas de formulario 1'!E712</f>
        <v>31796</v>
      </c>
      <c r="F712" s="7">
        <f>'Respuestas de formulario 1'!F712</f>
        <v>32785705</v>
      </c>
      <c r="G712" s="7" t="str">
        <f>IFERROR(__xludf.DUMMYFUNCTION("IF('Respuestas de formulario 1'!G712="""","""",IF(LEFT(REGEXREPLACE(TO_TEXT('Respuestas de formulario 1'!G712),""[^0-9]"",""""),2)=""54"",""+""&amp;REGEXREPLACE(TO_TEXT('Respuestas de formulario 1'!G712),""[^0-9]"",""""),""+54""&amp;REGEXREPLACE(TO_TEXT('Respuest"&amp;"as de formulario 1'!G712),""[^0-9]"","""")))"),"+543512503307")</f>
        <v>+543512503307</v>
      </c>
      <c r="H712" s="7">
        <f>'Respuestas de formulario 1'!S712</f>
        <v>2024</v>
      </c>
      <c r="I712" s="7" t="str">
        <f>IFERROR(__xludf.DUMMYFUNCTION("IF('Respuestas de formulario 1'!I712="""","""",TO_TEXT('Respuestas de formulario 1'!I712))"),"Obra social")</f>
        <v>Obra social</v>
      </c>
      <c r="J712" s="7" t="str">
        <f>IFERROR(__xludf.DUMMYFUNCTION("IF('Respuestas de formulario 1'!J712&lt;&gt;"""",UPPER(TRIM(TO_TEXT('Respuestas de formulario 1'!J712))),IF('Respuestas de formulario 1'!O712&lt;&gt;"""",UPPER(TRIM(TO_TEXT('Respuestas de formulario 1'!O712))),""""))"),"BOREAL")</f>
        <v>BOREAL</v>
      </c>
      <c r="K712" s="7" t="str">
        <f>IFERROR(__xludf.DUMMYFUNCTION("IF('Respuestas de formulario 1'!K712="""","""",TO_TEXT('Respuestas de formulario 1'!K712))"),"No")</f>
        <v>No</v>
      </c>
      <c r="L712" s="7" t="str">
        <f>IFERROR(__xludf.DUMMYFUNCTION("IF('Respuestas de formulario 1'!L712="""","""",TO_TEXT('Respuestas de formulario 1'!L712))"),"")</f>
        <v/>
      </c>
      <c r="M712" s="7" t="str">
        <f>IFERROR(__xludf.DUMMYFUNCTION("IF('Respuestas de formulario 1'!M712="""","""",TO_TEXT('Respuestas de formulario 1'!M712))"),"")</f>
        <v/>
      </c>
      <c r="N712" s="7">
        <f t="shared" si="1"/>
        <v>2024</v>
      </c>
      <c r="O712" s="7" t="str">
        <f t="shared" si="2"/>
        <v>septiembre</v>
      </c>
      <c r="P712" s="7" t="s">
        <v>5605</v>
      </c>
    </row>
    <row r="713">
      <c r="A713" s="19">
        <f>'Respuestas de formulario 1'!A713</f>
        <v>45560.74801</v>
      </c>
      <c r="B713" s="7" t="str">
        <f>'Respuestas de formulario 1'!B713</f>
        <v>Ardini</v>
      </c>
      <c r="C713" s="7" t="str">
        <f>'Respuestas de formulario 1'!C713</f>
        <v>Maximiliano </v>
      </c>
      <c r="D713" s="7" t="str">
        <f>'Respuestas de formulario 1'!D713</f>
        <v>Maxiardini@gmail.com</v>
      </c>
      <c r="E713" s="20">
        <f>'Respuestas de formulario 1'!E713</f>
        <v>33843</v>
      </c>
      <c r="F713" s="7">
        <f>'Respuestas de formulario 1'!F713</f>
        <v>38328928</v>
      </c>
      <c r="G713" s="7" t="str">
        <f>IFERROR(__xludf.DUMMYFUNCTION("IF('Respuestas de formulario 1'!G713="""","""",IF(LEFT(REGEXREPLACE(TO_TEXT('Respuestas de formulario 1'!G713),""[^0-9]"",""""),2)=""54"",""+""&amp;REGEXREPLACE(TO_TEXT('Respuestas de formulario 1'!G713),""[^0-9]"",""""),""+54""&amp;REGEXREPLACE(TO_TEXT('Respuest"&amp;"as de formulario 1'!G713),""[^0-9]"","""")))"),"+543513717271")</f>
        <v>+543513717271</v>
      </c>
      <c r="H713" s="7">
        <f>'Respuestas de formulario 1'!S713</f>
        <v>2024</v>
      </c>
      <c r="I713" s="7" t="str">
        <f>IFERROR(__xludf.DUMMYFUNCTION("IF('Respuestas de formulario 1'!I713="""","""",TO_TEXT('Respuestas de formulario 1'!I713))"),"Obra social")</f>
        <v>Obra social</v>
      </c>
      <c r="J713" s="7" t="str">
        <f>IFERROR(__xludf.DUMMYFUNCTION("IF('Respuestas de formulario 1'!J713&lt;&gt;"""",UPPER(TRIM(TO_TEXT('Respuestas de formulario 1'!J713))),IF('Respuestas de formulario 1'!O713&lt;&gt;"""",UPPER(TRIM(TO_TEXT('Respuestas de formulario 1'!O713))),""""))"),"UNIMED")</f>
        <v>UNIMED</v>
      </c>
      <c r="K713" s="7" t="str">
        <f>IFERROR(__xludf.DUMMYFUNCTION("IF('Respuestas de formulario 1'!K713="""","""",TO_TEXT('Respuestas de formulario 1'!K713))"),"Si")</f>
        <v>Si</v>
      </c>
      <c r="L713" s="7" t="str">
        <f>IFERROR(__xludf.DUMMYFUNCTION("IF('Respuestas de formulario 1'!L713="""","""",TO_TEXT('Respuestas de formulario 1'!L713))"),"Fútbol")</f>
        <v>Fútbol</v>
      </c>
      <c r="M713" s="7" t="str">
        <f>IFERROR(__xludf.DUMMYFUNCTION("IF('Respuestas de formulario 1'!M713="""","""",TO_TEXT('Respuestas de formulario 1'!M713))"),"3 a 5 veces por semana")</f>
        <v>3 a 5 veces por semana</v>
      </c>
      <c r="N713" s="7">
        <f t="shared" si="1"/>
        <v>2024</v>
      </c>
      <c r="O713" s="7" t="str">
        <f t="shared" si="2"/>
        <v>septiembre</v>
      </c>
      <c r="P713" s="7" t="s">
        <v>5607</v>
      </c>
    </row>
    <row r="714">
      <c r="A714" s="19">
        <f>'Respuestas de formulario 1'!A714</f>
        <v>45561.45608</v>
      </c>
      <c r="B714" s="7" t="str">
        <f>'Respuestas de formulario 1'!B714</f>
        <v>Freire</v>
      </c>
      <c r="C714" s="7" t="str">
        <f>'Respuestas de formulario 1'!C714</f>
        <v>Mara</v>
      </c>
      <c r="D714" s="7" t="str">
        <f>'Respuestas de formulario 1'!D714</f>
        <v>marafreire1204@gmail.com</v>
      </c>
      <c r="E714" s="20">
        <f>'Respuestas de formulario 1'!E714</f>
        <v>33706</v>
      </c>
      <c r="F714" s="7">
        <f>'Respuestas de formulario 1'!F714</f>
        <v>35623420</v>
      </c>
      <c r="G714" s="7" t="str">
        <f>IFERROR(__xludf.DUMMYFUNCTION("IF('Respuestas de formulario 1'!G714="""","""",IF(LEFT(REGEXREPLACE(TO_TEXT('Respuestas de formulario 1'!G714),""[^0-9]"",""""),2)=""54"",""+""&amp;REGEXREPLACE(TO_TEXT('Respuestas de formulario 1'!G714),""[^0-9]"",""""),""+54""&amp;REGEXREPLACE(TO_TEXT('Respuest"&amp;"as de formulario 1'!G714),""[^0-9]"","""")))"),"+543513711819")</f>
        <v>+543513711819</v>
      </c>
      <c r="H714" s="7">
        <f>'Respuestas de formulario 1'!S714</f>
        <v>2024</v>
      </c>
      <c r="I714" s="7" t="str">
        <f>IFERROR(__xludf.DUMMYFUNCTION("IF('Respuestas de formulario 1'!I714="""","""",TO_TEXT('Respuestas de formulario 1'!I714))"),"Obra social")</f>
        <v>Obra social</v>
      </c>
      <c r="J714" s="7" t="str">
        <f>IFERROR(__xludf.DUMMYFUNCTION("IF('Respuestas de formulario 1'!J714&lt;&gt;"""",UPPER(TRIM(TO_TEXT('Respuestas de formulario 1'!J714))),IF('Respuestas de formulario 1'!O714&lt;&gt;"""",UPPER(TRIM(TO_TEXT('Respuestas de formulario 1'!O714))),""""))"),"PREVENCIÓN")</f>
        <v>PREVENCIÓN</v>
      </c>
      <c r="K714" s="7" t="str">
        <f>IFERROR(__xludf.DUMMYFUNCTION("IF('Respuestas de formulario 1'!K714="""","""",TO_TEXT('Respuestas de formulario 1'!K714))"),"Si")</f>
        <v>Si</v>
      </c>
      <c r="L714" s="7" t="str">
        <f>IFERROR(__xludf.DUMMYFUNCTION("IF('Respuestas de formulario 1'!L714="""","""",TO_TEXT('Respuestas de formulario 1'!L714))"),"Gimnasio")</f>
        <v>Gimnasio</v>
      </c>
      <c r="M714" s="7" t="str">
        <f>IFERROR(__xludf.DUMMYFUNCTION("IF('Respuestas de formulario 1'!M714="""","""",TO_TEXT('Respuestas de formulario 1'!M714))"),"3 a 5 veces por semana")</f>
        <v>3 a 5 veces por semana</v>
      </c>
      <c r="N714" s="7">
        <f t="shared" si="1"/>
        <v>2024</v>
      </c>
      <c r="O714" s="7" t="str">
        <f t="shared" si="2"/>
        <v>septiembre</v>
      </c>
      <c r="P714" s="7" t="s">
        <v>5609</v>
      </c>
    </row>
    <row r="715">
      <c r="A715" s="19">
        <f>'Respuestas de formulario 1'!A715</f>
        <v>45561.56518</v>
      </c>
      <c r="B715" s="7" t="str">
        <f>'Respuestas de formulario 1'!B715</f>
        <v>Soria</v>
      </c>
      <c r="C715" s="7" t="str">
        <f>'Respuestas de formulario 1'!C715</f>
        <v>Celeste</v>
      </c>
      <c r="D715" s="7" t="str">
        <f>'Respuestas de formulario 1'!D715</f>
        <v>Celesoria3179@gmail.com</v>
      </c>
      <c r="E715" s="20">
        <f>'Respuestas de formulario 1'!E715</f>
        <v>29219</v>
      </c>
      <c r="F715" s="7">
        <f>'Respuestas de formulario 1'!F715</f>
        <v>27671345</v>
      </c>
      <c r="G715" s="7" t="str">
        <f>IFERROR(__xludf.DUMMYFUNCTION("IF('Respuestas de formulario 1'!G715="""","""",IF(LEFT(REGEXREPLACE(TO_TEXT('Respuestas de formulario 1'!G715),""[^0-9]"",""""),2)=""54"",""+""&amp;REGEXREPLACE(TO_TEXT('Respuestas de formulario 1'!G715),""[^0-9]"",""""),""+54""&amp;REGEXREPLACE(TO_TEXT('Respuest"&amp;"as de formulario 1'!G715),""[^0-9]"","""")))"),"+543516175658")</f>
        <v>+543516175658</v>
      </c>
      <c r="H715" s="7">
        <f>'Respuestas de formulario 1'!S715</f>
        <v>2024</v>
      </c>
      <c r="I715" s="7" t="str">
        <f>IFERROR(__xludf.DUMMYFUNCTION("IF('Respuestas de formulario 1'!I715="""","""",TO_TEXT('Respuestas de formulario 1'!I715))"),"Obra social")</f>
        <v>Obra social</v>
      </c>
      <c r="J715" s="7" t="str">
        <f>IFERROR(__xludf.DUMMYFUNCTION("IF('Respuestas de formulario 1'!J715&lt;&gt;"""",UPPER(TRIM(TO_TEXT('Respuestas de formulario 1'!J715))),IF('Respuestas de formulario 1'!O715&lt;&gt;"""",UPPER(TRIM(TO_TEXT('Respuestas de formulario 1'!O715))),""""))"),"SANCOR")</f>
        <v>SANCOR</v>
      </c>
      <c r="K715" s="7" t="str">
        <f>IFERROR(__xludf.DUMMYFUNCTION("IF('Respuestas de formulario 1'!K715="""","""",TO_TEXT('Respuestas de formulario 1'!K715))"),"No")</f>
        <v>No</v>
      </c>
      <c r="L715" s="7" t="str">
        <f>IFERROR(__xludf.DUMMYFUNCTION("IF('Respuestas de formulario 1'!L715="""","""",TO_TEXT('Respuestas de formulario 1'!L715))"),"")</f>
        <v/>
      </c>
      <c r="M715" s="7" t="str">
        <f>IFERROR(__xludf.DUMMYFUNCTION("IF('Respuestas de formulario 1'!M715="""","""",TO_TEXT('Respuestas de formulario 1'!M715))"),"")</f>
        <v/>
      </c>
      <c r="N715" s="7">
        <f t="shared" si="1"/>
        <v>2024</v>
      </c>
      <c r="O715" s="7" t="str">
        <f t="shared" si="2"/>
        <v>septiembre</v>
      </c>
      <c r="P715" s="7" t="s">
        <v>5611</v>
      </c>
    </row>
    <row r="716">
      <c r="A716" s="19">
        <f>'Respuestas de formulario 1'!A716</f>
        <v>45561.96918</v>
      </c>
      <c r="B716" s="7" t="str">
        <f>'Respuestas de formulario 1'!B716</f>
        <v>Nicolas</v>
      </c>
      <c r="C716" s="7" t="str">
        <f>'Respuestas de formulario 1'!C716</f>
        <v>Kwiecinski</v>
      </c>
      <c r="D716" s="7" t="str">
        <f>'Respuestas de formulario 1'!D716</f>
        <v>nicolaskw77@gmail.com</v>
      </c>
      <c r="E716" s="20">
        <f>'Respuestas de formulario 1'!E716</f>
        <v>34051</v>
      </c>
      <c r="F716" s="7">
        <f>'Respuestas de formulario 1'!F716</f>
        <v>37476608</v>
      </c>
      <c r="G716" s="7" t="str">
        <f>IFERROR(__xludf.DUMMYFUNCTION("IF('Respuestas de formulario 1'!G716="""","""",IF(LEFT(REGEXREPLACE(TO_TEXT('Respuestas de formulario 1'!G716),""[^0-9]"",""""),2)=""54"",""+""&amp;REGEXREPLACE(TO_TEXT('Respuestas de formulario 1'!G716),""[^0-9]"",""""),""+54""&amp;REGEXREPLACE(TO_TEXT('Respuest"&amp;"as de formulario 1'!G716),""[^0-9]"","""")))"),"+543513741771")</f>
        <v>+543513741771</v>
      </c>
      <c r="H716" s="7">
        <f>'Respuestas de formulario 1'!S716</f>
        <v>2024</v>
      </c>
      <c r="I716" s="7" t="str">
        <f>IFERROR(__xludf.DUMMYFUNCTION("IF('Respuestas de formulario 1'!I716="""","""",TO_TEXT('Respuestas de formulario 1'!I716))"),"Particular")</f>
        <v>Particular</v>
      </c>
      <c r="J716" s="7" t="str">
        <f>IFERROR(__xludf.DUMMYFUNCTION("IF('Respuestas de formulario 1'!J716&lt;&gt;"""",UPPER(TRIM(TO_TEXT('Respuestas de formulario 1'!J716))),IF('Respuestas de formulario 1'!O716&lt;&gt;"""",UPPER(TRIM(TO_TEXT('Respuestas de formulario 1'!O716))),""""))"),"")</f>
        <v/>
      </c>
      <c r="K716" s="7" t="str">
        <f>IFERROR(__xludf.DUMMYFUNCTION("IF('Respuestas de formulario 1'!K716="""","""",TO_TEXT('Respuestas de formulario 1'!K716))"),"No")</f>
        <v>No</v>
      </c>
      <c r="L716" s="7" t="str">
        <f>IFERROR(__xludf.DUMMYFUNCTION("IF('Respuestas de formulario 1'!L716="""","""",TO_TEXT('Respuestas de formulario 1'!L716))"),"")</f>
        <v/>
      </c>
      <c r="M716" s="7" t="str">
        <f>IFERROR(__xludf.DUMMYFUNCTION("IF('Respuestas de formulario 1'!M716="""","""",TO_TEXT('Respuestas de formulario 1'!M716))"),"")</f>
        <v/>
      </c>
      <c r="N716" s="7">
        <f t="shared" si="1"/>
        <v>2024</v>
      </c>
      <c r="O716" s="7" t="str">
        <f t="shared" si="2"/>
        <v>septiembre</v>
      </c>
      <c r="P716" s="7" t="s">
        <v>5613</v>
      </c>
    </row>
    <row r="717">
      <c r="A717" s="19">
        <f>'Respuestas de formulario 1'!A717</f>
        <v>45562.64346</v>
      </c>
      <c r="B717" s="7" t="str">
        <f>'Respuestas de formulario 1'!B717</f>
        <v>Oliviero</v>
      </c>
      <c r="C717" s="7" t="str">
        <f>'Respuestas de formulario 1'!C717</f>
        <v>Eliana</v>
      </c>
      <c r="D717" s="7" t="str">
        <f>'Respuestas de formulario 1'!D717</f>
        <v>Eliana.oliviero1985@gmail.com</v>
      </c>
      <c r="E717" s="20">
        <f>'Respuestas de formulario 1'!E717</f>
        <v>31272</v>
      </c>
      <c r="F717" s="7">
        <f>'Respuestas de formulario 1'!F717</f>
        <v>31769213</v>
      </c>
      <c r="G717" s="7" t="str">
        <f>IFERROR(__xludf.DUMMYFUNCTION("IF('Respuestas de formulario 1'!G717="""","""",IF(LEFT(REGEXREPLACE(TO_TEXT('Respuestas de formulario 1'!G717),""[^0-9]"",""""),2)=""54"",""+""&amp;REGEXREPLACE(TO_TEXT('Respuestas de formulario 1'!G717),""[^0-9]"",""""),""+54""&amp;REGEXREPLACE(TO_TEXT('Respuest"&amp;"as de formulario 1'!G717),""[^0-9]"","""")))"),"+543515393323")</f>
        <v>+543515393323</v>
      </c>
      <c r="H717" s="7">
        <f>'Respuestas de formulario 1'!S717</f>
        <v>2024</v>
      </c>
      <c r="I717" s="7" t="str">
        <f>IFERROR(__xludf.DUMMYFUNCTION("IF('Respuestas de formulario 1'!I717="""","""",TO_TEXT('Respuestas de formulario 1'!I717))"),"Particular")</f>
        <v>Particular</v>
      </c>
      <c r="J717" s="7" t="str">
        <f>IFERROR(__xludf.DUMMYFUNCTION("IF('Respuestas de formulario 1'!J717&lt;&gt;"""",UPPER(TRIM(TO_TEXT('Respuestas de formulario 1'!J717))),IF('Respuestas de formulario 1'!O717&lt;&gt;"""",UPPER(TRIM(TO_TEXT('Respuestas de formulario 1'!O717))),""""))"),"")</f>
        <v/>
      </c>
      <c r="K717" s="7" t="str">
        <f>IFERROR(__xludf.DUMMYFUNCTION("IF('Respuestas de formulario 1'!K717="""","""",TO_TEXT('Respuestas de formulario 1'!K717))"),"Si")</f>
        <v>Si</v>
      </c>
      <c r="L717" s="7" t="str">
        <f>IFERROR(__xludf.DUMMYFUNCTION("IF('Respuestas de formulario 1'!L717="""","""",TO_TEXT('Respuestas de formulario 1'!L717))"),"Gimnasio")</f>
        <v>Gimnasio</v>
      </c>
      <c r="M717" s="7" t="str">
        <f>IFERROR(__xludf.DUMMYFUNCTION("IF('Respuestas de formulario 1'!M717="""","""",TO_TEXT('Respuestas de formulario 1'!M717))"),"3 a 5 veces por semana")</f>
        <v>3 a 5 veces por semana</v>
      </c>
      <c r="N717" s="7">
        <f t="shared" si="1"/>
        <v>2024</v>
      </c>
      <c r="O717" s="7" t="str">
        <f t="shared" si="2"/>
        <v>septiembre</v>
      </c>
      <c r="P717" s="7" t="s">
        <v>5615</v>
      </c>
    </row>
    <row r="718">
      <c r="A718" s="19">
        <f>'Respuestas de formulario 1'!A718</f>
        <v>45562.65271</v>
      </c>
      <c r="B718" s="7" t="str">
        <f>'Respuestas de formulario 1'!B718</f>
        <v>Gawuryn</v>
      </c>
      <c r="C718" s="7" t="str">
        <f>'Respuestas de formulario 1'!C718</f>
        <v>Joel</v>
      </c>
      <c r="D718" s="7" t="str">
        <f>'Respuestas de formulario 1'!D718</f>
        <v>joelsgaw@gmail.com</v>
      </c>
      <c r="E718" s="20">
        <f>'Respuestas de formulario 1'!E718</f>
        <v>34465</v>
      </c>
      <c r="F718" s="7">
        <f>'Respuestas de formulario 1'!F718</f>
        <v>38329576</v>
      </c>
      <c r="G718" s="7" t="str">
        <f>IFERROR(__xludf.DUMMYFUNCTION("IF('Respuestas de formulario 1'!G718="""","""",IF(LEFT(REGEXREPLACE(TO_TEXT('Respuestas de formulario 1'!G718),""[^0-9]"",""""),2)=""54"",""+""&amp;REGEXREPLACE(TO_TEXT('Respuestas de formulario 1'!G718),""[^0-9]"",""""),""+54""&amp;REGEXREPLACE(TO_TEXT('Respuest"&amp;"as de formulario 1'!G718),""[^0-9]"","""")))"),"+543516110785")</f>
        <v>+543516110785</v>
      </c>
      <c r="H718" s="7">
        <f>'Respuestas de formulario 1'!S718</f>
        <v>2024</v>
      </c>
      <c r="I718" s="7" t="str">
        <f>IFERROR(__xludf.DUMMYFUNCTION("IF('Respuestas de formulario 1'!I718="""","""",TO_TEXT('Respuestas de formulario 1'!I718))"),"Particular")</f>
        <v>Particular</v>
      </c>
      <c r="J718" s="7" t="str">
        <f>IFERROR(__xludf.DUMMYFUNCTION("IF('Respuestas de formulario 1'!J718&lt;&gt;"""",UPPER(TRIM(TO_TEXT('Respuestas de formulario 1'!J718))),IF('Respuestas de formulario 1'!O718&lt;&gt;"""",UPPER(TRIM(TO_TEXT('Respuestas de formulario 1'!O718))),""""))"),"")</f>
        <v/>
      </c>
      <c r="K718" s="7" t="str">
        <f>IFERROR(__xludf.DUMMYFUNCTION("IF('Respuestas de formulario 1'!K718="""","""",TO_TEXT('Respuestas de formulario 1'!K718))"),"Si")</f>
        <v>Si</v>
      </c>
      <c r="L718" s="7" t="str">
        <f>IFERROR(__xludf.DUMMYFUNCTION("IF('Respuestas de formulario 1'!L718="""","""",TO_TEXT('Respuestas de formulario 1'!L718))"),"Fútbol")</f>
        <v>Fútbol</v>
      </c>
      <c r="M718" s="7" t="str">
        <f>IFERROR(__xludf.DUMMYFUNCTION("IF('Respuestas de formulario 1'!M718="""","""",TO_TEXT('Respuestas de formulario 1'!M718))"),"3 a 5 veces por semana")</f>
        <v>3 a 5 veces por semana</v>
      </c>
      <c r="N718" s="7">
        <f t="shared" si="1"/>
        <v>2024</v>
      </c>
      <c r="O718" s="7" t="str">
        <f t="shared" si="2"/>
        <v>septiembre</v>
      </c>
      <c r="P718" s="7" t="s">
        <v>5617</v>
      </c>
    </row>
    <row r="719">
      <c r="A719" s="19">
        <f>'Respuestas de formulario 1'!A719</f>
        <v>45562.84716</v>
      </c>
      <c r="B719" s="7" t="str">
        <f>'Respuestas de formulario 1'!B719</f>
        <v>Guido</v>
      </c>
      <c r="C719" s="7" t="str">
        <f>'Respuestas de formulario 1'!C719</f>
        <v>Donatela </v>
      </c>
      <c r="D719" s="7" t="str">
        <f>'Respuestas de formulario 1'!D719</f>
        <v>guidodonatela@gmail.com</v>
      </c>
      <c r="E719" s="20">
        <f>'Respuestas de formulario 1'!E719</f>
        <v>32544</v>
      </c>
      <c r="F719" s="7">
        <f>'Respuestas de formulario 1'!F719</f>
        <v>34246624</v>
      </c>
      <c r="G719" s="7" t="str">
        <f>IFERROR(__xludf.DUMMYFUNCTION("IF('Respuestas de formulario 1'!G719="""","""",IF(LEFT(REGEXREPLACE(TO_TEXT('Respuestas de formulario 1'!G719),""[^0-9]"",""""),2)=""54"",""+""&amp;REGEXREPLACE(TO_TEXT('Respuestas de formulario 1'!G719),""[^0-9]"",""""),""+54""&amp;REGEXREPLACE(TO_TEXT('Respuest"&amp;"as de formulario 1'!G719),""[^0-9]"","""")))"),"+543515930298")</f>
        <v>+543515930298</v>
      </c>
      <c r="H719" s="7">
        <f>'Respuestas de formulario 1'!S719</f>
        <v>2024</v>
      </c>
      <c r="I719" s="7" t="str">
        <f>IFERROR(__xludf.DUMMYFUNCTION("IF('Respuestas de formulario 1'!I719="""","""",TO_TEXT('Respuestas de formulario 1'!I719))"),"Obra social")</f>
        <v>Obra social</v>
      </c>
      <c r="J719" s="7" t="str">
        <f>IFERROR(__xludf.DUMMYFUNCTION("IF('Respuestas de formulario 1'!J719&lt;&gt;"""",UPPER(TRIM(TO_TEXT('Respuestas de formulario 1'!J719))),IF('Respuestas de formulario 1'!O719&lt;&gt;"""",UPPER(TRIM(TO_TEXT('Respuestas de formulario 1'!O719))),""""))"),"DASPU")</f>
        <v>DASPU</v>
      </c>
      <c r="K719" s="7" t="str">
        <f>IFERROR(__xludf.DUMMYFUNCTION("IF('Respuestas de formulario 1'!K719="""","""",TO_TEXT('Respuestas de formulario 1'!K719))"),"Si")</f>
        <v>Si</v>
      </c>
      <c r="L719" s="7" t="str">
        <f>IFERROR(__xludf.DUMMYFUNCTION("IF('Respuestas de formulario 1'!L719="""","""",TO_TEXT('Respuestas de formulario 1'!L719))"),"Gimnasio")</f>
        <v>Gimnasio</v>
      </c>
      <c r="M719" s="7" t="str">
        <f>IFERROR(__xludf.DUMMYFUNCTION("IF('Respuestas de formulario 1'!M719="""","""",TO_TEXT('Respuestas de formulario 1'!M719))"),"1 a 2 veces por semana")</f>
        <v>1 a 2 veces por semana</v>
      </c>
      <c r="N719" s="7">
        <f t="shared" si="1"/>
        <v>2024</v>
      </c>
      <c r="O719" s="7" t="str">
        <f t="shared" si="2"/>
        <v>septiembre</v>
      </c>
      <c r="P719" s="7" t="s">
        <v>5619</v>
      </c>
    </row>
    <row r="720">
      <c r="A720" s="19">
        <f>'Respuestas de formulario 1'!A720</f>
        <v>45563.55965</v>
      </c>
      <c r="B720" s="7" t="str">
        <f>'Respuestas de formulario 1'!B720</f>
        <v>Lutteral</v>
      </c>
      <c r="C720" s="7" t="str">
        <f>'Respuestas de formulario 1'!C720</f>
        <v>Jessica Natalia</v>
      </c>
      <c r="D720" s="7" t="str">
        <f>'Respuestas de formulario 1'!D720</f>
        <v>jessilutt93@gmail.com</v>
      </c>
      <c r="E720" s="20">
        <f>'Respuestas de formulario 1'!E720</f>
        <v>34152</v>
      </c>
      <c r="F720" s="7">
        <f>'Respuestas de formulario 1'!F720</f>
        <v>37619170</v>
      </c>
      <c r="G720" s="7" t="str">
        <f>IFERROR(__xludf.DUMMYFUNCTION("IF('Respuestas de formulario 1'!G720="""","""",IF(LEFT(REGEXREPLACE(TO_TEXT('Respuestas de formulario 1'!G720),""[^0-9]"",""""),2)=""54"",""+""&amp;REGEXREPLACE(TO_TEXT('Respuestas de formulario 1'!G720),""[^0-9]"",""""),""+54""&amp;REGEXREPLACE(TO_TEXT('Respuest"&amp;"as de formulario 1'!G720),""[^0-9]"","""")))"),"+543513088065")</f>
        <v>+543513088065</v>
      </c>
      <c r="H720" s="7">
        <f>'Respuestas de formulario 1'!S720</f>
        <v>2024</v>
      </c>
      <c r="I720" s="7" t="str">
        <f>IFERROR(__xludf.DUMMYFUNCTION("IF('Respuestas de formulario 1'!I720="""","""",TO_TEXT('Respuestas de formulario 1'!I720))"),"Obra social")</f>
        <v>Obra social</v>
      </c>
      <c r="J720" s="7" t="str">
        <f>IFERROR(__xludf.DUMMYFUNCTION("IF('Respuestas de formulario 1'!J720&lt;&gt;"""",UPPER(TRIM(TO_TEXT('Respuestas de formulario 1'!J720))),IF('Respuestas de formulario 1'!O720&lt;&gt;"""",UPPER(TRIM(TO_TEXT('Respuestas de formulario 1'!O720))),""""))"),"SANCOR")</f>
        <v>SANCOR</v>
      </c>
      <c r="K720" s="7" t="str">
        <f>IFERROR(__xludf.DUMMYFUNCTION("IF('Respuestas de formulario 1'!K720="""","""",TO_TEXT('Respuestas de formulario 1'!K720))"),"Si")</f>
        <v>Si</v>
      </c>
      <c r="L720" s="7" t="str">
        <f>IFERROR(__xludf.DUMMYFUNCTION("IF('Respuestas de formulario 1'!L720="""","""",TO_TEXT('Respuestas de formulario 1'!L720))"),"Taekwondo")</f>
        <v>Taekwondo</v>
      </c>
      <c r="M720" s="7" t="str">
        <f>IFERROR(__xludf.DUMMYFUNCTION("IF('Respuestas de formulario 1'!M720="""","""",TO_TEXT('Respuestas de formulario 1'!M720))"),"1 a 2 veces por semana")</f>
        <v>1 a 2 veces por semana</v>
      </c>
      <c r="N720" s="7">
        <f t="shared" si="1"/>
        <v>2024</v>
      </c>
      <c r="O720" s="7" t="str">
        <f t="shared" si="2"/>
        <v>septiembre</v>
      </c>
      <c r="P720" s="7" t="s">
        <v>5621</v>
      </c>
    </row>
    <row r="721">
      <c r="A721" s="19">
        <f>'Respuestas de formulario 1'!A721</f>
        <v>45563.65193</v>
      </c>
      <c r="B721" s="7" t="str">
        <f>'Respuestas de formulario 1'!B721</f>
        <v>Nicolas</v>
      </c>
      <c r="C721" s="7" t="str">
        <f>'Respuestas de formulario 1'!C721</f>
        <v>Kwiecinski</v>
      </c>
      <c r="D721" s="7" t="str">
        <f>'Respuestas de formulario 1'!D721</f>
        <v>nicolaskw77@gmail.com</v>
      </c>
      <c r="E721" s="20">
        <f>'Respuestas de formulario 1'!E721</f>
        <v>34051</v>
      </c>
      <c r="F721" s="7">
        <f>'Respuestas de formulario 1'!F721</f>
        <v>37476608</v>
      </c>
      <c r="G721" s="7" t="str">
        <f>IFERROR(__xludf.DUMMYFUNCTION("IF('Respuestas de formulario 1'!G721="""","""",IF(LEFT(REGEXREPLACE(TO_TEXT('Respuestas de formulario 1'!G721),""[^0-9]"",""""),2)=""54"",""+""&amp;REGEXREPLACE(TO_TEXT('Respuestas de formulario 1'!G721),""[^0-9]"",""""),""+54""&amp;REGEXREPLACE(TO_TEXT('Respuest"&amp;"as de formulario 1'!G721),""[^0-9]"","""")))"),"+543513741771")</f>
        <v>+543513741771</v>
      </c>
      <c r="H721" s="7">
        <f>'Respuestas de formulario 1'!S721</f>
        <v>2024</v>
      </c>
      <c r="I721" s="7" t="str">
        <f>IFERROR(__xludf.DUMMYFUNCTION("IF('Respuestas de formulario 1'!I721="""","""",TO_TEXT('Respuestas de formulario 1'!I721))"),"Particular")</f>
        <v>Particular</v>
      </c>
      <c r="J721" s="7" t="str">
        <f>IFERROR(__xludf.DUMMYFUNCTION("IF('Respuestas de formulario 1'!J721&lt;&gt;"""",UPPER(TRIM(TO_TEXT('Respuestas de formulario 1'!J721))),IF('Respuestas de formulario 1'!O721&lt;&gt;"""",UPPER(TRIM(TO_TEXT('Respuestas de formulario 1'!O721))),""""))"),"")</f>
        <v/>
      </c>
      <c r="K721" s="7" t="str">
        <f>IFERROR(__xludf.DUMMYFUNCTION("IF('Respuestas de formulario 1'!K721="""","""",TO_TEXT('Respuestas de formulario 1'!K721))"),"No")</f>
        <v>No</v>
      </c>
      <c r="L721" s="7" t="str">
        <f>IFERROR(__xludf.DUMMYFUNCTION("IF('Respuestas de formulario 1'!L721="""","""",TO_TEXT('Respuestas de formulario 1'!L721))"),"")</f>
        <v/>
      </c>
      <c r="M721" s="7" t="str">
        <f>IFERROR(__xludf.DUMMYFUNCTION("IF('Respuestas de formulario 1'!M721="""","""",TO_TEXT('Respuestas de formulario 1'!M721))"),"")</f>
        <v/>
      </c>
      <c r="N721" s="7">
        <f t="shared" si="1"/>
        <v>2024</v>
      </c>
      <c r="O721" s="7" t="str">
        <f t="shared" si="2"/>
        <v>septiembre</v>
      </c>
      <c r="P721" s="7" t="s">
        <v>5613</v>
      </c>
    </row>
    <row r="722">
      <c r="A722" s="19">
        <f>'Respuestas de formulario 1'!A722</f>
        <v>45565.74459</v>
      </c>
      <c r="B722" s="7" t="str">
        <f>'Respuestas de formulario 1'!B722</f>
        <v>Palacios </v>
      </c>
      <c r="C722" s="7" t="str">
        <f>'Respuestas de formulario 1'!C722</f>
        <v>Luciano</v>
      </c>
      <c r="D722" s="7" t="str">
        <f>'Respuestas de formulario 1'!D722</f>
        <v>lucianopalacios48@gmail.com</v>
      </c>
      <c r="E722" s="20">
        <f>'Respuestas de formulario 1'!E722</f>
        <v>36279</v>
      </c>
      <c r="F722" s="7">
        <f>'Respuestas de formulario 1'!F722</f>
        <v>41887291</v>
      </c>
      <c r="G722" s="7" t="str">
        <f>IFERROR(__xludf.DUMMYFUNCTION("IF('Respuestas de formulario 1'!G722="""","""",IF(LEFT(REGEXREPLACE(TO_TEXT('Respuestas de formulario 1'!G722),""[^0-9]"",""""),2)=""54"",""+""&amp;REGEXREPLACE(TO_TEXT('Respuestas de formulario 1'!G722),""[^0-9]"",""""),""+54""&amp;REGEXREPLACE(TO_TEXT('Respuest"&amp;"as de formulario 1'!G722),""[^0-9]"","""")))"),"+543516890302")</f>
        <v>+543516890302</v>
      </c>
      <c r="H722" s="7">
        <f>'Respuestas de formulario 1'!S722</f>
        <v>2024</v>
      </c>
      <c r="I722" s="7" t="str">
        <f>IFERROR(__xludf.DUMMYFUNCTION("IF('Respuestas de formulario 1'!I722="""","""",TO_TEXT('Respuestas de formulario 1'!I722))"),"Particular")</f>
        <v>Particular</v>
      </c>
      <c r="J722" s="7" t="str">
        <f>IFERROR(__xludf.DUMMYFUNCTION("IF('Respuestas de formulario 1'!J722&lt;&gt;"""",UPPER(TRIM(TO_TEXT('Respuestas de formulario 1'!J722))),IF('Respuestas de formulario 1'!O722&lt;&gt;"""",UPPER(TRIM(TO_TEXT('Respuestas de formulario 1'!O722))),""""))"),"")</f>
        <v/>
      </c>
      <c r="K722" s="7" t="str">
        <f>IFERROR(__xludf.DUMMYFUNCTION("IF('Respuestas de formulario 1'!K722="""","""",TO_TEXT('Respuestas de formulario 1'!K722))"),"Si")</f>
        <v>Si</v>
      </c>
      <c r="L722" s="7" t="str">
        <f>IFERROR(__xludf.DUMMYFUNCTION("IF('Respuestas de formulario 1'!L722="""","""",TO_TEXT('Respuestas de formulario 1'!L722))"),"Fútbol")</f>
        <v>Fútbol</v>
      </c>
      <c r="M722" s="7" t="str">
        <f>IFERROR(__xludf.DUMMYFUNCTION("IF('Respuestas de formulario 1'!M722="""","""",TO_TEXT('Respuestas de formulario 1'!M722))"),"6 a 7 veces por semana")</f>
        <v>6 a 7 veces por semana</v>
      </c>
      <c r="N722" s="7">
        <f t="shared" si="1"/>
        <v>2024</v>
      </c>
      <c r="O722" s="7" t="str">
        <f t="shared" si="2"/>
        <v>septiembre</v>
      </c>
      <c r="P722" s="7" t="s">
        <v>5623</v>
      </c>
    </row>
    <row r="723">
      <c r="A723" s="19">
        <f>'Respuestas de formulario 1'!A723</f>
        <v>45566.48678</v>
      </c>
      <c r="B723" s="7" t="str">
        <f>'Respuestas de formulario 1'!B723</f>
        <v>Giorgetti </v>
      </c>
      <c r="C723" s="7" t="str">
        <f>'Respuestas de formulario 1'!C723</f>
        <v>Angelo</v>
      </c>
      <c r="D723" s="7" t="str">
        <f>'Respuestas de formulario 1'!D723</f>
        <v>angelogiorgetti3@gmail.com</v>
      </c>
      <c r="E723" s="20">
        <f>'Respuestas de formulario 1'!E723</f>
        <v>33806</v>
      </c>
      <c r="F723" s="7">
        <f>'Respuestas de formulario 1'!F723</f>
        <v>36643179</v>
      </c>
      <c r="G723" s="7" t="str">
        <f>IFERROR(__xludf.DUMMYFUNCTION("IF('Respuestas de formulario 1'!G723="""","""",IF(LEFT(REGEXREPLACE(TO_TEXT('Respuestas de formulario 1'!G723),""[^0-9]"",""""),2)=""54"",""+""&amp;REGEXREPLACE(TO_TEXT('Respuestas de formulario 1'!G723),""[^0-9]"",""""),""+54""&amp;REGEXREPLACE(TO_TEXT('Respuest"&amp;"as de formulario 1'!G723),""[^0-9]"","""")))"),"+543516233090")</f>
        <v>+543516233090</v>
      </c>
      <c r="H723" s="7">
        <f>'Respuestas de formulario 1'!S723</f>
        <v>2024</v>
      </c>
      <c r="I723" s="7" t="str">
        <f>IFERROR(__xludf.DUMMYFUNCTION("IF('Respuestas de formulario 1'!I723="""","""",TO_TEXT('Respuestas de formulario 1'!I723))"),"Obra social")</f>
        <v>Obra social</v>
      </c>
      <c r="J723" s="7" t="str">
        <f>IFERROR(__xludf.DUMMYFUNCTION("IF('Respuestas de formulario 1'!J723&lt;&gt;"""",UPPER(TRIM(TO_TEXT('Respuestas de formulario 1'!J723))),IF('Respuestas de formulario 1'!O723&lt;&gt;"""",UPPER(TRIM(TO_TEXT('Respuestas de formulario 1'!O723))),""""))"),"PREVENCIÓN")</f>
        <v>PREVENCIÓN</v>
      </c>
      <c r="K723" s="7" t="str">
        <f>IFERROR(__xludf.DUMMYFUNCTION("IF('Respuestas de formulario 1'!K723="""","""",TO_TEXT('Respuestas de formulario 1'!K723))"),"Si")</f>
        <v>Si</v>
      </c>
      <c r="L723" s="7" t="str">
        <f>IFERROR(__xludf.DUMMYFUNCTION("IF('Respuestas de formulario 1'!L723="""","""",TO_TEXT('Respuestas de formulario 1'!L723))"),"Fútbol")</f>
        <v>Fútbol</v>
      </c>
      <c r="M723" s="7" t="str">
        <f>IFERROR(__xludf.DUMMYFUNCTION("IF('Respuestas de formulario 1'!M723="""","""",TO_TEXT('Respuestas de formulario 1'!M723))"),"3 a 5 veces por semana")</f>
        <v>3 a 5 veces por semana</v>
      </c>
      <c r="N723" s="7">
        <f t="shared" si="1"/>
        <v>2024</v>
      </c>
      <c r="O723" s="7" t="str">
        <f t="shared" si="2"/>
        <v>octubre</v>
      </c>
      <c r="P723" s="7" t="s">
        <v>5625</v>
      </c>
    </row>
    <row r="724">
      <c r="A724" s="19">
        <f>'Respuestas de formulario 1'!A724</f>
        <v>45567.57981</v>
      </c>
      <c r="B724" s="7" t="str">
        <f>'Respuestas de formulario 1'!B724</f>
        <v>Heredia</v>
      </c>
      <c r="C724" s="7" t="str">
        <f>'Respuestas de formulario 1'!C724</f>
        <v>María Florencia</v>
      </c>
      <c r="D724" s="7" t="str">
        <f>'Respuestas de formulario 1'!D724</f>
        <v>mflorheredia24@gmail.com</v>
      </c>
      <c r="E724" s="20">
        <f>'Respuestas de formulario 1'!E724</f>
        <v>32815</v>
      </c>
      <c r="F724" s="7">
        <f>'Respuestas de formulario 1'!F724</f>
        <v>34542656</v>
      </c>
      <c r="G724" s="7" t="str">
        <f>IFERROR(__xludf.DUMMYFUNCTION("IF('Respuestas de formulario 1'!G724="""","""",IF(LEFT(REGEXREPLACE(TO_TEXT('Respuestas de formulario 1'!G724),""[^0-9]"",""""),2)=""54"",""+""&amp;REGEXREPLACE(TO_TEXT('Respuestas de formulario 1'!G724),""[^0-9]"",""""),""+54""&amp;REGEXREPLACE(TO_TEXT('Respuest"&amp;"as de formulario 1'!G724),""[^0-9]"","""")))"),"+543517011721")</f>
        <v>+543517011721</v>
      </c>
      <c r="H724" s="7">
        <f>'Respuestas de formulario 1'!S724</f>
        <v>2024</v>
      </c>
      <c r="I724" s="7" t="str">
        <f>IFERROR(__xludf.DUMMYFUNCTION("IF('Respuestas de formulario 1'!I724="""","""",TO_TEXT('Respuestas de formulario 1'!I724))"),"Obra social")</f>
        <v>Obra social</v>
      </c>
      <c r="J724" s="7" t="str">
        <f>IFERROR(__xludf.DUMMYFUNCTION("IF('Respuestas de formulario 1'!J724&lt;&gt;"""",UPPER(TRIM(TO_TEXT('Respuestas de formulario 1'!J724))),IF('Respuestas de formulario 1'!O724&lt;&gt;"""",UPPER(TRIM(TO_TEXT('Respuestas de formulario 1'!O724))),""""))"),"SANCOR")</f>
        <v>SANCOR</v>
      </c>
      <c r="K724" s="7" t="str">
        <f>IFERROR(__xludf.DUMMYFUNCTION("IF('Respuestas de formulario 1'!K724="""","""",TO_TEXT('Respuestas de formulario 1'!K724))"),"Si")</f>
        <v>Si</v>
      </c>
      <c r="L724" s="7" t="str">
        <f>IFERROR(__xludf.DUMMYFUNCTION("IF('Respuestas de formulario 1'!L724="""","""",TO_TEXT('Respuestas de formulario 1'!L724))"),"Tenis - Padel")</f>
        <v>Tenis - Padel</v>
      </c>
      <c r="M724" s="7" t="str">
        <f>IFERROR(__xludf.DUMMYFUNCTION("IF('Respuestas de formulario 1'!M724="""","""",TO_TEXT('Respuestas de formulario 1'!M724))"),"3 a 5 veces por semana")</f>
        <v>3 a 5 veces por semana</v>
      </c>
      <c r="N724" s="7">
        <f t="shared" si="1"/>
        <v>2024</v>
      </c>
      <c r="O724" s="7" t="str">
        <f t="shared" si="2"/>
        <v>octubre</v>
      </c>
      <c r="P724" s="7" t="s">
        <v>5627</v>
      </c>
    </row>
    <row r="725">
      <c r="A725" s="19">
        <f>'Respuestas de formulario 1'!A725</f>
        <v>45567.65279</v>
      </c>
      <c r="B725" s="7" t="str">
        <f>'Respuestas de formulario 1'!B725</f>
        <v>Romero</v>
      </c>
      <c r="C725" s="7" t="str">
        <f>'Respuestas de formulario 1'!C725</f>
        <v>Joaquin</v>
      </c>
      <c r="D725" s="7" t="str">
        <f>'Respuestas de formulario 1'!D725</f>
        <v>veronicacentini@hotmail.com</v>
      </c>
      <c r="E725" s="20">
        <f>'Respuestas de formulario 1'!E725</f>
        <v>41610</v>
      </c>
      <c r="F725" s="7">
        <f>'Respuestas de formulario 1'!F725</f>
        <v>53505494</v>
      </c>
      <c r="G725" s="7" t="str">
        <f>IFERROR(__xludf.DUMMYFUNCTION("IF('Respuestas de formulario 1'!G725="""","""",IF(LEFT(REGEXREPLACE(TO_TEXT('Respuestas de formulario 1'!G725),""[^0-9]"",""""),2)=""54"",""+""&amp;REGEXREPLACE(TO_TEXT('Respuestas de formulario 1'!G725),""[^0-9]"",""""),""+54""&amp;REGEXREPLACE(TO_TEXT('Respuest"&amp;"as de formulario 1'!G725),""[^0-9]"","""")))"),"+543517073124")</f>
        <v>+543517073124</v>
      </c>
      <c r="H725" s="7">
        <f>'Respuestas de formulario 1'!S725</f>
        <v>2024</v>
      </c>
      <c r="I725" s="7" t="str">
        <f>IFERROR(__xludf.DUMMYFUNCTION("IF('Respuestas de formulario 1'!I725="""","""",TO_TEXT('Respuestas de formulario 1'!I725))"),"Obra social")</f>
        <v>Obra social</v>
      </c>
      <c r="J725" s="7" t="str">
        <f>IFERROR(__xludf.DUMMYFUNCTION("IF('Respuestas de formulario 1'!J725&lt;&gt;"""",UPPER(TRIM(TO_TEXT('Respuestas de formulario 1'!J725))),IF('Respuestas de formulario 1'!O725&lt;&gt;"""",UPPER(TRIM(TO_TEXT('Respuestas de formulario 1'!O725))),""""))"),"SANCOR")</f>
        <v>SANCOR</v>
      </c>
      <c r="K725" s="7" t="str">
        <f>IFERROR(__xludf.DUMMYFUNCTION("IF('Respuestas de formulario 1'!K725="""","""",TO_TEXT('Respuestas de formulario 1'!K725))"),"Si")</f>
        <v>Si</v>
      </c>
      <c r="L725" s="7" t="str">
        <f>IFERROR(__xludf.DUMMYFUNCTION("IF('Respuestas de formulario 1'!L725="""","""",TO_TEXT('Respuestas de formulario 1'!L725))"),"Básquet")</f>
        <v>Básquet</v>
      </c>
      <c r="M725" s="7" t="str">
        <f>IFERROR(__xludf.DUMMYFUNCTION("IF('Respuestas de formulario 1'!M725="""","""",TO_TEXT('Respuestas de formulario 1'!M725))"),"3 a 5 veces por semana")</f>
        <v>3 a 5 veces por semana</v>
      </c>
      <c r="N725" s="7">
        <f t="shared" si="1"/>
        <v>2024</v>
      </c>
      <c r="O725" s="7" t="str">
        <f t="shared" si="2"/>
        <v>octubre</v>
      </c>
      <c r="P725" s="7" t="s">
        <v>5629</v>
      </c>
    </row>
    <row r="726">
      <c r="A726" s="19">
        <f>'Respuestas de formulario 1'!A726</f>
        <v>45567.69455</v>
      </c>
      <c r="B726" s="7" t="str">
        <f>'Respuestas de formulario 1'!B726</f>
        <v>Lopez</v>
      </c>
      <c r="C726" s="7" t="str">
        <f>'Respuestas de formulario 1'!C726</f>
        <v>Amalia</v>
      </c>
      <c r="D726" s="7" t="str">
        <f>'Respuestas de formulario 1'!D726</f>
        <v/>
      </c>
      <c r="E726" s="20">
        <f>'Respuestas de formulario 1'!E726</f>
        <v>14142</v>
      </c>
      <c r="F726" s="7">
        <f>'Respuestas de formulario 1'!F726</f>
        <v>2035123</v>
      </c>
      <c r="G726" s="7" t="str">
        <f>IFERROR(__xludf.DUMMYFUNCTION("IF('Respuestas de formulario 1'!G726="""","""",IF(LEFT(REGEXREPLACE(TO_TEXT('Respuestas de formulario 1'!G726),""[^0-9]"",""""),2)=""54"",""+""&amp;REGEXREPLACE(TO_TEXT('Respuestas de formulario 1'!G726),""[^0-9]"",""""),""+54""&amp;REGEXREPLACE(TO_TEXT('Respuest"&amp;"as de formulario 1'!G726),""[^0-9]"","""")))"),"+543515377216")</f>
        <v>+543515377216</v>
      </c>
      <c r="H726" s="7">
        <f>'Respuestas de formulario 1'!S726</f>
        <v>2024</v>
      </c>
      <c r="I726" s="7" t="str">
        <f>IFERROR(__xludf.DUMMYFUNCTION("IF('Respuestas de formulario 1'!I726="""","""",TO_TEXT('Respuestas de formulario 1'!I726))"),"Particular")</f>
        <v>Particular</v>
      </c>
      <c r="J726" s="7" t="str">
        <f>IFERROR(__xludf.DUMMYFUNCTION("IF('Respuestas de formulario 1'!J726&lt;&gt;"""",UPPER(TRIM(TO_TEXT('Respuestas de formulario 1'!J726))),IF('Respuestas de formulario 1'!O726&lt;&gt;"""",UPPER(TRIM(TO_TEXT('Respuestas de formulario 1'!O726))),""""))"),"")</f>
        <v/>
      </c>
      <c r="K726" s="7" t="str">
        <f>IFERROR(__xludf.DUMMYFUNCTION("IF('Respuestas de formulario 1'!K726="""","""",TO_TEXT('Respuestas de formulario 1'!K726))"),"No")</f>
        <v>No</v>
      </c>
      <c r="L726" s="7" t="str">
        <f>IFERROR(__xludf.DUMMYFUNCTION("IF('Respuestas de formulario 1'!L726="""","""",TO_TEXT('Respuestas de formulario 1'!L726))"),"")</f>
        <v/>
      </c>
      <c r="M726" s="7" t="str">
        <f>IFERROR(__xludf.DUMMYFUNCTION("IF('Respuestas de formulario 1'!M726="""","""",TO_TEXT('Respuestas de formulario 1'!M726))"),"")</f>
        <v/>
      </c>
      <c r="N726" s="7">
        <f t="shared" si="1"/>
        <v>2024</v>
      </c>
      <c r="O726" s="7" t="str">
        <f t="shared" si="2"/>
        <v>octubre</v>
      </c>
      <c r="P726" s="7" t="s">
        <v>5631</v>
      </c>
    </row>
    <row r="727">
      <c r="A727" s="19">
        <f>'Respuestas de formulario 1'!A727</f>
        <v>45567.76456</v>
      </c>
      <c r="B727" s="7" t="str">
        <f>'Respuestas de formulario 1'!B727</f>
        <v>ILLIA</v>
      </c>
      <c r="C727" s="7" t="str">
        <f>'Respuestas de formulario 1'!C727</f>
        <v>Marcelo</v>
      </c>
      <c r="D727" s="7" t="str">
        <f>'Respuestas de formulario 1'!D727</f>
        <v>-</v>
      </c>
      <c r="E727" s="20">
        <f>'Respuestas de formulario 1'!E727</f>
        <v>21203</v>
      </c>
      <c r="F727" s="7">
        <f>'Respuestas de formulario 1'!F727</f>
        <v>11956189</v>
      </c>
      <c r="G727" s="7" t="str">
        <f>IFERROR(__xludf.DUMMYFUNCTION("IF('Respuestas de formulario 1'!G727="""","""",IF(LEFT(REGEXREPLACE(TO_TEXT('Respuestas de formulario 1'!G727),""[^0-9]"",""""),2)=""54"",""+""&amp;REGEXREPLACE(TO_TEXT('Respuestas de formulario 1'!G727),""[^0-9]"",""""),""+54""&amp;REGEXREPLACE(TO_TEXT('Respuest"&amp;"as de formulario 1'!G727),""[^0-9]"","""")))"),"+543517585112")</f>
        <v>+543517585112</v>
      </c>
      <c r="H727" s="7">
        <f>'Respuestas de formulario 1'!S727</f>
        <v>2024</v>
      </c>
      <c r="I727" s="7" t="str">
        <f>IFERROR(__xludf.DUMMYFUNCTION("IF('Respuestas de formulario 1'!I727="""","""",TO_TEXT('Respuestas de formulario 1'!I727))"),"Particular")</f>
        <v>Particular</v>
      </c>
      <c r="J727" s="7" t="str">
        <f>IFERROR(__xludf.DUMMYFUNCTION("IF('Respuestas de formulario 1'!J727&lt;&gt;"""",UPPER(TRIM(TO_TEXT('Respuestas de formulario 1'!J727))),IF('Respuestas de formulario 1'!O727&lt;&gt;"""",UPPER(TRIM(TO_TEXT('Respuestas de formulario 1'!O727))),""""))"),"")</f>
        <v/>
      </c>
      <c r="K727" s="7" t="str">
        <f>IFERROR(__xludf.DUMMYFUNCTION("IF('Respuestas de formulario 1'!K727="""","""",TO_TEXT('Respuestas de formulario 1'!K727))"),"Si")</f>
        <v>Si</v>
      </c>
      <c r="L727" s="7" t="str">
        <f>IFERROR(__xludf.DUMMYFUNCTION("IF('Respuestas de formulario 1'!L727="""","""",TO_TEXT('Respuestas de formulario 1'!L727))"),"Gimnasio")</f>
        <v>Gimnasio</v>
      </c>
      <c r="M727" s="7" t="str">
        <f>IFERROR(__xludf.DUMMYFUNCTION("IF('Respuestas de formulario 1'!M727="""","""",TO_TEXT('Respuestas de formulario 1'!M727))"),"3 a 5 veces por semana")</f>
        <v>3 a 5 veces por semana</v>
      </c>
      <c r="N727" s="7">
        <f t="shared" si="1"/>
        <v>2024</v>
      </c>
      <c r="O727" s="7" t="str">
        <f t="shared" si="2"/>
        <v>octubre</v>
      </c>
      <c r="P727" s="7" t="s">
        <v>5633</v>
      </c>
    </row>
    <row r="728">
      <c r="A728" s="19">
        <f>'Respuestas de formulario 1'!A728</f>
        <v>45567.79136</v>
      </c>
      <c r="B728" s="7" t="str">
        <f>'Respuestas de formulario 1'!B728</f>
        <v>Sannazzaro</v>
      </c>
      <c r="C728" s="7" t="str">
        <f>'Respuestas de formulario 1'!C728</f>
        <v>Valentina</v>
      </c>
      <c r="D728" s="7" t="str">
        <f>'Respuestas de formulario 1'!D728</f>
        <v>snzrodolfo@gmail.com</v>
      </c>
      <c r="E728" s="20">
        <f>'Respuestas de formulario 1'!E728</f>
        <v>39763</v>
      </c>
      <c r="F728" s="7">
        <f>'Respuestas de formulario 1'!F728</f>
        <v>49220014</v>
      </c>
      <c r="G728" s="7" t="str">
        <f>IFERROR(__xludf.DUMMYFUNCTION("IF('Respuestas de formulario 1'!G728="""","""",IF(LEFT(REGEXREPLACE(TO_TEXT('Respuestas de formulario 1'!G728),""[^0-9]"",""""),2)=""54"",""+""&amp;REGEXREPLACE(TO_TEXT('Respuestas de formulario 1'!G728),""[^0-9]"",""""),""+54""&amp;REGEXREPLACE(TO_TEXT('Respuest"&amp;"as de formulario 1'!G728),""[^0-9]"","""")))"),"+543512457640")</f>
        <v>+543512457640</v>
      </c>
      <c r="H728" s="7">
        <f>'Respuestas de formulario 1'!S728</f>
        <v>2024</v>
      </c>
      <c r="I728" s="7" t="str">
        <f>IFERROR(__xludf.DUMMYFUNCTION("IF('Respuestas de formulario 1'!I728="""","""",TO_TEXT('Respuestas de formulario 1'!I728))"),"Particular")</f>
        <v>Particular</v>
      </c>
      <c r="J728" s="7" t="str">
        <f>IFERROR(__xludf.DUMMYFUNCTION("IF('Respuestas de formulario 1'!J728&lt;&gt;"""",UPPER(TRIM(TO_TEXT('Respuestas de formulario 1'!J728))),IF('Respuestas de formulario 1'!O728&lt;&gt;"""",UPPER(TRIM(TO_TEXT('Respuestas de formulario 1'!O728))),""""))"),"")</f>
        <v/>
      </c>
      <c r="K728" s="7" t="str">
        <f>IFERROR(__xludf.DUMMYFUNCTION("IF('Respuestas de formulario 1'!K728="""","""",TO_TEXT('Respuestas de formulario 1'!K728))"),"Si")</f>
        <v>Si</v>
      </c>
      <c r="L728" s="7" t="str">
        <f>IFERROR(__xludf.DUMMYFUNCTION("IF('Respuestas de formulario 1'!L728="""","""",TO_TEXT('Respuestas de formulario 1'!L728))"),"Gimnasio")</f>
        <v>Gimnasio</v>
      </c>
      <c r="M728" s="7" t="str">
        <f>IFERROR(__xludf.DUMMYFUNCTION("IF('Respuestas de formulario 1'!M728="""","""",TO_TEXT('Respuestas de formulario 1'!M728))"),"1 a 2 veces por semana")</f>
        <v>1 a 2 veces por semana</v>
      </c>
      <c r="N728" s="7">
        <f t="shared" si="1"/>
        <v>2024</v>
      </c>
      <c r="O728" s="7" t="str">
        <f t="shared" si="2"/>
        <v>octubre</v>
      </c>
      <c r="P728" s="7" t="s">
        <v>5635</v>
      </c>
    </row>
    <row r="729">
      <c r="A729" s="19">
        <f>'Respuestas de formulario 1'!A729</f>
        <v>45567.81328</v>
      </c>
      <c r="B729" s="7" t="str">
        <f>'Respuestas de formulario 1'!B729</f>
        <v>Parra</v>
      </c>
      <c r="C729" s="7" t="str">
        <f>'Respuestas de formulario 1'!C729</f>
        <v>Guillermo </v>
      </c>
      <c r="D729" s="7" t="str">
        <f>'Respuestas de formulario 1'!D729</f>
        <v>guillermoparra667@gmail.com</v>
      </c>
      <c r="E729" s="20">
        <f>'Respuestas de formulario 1'!E729</f>
        <v>29348</v>
      </c>
      <c r="F729" s="7">
        <f>'Respuestas de formulario 1'!F729</f>
        <v>28115209</v>
      </c>
      <c r="G729" s="7" t="str">
        <f>IFERROR(__xludf.DUMMYFUNCTION("IF('Respuestas de formulario 1'!G729="""","""",IF(LEFT(REGEXREPLACE(TO_TEXT('Respuestas de formulario 1'!G729),""[^0-9]"",""""),2)=""54"",""+""&amp;REGEXREPLACE(TO_TEXT('Respuestas de formulario 1'!G729),""[^0-9]"",""""),""+54""&amp;REGEXREPLACE(TO_TEXT('Respuest"&amp;"as de formulario 1'!G729),""[^0-9]"","""")))"),"+543517523197")</f>
        <v>+543517523197</v>
      </c>
      <c r="H729" s="7">
        <f>'Respuestas de formulario 1'!S729</f>
        <v>2024</v>
      </c>
      <c r="I729" s="7" t="str">
        <f>IFERROR(__xludf.DUMMYFUNCTION("IF('Respuestas de formulario 1'!I729="""","""",TO_TEXT('Respuestas de formulario 1'!I729))"),"Obra social")</f>
        <v>Obra social</v>
      </c>
      <c r="J729" s="7" t="str">
        <f>IFERROR(__xludf.DUMMYFUNCTION("IF('Respuestas de formulario 1'!J729&lt;&gt;"""",UPPER(TRIM(TO_TEXT('Respuestas de formulario 1'!J729))),IF('Respuestas de formulario 1'!O729&lt;&gt;"""",UPPER(TRIM(TO_TEXT('Respuestas de formulario 1'!O729))),""""))"),"SANCOR")</f>
        <v>SANCOR</v>
      </c>
      <c r="K729" s="7" t="str">
        <f>IFERROR(__xludf.DUMMYFUNCTION("IF('Respuestas de formulario 1'!K729="""","""",TO_TEXT('Respuestas de formulario 1'!K729))"),"Si")</f>
        <v>Si</v>
      </c>
      <c r="L729" s="7" t="str">
        <f>IFERROR(__xludf.DUMMYFUNCTION("IF('Respuestas de formulario 1'!L729="""","""",TO_TEXT('Respuestas de formulario 1'!L729))"),"Fútbol")</f>
        <v>Fútbol</v>
      </c>
      <c r="M729" s="7" t="str">
        <f>IFERROR(__xludf.DUMMYFUNCTION("IF('Respuestas de formulario 1'!M729="""","""",TO_TEXT('Respuestas de formulario 1'!M729))"),"1 a 2 veces por semana")</f>
        <v>1 a 2 veces por semana</v>
      </c>
      <c r="N729" s="7">
        <f t="shared" si="1"/>
        <v>2024</v>
      </c>
      <c r="O729" s="7" t="str">
        <f t="shared" si="2"/>
        <v>octubre</v>
      </c>
      <c r="P729" s="7" t="s">
        <v>5637</v>
      </c>
    </row>
    <row r="730">
      <c r="A730" s="19">
        <f>'Respuestas de formulario 1'!A730</f>
        <v>45572.88887</v>
      </c>
      <c r="B730" s="7" t="str">
        <f>'Respuestas de formulario 1'!B730</f>
        <v>berton</v>
      </c>
      <c r="C730" s="7" t="str">
        <f>'Respuestas de formulario 1'!C730</f>
        <v>ivana paola</v>
      </c>
      <c r="D730" s="7" t="str">
        <f>'Respuestas de formulario 1'!D730</f>
        <v>bertpaola1983@gmail.com</v>
      </c>
      <c r="E730" s="20">
        <f>'Respuestas de formulario 1'!E730</f>
        <v>30228</v>
      </c>
      <c r="F730" s="7">
        <f>'Respuestas de formulario 1'!F730</f>
        <v>29711830</v>
      </c>
      <c r="G730" s="7" t="str">
        <f>IFERROR(__xludf.DUMMYFUNCTION("IF('Respuestas de formulario 1'!G730="""","""",IF(LEFT(REGEXREPLACE(TO_TEXT('Respuestas de formulario 1'!G730),""[^0-9]"",""""),2)=""54"",""+""&amp;REGEXREPLACE(TO_TEXT('Respuestas de formulario 1'!G730),""[^0-9]"",""""),""+54""&amp;REGEXREPLACE(TO_TEXT('Respuest"&amp;"as de formulario 1'!G730),""[^0-9]"","""")))"),"+543513113644")</f>
        <v>+543513113644</v>
      </c>
      <c r="H730" s="7">
        <f>'Respuestas de formulario 1'!S730</f>
        <v>2024</v>
      </c>
      <c r="I730" s="7" t="str">
        <f>IFERROR(__xludf.DUMMYFUNCTION("IF('Respuestas de formulario 1'!I730="""","""",TO_TEXT('Respuestas de formulario 1'!I730))"),"Obra social")</f>
        <v>Obra social</v>
      </c>
      <c r="J730" s="7" t="str">
        <f>IFERROR(__xludf.DUMMYFUNCTION("IF('Respuestas de formulario 1'!J730&lt;&gt;"""",UPPER(TRIM(TO_TEXT('Respuestas de formulario 1'!J730))),IF('Respuestas de formulario 1'!O730&lt;&gt;"""",UPPER(TRIM(TO_TEXT('Respuestas de formulario 1'!O730))),""""))"),"PREVENCIÓN")</f>
        <v>PREVENCIÓN</v>
      </c>
      <c r="K730" s="7" t="str">
        <f>IFERROR(__xludf.DUMMYFUNCTION("IF('Respuestas de formulario 1'!K730="""","""",TO_TEXT('Respuestas de formulario 1'!K730))"),"No")</f>
        <v>No</v>
      </c>
      <c r="L730" s="7" t="str">
        <f>IFERROR(__xludf.DUMMYFUNCTION("IF('Respuestas de formulario 1'!L730="""","""",TO_TEXT('Respuestas de formulario 1'!L730))"),"")</f>
        <v/>
      </c>
      <c r="M730" s="7" t="str">
        <f>IFERROR(__xludf.DUMMYFUNCTION("IF('Respuestas de formulario 1'!M730="""","""",TO_TEXT('Respuestas de formulario 1'!M730))"),"")</f>
        <v/>
      </c>
      <c r="N730" s="7">
        <f t="shared" si="1"/>
        <v>2024</v>
      </c>
      <c r="O730" s="7" t="str">
        <f t="shared" si="2"/>
        <v>octubre</v>
      </c>
      <c r="P730" s="7" t="s">
        <v>5639</v>
      </c>
    </row>
    <row r="731">
      <c r="A731" s="19">
        <f>'Respuestas de formulario 1'!A731</f>
        <v>45573.50579</v>
      </c>
      <c r="B731" s="7" t="str">
        <f>'Respuestas de formulario 1'!B731</f>
        <v>PATIÑO</v>
      </c>
      <c r="C731" s="7" t="str">
        <f>'Respuestas de formulario 1'!C731</f>
        <v>Jorge</v>
      </c>
      <c r="D731" s="7" t="str">
        <f>'Respuestas de formulario 1'!D731</f>
        <v>-</v>
      </c>
      <c r="E731" s="20">
        <f>'Respuestas de formulario 1'!E731</f>
        <v>29000</v>
      </c>
      <c r="F731" s="7">
        <f>'Respuestas de formulario 1'!F731</f>
        <v>27249145</v>
      </c>
      <c r="G731" s="7" t="str">
        <f>IFERROR(__xludf.DUMMYFUNCTION("IF('Respuestas de formulario 1'!G731="""","""",IF(LEFT(REGEXREPLACE(TO_TEXT('Respuestas de formulario 1'!G731),""[^0-9]"",""""),2)=""54"",""+""&amp;REGEXREPLACE(TO_TEXT('Respuestas de formulario 1'!G731),""[^0-9]"",""""),""+54""&amp;REGEXREPLACE(TO_TEXT('Respuest"&amp;"as de formulario 1'!G731),""[^0-9]"","""")))"),"+543513504545")</f>
        <v>+543513504545</v>
      </c>
      <c r="H731" s="7">
        <f>'Respuestas de formulario 1'!S731</f>
        <v>2024</v>
      </c>
      <c r="I731" s="7" t="str">
        <f>IFERROR(__xludf.DUMMYFUNCTION("IF('Respuestas de formulario 1'!I731="""","""",TO_TEXT('Respuestas de formulario 1'!I731))"),"Particular")</f>
        <v>Particular</v>
      </c>
      <c r="J731" s="7" t="str">
        <f>IFERROR(__xludf.DUMMYFUNCTION("IF('Respuestas de formulario 1'!J731&lt;&gt;"""",UPPER(TRIM(TO_TEXT('Respuestas de formulario 1'!J731))),IF('Respuestas de formulario 1'!O731&lt;&gt;"""",UPPER(TRIM(TO_TEXT('Respuestas de formulario 1'!O731))),""""))"),"")</f>
        <v/>
      </c>
      <c r="K731" s="7" t="str">
        <f>IFERROR(__xludf.DUMMYFUNCTION("IF('Respuestas de formulario 1'!K731="""","""",TO_TEXT('Respuestas de formulario 1'!K731))"),"Si")</f>
        <v>Si</v>
      </c>
      <c r="L731" s="7" t="str">
        <f>IFERROR(__xludf.DUMMYFUNCTION("IF('Respuestas de formulario 1'!L731="""","""",TO_TEXT('Respuestas de formulario 1'!L731))"),"Cuatri")</f>
        <v>Cuatri</v>
      </c>
      <c r="M731" s="7" t="str">
        <f>IFERROR(__xludf.DUMMYFUNCTION("IF('Respuestas de formulario 1'!M731="""","""",TO_TEXT('Respuestas de formulario 1'!M731))"),"3 a 5 veces por semana")</f>
        <v>3 a 5 veces por semana</v>
      </c>
      <c r="N731" s="7">
        <f t="shared" si="1"/>
        <v>2024</v>
      </c>
      <c r="O731" s="7" t="str">
        <f t="shared" si="2"/>
        <v>octubre</v>
      </c>
      <c r="P731" s="7" t="s">
        <v>5641</v>
      </c>
    </row>
    <row r="732">
      <c r="A732" s="19">
        <f>'Respuestas de formulario 1'!A732</f>
        <v>45574.49763</v>
      </c>
      <c r="B732" s="7" t="str">
        <f>'Respuestas de formulario 1'!B732</f>
        <v>Cabrera</v>
      </c>
      <c r="C732" s="7" t="str">
        <f>'Respuestas de formulario 1'!C732</f>
        <v>Carla</v>
      </c>
      <c r="D732" s="7" t="str">
        <f>'Respuestas de formulario 1'!D732</f>
        <v>carlaecabreracba@gmail.com</v>
      </c>
      <c r="E732" s="20">
        <f>'Respuestas de formulario 1'!E732</f>
        <v>30334</v>
      </c>
      <c r="F732" s="7">
        <f>'Respuestas de formulario 1'!F732</f>
        <v>30327643</v>
      </c>
      <c r="G732" s="7" t="str">
        <f>IFERROR(__xludf.DUMMYFUNCTION("IF('Respuestas de formulario 1'!G732="""","""",IF(LEFT(REGEXREPLACE(TO_TEXT('Respuestas de formulario 1'!G732),""[^0-9]"",""""),2)=""54"",""+""&amp;REGEXREPLACE(TO_TEXT('Respuestas de formulario 1'!G732),""[^0-9]"",""""),""+54""&amp;REGEXREPLACE(TO_TEXT('Respuest"&amp;"as de formulario 1'!G732),""[^0-9]"","""")))"),"+543512228750")</f>
        <v>+543512228750</v>
      </c>
      <c r="H732" s="7">
        <f>'Respuestas de formulario 1'!S732</f>
        <v>2024</v>
      </c>
      <c r="I732" s="7" t="str">
        <f>IFERROR(__xludf.DUMMYFUNCTION("IF('Respuestas de formulario 1'!I732="""","""",TO_TEXT('Respuestas de formulario 1'!I732))"),"Obra social")</f>
        <v>Obra social</v>
      </c>
      <c r="J732" s="7" t="str">
        <f>IFERROR(__xludf.DUMMYFUNCTION("IF('Respuestas de formulario 1'!J732&lt;&gt;"""",UPPER(TRIM(TO_TEXT('Respuestas de formulario 1'!J732))),IF('Respuestas de formulario 1'!O732&lt;&gt;"""",UPPER(TRIM(TO_TEXT('Respuestas de formulario 1'!O732))),""""))"),"PREVENCIÓN")</f>
        <v>PREVENCIÓN</v>
      </c>
      <c r="K732" s="7" t="str">
        <f>IFERROR(__xludf.DUMMYFUNCTION("IF('Respuestas de formulario 1'!K732="""","""",TO_TEXT('Respuestas de formulario 1'!K732))"),"No")</f>
        <v>No</v>
      </c>
      <c r="L732" s="7" t="str">
        <f>IFERROR(__xludf.DUMMYFUNCTION("IF('Respuestas de formulario 1'!L732="""","""",TO_TEXT('Respuestas de formulario 1'!L732))"),"")</f>
        <v/>
      </c>
      <c r="M732" s="7" t="str">
        <f>IFERROR(__xludf.DUMMYFUNCTION("IF('Respuestas de formulario 1'!M732="""","""",TO_TEXT('Respuestas de formulario 1'!M732))"),"")</f>
        <v/>
      </c>
      <c r="N732" s="7">
        <f t="shared" si="1"/>
        <v>2024</v>
      </c>
      <c r="O732" s="7" t="str">
        <f t="shared" si="2"/>
        <v>octubre</v>
      </c>
      <c r="P732" s="7" t="s">
        <v>5643</v>
      </c>
    </row>
    <row r="733">
      <c r="A733" s="19">
        <f>'Respuestas de formulario 1'!A733</f>
        <v>45574.81869</v>
      </c>
      <c r="B733" s="7" t="str">
        <f>'Respuestas de formulario 1'!B733</f>
        <v>Droguett</v>
      </c>
      <c r="C733" s="7" t="str">
        <f>'Respuestas de formulario 1'!C733</f>
        <v>Gabriel</v>
      </c>
      <c r="D733" s="7" t="str">
        <f>'Respuestas de formulario 1'!D733</f>
        <v>gabrieldariodroguett@gmail.com</v>
      </c>
      <c r="E733" s="20">
        <f>'Respuestas de formulario 1'!E733</f>
        <v>34700</v>
      </c>
      <c r="F733" s="7">
        <f>'Respuestas de formulario 1'!F733</f>
        <v>38088693</v>
      </c>
      <c r="G733" s="7" t="str">
        <f>IFERROR(__xludf.DUMMYFUNCTION("IF('Respuestas de formulario 1'!G733="""","""",IF(LEFT(REGEXREPLACE(TO_TEXT('Respuestas de formulario 1'!G733),""[^0-9]"",""""),2)=""54"",""+""&amp;REGEXREPLACE(TO_TEXT('Respuestas de formulario 1'!G733),""[^0-9]"",""""),""+54""&amp;REGEXREPLACE(TO_TEXT('Respuest"&amp;"as de formulario 1'!G733),""[^0-9]"","""")))"),"+543516075005")</f>
        <v>+543516075005</v>
      </c>
      <c r="H733" s="7">
        <f>'Respuestas de formulario 1'!S733</f>
        <v>2024</v>
      </c>
      <c r="I733" s="7" t="str">
        <f>IFERROR(__xludf.DUMMYFUNCTION("IF('Respuestas de formulario 1'!I733="""","""",TO_TEXT('Respuestas de formulario 1'!I733))"),"Particular")</f>
        <v>Particular</v>
      </c>
      <c r="J733" s="7" t="str">
        <f>IFERROR(__xludf.DUMMYFUNCTION("IF('Respuestas de formulario 1'!J733&lt;&gt;"""",UPPER(TRIM(TO_TEXT('Respuestas de formulario 1'!J733))),IF('Respuestas de formulario 1'!O733&lt;&gt;"""",UPPER(TRIM(TO_TEXT('Respuestas de formulario 1'!O733))),""""))"),"")</f>
        <v/>
      </c>
      <c r="K733" s="7" t="str">
        <f>IFERROR(__xludf.DUMMYFUNCTION("IF('Respuestas de formulario 1'!K733="""","""",TO_TEXT('Respuestas de formulario 1'!K733))"),"Si")</f>
        <v>Si</v>
      </c>
      <c r="L733" s="7" t="str">
        <f>IFERROR(__xludf.DUMMYFUNCTION("IF('Respuestas de formulario 1'!L733="""","""",TO_TEXT('Respuestas de formulario 1'!L733))"),"Gimnasio")</f>
        <v>Gimnasio</v>
      </c>
      <c r="M733" s="7" t="str">
        <f>IFERROR(__xludf.DUMMYFUNCTION("IF('Respuestas de formulario 1'!M733="""","""",TO_TEXT('Respuestas de formulario 1'!M733))"),"3 a 5 veces por semana")</f>
        <v>3 a 5 veces por semana</v>
      </c>
      <c r="N733" s="7">
        <f t="shared" si="1"/>
        <v>2024</v>
      </c>
      <c r="O733" s="7" t="str">
        <f t="shared" si="2"/>
        <v>octubre</v>
      </c>
      <c r="P733" s="7" t="s">
        <v>5645</v>
      </c>
    </row>
    <row r="734">
      <c r="A734" s="19">
        <f>'Respuestas de formulario 1'!A734</f>
        <v>45575.45812</v>
      </c>
      <c r="B734" s="7" t="str">
        <f>'Respuestas de formulario 1'!B734</f>
        <v>Angiolini </v>
      </c>
      <c r="C734" s="7" t="str">
        <f>'Respuestas de formulario 1'!C734</f>
        <v>Antonella </v>
      </c>
      <c r="D734" s="7" t="str">
        <f>'Respuestas de formulario 1'!D734</f>
        <v>angioanti@gmail.com</v>
      </c>
      <c r="E734" s="20">
        <f>'Respuestas de formulario 1'!E734</f>
        <v>37888</v>
      </c>
      <c r="F734" s="7">
        <f>'Respuestas de formulario 1'!F734</f>
        <v>45083727</v>
      </c>
      <c r="G734" s="7" t="str">
        <f>IFERROR(__xludf.DUMMYFUNCTION("IF('Respuestas de formulario 1'!G734="""","""",IF(LEFT(REGEXREPLACE(TO_TEXT('Respuestas de formulario 1'!G734),""[^0-9]"",""""),2)=""54"",""+""&amp;REGEXREPLACE(TO_TEXT('Respuestas de formulario 1'!G734),""[^0-9]"",""""),""+54""&amp;REGEXREPLACE(TO_TEXT('Respuest"&amp;"as de formulario 1'!G734),""[^0-9]"","""")))"),"+543512657941")</f>
        <v>+543512657941</v>
      </c>
      <c r="H734" s="7">
        <f>'Respuestas de formulario 1'!S734</f>
        <v>2024</v>
      </c>
      <c r="I734" s="7" t="str">
        <f>IFERROR(__xludf.DUMMYFUNCTION("IF('Respuestas de formulario 1'!I734="""","""",TO_TEXT('Respuestas de formulario 1'!I734))"),"Obra social")</f>
        <v>Obra social</v>
      </c>
      <c r="J734" s="7" t="str">
        <f>IFERROR(__xludf.DUMMYFUNCTION("IF('Respuestas de formulario 1'!J734&lt;&gt;"""",UPPER(TRIM(TO_TEXT('Respuestas de formulario 1'!J734))),IF('Respuestas de formulario 1'!O734&lt;&gt;"""",UPPER(TRIM(TO_TEXT('Respuestas de formulario 1'!O734))),""""))"),"APROSS")</f>
        <v>APROSS</v>
      </c>
      <c r="K734" s="7" t="str">
        <f>IFERROR(__xludf.DUMMYFUNCTION("IF('Respuestas de formulario 1'!K734="""","""",TO_TEXT('Respuestas de formulario 1'!K734))"),"Si")</f>
        <v>Si</v>
      </c>
      <c r="L734" s="7" t="str">
        <f>IFERROR(__xludf.DUMMYFUNCTION("IF('Respuestas de formulario 1'!L734="""","""",TO_TEXT('Respuestas de formulario 1'!L734))"),"Gimnasio")</f>
        <v>Gimnasio</v>
      </c>
      <c r="M734" s="7" t="str">
        <f>IFERROR(__xludf.DUMMYFUNCTION("IF('Respuestas de formulario 1'!M734="""","""",TO_TEXT('Respuestas de formulario 1'!M734))"),"3 a 5 veces por semana")</f>
        <v>3 a 5 veces por semana</v>
      </c>
      <c r="N734" s="7">
        <f t="shared" si="1"/>
        <v>2024</v>
      </c>
      <c r="O734" s="7" t="str">
        <f t="shared" si="2"/>
        <v>octubre</v>
      </c>
      <c r="P734" s="7" t="s">
        <v>5647</v>
      </c>
    </row>
    <row r="735">
      <c r="A735" s="19">
        <f>'Respuestas de formulario 1'!A735</f>
        <v>45575.49374</v>
      </c>
      <c r="B735" s="7" t="str">
        <f>'Respuestas de formulario 1'!B735</f>
        <v>SERRANO</v>
      </c>
      <c r="C735" s="7" t="str">
        <f>'Respuestas de formulario 1'!C735</f>
        <v>Susana</v>
      </c>
      <c r="D735" s="7" t="str">
        <f>'Respuestas de formulario 1'!D735</f>
        <v/>
      </c>
      <c r="E735" s="20">
        <f>'Respuestas de formulario 1'!E735</f>
        <v>15028</v>
      </c>
      <c r="F735" s="7">
        <f>'Respuestas de formulario 1'!F735</f>
        <v>4118761</v>
      </c>
      <c r="G735" s="7" t="str">
        <f>IFERROR(__xludf.DUMMYFUNCTION("IF('Respuestas de formulario 1'!G735="""","""",IF(LEFT(REGEXREPLACE(TO_TEXT('Respuestas de formulario 1'!G735),""[^0-9]"",""""),2)=""54"",""+""&amp;REGEXREPLACE(TO_TEXT('Respuestas de formulario 1'!G735),""[^0-9]"",""""),""+54""&amp;REGEXREPLACE(TO_TEXT('Respuest"&amp;"as de formulario 1'!G735),""[^0-9]"","""")))"),"+543516222609")</f>
        <v>+543516222609</v>
      </c>
      <c r="H735" s="7">
        <f>'Respuestas de formulario 1'!S735</f>
        <v>2024</v>
      </c>
      <c r="I735" s="7" t="str">
        <f>IFERROR(__xludf.DUMMYFUNCTION("IF('Respuestas de formulario 1'!I735="""","""",TO_TEXT('Respuestas de formulario 1'!I735))"),"Obra social")</f>
        <v>Obra social</v>
      </c>
      <c r="J735" s="7" t="str">
        <f>IFERROR(__xludf.DUMMYFUNCTION("IF('Respuestas de formulario 1'!J735&lt;&gt;"""",UPPER(TRIM(TO_TEXT('Respuestas de formulario 1'!J735))),IF('Respuestas de formulario 1'!O735&lt;&gt;"""",UPPER(TRIM(TO_TEXT('Respuestas de formulario 1'!O735))),""""))"),"APROSS")</f>
        <v>APROSS</v>
      </c>
      <c r="K735" s="7" t="str">
        <f>IFERROR(__xludf.DUMMYFUNCTION("IF('Respuestas de formulario 1'!K735="""","""",TO_TEXT('Respuestas de formulario 1'!K735))"),"No")</f>
        <v>No</v>
      </c>
      <c r="L735" s="7" t="str">
        <f>IFERROR(__xludf.DUMMYFUNCTION("IF('Respuestas de formulario 1'!L735="""","""",TO_TEXT('Respuestas de formulario 1'!L735))"),"")</f>
        <v/>
      </c>
      <c r="M735" s="7" t="str">
        <f>IFERROR(__xludf.DUMMYFUNCTION("IF('Respuestas de formulario 1'!M735="""","""",TO_TEXT('Respuestas de formulario 1'!M735))"),"")</f>
        <v/>
      </c>
      <c r="N735" s="7">
        <f t="shared" si="1"/>
        <v>2024</v>
      </c>
      <c r="O735" s="7" t="str">
        <f t="shared" si="2"/>
        <v>octubre</v>
      </c>
      <c r="P735" s="7" t="s">
        <v>5649</v>
      </c>
    </row>
    <row r="736">
      <c r="A736" s="19">
        <f>'Respuestas de formulario 1'!A736</f>
        <v>45576.48771</v>
      </c>
      <c r="B736" s="7" t="str">
        <f>'Respuestas de formulario 1'!B736</f>
        <v>Garcia </v>
      </c>
      <c r="C736" s="7" t="str">
        <f>'Respuestas de formulario 1'!C736</f>
        <v>Javier</v>
      </c>
      <c r="D736" s="7" t="str">
        <f>'Respuestas de formulario 1'!D736</f>
        <v>javier._garcia@hotmail.com </v>
      </c>
      <c r="E736" s="20">
        <f>'Respuestas de formulario 1'!E736</f>
        <v>30386</v>
      </c>
      <c r="F736" s="7">
        <f>'Respuestas de formulario 1'!F736</f>
        <v>30078305</v>
      </c>
      <c r="G736" s="7" t="str">
        <f>IFERROR(__xludf.DUMMYFUNCTION("IF('Respuestas de formulario 1'!G736="""","""",IF(LEFT(REGEXREPLACE(TO_TEXT('Respuestas de formulario 1'!G736),""[^0-9]"",""""),2)=""54"",""+""&amp;REGEXREPLACE(TO_TEXT('Respuestas de formulario 1'!G736),""[^0-9]"",""""),""+54""&amp;REGEXREPLACE(TO_TEXT('Respuest"&amp;"as de formulario 1'!G736),""[^0-9]"","""")))"),"+543518085123")</f>
        <v>+543518085123</v>
      </c>
      <c r="H736" s="7">
        <f>'Respuestas de formulario 1'!S736</f>
        <v>2024</v>
      </c>
      <c r="I736" s="7" t="str">
        <f>IFERROR(__xludf.DUMMYFUNCTION("IF('Respuestas de formulario 1'!I736="""","""",TO_TEXT('Respuestas de formulario 1'!I736))"),"Obra social")</f>
        <v>Obra social</v>
      </c>
      <c r="J736" s="7" t="str">
        <f>IFERROR(__xludf.DUMMYFUNCTION("IF('Respuestas de formulario 1'!J736&lt;&gt;"""",UPPER(TRIM(TO_TEXT('Respuestas de formulario 1'!J736))),IF('Respuestas de formulario 1'!O736&lt;&gt;"""",UPPER(TRIM(TO_TEXT('Respuestas de formulario 1'!O736))),""""))"),"OSDE")</f>
        <v>OSDE</v>
      </c>
      <c r="K736" s="7" t="str">
        <f>IFERROR(__xludf.DUMMYFUNCTION("IF('Respuestas de formulario 1'!K736="""","""",TO_TEXT('Respuestas de formulario 1'!K736))"),"Si")</f>
        <v>Si</v>
      </c>
      <c r="L736" s="7" t="str">
        <f>IFERROR(__xludf.DUMMYFUNCTION("IF('Respuestas de formulario 1'!L736="""","""",TO_TEXT('Respuestas de formulario 1'!L736))"),"Fútbol")</f>
        <v>Fútbol</v>
      </c>
      <c r="M736" s="7" t="str">
        <f>IFERROR(__xludf.DUMMYFUNCTION("IF('Respuestas de formulario 1'!M736="""","""",TO_TEXT('Respuestas de formulario 1'!M736))"),"1 a 2 veces por semana")</f>
        <v>1 a 2 veces por semana</v>
      </c>
      <c r="N736" s="7">
        <f t="shared" si="1"/>
        <v>2024</v>
      </c>
      <c r="O736" s="7" t="str">
        <f t="shared" si="2"/>
        <v>octubre</v>
      </c>
      <c r="P736" s="7" t="s">
        <v>5651</v>
      </c>
    </row>
    <row r="737">
      <c r="A737" s="19">
        <f>'Respuestas de formulario 1'!A737</f>
        <v>45579.88664</v>
      </c>
      <c r="B737" s="7" t="str">
        <f>'Respuestas de formulario 1'!B737</f>
        <v>Medina</v>
      </c>
      <c r="C737" s="7" t="str">
        <f>'Respuestas de formulario 1'!C737</f>
        <v>Gonzalo</v>
      </c>
      <c r="D737" s="7" t="str">
        <f>'Respuestas de formulario 1'!D737</f>
        <v>Polirrubrosol@gmail.com</v>
      </c>
      <c r="E737" s="20">
        <f>'Respuestas de formulario 1'!E737</f>
        <v>-664917</v>
      </c>
      <c r="F737" s="7">
        <f>'Respuestas de formulario 1'!F737</f>
        <v>27546046</v>
      </c>
      <c r="G737" s="7" t="str">
        <f>IFERROR(__xludf.DUMMYFUNCTION("IF('Respuestas de formulario 1'!G737="""","""",IF(LEFT(REGEXREPLACE(TO_TEXT('Respuestas de formulario 1'!G737),""[^0-9]"",""""),2)=""54"",""+""&amp;REGEXREPLACE(TO_TEXT('Respuestas de formulario 1'!G737),""[^0-9]"",""""),""+54""&amp;REGEXREPLACE(TO_TEXT('Respuest"&amp;"as de formulario 1'!G737),""[^0-9]"","""")))"),"+543512606579")</f>
        <v>+543512606579</v>
      </c>
      <c r="H737" s="7">
        <f>'Respuestas de formulario 1'!S737</f>
        <v>2024</v>
      </c>
      <c r="I737" s="7" t="str">
        <f>IFERROR(__xludf.DUMMYFUNCTION("IF('Respuestas de formulario 1'!I737="""","""",TO_TEXT('Respuestas de formulario 1'!I737))"),"Particular")</f>
        <v>Particular</v>
      </c>
      <c r="J737" s="7" t="str">
        <f>IFERROR(__xludf.DUMMYFUNCTION("IF('Respuestas de formulario 1'!J737&lt;&gt;"""",UPPER(TRIM(TO_TEXT('Respuestas de formulario 1'!J737))),IF('Respuestas de formulario 1'!O737&lt;&gt;"""",UPPER(TRIM(TO_TEXT('Respuestas de formulario 1'!O737))),""""))"),"")</f>
        <v/>
      </c>
      <c r="K737" s="7" t="str">
        <f>IFERROR(__xludf.DUMMYFUNCTION("IF('Respuestas de formulario 1'!K737="""","""",TO_TEXT('Respuestas de formulario 1'!K737))"),"Si")</f>
        <v>Si</v>
      </c>
      <c r="L737" s="7" t="str">
        <f>IFERROR(__xludf.DUMMYFUNCTION("IF('Respuestas de formulario 1'!L737="""","""",TO_TEXT('Respuestas de formulario 1'!L737))"),"Padel")</f>
        <v>Padel</v>
      </c>
      <c r="M737" s="7" t="str">
        <f>IFERROR(__xludf.DUMMYFUNCTION("IF('Respuestas de formulario 1'!M737="""","""",TO_TEXT('Respuestas de formulario 1'!M737))"),"1 a 2 veces por semana")</f>
        <v>1 a 2 veces por semana</v>
      </c>
      <c r="N737" s="7">
        <f t="shared" si="1"/>
        <v>2024</v>
      </c>
      <c r="O737" s="7" t="str">
        <f t="shared" si="2"/>
        <v>octubre</v>
      </c>
      <c r="P737" s="7" t="s">
        <v>5653</v>
      </c>
    </row>
    <row r="738">
      <c r="A738" s="19">
        <f>'Respuestas de formulario 1'!A738</f>
        <v>45580.76529</v>
      </c>
      <c r="B738" s="7" t="str">
        <f>'Respuestas de formulario 1'!B738</f>
        <v>Pereyra</v>
      </c>
      <c r="C738" s="7" t="str">
        <f>'Respuestas de formulario 1'!C738</f>
        <v>German</v>
      </c>
      <c r="D738" s="7" t="str">
        <f>'Respuestas de formulario 1'!D738</f>
        <v>gpereyra@hotmail.com</v>
      </c>
      <c r="E738" s="20">
        <f>'Respuestas de formulario 1'!E738</f>
        <v>27432</v>
      </c>
      <c r="F738" s="7">
        <f>'Respuestas de formulario 1'!F738</f>
        <v>24180259</v>
      </c>
      <c r="G738" s="7" t="str">
        <f>IFERROR(__xludf.DUMMYFUNCTION("IF('Respuestas de formulario 1'!G738="""","""",IF(LEFT(REGEXREPLACE(TO_TEXT('Respuestas de formulario 1'!G738),""[^0-9]"",""""),2)=""54"",""+""&amp;REGEXREPLACE(TO_TEXT('Respuestas de formulario 1'!G738),""[^0-9]"",""""),""+54""&amp;REGEXREPLACE(TO_TEXT('Respuest"&amp;"as de formulario 1'!G738),""[^0-9]"","""")))"),"+543518003357")</f>
        <v>+543518003357</v>
      </c>
      <c r="H738" s="7">
        <f>'Respuestas de formulario 1'!S738</f>
        <v>2024</v>
      </c>
      <c r="I738" s="7" t="str">
        <f>IFERROR(__xludf.DUMMYFUNCTION("IF('Respuestas de formulario 1'!I738="""","""",TO_TEXT('Respuestas de formulario 1'!I738))"),"Particular")</f>
        <v>Particular</v>
      </c>
      <c r="J738" s="7" t="str">
        <f>IFERROR(__xludf.DUMMYFUNCTION("IF('Respuestas de formulario 1'!J738&lt;&gt;"""",UPPER(TRIM(TO_TEXT('Respuestas de formulario 1'!J738))),IF('Respuestas de formulario 1'!O738&lt;&gt;"""",UPPER(TRIM(TO_TEXT('Respuestas de formulario 1'!O738))),""""))"),"")</f>
        <v/>
      </c>
      <c r="K738" s="7" t="str">
        <f>IFERROR(__xludf.DUMMYFUNCTION("IF('Respuestas de formulario 1'!K738="""","""",TO_TEXT('Respuestas de formulario 1'!K738))"),"Si")</f>
        <v>Si</v>
      </c>
      <c r="L738" s="7" t="str">
        <f>IFERROR(__xludf.DUMMYFUNCTION("IF('Respuestas de formulario 1'!L738="""","""",TO_TEXT('Respuestas de formulario 1'!L738))"),"Gimnasio")</f>
        <v>Gimnasio</v>
      </c>
      <c r="M738" s="7" t="str">
        <f>IFERROR(__xludf.DUMMYFUNCTION("IF('Respuestas de formulario 1'!M738="""","""",TO_TEXT('Respuestas de formulario 1'!M738))"),"3 a 5 veces por semana")</f>
        <v>3 a 5 veces por semana</v>
      </c>
      <c r="N738" s="7">
        <f t="shared" si="1"/>
        <v>2024</v>
      </c>
      <c r="O738" s="7" t="str">
        <f t="shared" si="2"/>
        <v>octubre</v>
      </c>
      <c r="P738" s="7" t="s">
        <v>5655</v>
      </c>
    </row>
    <row r="739">
      <c r="A739" s="19">
        <f>'Respuestas de formulario 1'!A739</f>
        <v>45581.74116</v>
      </c>
      <c r="B739" s="7" t="str">
        <f>'Respuestas de formulario 1'!B739</f>
        <v>Guzman</v>
      </c>
      <c r="C739" s="7" t="str">
        <f>'Respuestas de formulario 1'!C739</f>
        <v>Maria Eugenia</v>
      </c>
      <c r="D739" s="7" t="str">
        <f>'Respuestas de formulario 1'!D739</f>
        <v>eugitaguzman@hotmail.com</v>
      </c>
      <c r="E739" s="20">
        <f>'Respuestas de formulario 1'!E739</f>
        <v>30671</v>
      </c>
      <c r="F739" s="7">
        <f>'Respuestas de formulario 1'!F739</f>
        <v>30658685</v>
      </c>
      <c r="G739" s="7" t="str">
        <f>IFERROR(__xludf.DUMMYFUNCTION("IF('Respuestas de formulario 1'!G739="""","""",IF(LEFT(REGEXREPLACE(TO_TEXT('Respuestas de formulario 1'!G739),""[^0-9]"",""""),2)=""54"",""+""&amp;REGEXREPLACE(TO_TEXT('Respuestas de formulario 1'!G739),""[^0-9]"",""""),""+54""&amp;REGEXREPLACE(TO_TEXT('Respuest"&amp;"as de formulario 1'!G739),""[^0-9]"","""")))"),"+543513938754")</f>
        <v>+543513938754</v>
      </c>
      <c r="H739" s="7">
        <f>'Respuestas de formulario 1'!S739</f>
        <v>2024</v>
      </c>
      <c r="I739" s="7" t="str">
        <f>IFERROR(__xludf.DUMMYFUNCTION("IF('Respuestas de formulario 1'!I739="""","""",TO_TEXT('Respuestas de formulario 1'!I739))"),"Obra social")</f>
        <v>Obra social</v>
      </c>
      <c r="J739" s="7" t="str">
        <f>IFERROR(__xludf.DUMMYFUNCTION("IF('Respuestas de formulario 1'!J739&lt;&gt;"""",UPPER(TRIM(TO_TEXT('Respuestas de formulario 1'!J739))),IF('Respuestas de formulario 1'!O739&lt;&gt;"""",UPPER(TRIM(TO_TEXT('Respuestas de formulario 1'!O739))),""""))"),"DASPU")</f>
        <v>DASPU</v>
      </c>
      <c r="K739" s="7" t="str">
        <f>IFERROR(__xludf.DUMMYFUNCTION("IF('Respuestas de formulario 1'!K739="""","""",TO_TEXT('Respuestas de formulario 1'!K739))"),"Si")</f>
        <v>Si</v>
      </c>
      <c r="L739" s="7" t="str">
        <f>IFERROR(__xludf.DUMMYFUNCTION("IF('Respuestas de formulario 1'!L739="""","""",TO_TEXT('Respuestas de formulario 1'!L739))"),"Gimnasio")</f>
        <v>Gimnasio</v>
      </c>
      <c r="M739" s="7" t="str">
        <f>IFERROR(__xludf.DUMMYFUNCTION("IF('Respuestas de formulario 1'!M739="""","""",TO_TEXT('Respuestas de formulario 1'!M739))"),"3 a 5 veces por semana")</f>
        <v>3 a 5 veces por semana</v>
      </c>
      <c r="N739" s="7">
        <f t="shared" si="1"/>
        <v>2024</v>
      </c>
      <c r="O739" s="7" t="str">
        <f t="shared" si="2"/>
        <v>octubre</v>
      </c>
      <c r="P739" s="7" t="s">
        <v>5657</v>
      </c>
    </row>
    <row r="740">
      <c r="A740" s="19">
        <f>'Respuestas de formulario 1'!A740</f>
        <v>45582.46253</v>
      </c>
      <c r="B740" s="7" t="str">
        <f>'Respuestas de formulario 1'!B740</f>
        <v>Gomez</v>
      </c>
      <c r="C740" s="7" t="str">
        <f>'Respuestas de formulario 1'!C740</f>
        <v>Barbara Antonella </v>
      </c>
      <c r="D740" s="7" t="str">
        <f>'Respuestas de formulario 1'!D740</f>
        <v>alejandraeugeniamoyano@gmail.com</v>
      </c>
      <c r="E740" s="20">
        <f>'Respuestas de formulario 1'!E740</f>
        <v>41225</v>
      </c>
      <c r="F740" s="7">
        <f>'Respuestas de formulario 1'!F740</f>
        <v>52464936</v>
      </c>
      <c r="G740" s="7" t="str">
        <f>IFERROR(__xludf.DUMMYFUNCTION("IF('Respuestas de formulario 1'!G740="""","""",IF(LEFT(REGEXREPLACE(TO_TEXT('Respuestas de formulario 1'!G740),""[^0-9]"",""""),2)=""54"",""+""&amp;REGEXREPLACE(TO_TEXT('Respuestas de formulario 1'!G740),""[^0-9]"",""""),""+54""&amp;REGEXREPLACE(TO_TEXT('Respuest"&amp;"as de formulario 1'!G740),""[^0-9]"","""")))"),"+543513713474")</f>
        <v>+543513713474</v>
      </c>
      <c r="H740" s="7">
        <f>'Respuestas de formulario 1'!S740</f>
        <v>2024</v>
      </c>
      <c r="I740" s="7" t="str">
        <f>IFERROR(__xludf.DUMMYFUNCTION("IF('Respuestas de formulario 1'!I740="""","""",TO_TEXT('Respuestas de formulario 1'!I740))"),"Particular")</f>
        <v>Particular</v>
      </c>
      <c r="J740" s="7" t="str">
        <f>IFERROR(__xludf.DUMMYFUNCTION("IF('Respuestas de formulario 1'!J740&lt;&gt;"""",UPPER(TRIM(TO_TEXT('Respuestas de formulario 1'!J740))),IF('Respuestas de formulario 1'!O740&lt;&gt;"""",UPPER(TRIM(TO_TEXT('Respuestas de formulario 1'!O740))),""""))"),"")</f>
        <v/>
      </c>
      <c r="K740" s="7" t="str">
        <f>IFERROR(__xludf.DUMMYFUNCTION("IF('Respuestas de formulario 1'!K740="""","""",TO_TEXT('Respuestas de formulario 1'!K740))"),"Si")</f>
        <v>Si</v>
      </c>
      <c r="L740" s="7" t="str">
        <f>IFERROR(__xludf.DUMMYFUNCTION("IF('Respuestas de formulario 1'!L740="""","""",TO_TEXT('Respuestas de formulario 1'!L740))"),"Baile")</f>
        <v>Baile</v>
      </c>
      <c r="M740" s="7" t="str">
        <f>IFERROR(__xludf.DUMMYFUNCTION("IF('Respuestas de formulario 1'!M740="""","""",TO_TEXT('Respuestas de formulario 1'!M740))"),"3 a 5 veces por semana")</f>
        <v>3 a 5 veces por semana</v>
      </c>
      <c r="N740" s="7">
        <f t="shared" si="1"/>
        <v>2024</v>
      </c>
      <c r="O740" s="7" t="str">
        <f t="shared" si="2"/>
        <v>octubre</v>
      </c>
      <c r="P740" s="7" t="s">
        <v>5659</v>
      </c>
    </row>
    <row r="741">
      <c r="A741" s="19">
        <f>'Respuestas de formulario 1'!A741</f>
        <v>45583.34816</v>
      </c>
      <c r="B741" s="7" t="str">
        <f>'Respuestas de formulario 1'!B741</f>
        <v>Rentine juncos </v>
      </c>
      <c r="C741" s="7" t="str">
        <f>'Respuestas de formulario 1'!C741</f>
        <v>Alma azul </v>
      </c>
      <c r="D741" s="7" t="str">
        <f>'Respuestas de formulario 1'!D741</f>
        <v>eliizabethjuncoss@gmail.com</v>
      </c>
      <c r="E741" s="20">
        <f>'Respuestas de formulario 1'!E741</f>
        <v>41781</v>
      </c>
      <c r="F741" s="21">
        <f>'Respuestas de formulario 1'!F741</f>
        <v>53731075</v>
      </c>
      <c r="G741" s="7" t="str">
        <f>IFERROR(__xludf.DUMMYFUNCTION("IF('Respuestas de formulario 1'!G741="""","""",IF(LEFT(REGEXREPLACE(TO_TEXT('Respuestas de formulario 1'!G741),""[^0-9]"",""""),2)=""54"",""+""&amp;REGEXREPLACE(TO_TEXT('Respuestas de formulario 1'!G741),""[^0-9]"",""""),""+54""&amp;REGEXREPLACE(TO_TEXT('Respuest"&amp;"as de formulario 1'!G741),""[^0-9]"","""")))"),"+543516826077")</f>
        <v>+543516826077</v>
      </c>
      <c r="H741" s="7">
        <f>'Respuestas de formulario 1'!S741</f>
        <v>2024</v>
      </c>
      <c r="I741" s="7" t="str">
        <f>IFERROR(__xludf.DUMMYFUNCTION("IF('Respuestas de formulario 1'!I741="""","""",TO_TEXT('Respuestas de formulario 1'!I741))"),"Obra social")</f>
        <v>Obra social</v>
      </c>
      <c r="J741" s="7" t="str">
        <f>IFERROR(__xludf.DUMMYFUNCTION("IF('Respuestas de formulario 1'!J741&lt;&gt;"""",UPPER(TRIM(TO_TEXT('Respuestas de formulario 1'!J741))),IF('Respuestas de formulario 1'!O741&lt;&gt;"""",UPPER(TRIM(TO_TEXT('Respuestas de formulario 1'!O741))),""""))"),"BOREAL")</f>
        <v>BOREAL</v>
      </c>
      <c r="K741" s="7" t="str">
        <f>IFERROR(__xludf.DUMMYFUNCTION("IF('Respuestas de formulario 1'!K741="""","""",TO_TEXT('Respuestas de formulario 1'!K741))"),"Si")</f>
        <v>Si</v>
      </c>
      <c r="L741" s="7" t="str">
        <f>IFERROR(__xludf.DUMMYFUNCTION("IF('Respuestas de formulario 1'!L741="""","""",TO_TEXT('Respuestas de formulario 1'!L741))"),"Natación ")</f>
        <v>Natación </v>
      </c>
      <c r="M741" s="7" t="str">
        <f>IFERROR(__xludf.DUMMYFUNCTION("IF('Respuestas de formulario 1'!M741="""","""",TO_TEXT('Respuestas de formulario 1'!M741))"),"1 a 2 veces por semana")</f>
        <v>1 a 2 veces por semana</v>
      </c>
      <c r="N741" s="7">
        <f t="shared" si="1"/>
        <v>2024</v>
      </c>
      <c r="O741" s="7" t="str">
        <f t="shared" si="2"/>
        <v>octubre</v>
      </c>
      <c r="P741" s="7" t="s">
        <v>5661</v>
      </c>
    </row>
    <row r="742">
      <c r="A742" s="19">
        <f>'Respuestas de formulario 1'!A742</f>
        <v>45583.71745</v>
      </c>
      <c r="B742" s="7" t="str">
        <f>'Respuestas de formulario 1'!B742</f>
        <v>Gomez </v>
      </c>
      <c r="C742" s="7" t="str">
        <f>'Respuestas de formulario 1'!C742</f>
        <v>Gabriel </v>
      </c>
      <c r="D742" s="7" t="str">
        <f>'Respuestas de formulario 1'!D742</f>
        <v>Gabrielalejandrogomez7@gmail.com</v>
      </c>
      <c r="E742" s="20">
        <f>'Respuestas de formulario 1'!E742</f>
        <v>25981</v>
      </c>
      <c r="F742" s="7">
        <f>'Respuestas de formulario 1'!F742</f>
        <v>22034524</v>
      </c>
      <c r="G742" s="7" t="str">
        <f>IFERROR(__xludf.DUMMYFUNCTION("IF('Respuestas de formulario 1'!G742="""","""",IF(LEFT(REGEXREPLACE(TO_TEXT('Respuestas de formulario 1'!G742),""[^0-9]"",""""),2)=""54"",""+""&amp;REGEXREPLACE(TO_TEXT('Respuestas de formulario 1'!G742),""[^0-9]"",""""),""+54""&amp;REGEXREPLACE(TO_TEXT('Respuest"&amp;"as de formulario 1'!G742),""[^0-9]"","""")))"),"+543543560752")</f>
        <v>+543543560752</v>
      </c>
      <c r="H742" s="7">
        <f>'Respuestas de formulario 1'!S742</f>
        <v>2024</v>
      </c>
      <c r="I742" s="7" t="str">
        <f>IFERROR(__xludf.DUMMYFUNCTION("IF('Respuestas de formulario 1'!I742="""","""",TO_TEXT('Respuestas de formulario 1'!I742))"),"Particular")</f>
        <v>Particular</v>
      </c>
      <c r="J742" s="7" t="str">
        <f>IFERROR(__xludf.DUMMYFUNCTION("IF('Respuestas de formulario 1'!J742&lt;&gt;"""",UPPER(TRIM(TO_TEXT('Respuestas de formulario 1'!J742))),IF('Respuestas de formulario 1'!O742&lt;&gt;"""",UPPER(TRIM(TO_TEXT('Respuestas de formulario 1'!O742))),""""))"),"")</f>
        <v/>
      </c>
      <c r="K742" s="7" t="str">
        <f>IFERROR(__xludf.DUMMYFUNCTION("IF('Respuestas de formulario 1'!K742="""","""",TO_TEXT('Respuestas de formulario 1'!K742))"),"Si")</f>
        <v>Si</v>
      </c>
      <c r="L742" s="7" t="str">
        <f>IFERROR(__xludf.DUMMYFUNCTION("IF('Respuestas de formulario 1'!L742="""","""",TO_TEXT('Respuestas de formulario 1'!L742))"),"Gimnasio")</f>
        <v>Gimnasio</v>
      </c>
      <c r="M742" s="7" t="str">
        <f>IFERROR(__xludf.DUMMYFUNCTION("IF('Respuestas de formulario 1'!M742="""","""",TO_TEXT('Respuestas de formulario 1'!M742))"),"3 a 5 veces por semana")</f>
        <v>3 a 5 veces por semana</v>
      </c>
      <c r="N742" s="7">
        <f t="shared" si="1"/>
        <v>2024</v>
      </c>
      <c r="O742" s="7" t="str">
        <f t="shared" si="2"/>
        <v>octubre</v>
      </c>
      <c r="P742" s="7" t="s">
        <v>5663</v>
      </c>
    </row>
    <row r="743">
      <c r="A743" s="19">
        <f>'Respuestas de formulario 1'!A743</f>
        <v>45586.48883</v>
      </c>
      <c r="B743" s="7" t="str">
        <f>'Respuestas de formulario 1'!B743</f>
        <v>Ghione </v>
      </c>
      <c r="C743" s="7" t="str">
        <f>'Respuestas de formulario 1'!C743</f>
        <v>Santino</v>
      </c>
      <c r="D743" s="7" t="str">
        <f>'Respuestas de formulario 1'!D743</f>
        <v>vrosales@iua.edu.ar</v>
      </c>
      <c r="E743" s="20">
        <f>'Respuestas de formulario 1'!E743</f>
        <v>41011</v>
      </c>
      <c r="F743" s="7">
        <f>'Respuestas de formulario 1'!F743</f>
        <v>52206311</v>
      </c>
      <c r="G743" s="7" t="str">
        <f>IFERROR(__xludf.DUMMYFUNCTION("IF('Respuestas de formulario 1'!G743="""","""",IF(LEFT(REGEXREPLACE(TO_TEXT('Respuestas de formulario 1'!G743),""[^0-9]"",""""),2)=""54"",""+""&amp;REGEXREPLACE(TO_TEXT('Respuestas de formulario 1'!G743),""[^0-9]"",""""),""+54""&amp;REGEXREPLACE(TO_TEXT('Respuest"&amp;"as de formulario 1'!G743),""[^0-9]"","""")))"),"+543518031224")</f>
        <v>+543518031224</v>
      </c>
      <c r="H743" s="7">
        <f>'Respuestas de formulario 1'!S743</f>
        <v>2024</v>
      </c>
      <c r="I743" s="7" t="str">
        <f>IFERROR(__xludf.DUMMYFUNCTION("IF('Respuestas de formulario 1'!I743="""","""",TO_TEXT('Respuestas de formulario 1'!I743))"),"Particular")</f>
        <v>Particular</v>
      </c>
      <c r="J743" s="7" t="str">
        <f>IFERROR(__xludf.DUMMYFUNCTION("IF('Respuestas de formulario 1'!J743&lt;&gt;"""",UPPER(TRIM(TO_TEXT('Respuestas de formulario 1'!J743))),IF('Respuestas de formulario 1'!O743&lt;&gt;"""",UPPER(TRIM(TO_TEXT('Respuestas de formulario 1'!O743))),""""))"),"")</f>
        <v/>
      </c>
      <c r="K743" s="7" t="str">
        <f>IFERROR(__xludf.DUMMYFUNCTION("IF('Respuestas de formulario 1'!K743="""","""",TO_TEXT('Respuestas de formulario 1'!K743))"),"Si")</f>
        <v>Si</v>
      </c>
      <c r="L743" s="7" t="str">
        <f>IFERROR(__xludf.DUMMYFUNCTION("IF('Respuestas de formulario 1'!L743="""","""",TO_TEXT('Respuestas de formulario 1'!L743))"),"Natacion")</f>
        <v>Natacion</v>
      </c>
      <c r="M743" s="7" t="str">
        <f>IFERROR(__xludf.DUMMYFUNCTION("IF('Respuestas de formulario 1'!M743="""","""",TO_TEXT('Respuestas de formulario 1'!M743))"),"1 a 2 veces por semana")</f>
        <v>1 a 2 veces por semana</v>
      </c>
      <c r="N743" s="7">
        <f t="shared" si="1"/>
        <v>2024</v>
      </c>
      <c r="O743" s="7" t="str">
        <f t="shared" si="2"/>
        <v>octubre</v>
      </c>
      <c r="P743" s="7" t="s">
        <v>5665</v>
      </c>
    </row>
    <row r="744">
      <c r="A744" s="19">
        <f>'Respuestas de formulario 1'!A744</f>
        <v>45586.64162</v>
      </c>
      <c r="B744" s="7" t="str">
        <f>'Respuestas de formulario 1'!B744</f>
        <v>Reyna</v>
      </c>
      <c r="C744" s="7" t="str">
        <f>'Respuestas de formulario 1'!C744</f>
        <v>Fabiana</v>
      </c>
      <c r="D744" s="7" t="str">
        <f>'Respuestas de formulario 1'!D744</f>
        <v>fabireyna13@gmail.com</v>
      </c>
      <c r="E744" s="20">
        <f>'Respuestas de formulario 1'!E744</f>
        <v>45645</v>
      </c>
      <c r="F744" s="7">
        <f>'Respuestas de formulario 1'!F744</f>
        <v>25756798</v>
      </c>
      <c r="G744" s="7" t="str">
        <f>IFERROR(__xludf.DUMMYFUNCTION("IF('Respuestas de formulario 1'!G744="""","""",IF(LEFT(REGEXREPLACE(TO_TEXT('Respuestas de formulario 1'!G744),""[^0-9]"",""""),2)=""54"",""+""&amp;REGEXREPLACE(TO_TEXT('Respuestas de formulario 1'!G744),""[^0-9]"",""""),""+54""&amp;REGEXREPLACE(TO_TEXT('Respuest"&amp;"as de formulario 1'!G744),""[^0-9]"","""")))"),"+543512766300")</f>
        <v>+543512766300</v>
      </c>
      <c r="H744" s="7">
        <f>'Respuestas de formulario 1'!S744</f>
        <v>2024</v>
      </c>
      <c r="I744" s="7" t="str">
        <f>IFERROR(__xludf.DUMMYFUNCTION("IF('Respuestas de formulario 1'!I744="""","""",TO_TEXT('Respuestas de formulario 1'!I744))"),"Obra social")</f>
        <v>Obra social</v>
      </c>
      <c r="J744" s="7" t="str">
        <f>IFERROR(__xludf.DUMMYFUNCTION("IF('Respuestas de formulario 1'!J744&lt;&gt;"""",UPPER(TRIM(TO_TEXT('Respuestas de formulario 1'!J744))),IF('Respuestas de formulario 1'!O744&lt;&gt;"""",UPPER(TRIM(TO_TEXT('Respuestas de formulario 1'!O744))),""""))"),"BOREAL")</f>
        <v>BOREAL</v>
      </c>
      <c r="K744" s="7" t="str">
        <f>IFERROR(__xludf.DUMMYFUNCTION("IF('Respuestas de formulario 1'!K744="""","""",TO_TEXT('Respuestas de formulario 1'!K744))"),"No")</f>
        <v>No</v>
      </c>
      <c r="L744" s="7" t="str">
        <f>IFERROR(__xludf.DUMMYFUNCTION("IF('Respuestas de formulario 1'!L744="""","""",TO_TEXT('Respuestas de formulario 1'!L744))"),"")</f>
        <v/>
      </c>
      <c r="M744" s="7" t="str">
        <f>IFERROR(__xludf.DUMMYFUNCTION("IF('Respuestas de formulario 1'!M744="""","""",TO_TEXT('Respuestas de formulario 1'!M744))"),"")</f>
        <v/>
      </c>
      <c r="N744" s="7">
        <f t="shared" si="1"/>
        <v>2024</v>
      </c>
      <c r="O744" s="7" t="str">
        <f t="shared" si="2"/>
        <v>octubre</v>
      </c>
      <c r="P744" s="7" t="s">
        <v>5667</v>
      </c>
    </row>
    <row r="745">
      <c r="A745" s="19">
        <f>'Respuestas de formulario 1'!A745</f>
        <v>45586.69986</v>
      </c>
      <c r="B745" s="7" t="str">
        <f>'Respuestas de formulario 1'!B745</f>
        <v>Montagna</v>
      </c>
      <c r="C745" s="7" t="str">
        <f>'Respuestas de formulario 1'!C745</f>
        <v>Alejandro</v>
      </c>
      <c r="D745" s="7" t="str">
        <f>'Respuestas de formulario 1'!D745</f>
        <v>ale4683@hotmail.com</v>
      </c>
      <c r="E745" s="20">
        <f>'Respuestas de formulario 1'!E745</f>
        <v>20848</v>
      </c>
      <c r="F745" s="7">
        <f>'Respuestas de formulario 1'!F745</f>
        <v>12583296</v>
      </c>
      <c r="G745" s="7" t="str">
        <f>IFERROR(__xludf.DUMMYFUNCTION("IF('Respuestas de formulario 1'!G745="""","""",IF(LEFT(REGEXREPLACE(TO_TEXT('Respuestas de formulario 1'!G745),""[^0-9]"",""""),2)=""54"",""+""&amp;REGEXREPLACE(TO_TEXT('Respuestas de formulario 1'!G745),""[^0-9]"",""""),""+54""&amp;REGEXREPLACE(TO_TEXT('Respuest"&amp;"as de formulario 1'!G745),""[^0-9]"","""")))"),"+543515425870")</f>
        <v>+543515425870</v>
      </c>
      <c r="H745" s="7">
        <f>'Respuestas de formulario 1'!S745</f>
        <v>2024</v>
      </c>
      <c r="I745" s="7" t="str">
        <f>IFERROR(__xludf.DUMMYFUNCTION("IF('Respuestas de formulario 1'!I745="""","""",TO_TEXT('Respuestas de formulario 1'!I745))"),"Particular")</f>
        <v>Particular</v>
      </c>
      <c r="J745" s="7" t="str">
        <f>IFERROR(__xludf.DUMMYFUNCTION("IF('Respuestas de formulario 1'!J745&lt;&gt;"""",UPPER(TRIM(TO_TEXT('Respuestas de formulario 1'!J745))),IF('Respuestas de formulario 1'!O745&lt;&gt;"""",UPPER(TRIM(TO_TEXT('Respuestas de formulario 1'!O745))),""""))"),"")</f>
        <v/>
      </c>
      <c r="K745" s="7" t="str">
        <f>IFERROR(__xludf.DUMMYFUNCTION("IF('Respuestas de formulario 1'!K745="""","""",TO_TEXT('Respuestas de formulario 1'!K745))"),"No")</f>
        <v>No</v>
      </c>
      <c r="L745" s="7" t="str">
        <f>IFERROR(__xludf.DUMMYFUNCTION("IF('Respuestas de formulario 1'!L745="""","""",TO_TEXT('Respuestas de formulario 1'!L745))"),"")</f>
        <v/>
      </c>
      <c r="M745" s="7" t="str">
        <f>IFERROR(__xludf.DUMMYFUNCTION("IF('Respuestas de formulario 1'!M745="""","""",TO_TEXT('Respuestas de formulario 1'!M745))"),"")</f>
        <v/>
      </c>
      <c r="N745" s="7">
        <f t="shared" si="1"/>
        <v>2024</v>
      </c>
      <c r="O745" s="7" t="str">
        <f t="shared" si="2"/>
        <v>octubre</v>
      </c>
      <c r="P745" s="7" t="s">
        <v>5669</v>
      </c>
    </row>
    <row r="746">
      <c r="A746" s="19">
        <f>'Respuestas de formulario 1'!A746</f>
        <v>45587.72616</v>
      </c>
      <c r="B746" s="7" t="str">
        <f>'Respuestas de formulario 1'!B746</f>
        <v>Ordoñez</v>
      </c>
      <c r="C746" s="7" t="str">
        <f>'Respuestas de formulario 1'!C746</f>
        <v>Santiago</v>
      </c>
      <c r="D746" s="7" t="str">
        <f>'Respuestas de formulario 1'!D746</f>
        <v/>
      </c>
      <c r="E746" s="20">
        <f>'Respuestas de formulario 1'!E746</f>
        <v>18645</v>
      </c>
      <c r="F746" s="7">
        <f>'Respuestas de formulario 1'!F746</f>
        <v>8531201</v>
      </c>
      <c r="G746" s="7" t="str">
        <f>IFERROR(__xludf.DUMMYFUNCTION("IF('Respuestas de formulario 1'!G746="""","""",IF(LEFT(REGEXREPLACE(TO_TEXT('Respuestas de formulario 1'!G746),""[^0-9]"",""""),2)=""54"",""+""&amp;REGEXREPLACE(TO_TEXT('Respuestas de formulario 1'!G746),""[^0-9]"",""""),""+54""&amp;REGEXREPLACE(TO_TEXT('Respuest"&amp;"as de formulario 1'!G746),""[^0-9]"","""")))"),"+543518070833")</f>
        <v>+543518070833</v>
      </c>
      <c r="H746" s="7">
        <f>'Respuestas de formulario 1'!S746</f>
        <v>2024</v>
      </c>
      <c r="I746" s="7" t="str">
        <f>IFERROR(__xludf.DUMMYFUNCTION("IF('Respuestas de formulario 1'!I746="""","""",TO_TEXT('Respuestas de formulario 1'!I746))"),"Particular")</f>
        <v>Particular</v>
      </c>
      <c r="J746" s="7" t="str">
        <f>IFERROR(__xludf.DUMMYFUNCTION("IF('Respuestas de formulario 1'!J746&lt;&gt;"""",UPPER(TRIM(TO_TEXT('Respuestas de formulario 1'!J746))),IF('Respuestas de formulario 1'!O746&lt;&gt;"""",UPPER(TRIM(TO_TEXT('Respuestas de formulario 1'!O746))),""""))"),"")</f>
        <v/>
      </c>
      <c r="K746" s="7" t="str">
        <f>IFERROR(__xludf.DUMMYFUNCTION("IF('Respuestas de formulario 1'!K746="""","""",TO_TEXT('Respuestas de formulario 1'!K746))"),"Si")</f>
        <v>Si</v>
      </c>
      <c r="L746" s="7" t="str">
        <f>IFERROR(__xludf.DUMMYFUNCTION("IF('Respuestas de formulario 1'!L746="""","""",TO_TEXT('Respuestas de formulario 1'!L746))"),"")</f>
        <v/>
      </c>
      <c r="M746" s="7" t="str">
        <f>IFERROR(__xludf.DUMMYFUNCTION("IF('Respuestas de formulario 1'!M746="""","""",TO_TEXT('Respuestas de formulario 1'!M746))"),"3 a 5 veces por semana")</f>
        <v>3 a 5 veces por semana</v>
      </c>
      <c r="N746" s="7">
        <f t="shared" si="1"/>
        <v>2024</v>
      </c>
      <c r="O746" s="7" t="str">
        <f t="shared" si="2"/>
        <v>octubre</v>
      </c>
      <c r="P746" s="7" t="s">
        <v>5671</v>
      </c>
    </row>
    <row r="747">
      <c r="A747" s="19">
        <f>'Respuestas de formulario 1'!A747</f>
        <v>45587.89139</v>
      </c>
      <c r="B747" s="7" t="str">
        <f>'Respuestas de formulario 1'!B747</f>
        <v>Gómez andurno</v>
      </c>
      <c r="C747" s="7" t="str">
        <f>'Respuestas de formulario 1'!C747</f>
        <v>Tomás Agustin</v>
      </c>
      <c r="D747" s="7" t="str">
        <f>'Respuestas de formulario 1'!D747</f>
        <v/>
      </c>
      <c r="E747" s="20">
        <f>'Respuestas de formulario 1'!E747</f>
        <v>34823</v>
      </c>
      <c r="F747" s="7">
        <f>'Respuestas de formulario 1'!F747</f>
        <v>38989159</v>
      </c>
      <c r="G747" s="7" t="str">
        <f>IFERROR(__xludf.DUMMYFUNCTION("IF('Respuestas de formulario 1'!G747="""","""",IF(LEFT(REGEXREPLACE(TO_TEXT('Respuestas de formulario 1'!G747),""[^0-9]"",""""),2)=""54"",""+""&amp;REGEXREPLACE(TO_TEXT('Respuestas de formulario 1'!G747),""[^0-9]"",""""),""+54""&amp;REGEXREPLACE(TO_TEXT('Respuest"&amp;"as de formulario 1'!G747),""[^0-9]"","""")))"),"+543513284008")</f>
        <v>+543513284008</v>
      </c>
      <c r="H747" s="7">
        <f>'Respuestas de formulario 1'!S747</f>
        <v>2024</v>
      </c>
      <c r="I747" s="7" t="str">
        <f>IFERROR(__xludf.DUMMYFUNCTION("IF('Respuestas de formulario 1'!I747="""","""",TO_TEXT('Respuestas de formulario 1'!I747))"),"Obra social")</f>
        <v>Obra social</v>
      </c>
      <c r="J747" s="7" t="str">
        <f>IFERROR(__xludf.DUMMYFUNCTION("IF('Respuestas de formulario 1'!J747&lt;&gt;"""",UPPER(TRIM(TO_TEXT('Respuestas de formulario 1'!J747))),IF('Respuestas de formulario 1'!O747&lt;&gt;"""",UPPER(TRIM(TO_TEXT('Respuestas de formulario 1'!O747))),""""))"),"SWISS")</f>
        <v>SWISS</v>
      </c>
      <c r="K747" s="7" t="str">
        <f>IFERROR(__xludf.DUMMYFUNCTION("IF('Respuestas de formulario 1'!K747="""","""",TO_TEXT('Respuestas de formulario 1'!K747))"),"Si")</f>
        <v>Si</v>
      </c>
      <c r="L747" s="7" t="str">
        <f>IFERROR(__xludf.DUMMYFUNCTION("IF('Respuestas de formulario 1'!L747="""","""",TO_TEXT('Respuestas de formulario 1'!L747))"),"Fútbol")</f>
        <v>Fútbol</v>
      </c>
      <c r="M747" s="7" t="str">
        <f>IFERROR(__xludf.DUMMYFUNCTION("IF('Respuestas de formulario 1'!M747="""","""",TO_TEXT('Respuestas de formulario 1'!M747))"),"3 a 5 veces por semana")</f>
        <v>3 a 5 veces por semana</v>
      </c>
      <c r="N747" s="7">
        <f t="shared" si="1"/>
        <v>2024</v>
      </c>
      <c r="O747" s="7" t="str">
        <f t="shared" si="2"/>
        <v>octubre</v>
      </c>
      <c r="P747" s="7" t="s">
        <v>5672</v>
      </c>
    </row>
    <row r="748">
      <c r="A748" s="19">
        <f>'Respuestas de formulario 1'!A748</f>
        <v>45588.49695</v>
      </c>
      <c r="B748" s="7" t="str">
        <f>'Respuestas de formulario 1'!B748</f>
        <v>Diaz</v>
      </c>
      <c r="C748" s="7" t="str">
        <f>'Respuestas de formulario 1'!C748</f>
        <v>Noelia</v>
      </c>
      <c r="D748" s="7" t="str">
        <f>'Respuestas de formulario 1'!D748</f>
        <v>Diaznoelia124@gmail.com</v>
      </c>
      <c r="E748" s="20">
        <f>'Respuestas de formulario 1'!E748</f>
        <v>28175</v>
      </c>
      <c r="F748" s="7">
        <f>'Respuestas de formulario 1'!F748</f>
        <v>25756240</v>
      </c>
      <c r="G748" s="7" t="str">
        <f>IFERROR(__xludf.DUMMYFUNCTION("IF('Respuestas de formulario 1'!G748="""","""",IF(LEFT(REGEXREPLACE(TO_TEXT('Respuestas de formulario 1'!G748),""[^0-9]"",""""),2)=""54"",""+""&amp;REGEXREPLACE(TO_TEXT('Respuestas de formulario 1'!G748),""[^0-9]"",""""),""+54""&amp;REGEXREPLACE(TO_TEXT('Respuest"&amp;"as de formulario 1'!G748),""[^0-9]"","""")))"),"+543517353014")</f>
        <v>+543517353014</v>
      </c>
      <c r="H748" s="7">
        <f>'Respuestas de formulario 1'!S748</f>
        <v>2024</v>
      </c>
      <c r="I748" s="7" t="str">
        <f>IFERROR(__xludf.DUMMYFUNCTION("IF('Respuestas de formulario 1'!I748="""","""",TO_TEXT('Respuestas de formulario 1'!I748))"),"Obra social")</f>
        <v>Obra social</v>
      </c>
      <c r="J748" s="7" t="str">
        <f>IFERROR(__xludf.DUMMYFUNCTION("IF('Respuestas de formulario 1'!J748&lt;&gt;"""",UPPER(TRIM(TO_TEXT('Respuestas de formulario 1'!J748))),IF('Respuestas de formulario 1'!O748&lt;&gt;"""",UPPER(TRIM(TO_TEXT('Respuestas de formulario 1'!O748))),""""))"),"SANCOR")</f>
        <v>SANCOR</v>
      </c>
      <c r="K748" s="7" t="str">
        <f>IFERROR(__xludf.DUMMYFUNCTION("IF('Respuestas de formulario 1'!K748="""","""",TO_TEXT('Respuestas de formulario 1'!K748))"),"No")</f>
        <v>No</v>
      </c>
      <c r="L748" s="7" t="str">
        <f>IFERROR(__xludf.DUMMYFUNCTION("IF('Respuestas de formulario 1'!L748="""","""",TO_TEXT('Respuestas de formulario 1'!L748))"),"")</f>
        <v/>
      </c>
      <c r="M748" s="7" t="str">
        <f>IFERROR(__xludf.DUMMYFUNCTION("IF('Respuestas de formulario 1'!M748="""","""",TO_TEXT('Respuestas de formulario 1'!M748))"),"")</f>
        <v/>
      </c>
      <c r="N748" s="7">
        <f t="shared" si="1"/>
        <v>2024</v>
      </c>
      <c r="O748" s="7" t="str">
        <f t="shared" si="2"/>
        <v>octubre</v>
      </c>
      <c r="P748" s="7" t="s">
        <v>5674</v>
      </c>
    </row>
    <row r="749">
      <c r="A749" s="19">
        <f>'Respuestas de formulario 1'!A749</f>
        <v>45588.51486</v>
      </c>
      <c r="B749" s="7" t="str">
        <f>'Respuestas de formulario 1'!B749</f>
        <v>Boasi</v>
      </c>
      <c r="C749" s="7" t="str">
        <f>'Respuestas de formulario 1'!C749</f>
        <v>Santiago</v>
      </c>
      <c r="D749" s="7" t="str">
        <f>'Respuestas de formulario 1'!D749</f>
        <v>Santiezel30@gmail.com</v>
      </c>
      <c r="E749" s="20">
        <f>'Respuestas de formulario 1'!E749</f>
        <v>30969</v>
      </c>
      <c r="F749" s="7">
        <f>'Respuestas de formulario 1'!F749</f>
        <v>31217605</v>
      </c>
      <c r="G749" s="7" t="str">
        <f>IFERROR(__xludf.DUMMYFUNCTION("IF('Respuestas de formulario 1'!G749="""","""",IF(LEFT(REGEXREPLACE(TO_TEXT('Respuestas de formulario 1'!G749),""[^0-9]"",""""),2)=""54"",""+""&amp;REGEXREPLACE(TO_TEXT('Respuestas de formulario 1'!G749),""[^0-9]"",""""),""+54""&amp;REGEXREPLACE(TO_TEXT('Respuest"&amp;"as de formulario 1'!G749),""[^0-9]"","""")))"),"+543517683800")</f>
        <v>+543517683800</v>
      </c>
      <c r="H749" s="7">
        <f>'Respuestas de formulario 1'!S749</f>
        <v>2024</v>
      </c>
      <c r="I749" s="7" t="str">
        <f>IFERROR(__xludf.DUMMYFUNCTION("IF('Respuestas de formulario 1'!I749="""","""",TO_TEXT('Respuestas de formulario 1'!I749))"),"Particular")</f>
        <v>Particular</v>
      </c>
      <c r="J749" s="7" t="str">
        <f>IFERROR(__xludf.DUMMYFUNCTION("IF('Respuestas de formulario 1'!J749&lt;&gt;"""",UPPER(TRIM(TO_TEXT('Respuestas de formulario 1'!J749))),IF('Respuestas de formulario 1'!O749&lt;&gt;"""",UPPER(TRIM(TO_TEXT('Respuestas de formulario 1'!O749))),""""))"),"")</f>
        <v/>
      </c>
      <c r="K749" s="7" t="str">
        <f>IFERROR(__xludf.DUMMYFUNCTION("IF('Respuestas de formulario 1'!K749="""","""",TO_TEXT('Respuestas de formulario 1'!K749))"),"Si")</f>
        <v>Si</v>
      </c>
      <c r="L749" s="7" t="str">
        <f>IFERROR(__xludf.DUMMYFUNCTION("IF('Respuestas de formulario 1'!L749="""","""",TO_TEXT('Respuestas de formulario 1'!L749))"),"Baile")</f>
        <v>Baile</v>
      </c>
      <c r="M749" s="7" t="str">
        <f>IFERROR(__xludf.DUMMYFUNCTION("IF('Respuestas de formulario 1'!M749="""","""",TO_TEXT('Respuestas de formulario 1'!M749))"),"6 a 7 veces por semana")</f>
        <v>6 a 7 veces por semana</v>
      </c>
      <c r="N749" s="7">
        <f t="shared" si="1"/>
        <v>2024</v>
      </c>
      <c r="O749" s="7" t="str">
        <f t="shared" si="2"/>
        <v>octubre</v>
      </c>
      <c r="P749" s="7" t="s">
        <v>5676</v>
      </c>
    </row>
    <row r="750">
      <c r="A750" s="19">
        <f>'Respuestas de formulario 1'!A750</f>
        <v>45588.82899</v>
      </c>
      <c r="B750" s="7" t="str">
        <f>'Respuestas de formulario 1'!B750</f>
        <v>Gallerano</v>
      </c>
      <c r="C750" s="7" t="str">
        <f>'Respuestas de formulario 1'!C750</f>
        <v>Luciano</v>
      </c>
      <c r="D750" s="7" t="str">
        <f>'Respuestas de formulario 1'!D750</f>
        <v>luciano_liceopaz@hotmail.com.ar</v>
      </c>
      <c r="E750" s="20">
        <f>'Respuestas de formulario 1'!E750</f>
        <v>34607</v>
      </c>
      <c r="F750" s="7">
        <f>'Respuestas de formulario 1'!F750</f>
        <v>38413140</v>
      </c>
      <c r="G750" s="7" t="str">
        <f>IFERROR(__xludf.DUMMYFUNCTION("IF('Respuestas de formulario 1'!G750="""","""",IF(LEFT(REGEXREPLACE(TO_TEXT('Respuestas de formulario 1'!G750),""[^0-9]"",""""),2)=""54"",""+""&amp;REGEXREPLACE(TO_TEXT('Respuestas de formulario 1'!G750),""[^0-9]"",""""),""+54""&amp;REGEXREPLACE(TO_TEXT('Respuest"&amp;"as de formulario 1'!G750),""[^0-9]"","""")))"),"+543513117498")</f>
        <v>+543513117498</v>
      </c>
      <c r="H750" s="7">
        <f>'Respuestas de formulario 1'!S750</f>
        <v>2024</v>
      </c>
      <c r="I750" s="7" t="str">
        <f>IFERROR(__xludf.DUMMYFUNCTION("IF('Respuestas de formulario 1'!I750="""","""",TO_TEXT('Respuestas de formulario 1'!I750))"),"Obra social")</f>
        <v>Obra social</v>
      </c>
      <c r="J750" s="7" t="str">
        <f>IFERROR(__xludf.DUMMYFUNCTION("IF('Respuestas de formulario 1'!J750&lt;&gt;"""",UPPER(TRIM(TO_TEXT('Respuestas de formulario 1'!J750))),IF('Respuestas de formulario 1'!O750&lt;&gt;"""",UPPER(TRIM(TO_TEXT('Respuestas de formulario 1'!O750))),""""))"),"MEDIFÉ")</f>
        <v>MEDIFÉ</v>
      </c>
      <c r="K750" s="7" t="str">
        <f>IFERROR(__xludf.DUMMYFUNCTION("IF('Respuestas de formulario 1'!K750="""","""",TO_TEXT('Respuestas de formulario 1'!K750))"),"Si")</f>
        <v>Si</v>
      </c>
      <c r="L750" s="7" t="str">
        <f>IFERROR(__xludf.DUMMYFUNCTION("IF('Respuestas de formulario 1'!L750="""","""",TO_TEXT('Respuestas de formulario 1'!L750))"),"Gimnasio")</f>
        <v>Gimnasio</v>
      </c>
      <c r="M750" s="7" t="str">
        <f>IFERROR(__xludf.DUMMYFUNCTION("IF('Respuestas de formulario 1'!M750="""","""",TO_TEXT('Respuestas de formulario 1'!M750))"),"3 a 5 veces por semana")</f>
        <v>3 a 5 veces por semana</v>
      </c>
      <c r="N750" s="7">
        <f t="shared" si="1"/>
        <v>2024</v>
      </c>
      <c r="O750" s="7" t="str">
        <f t="shared" si="2"/>
        <v>octubre</v>
      </c>
      <c r="P750" s="7" t="s">
        <v>5678</v>
      </c>
    </row>
    <row r="751">
      <c r="A751" s="19">
        <f>'Respuestas de formulario 1'!A751</f>
        <v>45589.70311</v>
      </c>
      <c r="B751" s="7" t="str">
        <f>'Respuestas de formulario 1'!B751</f>
        <v>Gonzalez</v>
      </c>
      <c r="C751" s="7" t="str">
        <f>'Respuestas de formulario 1'!C751</f>
        <v>Gonzalo</v>
      </c>
      <c r="D751" s="7" t="str">
        <f>'Respuestas de formulario 1'!D751</f>
        <v>gonzalojavier441@gmail.com</v>
      </c>
      <c r="E751" s="20">
        <f>'Respuestas de formulario 1'!E751</f>
        <v>28343</v>
      </c>
      <c r="F751" s="7">
        <f>'Respuestas de formulario 1'!F751</f>
        <v>25920610</v>
      </c>
      <c r="G751" s="7" t="str">
        <f>IFERROR(__xludf.DUMMYFUNCTION("IF('Respuestas de formulario 1'!G751="""","""",IF(LEFT(REGEXREPLACE(TO_TEXT('Respuestas de formulario 1'!G751),""[^0-9]"",""""),2)=""54"",""+""&amp;REGEXREPLACE(TO_TEXT('Respuestas de formulario 1'!G751),""[^0-9]"",""""),""+54""&amp;REGEXREPLACE(TO_TEXT('Respuest"&amp;"as de formulario 1'!G751),""[^0-9]"","""")))"),"+543518151278")</f>
        <v>+543518151278</v>
      </c>
      <c r="H751" s="7">
        <f>'Respuestas de formulario 1'!S751</f>
        <v>2024</v>
      </c>
      <c r="I751" s="7" t="str">
        <f>IFERROR(__xludf.DUMMYFUNCTION("IF('Respuestas de formulario 1'!I751="""","""",TO_TEXT('Respuestas de formulario 1'!I751))"),"Particular")</f>
        <v>Particular</v>
      </c>
      <c r="J751" s="7" t="str">
        <f>IFERROR(__xludf.DUMMYFUNCTION("IF('Respuestas de formulario 1'!J751&lt;&gt;"""",UPPER(TRIM(TO_TEXT('Respuestas de formulario 1'!J751))),IF('Respuestas de formulario 1'!O751&lt;&gt;"""",UPPER(TRIM(TO_TEXT('Respuestas de formulario 1'!O751))),""""))"),"")</f>
        <v/>
      </c>
      <c r="K751" s="7" t="str">
        <f>IFERROR(__xludf.DUMMYFUNCTION("IF('Respuestas de formulario 1'!K751="""","""",TO_TEXT('Respuestas de formulario 1'!K751))"),"Si")</f>
        <v>Si</v>
      </c>
      <c r="L751" s="7" t="str">
        <f>IFERROR(__xludf.DUMMYFUNCTION("IF('Respuestas de formulario 1'!L751="""","""",TO_TEXT('Respuestas de formulario 1'!L751))"),"Fútbol")</f>
        <v>Fútbol</v>
      </c>
      <c r="M751" s="7" t="str">
        <f>IFERROR(__xludf.DUMMYFUNCTION("IF('Respuestas de formulario 1'!M751="""","""",TO_TEXT('Respuestas de formulario 1'!M751))"),"1 a 2 veces por semana")</f>
        <v>1 a 2 veces por semana</v>
      </c>
      <c r="N751" s="7">
        <f t="shared" si="1"/>
        <v>2024</v>
      </c>
      <c r="O751" s="7" t="str">
        <f t="shared" si="2"/>
        <v>octubre</v>
      </c>
      <c r="P751" s="7" t="s">
        <v>5680</v>
      </c>
    </row>
    <row r="752">
      <c r="A752" s="19">
        <f>'Respuestas de formulario 1'!A752</f>
        <v>45590.47477</v>
      </c>
      <c r="B752" s="7" t="str">
        <f>'Respuestas de formulario 1'!B752</f>
        <v>Guagliano</v>
      </c>
      <c r="C752" s="7" t="str">
        <f>'Respuestas de formulario 1'!C752</f>
        <v>Agustin</v>
      </c>
      <c r="D752" s="7" t="str">
        <f>'Respuestas de formulario 1'!D752</f>
        <v>guagliano.agustin@gmail.com</v>
      </c>
      <c r="E752" s="20">
        <f>'Respuestas de formulario 1'!E752</f>
        <v>34298</v>
      </c>
      <c r="F752" s="7">
        <f>'Respuestas de formulario 1'!F752</f>
        <v>38028896</v>
      </c>
      <c r="G752" s="7" t="str">
        <f>IFERROR(__xludf.DUMMYFUNCTION("IF('Respuestas de formulario 1'!G752="""","""",IF(LEFT(REGEXREPLACE(TO_TEXT('Respuestas de formulario 1'!G752),""[^0-9]"",""""),2)=""54"",""+""&amp;REGEXREPLACE(TO_TEXT('Respuestas de formulario 1'!G752),""[^0-9]"",""""),""+54""&amp;REGEXREPLACE(TO_TEXT('Respuest"&amp;"as de formulario 1'!G752),""[^0-9]"","""")))"),"+543512125255")</f>
        <v>+543512125255</v>
      </c>
      <c r="H752" s="7">
        <f>'Respuestas de formulario 1'!S752</f>
        <v>2024</v>
      </c>
      <c r="I752" s="7" t="str">
        <f>IFERROR(__xludf.DUMMYFUNCTION("IF('Respuestas de formulario 1'!I752="""","""",TO_TEXT('Respuestas de formulario 1'!I752))"),"Particular")</f>
        <v>Particular</v>
      </c>
      <c r="J752" s="7" t="str">
        <f>IFERROR(__xludf.DUMMYFUNCTION("IF('Respuestas de formulario 1'!J752&lt;&gt;"""",UPPER(TRIM(TO_TEXT('Respuestas de formulario 1'!J752))),IF('Respuestas de formulario 1'!O752&lt;&gt;"""",UPPER(TRIM(TO_TEXT('Respuestas de formulario 1'!O752))),""""))"),"")</f>
        <v/>
      </c>
      <c r="K752" s="7" t="str">
        <f>IFERROR(__xludf.DUMMYFUNCTION("IF('Respuestas de formulario 1'!K752="""","""",TO_TEXT('Respuestas de formulario 1'!K752))"),"Si")</f>
        <v>Si</v>
      </c>
      <c r="L752" s="7" t="str">
        <f>IFERROR(__xludf.DUMMYFUNCTION("IF('Respuestas de formulario 1'!L752="""","""",TO_TEXT('Respuestas de formulario 1'!L752))"),"Gimnasio")</f>
        <v>Gimnasio</v>
      </c>
      <c r="M752" s="7" t="str">
        <f>IFERROR(__xludf.DUMMYFUNCTION("IF('Respuestas de formulario 1'!M752="""","""",TO_TEXT('Respuestas de formulario 1'!M752))"),"3 a 5 veces por semana")</f>
        <v>3 a 5 veces por semana</v>
      </c>
      <c r="N752" s="7">
        <f t="shared" si="1"/>
        <v>2024</v>
      </c>
      <c r="O752" s="7" t="str">
        <f t="shared" si="2"/>
        <v>octubre</v>
      </c>
      <c r="P752" s="7" t="s">
        <v>5682</v>
      </c>
    </row>
    <row r="753">
      <c r="A753" s="19">
        <f>'Respuestas de formulario 1'!A753</f>
        <v>45593.80529</v>
      </c>
      <c r="B753" s="7" t="str">
        <f>'Respuestas de formulario 1'!B753</f>
        <v>Platia</v>
      </c>
      <c r="C753" s="7" t="str">
        <f>'Respuestas de formulario 1'!C753</f>
        <v>Luciana</v>
      </c>
      <c r="D753" s="7" t="str">
        <f>'Respuestas de formulario 1'!D753</f>
        <v>lucianaplatia@gmail.com</v>
      </c>
      <c r="E753" s="20">
        <f>'Respuestas de formulario 1'!E753</f>
        <v>39079</v>
      </c>
      <c r="F753" s="7">
        <f>'Respuestas de formulario 1'!F753</f>
        <v>47662025</v>
      </c>
      <c r="G753" s="7" t="str">
        <f>IFERROR(__xludf.DUMMYFUNCTION("IF('Respuestas de formulario 1'!G753="""","""",IF(LEFT(REGEXREPLACE(TO_TEXT('Respuestas de formulario 1'!G753),""[^0-9]"",""""),2)=""54"",""+""&amp;REGEXREPLACE(TO_TEXT('Respuestas de formulario 1'!G753),""[^0-9]"",""""),""+54""&amp;REGEXREPLACE(TO_TEXT('Respuest"&amp;"as de formulario 1'!G753),""[^0-9]"","""")))"),"+543512171646")</f>
        <v>+543512171646</v>
      </c>
      <c r="H753" s="7">
        <f>'Respuestas de formulario 1'!S753</f>
        <v>2024</v>
      </c>
      <c r="I753" s="7" t="str">
        <f>IFERROR(__xludf.DUMMYFUNCTION("IF('Respuestas de formulario 1'!I753="""","""",TO_TEXT('Respuestas de formulario 1'!I753))"),"Particular")</f>
        <v>Particular</v>
      </c>
      <c r="J753" s="7" t="str">
        <f>IFERROR(__xludf.DUMMYFUNCTION("IF('Respuestas de formulario 1'!J753&lt;&gt;"""",UPPER(TRIM(TO_TEXT('Respuestas de formulario 1'!J753))),IF('Respuestas de formulario 1'!O753&lt;&gt;"""",UPPER(TRIM(TO_TEXT('Respuestas de formulario 1'!O753))),""""))"),"")</f>
        <v/>
      </c>
      <c r="K753" s="7" t="str">
        <f>IFERROR(__xludf.DUMMYFUNCTION("IF('Respuestas de formulario 1'!K753="""","""",TO_TEXT('Respuestas de formulario 1'!K753))"),"Si")</f>
        <v>Si</v>
      </c>
      <c r="L753" s="7" t="str">
        <f>IFERROR(__xludf.DUMMYFUNCTION("IF('Respuestas de formulario 1'!L753="""","""",TO_TEXT('Respuestas de formulario 1'!L753))"),"Baile")</f>
        <v>Baile</v>
      </c>
      <c r="M753" s="7" t="str">
        <f>IFERROR(__xludf.DUMMYFUNCTION("IF('Respuestas de formulario 1'!M753="""","""",TO_TEXT('Respuestas de formulario 1'!M753))"),"1 a 2 veces por semana")</f>
        <v>1 a 2 veces por semana</v>
      </c>
      <c r="N753" s="7">
        <f t="shared" si="1"/>
        <v>2024</v>
      </c>
      <c r="O753" s="7" t="str">
        <f t="shared" si="2"/>
        <v>octubre</v>
      </c>
      <c r="P753" s="7" t="s">
        <v>5684</v>
      </c>
    </row>
    <row r="754">
      <c r="A754" s="19">
        <f>'Respuestas de formulario 1'!A754</f>
        <v>45594.52847</v>
      </c>
      <c r="B754" s="7" t="str">
        <f>'Respuestas de formulario 1'!B754</f>
        <v>García Abad</v>
      </c>
      <c r="C754" s="7" t="str">
        <f>'Respuestas de formulario 1'!C754</f>
        <v>María Luz</v>
      </c>
      <c r="D754" s="7" t="str">
        <f>'Respuestas de formulario 1'!D754</f>
        <v>Luzgarciaabad193@gmail.com</v>
      </c>
      <c r="E754" s="20">
        <f>'Respuestas de formulario 1'!E754</f>
        <v>33983</v>
      </c>
      <c r="F754" s="7">
        <f>'Respuestas de formulario 1'!F754</f>
        <v>37195371</v>
      </c>
      <c r="G754" s="7" t="str">
        <f>IFERROR(__xludf.DUMMYFUNCTION("IF('Respuestas de formulario 1'!G754="""","""",IF(LEFT(REGEXREPLACE(TO_TEXT('Respuestas de formulario 1'!G754),""[^0-9]"",""""),2)=""54"",""+""&amp;REGEXREPLACE(TO_TEXT('Respuestas de formulario 1'!G754),""[^0-9]"",""""),""+54""&amp;REGEXREPLACE(TO_TEXT('Respuest"&amp;"as de formulario 1'!G754),""[^0-9]"","""")))"),"+543518150251")</f>
        <v>+543518150251</v>
      </c>
      <c r="H754" s="7">
        <f>'Respuestas de formulario 1'!S754</f>
        <v>2024</v>
      </c>
      <c r="I754" s="7" t="str">
        <f>IFERROR(__xludf.DUMMYFUNCTION("IF('Respuestas de formulario 1'!I754="""","""",TO_TEXT('Respuestas de formulario 1'!I754))"),"Obra social")</f>
        <v>Obra social</v>
      </c>
      <c r="J754" s="7" t="str">
        <f>IFERROR(__xludf.DUMMYFUNCTION("IF('Respuestas de formulario 1'!J754&lt;&gt;"""",UPPER(TRIM(TO_TEXT('Respuestas de formulario 1'!J754))),IF('Respuestas de formulario 1'!O754&lt;&gt;"""",UPPER(TRIM(TO_TEXT('Respuestas de formulario 1'!O754))),""""))"),"IOSFA")</f>
        <v>IOSFA</v>
      </c>
      <c r="K754" s="7" t="str">
        <f>IFERROR(__xludf.DUMMYFUNCTION("IF('Respuestas de formulario 1'!K754="""","""",TO_TEXT('Respuestas de formulario 1'!K754))"),"Si")</f>
        <v>Si</v>
      </c>
      <c r="L754" s="7" t="str">
        <f>IFERROR(__xludf.DUMMYFUNCTION("IF('Respuestas de formulario 1'!L754="""","""",TO_TEXT('Respuestas de formulario 1'!L754))"),"Pilates, TPA")</f>
        <v>Pilates, TPA</v>
      </c>
      <c r="M754" s="7" t="str">
        <f>IFERROR(__xludf.DUMMYFUNCTION("IF('Respuestas de formulario 1'!M754="""","""",TO_TEXT('Respuestas de formulario 1'!M754))"),"3 a 5 veces por semana")</f>
        <v>3 a 5 veces por semana</v>
      </c>
      <c r="N754" s="7">
        <f t="shared" si="1"/>
        <v>2024</v>
      </c>
      <c r="O754" s="7" t="str">
        <f t="shared" si="2"/>
        <v>octubre</v>
      </c>
      <c r="P754" s="7" t="s">
        <v>5686</v>
      </c>
    </row>
    <row r="755">
      <c r="A755" s="19">
        <f>'Respuestas de formulario 1'!A755</f>
        <v>45594.77879</v>
      </c>
      <c r="B755" s="7" t="str">
        <f>'Respuestas de formulario 1'!B755</f>
        <v>Peretti</v>
      </c>
      <c r="C755" s="7" t="str">
        <f>'Respuestas de formulario 1'!C755</f>
        <v>Fernando</v>
      </c>
      <c r="D755" s="7" t="str">
        <f>'Respuestas de formulario 1'!D755</f>
        <v>Ferperetti@hotmail.com</v>
      </c>
      <c r="E755" s="20">
        <f>'Respuestas de formulario 1'!E755</f>
        <v>21866</v>
      </c>
      <c r="F755" s="7">
        <f>'Respuestas de formulario 1'!F755</f>
        <v>13537934</v>
      </c>
      <c r="G755" s="7" t="str">
        <f>IFERROR(__xludf.DUMMYFUNCTION("IF('Respuestas de formulario 1'!G755="""","""",IF(LEFT(REGEXREPLACE(TO_TEXT('Respuestas de formulario 1'!G755),""[^0-9]"",""""),2)=""54"",""+""&amp;REGEXREPLACE(TO_TEXT('Respuestas de formulario 1'!G755),""[^0-9]"",""""),""+54""&amp;REGEXREPLACE(TO_TEXT('Respuest"&amp;"as de formulario 1'!G755),""[^0-9]"","""")))"),"+543515516896")</f>
        <v>+543515516896</v>
      </c>
      <c r="H755" s="7">
        <f>'Respuestas de formulario 1'!S755</f>
        <v>2024</v>
      </c>
      <c r="I755" s="7" t="str">
        <f>IFERROR(__xludf.DUMMYFUNCTION("IF('Respuestas de formulario 1'!I755="""","""",TO_TEXT('Respuestas de formulario 1'!I755))"),"Obra social")</f>
        <v>Obra social</v>
      </c>
      <c r="J755" s="7" t="str">
        <f>IFERROR(__xludf.DUMMYFUNCTION("IF('Respuestas de formulario 1'!J755&lt;&gt;"""",UPPER(TRIM(TO_TEXT('Respuestas de formulario 1'!J755))),IF('Respuestas de formulario 1'!O755&lt;&gt;"""",UPPER(TRIM(TO_TEXT('Respuestas de formulario 1'!O755))),""""))"),"OSDE")</f>
        <v>OSDE</v>
      </c>
      <c r="K755" s="7" t="str">
        <f>IFERROR(__xludf.DUMMYFUNCTION("IF('Respuestas de formulario 1'!K755="""","""",TO_TEXT('Respuestas de formulario 1'!K755))"),"Si")</f>
        <v>Si</v>
      </c>
      <c r="L755" s="7" t="str">
        <f>IFERROR(__xludf.DUMMYFUNCTION("IF('Respuestas de formulario 1'!L755="""","""",TO_TEXT('Respuestas de formulario 1'!L755))"),"Natacion")</f>
        <v>Natacion</v>
      </c>
      <c r="M755" s="7" t="str">
        <f>IFERROR(__xludf.DUMMYFUNCTION("IF('Respuestas de formulario 1'!M755="""","""",TO_TEXT('Respuestas de formulario 1'!M755))"),"1 a 2 veces por semana")</f>
        <v>1 a 2 veces por semana</v>
      </c>
      <c r="N755" s="7">
        <f t="shared" si="1"/>
        <v>2024</v>
      </c>
      <c r="O755" s="7" t="str">
        <f t="shared" si="2"/>
        <v>octubre</v>
      </c>
      <c r="P755" s="7" t="s">
        <v>5688</v>
      </c>
    </row>
    <row r="756">
      <c r="A756" s="19">
        <f>'Respuestas de formulario 1'!A756</f>
        <v>45594.7806</v>
      </c>
      <c r="B756" s="7" t="str">
        <f>'Respuestas de formulario 1'!B756</f>
        <v>Nuñez</v>
      </c>
      <c r="C756" s="7" t="str">
        <f>'Respuestas de formulario 1'!C756</f>
        <v>Gladys </v>
      </c>
      <c r="D756" s="7" t="str">
        <f>'Respuestas de formulario 1'!D756</f>
        <v>Ggcanga@gmail.com</v>
      </c>
      <c r="E756" s="20">
        <f>'Respuestas de formulario 1'!E756</f>
        <v>20509</v>
      </c>
      <c r="F756" s="7">
        <f>'Respuestas de formulario 1'!F756</f>
        <v>12209967</v>
      </c>
      <c r="G756" s="7" t="str">
        <f>IFERROR(__xludf.DUMMYFUNCTION("IF('Respuestas de formulario 1'!G756="""","""",IF(LEFT(REGEXREPLACE(TO_TEXT('Respuestas de formulario 1'!G756),""[^0-9]"",""""),2)=""54"",""+""&amp;REGEXREPLACE(TO_TEXT('Respuestas de formulario 1'!G756),""[^0-9]"",""""),""+54""&amp;REGEXREPLACE(TO_TEXT('Respuest"&amp;"as de formulario 1'!G756),""[^0-9]"","""")))"),"+543512268711")</f>
        <v>+543512268711</v>
      </c>
      <c r="H756" s="7">
        <f>'Respuestas de formulario 1'!S756</f>
        <v>2024</v>
      </c>
      <c r="I756" s="7" t="str">
        <f>IFERROR(__xludf.DUMMYFUNCTION("IF('Respuestas de formulario 1'!I756="""","""",TO_TEXT('Respuestas de formulario 1'!I756))"),"Particular")</f>
        <v>Particular</v>
      </c>
      <c r="J756" s="7" t="str">
        <f>IFERROR(__xludf.DUMMYFUNCTION("IF('Respuestas de formulario 1'!J756&lt;&gt;"""",UPPER(TRIM(TO_TEXT('Respuestas de formulario 1'!J756))),IF('Respuestas de formulario 1'!O756&lt;&gt;"""",UPPER(TRIM(TO_TEXT('Respuestas de formulario 1'!O756))),""""))"),"")</f>
        <v/>
      </c>
      <c r="K756" s="7" t="str">
        <f>IFERROR(__xludf.DUMMYFUNCTION("IF('Respuestas de formulario 1'!K756="""","""",TO_TEXT('Respuestas de formulario 1'!K756))"),"No")</f>
        <v>No</v>
      </c>
      <c r="L756" s="7" t="str">
        <f>IFERROR(__xludf.DUMMYFUNCTION("IF('Respuestas de formulario 1'!L756="""","""",TO_TEXT('Respuestas de formulario 1'!L756))"),"")</f>
        <v/>
      </c>
      <c r="M756" s="7" t="str">
        <f>IFERROR(__xludf.DUMMYFUNCTION("IF('Respuestas de formulario 1'!M756="""","""",TO_TEXT('Respuestas de formulario 1'!M756))"),"")</f>
        <v/>
      </c>
      <c r="N756" s="7">
        <f t="shared" si="1"/>
        <v>2024</v>
      </c>
      <c r="O756" s="7" t="str">
        <f t="shared" si="2"/>
        <v>octubre</v>
      </c>
      <c r="P756" s="7" t="s">
        <v>5690</v>
      </c>
    </row>
    <row r="757">
      <c r="A757" s="19">
        <f>'Respuestas de formulario 1'!A757</f>
        <v>45594.96885</v>
      </c>
      <c r="B757" s="7" t="str">
        <f>'Respuestas de formulario 1'!B757</f>
        <v>Reynoso </v>
      </c>
      <c r="C757" s="7" t="str">
        <f>'Respuestas de formulario 1'!C757</f>
        <v>Ana </v>
      </c>
      <c r="D757" s="7" t="str">
        <f>'Respuestas de formulario 1'!D757</f>
        <v>reynosofabiana245@gmail.com</v>
      </c>
      <c r="E757" s="20">
        <f>'Respuestas de formulario 1'!E757</f>
        <v>45459</v>
      </c>
      <c r="F757" s="7">
        <f>'Respuestas de formulario 1'!F757</f>
        <v>25300915</v>
      </c>
      <c r="G757" s="7" t="str">
        <f>IFERROR(__xludf.DUMMYFUNCTION("IF('Respuestas de formulario 1'!G757="""","""",IF(LEFT(REGEXREPLACE(TO_TEXT('Respuestas de formulario 1'!G757),""[^0-9]"",""""),2)=""54"",""+""&amp;REGEXREPLACE(TO_TEXT('Respuestas de formulario 1'!G757),""[^0-9]"",""""),""+54""&amp;REGEXREPLACE(TO_TEXT('Respuest"&amp;"as de formulario 1'!G757),""[^0-9]"","""")))"),"+543512667800")</f>
        <v>+543512667800</v>
      </c>
      <c r="H757" s="7">
        <f>'Respuestas de formulario 1'!S757</f>
        <v>2024</v>
      </c>
      <c r="I757" s="7" t="str">
        <f>IFERROR(__xludf.DUMMYFUNCTION("IF('Respuestas de formulario 1'!I757="""","""",TO_TEXT('Respuestas de formulario 1'!I757))"),"Obra social")</f>
        <v>Obra social</v>
      </c>
      <c r="J757" s="7" t="str">
        <f>IFERROR(__xludf.DUMMYFUNCTION("IF('Respuestas de formulario 1'!J757&lt;&gt;"""",UPPER(TRIM(TO_TEXT('Respuestas de formulario 1'!J757))),IF('Respuestas de formulario 1'!O757&lt;&gt;"""",UPPER(TRIM(TO_TEXT('Respuestas de formulario 1'!O757))),""""))"),"APROSS")</f>
        <v>APROSS</v>
      </c>
      <c r="K757" s="7" t="str">
        <f>IFERROR(__xludf.DUMMYFUNCTION("IF('Respuestas de formulario 1'!K757="""","""",TO_TEXT('Respuestas de formulario 1'!K757))"),"No")</f>
        <v>No</v>
      </c>
      <c r="L757" s="7" t="str">
        <f>IFERROR(__xludf.DUMMYFUNCTION("IF('Respuestas de formulario 1'!L757="""","""",TO_TEXT('Respuestas de formulario 1'!L757))"),"")</f>
        <v/>
      </c>
      <c r="M757" s="7" t="str">
        <f>IFERROR(__xludf.DUMMYFUNCTION("IF('Respuestas de formulario 1'!M757="""","""",TO_TEXT('Respuestas de formulario 1'!M757))"),"")</f>
        <v/>
      </c>
      <c r="N757" s="7">
        <f t="shared" si="1"/>
        <v>2024</v>
      </c>
      <c r="O757" s="7" t="str">
        <f t="shared" si="2"/>
        <v>octubre</v>
      </c>
      <c r="P757" s="7" t="s">
        <v>5692</v>
      </c>
    </row>
    <row r="758">
      <c r="A758" s="19">
        <f>'Respuestas de formulario 1'!A758</f>
        <v>45595.45163</v>
      </c>
      <c r="B758" s="7" t="str">
        <f>'Respuestas de formulario 1'!B758</f>
        <v>Patiño </v>
      </c>
      <c r="C758" s="7" t="str">
        <f>'Respuestas de formulario 1'!C758</f>
        <v>María Fernanda</v>
      </c>
      <c r="D758" s="7" t="str">
        <f>'Respuestas de formulario 1'!D758</f>
        <v>Mfpatinio@gmail.com</v>
      </c>
      <c r="E758" s="20">
        <f>'Respuestas de formulario 1'!E758</f>
        <v>45305</v>
      </c>
      <c r="F758" s="7">
        <f>'Respuestas de formulario 1'!F758</f>
        <v>23822196</v>
      </c>
      <c r="G758" s="7" t="str">
        <f>IFERROR(__xludf.DUMMYFUNCTION("IF('Respuestas de formulario 1'!G758="""","""",IF(LEFT(REGEXREPLACE(TO_TEXT('Respuestas de formulario 1'!G758),""[^0-9]"",""""),2)=""54"",""+""&amp;REGEXREPLACE(TO_TEXT('Respuestas de formulario 1'!G758),""[^0-9]"",""""),""+54""&amp;REGEXREPLACE(TO_TEXT('Respuest"&amp;"as de formulario 1'!G758),""[^0-9]"","""")))"),"+543516167629")</f>
        <v>+543516167629</v>
      </c>
      <c r="H758" s="7">
        <f>'Respuestas de formulario 1'!S758</f>
        <v>2024</v>
      </c>
      <c r="I758" s="7" t="str">
        <f>IFERROR(__xludf.DUMMYFUNCTION("IF('Respuestas de formulario 1'!I758="""","""",TO_TEXT('Respuestas de formulario 1'!I758))"),"Obra social")</f>
        <v>Obra social</v>
      </c>
      <c r="J758" s="7" t="str">
        <f>IFERROR(__xludf.DUMMYFUNCTION("IF('Respuestas de formulario 1'!J758&lt;&gt;"""",UPPER(TRIM(TO_TEXT('Respuestas de formulario 1'!J758))),IF('Respuestas de formulario 1'!O758&lt;&gt;"""",UPPER(TRIM(TO_TEXT('Respuestas de formulario 1'!O758))),""""))"),"CPCE")</f>
        <v>CPCE</v>
      </c>
      <c r="K758" s="7" t="str">
        <f>IFERROR(__xludf.DUMMYFUNCTION("IF('Respuestas de formulario 1'!K758="""","""",TO_TEXT('Respuestas de formulario 1'!K758))"),"Si")</f>
        <v>Si</v>
      </c>
      <c r="L758" s="7" t="str">
        <f>IFERROR(__xludf.DUMMYFUNCTION("IF('Respuestas de formulario 1'!L758="""","""",TO_TEXT('Respuestas de formulario 1'!L758))"),"Gimnasia personalizada")</f>
        <v>Gimnasia personalizada</v>
      </c>
      <c r="M758" s="7" t="str">
        <f>IFERROR(__xludf.DUMMYFUNCTION("IF('Respuestas de formulario 1'!M758="""","""",TO_TEXT('Respuestas de formulario 1'!M758))"),"1 a 2 veces por semana")</f>
        <v>1 a 2 veces por semana</v>
      </c>
      <c r="N758" s="7">
        <f t="shared" si="1"/>
        <v>2024</v>
      </c>
      <c r="O758" s="7" t="str">
        <f t="shared" si="2"/>
        <v>octubre</v>
      </c>
      <c r="P758" s="7" t="s">
        <v>5694</v>
      </c>
    </row>
    <row r="759">
      <c r="A759" s="19">
        <f>'Respuestas de formulario 1'!A759</f>
        <v>45596.72293</v>
      </c>
      <c r="B759" s="7" t="str">
        <f>'Respuestas de formulario 1'!B759</f>
        <v>Vannucci</v>
      </c>
      <c r="C759" s="7" t="str">
        <f>'Respuestas de formulario 1'!C759</f>
        <v>Carlos</v>
      </c>
      <c r="D759" s="7" t="str">
        <f>'Respuestas de formulario 1'!D759</f>
        <v/>
      </c>
      <c r="E759" s="20">
        <f>'Respuestas de formulario 1'!E759</f>
        <v>17486</v>
      </c>
      <c r="F759" s="7">
        <f>'Respuestas de formulario 1'!F759</f>
        <v>7999463</v>
      </c>
      <c r="G759" s="7" t="str">
        <f>IFERROR(__xludf.DUMMYFUNCTION("IF('Respuestas de formulario 1'!G759="""","""",IF(LEFT(REGEXREPLACE(TO_TEXT('Respuestas de formulario 1'!G759),""[^0-9]"",""""),2)=""54"",""+""&amp;REGEXREPLACE(TO_TEXT('Respuestas de formulario 1'!G759),""[^0-9]"",""""),""+54""&amp;REGEXREPLACE(TO_TEXT('Respuest"&amp;"as de formulario 1'!G759),""[^0-9]"","""")))"),"+543516641834")</f>
        <v>+543516641834</v>
      </c>
      <c r="H759" s="7">
        <f>'Respuestas de formulario 1'!S759</f>
        <v>2024</v>
      </c>
      <c r="I759" s="7" t="str">
        <f>IFERROR(__xludf.DUMMYFUNCTION("IF('Respuestas de formulario 1'!I759="""","""",TO_TEXT('Respuestas de formulario 1'!I759))"),"Obra social")</f>
        <v>Obra social</v>
      </c>
      <c r="J759" s="7" t="str">
        <f>IFERROR(__xludf.DUMMYFUNCTION("IF('Respuestas de formulario 1'!J759&lt;&gt;"""",UPPER(TRIM(TO_TEXT('Respuestas de formulario 1'!J759))),IF('Respuestas de formulario 1'!O759&lt;&gt;"""",UPPER(TRIM(TO_TEXT('Respuestas de formulario 1'!O759))),""""))"),"DASPU")</f>
        <v>DASPU</v>
      </c>
      <c r="K759" s="7" t="str">
        <f>IFERROR(__xludf.DUMMYFUNCTION("IF('Respuestas de formulario 1'!K759="""","""",TO_TEXT('Respuestas de formulario 1'!K759))"),"No")</f>
        <v>No</v>
      </c>
      <c r="L759" s="7" t="str">
        <f>IFERROR(__xludf.DUMMYFUNCTION("IF('Respuestas de formulario 1'!L759="""","""",TO_TEXT('Respuestas de formulario 1'!L759))"),"")</f>
        <v/>
      </c>
      <c r="M759" s="7" t="str">
        <f>IFERROR(__xludf.DUMMYFUNCTION("IF('Respuestas de formulario 1'!M759="""","""",TO_TEXT('Respuestas de formulario 1'!M759))"),"")</f>
        <v/>
      </c>
      <c r="N759" s="7">
        <f t="shared" si="1"/>
        <v>2024</v>
      </c>
      <c r="O759" s="7" t="str">
        <f t="shared" si="2"/>
        <v>octubre</v>
      </c>
      <c r="P759" s="7" t="s">
        <v>5696</v>
      </c>
    </row>
    <row r="760">
      <c r="A760" s="19">
        <f>'Respuestas de formulario 1'!A760</f>
        <v>45596.76488</v>
      </c>
      <c r="B760" s="7" t="str">
        <f>'Respuestas de formulario 1'!B760</f>
        <v>Claus</v>
      </c>
      <c r="C760" s="7" t="str">
        <f>'Respuestas de formulario 1'!C760</f>
        <v>Sabrina</v>
      </c>
      <c r="D760" s="7" t="str">
        <f>'Respuestas de formulario 1'!D760</f>
        <v>sabriclaus.sc@gmail.com</v>
      </c>
      <c r="E760" s="20">
        <f>'Respuestas de formulario 1'!E760</f>
        <v>35225</v>
      </c>
      <c r="F760" s="7">
        <f>'Respuestas de formulario 1'!F760</f>
        <v>39070275</v>
      </c>
      <c r="G760" s="7" t="str">
        <f>IFERROR(__xludf.DUMMYFUNCTION("IF('Respuestas de formulario 1'!G760="""","""",IF(LEFT(REGEXREPLACE(TO_TEXT('Respuestas de formulario 1'!G760),""[^0-9]"",""""),2)=""54"",""+""&amp;REGEXREPLACE(TO_TEXT('Respuestas de formulario 1'!G760),""[^0-9]"",""""),""+54""&amp;REGEXREPLACE(TO_TEXT('Respuest"&amp;"as de formulario 1'!G760),""[^0-9]"","""")))"),"+543517473197")</f>
        <v>+543517473197</v>
      </c>
      <c r="H760" s="7">
        <f>'Respuestas de formulario 1'!S760</f>
        <v>2024</v>
      </c>
      <c r="I760" s="7" t="str">
        <f>IFERROR(__xludf.DUMMYFUNCTION("IF('Respuestas de formulario 1'!I760="""","""",TO_TEXT('Respuestas de formulario 1'!I760))"),"Obra social")</f>
        <v>Obra social</v>
      </c>
      <c r="J760" s="7" t="str">
        <f>IFERROR(__xludf.DUMMYFUNCTION("IF('Respuestas de formulario 1'!J760&lt;&gt;"""",UPPER(TRIM(TO_TEXT('Respuestas de formulario 1'!J760))),IF('Respuestas de formulario 1'!O760&lt;&gt;"""",UPPER(TRIM(TO_TEXT('Respuestas de formulario 1'!O760))),""""))"),"SANCOR")</f>
        <v>SANCOR</v>
      </c>
      <c r="K760" s="7" t="str">
        <f>IFERROR(__xludf.DUMMYFUNCTION("IF('Respuestas de formulario 1'!K760="""","""",TO_TEXT('Respuestas de formulario 1'!K760))"),"Si")</f>
        <v>Si</v>
      </c>
      <c r="L760" s="7" t="str">
        <f>IFERROR(__xludf.DUMMYFUNCTION("IF('Respuestas de formulario 1'!L760="""","""",TO_TEXT('Respuestas de formulario 1'!L760))"),"Pádel y voley ")</f>
        <v>Pádel y voley </v>
      </c>
      <c r="M760" s="7" t="str">
        <f>IFERROR(__xludf.DUMMYFUNCTION("IF('Respuestas de formulario 1'!M760="""","""",TO_TEXT('Respuestas de formulario 1'!M760))"),"6 a 7 veces por semana")</f>
        <v>6 a 7 veces por semana</v>
      </c>
      <c r="N760" s="7">
        <f t="shared" si="1"/>
        <v>2024</v>
      </c>
      <c r="O760" s="7" t="str">
        <f t="shared" si="2"/>
        <v>octubre</v>
      </c>
      <c r="P760" s="7" t="s">
        <v>5698</v>
      </c>
    </row>
    <row r="761">
      <c r="A761" s="19">
        <f>'Respuestas de formulario 1'!A761</f>
        <v>45598.44547</v>
      </c>
      <c r="B761" s="7" t="str">
        <f>'Respuestas de formulario 1'!B761</f>
        <v>Oliva </v>
      </c>
      <c r="C761" s="7" t="str">
        <f>'Respuestas de formulario 1'!C761</f>
        <v>Marcos </v>
      </c>
      <c r="D761" s="7" t="str">
        <f>'Respuestas de formulario 1'!D761</f>
        <v>marcosoliva22@hotmail.com</v>
      </c>
      <c r="E761" s="20">
        <f>'Respuestas de formulario 1'!E761</f>
        <v>28208</v>
      </c>
      <c r="F761" s="7">
        <f>'Respuestas de formulario 1'!F761</f>
        <v>25759503</v>
      </c>
      <c r="G761" s="7" t="str">
        <f>IFERROR(__xludf.DUMMYFUNCTION("IF('Respuestas de formulario 1'!G761="""","""",IF(LEFT(REGEXREPLACE(TO_TEXT('Respuestas de formulario 1'!G761),""[^0-9]"",""""),2)=""54"",""+""&amp;REGEXREPLACE(TO_TEXT('Respuestas de formulario 1'!G761),""[^0-9]"",""""),""+54""&amp;REGEXREPLACE(TO_TEXT('Respuest"&amp;"as de formulario 1'!G761),""[^0-9]"","""")))"),"+543516199707")</f>
        <v>+543516199707</v>
      </c>
      <c r="H761" s="7">
        <f>'Respuestas de formulario 1'!S761</f>
        <v>2024</v>
      </c>
      <c r="I761" s="7" t="str">
        <f>IFERROR(__xludf.DUMMYFUNCTION("IF('Respuestas de formulario 1'!I761="""","""",TO_TEXT('Respuestas de formulario 1'!I761))"),"Obra social")</f>
        <v>Obra social</v>
      </c>
      <c r="J761" s="7" t="str">
        <f>IFERROR(__xludf.DUMMYFUNCTION("IF('Respuestas de formulario 1'!J761&lt;&gt;"""",UPPER(TRIM(TO_TEXT('Respuestas de formulario 1'!J761))),IF('Respuestas de formulario 1'!O761&lt;&gt;"""",UPPER(TRIM(TO_TEXT('Respuestas de formulario 1'!O761))),""""))"),"JERÁRQUICOS SALUD")</f>
        <v>JERÁRQUICOS SALUD</v>
      </c>
      <c r="K761" s="7" t="str">
        <f>IFERROR(__xludf.DUMMYFUNCTION("IF('Respuestas de formulario 1'!K761="""","""",TO_TEXT('Respuestas de formulario 1'!K761))"),"Si")</f>
        <v>Si</v>
      </c>
      <c r="L761" s="7" t="str">
        <f>IFERROR(__xludf.DUMMYFUNCTION("IF('Respuestas de formulario 1'!L761="""","""",TO_TEXT('Respuestas de formulario 1'!L761))"),"Caminar ")</f>
        <v>Caminar </v>
      </c>
      <c r="M761" s="7" t="str">
        <f>IFERROR(__xludf.DUMMYFUNCTION("IF('Respuestas de formulario 1'!M761="""","""",TO_TEXT('Respuestas de formulario 1'!M761))"),"1 a 2 veces por semana")</f>
        <v>1 a 2 veces por semana</v>
      </c>
      <c r="N761" s="7">
        <f t="shared" si="1"/>
        <v>2024</v>
      </c>
      <c r="O761" s="7" t="str">
        <f t="shared" si="2"/>
        <v>noviembre</v>
      </c>
      <c r="P761" s="7" t="s">
        <v>5700</v>
      </c>
    </row>
    <row r="762">
      <c r="A762" s="19">
        <f>'Respuestas de formulario 1'!A762</f>
        <v>45600.43385</v>
      </c>
      <c r="B762" s="7" t="str">
        <f>'Respuestas de formulario 1'!B762</f>
        <v>Reynoso</v>
      </c>
      <c r="C762" s="7" t="str">
        <f>'Respuestas de formulario 1'!C762</f>
        <v>Monica</v>
      </c>
      <c r="D762" s="7" t="str">
        <f>'Respuestas de formulario 1'!D762</f>
        <v>monicareynoso007@gmail.com</v>
      </c>
      <c r="E762" s="20">
        <f>'Respuestas de formulario 1'!E762</f>
        <v>21797</v>
      </c>
      <c r="F762" s="7">
        <f>'Respuestas de formulario 1'!F762</f>
        <v>13684132</v>
      </c>
      <c r="G762" s="7" t="str">
        <f>IFERROR(__xludf.DUMMYFUNCTION("IF('Respuestas de formulario 1'!G762="""","""",IF(LEFT(REGEXREPLACE(TO_TEXT('Respuestas de formulario 1'!G762),""[^0-9]"",""""),2)=""54"",""+""&amp;REGEXREPLACE(TO_TEXT('Respuestas de formulario 1'!G762),""[^0-9]"",""""),""+54""&amp;REGEXREPLACE(TO_TEXT('Respuest"&amp;"as de formulario 1'!G762),""[^0-9]"","""")))"),"+543515281007")</f>
        <v>+543515281007</v>
      </c>
      <c r="H762" s="7">
        <f>'Respuestas de formulario 1'!S762</f>
        <v>2024</v>
      </c>
      <c r="I762" s="7" t="str">
        <f>IFERROR(__xludf.DUMMYFUNCTION("IF('Respuestas de formulario 1'!I762="""","""",TO_TEXT('Respuestas de formulario 1'!I762))"),"Particular")</f>
        <v>Particular</v>
      </c>
      <c r="J762" s="7" t="str">
        <f>IFERROR(__xludf.DUMMYFUNCTION("IF('Respuestas de formulario 1'!J762&lt;&gt;"""",UPPER(TRIM(TO_TEXT('Respuestas de formulario 1'!J762))),IF('Respuestas de formulario 1'!O762&lt;&gt;"""",UPPER(TRIM(TO_TEXT('Respuestas de formulario 1'!O762))),""""))"),"")</f>
        <v/>
      </c>
      <c r="K762" s="7" t="str">
        <f>IFERROR(__xludf.DUMMYFUNCTION("IF('Respuestas de formulario 1'!K762="""","""",TO_TEXT('Respuestas de formulario 1'!K762))"),"No")</f>
        <v>No</v>
      </c>
      <c r="L762" s="7" t="str">
        <f>IFERROR(__xludf.DUMMYFUNCTION("IF('Respuestas de formulario 1'!L762="""","""",TO_TEXT('Respuestas de formulario 1'!L762))"),"")</f>
        <v/>
      </c>
      <c r="M762" s="7" t="str">
        <f>IFERROR(__xludf.DUMMYFUNCTION("IF('Respuestas de formulario 1'!M762="""","""",TO_TEXT('Respuestas de formulario 1'!M762))"),"")</f>
        <v/>
      </c>
      <c r="N762" s="7">
        <f t="shared" si="1"/>
        <v>2024</v>
      </c>
      <c r="O762" s="7" t="str">
        <f t="shared" si="2"/>
        <v>noviembre</v>
      </c>
      <c r="P762" s="7" t="s">
        <v>5702</v>
      </c>
    </row>
    <row r="763">
      <c r="A763" s="19">
        <f>'Respuestas de formulario 1'!A763</f>
        <v>45601.83934</v>
      </c>
      <c r="B763" s="7" t="str">
        <f>'Respuestas de formulario 1'!B763</f>
        <v>Zárate </v>
      </c>
      <c r="C763" s="7" t="str">
        <f>'Respuestas de formulario 1'!C763</f>
        <v>Augusto </v>
      </c>
      <c r="D763" s="7" t="str">
        <f>'Respuestas de formulario 1'!D763</f>
        <v>augustozarate6@gmail.com</v>
      </c>
      <c r="E763" s="20">
        <f>'Respuestas de formulario 1'!E763</f>
        <v>29026</v>
      </c>
      <c r="F763" s="7">
        <f>'Respuestas de formulario 1'!F763</f>
        <v>27361158</v>
      </c>
      <c r="G763" s="7" t="str">
        <f>IFERROR(__xludf.DUMMYFUNCTION("IF('Respuestas de formulario 1'!G763="""","""",IF(LEFT(REGEXREPLACE(TO_TEXT('Respuestas de formulario 1'!G763),""[^0-9]"",""""),2)=""54"",""+""&amp;REGEXREPLACE(TO_TEXT('Respuestas de formulario 1'!G763),""[^0-9]"",""""),""+54""&amp;REGEXREPLACE(TO_TEXT('Respuest"&amp;"as de formulario 1'!G763),""[^0-9]"","""")))"),"+543517693839")</f>
        <v>+543517693839</v>
      </c>
      <c r="H763" s="7">
        <f>'Respuestas de formulario 1'!S763</f>
        <v>2024</v>
      </c>
      <c r="I763" s="7" t="str">
        <f>IFERROR(__xludf.DUMMYFUNCTION("IF('Respuestas de formulario 1'!I763="""","""",TO_TEXT('Respuestas de formulario 1'!I763))"),"Obra social")</f>
        <v>Obra social</v>
      </c>
      <c r="J763" s="7" t="str">
        <f>IFERROR(__xludf.DUMMYFUNCTION("IF('Respuestas de formulario 1'!J763&lt;&gt;"""",UPPER(TRIM(TO_TEXT('Respuestas de formulario 1'!J763))),IF('Respuestas de formulario 1'!O763&lt;&gt;"""",UPPER(TRIM(TO_TEXT('Respuestas de formulario 1'!O763))),""""))"),"APROSS")</f>
        <v>APROSS</v>
      </c>
      <c r="K763" s="7" t="str">
        <f>IFERROR(__xludf.DUMMYFUNCTION("IF('Respuestas de formulario 1'!K763="""","""",TO_TEXT('Respuestas de formulario 1'!K763))"),"Si")</f>
        <v>Si</v>
      </c>
      <c r="L763" s="7" t="str">
        <f>IFERROR(__xludf.DUMMYFUNCTION("IF('Respuestas de formulario 1'!L763="""","""",TO_TEXT('Respuestas de formulario 1'!L763))"),"Gimnasio")</f>
        <v>Gimnasio</v>
      </c>
      <c r="M763" s="7" t="str">
        <f>IFERROR(__xludf.DUMMYFUNCTION("IF('Respuestas de formulario 1'!M763="""","""",TO_TEXT('Respuestas de formulario 1'!M763))"),"1 a 2 veces por semana")</f>
        <v>1 a 2 veces por semana</v>
      </c>
      <c r="N763" s="7">
        <f t="shared" si="1"/>
        <v>2024</v>
      </c>
      <c r="O763" s="7" t="str">
        <f t="shared" si="2"/>
        <v>noviembre</v>
      </c>
      <c r="P763" s="7" t="s">
        <v>5704</v>
      </c>
    </row>
    <row r="764">
      <c r="A764" s="19">
        <f>'Respuestas de formulario 1'!A764</f>
        <v>45602.40748</v>
      </c>
      <c r="B764" s="7" t="str">
        <f>'Respuestas de formulario 1'!B764</f>
        <v>Barrionuevo </v>
      </c>
      <c r="C764" s="7" t="str">
        <f>'Respuestas de formulario 1'!C764</f>
        <v>Angela</v>
      </c>
      <c r="D764" s="7" t="str">
        <f>'Respuestas de formulario 1'!D764</f>
        <v>angela_seimon@hotmail.com</v>
      </c>
      <c r="E764" s="20">
        <f>'Respuestas de formulario 1'!E764</f>
        <v>29291</v>
      </c>
      <c r="F764" s="7">
        <f>'Respuestas de formulario 1'!F764</f>
        <v>27959178</v>
      </c>
      <c r="G764" s="7" t="str">
        <f>IFERROR(__xludf.DUMMYFUNCTION("IF('Respuestas de formulario 1'!G764="""","""",IF(LEFT(REGEXREPLACE(TO_TEXT('Respuestas de formulario 1'!G764),""[^0-9]"",""""),2)=""54"",""+""&amp;REGEXREPLACE(TO_TEXT('Respuestas de formulario 1'!G764),""[^0-9]"",""""),""+54""&amp;REGEXREPLACE(TO_TEXT('Respuest"&amp;"as de formulario 1'!G764),""[^0-9]"","""")))"),"+543517049179")</f>
        <v>+543517049179</v>
      </c>
      <c r="H764" s="7">
        <f>'Respuestas de formulario 1'!S764</f>
        <v>2024</v>
      </c>
      <c r="I764" s="7" t="str">
        <f>IFERROR(__xludf.DUMMYFUNCTION("IF('Respuestas de formulario 1'!I764="""","""",TO_TEXT('Respuestas de formulario 1'!I764))"),"Obra social")</f>
        <v>Obra social</v>
      </c>
      <c r="J764" s="7" t="str">
        <f>IFERROR(__xludf.DUMMYFUNCTION("IF('Respuestas de formulario 1'!J764&lt;&gt;"""",UPPER(TRIM(TO_TEXT('Respuestas de formulario 1'!J764))),IF('Respuestas de formulario 1'!O764&lt;&gt;"""",UPPER(TRIM(TO_TEXT('Respuestas de formulario 1'!O764))),""""))"),"APROSS")</f>
        <v>APROSS</v>
      </c>
      <c r="K764" s="7" t="str">
        <f>IFERROR(__xludf.DUMMYFUNCTION("IF('Respuestas de formulario 1'!K764="""","""",TO_TEXT('Respuestas de formulario 1'!K764))"),"No")</f>
        <v>No</v>
      </c>
      <c r="L764" s="7" t="str">
        <f>IFERROR(__xludf.DUMMYFUNCTION("IF('Respuestas de formulario 1'!L764="""","""",TO_TEXT('Respuestas de formulario 1'!L764))"),"")</f>
        <v/>
      </c>
      <c r="M764" s="7" t="str">
        <f>IFERROR(__xludf.DUMMYFUNCTION("IF('Respuestas de formulario 1'!M764="""","""",TO_TEXT('Respuestas de formulario 1'!M764))"),"")</f>
        <v/>
      </c>
      <c r="N764" s="7">
        <f t="shared" si="1"/>
        <v>2024</v>
      </c>
      <c r="O764" s="7" t="str">
        <f t="shared" si="2"/>
        <v>noviembre</v>
      </c>
      <c r="P764" s="7" t="s">
        <v>5706</v>
      </c>
    </row>
    <row r="765">
      <c r="A765" s="19">
        <f>'Respuestas de formulario 1'!A765</f>
        <v>45602.69726</v>
      </c>
      <c r="B765" s="7" t="str">
        <f>'Respuestas de formulario 1'!B765</f>
        <v>Bomone</v>
      </c>
      <c r="C765" s="7" t="str">
        <f>'Respuestas de formulario 1'!C765</f>
        <v>Manuel</v>
      </c>
      <c r="D765" s="7" t="str">
        <f>'Respuestas de formulario 1'!D765</f>
        <v>manubomone@gmail.com</v>
      </c>
      <c r="E765" s="20">
        <f>'Respuestas de formulario 1'!E765</f>
        <v>32450</v>
      </c>
      <c r="F765" s="7">
        <f>'Respuestas de formulario 1'!F765</f>
        <v>33976771</v>
      </c>
      <c r="G765" s="7" t="str">
        <f>IFERROR(__xludf.DUMMYFUNCTION("IF('Respuestas de formulario 1'!G765="""","""",IF(LEFT(REGEXREPLACE(TO_TEXT('Respuestas de formulario 1'!G765),""[^0-9]"",""""),2)=""54"",""+""&amp;REGEXREPLACE(TO_TEXT('Respuestas de formulario 1'!G765),""[^0-9]"",""""),""+54""&amp;REGEXREPLACE(TO_TEXT('Respuest"&amp;"as de formulario 1'!G765),""[^0-9]"","""")))"),"+543512447028")</f>
        <v>+543512447028</v>
      </c>
      <c r="H765" s="7">
        <f>'Respuestas de formulario 1'!S765</f>
        <v>2024</v>
      </c>
      <c r="I765" s="7" t="str">
        <f>IFERROR(__xludf.DUMMYFUNCTION("IF('Respuestas de formulario 1'!I765="""","""",TO_TEXT('Respuestas de formulario 1'!I765))"),"Particular")</f>
        <v>Particular</v>
      </c>
      <c r="J765" s="7" t="str">
        <f>IFERROR(__xludf.DUMMYFUNCTION("IF('Respuestas de formulario 1'!J765&lt;&gt;"""",UPPER(TRIM(TO_TEXT('Respuestas de formulario 1'!J765))),IF('Respuestas de formulario 1'!O765&lt;&gt;"""",UPPER(TRIM(TO_TEXT('Respuestas de formulario 1'!O765))),""""))"),"")</f>
        <v/>
      </c>
      <c r="K765" s="7" t="str">
        <f>IFERROR(__xludf.DUMMYFUNCTION("IF('Respuestas de formulario 1'!K765="""","""",TO_TEXT('Respuestas de formulario 1'!K765))"),"Si")</f>
        <v>Si</v>
      </c>
      <c r="L765" s="7" t="str">
        <f>IFERROR(__xludf.DUMMYFUNCTION("IF('Respuestas de formulario 1'!L765="""","""",TO_TEXT('Respuestas de formulario 1'!L765))"),"Gimnasio")</f>
        <v>Gimnasio</v>
      </c>
      <c r="M765" s="7" t="str">
        <f>IFERROR(__xludf.DUMMYFUNCTION("IF('Respuestas de formulario 1'!M765="""","""",TO_TEXT('Respuestas de formulario 1'!M765))"),"3 a 5 veces por semana")</f>
        <v>3 a 5 veces por semana</v>
      </c>
      <c r="N765" s="7">
        <f t="shared" si="1"/>
        <v>2024</v>
      </c>
      <c r="O765" s="7" t="str">
        <f t="shared" si="2"/>
        <v>noviembre</v>
      </c>
      <c r="P765" s="7" t="s">
        <v>5708</v>
      </c>
    </row>
    <row r="766">
      <c r="A766" s="19">
        <f>'Respuestas de formulario 1'!A766</f>
        <v>45602.80208</v>
      </c>
      <c r="B766" s="7" t="str">
        <f>'Respuestas de formulario 1'!B766</f>
        <v>Della Vedoba </v>
      </c>
      <c r="C766" s="7" t="str">
        <f>'Respuestas de formulario 1'!C766</f>
        <v>Cecilia </v>
      </c>
      <c r="D766" s="7" t="str">
        <f>'Respuestas de formulario 1'!D766</f>
        <v>cdellavedoba@gmail.com</v>
      </c>
      <c r="E766" s="20">
        <f>'Respuestas de formulario 1'!E766</f>
        <v>25750</v>
      </c>
      <c r="F766" s="7">
        <f>'Respuestas de formulario 1'!F766</f>
        <v>21628906</v>
      </c>
      <c r="G766" s="7" t="str">
        <f>IFERROR(__xludf.DUMMYFUNCTION("IF('Respuestas de formulario 1'!G766="""","""",IF(LEFT(REGEXREPLACE(TO_TEXT('Respuestas de formulario 1'!G766),""[^0-9]"",""""),2)=""54"",""+""&amp;REGEXREPLACE(TO_TEXT('Respuestas de formulario 1'!G766),""[^0-9]"",""""),""+54""&amp;REGEXREPLACE(TO_TEXT('Respuest"&amp;"as de formulario 1'!G766),""[^0-9]"","""")))"),"+543515321272")</f>
        <v>+543515321272</v>
      </c>
      <c r="H766" s="7">
        <f>'Respuestas de formulario 1'!S766</f>
        <v>2024</v>
      </c>
      <c r="I766" s="7" t="str">
        <f>IFERROR(__xludf.DUMMYFUNCTION("IF('Respuestas de formulario 1'!I766="""","""",TO_TEXT('Respuestas de formulario 1'!I766))"),"Obra social")</f>
        <v>Obra social</v>
      </c>
      <c r="J766" s="7" t="str">
        <f>IFERROR(__xludf.DUMMYFUNCTION("IF('Respuestas de formulario 1'!J766&lt;&gt;"""",UPPER(TRIM(TO_TEXT('Respuestas de formulario 1'!J766))),IF('Respuestas de formulario 1'!O766&lt;&gt;"""",UPPER(TRIM(TO_TEXT('Respuestas de formulario 1'!O766))),""""))"),"DASPU")</f>
        <v>DASPU</v>
      </c>
      <c r="K766" s="7" t="str">
        <f>IFERROR(__xludf.DUMMYFUNCTION("IF('Respuestas de formulario 1'!K766="""","""",TO_TEXT('Respuestas de formulario 1'!K766))"),"Si")</f>
        <v>Si</v>
      </c>
      <c r="L766" s="7" t="str">
        <f>IFERROR(__xludf.DUMMYFUNCTION("IF('Respuestas de formulario 1'!L766="""","""",TO_TEXT('Respuestas de formulario 1'!L766))"),"Gimnasio")</f>
        <v>Gimnasio</v>
      </c>
      <c r="M766" s="7" t="str">
        <f>IFERROR(__xludf.DUMMYFUNCTION("IF('Respuestas de formulario 1'!M766="""","""",TO_TEXT('Respuestas de formulario 1'!M766))"),"1 a 2 veces por semana")</f>
        <v>1 a 2 veces por semana</v>
      </c>
      <c r="N766" s="7">
        <f t="shared" si="1"/>
        <v>2024</v>
      </c>
      <c r="O766" s="7" t="str">
        <f t="shared" si="2"/>
        <v>noviembre</v>
      </c>
      <c r="P766" s="7" t="s">
        <v>5710</v>
      </c>
    </row>
    <row r="767">
      <c r="A767" s="19">
        <f>'Respuestas de formulario 1'!A767</f>
        <v>45602.95404</v>
      </c>
      <c r="B767" s="7" t="str">
        <f>'Respuestas de formulario 1'!B767</f>
        <v>Carranza</v>
      </c>
      <c r="C767" s="7" t="str">
        <f>'Respuestas de formulario 1'!C767</f>
        <v>Adriana</v>
      </c>
      <c r="D767" s="7" t="str">
        <f>'Respuestas de formulario 1'!D767</f>
        <v>adrianaflma3553@yahoo.com.ar</v>
      </c>
      <c r="E767" s="20">
        <f>'Respuestas de formulario 1'!E767</f>
        <v>25326</v>
      </c>
      <c r="F767" s="7">
        <f>'Respuestas de formulario 1'!F767</f>
        <v>20786418</v>
      </c>
      <c r="G767" s="7" t="str">
        <f>IFERROR(__xludf.DUMMYFUNCTION("IF('Respuestas de formulario 1'!G767="""","""",IF(LEFT(REGEXREPLACE(TO_TEXT('Respuestas de formulario 1'!G767),""[^0-9]"",""""),2)=""54"",""+""&amp;REGEXREPLACE(TO_TEXT('Respuestas de formulario 1'!G767),""[^0-9]"",""""),""+54""&amp;REGEXREPLACE(TO_TEXT('Respuest"&amp;"as de formulario 1'!G767),""[^0-9]"","""")))"),"+543512464142")</f>
        <v>+543512464142</v>
      </c>
      <c r="H767" s="7">
        <f>'Respuestas de formulario 1'!S767</f>
        <v>2024</v>
      </c>
      <c r="I767" s="7" t="str">
        <f>IFERROR(__xludf.DUMMYFUNCTION("IF('Respuestas de formulario 1'!I767="""","""",TO_TEXT('Respuestas de formulario 1'!I767))"),"Obra social")</f>
        <v>Obra social</v>
      </c>
      <c r="J767" s="7" t="str">
        <f>IFERROR(__xludf.DUMMYFUNCTION("IF('Respuestas de formulario 1'!J767&lt;&gt;"""",UPPER(TRIM(TO_TEXT('Respuestas de formulario 1'!J767))),IF('Respuestas de formulario 1'!O767&lt;&gt;"""",UPPER(TRIM(TO_TEXT('Respuestas de formulario 1'!O767))),""""))"),"APROSS")</f>
        <v>APROSS</v>
      </c>
      <c r="K767" s="7" t="str">
        <f>IFERROR(__xludf.DUMMYFUNCTION("IF('Respuestas de formulario 1'!K767="""","""",TO_TEXT('Respuestas de formulario 1'!K767))"),"Si")</f>
        <v>Si</v>
      </c>
      <c r="L767" s="7" t="str">
        <f>IFERROR(__xludf.DUMMYFUNCTION("IF('Respuestas de formulario 1'!L767="""","""",TO_TEXT('Respuestas de formulario 1'!L767))"),"Gimnasio")</f>
        <v>Gimnasio</v>
      </c>
      <c r="M767" s="7" t="str">
        <f>IFERROR(__xludf.DUMMYFUNCTION("IF('Respuestas de formulario 1'!M767="""","""",TO_TEXT('Respuestas de formulario 1'!M767))"),"1 a 2 veces por semana")</f>
        <v>1 a 2 veces por semana</v>
      </c>
      <c r="N767" s="7">
        <f t="shared" si="1"/>
        <v>2024</v>
      </c>
      <c r="O767" s="7" t="str">
        <f t="shared" si="2"/>
        <v>noviembre</v>
      </c>
      <c r="P767" s="7" t="s">
        <v>5712</v>
      </c>
    </row>
    <row r="768">
      <c r="A768" s="19">
        <f>'Respuestas de formulario 1'!A768</f>
        <v>45603.38044</v>
      </c>
      <c r="B768" s="7" t="str">
        <f>'Respuestas de formulario 1'!B768</f>
        <v>Vivas</v>
      </c>
      <c r="C768" s="7" t="str">
        <f>'Respuestas de formulario 1'!C768</f>
        <v>Luis</v>
      </c>
      <c r="D768" s="7" t="str">
        <f>'Respuestas de formulario 1'!D768</f>
        <v/>
      </c>
      <c r="E768" s="20">
        <f>'Respuestas de formulario 1'!E768</f>
        <v>18512</v>
      </c>
      <c r="F768" s="7">
        <f>'Respuestas de formulario 1'!F768</f>
        <v>8409107</v>
      </c>
      <c r="G768" s="7" t="str">
        <f>IFERROR(__xludf.DUMMYFUNCTION("IF('Respuestas de formulario 1'!G768="""","""",IF(LEFT(REGEXREPLACE(TO_TEXT('Respuestas de formulario 1'!G768),""[^0-9]"",""""),2)=""54"",""+""&amp;REGEXREPLACE(TO_TEXT('Respuestas de formulario 1'!G768),""[^0-9]"",""""),""+54""&amp;REGEXREPLACE(TO_TEXT('Respuest"&amp;"as de formulario 1'!G768),""[^0-9]"","""")))"),"+543515192445")</f>
        <v>+543515192445</v>
      </c>
      <c r="H768" s="7">
        <f>'Respuestas de formulario 1'!S768</f>
        <v>2024</v>
      </c>
      <c r="I768" s="7" t="str">
        <f>IFERROR(__xludf.DUMMYFUNCTION("IF('Respuestas de formulario 1'!I768="""","""",TO_TEXT('Respuestas de formulario 1'!I768))"),"Obra social")</f>
        <v>Obra social</v>
      </c>
      <c r="J768" s="7" t="str">
        <f>IFERROR(__xludf.DUMMYFUNCTION("IF('Respuestas de formulario 1'!J768&lt;&gt;"""",UPPER(TRIM(TO_TEXT('Respuestas de formulario 1'!J768))),IF('Respuestas de formulario 1'!O768&lt;&gt;"""",UPPER(TRIM(TO_TEXT('Respuestas de formulario 1'!O768))),""""))"),"MEDIFE")</f>
        <v>MEDIFE</v>
      </c>
      <c r="K768" s="7" t="str">
        <f>IFERROR(__xludf.DUMMYFUNCTION("IF('Respuestas de formulario 1'!K768="""","""",TO_TEXT('Respuestas de formulario 1'!K768))"),"Si")</f>
        <v>Si</v>
      </c>
      <c r="L768" s="7" t="str">
        <f>IFERROR(__xludf.DUMMYFUNCTION("IF('Respuestas de formulario 1'!L768="""","""",TO_TEXT('Respuestas de formulario 1'!L768))"),"Gimnasio")</f>
        <v>Gimnasio</v>
      </c>
      <c r="M768" s="7" t="str">
        <f>IFERROR(__xludf.DUMMYFUNCTION("IF('Respuestas de formulario 1'!M768="""","""",TO_TEXT('Respuestas de formulario 1'!M768))"),"3 a 5 veces por semana")</f>
        <v>3 a 5 veces por semana</v>
      </c>
      <c r="N768" s="7">
        <f t="shared" si="1"/>
        <v>2024</v>
      </c>
      <c r="O768" s="7" t="str">
        <f t="shared" si="2"/>
        <v>noviembre</v>
      </c>
      <c r="P768" s="7" t="s">
        <v>5714</v>
      </c>
    </row>
    <row r="769">
      <c r="A769" s="19">
        <f>'Respuestas de formulario 1'!A769</f>
        <v>45604.65488</v>
      </c>
      <c r="B769" s="7" t="str">
        <f>'Respuestas de formulario 1'!B769</f>
        <v>Cismondi </v>
      </c>
      <c r="C769" s="7" t="str">
        <f>'Respuestas de formulario 1'!C769</f>
        <v>Emilia</v>
      </c>
      <c r="D769" s="7" t="str">
        <f>'Respuestas de formulario 1'!D769</f>
        <v>Maricismondi@gmail.com</v>
      </c>
      <c r="E769" s="20">
        <f>'Respuestas de formulario 1'!E769</f>
        <v>31113</v>
      </c>
      <c r="F769" s="7">
        <f>'Respuestas de formulario 1'!F769</f>
        <v>31480753</v>
      </c>
      <c r="G769" s="7" t="str">
        <f>IFERROR(__xludf.DUMMYFUNCTION("IF('Respuestas de formulario 1'!G769="""","""",IF(LEFT(REGEXREPLACE(TO_TEXT('Respuestas de formulario 1'!G769),""[^0-9]"",""""),2)=""54"",""+""&amp;REGEXREPLACE(TO_TEXT('Respuestas de formulario 1'!G769),""[^0-9]"",""""),""+54""&amp;REGEXREPLACE(TO_TEXT('Respuest"&amp;"as de formulario 1'!G769),""[^0-9]"","""")))"),"+543513416186")</f>
        <v>+543513416186</v>
      </c>
      <c r="H769" s="7">
        <f>'Respuestas de formulario 1'!S769</f>
        <v>2024</v>
      </c>
      <c r="I769" s="7" t="str">
        <f>IFERROR(__xludf.DUMMYFUNCTION("IF('Respuestas de formulario 1'!I769="""","""",TO_TEXT('Respuestas de formulario 1'!I769))"),"Obra social")</f>
        <v>Obra social</v>
      </c>
      <c r="J769" s="7" t="str">
        <f>IFERROR(__xludf.DUMMYFUNCTION("IF('Respuestas de formulario 1'!J769&lt;&gt;"""",UPPER(TRIM(TO_TEXT('Respuestas de formulario 1'!J769))),IF('Respuestas de formulario 1'!O769&lt;&gt;"""",UPPER(TRIM(TO_TEXT('Respuestas de formulario 1'!O769))),""""))"),"")</f>
        <v/>
      </c>
      <c r="K769" s="7" t="str">
        <f>IFERROR(__xludf.DUMMYFUNCTION("IF('Respuestas de formulario 1'!K769="""","""",TO_TEXT('Respuestas de formulario 1'!K769))"),"Si")</f>
        <v>Si</v>
      </c>
      <c r="L769" s="7" t="str">
        <f>IFERROR(__xludf.DUMMYFUNCTION("IF('Respuestas de formulario 1'!L769="""","""",TO_TEXT('Respuestas de formulario 1'!L769))"),"Gimnasio")</f>
        <v>Gimnasio</v>
      </c>
      <c r="M769" s="7" t="str">
        <f>IFERROR(__xludf.DUMMYFUNCTION("IF('Respuestas de formulario 1'!M769="""","""",TO_TEXT('Respuestas de formulario 1'!M769))"),"3 a 5 veces por semana")</f>
        <v>3 a 5 veces por semana</v>
      </c>
      <c r="N769" s="7">
        <f t="shared" si="1"/>
        <v>2024</v>
      </c>
      <c r="O769" s="7" t="str">
        <f t="shared" si="2"/>
        <v>noviembre</v>
      </c>
      <c r="P769" s="7" t="s">
        <v>5716</v>
      </c>
    </row>
    <row r="770">
      <c r="A770" s="19">
        <f>'Respuestas de formulario 1'!A770</f>
        <v>45607.75386</v>
      </c>
      <c r="B770" s="7" t="str">
        <f>'Respuestas de formulario 1'!B770</f>
        <v>CASTRO</v>
      </c>
      <c r="C770" s="7" t="str">
        <f>'Respuestas de formulario 1'!C770</f>
        <v>MONICA</v>
      </c>
      <c r="D770" s="7" t="str">
        <f>'Respuestas de formulario 1'!D770</f>
        <v>monicacastro890@gmail.com</v>
      </c>
      <c r="E770" s="20">
        <f>'Respuestas de formulario 1'!E770</f>
        <v>26323</v>
      </c>
      <c r="F770" s="7">
        <f>'Respuestas de formulario 1'!F770</f>
        <v>22562895</v>
      </c>
      <c r="G770" s="7" t="str">
        <f>IFERROR(__xludf.DUMMYFUNCTION("IF('Respuestas de formulario 1'!G770="""","""",IF(LEFT(REGEXREPLACE(TO_TEXT('Respuestas de formulario 1'!G770),""[^0-9]"",""""),2)=""54"",""+""&amp;REGEXREPLACE(TO_TEXT('Respuestas de formulario 1'!G770),""[^0-9]"",""""),""+54""&amp;REGEXREPLACE(TO_TEXT('Respuest"&amp;"as de formulario 1'!G770),""[^0-9]"","""")))"),"+543517023527")</f>
        <v>+543517023527</v>
      </c>
      <c r="H770" s="7">
        <f>'Respuestas de formulario 1'!S770</f>
        <v>2024</v>
      </c>
      <c r="I770" s="7" t="str">
        <f>IFERROR(__xludf.DUMMYFUNCTION("IF('Respuestas de formulario 1'!I770="""","""",TO_TEXT('Respuestas de formulario 1'!I770))"),"Obra social")</f>
        <v>Obra social</v>
      </c>
      <c r="J770" s="7" t="str">
        <f>IFERROR(__xludf.DUMMYFUNCTION("IF('Respuestas de formulario 1'!J770&lt;&gt;"""",UPPER(TRIM(TO_TEXT('Respuestas de formulario 1'!J770))),IF('Respuestas de formulario 1'!O770&lt;&gt;"""",UPPER(TRIM(TO_TEXT('Respuestas de formulario 1'!O770))),""""))"),"PREVENCIÓN")</f>
        <v>PREVENCIÓN</v>
      </c>
      <c r="K770" s="7" t="str">
        <f>IFERROR(__xludf.DUMMYFUNCTION("IF('Respuestas de formulario 1'!K770="""","""",TO_TEXT('Respuestas de formulario 1'!K770))"),"Si")</f>
        <v>Si</v>
      </c>
      <c r="L770" s="7" t="str">
        <f>IFERROR(__xludf.DUMMYFUNCTION("IF('Respuestas de formulario 1'!L770="""","""",TO_TEXT('Respuestas de formulario 1'!L770))"),"Pilates")</f>
        <v>Pilates</v>
      </c>
      <c r="M770" s="7" t="str">
        <f>IFERROR(__xludf.DUMMYFUNCTION("IF('Respuestas de formulario 1'!M770="""","""",TO_TEXT('Respuestas de formulario 1'!M770))"),"1 a 2 veces por semana")</f>
        <v>1 a 2 veces por semana</v>
      </c>
      <c r="N770" s="7">
        <f t="shared" si="1"/>
        <v>2024</v>
      </c>
      <c r="O770" s="7" t="str">
        <f t="shared" si="2"/>
        <v>noviembre</v>
      </c>
      <c r="P770" s="7" t="s">
        <v>5718</v>
      </c>
    </row>
    <row r="771">
      <c r="A771" s="19">
        <f>'Respuestas de formulario 1'!A771</f>
        <v>45608.47918</v>
      </c>
      <c r="B771" s="7" t="str">
        <f>'Respuestas de formulario 1'!B771</f>
        <v>Venezia</v>
      </c>
      <c r="C771" s="7" t="str">
        <f>'Respuestas de formulario 1'!C771</f>
        <v>Agostina</v>
      </c>
      <c r="D771" s="7" t="str">
        <f>'Respuestas de formulario 1'!D771</f>
        <v>agosvenezia1@gmail.com</v>
      </c>
      <c r="E771" s="20">
        <f>'Respuestas de formulario 1'!E771</f>
        <v>37713</v>
      </c>
      <c r="F771" s="7">
        <f>'Respuestas de formulario 1'!F771</f>
        <v>44347189</v>
      </c>
      <c r="G771" s="7" t="str">
        <f>IFERROR(__xludf.DUMMYFUNCTION("IF('Respuestas de formulario 1'!G771="""","""",IF(LEFT(REGEXREPLACE(TO_TEXT('Respuestas de formulario 1'!G771),""[^0-9]"",""""),2)=""54"",""+""&amp;REGEXREPLACE(TO_TEXT('Respuestas de formulario 1'!G771),""[^0-9]"",""""),""+54""&amp;REGEXREPLACE(TO_TEXT('Respuest"&amp;"as de formulario 1'!G771),""[^0-9]"","""")))"),"+543516456352")</f>
        <v>+543516456352</v>
      </c>
      <c r="H771" s="7">
        <f>'Respuestas de formulario 1'!S771</f>
        <v>2024</v>
      </c>
      <c r="I771" s="7" t="str">
        <f>IFERROR(__xludf.DUMMYFUNCTION("IF('Respuestas de formulario 1'!I771="""","""",TO_TEXT('Respuestas de formulario 1'!I771))"),"Obra social")</f>
        <v>Obra social</v>
      </c>
      <c r="J771" s="7" t="str">
        <f>IFERROR(__xludf.DUMMYFUNCTION("IF('Respuestas de formulario 1'!J771&lt;&gt;"""",UPPER(TRIM(TO_TEXT('Respuestas de formulario 1'!J771))),IF('Respuestas de formulario 1'!O771&lt;&gt;"""",UPPER(TRIM(TO_TEXT('Respuestas de formulario 1'!O771))),""""))"),"SANCOR")</f>
        <v>SANCOR</v>
      </c>
      <c r="K771" s="7" t="str">
        <f>IFERROR(__xludf.DUMMYFUNCTION("IF('Respuestas de formulario 1'!K771="""","""",TO_TEXT('Respuestas de formulario 1'!K771))"),"Si")</f>
        <v>Si</v>
      </c>
      <c r="L771" s="7" t="str">
        <f>IFERROR(__xludf.DUMMYFUNCTION("IF('Respuestas de formulario 1'!L771="""","""",TO_TEXT('Respuestas de formulario 1'!L771))"),"Fútbol")</f>
        <v>Fútbol</v>
      </c>
      <c r="M771" s="7" t="str">
        <f>IFERROR(__xludf.DUMMYFUNCTION("IF('Respuestas de formulario 1'!M771="""","""",TO_TEXT('Respuestas de formulario 1'!M771))"),"3 a 5 veces por semana")</f>
        <v>3 a 5 veces por semana</v>
      </c>
      <c r="N771" s="7">
        <f t="shared" si="1"/>
        <v>2024</v>
      </c>
      <c r="O771" s="7" t="str">
        <f t="shared" si="2"/>
        <v>noviembre</v>
      </c>
      <c r="P771" s="7" t="s">
        <v>5720</v>
      </c>
    </row>
    <row r="772">
      <c r="A772" s="19">
        <f>'Respuestas de formulario 1'!A772</f>
        <v>45608.7661</v>
      </c>
      <c r="B772" s="7" t="str">
        <f>'Respuestas de formulario 1'!B772</f>
        <v>Rios</v>
      </c>
      <c r="C772" s="7" t="str">
        <f>'Respuestas de formulario 1'!C772</f>
        <v>Valeria Isabel</v>
      </c>
      <c r="D772" s="7" t="str">
        <f>'Respuestas de formulario 1'!D772</f>
        <v>valeriarios12061978@gmail.com</v>
      </c>
      <c r="E772" s="20">
        <f>'Respuestas de formulario 1'!E772</f>
        <v>28653</v>
      </c>
      <c r="F772" s="7">
        <f>'Respuestas de formulario 1'!F772</f>
        <v>26484801</v>
      </c>
      <c r="G772" s="7" t="str">
        <f>IFERROR(__xludf.DUMMYFUNCTION("IF('Respuestas de formulario 1'!G772="""","""",IF(LEFT(REGEXREPLACE(TO_TEXT('Respuestas de formulario 1'!G772),""[^0-9]"",""""),2)=""54"",""+""&amp;REGEXREPLACE(TO_TEXT('Respuestas de formulario 1'!G772),""[^0-9]"",""""),""+54""&amp;REGEXREPLACE(TO_TEXT('Respuest"&amp;"as de formulario 1'!G772),""[^0-9]"","""")))"),"+543543574159")</f>
        <v>+543543574159</v>
      </c>
      <c r="H772" s="7">
        <f>'Respuestas de formulario 1'!S772</f>
        <v>2024</v>
      </c>
      <c r="I772" s="7" t="str">
        <f>IFERROR(__xludf.DUMMYFUNCTION("IF('Respuestas de formulario 1'!I772="""","""",TO_TEXT('Respuestas de formulario 1'!I772))"),"Obra social")</f>
        <v>Obra social</v>
      </c>
      <c r="J772" s="7" t="str">
        <f>IFERROR(__xludf.DUMMYFUNCTION("IF('Respuestas de formulario 1'!J772&lt;&gt;"""",UPPER(TRIM(TO_TEXT('Respuestas de formulario 1'!J772))),IF('Respuestas de formulario 1'!O772&lt;&gt;"""",UPPER(TRIM(TO_TEXT('Respuestas de formulario 1'!O772))),""""))"),"APROSS")</f>
        <v>APROSS</v>
      </c>
      <c r="K772" s="7" t="str">
        <f>IFERROR(__xludf.DUMMYFUNCTION("IF('Respuestas de formulario 1'!K772="""","""",TO_TEXT('Respuestas de formulario 1'!K772))"),"No")</f>
        <v>No</v>
      </c>
      <c r="L772" s="7" t="str">
        <f>IFERROR(__xludf.DUMMYFUNCTION("IF('Respuestas de formulario 1'!L772="""","""",TO_TEXT('Respuestas de formulario 1'!L772))"),"")</f>
        <v/>
      </c>
      <c r="M772" s="7" t="str">
        <f>IFERROR(__xludf.DUMMYFUNCTION("IF('Respuestas de formulario 1'!M772="""","""",TO_TEXT('Respuestas de formulario 1'!M772))"),"")</f>
        <v/>
      </c>
      <c r="N772" s="7">
        <f t="shared" si="1"/>
        <v>2024</v>
      </c>
      <c r="O772" s="7" t="str">
        <f t="shared" si="2"/>
        <v>noviembre</v>
      </c>
      <c r="P772" s="7" t="s">
        <v>5722</v>
      </c>
    </row>
    <row r="773">
      <c r="A773" s="19">
        <f>'Respuestas de formulario 1'!A773</f>
        <v>45609.88781</v>
      </c>
      <c r="B773" s="7" t="str">
        <f>'Respuestas de formulario 1'!B773</f>
        <v>Romero</v>
      </c>
      <c r="C773" s="7" t="str">
        <f>'Respuestas de formulario 1'!C773</f>
        <v>Franco</v>
      </c>
      <c r="D773" s="7" t="str">
        <f>'Respuestas de formulario 1'!D773</f>
        <v>Francoromeroo99@gmail.com</v>
      </c>
      <c r="E773" s="20">
        <f>'Respuestas de formulario 1'!E773</f>
        <v>35404</v>
      </c>
      <c r="F773" s="7">
        <f>'Respuestas de formulario 1'!F773</f>
        <v>40107593</v>
      </c>
      <c r="G773" s="7" t="str">
        <f>IFERROR(__xludf.DUMMYFUNCTION("IF('Respuestas de formulario 1'!G773="""","""",IF(LEFT(REGEXREPLACE(TO_TEXT('Respuestas de formulario 1'!G773),""[^0-9]"",""""),2)=""54"",""+""&amp;REGEXREPLACE(TO_TEXT('Respuestas de formulario 1'!G773),""[^0-9]"",""""),""+54""&amp;REGEXREPLACE(TO_TEXT('Respuest"&amp;"as de formulario 1'!G773),""[^0-9]"","""")))"),"+543516203961")</f>
        <v>+543516203961</v>
      </c>
      <c r="H773" s="7">
        <f>'Respuestas de formulario 1'!S773</f>
        <v>2024</v>
      </c>
      <c r="I773" s="7" t="str">
        <f>IFERROR(__xludf.DUMMYFUNCTION("IF('Respuestas de formulario 1'!I773="""","""",TO_TEXT('Respuestas de formulario 1'!I773))"),"Particular")</f>
        <v>Particular</v>
      </c>
      <c r="J773" s="7" t="str">
        <f>IFERROR(__xludf.DUMMYFUNCTION("IF('Respuestas de formulario 1'!J773&lt;&gt;"""",UPPER(TRIM(TO_TEXT('Respuestas de formulario 1'!J773))),IF('Respuestas de formulario 1'!O773&lt;&gt;"""",UPPER(TRIM(TO_TEXT('Respuestas de formulario 1'!O773))),""""))"),"")</f>
        <v/>
      </c>
      <c r="K773" s="7" t="str">
        <f>IFERROR(__xludf.DUMMYFUNCTION("IF('Respuestas de formulario 1'!K773="""","""",TO_TEXT('Respuestas de formulario 1'!K773))"),"Si")</f>
        <v>Si</v>
      </c>
      <c r="L773" s="7" t="str">
        <f>IFERROR(__xludf.DUMMYFUNCTION("IF('Respuestas de formulario 1'!L773="""","""",TO_TEXT('Respuestas de formulario 1'!L773))"),"Gimnasio y jiujitsu brasileño ")</f>
        <v>Gimnasio y jiujitsu brasileño </v>
      </c>
      <c r="M773" s="7" t="str">
        <f>IFERROR(__xludf.DUMMYFUNCTION("IF('Respuestas de formulario 1'!M773="""","""",TO_TEXT('Respuestas de formulario 1'!M773))"),"6 a 7 veces por semana")</f>
        <v>6 a 7 veces por semana</v>
      </c>
      <c r="N773" s="7">
        <f t="shared" si="1"/>
        <v>2024</v>
      </c>
      <c r="O773" s="7" t="str">
        <f t="shared" si="2"/>
        <v>noviembre</v>
      </c>
      <c r="P773" s="7" t="s">
        <v>5724</v>
      </c>
    </row>
    <row r="774">
      <c r="A774" s="19">
        <f>'Respuestas de formulario 1'!A774</f>
        <v>45610.73455</v>
      </c>
      <c r="B774" s="7" t="str">
        <f>'Respuestas de formulario 1'!B774</f>
        <v>Contreras</v>
      </c>
      <c r="C774" s="7" t="str">
        <f>'Respuestas de formulario 1'!C774</f>
        <v>Mario</v>
      </c>
      <c r="D774" s="7" t="str">
        <f>'Respuestas de formulario 1'!D774</f>
        <v/>
      </c>
      <c r="E774" s="20">
        <f>'Respuestas de formulario 1'!E774</f>
        <v>17395</v>
      </c>
      <c r="F774" s="7">
        <f>'Respuestas de formulario 1'!F774</f>
        <v>7946827</v>
      </c>
      <c r="G774" s="7" t="str">
        <f>IFERROR(__xludf.DUMMYFUNCTION("IF('Respuestas de formulario 1'!G774="""","""",IF(LEFT(REGEXREPLACE(TO_TEXT('Respuestas de formulario 1'!G774),""[^0-9]"",""""),2)=""54"",""+""&amp;REGEXREPLACE(TO_TEXT('Respuestas de formulario 1'!G774),""[^0-9]"",""""),""+54""&amp;REGEXREPLACE(TO_TEXT('Respuest"&amp;"as de formulario 1'!G774),""[^0-9]"","""")))"),"+543516060880")</f>
        <v>+543516060880</v>
      </c>
      <c r="H774" s="7">
        <f>'Respuestas de formulario 1'!S774</f>
        <v>2024</v>
      </c>
      <c r="I774" s="7" t="str">
        <f>IFERROR(__xludf.DUMMYFUNCTION("IF('Respuestas de formulario 1'!I774="""","""",TO_TEXT('Respuestas de formulario 1'!I774))"),"Obra social")</f>
        <v>Obra social</v>
      </c>
      <c r="J774" s="7" t="str">
        <f>IFERROR(__xludf.DUMMYFUNCTION("IF('Respuestas de formulario 1'!J774&lt;&gt;"""",UPPER(TRIM(TO_TEXT('Respuestas de formulario 1'!J774))),IF('Respuestas de formulario 1'!O774&lt;&gt;"""",UPPER(TRIM(TO_TEXT('Respuestas de formulario 1'!O774))),""""))"),"APROSS")</f>
        <v>APROSS</v>
      </c>
      <c r="K774" s="7" t="str">
        <f>IFERROR(__xludf.DUMMYFUNCTION("IF('Respuestas de formulario 1'!K774="""","""",TO_TEXT('Respuestas de formulario 1'!K774))"),"No")</f>
        <v>No</v>
      </c>
      <c r="L774" s="7" t="str">
        <f>IFERROR(__xludf.DUMMYFUNCTION("IF('Respuestas de formulario 1'!L774="""","""",TO_TEXT('Respuestas de formulario 1'!L774))"),"")</f>
        <v/>
      </c>
      <c r="M774" s="7" t="str">
        <f>IFERROR(__xludf.DUMMYFUNCTION("IF('Respuestas de formulario 1'!M774="""","""",TO_TEXT('Respuestas de formulario 1'!M774))"),"")</f>
        <v/>
      </c>
      <c r="N774" s="7">
        <f t="shared" si="1"/>
        <v>2024</v>
      </c>
      <c r="O774" s="7" t="str">
        <f t="shared" si="2"/>
        <v>noviembre</v>
      </c>
      <c r="P774" s="7" t="s">
        <v>5726</v>
      </c>
    </row>
    <row r="775">
      <c r="A775" s="19">
        <f>'Respuestas de formulario 1'!A775</f>
        <v>45611.57525</v>
      </c>
      <c r="B775" s="7" t="str">
        <f>'Respuestas de formulario 1'!B775</f>
        <v>BARDUS CASTELLANOS </v>
      </c>
      <c r="C775" s="7" t="str">
        <f>'Respuestas de formulario 1'!C775</f>
        <v>Patricia Alejandra </v>
      </c>
      <c r="D775" s="7" t="str">
        <f>'Respuestas de formulario 1'!D775</f>
        <v>Patobardus@hotmail.com</v>
      </c>
      <c r="E775" s="20">
        <f>'Respuestas de formulario 1'!E775</f>
        <v>24637</v>
      </c>
      <c r="F775" s="7">
        <f>'Respuestas de formulario 1'!F775</f>
        <v>18408396</v>
      </c>
      <c r="G775" s="7" t="str">
        <f>IFERROR(__xludf.DUMMYFUNCTION("IF('Respuestas de formulario 1'!G775="""","""",IF(LEFT(REGEXREPLACE(TO_TEXT('Respuestas de formulario 1'!G775),""[^0-9]"",""""),2)=""54"",""+""&amp;REGEXREPLACE(TO_TEXT('Respuestas de formulario 1'!G775),""[^0-9]"",""""),""+54""&amp;REGEXREPLACE(TO_TEXT('Respuest"&amp;"as de formulario 1'!G775),""[^0-9]"","""")))"),"+543513248546")</f>
        <v>+543513248546</v>
      </c>
      <c r="H775" s="7">
        <f>'Respuestas de formulario 1'!S775</f>
        <v>2024</v>
      </c>
      <c r="I775" s="7" t="str">
        <f>IFERROR(__xludf.DUMMYFUNCTION("IF('Respuestas de formulario 1'!I775="""","""",TO_TEXT('Respuestas de formulario 1'!I775))"),"Particular")</f>
        <v>Particular</v>
      </c>
      <c r="J775" s="7" t="str">
        <f>IFERROR(__xludf.DUMMYFUNCTION("IF('Respuestas de formulario 1'!J775&lt;&gt;"""",UPPER(TRIM(TO_TEXT('Respuestas de formulario 1'!J775))),IF('Respuestas de formulario 1'!O775&lt;&gt;"""",UPPER(TRIM(TO_TEXT('Respuestas de formulario 1'!O775))),""""))"),"")</f>
        <v/>
      </c>
      <c r="K775" s="7" t="str">
        <f>IFERROR(__xludf.DUMMYFUNCTION("IF('Respuestas de formulario 1'!K775="""","""",TO_TEXT('Respuestas de formulario 1'!K775))"),"No")</f>
        <v>No</v>
      </c>
      <c r="L775" s="7" t="str">
        <f>IFERROR(__xludf.DUMMYFUNCTION("IF('Respuestas de formulario 1'!L775="""","""",TO_TEXT('Respuestas de formulario 1'!L775))"),"")</f>
        <v/>
      </c>
      <c r="M775" s="7" t="str">
        <f>IFERROR(__xludf.DUMMYFUNCTION("IF('Respuestas de formulario 1'!M775="""","""",TO_TEXT('Respuestas de formulario 1'!M775))"),"")</f>
        <v/>
      </c>
      <c r="N775" s="7">
        <f t="shared" si="1"/>
        <v>2024</v>
      </c>
      <c r="O775" s="7" t="str">
        <f t="shared" si="2"/>
        <v>noviembre</v>
      </c>
      <c r="P775" s="7" t="s">
        <v>5728</v>
      </c>
    </row>
    <row r="776">
      <c r="A776" s="19">
        <f>'Respuestas de formulario 1'!A776</f>
        <v>45611.75169</v>
      </c>
      <c r="B776" s="7" t="str">
        <f>'Respuestas de formulario 1'!B776</f>
        <v>Canale</v>
      </c>
      <c r="C776" s="7" t="str">
        <f>'Respuestas de formulario 1'!C776</f>
        <v>Alejandro</v>
      </c>
      <c r="D776" s="7" t="str">
        <f>'Respuestas de formulario 1'!D776</f>
        <v>acanale1080@gmail.com</v>
      </c>
      <c r="E776" s="20">
        <f>'Respuestas de formulario 1'!E776</f>
        <v>29479</v>
      </c>
      <c r="F776" s="7">
        <f>'Respuestas de formulario 1'!F776</f>
        <v>28343919</v>
      </c>
      <c r="G776" s="7" t="str">
        <f>IFERROR(__xludf.DUMMYFUNCTION("IF('Respuestas de formulario 1'!G776="""","""",IF(LEFT(REGEXREPLACE(TO_TEXT('Respuestas de formulario 1'!G776),""[^0-9]"",""""),2)=""54"",""+""&amp;REGEXREPLACE(TO_TEXT('Respuestas de formulario 1'!G776),""[^0-9]"",""""),""+54""&amp;REGEXREPLACE(TO_TEXT('Respuest"&amp;"as de formulario 1'!G776),""[^0-9]"","""")))"),"+543517324915")</f>
        <v>+543517324915</v>
      </c>
      <c r="H776" s="7">
        <f>'Respuestas de formulario 1'!S776</f>
        <v>2024</v>
      </c>
      <c r="I776" s="7" t="str">
        <f>IFERROR(__xludf.DUMMYFUNCTION("IF('Respuestas de formulario 1'!I776="""","""",TO_TEXT('Respuestas de formulario 1'!I776))"),"Obra social")</f>
        <v>Obra social</v>
      </c>
      <c r="J776" s="7" t="str">
        <f>IFERROR(__xludf.DUMMYFUNCTION("IF('Respuestas de formulario 1'!J776&lt;&gt;"""",UPPER(TRIM(TO_TEXT('Respuestas de formulario 1'!J776))),IF('Respuestas de formulario 1'!O776&lt;&gt;"""",UPPER(TRIM(TO_TEXT('Respuestas de formulario 1'!O776))),""""))"),"PREVENCIÓN")</f>
        <v>PREVENCIÓN</v>
      </c>
      <c r="K776" s="7" t="str">
        <f>IFERROR(__xludf.DUMMYFUNCTION("IF('Respuestas de formulario 1'!K776="""","""",TO_TEXT('Respuestas de formulario 1'!K776))"),"Si")</f>
        <v>Si</v>
      </c>
      <c r="L776" s="7" t="str">
        <f>IFERROR(__xludf.DUMMYFUNCTION("IF('Respuestas de formulario 1'!L776="""","""",TO_TEXT('Respuestas de formulario 1'!L776))"),"Gimnasio")</f>
        <v>Gimnasio</v>
      </c>
      <c r="M776" s="7" t="str">
        <f>IFERROR(__xludf.DUMMYFUNCTION("IF('Respuestas de formulario 1'!M776="""","""",TO_TEXT('Respuestas de formulario 1'!M776))"),"3 a 5 veces por semana")</f>
        <v>3 a 5 veces por semana</v>
      </c>
      <c r="N776" s="7">
        <f t="shared" si="1"/>
        <v>2024</v>
      </c>
      <c r="O776" s="7" t="str">
        <f t="shared" si="2"/>
        <v>noviembre</v>
      </c>
      <c r="P776" s="7" t="s">
        <v>5730</v>
      </c>
    </row>
    <row r="777">
      <c r="A777" s="19">
        <f>'Respuestas de formulario 1'!A777</f>
        <v>45615.46583</v>
      </c>
      <c r="B777" s="7" t="str">
        <f>'Respuestas de formulario 1'!B777</f>
        <v>Rodriguez</v>
      </c>
      <c r="C777" s="7" t="str">
        <f>'Respuestas de formulario 1'!C777</f>
        <v>Marta</v>
      </c>
      <c r="D777" s="7" t="str">
        <f>'Respuestas de formulario 1'!D777</f>
        <v>martarodriguez@gmail.com</v>
      </c>
      <c r="E777" s="20">
        <f>'Respuestas de formulario 1'!E777</f>
        <v>18661</v>
      </c>
      <c r="F777" s="7">
        <f>'Respuestas de formulario 1'!F777</f>
        <v>6392101</v>
      </c>
      <c r="G777" s="7" t="str">
        <f>IFERROR(__xludf.DUMMYFUNCTION("IF('Respuestas de formulario 1'!G777="""","""",IF(LEFT(REGEXREPLACE(TO_TEXT('Respuestas de formulario 1'!G777),""[^0-9]"",""""),2)=""54"",""+""&amp;REGEXREPLACE(TO_TEXT('Respuestas de formulario 1'!G777),""[^0-9]"",""""),""+54""&amp;REGEXREPLACE(TO_TEXT('Respuest"&amp;"as de formulario 1'!G777),""[^0-9]"","""")))"),"+543515064419")</f>
        <v>+543515064419</v>
      </c>
      <c r="H777" s="7">
        <f>'Respuestas de formulario 1'!S777</f>
        <v>2024</v>
      </c>
      <c r="I777" s="7" t="str">
        <f>IFERROR(__xludf.DUMMYFUNCTION("IF('Respuestas de formulario 1'!I777="""","""",TO_TEXT('Respuestas de formulario 1'!I777))"),"Obra social")</f>
        <v>Obra social</v>
      </c>
      <c r="J777" s="7" t="str">
        <f>IFERROR(__xludf.DUMMYFUNCTION("IF('Respuestas de formulario 1'!J777&lt;&gt;"""",UPPER(TRIM(TO_TEXT('Respuestas de formulario 1'!J777))),IF('Respuestas de formulario 1'!O777&lt;&gt;"""",UPPER(TRIM(TO_TEXT('Respuestas de formulario 1'!O777))),""""))"),"MEDIFE")</f>
        <v>MEDIFE</v>
      </c>
      <c r="K777" s="7" t="str">
        <f>IFERROR(__xludf.DUMMYFUNCTION("IF('Respuestas de formulario 1'!K777="""","""",TO_TEXT('Respuestas de formulario 1'!K777))"),"Si")</f>
        <v>Si</v>
      </c>
      <c r="L777" s="7" t="str">
        <f>IFERROR(__xludf.DUMMYFUNCTION("IF('Respuestas de formulario 1'!L777="""","""",TO_TEXT('Respuestas de formulario 1'!L777))"),"Pilates")</f>
        <v>Pilates</v>
      </c>
      <c r="M777" s="7" t="str">
        <f>IFERROR(__xludf.DUMMYFUNCTION("IF('Respuestas de formulario 1'!M777="""","""",TO_TEXT('Respuestas de formulario 1'!M777))"),"1 a 2 veces por semana")</f>
        <v>1 a 2 veces por semana</v>
      </c>
      <c r="N777" s="7">
        <f t="shared" si="1"/>
        <v>2024</v>
      </c>
      <c r="O777" s="7" t="str">
        <f t="shared" si="2"/>
        <v>noviembre</v>
      </c>
      <c r="P777" s="7" t="s">
        <v>5732</v>
      </c>
    </row>
    <row r="778">
      <c r="A778" s="19">
        <f>'Respuestas de formulario 1'!A778</f>
        <v>45617.79518</v>
      </c>
      <c r="B778" s="7" t="str">
        <f>'Respuestas de formulario 1'!B778</f>
        <v>Fernandez</v>
      </c>
      <c r="C778" s="7" t="str">
        <f>'Respuestas de formulario 1'!C778</f>
        <v>Susana</v>
      </c>
      <c r="D778" s="7" t="str">
        <f>'Respuestas de formulario 1'!D778</f>
        <v/>
      </c>
      <c r="E778" s="20">
        <f>'Respuestas de formulario 1'!E778</f>
        <v>21877</v>
      </c>
      <c r="F778" s="7">
        <f>'Respuestas de formulario 1'!F778</f>
        <v>13476436</v>
      </c>
      <c r="G778" s="7" t="str">
        <f>IFERROR(__xludf.DUMMYFUNCTION("IF('Respuestas de formulario 1'!G778="""","""",IF(LEFT(REGEXREPLACE(TO_TEXT('Respuestas de formulario 1'!G778),""[^0-9]"",""""),2)=""54"",""+""&amp;REGEXREPLACE(TO_TEXT('Respuestas de formulario 1'!G778),""[^0-9]"",""""),""+54""&amp;REGEXREPLACE(TO_TEXT('Respuest"&amp;"as de formulario 1'!G778),""[^0-9]"","""")))"),"+543513467613")</f>
        <v>+543513467613</v>
      </c>
      <c r="H778" s="7">
        <f>'Respuestas de formulario 1'!S778</f>
        <v>2024</v>
      </c>
      <c r="I778" s="7" t="str">
        <f>IFERROR(__xludf.DUMMYFUNCTION("IF('Respuestas de formulario 1'!I778="""","""",TO_TEXT('Respuestas de formulario 1'!I778))"),"Obra social")</f>
        <v>Obra social</v>
      </c>
      <c r="J778" s="7" t="str">
        <f>IFERROR(__xludf.DUMMYFUNCTION("IF('Respuestas de formulario 1'!J778&lt;&gt;"""",UPPER(TRIM(TO_TEXT('Respuestas de formulario 1'!J778))),IF('Respuestas de formulario 1'!O778&lt;&gt;"""",UPPER(TRIM(TO_TEXT('Respuestas de formulario 1'!O778))),""""))"),"OPDEA")</f>
        <v>OPDEA</v>
      </c>
      <c r="K778" s="7" t="str">
        <f>IFERROR(__xludf.DUMMYFUNCTION("IF('Respuestas de formulario 1'!K778="""","""",TO_TEXT('Respuestas de formulario 1'!K778))"),"No")</f>
        <v>No</v>
      </c>
      <c r="L778" s="7" t="str">
        <f>IFERROR(__xludf.DUMMYFUNCTION("IF('Respuestas de formulario 1'!L778="""","""",TO_TEXT('Respuestas de formulario 1'!L778))"),"")</f>
        <v/>
      </c>
      <c r="M778" s="7" t="str">
        <f>IFERROR(__xludf.DUMMYFUNCTION("IF('Respuestas de formulario 1'!M778="""","""",TO_TEXT('Respuestas de formulario 1'!M778))"),"")</f>
        <v/>
      </c>
      <c r="N778" s="7">
        <f t="shared" si="1"/>
        <v>2024</v>
      </c>
      <c r="O778" s="7" t="str">
        <f t="shared" si="2"/>
        <v>noviembre</v>
      </c>
      <c r="P778" s="7" t="s">
        <v>5734</v>
      </c>
    </row>
    <row r="779">
      <c r="A779" s="19">
        <f>'Respuestas de formulario 1'!A779</f>
        <v>45619.67737</v>
      </c>
      <c r="B779" s="7" t="str">
        <f>'Respuestas de formulario 1'!B779</f>
        <v>Longo </v>
      </c>
      <c r="C779" s="7" t="str">
        <f>'Respuestas de formulario 1'!C779</f>
        <v>Aldo Marcelo </v>
      </c>
      <c r="D779" s="7" t="str">
        <f>'Respuestas de formulario 1'!D779</f>
        <v>aldolongo617@gmail.com</v>
      </c>
      <c r="E779" s="20">
        <f>'Respuestas de formulario 1'!E779</f>
        <v>27279</v>
      </c>
      <c r="F779" s="7">
        <f>'Respuestas de formulario 1'!F779</f>
        <v>24013617</v>
      </c>
      <c r="G779" s="7" t="str">
        <f>IFERROR(__xludf.DUMMYFUNCTION("IF('Respuestas de formulario 1'!G779="""","""",IF(LEFT(REGEXREPLACE(TO_TEXT('Respuestas de formulario 1'!G779),""[^0-9]"",""""),2)=""54"",""+""&amp;REGEXREPLACE(TO_TEXT('Respuestas de formulario 1'!G779),""[^0-9]"",""""),""+54""&amp;REGEXREPLACE(TO_TEXT('Respuest"&amp;"as de formulario 1'!G779),""[^0-9]"","""")))"),"+543515998629")</f>
        <v>+543515998629</v>
      </c>
      <c r="H779" s="7">
        <f>'Respuestas de formulario 1'!S779</f>
        <v>2024</v>
      </c>
      <c r="I779" s="7" t="str">
        <f>IFERROR(__xludf.DUMMYFUNCTION("IF('Respuestas de formulario 1'!I779="""","""",TO_TEXT('Respuestas de formulario 1'!I779))"),"Obra social")</f>
        <v>Obra social</v>
      </c>
      <c r="J779" s="7" t="str">
        <f>IFERROR(__xludf.DUMMYFUNCTION("IF('Respuestas de formulario 1'!J779&lt;&gt;"""",UPPER(TRIM(TO_TEXT('Respuestas de formulario 1'!J779))),IF('Respuestas de formulario 1'!O779&lt;&gt;"""",UPPER(TRIM(TO_TEXT('Respuestas de formulario 1'!O779))),""""))"),"DASPU")</f>
        <v>DASPU</v>
      </c>
      <c r="K779" s="7" t="str">
        <f>IFERROR(__xludf.DUMMYFUNCTION("IF('Respuestas de formulario 1'!K779="""","""",TO_TEXT('Respuestas de formulario 1'!K779))"),"Si")</f>
        <v>Si</v>
      </c>
      <c r="L779" s="7" t="str">
        <f>IFERROR(__xludf.DUMMYFUNCTION("IF('Respuestas de formulario 1'!L779="""","""",TO_TEXT('Respuestas de formulario 1'!L779))"),"Caminatas, MTB, full body")</f>
        <v>Caminatas, MTB, full body</v>
      </c>
      <c r="M779" s="7" t="str">
        <f>IFERROR(__xludf.DUMMYFUNCTION("IF('Respuestas de formulario 1'!M779="""","""",TO_TEXT('Respuestas de formulario 1'!M779))"),"3 a 5 veces por semana")</f>
        <v>3 a 5 veces por semana</v>
      </c>
      <c r="N779" s="7">
        <f t="shared" si="1"/>
        <v>2024</v>
      </c>
      <c r="O779" s="7" t="str">
        <f t="shared" si="2"/>
        <v>noviembre</v>
      </c>
      <c r="P779" s="7" t="s">
        <v>5736</v>
      </c>
    </row>
    <row r="780">
      <c r="A780" s="19">
        <f>'Respuestas de formulario 1'!A780</f>
        <v>45622.58367</v>
      </c>
      <c r="B780" s="7" t="str">
        <f>'Respuestas de formulario 1'!B780</f>
        <v>Vila</v>
      </c>
      <c r="C780" s="7" t="str">
        <f>'Respuestas de formulario 1'!C780</f>
        <v>Gonzalo</v>
      </c>
      <c r="D780" s="7" t="str">
        <f>'Respuestas de formulario 1'!D780</f>
        <v>paracuentas63@gmail.com</v>
      </c>
      <c r="E780" s="20">
        <f>'Respuestas de formulario 1'!E780</f>
        <v>34513</v>
      </c>
      <c r="F780" s="7">
        <f>'Respuestas de formulario 1'!F780</f>
        <v>38331162</v>
      </c>
      <c r="G780" s="7" t="str">
        <f>IFERROR(__xludf.DUMMYFUNCTION("IF('Respuestas de formulario 1'!G780="""","""",IF(LEFT(REGEXREPLACE(TO_TEXT('Respuestas de formulario 1'!G780),""[^0-9]"",""""),2)=""54"",""+""&amp;REGEXREPLACE(TO_TEXT('Respuestas de formulario 1'!G780),""[^0-9]"",""""),""+54""&amp;REGEXREPLACE(TO_TEXT('Respuest"&amp;"as de formulario 1'!G780),""[^0-9]"","""")))"),"+543512592059")</f>
        <v>+543512592059</v>
      </c>
      <c r="H780" s="7">
        <f>'Respuestas de formulario 1'!S780</f>
        <v>2024</v>
      </c>
      <c r="I780" s="7" t="str">
        <f>IFERROR(__xludf.DUMMYFUNCTION("IF('Respuestas de formulario 1'!I780="""","""",TO_TEXT('Respuestas de formulario 1'!I780))"),"Particular")</f>
        <v>Particular</v>
      </c>
      <c r="J780" s="7" t="str">
        <f>IFERROR(__xludf.DUMMYFUNCTION("IF('Respuestas de formulario 1'!J780&lt;&gt;"""",UPPER(TRIM(TO_TEXT('Respuestas de formulario 1'!J780))),IF('Respuestas de formulario 1'!O780&lt;&gt;"""",UPPER(TRIM(TO_TEXT('Respuestas de formulario 1'!O780))),""""))"),"")</f>
        <v/>
      </c>
      <c r="K780" s="7" t="str">
        <f>IFERROR(__xludf.DUMMYFUNCTION("IF('Respuestas de formulario 1'!K780="""","""",TO_TEXT('Respuestas de formulario 1'!K780))"),"Si")</f>
        <v>Si</v>
      </c>
      <c r="L780" s="7" t="str">
        <f>IFERROR(__xludf.DUMMYFUNCTION("IF('Respuestas de formulario 1'!L780="""","""",TO_TEXT('Respuestas de formulario 1'!L780))"),"Gimnasio")</f>
        <v>Gimnasio</v>
      </c>
      <c r="M780" s="7" t="str">
        <f>IFERROR(__xludf.DUMMYFUNCTION("IF('Respuestas de formulario 1'!M780="""","""",TO_TEXT('Respuestas de formulario 1'!M780))"),"3 a 5 veces por semana")</f>
        <v>3 a 5 veces por semana</v>
      </c>
      <c r="N780" s="7">
        <f t="shared" si="1"/>
        <v>2024</v>
      </c>
      <c r="O780" s="7" t="str">
        <f t="shared" si="2"/>
        <v>noviembre</v>
      </c>
      <c r="P780" s="7" t="s">
        <v>5738</v>
      </c>
    </row>
    <row r="781">
      <c r="A781" s="19">
        <f>'Respuestas de formulario 1'!A781</f>
        <v>45622.76965</v>
      </c>
      <c r="B781" s="7" t="str">
        <f>'Respuestas de formulario 1'!B781</f>
        <v>Sagues</v>
      </c>
      <c r="C781" s="7" t="str">
        <f>'Respuestas de formulario 1'!C781</f>
        <v>Alejandro</v>
      </c>
      <c r="D781" s="7" t="str">
        <f>'Respuestas de formulario 1'!D781</f>
        <v/>
      </c>
      <c r="E781" s="20">
        <f>'Respuestas de formulario 1'!E781</f>
        <v>27495</v>
      </c>
      <c r="F781" s="7">
        <f>'Respuestas de formulario 1'!F781</f>
        <v>24385318</v>
      </c>
      <c r="G781" s="7" t="str">
        <f>IFERROR(__xludf.DUMMYFUNCTION("IF('Respuestas de formulario 1'!G781="""","""",IF(LEFT(REGEXREPLACE(TO_TEXT('Respuestas de formulario 1'!G781),""[^0-9]"",""""),2)=""54"",""+""&amp;REGEXREPLACE(TO_TEXT('Respuestas de formulario 1'!G781),""[^0-9]"",""""),""+54""&amp;REGEXREPLACE(TO_TEXT('Respuest"&amp;"as de formulario 1'!G781),""[^0-9]"","""")))"),"+543515990795")</f>
        <v>+543515990795</v>
      </c>
      <c r="H781" s="7">
        <f>'Respuestas de formulario 1'!S781</f>
        <v>2024</v>
      </c>
      <c r="I781" s="7" t="str">
        <f>IFERROR(__xludf.DUMMYFUNCTION("IF('Respuestas de formulario 1'!I781="""","""",TO_TEXT('Respuestas de formulario 1'!I781))"),"Particular")</f>
        <v>Particular</v>
      </c>
      <c r="J781" s="7" t="str">
        <f>IFERROR(__xludf.DUMMYFUNCTION("IF('Respuestas de formulario 1'!J781&lt;&gt;"""",UPPER(TRIM(TO_TEXT('Respuestas de formulario 1'!J781))),IF('Respuestas de formulario 1'!O781&lt;&gt;"""",UPPER(TRIM(TO_TEXT('Respuestas de formulario 1'!O781))),""""))"),"")</f>
        <v/>
      </c>
      <c r="K781" s="7" t="str">
        <f>IFERROR(__xludf.DUMMYFUNCTION("IF('Respuestas de formulario 1'!K781="""","""",TO_TEXT('Respuestas de formulario 1'!K781))"),"No")</f>
        <v>No</v>
      </c>
      <c r="L781" s="7" t="str">
        <f>IFERROR(__xludf.DUMMYFUNCTION("IF('Respuestas de formulario 1'!L781="""","""",TO_TEXT('Respuestas de formulario 1'!L781))"),"")</f>
        <v/>
      </c>
      <c r="M781" s="7" t="str">
        <f>IFERROR(__xludf.DUMMYFUNCTION("IF('Respuestas de formulario 1'!M781="""","""",TO_TEXT('Respuestas de formulario 1'!M781))"),"")</f>
        <v/>
      </c>
      <c r="N781" s="7">
        <f t="shared" si="1"/>
        <v>2024</v>
      </c>
      <c r="O781" s="7" t="str">
        <f t="shared" si="2"/>
        <v>noviembre</v>
      </c>
      <c r="P781" s="7" t="s">
        <v>5740</v>
      </c>
    </row>
    <row r="782">
      <c r="A782" s="19">
        <f>'Respuestas de formulario 1'!A782</f>
        <v>45622.77011</v>
      </c>
      <c r="B782" s="7" t="str">
        <f>'Respuestas de formulario 1'!B782</f>
        <v>Rossa</v>
      </c>
      <c r="C782" s="7" t="str">
        <f>'Respuestas de formulario 1'!C782</f>
        <v>Victoria </v>
      </c>
      <c r="D782" s="7" t="str">
        <f>'Respuestas de formulario 1'!D782</f>
        <v>vickyrossa07@gmail.com</v>
      </c>
      <c r="E782" s="20">
        <f>'Respuestas de formulario 1'!E782</f>
        <v>37497</v>
      </c>
      <c r="F782" s="7">
        <f>'Respuestas de formulario 1'!F782</f>
        <v>44346150</v>
      </c>
      <c r="G782" s="7" t="str">
        <f>IFERROR(__xludf.DUMMYFUNCTION("IF('Respuestas de formulario 1'!G782="""","""",IF(LEFT(REGEXREPLACE(TO_TEXT('Respuestas de formulario 1'!G782),""[^0-9]"",""""),2)=""54"",""+""&amp;REGEXREPLACE(TO_TEXT('Respuestas de formulario 1'!G782),""[^0-9]"",""""),""+54""&amp;REGEXREPLACE(TO_TEXT('Respuest"&amp;"as de formulario 1'!G782),""[^0-9]"","""")))"),"+543517570132")</f>
        <v>+543517570132</v>
      </c>
      <c r="H782" s="7">
        <f>'Respuestas de formulario 1'!S782</f>
        <v>2024</v>
      </c>
      <c r="I782" s="7" t="str">
        <f>IFERROR(__xludf.DUMMYFUNCTION("IF('Respuestas de formulario 1'!I782="""","""",TO_TEXT('Respuestas de formulario 1'!I782))"),"Obra social")</f>
        <v>Obra social</v>
      </c>
      <c r="J782" s="7" t="str">
        <f>IFERROR(__xludf.DUMMYFUNCTION("IF('Respuestas de formulario 1'!J782&lt;&gt;"""",UPPER(TRIM(TO_TEXT('Respuestas de formulario 1'!J782))),IF('Respuestas de formulario 1'!O782&lt;&gt;"""",UPPER(TRIM(TO_TEXT('Respuestas de formulario 1'!O782))),""""))"),"PREVENCIÓN")</f>
        <v>PREVENCIÓN</v>
      </c>
      <c r="K782" s="7" t="str">
        <f>IFERROR(__xludf.DUMMYFUNCTION("IF('Respuestas de formulario 1'!K782="""","""",TO_TEXT('Respuestas de formulario 1'!K782))"),"Si")</f>
        <v>Si</v>
      </c>
      <c r="L782" s="7" t="str">
        <f>IFERROR(__xludf.DUMMYFUNCTION("IF('Respuestas de formulario 1'!L782="""","""",TO_TEXT('Respuestas de formulario 1'!L782))"),"Gimnasio")</f>
        <v>Gimnasio</v>
      </c>
      <c r="M782" s="7" t="str">
        <f>IFERROR(__xludf.DUMMYFUNCTION("IF('Respuestas de formulario 1'!M782="""","""",TO_TEXT('Respuestas de formulario 1'!M782))"),"3 a 5 veces por semana")</f>
        <v>3 a 5 veces por semana</v>
      </c>
      <c r="N782" s="7">
        <f t="shared" si="1"/>
        <v>2024</v>
      </c>
      <c r="O782" s="7" t="str">
        <f t="shared" si="2"/>
        <v>noviembre</v>
      </c>
      <c r="P782" s="7" t="s">
        <v>5742</v>
      </c>
    </row>
    <row r="783">
      <c r="A783" s="19">
        <f>'Respuestas de formulario 1'!A783</f>
        <v>45622.78752</v>
      </c>
      <c r="B783" s="7" t="str">
        <f>'Respuestas de formulario 1'!B783</f>
        <v>Medina</v>
      </c>
      <c r="C783" s="7" t="str">
        <f>'Respuestas de formulario 1'!C783</f>
        <v>Gonzalo damian</v>
      </c>
      <c r="D783" s="7" t="str">
        <f>'Respuestas de formulario 1'!D783</f>
        <v>polirrubrosol@gmail.com</v>
      </c>
      <c r="E783" s="20">
        <f>'Respuestas de formulario 1'!E783</f>
        <v>29043</v>
      </c>
      <c r="F783" s="7">
        <f>'Respuestas de formulario 1'!F783</f>
        <v>27546046</v>
      </c>
      <c r="G783" s="7" t="str">
        <f>IFERROR(__xludf.DUMMYFUNCTION("IF('Respuestas de formulario 1'!G783="""","""",IF(LEFT(REGEXREPLACE(TO_TEXT('Respuestas de formulario 1'!G783),""[^0-9]"",""""),2)=""54"",""+""&amp;REGEXREPLACE(TO_TEXT('Respuestas de formulario 1'!G783),""[^0-9]"",""""),""+54""&amp;REGEXREPLACE(TO_TEXT('Respuest"&amp;"as de formulario 1'!G783),""[^0-9]"","""")))"),"+543512606579")</f>
        <v>+543512606579</v>
      </c>
      <c r="H783" s="7">
        <f>'Respuestas de formulario 1'!S783</f>
        <v>2024</v>
      </c>
      <c r="I783" s="7" t="str">
        <f>IFERROR(__xludf.DUMMYFUNCTION("IF('Respuestas de formulario 1'!I783="""","""",TO_TEXT('Respuestas de formulario 1'!I783))"),"Particular")</f>
        <v>Particular</v>
      </c>
      <c r="J783" s="7" t="str">
        <f>IFERROR(__xludf.DUMMYFUNCTION("IF('Respuestas de formulario 1'!J783&lt;&gt;"""",UPPER(TRIM(TO_TEXT('Respuestas de formulario 1'!J783))),IF('Respuestas de formulario 1'!O783&lt;&gt;"""",UPPER(TRIM(TO_TEXT('Respuestas de formulario 1'!O783))),""""))"),"")</f>
        <v/>
      </c>
      <c r="K783" s="7" t="str">
        <f>IFERROR(__xludf.DUMMYFUNCTION("IF('Respuestas de formulario 1'!K783="""","""",TO_TEXT('Respuestas de formulario 1'!K783))"),"Si")</f>
        <v>Si</v>
      </c>
      <c r="L783" s="7" t="str">
        <f>IFERROR(__xludf.DUMMYFUNCTION("IF('Respuestas de formulario 1'!L783="""","""",TO_TEXT('Respuestas de formulario 1'!L783))"),"Padel")</f>
        <v>Padel</v>
      </c>
      <c r="M783" s="7" t="str">
        <f>IFERROR(__xludf.DUMMYFUNCTION("IF('Respuestas de formulario 1'!M783="""","""",TO_TEXT('Respuestas de formulario 1'!M783))"),"1 a 2 veces por semana")</f>
        <v>1 a 2 veces por semana</v>
      </c>
      <c r="N783" s="7">
        <f t="shared" si="1"/>
        <v>2024</v>
      </c>
      <c r="O783" s="7" t="str">
        <f t="shared" si="2"/>
        <v>noviembre</v>
      </c>
      <c r="P783" s="7" t="s">
        <v>5744</v>
      </c>
    </row>
    <row r="784">
      <c r="A784" s="19">
        <f>'Respuestas de formulario 1'!A784</f>
        <v>45623.74121</v>
      </c>
      <c r="B784" s="7" t="str">
        <f>'Respuestas de formulario 1'!B784</f>
        <v>Bustos </v>
      </c>
      <c r="C784" s="7" t="str">
        <f>'Respuestas de formulario 1'!C784</f>
        <v>Sergio</v>
      </c>
      <c r="D784" s="7" t="str">
        <f>'Respuestas de formulario 1'!D784</f>
        <v>Sergiorbustos@hormail.com</v>
      </c>
      <c r="E784" s="20">
        <f>'Respuestas de formulario 1'!E784</f>
        <v>25470</v>
      </c>
      <c r="F784" s="7">
        <f>'Respuestas de formulario 1'!F784</f>
        <v>20998074</v>
      </c>
      <c r="G784" s="7" t="str">
        <f>IFERROR(__xludf.DUMMYFUNCTION("IF('Respuestas de formulario 1'!G784="""","""",IF(LEFT(REGEXREPLACE(TO_TEXT('Respuestas de formulario 1'!G784),""[^0-9]"",""""),2)=""54"",""+""&amp;REGEXREPLACE(TO_TEXT('Respuestas de formulario 1'!G784),""[^0-9]"",""""),""+54""&amp;REGEXREPLACE(TO_TEXT('Respuest"&amp;"as de formulario 1'!G784),""[^0-9]"","""")))"),"+543515932389")</f>
        <v>+543515932389</v>
      </c>
      <c r="H784" s="7">
        <f>'Respuestas de formulario 1'!S784</f>
        <v>2024</v>
      </c>
      <c r="I784" s="7" t="str">
        <f>IFERROR(__xludf.DUMMYFUNCTION("IF('Respuestas de formulario 1'!I784="""","""",TO_TEXT('Respuestas de formulario 1'!I784))"),"Obra social")</f>
        <v>Obra social</v>
      </c>
      <c r="J784" s="7" t="str">
        <f>IFERROR(__xludf.DUMMYFUNCTION("IF('Respuestas de formulario 1'!J784&lt;&gt;"""",UPPER(TRIM(TO_TEXT('Respuestas de formulario 1'!J784))),IF('Respuestas de formulario 1'!O784&lt;&gt;"""",UPPER(TRIM(TO_TEXT('Respuestas de formulario 1'!O784))),""""))"),"MET")</f>
        <v>MET</v>
      </c>
      <c r="K784" s="7" t="str">
        <f>IFERROR(__xludf.DUMMYFUNCTION("IF('Respuestas de formulario 1'!K784="""","""",TO_TEXT('Respuestas de formulario 1'!K784))"),"Si")</f>
        <v>Si</v>
      </c>
      <c r="L784" s="7" t="str">
        <f>IFERROR(__xludf.DUMMYFUNCTION("IF('Respuestas de formulario 1'!L784="""","""",TO_TEXT('Respuestas de formulario 1'!L784))"),"Pádel ")</f>
        <v>Pádel </v>
      </c>
      <c r="M784" s="7" t="str">
        <f>IFERROR(__xludf.DUMMYFUNCTION("IF('Respuestas de formulario 1'!M784="""","""",TO_TEXT('Respuestas de formulario 1'!M784))"),"3 a 5 veces por semana")</f>
        <v>3 a 5 veces por semana</v>
      </c>
      <c r="N784" s="7">
        <f t="shared" si="1"/>
        <v>2024</v>
      </c>
      <c r="O784" s="7" t="str">
        <f t="shared" si="2"/>
        <v>noviembre</v>
      </c>
      <c r="P784" s="7" t="s">
        <v>5745</v>
      </c>
    </row>
    <row r="785">
      <c r="A785" s="19">
        <f>'Respuestas de formulario 1'!A785</f>
        <v>45624.35528</v>
      </c>
      <c r="B785" s="7" t="str">
        <f>'Respuestas de formulario 1'!B785</f>
        <v>Casella Volosin</v>
      </c>
      <c r="C785" s="7" t="str">
        <f>'Respuestas de formulario 1'!C785</f>
        <v>Guido</v>
      </c>
      <c r="D785" s="7" t="str">
        <f>'Respuestas de formulario 1'!D785</f>
        <v>Guido_casella@hotmail.com</v>
      </c>
      <c r="E785" s="20">
        <f>'Respuestas de formulario 1'!E785</f>
        <v>34078</v>
      </c>
      <c r="F785" s="7">
        <f>'Respuestas de formulario 1'!F785</f>
        <v>37476222</v>
      </c>
      <c r="G785" s="7" t="str">
        <f>IFERROR(__xludf.DUMMYFUNCTION("IF('Respuestas de formulario 1'!G785="""","""",IF(LEFT(REGEXREPLACE(TO_TEXT('Respuestas de formulario 1'!G785),""[^0-9]"",""""),2)=""54"",""+""&amp;REGEXREPLACE(TO_TEXT('Respuestas de formulario 1'!G785),""[^0-9]"",""""),""+54""&amp;REGEXREPLACE(TO_TEXT('Respuest"&amp;"as de formulario 1'!G785),""[^0-9]"","""")))"),"+543515293085")</f>
        <v>+543515293085</v>
      </c>
      <c r="H785" s="7">
        <f>'Respuestas de formulario 1'!S785</f>
        <v>2024</v>
      </c>
      <c r="I785" s="7" t="str">
        <f>IFERROR(__xludf.DUMMYFUNCTION("IF('Respuestas de formulario 1'!I785="""","""",TO_TEXT('Respuestas de formulario 1'!I785))"),"Obra social")</f>
        <v>Obra social</v>
      </c>
      <c r="J785" s="7" t="str">
        <f>IFERROR(__xludf.DUMMYFUNCTION("IF('Respuestas de formulario 1'!J785&lt;&gt;"""",UPPER(TRIM(TO_TEXT('Respuestas de formulario 1'!J785))),IF('Respuestas de formulario 1'!O785&lt;&gt;"""",UPPER(TRIM(TO_TEXT('Respuestas de formulario 1'!O785))),""""))"),"CPCE")</f>
        <v>CPCE</v>
      </c>
      <c r="K785" s="7" t="str">
        <f>IFERROR(__xludf.DUMMYFUNCTION("IF('Respuestas de formulario 1'!K785="""","""",TO_TEXT('Respuestas de formulario 1'!K785))"),"No")</f>
        <v>No</v>
      </c>
      <c r="L785" s="7" t="str">
        <f>IFERROR(__xludf.DUMMYFUNCTION("IF('Respuestas de formulario 1'!L785="""","""",TO_TEXT('Respuestas de formulario 1'!L785))"),"")</f>
        <v/>
      </c>
      <c r="M785" s="7" t="str">
        <f>IFERROR(__xludf.DUMMYFUNCTION("IF('Respuestas de formulario 1'!M785="""","""",TO_TEXT('Respuestas de formulario 1'!M785))"),"")</f>
        <v/>
      </c>
      <c r="N785" s="7">
        <f t="shared" si="1"/>
        <v>2024</v>
      </c>
      <c r="O785" s="7" t="str">
        <f t="shared" si="2"/>
        <v>noviembre</v>
      </c>
      <c r="P785" s="7" t="s">
        <v>5747</v>
      </c>
    </row>
    <row r="786">
      <c r="A786" s="19">
        <f>'Respuestas de formulario 1'!A786</f>
        <v>45624.5173</v>
      </c>
      <c r="B786" s="7" t="str">
        <f>'Respuestas de formulario 1'!B786</f>
        <v>Capponi</v>
      </c>
      <c r="C786" s="7" t="str">
        <f>'Respuestas de formulario 1'!C786</f>
        <v>Ernesto</v>
      </c>
      <c r="D786" s="7" t="str">
        <f>'Respuestas de formulario 1'!D786</f>
        <v>ernestocapponi1@gmail.com</v>
      </c>
      <c r="E786" s="20">
        <f>'Respuestas de formulario 1'!E786</f>
        <v>13386</v>
      </c>
      <c r="F786" s="7">
        <f>'Respuestas de formulario 1'!F786</f>
        <v>6496932</v>
      </c>
      <c r="G786" s="7" t="str">
        <f>IFERROR(__xludf.DUMMYFUNCTION("IF('Respuestas de formulario 1'!G786="""","""",IF(LEFT(REGEXREPLACE(TO_TEXT('Respuestas de formulario 1'!G786),""[^0-9]"",""""),2)=""54"",""+""&amp;REGEXREPLACE(TO_TEXT('Respuestas de formulario 1'!G786),""[^0-9]"",""""),""+54""&amp;REGEXREPLACE(TO_TEXT('Respuest"&amp;"as de formulario 1'!G786),""[^0-9]"","""")))"),"+543512072926")</f>
        <v>+543512072926</v>
      </c>
      <c r="H786" s="7">
        <f>'Respuestas de formulario 1'!S786</f>
        <v>2024</v>
      </c>
      <c r="I786" s="7" t="str">
        <f>IFERROR(__xludf.DUMMYFUNCTION("IF('Respuestas de formulario 1'!I786="""","""",TO_TEXT('Respuestas de formulario 1'!I786))"),"Particular")</f>
        <v>Particular</v>
      </c>
      <c r="J786" s="7" t="str">
        <f>IFERROR(__xludf.DUMMYFUNCTION("IF('Respuestas de formulario 1'!J786&lt;&gt;"""",UPPER(TRIM(TO_TEXT('Respuestas de formulario 1'!J786))),IF('Respuestas de formulario 1'!O786&lt;&gt;"""",UPPER(TRIM(TO_TEXT('Respuestas de formulario 1'!O786))),""""))"),"")</f>
        <v/>
      </c>
      <c r="K786" s="7" t="str">
        <f>IFERROR(__xludf.DUMMYFUNCTION("IF('Respuestas de formulario 1'!K786="""","""",TO_TEXT('Respuestas de formulario 1'!K786))"),"Si")</f>
        <v>Si</v>
      </c>
      <c r="L786" s="7" t="str">
        <f>IFERROR(__xludf.DUMMYFUNCTION("IF('Respuestas de formulario 1'!L786="""","""",TO_TEXT('Respuestas de formulario 1'!L786))"),"Yoga terapeutico + Gimnasia adaptada")</f>
        <v>Yoga terapeutico + Gimnasia adaptada</v>
      </c>
      <c r="M786" s="7" t="str">
        <f>IFERROR(__xludf.DUMMYFUNCTION("IF('Respuestas de formulario 1'!M786="""","""",TO_TEXT('Respuestas de formulario 1'!M786))"),"3 a 5 veces por semana")</f>
        <v>3 a 5 veces por semana</v>
      </c>
      <c r="N786" s="7">
        <f t="shared" si="1"/>
        <v>2024</v>
      </c>
      <c r="O786" s="7" t="str">
        <f t="shared" si="2"/>
        <v>noviembre</v>
      </c>
      <c r="P786" s="7" t="s">
        <v>5749</v>
      </c>
    </row>
    <row r="787">
      <c r="A787" s="19">
        <f>'Respuestas de formulario 1'!A787</f>
        <v>45625.41836</v>
      </c>
      <c r="B787" s="7" t="str">
        <f>'Respuestas de formulario 1'!B787</f>
        <v>Parra </v>
      </c>
      <c r="C787" s="7" t="str">
        <f>'Respuestas de formulario 1'!C787</f>
        <v>Diego </v>
      </c>
      <c r="D787" s="7" t="str">
        <f>'Respuestas de formulario 1'!D787</f>
        <v>diego@familiaparra.com.ar</v>
      </c>
      <c r="E787" s="20">
        <f>'Respuestas de formulario 1'!E787</f>
        <v>29380</v>
      </c>
      <c r="F787" s="7">
        <f>'Respuestas de formulario 1'!F787</f>
        <v>28117390</v>
      </c>
      <c r="G787" s="7" t="str">
        <f>IFERROR(__xludf.DUMMYFUNCTION("IF('Respuestas de formulario 1'!G787="""","""",IF(LEFT(REGEXREPLACE(TO_TEXT('Respuestas de formulario 1'!G787),""[^0-9]"",""""),2)=""54"",""+""&amp;REGEXREPLACE(TO_TEXT('Respuestas de formulario 1'!G787),""[^0-9]"",""""),""+54""&amp;REGEXREPLACE(TO_TEXT('Respuest"&amp;"as de formulario 1'!G787),""[^0-9]"","""")))"),"+543515600460")</f>
        <v>+543515600460</v>
      </c>
      <c r="H787" s="7">
        <f>'Respuestas de formulario 1'!S787</f>
        <v>2024</v>
      </c>
      <c r="I787" s="7" t="str">
        <f>IFERROR(__xludf.DUMMYFUNCTION("IF('Respuestas de formulario 1'!I787="""","""",TO_TEXT('Respuestas de formulario 1'!I787))"),"Obra social")</f>
        <v>Obra social</v>
      </c>
      <c r="J787" s="7" t="str">
        <f>IFERROR(__xludf.DUMMYFUNCTION("IF('Respuestas de formulario 1'!J787&lt;&gt;"""",UPPER(TRIM(TO_TEXT('Respuestas de formulario 1'!J787))),IF('Respuestas de formulario 1'!O787&lt;&gt;"""",UPPER(TRIM(TO_TEXT('Respuestas de formulario 1'!O787))),""""))"),"DASPU")</f>
        <v>DASPU</v>
      </c>
      <c r="K787" s="7" t="str">
        <f>IFERROR(__xludf.DUMMYFUNCTION("IF('Respuestas de formulario 1'!K787="""","""",TO_TEXT('Respuestas de formulario 1'!K787))"),"Si")</f>
        <v>Si</v>
      </c>
      <c r="L787" s="7" t="str">
        <f>IFERROR(__xludf.DUMMYFUNCTION("IF('Respuestas de formulario 1'!L787="""","""",TO_TEXT('Respuestas de formulario 1'!L787))"),"Fútbol")</f>
        <v>Fútbol</v>
      </c>
      <c r="M787" s="7" t="str">
        <f>IFERROR(__xludf.DUMMYFUNCTION("IF('Respuestas de formulario 1'!M787="""","""",TO_TEXT('Respuestas de formulario 1'!M787))"),"3 a 5 veces por semana")</f>
        <v>3 a 5 veces por semana</v>
      </c>
      <c r="N787" s="7">
        <f t="shared" si="1"/>
        <v>2024</v>
      </c>
      <c r="O787" s="7" t="str">
        <f t="shared" si="2"/>
        <v>noviembre</v>
      </c>
      <c r="P787" s="7" t="s">
        <v>5751</v>
      </c>
    </row>
    <row r="788">
      <c r="A788" s="19">
        <f>'Respuestas de formulario 1'!A788</f>
        <v>45625.51721</v>
      </c>
      <c r="B788" s="7" t="str">
        <f>'Respuestas de formulario 1'!B788</f>
        <v>FRANCESCANGELI</v>
      </c>
      <c r="C788" s="7" t="str">
        <f>'Respuestas de formulario 1'!C788</f>
        <v>María Laura </v>
      </c>
      <c r="D788" s="7" t="str">
        <f>'Respuestas de formulario 1'!D788</f>
        <v>Laurif51@hotmail.com </v>
      </c>
      <c r="E788" s="20">
        <f>'Respuestas de formulario 1'!E788</f>
        <v>29193</v>
      </c>
      <c r="F788" s="7">
        <f>'Respuestas de formulario 1'!F788</f>
        <v>27445405</v>
      </c>
      <c r="G788" s="7" t="str">
        <f>IFERROR(__xludf.DUMMYFUNCTION("IF('Respuestas de formulario 1'!G788="""","""",IF(LEFT(REGEXREPLACE(TO_TEXT('Respuestas de formulario 1'!G788),""[^0-9]"",""""),2)=""54"",""+""&amp;REGEXREPLACE(TO_TEXT('Respuestas de formulario 1'!G788),""[^0-9]"",""""),""+54""&amp;REGEXREPLACE(TO_TEXT('Respuest"&amp;"as de formulario 1'!G788),""[^0-9]"","""")))"),"+543512319518")</f>
        <v>+543512319518</v>
      </c>
      <c r="H788" s="7">
        <f>'Respuestas de formulario 1'!S788</f>
        <v>2024</v>
      </c>
      <c r="I788" s="7" t="str">
        <f>IFERROR(__xludf.DUMMYFUNCTION("IF('Respuestas de formulario 1'!I788="""","""",TO_TEXT('Respuestas de formulario 1'!I788))"),"Obra social")</f>
        <v>Obra social</v>
      </c>
      <c r="J788" s="7" t="str">
        <f>IFERROR(__xludf.DUMMYFUNCTION("IF('Respuestas de formulario 1'!J788&lt;&gt;"""",UPPER(TRIM(TO_TEXT('Respuestas de formulario 1'!J788))),IF('Respuestas de formulario 1'!O788&lt;&gt;"""",UPPER(TRIM(TO_TEXT('Respuestas de formulario 1'!O788))),""""))"),"APROSS")</f>
        <v>APROSS</v>
      </c>
      <c r="K788" s="7" t="str">
        <f>IFERROR(__xludf.DUMMYFUNCTION("IF('Respuestas de formulario 1'!K788="""","""",TO_TEXT('Respuestas de formulario 1'!K788))"),"Si")</f>
        <v>Si</v>
      </c>
      <c r="L788" s="7" t="str">
        <f>IFERROR(__xludf.DUMMYFUNCTION("IF('Respuestas de formulario 1'!L788="""","""",TO_TEXT('Respuestas de formulario 1'!L788))"),"Voley")</f>
        <v>Voley</v>
      </c>
      <c r="M788" s="7" t="str">
        <f>IFERROR(__xludf.DUMMYFUNCTION("IF('Respuestas de formulario 1'!M788="""","""",TO_TEXT('Respuestas de formulario 1'!M788))"),"3 a 5 veces por semana")</f>
        <v>3 a 5 veces por semana</v>
      </c>
      <c r="N788" s="7">
        <f t="shared" si="1"/>
        <v>2024</v>
      </c>
      <c r="O788" s="7" t="str">
        <f t="shared" si="2"/>
        <v>noviembre</v>
      </c>
      <c r="P788" s="7" t="s">
        <v>5753</v>
      </c>
    </row>
    <row r="789">
      <c r="A789" s="19">
        <f>'Respuestas de formulario 1'!A789</f>
        <v>45628.50904</v>
      </c>
      <c r="B789" s="7" t="str">
        <f>'Respuestas de formulario 1'!B789</f>
        <v>Rosa</v>
      </c>
      <c r="C789" s="7" t="str">
        <f>'Respuestas de formulario 1'!C789</f>
        <v>Mirta</v>
      </c>
      <c r="D789" s="7" t="str">
        <f>'Respuestas de formulario 1'!D789</f>
        <v/>
      </c>
      <c r="E789" s="20">
        <f>'Respuestas de formulario 1'!E789</f>
        <v>18507</v>
      </c>
      <c r="F789" s="7">
        <f>'Respuestas de formulario 1'!F789</f>
        <v>6204156</v>
      </c>
      <c r="G789" s="7" t="str">
        <f>IFERROR(__xludf.DUMMYFUNCTION("IF('Respuestas de formulario 1'!G789="""","""",IF(LEFT(REGEXREPLACE(TO_TEXT('Respuestas de formulario 1'!G789),""[^0-9]"",""""),2)=""54"",""+""&amp;REGEXREPLACE(TO_TEXT('Respuestas de formulario 1'!G789),""[^0-9]"",""""),""+54""&amp;REGEXREPLACE(TO_TEXT('Respuest"&amp;"as de formulario 1'!G789),""[^0-9]"","""")))"),"+543514771372")</f>
        <v>+543514771372</v>
      </c>
      <c r="H789" s="7">
        <f>'Respuestas de formulario 1'!S789</f>
        <v>2024</v>
      </c>
      <c r="I789" s="7" t="str">
        <f>IFERROR(__xludf.DUMMYFUNCTION("IF('Respuestas de formulario 1'!I789="""","""",TO_TEXT('Respuestas de formulario 1'!I789))"),"Particular")</f>
        <v>Particular</v>
      </c>
      <c r="J789" s="7" t="str">
        <f>IFERROR(__xludf.DUMMYFUNCTION("IF('Respuestas de formulario 1'!J789&lt;&gt;"""",UPPER(TRIM(TO_TEXT('Respuestas de formulario 1'!J789))),IF('Respuestas de formulario 1'!O789&lt;&gt;"""",UPPER(TRIM(TO_TEXT('Respuestas de formulario 1'!O789))),""""))"),"")</f>
        <v/>
      </c>
      <c r="K789" s="7" t="str">
        <f>IFERROR(__xludf.DUMMYFUNCTION("IF('Respuestas de formulario 1'!K789="""","""",TO_TEXT('Respuestas de formulario 1'!K789))"),"No")</f>
        <v>No</v>
      </c>
      <c r="L789" s="7" t="str">
        <f>IFERROR(__xludf.DUMMYFUNCTION("IF('Respuestas de formulario 1'!L789="""","""",TO_TEXT('Respuestas de formulario 1'!L789))"),"")</f>
        <v/>
      </c>
      <c r="M789" s="7" t="str">
        <f>IFERROR(__xludf.DUMMYFUNCTION("IF('Respuestas de formulario 1'!M789="""","""",TO_TEXT('Respuestas de formulario 1'!M789))"),"")</f>
        <v/>
      </c>
      <c r="N789" s="7">
        <f t="shared" si="1"/>
        <v>2024</v>
      </c>
      <c r="O789" s="7" t="str">
        <f t="shared" si="2"/>
        <v>diciembre</v>
      </c>
      <c r="P789" s="7" t="s">
        <v>5755</v>
      </c>
    </row>
    <row r="790">
      <c r="A790" s="19">
        <f>'Respuestas de formulario 1'!A790</f>
        <v>45630.34584</v>
      </c>
      <c r="B790" s="7" t="str">
        <f>'Respuestas de formulario 1'!B790</f>
        <v>Abdala</v>
      </c>
      <c r="C790" s="7" t="str">
        <f>'Respuestas de formulario 1'!C790</f>
        <v>Gerardo</v>
      </c>
      <c r="D790" s="7" t="str">
        <f>'Respuestas de formulario 1'!D790</f>
        <v>gerardoabdala@gmail.com</v>
      </c>
      <c r="E790" s="20">
        <f>'Respuestas de formulario 1'!E790</f>
        <v>24937</v>
      </c>
      <c r="F790" s="7">
        <f>'Respuestas de formulario 1'!F790</f>
        <v>20268672</v>
      </c>
      <c r="G790" s="7" t="str">
        <f>IFERROR(__xludf.DUMMYFUNCTION("IF('Respuestas de formulario 1'!G790="""","""",IF(LEFT(REGEXREPLACE(TO_TEXT('Respuestas de formulario 1'!G790),""[^0-9]"",""""),2)=""54"",""+""&amp;REGEXREPLACE(TO_TEXT('Respuestas de formulario 1'!G790),""[^0-9]"",""""),""+54""&amp;REGEXREPLACE(TO_TEXT('Respuest"&amp;"as de formulario 1'!G790),""[^0-9]"","""")))"),"+543515113925")</f>
        <v>+543515113925</v>
      </c>
      <c r="H790" s="7">
        <f>'Respuestas de formulario 1'!S790</f>
        <v>2024</v>
      </c>
      <c r="I790" s="7" t="str">
        <f>IFERROR(__xludf.DUMMYFUNCTION("IF('Respuestas de formulario 1'!I790="""","""",TO_TEXT('Respuestas de formulario 1'!I790))"),"Obra social")</f>
        <v>Obra social</v>
      </c>
      <c r="J790" s="7" t="str">
        <f>IFERROR(__xludf.DUMMYFUNCTION("IF('Respuestas de formulario 1'!J790&lt;&gt;"""",UPPER(TRIM(TO_TEXT('Respuestas de formulario 1'!J790))),IF('Respuestas de formulario 1'!O790&lt;&gt;"""",UPPER(TRIM(TO_TEXT('Respuestas de formulario 1'!O790))),""""))"),"OSDE")</f>
        <v>OSDE</v>
      </c>
      <c r="K790" s="7" t="str">
        <f>IFERROR(__xludf.DUMMYFUNCTION("IF('Respuestas de formulario 1'!K790="""","""",TO_TEXT('Respuestas de formulario 1'!K790))"),"Si")</f>
        <v>Si</v>
      </c>
      <c r="L790" s="7" t="str">
        <f>IFERROR(__xludf.DUMMYFUNCTION("IF('Respuestas de formulario 1'!L790="""","""",TO_TEXT('Respuestas de formulario 1'!L790))"),"Running")</f>
        <v>Running</v>
      </c>
      <c r="M790" s="7" t="str">
        <f>IFERROR(__xludf.DUMMYFUNCTION("IF('Respuestas de formulario 1'!M790="""","""",TO_TEXT('Respuestas de formulario 1'!M790))"),"3 a 5 veces por semana")</f>
        <v>3 a 5 veces por semana</v>
      </c>
      <c r="N790" s="7">
        <f t="shared" si="1"/>
        <v>2024</v>
      </c>
      <c r="O790" s="7" t="str">
        <f t="shared" si="2"/>
        <v>diciembre</v>
      </c>
      <c r="P790" s="7" t="s">
        <v>5757</v>
      </c>
    </row>
    <row r="791">
      <c r="A791" s="19">
        <f>'Respuestas de formulario 1'!A791</f>
        <v>45630.68123</v>
      </c>
      <c r="B791" s="7" t="str">
        <f>'Respuestas de formulario 1'!B791</f>
        <v>Pesse</v>
      </c>
      <c r="C791" s="7" t="str">
        <f>'Respuestas de formulario 1'!C791</f>
        <v>Nelson</v>
      </c>
      <c r="D791" s="7" t="str">
        <f>'Respuestas de formulario 1'!D791</f>
        <v/>
      </c>
      <c r="E791" s="20">
        <f>'Respuestas de formulario 1'!E791</f>
        <v>27946</v>
      </c>
      <c r="F791" s="7">
        <f>'Respuestas de formulario 1'!F791</f>
        <v>25288236</v>
      </c>
      <c r="G791" s="7" t="str">
        <f>IFERROR(__xludf.DUMMYFUNCTION("IF('Respuestas de formulario 1'!G791="""","""",IF(LEFT(REGEXREPLACE(TO_TEXT('Respuestas de formulario 1'!G791),""[^0-9]"",""""),2)=""54"",""+""&amp;REGEXREPLACE(TO_TEXT('Respuestas de formulario 1'!G791),""[^0-9]"",""""),""+54""&amp;REGEXREPLACE(TO_TEXT('Respuest"&amp;"as de formulario 1'!G791),""[^0-9]"","""")))"),"+543454010455")</f>
        <v>+543454010455</v>
      </c>
      <c r="H791" s="7">
        <f>'Respuestas de formulario 1'!S791</f>
        <v>2024</v>
      </c>
      <c r="I791" s="7" t="str">
        <f>IFERROR(__xludf.DUMMYFUNCTION("IF('Respuestas de formulario 1'!I791="""","""",TO_TEXT('Respuestas de formulario 1'!I791))"),"Particular")</f>
        <v>Particular</v>
      </c>
      <c r="J791" s="7" t="str">
        <f>IFERROR(__xludf.DUMMYFUNCTION("IF('Respuestas de formulario 1'!J791&lt;&gt;"""",UPPER(TRIM(TO_TEXT('Respuestas de formulario 1'!J791))),IF('Respuestas de formulario 1'!O791&lt;&gt;"""",UPPER(TRIM(TO_TEXT('Respuestas de formulario 1'!O791))),""""))"),"")</f>
        <v/>
      </c>
      <c r="K791" s="7" t="str">
        <f>IFERROR(__xludf.DUMMYFUNCTION("IF('Respuestas de formulario 1'!K791="""","""",TO_TEXT('Respuestas de formulario 1'!K791))"),"Si")</f>
        <v>Si</v>
      </c>
      <c r="L791" s="7" t="str">
        <f>IFERROR(__xludf.DUMMYFUNCTION("IF('Respuestas de formulario 1'!L791="""","""",TO_TEXT('Respuestas de formulario 1'!L791))"),"")</f>
        <v/>
      </c>
      <c r="M791" s="7" t="str">
        <f>IFERROR(__xludf.DUMMYFUNCTION("IF('Respuestas de formulario 1'!M791="""","""",TO_TEXT('Respuestas de formulario 1'!M791))"),"3 a 5 veces por semana")</f>
        <v>3 a 5 veces por semana</v>
      </c>
      <c r="N791" s="7">
        <f t="shared" si="1"/>
        <v>2024</v>
      </c>
      <c r="O791" s="7" t="str">
        <f t="shared" si="2"/>
        <v>diciembre</v>
      </c>
      <c r="P791" s="7" t="s">
        <v>5759</v>
      </c>
    </row>
    <row r="792">
      <c r="A792" s="19">
        <f>'Respuestas de formulario 1'!A792</f>
        <v>45631.54479</v>
      </c>
      <c r="B792" s="7" t="str">
        <f>'Respuestas de formulario 1'!B792</f>
        <v>Cáceres Medina </v>
      </c>
      <c r="C792" s="7" t="str">
        <f>'Respuestas de formulario 1'!C792</f>
        <v>Aisquiel </v>
      </c>
      <c r="D792" s="7" t="str">
        <f>'Respuestas de formulario 1'!D792</f>
        <v>mariang199113@gmail.com</v>
      </c>
      <c r="E792" s="20">
        <f>'Respuestas de formulario 1'!E792</f>
        <v>22327</v>
      </c>
      <c r="F792" s="7">
        <f>'Respuestas de formulario 1'!F792</f>
        <v>96372555</v>
      </c>
      <c r="G792" s="7" t="str">
        <f>IFERROR(__xludf.DUMMYFUNCTION("IF('Respuestas de formulario 1'!G792="""","""",IF(LEFT(REGEXREPLACE(TO_TEXT('Respuestas de formulario 1'!G792),""[^0-9]"",""""),2)=""54"",""+""&amp;REGEXREPLACE(TO_TEXT('Respuestas de formulario 1'!G792),""[^0-9]"",""""),""+54""&amp;REGEXREPLACE(TO_TEXT('Respuest"&amp;"as de formulario 1'!G792),""[^0-9]"","""")))"),"+543512135972")</f>
        <v>+543512135972</v>
      </c>
      <c r="H792" s="7">
        <f>'Respuestas de formulario 1'!S792</f>
        <v>2024</v>
      </c>
      <c r="I792" s="7" t="str">
        <f>IFERROR(__xludf.DUMMYFUNCTION("IF('Respuestas de formulario 1'!I792="""","""",TO_TEXT('Respuestas de formulario 1'!I792))"),"Particular")</f>
        <v>Particular</v>
      </c>
      <c r="J792" s="7" t="str">
        <f>IFERROR(__xludf.DUMMYFUNCTION("IF('Respuestas de formulario 1'!J792&lt;&gt;"""",UPPER(TRIM(TO_TEXT('Respuestas de formulario 1'!J792))),IF('Respuestas de formulario 1'!O792&lt;&gt;"""",UPPER(TRIM(TO_TEXT('Respuestas de formulario 1'!O792))),""""))"),"")</f>
        <v/>
      </c>
      <c r="K792" s="7" t="str">
        <f>IFERROR(__xludf.DUMMYFUNCTION("IF('Respuestas de formulario 1'!K792="""","""",TO_TEXT('Respuestas de formulario 1'!K792))"),"Si")</f>
        <v>Si</v>
      </c>
      <c r="L792" s="7" t="str">
        <f>IFERROR(__xludf.DUMMYFUNCTION("IF('Respuestas de formulario 1'!L792="""","""",TO_TEXT('Respuestas de formulario 1'!L792))"),"Zumba")</f>
        <v>Zumba</v>
      </c>
      <c r="M792" s="7" t="str">
        <f>IFERROR(__xludf.DUMMYFUNCTION("IF('Respuestas de formulario 1'!M792="""","""",TO_TEXT('Respuestas de formulario 1'!M792))"),"1 a 2 veces por semana")</f>
        <v>1 a 2 veces por semana</v>
      </c>
      <c r="N792" s="7">
        <f t="shared" si="1"/>
        <v>2024</v>
      </c>
      <c r="O792" s="7" t="str">
        <f t="shared" si="2"/>
        <v>diciembre</v>
      </c>
      <c r="P792" s="7" t="s">
        <v>5761</v>
      </c>
    </row>
    <row r="793">
      <c r="A793" s="19">
        <f>'Respuestas de formulario 1'!A793</f>
        <v>45631.63436</v>
      </c>
      <c r="B793" s="7" t="str">
        <f>'Respuestas de formulario 1'!B793</f>
        <v>Gonzalez</v>
      </c>
      <c r="C793" s="7" t="str">
        <f>'Respuestas de formulario 1'!C793</f>
        <v>Claudio alejandro</v>
      </c>
      <c r="D793" s="7" t="str">
        <f>'Respuestas de formulario 1'!D793</f>
        <v>clauditoo1993@gmail.com</v>
      </c>
      <c r="E793" s="20">
        <f>'Respuestas de formulario 1'!E793</f>
        <v>34175</v>
      </c>
      <c r="F793" s="7">
        <f>'Respuestas de formulario 1'!F793</f>
        <v>37820795</v>
      </c>
      <c r="G793" s="7" t="str">
        <f>IFERROR(__xludf.DUMMYFUNCTION("IF('Respuestas de formulario 1'!G793="""","""",IF(LEFT(REGEXREPLACE(TO_TEXT('Respuestas de formulario 1'!G793),""[^0-9]"",""""),2)=""54"",""+""&amp;REGEXREPLACE(TO_TEXT('Respuestas de formulario 1'!G793),""[^0-9]"",""""),""+54""&amp;REGEXREPLACE(TO_TEXT('Respuest"&amp;"as de formulario 1'!G793),""[^0-9]"","""")))"),"+543516338709")</f>
        <v>+543516338709</v>
      </c>
      <c r="H793" s="7">
        <f>'Respuestas de formulario 1'!S793</f>
        <v>2024</v>
      </c>
      <c r="I793" s="7" t="str">
        <f>IFERROR(__xludf.DUMMYFUNCTION("IF('Respuestas de formulario 1'!I793="""","""",TO_TEXT('Respuestas de formulario 1'!I793))"),"Particular")</f>
        <v>Particular</v>
      </c>
      <c r="J793" s="7" t="str">
        <f>IFERROR(__xludf.DUMMYFUNCTION("IF('Respuestas de formulario 1'!J793&lt;&gt;"""",UPPER(TRIM(TO_TEXT('Respuestas de formulario 1'!J793))),IF('Respuestas de formulario 1'!O793&lt;&gt;"""",UPPER(TRIM(TO_TEXT('Respuestas de formulario 1'!O793))),""""))"),"")</f>
        <v/>
      </c>
      <c r="K793" s="7" t="str">
        <f>IFERROR(__xludf.DUMMYFUNCTION("IF('Respuestas de formulario 1'!K793="""","""",TO_TEXT('Respuestas de formulario 1'!K793))"),"Si")</f>
        <v>Si</v>
      </c>
      <c r="L793" s="7" t="str">
        <f>IFERROR(__xludf.DUMMYFUNCTION("IF('Respuestas de formulario 1'!L793="""","""",TO_TEXT('Respuestas de formulario 1'!L793))"),"Fútbol")</f>
        <v>Fútbol</v>
      </c>
      <c r="M793" s="7" t="str">
        <f>IFERROR(__xludf.DUMMYFUNCTION("IF('Respuestas de formulario 1'!M793="""","""",TO_TEXT('Respuestas de formulario 1'!M793))"),"3 a 5 veces por semana")</f>
        <v>3 a 5 veces por semana</v>
      </c>
      <c r="N793" s="7">
        <f t="shared" si="1"/>
        <v>2024</v>
      </c>
      <c r="O793" s="7" t="str">
        <f t="shared" si="2"/>
        <v>diciembre</v>
      </c>
      <c r="P793" s="7" t="s">
        <v>5763</v>
      </c>
    </row>
    <row r="794">
      <c r="A794" s="19">
        <f>'Respuestas de formulario 1'!A794</f>
        <v>45634.82082</v>
      </c>
      <c r="B794" s="7" t="str">
        <f>'Respuestas de formulario 1'!B794</f>
        <v>PALENCIA</v>
      </c>
      <c r="C794" s="7" t="str">
        <f>'Respuestas de formulario 1'!C794</f>
        <v>FABIO</v>
      </c>
      <c r="D794" s="7" t="str">
        <f>'Respuestas de formulario 1'!D794</f>
        <v>fabiopalencia9@hotmail.com</v>
      </c>
      <c r="E794" s="20">
        <f>'Respuestas de formulario 1'!E794</f>
        <v>30981</v>
      </c>
      <c r="F794" s="7">
        <f>'Respuestas de formulario 1'!F794</f>
        <v>31058100</v>
      </c>
      <c r="G794" s="7" t="str">
        <f>IFERROR(__xludf.DUMMYFUNCTION("IF('Respuestas de formulario 1'!G794="""","""",IF(LEFT(REGEXREPLACE(TO_TEXT('Respuestas de formulario 1'!G794),""[^0-9]"",""""),2)=""54"",""+""&amp;REGEXREPLACE(TO_TEXT('Respuestas de formulario 1'!G794),""[^0-9]"",""""),""+54""&amp;REGEXREPLACE(TO_TEXT('Respuest"&amp;"as de formulario 1'!G794),""[^0-9]"","""")))"),"+543516606695")</f>
        <v>+543516606695</v>
      </c>
      <c r="H794" s="7">
        <f>'Respuestas de formulario 1'!S794</f>
        <v>2024</v>
      </c>
      <c r="I794" s="7" t="str">
        <f>IFERROR(__xludf.DUMMYFUNCTION("IF('Respuestas de formulario 1'!I794="""","""",TO_TEXT('Respuestas de formulario 1'!I794))"),"Particular")</f>
        <v>Particular</v>
      </c>
      <c r="J794" s="7" t="str">
        <f>IFERROR(__xludf.DUMMYFUNCTION("IF('Respuestas de formulario 1'!J794&lt;&gt;"""",UPPER(TRIM(TO_TEXT('Respuestas de formulario 1'!J794))),IF('Respuestas de formulario 1'!O794&lt;&gt;"""",UPPER(TRIM(TO_TEXT('Respuestas de formulario 1'!O794))),""""))"),"")</f>
        <v/>
      </c>
      <c r="K794" s="7" t="str">
        <f>IFERROR(__xludf.DUMMYFUNCTION("IF('Respuestas de formulario 1'!K794="""","""",TO_TEXT('Respuestas de formulario 1'!K794))"),"Si")</f>
        <v>Si</v>
      </c>
      <c r="L794" s="7" t="str">
        <f>IFERROR(__xludf.DUMMYFUNCTION("IF('Respuestas de formulario 1'!L794="""","""",TO_TEXT('Respuestas de formulario 1'!L794))"),"Fútbol")</f>
        <v>Fútbol</v>
      </c>
      <c r="M794" s="7" t="str">
        <f>IFERROR(__xludf.DUMMYFUNCTION("IF('Respuestas de formulario 1'!M794="""","""",TO_TEXT('Respuestas de formulario 1'!M794))"),"3 a 5 veces por semana")</f>
        <v>3 a 5 veces por semana</v>
      </c>
      <c r="N794" s="7">
        <f t="shared" si="1"/>
        <v>2024</v>
      </c>
      <c r="O794" s="7" t="str">
        <f t="shared" si="2"/>
        <v>diciembre</v>
      </c>
      <c r="P794" s="7" t="s">
        <v>5765</v>
      </c>
    </row>
    <row r="795">
      <c r="A795" s="19">
        <f>'Respuestas de formulario 1'!A795</f>
        <v>45635.44894</v>
      </c>
      <c r="B795" s="7" t="str">
        <f>'Respuestas de formulario 1'!B795</f>
        <v>Gianotti Katsuda </v>
      </c>
      <c r="C795" s="7" t="str">
        <f>'Respuestas de formulario 1'!C795</f>
        <v>Maximiliano </v>
      </c>
      <c r="D795" s="7" t="str">
        <f>'Respuestas de formulario 1'!D795</f>
        <v>cheto004@hotmail.com</v>
      </c>
      <c r="E795" s="20">
        <f>'Respuestas de formulario 1'!E795</f>
        <v>29364</v>
      </c>
      <c r="F795" s="7">
        <f>'Respuestas de formulario 1'!F795</f>
        <v>28116252</v>
      </c>
      <c r="G795" s="7" t="str">
        <f>IFERROR(__xludf.DUMMYFUNCTION("IF('Respuestas de formulario 1'!G795="""","""",IF(LEFT(REGEXREPLACE(TO_TEXT('Respuestas de formulario 1'!G795),""[^0-9]"",""""),2)=""54"",""+""&amp;REGEXREPLACE(TO_TEXT('Respuestas de formulario 1'!G795),""[^0-9]"",""""),""+54""&amp;REGEXREPLACE(TO_TEXT('Respuest"&amp;"as de formulario 1'!G795),""[^0-9]"","""")))"),"+54346796283143515063219")</f>
        <v>+54346796283143515063219</v>
      </c>
      <c r="H795" s="7">
        <f>'Respuestas de formulario 1'!S795</f>
        <v>2024</v>
      </c>
      <c r="I795" s="7" t="str">
        <f>IFERROR(__xludf.DUMMYFUNCTION("IF('Respuestas de formulario 1'!I795="""","""",TO_TEXT('Respuestas de formulario 1'!I795))"),"Particular")</f>
        <v>Particular</v>
      </c>
      <c r="J795" s="7" t="str">
        <f>IFERROR(__xludf.DUMMYFUNCTION("IF('Respuestas de formulario 1'!J795&lt;&gt;"""",UPPER(TRIM(TO_TEXT('Respuestas de formulario 1'!J795))),IF('Respuestas de formulario 1'!O795&lt;&gt;"""",UPPER(TRIM(TO_TEXT('Respuestas de formulario 1'!O795))),""""))"),"")</f>
        <v/>
      </c>
      <c r="K795" s="7" t="str">
        <f>IFERROR(__xludf.DUMMYFUNCTION("IF('Respuestas de formulario 1'!K795="""","""",TO_TEXT('Respuestas de formulario 1'!K795))"),"Si")</f>
        <v>Si</v>
      </c>
      <c r="L795" s="7" t="str">
        <f>IFERROR(__xludf.DUMMYFUNCTION("IF('Respuestas de formulario 1'!L795="""","""",TO_TEXT('Respuestas de formulario 1'!L795))"),"Gimnasio")</f>
        <v>Gimnasio</v>
      </c>
      <c r="M795" s="7" t="str">
        <f>IFERROR(__xludf.DUMMYFUNCTION("IF('Respuestas de formulario 1'!M795="""","""",TO_TEXT('Respuestas de formulario 1'!M795))"),"1 a 2 veces por semana")</f>
        <v>1 a 2 veces por semana</v>
      </c>
      <c r="N795" s="7">
        <f t="shared" si="1"/>
        <v>2024</v>
      </c>
      <c r="O795" s="7" t="str">
        <f t="shared" si="2"/>
        <v>diciembre</v>
      </c>
      <c r="P795" s="7" t="s">
        <v>5767</v>
      </c>
    </row>
    <row r="796">
      <c r="A796" s="19">
        <f>'Respuestas de formulario 1'!A796</f>
        <v>45635.65956</v>
      </c>
      <c r="B796" s="7" t="str">
        <f>'Respuestas de formulario 1'!B796</f>
        <v>Kwiecien</v>
      </c>
      <c r="C796" s="7" t="str">
        <f>'Respuestas de formulario 1'!C796</f>
        <v>Adriana Graciela </v>
      </c>
      <c r="D796" s="7" t="str">
        <f>'Respuestas de formulario 1'!D796</f>
        <v>adriana_graciela09@hotmail.com</v>
      </c>
      <c r="E796" s="20">
        <f>'Respuestas de formulario 1'!E796</f>
        <v>20514</v>
      </c>
      <c r="F796" s="7">
        <f>'Respuestas de formulario 1'!F796</f>
        <v>12245397</v>
      </c>
      <c r="G796" s="7" t="str">
        <f>IFERROR(__xludf.DUMMYFUNCTION("IF('Respuestas de formulario 1'!G796="""","""",IF(LEFT(REGEXREPLACE(TO_TEXT('Respuestas de formulario 1'!G796),""[^0-9]"",""""),2)=""54"",""+""&amp;REGEXREPLACE(TO_TEXT('Respuestas de formulario 1'!G796),""[^0-9]"",""""),""+54""&amp;REGEXREPLACE(TO_TEXT('Respuest"&amp;"as de formulario 1'!G796),""[^0-9]"","""")))"),"+543512366066")</f>
        <v>+543512366066</v>
      </c>
      <c r="H796" s="7">
        <f>'Respuestas de formulario 1'!S796</f>
        <v>2024</v>
      </c>
      <c r="I796" s="7" t="str">
        <f>IFERROR(__xludf.DUMMYFUNCTION("IF('Respuestas de formulario 1'!I796="""","""",TO_TEXT('Respuestas de formulario 1'!I796))"),"Obra social")</f>
        <v>Obra social</v>
      </c>
      <c r="J796" s="7" t="str">
        <f>IFERROR(__xludf.DUMMYFUNCTION("IF('Respuestas de formulario 1'!J796&lt;&gt;"""",UPPER(TRIM(TO_TEXT('Respuestas de formulario 1'!J796))),IF('Respuestas de formulario 1'!O796&lt;&gt;"""",UPPER(TRIM(TO_TEXT('Respuestas de formulario 1'!O796))),""""))"),"APROSS")</f>
        <v>APROSS</v>
      </c>
      <c r="K796" s="7" t="str">
        <f>IFERROR(__xludf.DUMMYFUNCTION("IF('Respuestas de formulario 1'!K796="""","""",TO_TEXT('Respuestas de formulario 1'!K796))"),"Si")</f>
        <v>Si</v>
      </c>
      <c r="L796" s="7" t="str">
        <f>IFERROR(__xludf.DUMMYFUNCTION("IF('Respuestas de formulario 1'!L796="""","""",TO_TEXT('Respuestas de formulario 1'!L796))"),"Pileta")</f>
        <v>Pileta</v>
      </c>
      <c r="M796" s="7" t="str">
        <f>IFERROR(__xludf.DUMMYFUNCTION("IF('Respuestas de formulario 1'!M796="""","""",TO_TEXT('Respuestas de formulario 1'!M796))"),"1 a 2 veces por semana")</f>
        <v>1 a 2 veces por semana</v>
      </c>
      <c r="N796" s="7">
        <f t="shared" si="1"/>
        <v>2024</v>
      </c>
      <c r="O796" s="7" t="str">
        <f t="shared" si="2"/>
        <v>diciembre</v>
      </c>
      <c r="P796" s="7" t="s">
        <v>5769</v>
      </c>
    </row>
    <row r="797">
      <c r="A797" s="19">
        <f>'Respuestas de formulario 1'!A797</f>
        <v>45635.78943</v>
      </c>
      <c r="B797" s="7" t="str">
        <f>'Respuestas de formulario 1'!B797</f>
        <v>Ledesma</v>
      </c>
      <c r="C797" s="7" t="str">
        <f>'Respuestas de formulario 1'!C797</f>
        <v>Sebastián</v>
      </c>
      <c r="D797" s="7" t="str">
        <f>'Respuestas de formulario 1'!D797</f>
        <v>Ledesmasebastian@hotmail.es</v>
      </c>
      <c r="E797" s="20">
        <f>'Respuestas de formulario 1'!E797</f>
        <v>27445</v>
      </c>
      <c r="F797" s="7">
        <f>'Respuestas de formulario 1'!F797</f>
        <v>24318363</v>
      </c>
      <c r="G797" s="7" t="str">
        <f>IFERROR(__xludf.DUMMYFUNCTION("IF('Respuestas de formulario 1'!G797="""","""",IF(LEFT(REGEXREPLACE(TO_TEXT('Respuestas de formulario 1'!G797),""[^0-9]"",""""),2)=""54"",""+""&amp;REGEXREPLACE(TO_TEXT('Respuestas de formulario 1'!G797),""[^0-9]"",""""),""+54""&amp;REGEXREPLACE(TO_TEXT('Respuest"&amp;"as de formulario 1'!G797),""[^0-9]"","""")))"),"+543516191977")</f>
        <v>+543516191977</v>
      </c>
      <c r="H797" s="7">
        <f>'Respuestas de formulario 1'!S797</f>
        <v>2024</v>
      </c>
      <c r="I797" s="7" t="str">
        <f>IFERROR(__xludf.DUMMYFUNCTION("IF('Respuestas de formulario 1'!I797="""","""",TO_TEXT('Respuestas de formulario 1'!I797))"),"Obra social")</f>
        <v>Obra social</v>
      </c>
      <c r="J797" s="7" t="str">
        <f>IFERROR(__xludf.DUMMYFUNCTION("IF('Respuestas de formulario 1'!J797&lt;&gt;"""",UPPER(TRIM(TO_TEXT('Respuestas de formulario 1'!J797))),IF('Respuestas de formulario 1'!O797&lt;&gt;"""",UPPER(TRIM(TO_TEXT('Respuestas de formulario 1'!O797))),""""))"),"BOREAL")</f>
        <v>BOREAL</v>
      </c>
      <c r="K797" s="7" t="str">
        <f>IFERROR(__xludf.DUMMYFUNCTION("IF('Respuestas de formulario 1'!K797="""","""",TO_TEXT('Respuestas de formulario 1'!K797))"),"No")</f>
        <v>No</v>
      </c>
      <c r="L797" s="7" t="str">
        <f>IFERROR(__xludf.DUMMYFUNCTION("IF('Respuestas de formulario 1'!L797="""","""",TO_TEXT('Respuestas de formulario 1'!L797))"),"")</f>
        <v/>
      </c>
      <c r="M797" s="7" t="str">
        <f>IFERROR(__xludf.DUMMYFUNCTION("IF('Respuestas de formulario 1'!M797="""","""",TO_TEXT('Respuestas de formulario 1'!M797))"),"")</f>
        <v/>
      </c>
      <c r="N797" s="7">
        <f t="shared" si="1"/>
        <v>2024</v>
      </c>
      <c r="O797" s="7" t="str">
        <f t="shared" si="2"/>
        <v>diciembre</v>
      </c>
      <c r="P797" s="7" t="s">
        <v>5771</v>
      </c>
    </row>
    <row r="798">
      <c r="A798" s="19">
        <f>'Respuestas de formulario 1'!A798</f>
        <v>45635.79125</v>
      </c>
      <c r="B798" s="7" t="str">
        <f>'Respuestas de formulario 1'!B798</f>
        <v>Ledesma</v>
      </c>
      <c r="C798" s="7" t="str">
        <f>'Respuestas de formulario 1'!C798</f>
        <v>Sebastian</v>
      </c>
      <c r="D798" s="7" t="str">
        <f>'Respuestas de formulario 1'!D798</f>
        <v>ledesmasebastian@hotmail.es</v>
      </c>
      <c r="E798" s="20">
        <f>'Respuestas de formulario 1'!E798</f>
        <v>27445</v>
      </c>
      <c r="F798" s="7">
        <f>'Respuestas de formulario 1'!F798</f>
        <v>24318363</v>
      </c>
      <c r="G798" s="7" t="str">
        <f>IFERROR(__xludf.DUMMYFUNCTION("IF('Respuestas de formulario 1'!G798="""","""",IF(LEFT(REGEXREPLACE(TO_TEXT('Respuestas de formulario 1'!G798),""[^0-9]"",""""),2)=""54"",""+""&amp;REGEXREPLACE(TO_TEXT('Respuestas de formulario 1'!G798),""[^0-9]"",""""),""+54""&amp;REGEXREPLACE(TO_TEXT('Respuest"&amp;"as de formulario 1'!G798),""[^0-9]"","""")))"),"+543516191977")</f>
        <v>+543516191977</v>
      </c>
      <c r="H798" s="7">
        <f>'Respuestas de formulario 1'!S798</f>
        <v>2024</v>
      </c>
      <c r="I798" s="7" t="str">
        <f>IFERROR(__xludf.DUMMYFUNCTION("IF('Respuestas de formulario 1'!I798="""","""",TO_TEXT('Respuestas de formulario 1'!I798))"),"Obra social")</f>
        <v>Obra social</v>
      </c>
      <c r="J798" s="7" t="str">
        <f>IFERROR(__xludf.DUMMYFUNCTION("IF('Respuestas de formulario 1'!J798&lt;&gt;"""",UPPER(TRIM(TO_TEXT('Respuestas de formulario 1'!J798))),IF('Respuestas de formulario 1'!O798&lt;&gt;"""",UPPER(TRIM(TO_TEXT('Respuestas de formulario 1'!O798))),""""))"),"BOREAL")</f>
        <v>BOREAL</v>
      </c>
      <c r="K798" s="7" t="str">
        <f>IFERROR(__xludf.DUMMYFUNCTION("IF('Respuestas de formulario 1'!K798="""","""",TO_TEXT('Respuestas de formulario 1'!K798))"),"No")</f>
        <v>No</v>
      </c>
      <c r="L798" s="7" t="str">
        <f>IFERROR(__xludf.DUMMYFUNCTION("IF('Respuestas de formulario 1'!L798="""","""",TO_TEXT('Respuestas de formulario 1'!L798))"),"")</f>
        <v/>
      </c>
      <c r="M798" s="7" t="str">
        <f>IFERROR(__xludf.DUMMYFUNCTION("IF('Respuestas de formulario 1'!M798="""","""",TO_TEXT('Respuestas de formulario 1'!M798))"),"")</f>
        <v/>
      </c>
      <c r="N798" s="7">
        <f t="shared" si="1"/>
        <v>2024</v>
      </c>
      <c r="O798" s="7" t="str">
        <f t="shared" si="2"/>
        <v>diciembre</v>
      </c>
      <c r="P798" s="7" t="s">
        <v>5773</v>
      </c>
    </row>
    <row r="799">
      <c r="A799" s="19">
        <f>'Respuestas de formulario 1'!A799</f>
        <v>45636.449</v>
      </c>
      <c r="B799" s="7" t="str">
        <f>'Respuestas de formulario 1'!B799</f>
        <v>Anain</v>
      </c>
      <c r="C799" s="7" t="str">
        <f>'Respuestas de formulario 1'!C799</f>
        <v>Juan</v>
      </c>
      <c r="D799" s="7" t="str">
        <f>'Respuestas de formulario 1'!D799</f>
        <v>juanchi107@hotmail.com</v>
      </c>
      <c r="E799" s="20">
        <f>'Respuestas de formulario 1'!E799</f>
        <v>29748</v>
      </c>
      <c r="F799" s="7">
        <f>'Respuestas de formulario 1'!F799</f>
        <v>28850674</v>
      </c>
      <c r="G799" s="7" t="str">
        <f>IFERROR(__xludf.DUMMYFUNCTION("IF('Respuestas de formulario 1'!G799="""","""",IF(LEFT(REGEXREPLACE(TO_TEXT('Respuestas de formulario 1'!G799),""[^0-9]"",""""),2)=""54"",""+""&amp;REGEXREPLACE(TO_TEXT('Respuestas de formulario 1'!G799),""[^0-9]"",""""),""+54""&amp;REGEXREPLACE(TO_TEXT('Respuest"&amp;"as de formulario 1'!G799),""[^0-9]"","""")))"),"+543516778033")</f>
        <v>+543516778033</v>
      </c>
      <c r="H799" s="7">
        <f>'Respuestas de formulario 1'!S799</f>
        <v>2024</v>
      </c>
      <c r="I799" s="7" t="str">
        <f>IFERROR(__xludf.DUMMYFUNCTION("IF('Respuestas de formulario 1'!I799="""","""",TO_TEXT('Respuestas de formulario 1'!I799))"),"Obra social")</f>
        <v>Obra social</v>
      </c>
      <c r="J799" s="7" t="str">
        <f>IFERROR(__xludf.DUMMYFUNCTION("IF('Respuestas de formulario 1'!J799&lt;&gt;"""",UPPER(TRIM(TO_TEXT('Respuestas de formulario 1'!J799))),IF('Respuestas de formulario 1'!O799&lt;&gt;"""",UPPER(TRIM(TO_TEXT('Respuestas de formulario 1'!O799))),""""))"),"SANCOR")</f>
        <v>SANCOR</v>
      </c>
      <c r="K799" s="7" t="str">
        <f>IFERROR(__xludf.DUMMYFUNCTION("IF('Respuestas de formulario 1'!K799="""","""",TO_TEXT('Respuestas de formulario 1'!K799))"),"Si")</f>
        <v>Si</v>
      </c>
      <c r="L799" s="7" t="str">
        <f>IFERROR(__xludf.DUMMYFUNCTION("IF('Respuestas de formulario 1'!L799="""","""",TO_TEXT('Respuestas de formulario 1'!L799))"),"Running")</f>
        <v>Running</v>
      </c>
      <c r="M799" s="7" t="str">
        <f>IFERROR(__xludf.DUMMYFUNCTION("IF('Respuestas de formulario 1'!M799="""","""",TO_TEXT('Respuestas de formulario 1'!M799))"),"3 a 5 veces por semana")</f>
        <v>3 a 5 veces por semana</v>
      </c>
      <c r="N799" s="7">
        <f t="shared" si="1"/>
        <v>2024</v>
      </c>
      <c r="O799" s="7" t="str">
        <f t="shared" si="2"/>
        <v>diciembre</v>
      </c>
      <c r="P799" s="7" t="s">
        <v>5774</v>
      </c>
    </row>
    <row r="800">
      <c r="A800" s="19">
        <f>'Respuestas de formulario 1'!A800</f>
        <v>45636.46641</v>
      </c>
      <c r="B800" s="7" t="str">
        <f>'Respuestas de formulario 1'!B800</f>
        <v>Bonifay</v>
      </c>
      <c r="C800" s="7" t="str">
        <f>'Respuestas de formulario 1'!C800</f>
        <v>Ary</v>
      </c>
      <c r="D800" s="7" t="str">
        <f>'Respuestas de formulario 1'!D800</f>
        <v>ary.bonifay@gmail.com</v>
      </c>
      <c r="E800" s="20">
        <f>'Respuestas de formulario 1'!E800</f>
        <v>30736</v>
      </c>
      <c r="F800" s="7">
        <f>'Respuestas de formulario 1'!F800</f>
        <v>30846039</v>
      </c>
      <c r="G800" s="7" t="str">
        <f>IFERROR(__xludf.DUMMYFUNCTION("IF('Respuestas de formulario 1'!G800="""","""",IF(LEFT(REGEXREPLACE(TO_TEXT('Respuestas de formulario 1'!G800),""[^0-9]"",""""),2)=""54"",""+""&amp;REGEXREPLACE(TO_TEXT('Respuestas de formulario 1'!G800),""[^0-9]"",""""),""+54""&amp;REGEXREPLACE(TO_TEXT('Respuest"&amp;"as de formulario 1'!G800),""[^0-9]"","""")))"),"+543513974867")</f>
        <v>+543513974867</v>
      </c>
      <c r="H800" s="7">
        <f>'Respuestas de formulario 1'!S800</f>
        <v>2024</v>
      </c>
      <c r="I800" s="7" t="str">
        <f>IFERROR(__xludf.DUMMYFUNCTION("IF('Respuestas de formulario 1'!I800="""","""",TO_TEXT('Respuestas de formulario 1'!I800))"),"Obra social")</f>
        <v>Obra social</v>
      </c>
      <c r="J800" s="7" t="str">
        <f>IFERROR(__xludf.DUMMYFUNCTION("IF('Respuestas de formulario 1'!J800&lt;&gt;"""",UPPER(TRIM(TO_TEXT('Respuestas de formulario 1'!J800))),IF('Respuestas de formulario 1'!O800&lt;&gt;"""",UPPER(TRIM(TO_TEXT('Respuestas de formulario 1'!O800))),""""))"),"SWISS")</f>
        <v>SWISS</v>
      </c>
      <c r="K800" s="7" t="str">
        <f>IFERROR(__xludf.DUMMYFUNCTION("IF('Respuestas de formulario 1'!K800="""","""",TO_TEXT('Respuestas de formulario 1'!K800))"),"Si")</f>
        <v>Si</v>
      </c>
      <c r="L800" s="7" t="str">
        <f>IFERROR(__xludf.DUMMYFUNCTION("IF('Respuestas de formulario 1'!L800="""","""",TO_TEXT('Respuestas de formulario 1'!L800))"),"Gimnasio")</f>
        <v>Gimnasio</v>
      </c>
      <c r="M800" s="7" t="str">
        <f>IFERROR(__xludf.DUMMYFUNCTION("IF('Respuestas de formulario 1'!M800="""","""",TO_TEXT('Respuestas de formulario 1'!M800))"),"3 a 5 veces por semana")</f>
        <v>3 a 5 veces por semana</v>
      </c>
      <c r="N800" s="7">
        <f t="shared" si="1"/>
        <v>2024</v>
      </c>
      <c r="O800" s="7" t="str">
        <f t="shared" si="2"/>
        <v>diciembre</v>
      </c>
      <c r="P800" s="7" t="s">
        <v>5776</v>
      </c>
    </row>
    <row r="801">
      <c r="A801" s="19">
        <f>'Respuestas de formulario 1'!A801</f>
        <v>45636.46727</v>
      </c>
      <c r="B801" s="7" t="str">
        <f>'Respuestas de formulario 1'!B801</f>
        <v>Ortiz</v>
      </c>
      <c r="C801" s="7" t="str">
        <f>'Respuestas de formulario 1'!C801</f>
        <v>Mateo</v>
      </c>
      <c r="D801" s="7" t="str">
        <f>'Respuestas de formulario 1'!D801</f>
        <v>jmoberto2019@gmail.com</v>
      </c>
      <c r="E801" s="20">
        <f>'Respuestas de formulario 1'!E801</f>
        <v>35783</v>
      </c>
      <c r="F801" s="7">
        <f>'Respuestas de formulario 1'!F801</f>
        <v>40750690</v>
      </c>
      <c r="G801" s="7" t="str">
        <f>IFERROR(__xludf.DUMMYFUNCTION("IF('Respuestas de formulario 1'!G801="""","""",IF(LEFT(REGEXREPLACE(TO_TEXT('Respuestas de formulario 1'!G801),""[^0-9]"",""""),2)=""54"",""+""&amp;REGEXREPLACE(TO_TEXT('Respuestas de formulario 1'!G801),""[^0-9]"",""""),""+54""&amp;REGEXREPLACE(TO_TEXT('Respuest"&amp;"as de formulario 1'!G801),""[^0-9]"","""")))"),"+543515317299")</f>
        <v>+543515317299</v>
      </c>
      <c r="H801" s="7">
        <f>'Respuestas de formulario 1'!S801</f>
        <v>2024</v>
      </c>
      <c r="I801" s="7" t="str">
        <f>IFERROR(__xludf.DUMMYFUNCTION("IF('Respuestas de formulario 1'!I801="""","""",TO_TEXT('Respuestas de formulario 1'!I801))"),"Particular")</f>
        <v>Particular</v>
      </c>
      <c r="J801" s="7" t="str">
        <f>IFERROR(__xludf.DUMMYFUNCTION("IF('Respuestas de formulario 1'!J801&lt;&gt;"""",UPPER(TRIM(TO_TEXT('Respuestas de formulario 1'!J801))),IF('Respuestas de formulario 1'!O801&lt;&gt;"""",UPPER(TRIM(TO_TEXT('Respuestas de formulario 1'!O801))),""""))"),"")</f>
        <v/>
      </c>
      <c r="K801" s="7" t="str">
        <f>IFERROR(__xludf.DUMMYFUNCTION("IF('Respuestas de formulario 1'!K801="""","""",TO_TEXT('Respuestas de formulario 1'!K801))"),"Si")</f>
        <v>Si</v>
      </c>
      <c r="L801" s="7" t="str">
        <f>IFERROR(__xludf.DUMMYFUNCTION("IF('Respuestas de formulario 1'!L801="""","""",TO_TEXT('Respuestas de formulario 1'!L801))"),"Fútbol")</f>
        <v>Fútbol</v>
      </c>
      <c r="M801" s="7" t="str">
        <f>IFERROR(__xludf.DUMMYFUNCTION("IF('Respuestas de formulario 1'!M801="""","""",TO_TEXT('Respuestas de formulario 1'!M801))"),"3 a 5 veces por semana")</f>
        <v>3 a 5 veces por semana</v>
      </c>
      <c r="N801" s="7">
        <f t="shared" si="1"/>
        <v>2024</v>
      </c>
      <c r="O801" s="7" t="str">
        <f t="shared" si="2"/>
        <v>diciembre</v>
      </c>
      <c r="P801" s="7" t="s">
        <v>5778</v>
      </c>
    </row>
    <row r="802">
      <c r="A802" s="19">
        <f>'Respuestas de formulario 1'!A802</f>
        <v>45638.64499</v>
      </c>
      <c r="B802" s="7" t="str">
        <f>'Respuestas de formulario 1'!B802</f>
        <v>Delgado</v>
      </c>
      <c r="C802" s="7" t="str">
        <f>'Respuestas de formulario 1'!C802</f>
        <v>Matias</v>
      </c>
      <c r="D802" s="7" t="str">
        <f>'Respuestas de formulario 1'!D802</f>
        <v>matiasdelgado98@hotmail.com</v>
      </c>
      <c r="E802" s="20">
        <f>'Respuestas de formulario 1'!E802</f>
        <v>35829</v>
      </c>
      <c r="F802" s="7">
        <f>'Respuestas de formulario 1'!F802</f>
        <v>40940539</v>
      </c>
      <c r="G802" s="7" t="str">
        <f>IFERROR(__xludf.DUMMYFUNCTION("IF('Respuestas de formulario 1'!G802="""","""",IF(LEFT(REGEXREPLACE(TO_TEXT('Respuestas de formulario 1'!G802),""[^0-9]"",""""),2)=""54"",""+""&amp;REGEXREPLACE(TO_TEXT('Respuestas de formulario 1'!G802),""[^0-9]"",""""),""+54""&amp;REGEXREPLACE(TO_TEXT('Respuest"&amp;"as de formulario 1'!G802),""[^0-9]"","""")))"),"+542645155548")</f>
        <v>+542645155548</v>
      </c>
      <c r="H802" s="7">
        <f>'Respuestas de formulario 1'!S802</f>
        <v>2024</v>
      </c>
      <c r="I802" s="7" t="str">
        <f>IFERROR(__xludf.DUMMYFUNCTION("IF('Respuestas de formulario 1'!I802="""","""",TO_TEXT('Respuestas de formulario 1'!I802))"),"Obra social")</f>
        <v>Obra social</v>
      </c>
      <c r="J802" s="7" t="str">
        <f>IFERROR(__xludf.DUMMYFUNCTION("IF('Respuestas de formulario 1'!J802&lt;&gt;"""",UPPER(TRIM(TO_TEXT('Respuestas de formulario 1'!J802))),IF('Respuestas de formulario 1'!O802&lt;&gt;"""",UPPER(TRIM(TO_TEXT('Respuestas de formulario 1'!O802))),""""))"),"MEDIFE")</f>
        <v>MEDIFE</v>
      </c>
      <c r="K802" s="7" t="str">
        <f>IFERROR(__xludf.DUMMYFUNCTION("IF('Respuestas de formulario 1'!K802="""","""",TO_TEXT('Respuestas de formulario 1'!K802))"),"Si")</f>
        <v>Si</v>
      </c>
      <c r="L802" s="7" t="str">
        <f>IFERROR(__xludf.DUMMYFUNCTION("IF('Respuestas de formulario 1'!L802="""","""",TO_TEXT('Respuestas de formulario 1'!L802))"),"Natacion + Ejercicios de pesas en casa")</f>
        <v>Natacion + Ejercicios de pesas en casa</v>
      </c>
      <c r="M802" s="7" t="str">
        <f>IFERROR(__xludf.DUMMYFUNCTION("IF('Respuestas de formulario 1'!M802="""","""",TO_TEXT('Respuestas de formulario 1'!M802))"),"3 a 5 veces por semana")</f>
        <v>3 a 5 veces por semana</v>
      </c>
      <c r="N802" s="7">
        <f t="shared" si="1"/>
        <v>2024</v>
      </c>
      <c r="O802" s="7" t="str">
        <f t="shared" si="2"/>
        <v>diciembre</v>
      </c>
      <c r="P802" s="7" t="s">
        <v>5780</v>
      </c>
    </row>
    <row r="803">
      <c r="A803" s="19">
        <f>'Respuestas de formulario 1'!A803</f>
        <v>45642.82413</v>
      </c>
      <c r="B803" s="7" t="str">
        <f>'Respuestas de formulario 1'!B803</f>
        <v>Parcher</v>
      </c>
      <c r="C803" s="7" t="str">
        <f>'Respuestas de formulario 1'!C803</f>
        <v>Ileana</v>
      </c>
      <c r="D803" s="7" t="str">
        <f>'Respuestas de formulario 1'!D803</f>
        <v>ileanaparcher@yahoo.com.ar</v>
      </c>
      <c r="E803" s="20">
        <f>'Respuestas de formulario 1'!E803</f>
        <v>26151</v>
      </c>
      <c r="F803" s="7">
        <f>'Respuestas de formulario 1'!F803</f>
        <v>21912910</v>
      </c>
      <c r="G803" s="7" t="str">
        <f>IFERROR(__xludf.DUMMYFUNCTION("IF('Respuestas de formulario 1'!G803="""","""",IF(LEFT(REGEXREPLACE(TO_TEXT('Respuestas de formulario 1'!G803),""[^0-9]"",""""),2)=""54"",""+""&amp;REGEXREPLACE(TO_TEXT('Respuestas de formulario 1'!G803),""[^0-9]"",""""),""+54""&amp;REGEXREPLACE(TO_TEXT('Respuest"&amp;"as de formulario 1'!G803),""[^0-9]"","""")))"),"+543515281211")</f>
        <v>+543515281211</v>
      </c>
      <c r="H803" s="7">
        <f>'Respuestas de formulario 1'!S803</f>
        <v>2024</v>
      </c>
      <c r="I803" s="7" t="str">
        <f>IFERROR(__xludf.DUMMYFUNCTION("IF('Respuestas de formulario 1'!I803="""","""",TO_TEXT('Respuestas de formulario 1'!I803))"),"Obra social")</f>
        <v>Obra social</v>
      </c>
      <c r="J803" s="7" t="str">
        <f>IFERROR(__xludf.DUMMYFUNCTION("IF('Respuestas de formulario 1'!J803&lt;&gt;"""",UPPER(TRIM(TO_TEXT('Respuestas de formulario 1'!J803))),IF('Respuestas de formulario 1'!O803&lt;&gt;"""",UPPER(TRIM(TO_TEXT('Respuestas de formulario 1'!O803))),""""))"),"DASPU")</f>
        <v>DASPU</v>
      </c>
      <c r="K803" s="7" t="str">
        <f>IFERROR(__xludf.DUMMYFUNCTION("IF('Respuestas de formulario 1'!K803="""","""",TO_TEXT('Respuestas de formulario 1'!K803))"),"No")</f>
        <v>No</v>
      </c>
      <c r="L803" s="7" t="str">
        <f>IFERROR(__xludf.DUMMYFUNCTION("IF('Respuestas de formulario 1'!L803="""","""",TO_TEXT('Respuestas de formulario 1'!L803))"),"")</f>
        <v/>
      </c>
      <c r="M803" s="7" t="str">
        <f>IFERROR(__xludf.DUMMYFUNCTION("IF('Respuestas de formulario 1'!M803="""","""",TO_TEXT('Respuestas de formulario 1'!M803))"),"")</f>
        <v/>
      </c>
      <c r="N803" s="7">
        <f t="shared" si="1"/>
        <v>2024</v>
      </c>
      <c r="O803" s="7" t="str">
        <f t="shared" si="2"/>
        <v>diciembre</v>
      </c>
      <c r="P803" s="7" t="s">
        <v>5782</v>
      </c>
    </row>
    <row r="804">
      <c r="A804" s="19">
        <f>'Respuestas de formulario 1'!A804</f>
        <v>45643.76677</v>
      </c>
      <c r="B804" s="7" t="str">
        <f>'Respuestas de formulario 1'!B804</f>
        <v>Fernandez</v>
      </c>
      <c r="C804" s="7" t="str">
        <f>'Respuestas de formulario 1'!C804</f>
        <v>Gaston</v>
      </c>
      <c r="D804" s="7" t="str">
        <f>'Respuestas de formulario 1'!D804</f>
        <v/>
      </c>
      <c r="E804" s="20">
        <f>'Respuestas de formulario 1'!E804</f>
        <v>30520</v>
      </c>
      <c r="F804" s="7">
        <f>'Respuestas de formulario 1'!F804</f>
        <v>30272221</v>
      </c>
      <c r="G804" s="7" t="str">
        <f>IFERROR(__xludf.DUMMYFUNCTION("IF('Respuestas de formulario 1'!G804="""","""",IF(LEFT(REGEXREPLACE(TO_TEXT('Respuestas de formulario 1'!G804),""[^0-9]"",""""),2)=""54"",""+""&amp;REGEXREPLACE(TO_TEXT('Respuestas de formulario 1'!G804),""[^0-9]"",""""),""+54""&amp;REGEXREPLACE(TO_TEXT('Respuest"&amp;"as de formulario 1'!G804),""[^0-9]"","""")))"),"+543515109070")</f>
        <v>+543515109070</v>
      </c>
      <c r="H804" s="7">
        <f>'Respuestas de formulario 1'!S804</f>
        <v>2024</v>
      </c>
      <c r="I804" s="7" t="str">
        <f>IFERROR(__xludf.DUMMYFUNCTION("IF('Respuestas de formulario 1'!I804="""","""",TO_TEXT('Respuestas de formulario 1'!I804))"),"Particular")</f>
        <v>Particular</v>
      </c>
      <c r="J804" s="7" t="str">
        <f>IFERROR(__xludf.DUMMYFUNCTION("IF('Respuestas de formulario 1'!J804&lt;&gt;"""",UPPER(TRIM(TO_TEXT('Respuestas de formulario 1'!J804))),IF('Respuestas de formulario 1'!O804&lt;&gt;"""",UPPER(TRIM(TO_TEXT('Respuestas de formulario 1'!O804))),""""))"),"")</f>
        <v/>
      </c>
      <c r="K804" s="7" t="str">
        <f>IFERROR(__xludf.DUMMYFUNCTION("IF('Respuestas de formulario 1'!K804="""","""",TO_TEXT('Respuestas de formulario 1'!K804))"),"Si")</f>
        <v>Si</v>
      </c>
      <c r="L804" s="7" t="str">
        <f>IFERROR(__xludf.DUMMYFUNCTION("IF('Respuestas de formulario 1'!L804="""","""",TO_TEXT('Respuestas de formulario 1'!L804))"),"Gimnasio")</f>
        <v>Gimnasio</v>
      </c>
      <c r="M804" s="7" t="str">
        <f>IFERROR(__xludf.DUMMYFUNCTION("IF('Respuestas de formulario 1'!M804="""","""",TO_TEXT('Respuestas de formulario 1'!M804))"),"3 a 5 veces por semana")</f>
        <v>3 a 5 veces por semana</v>
      </c>
      <c r="N804" s="7">
        <f t="shared" si="1"/>
        <v>2024</v>
      </c>
      <c r="O804" s="7" t="str">
        <f t="shared" si="2"/>
        <v>diciembre</v>
      </c>
      <c r="P804" s="7" t="s">
        <v>5784</v>
      </c>
    </row>
    <row r="805">
      <c r="A805" s="19">
        <f>'Respuestas de formulario 1'!A805</f>
        <v>45644.51095</v>
      </c>
      <c r="B805" s="7" t="str">
        <f>'Respuestas de formulario 1'!B805</f>
        <v>Rossi</v>
      </c>
      <c r="C805" s="7" t="str">
        <f>'Respuestas de formulario 1'!C805</f>
        <v>Horacio</v>
      </c>
      <c r="D805" s="7" t="str">
        <f>'Respuestas de formulario 1'!D805</f>
        <v/>
      </c>
      <c r="E805" s="20">
        <f>'Respuestas de formulario 1'!E805</f>
        <v>27950</v>
      </c>
      <c r="F805" s="7">
        <f>'Respuestas de formulario 1'!F805</f>
        <v>25170473</v>
      </c>
      <c r="G805" s="7" t="str">
        <f>IFERROR(__xludf.DUMMYFUNCTION("IF('Respuestas de formulario 1'!G805="""","""",IF(LEFT(REGEXREPLACE(TO_TEXT('Respuestas de formulario 1'!G805),""[^0-9]"",""""),2)=""54"",""+""&amp;REGEXREPLACE(TO_TEXT('Respuestas de formulario 1'!G805),""[^0-9]"",""""),""+54""&amp;REGEXREPLACE(TO_TEXT('Respuest"&amp;"as de formulario 1'!G805),""[^0-9]"","""")))"),"+543472438312")</f>
        <v>+543472438312</v>
      </c>
      <c r="H805" s="7">
        <f>'Respuestas de formulario 1'!S805</f>
        <v>2024</v>
      </c>
      <c r="I805" s="7" t="str">
        <f>IFERROR(__xludf.DUMMYFUNCTION("IF('Respuestas de formulario 1'!I805="""","""",TO_TEXT('Respuestas de formulario 1'!I805))"),"Obra social")</f>
        <v>Obra social</v>
      </c>
      <c r="J805" s="7" t="str">
        <f>IFERROR(__xludf.DUMMYFUNCTION("IF('Respuestas de formulario 1'!J805&lt;&gt;"""",UPPER(TRIM(TO_TEXT('Respuestas de formulario 1'!J805))),IF('Respuestas de formulario 1'!O805&lt;&gt;"""",UPPER(TRIM(TO_TEXT('Respuestas de formulario 1'!O805))),""""))"),"PREVENCIÓN")</f>
        <v>PREVENCIÓN</v>
      </c>
      <c r="K805" s="7" t="str">
        <f>IFERROR(__xludf.DUMMYFUNCTION("IF('Respuestas de formulario 1'!K805="""","""",TO_TEXT('Respuestas de formulario 1'!K805))"),"Si")</f>
        <v>Si</v>
      </c>
      <c r="L805" s="7" t="str">
        <f>IFERROR(__xludf.DUMMYFUNCTION("IF('Respuestas de formulario 1'!L805="""","""",TO_TEXT('Respuestas de formulario 1'!L805))"),"")</f>
        <v/>
      </c>
      <c r="M805" s="7" t="str">
        <f>IFERROR(__xludf.DUMMYFUNCTION("IF('Respuestas de formulario 1'!M805="""","""",TO_TEXT('Respuestas de formulario 1'!M805))"),"1 a 2 veces por semana")</f>
        <v>1 a 2 veces por semana</v>
      </c>
      <c r="N805" s="7">
        <f t="shared" si="1"/>
        <v>2024</v>
      </c>
      <c r="O805" s="7" t="str">
        <f t="shared" si="2"/>
        <v>diciembre</v>
      </c>
      <c r="P805" s="7" t="s">
        <v>5786</v>
      </c>
    </row>
    <row r="806">
      <c r="A806" s="19">
        <f>'Respuestas de formulario 1'!A806</f>
        <v>45644.6906</v>
      </c>
      <c r="B806" s="7" t="str">
        <f>'Respuestas de formulario 1'!B806</f>
        <v>Orso</v>
      </c>
      <c r="C806" s="7" t="str">
        <f>'Respuestas de formulario 1'!C806</f>
        <v>Estela</v>
      </c>
      <c r="D806" s="7" t="str">
        <f>'Respuestas de formulario 1'!D806</f>
        <v>Estela_orso@hotmail.com</v>
      </c>
      <c r="E806" s="20">
        <f>'Respuestas de formulario 1'!E806</f>
        <v>15935</v>
      </c>
      <c r="F806" s="7">
        <f>'Respuestas de formulario 1'!F806</f>
        <v>4788714</v>
      </c>
      <c r="G806" s="7" t="str">
        <f>IFERROR(__xludf.DUMMYFUNCTION("IF('Respuestas de formulario 1'!G806="""","""",IF(LEFT(REGEXREPLACE(TO_TEXT('Respuestas de formulario 1'!G806),""[^0-9]"",""""),2)=""54"",""+""&amp;REGEXREPLACE(TO_TEXT('Respuestas de formulario 1'!G806),""[^0-9]"",""""),""+54""&amp;REGEXREPLACE(TO_TEXT('Respuest"&amp;"as de formulario 1'!G806),""[^0-9]"","""")))"),"+543517020966")</f>
        <v>+543517020966</v>
      </c>
      <c r="H806" s="7">
        <f>'Respuestas de formulario 1'!S806</f>
        <v>2024</v>
      </c>
      <c r="I806" s="7" t="str">
        <f>IFERROR(__xludf.DUMMYFUNCTION("IF('Respuestas de formulario 1'!I806="""","""",TO_TEXT('Respuestas de formulario 1'!I806))"),"Particular")</f>
        <v>Particular</v>
      </c>
      <c r="J806" s="7" t="str">
        <f>IFERROR(__xludf.DUMMYFUNCTION("IF('Respuestas de formulario 1'!J806&lt;&gt;"""",UPPER(TRIM(TO_TEXT('Respuestas de formulario 1'!J806))),IF('Respuestas de formulario 1'!O806&lt;&gt;"""",UPPER(TRIM(TO_TEXT('Respuestas de formulario 1'!O806))),""""))"),"")</f>
        <v/>
      </c>
      <c r="K806" s="7" t="str">
        <f>IFERROR(__xludf.DUMMYFUNCTION("IF('Respuestas de formulario 1'!K806="""","""",TO_TEXT('Respuestas de formulario 1'!K806))"),"Si")</f>
        <v>Si</v>
      </c>
      <c r="L806" s="7" t="str">
        <f>IFERROR(__xludf.DUMMYFUNCTION("IF('Respuestas de formulario 1'!L806="""","""",TO_TEXT('Respuestas de formulario 1'!L806))"),"Yoga")</f>
        <v>Yoga</v>
      </c>
      <c r="M806" s="7" t="str">
        <f>IFERROR(__xludf.DUMMYFUNCTION("IF('Respuestas de formulario 1'!M806="""","""",TO_TEXT('Respuestas de formulario 1'!M806))"),"1 a 2 veces por semana")</f>
        <v>1 a 2 veces por semana</v>
      </c>
      <c r="N806" s="7">
        <f t="shared" si="1"/>
        <v>2024</v>
      </c>
      <c r="O806" s="7" t="str">
        <f t="shared" si="2"/>
        <v>diciembre</v>
      </c>
      <c r="P806" s="7" t="s">
        <v>5788</v>
      </c>
    </row>
    <row r="807">
      <c r="A807" s="19">
        <f>'Respuestas de formulario 1'!A807</f>
        <v>45644.74127</v>
      </c>
      <c r="B807" s="7" t="str">
        <f>'Respuestas de formulario 1'!B807</f>
        <v>Benetti</v>
      </c>
      <c r="C807" s="7" t="str">
        <f>'Respuestas de formulario 1'!C807</f>
        <v>Andres</v>
      </c>
      <c r="D807" s="7" t="str">
        <f>'Respuestas de formulario 1'!D807</f>
        <v>-</v>
      </c>
      <c r="E807" s="20">
        <f>'Respuestas de formulario 1'!E807</f>
        <v>29361</v>
      </c>
      <c r="F807" s="7">
        <f>'Respuestas de formulario 1'!F807</f>
        <v>28112846</v>
      </c>
      <c r="G807" s="7" t="str">
        <f>IFERROR(__xludf.DUMMYFUNCTION("IF('Respuestas de formulario 1'!G807="""","""",IF(LEFT(REGEXREPLACE(TO_TEXT('Respuestas de formulario 1'!G807),""[^0-9]"",""""),2)=""54"",""+""&amp;REGEXREPLACE(TO_TEXT('Respuestas de formulario 1'!G807),""[^0-9]"",""""),""+54""&amp;REGEXREPLACE(TO_TEXT('Respuest"&amp;"as de formulario 1'!G807),""[^0-9]"","""")))"),"+543516617833")</f>
        <v>+543516617833</v>
      </c>
      <c r="H807" s="7">
        <f>'Respuestas de formulario 1'!S807</f>
        <v>2024</v>
      </c>
      <c r="I807" s="7" t="str">
        <f>IFERROR(__xludf.DUMMYFUNCTION("IF('Respuestas de formulario 1'!I807="""","""",TO_TEXT('Respuestas de formulario 1'!I807))"),"Particular")</f>
        <v>Particular</v>
      </c>
      <c r="J807" s="7" t="str">
        <f>IFERROR(__xludf.DUMMYFUNCTION("IF('Respuestas de formulario 1'!J807&lt;&gt;"""",UPPER(TRIM(TO_TEXT('Respuestas de formulario 1'!J807))),IF('Respuestas de formulario 1'!O807&lt;&gt;"""",UPPER(TRIM(TO_TEXT('Respuestas de formulario 1'!O807))),""""))"),"")</f>
        <v/>
      </c>
      <c r="K807" s="7" t="str">
        <f>IFERROR(__xludf.DUMMYFUNCTION("IF('Respuestas de formulario 1'!K807="""","""",TO_TEXT('Respuestas de formulario 1'!K807))"),"Si")</f>
        <v>Si</v>
      </c>
      <c r="L807" s="7" t="str">
        <f>IFERROR(__xludf.DUMMYFUNCTION("IF('Respuestas de formulario 1'!L807="""","""",TO_TEXT('Respuestas de formulario 1'!L807))"),"Tennis y Gim")</f>
        <v>Tennis y Gim</v>
      </c>
      <c r="M807" s="7" t="str">
        <f>IFERROR(__xludf.DUMMYFUNCTION("IF('Respuestas de formulario 1'!M807="""","""",TO_TEXT('Respuestas de formulario 1'!M807))"),"3 a 5 veces por semana")</f>
        <v>3 a 5 veces por semana</v>
      </c>
      <c r="N807" s="7">
        <f t="shared" si="1"/>
        <v>2024</v>
      </c>
      <c r="O807" s="7" t="str">
        <f t="shared" si="2"/>
        <v>diciembre</v>
      </c>
      <c r="P807" s="7" t="s">
        <v>5790</v>
      </c>
    </row>
    <row r="808">
      <c r="A808" s="19">
        <f>'Respuestas de formulario 1'!A808</f>
        <v>45644.75152</v>
      </c>
      <c r="B808" s="7" t="str">
        <f>'Respuestas de formulario 1'!B808</f>
        <v>GOLDBERG</v>
      </c>
      <c r="C808" s="7" t="str">
        <f>'Respuestas de formulario 1'!C808</f>
        <v>Ivo</v>
      </c>
      <c r="D808" s="7" t="str">
        <f>'Respuestas de formulario 1'!D808</f>
        <v>-</v>
      </c>
      <c r="E808" s="20">
        <f>'Respuestas de formulario 1'!E808</f>
        <v>34366</v>
      </c>
      <c r="F808" s="7">
        <f>'Respuestas de formulario 1'!F808</f>
        <v>38003515</v>
      </c>
      <c r="G808" s="7" t="str">
        <f>IFERROR(__xludf.DUMMYFUNCTION("IF('Respuestas de formulario 1'!G808="""","""",IF(LEFT(REGEXREPLACE(TO_TEXT('Respuestas de formulario 1'!G808),""[^0-9]"",""""),2)=""54"",""+""&amp;REGEXREPLACE(TO_TEXT('Respuestas de formulario 1'!G808),""[^0-9]"",""""),""+54""&amp;REGEXREPLACE(TO_TEXT('Respuest"&amp;"as de formulario 1'!G808),""[^0-9]"","""")))"),"+543517714341")</f>
        <v>+543517714341</v>
      </c>
      <c r="H808" s="7">
        <f>'Respuestas de formulario 1'!S808</f>
        <v>2024</v>
      </c>
      <c r="I808" s="7" t="str">
        <f>IFERROR(__xludf.DUMMYFUNCTION("IF('Respuestas de formulario 1'!I808="""","""",TO_TEXT('Respuestas de formulario 1'!I808))"),"Particular")</f>
        <v>Particular</v>
      </c>
      <c r="J808" s="7" t="str">
        <f>IFERROR(__xludf.DUMMYFUNCTION("IF('Respuestas de formulario 1'!J808&lt;&gt;"""",UPPER(TRIM(TO_TEXT('Respuestas de formulario 1'!J808))),IF('Respuestas de formulario 1'!O808&lt;&gt;"""",UPPER(TRIM(TO_TEXT('Respuestas de formulario 1'!O808))),""""))"),"")</f>
        <v/>
      </c>
      <c r="K808" s="7" t="str">
        <f>IFERROR(__xludf.DUMMYFUNCTION("IF('Respuestas de formulario 1'!K808="""","""",TO_TEXT('Respuestas de formulario 1'!K808))"),"Si")</f>
        <v>Si</v>
      </c>
      <c r="L808" s="7" t="str">
        <f>IFERROR(__xludf.DUMMYFUNCTION("IF('Respuestas de formulario 1'!L808="""","""",TO_TEXT('Respuestas de formulario 1'!L808))"),"Gimnasio")</f>
        <v>Gimnasio</v>
      </c>
      <c r="M808" s="7" t="str">
        <f>IFERROR(__xludf.DUMMYFUNCTION("IF('Respuestas de formulario 1'!M808="""","""",TO_TEXT('Respuestas de formulario 1'!M808))"),"3 a 5 veces por semana")</f>
        <v>3 a 5 veces por semana</v>
      </c>
      <c r="N808" s="7">
        <f t="shared" si="1"/>
        <v>2024</v>
      </c>
      <c r="O808" s="7" t="str">
        <f t="shared" si="2"/>
        <v>diciembre</v>
      </c>
      <c r="P808" s="7" t="s">
        <v>5792</v>
      </c>
    </row>
    <row r="809">
      <c r="A809" s="19">
        <f>'Respuestas de formulario 1'!A809</f>
        <v>45644.80595</v>
      </c>
      <c r="B809" s="7" t="str">
        <f>'Respuestas de formulario 1'!B809</f>
        <v>Agudelo</v>
      </c>
      <c r="C809" s="7" t="str">
        <f>'Respuestas de formulario 1'!C809</f>
        <v>Diana carolina</v>
      </c>
      <c r="D809" s="7" t="str">
        <f>'Respuestas de formulario 1'!D809</f>
        <v>Caro.piedrahita@outlook.com</v>
      </c>
      <c r="E809" s="20">
        <f>'Respuestas de formulario 1'!E809</f>
        <v>32746</v>
      </c>
      <c r="F809" s="7">
        <f>'Respuestas de formulario 1'!F809</f>
        <v>96015767</v>
      </c>
      <c r="G809" s="7" t="str">
        <f>IFERROR(__xludf.DUMMYFUNCTION("IF('Respuestas de formulario 1'!G809="""","""",IF(LEFT(REGEXREPLACE(TO_TEXT('Respuestas de formulario 1'!G809),""[^0-9]"",""""),2)=""54"",""+""&amp;REGEXREPLACE(TO_TEXT('Respuestas de formulario 1'!G809),""[^0-9]"",""""),""+54""&amp;REGEXREPLACE(TO_TEXT('Respuest"&amp;"as de formulario 1'!G809),""[^0-9]"","""")))"),"+543513638954")</f>
        <v>+543513638954</v>
      </c>
      <c r="H809" s="7">
        <f>'Respuestas de formulario 1'!S809</f>
        <v>2024</v>
      </c>
      <c r="I809" s="7" t="str">
        <f>IFERROR(__xludf.DUMMYFUNCTION("IF('Respuestas de formulario 1'!I809="""","""",TO_TEXT('Respuestas de formulario 1'!I809))"),"Particular")</f>
        <v>Particular</v>
      </c>
      <c r="J809" s="7" t="str">
        <f>IFERROR(__xludf.DUMMYFUNCTION("IF('Respuestas de formulario 1'!J809&lt;&gt;"""",UPPER(TRIM(TO_TEXT('Respuestas de formulario 1'!J809))),IF('Respuestas de formulario 1'!O809&lt;&gt;"""",UPPER(TRIM(TO_TEXT('Respuestas de formulario 1'!O809))),""""))"),"")</f>
        <v/>
      </c>
      <c r="K809" s="7" t="str">
        <f>IFERROR(__xludf.DUMMYFUNCTION("IF('Respuestas de formulario 1'!K809="""","""",TO_TEXT('Respuestas de formulario 1'!K809))"),"Si")</f>
        <v>Si</v>
      </c>
      <c r="L809" s="7" t="str">
        <f>IFERROR(__xludf.DUMMYFUNCTION("IF('Respuestas de formulario 1'!L809="""","""",TO_TEXT('Respuestas de formulario 1'!L809))"),"Gimnasio")</f>
        <v>Gimnasio</v>
      </c>
      <c r="M809" s="7" t="str">
        <f>IFERROR(__xludf.DUMMYFUNCTION("IF('Respuestas de formulario 1'!M809="""","""",TO_TEXT('Respuestas de formulario 1'!M809))"),"1 a 2 veces por semana")</f>
        <v>1 a 2 veces por semana</v>
      </c>
      <c r="N809" s="7">
        <f t="shared" si="1"/>
        <v>2024</v>
      </c>
      <c r="O809" s="7" t="str">
        <f t="shared" si="2"/>
        <v>diciembre</v>
      </c>
      <c r="P809" s="7" t="s">
        <v>5794</v>
      </c>
    </row>
    <row r="810">
      <c r="A810" s="19">
        <f>'Respuestas de formulario 1'!A810</f>
        <v>45646.44194</v>
      </c>
      <c r="B810" s="7" t="str">
        <f>'Respuestas de formulario 1'!B810</f>
        <v>Montañez Sandoz </v>
      </c>
      <c r="C810" s="7" t="str">
        <f>'Respuestas de formulario 1'!C810</f>
        <v>Agustína </v>
      </c>
      <c r="D810" s="7" t="str">
        <f>'Respuestas de formulario 1'!D810</f>
        <v>agusmsandoz@gmail.com</v>
      </c>
      <c r="E810" s="20">
        <f>'Respuestas de formulario 1'!E810</f>
        <v>45703</v>
      </c>
      <c r="F810" s="7">
        <f>'Respuestas de formulario 1'!F810</f>
        <v>38106676</v>
      </c>
      <c r="G810" s="7" t="str">
        <f>IFERROR(__xludf.DUMMYFUNCTION("IF('Respuestas de formulario 1'!G810="""","""",IF(LEFT(REGEXREPLACE(TO_TEXT('Respuestas de formulario 1'!G810),""[^0-9]"",""""),2)=""54"",""+""&amp;REGEXREPLACE(TO_TEXT('Respuestas de formulario 1'!G810),""[^0-9]"",""""),""+54""&amp;REGEXREPLACE(TO_TEXT('Respuest"&amp;"as de formulario 1'!G810),""[^0-9]"","""")))"),"+543515177037")</f>
        <v>+543515177037</v>
      </c>
      <c r="H810" s="7">
        <f>'Respuestas de formulario 1'!S810</f>
        <v>2024</v>
      </c>
      <c r="I810" s="7" t="str">
        <f>IFERROR(__xludf.DUMMYFUNCTION("IF('Respuestas de formulario 1'!I810="""","""",TO_TEXT('Respuestas de formulario 1'!I810))"),"Obra social")</f>
        <v>Obra social</v>
      </c>
      <c r="J810" s="7" t="str">
        <f>IFERROR(__xludf.DUMMYFUNCTION("IF('Respuestas de formulario 1'!J810&lt;&gt;"""",UPPER(TRIM(TO_TEXT('Respuestas de formulario 1'!J810))),IF('Respuestas de formulario 1'!O810&lt;&gt;"""",UPPER(TRIM(TO_TEXT('Respuestas de formulario 1'!O810))),""""))"),"DASPU")</f>
        <v>DASPU</v>
      </c>
      <c r="K810" s="7" t="str">
        <f>IFERROR(__xludf.DUMMYFUNCTION("IF('Respuestas de formulario 1'!K810="""","""",TO_TEXT('Respuestas de formulario 1'!K810))"),"Si")</f>
        <v>Si</v>
      </c>
      <c r="L810" s="7" t="str">
        <f>IFERROR(__xludf.DUMMYFUNCTION("IF('Respuestas de formulario 1'!L810="""","""",TO_TEXT('Respuestas de formulario 1'!L810))"),"Gimnasio")</f>
        <v>Gimnasio</v>
      </c>
      <c r="M810" s="7" t="str">
        <f>IFERROR(__xludf.DUMMYFUNCTION("IF('Respuestas de formulario 1'!M810="""","""",TO_TEXT('Respuestas de formulario 1'!M810))"),"3 a 5 veces por semana")</f>
        <v>3 a 5 veces por semana</v>
      </c>
      <c r="N810" s="7">
        <f t="shared" si="1"/>
        <v>2024</v>
      </c>
      <c r="O810" s="7" t="str">
        <f t="shared" si="2"/>
        <v>diciembre</v>
      </c>
      <c r="P810" s="7" t="s">
        <v>5796</v>
      </c>
    </row>
    <row r="811">
      <c r="A811" s="19">
        <f>'Respuestas de formulario 1'!A811</f>
        <v>45652.45532</v>
      </c>
      <c r="B811" s="7" t="str">
        <f>'Respuestas de formulario 1'!B811</f>
        <v>Baravalle</v>
      </c>
      <c r="C811" s="7" t="str">
        <f>'Respuestas de formulario 1'!C811</f>
        <v>Catalina</v>
      </c>
      <c r="D811" s="7" t="str">
        <f>'Respuestas de formulario 1'!D811</f>
        <v>baravallecatalina@gmail.com</v>
      </c>
      <c r="E811" s="20">
        <f>'Respuestas de formulario 1'!E811</f>
        <v>38615</v>
      </c>
      <c r="F811" s="7">
        <f>'Respuestas de formulario 1'!F811</f>
        <v>46223461</v>
      </c>
      <c r="G811" s="7" t="str">
        <f>IFERROR(__xludf.DUMMYFUNCTION("IF('Respuestas de formulario 1'!G811="""","""",IF(LEFT(REGEXREPLACE(TO_TEXT('Respuestas de formulario 1'!G811),""[^0-9]"",""""),2)=""54"",""+""&amp;REGEXREPLACE(TO_TEXT('Respuestas de formulario 1'!G811),""[^0-9]"",""""),""+54""&amp;REGEXREPLACE(TO_TEXT('Respuest"&amp;"as de formulario 1'!G811),""[^0-9]"","""")))"),"+543518153199")</f>
        <v>+543518153199</v>
      </c>
      <c r="H811" s="7">
        <f>'Respuestas de formulario 1'!S811</f>
        <v>2024</v>
      </c>
      <c r="I811" s="7" t="str">
        <f>IFERROR(__xludf.DUMMYFUNCTION("IF('Respuestas de formulario 1'!I811="""","""",TO_TEXT('Respuestas de formulario 1'!I811))"),"Obra social")</f>
        <v>Obra social</v>
      </c>
      <c r="J811" s="7" t="str">
        <f>IFERROR(__xludf.DUMMYFUNCTION("IF('Respuestas de formulario 1'!J811&lt;&gt;"""",UPPER(TRIM(TO_TEXT('Respuestas de formulario 1'!J811))),IF('Respuestas de formulario 1'!O811&lt;&gt;"""",UPPER(TRIM(TO_TEXT('Respuestas de formulario 1'!O811))),""""))"),"DASPU")</f>
        <v>DASPU</v>
      </c>
      <c r="K811" s="7" t="str">
        <f>IFERROR(__xludf.DUMMYFUNCTION("IF('Respuestas de formulario 1'!K811="""","""",TO_TEXT('Respuestas de formulario 1'!K811))"),"Si")</f>
        <v>Si</v>
      </c>
      <c r="L811" s="7" t="str">
        <f>IFERROR(__xludf.DUMMYFUNCTION("IF('Respuestas de formulario 1'!L811="""","""",TO_TEXT('Respuestas de formulario 1'!L811))"),"Baile")</f>
        <v>Baile</v>
      </c>
      <c r="M811" s="7" t="str">
        <f>IFERROR(__xludf.DUMMYFUNCTION("IF('Respuestas de formulario 1'!M811="""","""",TO_TEXT('Respuestas de formulario 1'!M811))"),"1 a 2 veces por semana")</f>
        <v>1 a 2 veces por semana</v>
      </c>
      <c r="N811" s="7">
        <f t="shared" si="1"/>
        <v>2024</v>
      </c>
      <c r="O811" s="7" t="str">
        <f t="shared" si="2"/>
        <v>diciembre</v>
      </c>
      <c r="P811" s="7" t="s">
        <v>5798</v>
      </c>
    </row>
    <row r="812">
      <c r="A812" s="19">
        <f>'Respuestas de formulario 1'!A812</f>
        <v>45652.6929</v>
      </c>
      <c r="B812" s="7" t="str">
        <f>'Respuestas de formulario 1'!B812</f>
        <v>Rundie </v>
      </c>
      <c r="C812" s="7" t="str">
        <f>'Respuestas de formulario 1'!C812</f>
        <v>Rafael alejandro</v>
      </c>
      <c r="D812" s="7" t="str">
        <f>'Respuestas de formulario 1'!D812</f>
        <v>Alejandrorundie@gmail.com</v>
      </c>
      <c r="E812" s="20">
        <f>'Respuestas de formulario 1'!E812</f>
        <v>28994</v>
      </c>
      <c r="F812" s="7">
        <f>'Respuestas de formulario 1'!F812</f>
        <v>27360627</v>
      </c>
      <c r="G812" s="7" t="str">
        <f>IFERROR(__xludf.DUMMYFUNCTION("IF('Respuestas de formulario 1'!G812="""","""",IF(LEFT(REGEXREPLACE(TO_TEXT('Respuestas de formulario 1'!G812),""[^0-9]"",""""),2)=""54"",""+""&amp;REGEXREPLACE(TO_TEXT('Respuestas de formulario 1'!G812),""[^0-9]"",""""),""+54""&amp;REGEXREPLACE(TO_TEXT('Respuest"&amp;"as de formulario 1'!G812),""[^0-9]"","""")))"),"+543516530441")</f>
        <v>+543516530441</v>
      </c>
      <c r="H812" s="7">
        <f>'Respuestas de formulario 1'!S812</f>
        <v>2024</v>
      </c>
      <c r="I812" s="7" t="str">
        <f>IFERROR(__xludf.DUMMYFUNCTION("IF('Respuestas de formulario 1'!I812="""","""",TO_TEXT('Respuestas de formulario 1'!I812))"),"Particular")</f>
        <v>Particular</v>
      </c>
      <c r="J812" s="7" t="str">
        <f>IFERROR(__xludf.DUMMYFUNCTION("IF('Respuestas de formulario 1'!J812&lt;&gt;"""",UPPER(TRIM(TO_TEXT('Respuestas de formulario 1'!J812))),IF('Respuestas de formulario 1'!O812&lt;&gt;"""",UPPER(TRIM(TO_TEXT('Respuestas de formulario 1'!O812))),""""))"),"")</f>
        <v/>
      </c>
      <c r="K812" s="7" t="str">
        <f>IFERROR(__xludf.DUMMYFUNCTION("IF('Respuestas de formulario 1'!K812="""","""",TO_TEXT('Respuestas de formulario 1'!K812))"),"No")</f>
        <v>No</v>
      </c>
      <c r="L812" s="7" t="str">
        <f>IFERROR(__xludf.DUMMYFUNCTION("IF('Respuestas de formulario 1'!L812="""","""",TO_TEXT('Respuestas de formulario 1'!L812))"),"")</f>
        <v/>
      </c>
      <c r="M812" s="7" t="str">
        <f>IFERROR(__xludf.DUMMYFUNCTION("IF('Respuestas de formulario 1'!M812="""","""",TO_TEXT('Respuestas de formulario 1'!M812))"),"")</f>
        <v/>
      </c>
      <c r="N812" s="7">
        <f t="shared" si="1"/>
        <v>2024</v>
      </c>
      <c r="O812" s="7" t="str">
        <f t="shared" si="2"/>
        <v>diciembre</v>
      </c>
      <c r="P812" s="7" t="s">
        <v>5800</v>
      </c>
    </row>
    <row r="813">
      <c r="A813" s="19">
        <f>'Respuestas de formulario 1'!A813</f>
        <v>45652.77706</v>
      </c>
      <c r="B813" s="7" t="str">
        <f>'Respuestas de formulario 1'!B813</f>
        <v>Novillo</v>
      </c>
      <c r="C813" s="7" t="str">
        <f>'Respuestas de formulario 1'!C813</f>
        <v>Cristobal</v>
      </c>
      <c r="D813" s="7" t="str">
        <f>'Respuestas de formulario 1'!D813</f>
        <v>Cristobalnov@hotmial.com</v>
      </c>
      <c r="E813" s="20">
        <f>'Respuestas de formulario 1'!E813</f>
        <v>36992</v>
      </c>
      <c r="F813" s="7">
        <f>'Respuestas de formulario 1'!F813</f>
        <v>43369610</v>
      </c>
      <c r="G813" s="7" t="str">
        <f>IFERROR(__xludf.DUMMYFUNCTION("IF('Respuestas de formulario 1'!G813="""","""",IF(LEFT(REGEXREPLACE(TO_TEXT('Respuestas de formulario 1'!G813),""[^0-9]"",""""),2)=""54"",""+""&amp;REGEXREPLACE(TO_TEXT('Respuestas de formulario 1'!G813),""[^0-9]"",""""),""+54""&amp;REGEXREPLACE(TO_TEXT('Respuest"&amp;"as de formulario 1'!G813),""[^0-9]"","""")))"),"+543512543464")</f>
        <v>+543512543464</v>
      </c>
      <c r="H813" s="7">
        <f>'Respuestas de formulario 1'!S813</f>
        <v>2024</v>
      </c>
      <c r="I813" s="7" t="str">
        <f>IFERROR(__xludf.DUMMYFUNCTION("IF('Respuestas de formulario 1'!I813="""","""",TO_TEXT('Respuestas de formulario 1'!I813))"),"Particular")</f>
        <v>Particular</v>
      </c>
      <c r="J813" s="7" t="str">
        <f>IFERROR(__xludf.DUMMYFUNCTION("IF('Respuestas de formulario 1'!J813&lt;&gt;"""",UPPER(TRIM(TO_TEXT('Respuestas de formulario 1'!J813))),IF('Respuestas de formulario 1'!O813&lt;&gt;"""",UPPER(TRIM(TO_TEXT('Respuestas de formulario 1'!O813))),""""))"),"")</f>
        <v/>
      </c>
      <c r="K813" s="7" t="str">
        <f>IFERROR(__xludf.DUMMYFUNCTION("IF('Respuestas de formulario 1'!K813="""","""",TO_TEXT('Respuestas de formulario 1'!K813))"),"Si")</f>
        <v>Si</v>
      </c>
      <c r="L813" s="7" t="str">
        <f>IFERROR(__xludf.DUMMYFUNCTION("IF('Respuestas de formulario 1'!L813="""","""",TO_TEXT('Respuestas de formulario 1'!L813))"),"Gimnasio+padel+correr+bici")</f>
        <v>Gimnasio+padel+correr+bici</v>
      </c>
      <c r="M813" s="7" t="str">
        <f>IFERROR(__xludf.DUMMYFUNCTION("IF('Respuestas de formulario 1'!M813="""","""",TO_TEXT('Respuestas de formulario 1'!M813))"),"3 a 5 veces por semana")</f>
        <v>3 a 5 veces por semana</v>
      </c>
      <c r="N813" s="7">
        <f t="shared" si="1"/>
        <v>2024</v>
      </c>
      <c r="O813" s="7" t="str">
        <f t="shared" si="2"/>
        <v>diciembre</v>
      </c>
      <c r="P813" s="7" t="s">
        <v>5802</v>
      </c>
    </row>
    <row r="814">
      <c r="A814" s="19">
        <f>'Respuestas de formulario 1'!A814</f>
        <v>45653.57128</v>
      </c>
      <c r="B814" s="7" t="str">
        <f>'Respuestas de formulario 1'!B814</f>
        <v>Lobaiza</v>
      </c>
      <c r="C814" s="7" t="str">
        <f>'Respuestas de formulario 1'!C814</f>
        <v>Diego</v>
      </c>
      <c r="D814" s="7" t="str">
        <f>'Respuestas de formulario 1'!D814</f>
        <v/>
      </c>
      <c r="E814" s="20">
        <f>'Respuestas de formulario 1'!E814</f>
        <v>28320</v>
      </c>
      <c r="F814" s="7">
        <f>'Respuestas de formulario 1'!F814</f>
        <v>26208212</v>
      </c>
      <c r="G814" s="7" t="str">
        <f>IFERROR(__xludf.DUMMYFUNCTION("IF('Respuestas de formulario 1'!G814="""","""",IF(LEFT(REGEXREPLACE(TO_TEXT('Respuestas de formulario 1'!G814),""[^0-9]"",""""),2)=""54"",""+""&amp;REGEXREPLACE(TO_TEXT('Respuestas de formulario 1'!G814),""[^0-9]"",""""),""+54""&amp;REGEXREPLACE(TO_TEXT('Respuest"&amp;"as de formulario 1'!G814),""[^0-9]"","""")))"),"+543517676050")</f>
        <v>+543517676050</v>
      </c>
      <c r="H814" s="7">
        <f>'Respuestas de formulario 1'!S814</f>
        <v>2024</v>
      </c>
      <c r="I814" s="7" t="str">
        <f>IFERROR(__xludf.DUMMYFUNCTION("IF('Respuestas de formulario 1'!I814="""","""",TO_TEXT('Respuestas de formulario 1'!I814))"),"Obra social")</f>
        <v>Obra social</v>
      </c>
      <c r="J814" s="7" t="str">
        <f>IFERROR(__xludf.DUMMYFUNCTION("IF('Respuestas de formulario 1'!J814&lt;&gt;"""",UPPER(TRIM(TO_TEXT('Respuestas de formulario 1'!J814))),IF('Respuestas de formulario 1'!O814&lt;&gt;"""",UPPER(TRIM(TO_TEXT('Respuestas de formulario 1'!O814))),""""))"),"BOREAL")</f>
        <v>BOREAL</v>
      </c>
      <c r="K814" s="7" t="str">
        <f>IFERROR(__xludf.DUMMYFUNCTION("IF('Respuestas de formulario 1'!K814="""","""",TO_TEXT('Respuestas de formulario 1'!K814))"),"No")</f>
        <v>No</v>
      </c>
      <c r="L814" s="7" t="str">
        <f>IFERROR(__xludf.DUMMYFUNCTION("IF('Respuestas de formulario 1'!L814="""","""",TO_TEXT('Respuestas de formulario 1'!L814))"),"")</f>
        <v/>
      </c>
      <c r="M814" s="7" t="str">
        <f>IFERROR(__xludf.DUMMYFUNCTION("IF('Respuestas de formulario 1'!M814="""","""",TO_TEXT('Respuestas de formulario 1'!M814))"),"")</f>
        <v/>
      </c>
      <c r="N814" s="7">
        <f t="shared" si="1"/>
        <v>2024</v>
      </c>
      <c r="O814" s="7" t="str">
        <f t="shared" si="2"/>
        <v>diciembre</v>
      </c>
      <c r="P814" s="7" t="s">
        <v>5804</v>
      </c>
    </row>
    <row r="815">
      <c r="A815" s="19">
        <f>'Respuestas de formulario 1'!A815</f>
        <v>45653.73461</v>
      </c>
      <c r="B815" s="7" t="str">
        <f>'Respuestas de formulario 1'!B815</f>
        <v>Morán de la Vega</v>
      </c>
      <c r="C815" s="7" t="str">
        <f>'Respuestas de formulario 1'!C815</f>
        <v>Guillermo</v>
      </c>
      <c r="D815" s="7" t="str">
        <f>'Respuestas de formulario 1'!D815</f>
        <v>gmorandela ega@hotmail.com</v>
      </c>
      <c r="E815" s="20">
        <f>'Respuestas de formulario 1'!E815</f>
        <v>21714</v>
      </c>
      <c r="F815" s="21">
        <f>'Respuestas de formulario 1'!F815</f>
        <v>13290752</v>
      </c>
      <c r="G815" s="7" t="str">
        <f>IFERROR(__xludf.DUMMYFUNCTION("IF('Respuestas de formulario 1'!G815="""","""",IF(LEFT(REGEXREPLACE(TO_TEXT('Respuestas de formulario 1'!G815),""[^0-9]"",""""),2)=""54"",""+""&amp;REGEXREPLACE(TO_TEXT('Respuestas de formulario 1'!G815),""[^0-9]"",""""),""+54""&amp;REGEXREPLACE(TO_TEXT('Respuest"&amp;"as de formulario 1'!G815),""[^0-9]"","""")))"),"+543513304219")</f>
        <v>+543513304219</v>
      </c>
      <c r="H815" s="7">
        <f>'Respuestas de formulario 1'!S815</f>
        <v>2024</v>
      </c>
      <c r="I815" s="7" t="str">
        <f>IFERROR(__xludf.DUMMYFUNCTION("IF('Respuestas de formulario 1'!I815="""","""",TO_TEXT('Respuestas de formulario 1'!I815))"),"Obra social")</f>
        <v>Obra social</v>
      </c>
      <c r="J815" s="7" t="str">
        <f>IFERROR(__xludf.DUMMYFUNCTION("IF('Respuestas de formulario 1'!J815&lt;&gt;"""",UPPER(TRIM(TO_TEXT('Respuestas de formulario 1'!J815))),IF('Respuestas de formulario 1'!O815&lt;&gt;"""",UPPER(TRIM(TO_TEXT('Respuestas de formulario 1'!O815))),""""))"),"APROSS")</f>
        <v>APROSS</v>
      </c>
      <c r="K815" s="7" t="str">
        <f>IFERROR(__xludf.DUMMYFUNCTION("IF('Respuestas de formulario 1'!K815="""","""",TO_TEXT('Respuestas de formulario 1'!K815))"),"Si")</f>
        <v>Si</v>
      </c>
      <c r="L815" s="7" t="str">
        <f>IFERROR(__xludf.DUMMYFUNCTION("IF('Respuestas de formulario 1'!L815="""","""",TO_TEXT('Respuestas de formulario 1'!L815))"),"Gimnasio")</f>
        <v>Gimnasio</v>
      </c>
      <c r="M815" s="7" t="str">
        <f>IFERROR(__xludf.DUMMYFUNCTION("IF('Respuestas de formulario 1'!M815="""","""",TO_TEXT('Respuestas de formulario 1'!M815))"),"3 a 5 veces por semana")</f>
        <v>3 a 5 veces por semana</v>
      </c>
      <c r="N815" s="7">
        <f t="shared" si="1"/>
        <v>2024</v>
      </c>
      <c r="O815" s="7" t="str">
        <f t="shared" si="2"/>
        <v>diciembre</v>
      </c>
      <c r="P815" s="7" t="s">
        <v>5806</v>
      </c>
    </row>
    <row r="816">
      <c r="A816" s="19">
        <f>'Respuestas de formulario 1'!A816</f>
        <v>45653.77849</v>
      </c>
      <c r="B816" s="7" t="str">
        <f>'Respuestas de formulario 1'!B816</f>
        <v>Pucheta </v>
      </c>
      <c r="C816" s="7" t="str">
        <f>'Respuestas de formulario 1'!C816</f>
        <v>Uriel</v>
      </c>
      <c r="D816" s="7" t="str">
        <f>'Respuestas de formulario 1'!D816</f>
        <v>Puchetauriel123@gmail.com</v>
      </c>
      <c r="E816" s="20">
        <f>'Respuestas de formulario 1'!E816</f>
        <v>37027</v>
      </c>
      <c r="F816" s="7">
        <f>'Respuestas de formulario 1'!F816</f>
        <v>43369461</v>
      </c>
      <c r="G816" s="7" t="str">
        <f>IFERROR(__xludf.DUMMYFUNCTION("IF('Respuestas de formulario 1'!G816="""","""",IF(LEFT(REGEXREPLACE(TO_TEXT('Respuestas de formulario 1'!G816),""[^0-9]"",""""),2)=""54"",""+""&amp;REGEXREPLACE(TO_TEXT('Respuestas de formulario 1'!G816),""[^0-9]"",""""),""+54""&amp;REGEXREPLACE(TO_TEXT('Respuest"&amp;"as de formulario 1'!G816),""[^0-9]"","""")))"),"+543516620229")</f>
        <v>+543516620229</v>
      </c>
      <c r="H816" s="7">
        <f>'Respuestas de formulario 1'!S816</f>
        <v>2024</v>
      </c>
      <c r="I816" s="7" t="str">
        <f>IFERROR(__xludf.DUMMYFUNCTION("IF('Respuestas de formulario 1'!I816="""","""",TO_TEXT('Respuestas de formulario 1'!I816))"),"Particular")</f>
        <v>Particular</v>
      </c>
      <c r="J816" s="7" t="str">
        <f>IFERROR(__xludf.DUMMYFUNCTION("IF('Respuestas de formulario 1'!J816&lt;&gt;"""",UPPER(TRIM(TO_TEXT('Respuestas de formulario 1'!J816))),IF('Respuestas de formulario 1'!O816&lt;&gt;"""",UPPER(TRIM(TO_TEXT('Respuestas de formulario 1'!O816))),""""))"),"")</f>
        <v/>
      </c>
      <c r="K816" s="7" t="str">
        <f>IFERROR(__xludf.DUMMYFUNCTION("IF('Respuestas de formulario 1'!K816="""","""",TO_TEXT('Respuestas de formulario 1'!K816))"),"Si")</f>
        <v>Si</v>
      </c>
      <c r="L816" s="7" t="str">
        <f>IFERROR(__xludf.DUMMYFUNCTION("IF('Respuestas de formulario 1'!L816="""","""",TO_TEXT('Respuestas de formulario 1'!L816))"),"Fútbol")</f>
        <v>Fútbol</v>
      </c>
      <c r="M816" s="7" t="str">
        <f>IFERROR(__xludf.DUMMYFUNCTION("IF('Respuestas de formulario 1'!M816="""","""",TO_TEXT('Respuestas de formulario 1'!M816))"),"6 a 7 veces por semana")</f>
        <v>6 a 7 veces por semana</v>
      </c>
      <c r="N816" s="7">
        <f t="shared" si="1"/>
        <v>2024</v>
      </c>
      <c r="O816" s="7" t="str">
        <f t="shared" si="2"/>
        <v>diciembre</v>
      </c>
      <c r="P816" s="7" t="s">
        <v>5808</v>
      </c>
    </row>
    <row r="817">
      <c r="A817" s="19">
        <f>'Respuestas de formulario 1'!A817</f>
        <v>45656.65748</v>
      </c>
      <c r="B817" s="7" t="str">
        <f>'Respuestas de formulario 1'!B817</f>
        <v>Ramos</v>
      </c>
      <c r="C817" s="7" t="str">
        <f>'Respuestas de formulario 1'!C817</f>
        <v>Ulises</v>
      </c>
      <c r="D817" s="7" t="str">
        <f>'Respuestas de formulario 1'!D817</f>
        <v>uliramos99@gmail.com</v>
      </c>
      <c r="E817" s="20">
        <f>'Respuestas de formulario 1'!E817</f>
        <v>36194</v>
      </c>
      <c r="F817" s="7">
        <f>'Respuestas de formulario 1'!F817</f>
        <v>41735739</v>
      </c>
      <c r="G817" s="7" t="str">
        <f>IFERROR(__xludf.DUMMYFUNCTION("IF('Respuestas de formulario 1'!G817="""","""",IF(LEFT(REGEXREPLACE(TO_TEXT('Respuestas de formulario 1'!G817),""[^0-9]"",""""),2)=""54"",""+""&amp;REGEXREPLACE(TO_TEXT('Respuestas de formulario 1'!G817),""[^0-9]"",""""),""+54""&amp;REGEXREPLACE(TO_TEXT('Respuest"&amp;"as de formulario 1'!G817),""[^0-9]"","""")))"),"+543512538010")</f>
        <v>+543512538010</v>
      </c>
      <c r="H817" s="7">
        <f>'Respuestas de formulario 1'!S817</f>
        <v>2024</v>
      </c>
      <c r="I817" s="7" t="str">
        <f>IFERROR(__xludf.DUMMYFUNCTION("IF('Respuestas de formulario 1'!I817="""","""",TO_TEXT('Respuestas de formulario 1'!I817))"),"Obra social")</f>
        <v>Obra social</v>
      </c>
      <c r="J817" s="7" t="str">
        <f>IFERROR(__xludf.DUMMYFUNCTION("IF('Respuestas de formulario 1'!J817&lt;&gt;"""",UPPER(TRIM(TO_TEXT('Respuestas de formulario 1'!J817))),IF('Respuestas de formulario 1'!O817&lt;&gt;"""",UPPER(TRIM(TO_TEXT('Respuestas de formulario 1'!O817))),""""))"),"OSUNRA")</f>
        <v>OSUNRA</v>
      </c>
      <c r="K817" s="7" t="str">
        <f>IFERROR(__xludf.DUMMYFUNCTION("IF('Respuestas de formulario 1'!K817="""","""",TO_TEXT('Respuestas de formulario 1'!K817))"),"Si")</f>
        <v>Si</v>
      </c>
      <c r="L817" s="7" t="str">
        <f>IFERROR(__xludf.DUMMYFUNCTION("IF('Respuestas de formulario 1'!L817="""","""",TO_TEXT('Respuestas de formulario 1'!L817))"),"Gimnasio")</f>
        <v>Gimnasio</v>
      </c>
      <c r="M817" s="7" t="str">
        <f>IFERROR(__xludf.DUMMYFUNCTION("IF('Respuestas de formulario 1'!M817="""","""",TO_TEXT('Respuestas de formulario 1'!M817))"),"3 a 5 veces por semana")</f>
        <v>3 a 5 veces por semana</v>
      </c>
      <c r="N817" s="7">
        <f t="shared" si="1"/>
        <v>2024</v>
      </c>
      <c r="O817" s="7" t="str">
        <f t="shared" si="2"/>
        <v>diciembre</v>
      </c>
      <c r="P817" s="7" t="s">
        <v>5810</v>
      </c>
    </row>
    <row r="818">
      <c r="A818" s="19">
        <f>'Respuestas de formulario 1'!A818</f>
        <v>45656.90084</v>
      </c>
      <c r="B818" s="7" t="str">
        <f>'Respuestas de formulario 1'!B818</f>
        <v>Pereyra </v>
      </c>
      <c r="C818" s="7" t="str">
        <f>'Respuestas de formulario 1'!C818</f>
        <v>Enzo Valentín </v>
      </c>
      <c r="D818" s="7" t="str">
        <f>'Respuestas de formulario 1'!D818</f>
        <v>Valee_723@hotmail.com</v>
      </c>
      <c r="E818" s="20">
        <f>'Respuestas de formulario 1'!E818</f>
        <v>42482</v>
      </c>
      <c r="F818" s="7">
        <f>'Respuestas de formulario 1'!F818</f>
        <v>55290634</v>
      </c>
      <c r="G818" s="7" t="str">
        <f>IFERROR(__xludf.DUMMYFUNCTION("IF('Respuestas de formulario 1'!G818="""","""",IF(LEFT(REGEXREPLACE(TO_TEXT('Respuestas de formulario 1'!G818),""[^0-9]"",""""),2)=""54"",""+""&amp;REGEXREPLACE(TO_TEXT('Respuestas de formulario 1'!G818),""[^0-9]"",""""),""+54""&amp;REGEXREPLACE(TO_TEXT('Respuest"&amp;"as de formulario 1'!G818),""[^0-9]"","""")))"),"+543512480723")</f>
        <v>+543512480723</v>
      </c>
      <c r="H818" s="7">
        <f>'Respuestas de formulario 1'!S818</f>
        <v>2024</v>
      </c>
      <c r="I818" s="7" t="str">
        <f>IFERROR(__xludf.DUMMYFUNCTION("IF('Respuestas de formulario 1'!I818="""","""",TO_TEXT('Respuestas de formulario 1'!I818))"),"Particular")</f>
        <v>Particular</v>
      </c>
      <c r="J818" s="7" t="str">
        <f>IFERROR(__xludf.DUMMYFUNCTION("IF('Respuestas de formulario 1'!J818&lt;&gt;"""",UPPER(TRIM(TO_TEXT('Respuestas de formulario 1'!J818))),IF('Respuestas de formulario 1'!O818&lt;&gt;"""",UPPER(TRIM(TO_TEXT('Respuestas de formulario 1'!O818))),""""))"),"")</f>
        <v/>
      </c>
      <c r="K818" s="7" t="str">
        <f>IFERROR(__xludf.DUMMYFUNCTION("IF('Respuestas de formulario 1'!K818="""","""",TO_TEXT('Respuestas de formulario 1'!K818))"),"No")</f>
        <v>No</v>
      </c>
      <c r="L818" s="7" t="str">
        <f>IFERROR(__xludf.DUMMYFUNCTION("IF('Respuestas de formulario 1'!L818="""","""",TO_TEXT('Respuestas de formulario 1'!L818))"),"")</f>
        <v/>
      </c>
      <c r="M818" s="7" t="str">
        <f>IFERROR(__xludf.DUMMYFUNCTION("IF('Respuestas de formulario 1'!M818="""","""",TO_TEXT('Respuestas de formulario 1'!M818))"),"")</f>
        <v/>
      </c>
      <c r="N818" s="7">
        <f t="shared" si="1"/>
        <v>2024</v>
      </c>
      <c r="O818" s="7" t="str">
        <f t="shared" si="2"/>
        <v>diciembre</v>
      </c>
      <c r="P818" s="7" t="s">
        <v>5812</v>
      </c>
    </row>
    <row r="819">
      <c r="A819" s="19">
        <f>'Respuestas de formulario 1'!A819</f>
        <v>45659.85073</v>
      </c>
      <c r="B819" s="7" t="str">
        <f>'Respuestas de formulario 1'!B819</f>
        <v>BLASCO</v>
      </c>
      <c r="C819" s="7" t="str">
        <f>'Respuestas de formulario 1'!C819</f>
        <v>ALFREDO</v>
      </c>
      <c r="D819" s="7" t="str">
        <f>'Respuestas de formulario 1'!D819</f>
        <v>alfredofblasco@gmail.com</v>
      </c>
      <c r="E819" s="20">
        <f>'Respuestas de formulario 1'!E819</f>
        <v>25493</v>
      </c>
      <c r="F819" s="7">
        <f>'Respuestas de formulario 1'!F819</f>
        <v>20873977</v>
      </c>
      <c r="G819" s="7" t="str">
        <f>IFERROR(__xludf.DUMMYFUNCTION("IF('Respuestas de formulario 1'!G819="""","""",IF(LEFT(REGEXREPLACE(TO_TEXT('Respuestas de formulario 1'!G819),""[^0-9]"",""""),2)=""54"",""+""&amp;REGEXREPLACE(TO_TEXT('Respuestas de formulario 1'!G819),""[^0-9]"",""""),""+54""&amp;REGEXREPLACE(TO_TEXT('Respuest"&amp;"as de formulario 1'!G819),""[^0-9]"","""")))"),"+543515477382")</f>
        <v>+543515477382</v>
      </c>
      <c r="H819" s="7">
        <f>'Respuestas de formulario 1'!S819</f>
        <v>2025</v>
      </c>
      <c r="I819" s="7" t="str">
        <f>IFERROR(__xludf.DUMMYFUNCTION("IF('Respuestas de formulario 1'!I819="""","""",TO_TEXT('Respuestas de formulario 1'!I819))"),"Obra social")</f>
        <v>Obra social</v>
      </c>
      <c r="J819" s="7" t="str">
        <f>IFERROR(__xludf.DUMMYFUNCTION("IF('Respuestas de formulario 1'!J819&lt;&gt;"""",UPPER(TRIM(TO_TEXT('Respuestas de formulario 1'!J819))),IF('Respuestas de formulario 1'!O819&lt;&gt;"""",UPPER(TRIM(TO_TEXT('Respuestas de formulario 1'!O819))),""""))"),"MEDICUS")</f>
        <v>MEDICUS</v>
      </c>
      <c r="K819" s="7" t="str">
        <f>IFERROR(__xludf.DUMMYFUNCTION("IF('Respuestas de formulario 1'!K819="""","""",TO_TEXT('Respuestas de formulario 1'!K819))"),"Si")</f>
        <v>Si</v>
      </c>
      <c r="L819" s="7" t="str">
        <f>IFERROR(__xludf.DUMMYFUNCTION("IF('Respuestas de formulario 1'!L819="""","""",TO_TEXT('Respuestas de formulario 1'!L819))"),"Gimnasio")</f>
        <v>Gimnasio</v>
      </c>
      <c r="M819" s="7" t="str">
        <f>IFERROR(__xludf.DUMMYFUNCTION("IF('Respuestas de formulario 1'!M819="""","""",TO_TEXT('Respuestas de formulario 1'!M819))"),"1 a 2 veces por semana")</f>
        <v>1 a 2 veces por semana</v>
      </c>
      <c r="N819" s="7">
        <f t="shared" si="1"/>
        <v>2025</v>
      </c>
      <c r="O819" s="7" t="str">
        <f t="shared" si="2"/>
        <v>enero</v>
      </c>
      <c r="P819" s="7" t="s">
        <v>5814</v>
      </c>
    </row>
    <row r="820">
      <c r="A820" s="19">
        <f>'Respuestas de formulario 1'!A820</f>
        <v>45660.57484</v>
      </c>
      <c r="B820" s="7" t="str">
        <f>'Respuestas de formulario 1'!B820</f>
        <v>Vassia</v>
      </c>
      <c r="C820" s="7" t="str">
        <f>'Respuestas de formulario 1'!C820</f>
        <v>Karina</v>
      </c>
      <c r="D820" s="7" t="str">
        <f>'Respuestas de formulario 1'!D820</f>
        <v>karinavassia2@gmail.com</v>
      </c>
      <c r="E820" s="20">
        <f>'Respuestas de formulario 1'!E820</f>
        <v>26240</v>
      </c>
      <c r="F820" s="7">
        <f>'Respuestas de formulario 1'!F820</f>
        <v>22373715</v>
      </c>
      <c r="G820" s="7" t="str">
        <f>IFERROR(__xludf.DUMMYFUNCTION("IF('Respuestas de formulario 1'!G820="""","""",IF(LEFT(REGEXREPLACE(TO_TEXT('Respuestas de formulario 1'!G820),""[^0-9]"",""""),2)=""54"",""+""&amp;REGEXREPLACE(TO_TEXT('Respuestas de formulario 1'!G820),""[^0-9]"",""""),""+54""&amp;REGEXREPLACE(TO_TEXT('Respuest"&amp;"as de formulario 1'!G820),""[^0-9]"","""")))"),"+543517063267")</f>
        <v>+543517063267</v>
      </c>
      <c r="H820" s="7">
        <f>'Respuestas de formulario 1'!S820</f>
        <v>2025</v>
      </c>
      <c r="I820" s="7" t="str">
        <f>IFERROR(__xludf.DUMMYFUNCTION("IF('Respuestas de formulario 1'!I820="""","""",TO_TEXT('Respuestas de formulario 1'!I820))"),"Particular")</f>
        <v>Particular</v>
      </c>
      <c r="J820" s="7" t="str">
        <f>IFERROR(__xludf.DUMMYFUNCTION("IF('Respuestas de formulario 1'!J820&lt;&gt;"""",UPPER(TRIM(TO_TEXT('Respuestas de formulario 1'!J820))),IF('Respuestas de formulario 1'!O820&lt;&gt;"""",UPPER(TRIM(TO_TEXT('Respuestas de formulario 1'!O820))),""""))"),"")</f>
        <v/>
      </c>
      <c r="K820" s="7" t="str">
        <f>IFERROR(__xludf.DUMMYFUNCTION("IF('Respuestas de formulario 1'!K820="""","""",TO_TEXT('Respuestas de formulario 1'!K820))"),"No")</f>
        <v>No</v>
      </c>
      <c r="L820" s="7" t="str">
        <f>IFERROR(__xludf.DUMMYFUNCTION("IF('Respuestas de formulario 1'!L820="""","""",TO_TEXT('Respuestas de formulario 1'!L820))"),"")</f>
        <v/>
      </c>
      <c r="M820" s="7" t="str">
        <f>IFERROR(__xludf.DUMMYFUNCTION("IF('Respuestas de formulario 1'!M820="""","""",TO_TEXT('Respuestas de formulario 1'!M820))"),"")</f>
        <v/>
      </c>
      <c r="N820" s="7">
        <f t="shared" si="1"/>
        <v>2025</v>
      </c>
      <c r="O820" s="7" t="str">
        <f t="shared" si="2"/>
        <v>enero</v>
      </c>
      <c r="P820" s="7" t="s">
        <v>5816</v>
      </c>
    </row>
    <row r="821">
      <c r="A821" s="19">
        <f>'Respuestas de formulario 1'!A821</f>
        <v>45660.74103</v>
      </c>
      <c r="B821" s="7" t="str">
        <f>'Respuestas de formulario 1'!B821</f>
        <v>Capretta</v>
      </c>
      <c r="C821" s="7" t="str">
        <f>'Respuestas de formulario 1'!C821</f>
        <v>Gaston</v>
      </c>
      <c r="D821" s="7" t="str">
        <f>'Respuestas de formulario 1'!D821</f>
        <v>gastoncapretta@hotmail.com</v>
      </c>
      <c r="E821" s="20">
        <f>'Respuestas de formulario 1'!E821</f>
        <v>27344</v>
      </c>
      <c r="F821" s="7">
        <f>'Respuestas de formulario 1'!F821</f>
        <v>24281041</v>
      </c>
      <c r="G821" s="7" t="str">
        <f>IFERROR(__xludf.DUMMYFUNCTION("IF('Respuestas de formulario 1'!G821="""","""",IF(LEFT(REGEXREPLACE(TO_TEXT('Respuestas de formulario 1'!G821),""[^0-9]"",""""),2)=""54"",""+""&amp;REGEXREPLACE(TO_TEXT('Respuestas de formulario 1'!G821),""[^0-9]"",""""),""+54""&amp;REGEXREPLACE(TO_TEXT('Respuest"&amp;"as de formulario 1'!G821),""[^0-9]"","""")))"),"+543515638146")</f>
        <v>+543515638146</v>
      </c>
      <c r="H821" s="7">
        <f>'Respuestas de formulario 1'!S821</f>
        <v>2025</v>
      </c>
      <c r="I821" s="7" t="str">
        <f>IFERROR(__xludf.DUMMYFUNCTION("IF('Respuestas de formulario 1'!I821="""","""",TO_TEXT('Respuestas de formulario 1'!I821))"),"Obra social")</f>
        <v>Obra social</v>
      </c>
      <c r="J821" s="7" t="str">
        <f>IFERROR(__xludf.DUMMYFUNCTION("IF('Respuestas de formulario 1'!J821&lt;&gt;"""",UPPER(TRIM(TO_TEXT('Respuestas de formulario 1'!J821))),IF('Respuestas de formulario 1'!O821&lt;&gt;"""",UPPER(TRIM(TO_TEXT('Respuestas de formulario 1'!O821))),""""))"),"OSPTV")</f>
        <v>OSPTV</v>
      </c>
      <c r="K821" s="7" t="str">
        <f>IFERROR(__xludf.DUMMYFUNCTION("IF('Respuestas de formulario 1'!K821="""","""",TO_TEXT('Respuestas de formulario 1'!K821))"),"Si")</f>
        <v>Si</v>
      </c>
      <c r="L821" s="7" t="str">
        <f>IFERROR(__xludf.DUMMYFUNCTION("IF('Respuestas de formulario 1'!L821="""","""",TO_TEXT('Respuestas de formulario 1'!L821))"),"Bicicleta+spinning")</f>
        <v>Bicicleta+spinning</v>
      </c>
      <c r="M821" s="7" t="str">
        <f>IFERROR(__xludf.DUMMYFUNCTION("IF('Respuestas de formulario 1'!M821="""","""",TO_TEXT('Respuestas de formulario 1'!M821))"),"3 a 5 veces por semana")</f>
        <v>3 a 5 veces por semana</v>
      </c>
      <c r="N821" s="7">
        <f t="shared" si="1"/>
        <v>2025</v>
      </c>
      <c r="O821" s="7" t="str">
        <f t="shared" si="2"/>
        <v>enero</v>
      </c>
      <c r="P821" s="7" t="s">
        <v>5818</v>
      </c>
    </row>
    <row r="822">
      <c r="A822" s="19">
        <f>'Respuestas de formulario 1'!A822</f>
        <v>45663.38474</v>
      </c>
      <c r="B822" s="7" t="str">
        <f>'Respuestas de formulario 1'!B822</f>
        <v>Biava</v>
      </c>
      <c r="C822" s="7" t="str">
        <f>'Respuestas de formulario 1'!C822</f>
        <v>Mariana</v>
      </c>
      <c r="D822" s="7" t="str">
        <f>'Respuestas de formulario 1'!D822</f>
        <v>marianabiava2505@gmail.com</v>
      </c>
      <c r="E822" s="20">
        <f>'Respuestas de formulario 1'!E822</f>
        <v>28635</v>
      </c>
      <c r="F822" s="7">
        <f>'Respuestas de formulario 1'!F822</f>
        <v>26544418</v>
      </c>
      <c r="G822" s="7" t="str">
        <f>IFERROR(__xludf.DUMMYFUNCTION("IF('Respuestas de formulario 1'!G822="""","""",IF(LEFT(REGEXREPLACE(TO_TEXT('Respuestas de formulario 1'!G822),""[^0-9]"",""""),2)=""54"",""+""&amp;REGEXREPLACE(TO_TEXT('Respuestas de formulario 1'!G822),""[^0-9]"",""""),""+54""&amp;REGEXREPLACE(TO_TEXT('Respuest"&amp;"as de formulario 1'!G822),""[^0-9]"","""")))"),"+5426544418")</f>
        <v>+5426544418</v>
      </c>
      <c r="H822" s="7">
        <f>'Respuestas de formulario 1'!S822</f>
        <v>2025</v>
      </c>
      <c r="I822" s="7" t="str">
        <f>IFERROR(__xludf.DUMMYFUNCTION("IF('Respuestas de formulario 1'!I822="""","""",TO_TEXT('Respuestas de formulario 1'!I822))"),"Obra social")</f>
        <v>Obra social</v>
      </c>
      <c r="J822" s="7" t="str">
        <f>IFERROR(__xludf.DUMMYFUNCTION("IF('Respuestas de formulario 1'!J822&lt;&gt;"""",UPPER(TRIM(TO_TEXT('Respuestas de formulario 1'!J822))),IF('Respuestas de formulario 1'!O822&lt;&gt;"""",UPPER(TRIM(TO_TEXT('Respuestas de formulario 1'!O822))),""""))"),"JERARQUICOS SALUD")</f>
        <v>JERARQUICOS SALUD</v>
      </c>
      <c r="K822" s="7" t="str">
        <f>IFERROR(__xludf.DUMMYFUNCTION("IF('Respuestas de formulario 1'!K822="""","""",TO_TEXT('Respuestas de formulario 1'!K822))"),"No")</f>
        <v>No</v>
      </c>
      <c r="L822" s="7" t="str">
        <f>IFERROR(__xludf.DUMMYFUNCTION("IF('Respuestas de formulario 1'!L822="""","""",TO_TEXT('Respuestas de formulario 1'!L822))"),"")</f>
        <v/>
      </c>
      <c r="M822" s="7" t="str">
        <f>IFERROR(__xludf.DUMMYFUNCTION("IF('Respuestas de formulario 1'!M822="""","""",TO_TEXT('Respuestas de formulario 1'!M822))"),"")</f>
        <v/>
      </c>
      <c r="N822" s="7">
        <f t="shared" si="1"/>
        <v>2025</v>
      </c>
      <c r="O822" s="7" t="str">
        <f t="shared" si="2"/>
        <v>enero</v>
      </c>
      <c r="P822" s="7" t="s">
        <v>5820</v>
      </c>
    </row>
    <row r="823">
      <c r="A823" s="19">
        <f>'Respuestas de formulario 1'!A823</f>
        <v>45663.45171</v>
      </c>
      <c r="B823" s="7" t="str">
        <f>'Respuestas de formulario 1'!B823</f>
        <v>Baravalle</v>
      </c>
      <c r="C823" s="7" t="str">
        <f>'Respuestas de formulario 1'!C823</f>
        <v>Exequiel</v>
      </c>
      <c r="D823" s="7" t="str">
        <f>'Respuestas de formulario 1'!D823</f>
        <v>baravallee@gmail.com</v>
      </c>
      <c r="E823" s="20">
        <f>'Respuestas de formulario 1'!E823</f>
        <v>27956</v>
      </c>
      <c r="F823" s="7">
        <f>'Respuestas de formulario 1'!F823</f>
        <v>25157700</v>
      </c>
      <c r="G823" s="7" t="str">
        <f>IFERROR(__xludf.DUMMYFUNCTION("IF('Respuestas de formulario 1'!G823="""","""",IF(LEFT(REGEXREPLACE(TO_TEXT('Respuestas de formulario 1'!G823),""[^0-9]"",""""),2)=""54"",""+""&amp;REGEXREPLACE(TO_TEXT('Respuestas de formulario 1'!G823),""[^0-9]"",""""),""+54""&amp;REGEXREPLACE(TO_TEXT('Respuest"&amp;"as de formulario 1'!G823),""[^0-9]"","""")))"),"+543516830022")</f>
        <v>+543516830022</v>
      </c>
      <c r="H823" s="7">
        <f>'Respuestas de formulario 1'!S823</f>
        <v>2025</v>
      </c>
      <c r="I823" s="7" t="str">
        <f>IFERROR(__xludf.DUMMYFUNCTION("IF('Respuestas de formulario 1'!I823="""","""",TO_TEXT('Respuestas de formulario 1'!I823))"),"Obra social")</f>
        <v>Obra social</v>
      </c>
      <c r="J823" s="7" t="str">
        <f>IFERROR(__xludf.DUMMYFUNCTION("IF('Respuestas de formulario 1'!J823&lt;&gt;"""",UPPER(TRIM(TO_TEXT('Respuestas de formulario 1'!J823))),IF('Respuestas de formulario 1'!O823&lt;&gt;"""",UPPER(TRIM(TO_TEXT('Respuestas de formulario 1'!O823))),""""))"),"DASPU")</f>
        <v>DASPU</v>
      </c>
      <c r="K823" s="7" t="str">
        <f>IFERROR(__xludf.DUMMYFUNCTION("IF('Respuestas de formulario 1'!K823="""","""",TO_TEXT('Respuestas de formulario 1'!K823))"),"Si")</f>
        <v>Si</v>
      </c>
      <c r="L823" s="7" t="str">
        <f>IFERROR(__xludf.DUMMYFUNCTION("IF('Respuestas de formulario 1'!L823="""","""",TO_TEXT('Respuestas de formulario 1'!L823))"),"Natacion y Gimnasio")</f>
        <v>Natacion y Gimnasio</v>
      </c>
      <c r="M823" s="7" t="str">
        <f>IFERROR(__xludf.DUMMYFUNCTION("IF('Respuestas de formulario 1'!M823="""","""",TO_TEXT('Respuestas de formulario 1'!M823))"),"3 a 5 veces por semana")</f>
        <v>3 a 5 veces por semana</v>
      </c>
      <c r="N823" s="7">
        <f t="shared" si="1"/>
        <v>2025</v>
      </c>
      <c r="O823" s="7" t="str">
        <f t="shared" si="2"/>
        <v>enero</v>
      </c>
      <c r="P823" s="7" t="s">
        <v>5822</v>
      </c>
    </row>
    <row r="824">
      <c r="A824" s="19">
        <f>'Respuestas de formulario 1'!A824</f>
        <v>45663.51602</v>
      </c>
      <c r="B824" s="7" t="str">
        <f>'Respuestas de formulario 1'!B824</f>
        <v>Rossotto</v>
      </c>
      <c r="C824" s="7" t="str">
        <f>'Respuestas de formulario 1'!C824</f>
        <v>Daniel</v>
      </c>
      <c r="D824" s="7" t="str">
        <f>'Respuestas de formulario 1'!D824</f>
        <v>drossotto@hotmail.com</v>
      </c>
      <c r="E824" s="20">
        <f>'Respuestas de formulario 1'!E824</f>
        <v>20511</v>
      </c>
      <c r="F824" s="7">
        <f>'Respuestas de formulario 1'!F824</f>
        <v>11974876</v>
      </c>
      <c r="G824" s="7" t="str">
        <f>IFERROR(__xludf.DUMMYFUNCTION("IF('Respuestas de formulario 1'!G824="""","""",IF(LEFT(REGEXREPLACE(TO_TEXT('Respuestas de formulario 1'!G824),""[^0-9]"",""""),2)=""54"",""+""&amp;REGEXREPLACE(TO_TEXT('Respuestas de formulario 1'!G824),""[^0-9]"",""""),""+54""&amp;REGEXREPLACE(TO_TEXT('Respuest"&amp;"as de formulario 1'!G824),""[^0-9]"","""")))"),"+543512398477")</f>
        <v>+543512398477</v>
      </c>
      <c r="H824" s="7">
        <f>'Respuestas de formulario 1'!S824</f>
        <v>2025</v>
      </c>
      <c r="I824" s="7" t="str">
        <f>IFERROR(__xludf.DUMMYFUNCTION("IF('Respuestas de formulario 1'!I824="""","""",TO_TEXT('Respuestas de formulario 1'!I824))"),"Obra social")</f>
        <v>Obra social</v>
      </c>
      <c r="J824" s="7" t="str">
        <f>IFERROR(__xludf.DUMMYFUNCTION("IF('Respuestas de formulario 1'!J824&lt;&gt;"""",UPPER(TRIM(TO_TEXT('Respuestas de formulario 1'!J824))),IF('Respuestas de formulario 1'!O824&lt;&gt;"""",UPPER(TRIM(TO_TEXT('Respuestas de formulario 1'!O824))),""""))"),"APROSS")</f>
        <v>APROSS</v>
      </c>
      <c r="K824" s="7" t="str">
        <f>IFERROR(__xludf.DUMMYFUNCTION("IF('Respuestas de formulario 1'!K824="""","""",TO_TEXT('Respuestas de formulario 1'!K824))"),"No")</f>
        <v>No</v>
      </c>
      <c r="L824" s="7" t="str">
        <f>IFERROR(__xludf.DUMMYFUNCTION("IF('Respuestas de formulario 1'!L824="""","""",TO_TEXT('Respuestas de formulario 1'!L824))"),"")</f>
        <v/>
      </c>
      <c r="M824" s="7" t="str">
        <f>IFERROR(__xludf.DUMMYFUNCTION("IF('Respuestas de formulario 1'!M824="""","""",TO_TEXT('Respuestas de formulario 1'!M824))"),"")</f>
        <v/>
      </c>
      <c r="N824" s="7">
        <f t="shared" si="1"/>
        <v>2025</v>
      </c>
      <c r="O824" s="7" t="str">
        <f t="shared" si="2"/>
        <v>enero</v>
      </c>
      <c r="P824" s="7" t="s">
        <v>5824</v>
      </c>
    </row>
    <row r="825">
      <c r="A825" s="19">
        <f>'Respuestas de formulario 1'!A825</f>
        <v>45663.68587</v>
      </c>
      <c r="B825" s="7" t="str">
        <f>'Respuestas de formulario 1'!B825</f>
        <v>Garlot</v>
      </c>
      <c r="C825" s="7" t="str">
        <f>'Respuestas de formulario 1'!C825</f>
        <v>Nicolas</v>
      </c>
      <c r="D825" s="7" t="str">
        <f>'Respuestas de formulario 1'!D825</f>
        <v>nicogarlot@hotmail.com</v>
      </c>
      <c r="E825" s="20">
        <f>'Respuestas de formulario 1'!E825</f>
        <v>32046</v>
      </c>
      <c r="F825" s="7">
        <f>'Respuestas de formulario 1'!F825</f>
        <v>33303647</v>
      </c>
      <c r="G825" s="7" t="str">
        <f>IFERROR(__xludf.DUMMYFUNCTION("IF('Respuestas de formulario 1'!G825="""","""",IF(LEFT(REGEXREPLACE(TO_TEXT('Respuestas de formulario 1'!G825),""[^0-9]"",""""),2)=""54"",""+""&amp;REGEXREPLACE(TO_TEXT('Respuestas de formulario 1'!G825),""[^0-9]"",""""),""+54""&amp;REGEXREPLACE(TO_TEXT('Respuest"&amp;"as de formulario 1'!G825),""[^0-9]"","""")))"),"+543513191252")</f>
        <v>+543513191252</v>
      </c>
      <c r="H825" s="7">
        <f>'Respuestas de formulario 1'!S825</f>
        <v>2025</v>
      </c>
      <c r="I825" s="7" t="str">
        <f>IFERROR(__xludf.DUMMYFUNCTION("IF('Respuestas de formulario 1'!I825="""","""",TO_TEXT('Respuestas de formulario 1'!I825))"),"Particular")</f>
        <v>Particular</v>
      </c>
      <c r="J825" s="7" t="str">
        <f>IFERROR(__xludf.DUMMYFUNCTION("IF('Respuestas de formulario 1'!J825&lt;&gt;"""",UPPER(TRIM(TO_TEXT('Respuestas de formulario 1'!J825))),IF('Respuestas de formulario 1'!O825&lt;&gt;"""",UPPER(TRIM(TO_TEXT('Respuestas de formulario 1'!O825))),""""))"),"")</f>
        <v/>
      </c>
      <c r="K825" s="7" t="str">
        <f>IFERROR(__xludf.DUMMYFUNCTION("IF('Respuestas de formulario 1'!K825="""","""",TO_TEXT('Respuestas de formulario 1'!K825))"),"Si")</f>
        <v>Si</v>
      </c>
      <c r="L825" s="7" t="str">
        <f>IFERROR(__xludf.DUMMYFUNCTION("IF('Respuestas de formulario 1'!L825="""","""",TO_TEXT('Respuestas de formulario 1'!L825))"),"Gimnasio")</f>
        <v>Gimnasio</v>
      </c>
      <c r="M825" s="7" t="str">
        <f>IFERROR(__xludf.DUMMYFUNCTION("IF('Respuestas de formulario 1'!M825="""","""",TO_TEXT('Respuestas de formulario 1'!M825))"),"3 a 5 veces por semana")</f>
        <v>3 a 5 veces por semana</v>
      </c>
      <c r="N825" s="7">
        <f t="shared" si="1"/>
        <v>2025</v>
      </c>
      <c r="O825" s="7" t="str">
        <f t="shared" si="2"/>
        <v>enero</v>
      </c>
      <c r="P825" s="7" t="s">
        <v>5826</v>
      </c>
    </row>
    <row r="826">
      <c r="A826" s="19">
        <f>'Respuestas de formulario 1'!A826</f>
        <v>45663.76822</v>
      </c>
      <c r="B826" s="7" t="str">
        <f>'Respuestas de formulario 1'!B826</f>
        <v>Almagro </v>
      </c>
      <c r="C826" s="7" t="str">
        <f>'Respuestas de formulario 1'!C826</f>
        <v>Teresita Beatriz </v>
      </c>
      <c r="D826" s="7" t="str">
        <f>'Respuestas de formulario 1'!D826</f>
        <v>Bettyalmagro14@gmail.com</v>
      </c>
      <c r="E826" s="20">
        <f>'Respuestas de formulario 1'!E826</f>
        <v>20849</v>
      </c>
      <c r="F826" s="7">
        <f>'Respuestas de formulario 1'!F826</f>
        <v>12951070</v>
      </c>
      <c r="G826" s="7" t="str">
        <f>IFERROR(__xludf.DUMMYFUNCTION("IF('Respuestas de formulario 1'!G826="""","""",IF(LEFT(REGEXREPLACE(TO_TEXT('Respuestas de formulario 1'!G826),""[^0-9]"",""""),2)=""54"",""+""&amp;REGEXREPLACE(TO_TEXT('Respuestas de formulario 1'!G826),""[^0-9]"",""""),""+54""&amp;REGEXREPLACE(TO_TEXT('Respuest"&amp;"as de formulario 1'!G826),""[^0-9]"","""")))"),"+543513194210")</f>
        <v>+543513194210</v>
      </c>
      <c r="H826" s="7">
        <f>'Respuestas de formulario 1'!S826</f>
        <v>2025</v>
      </c>
      <c r="I826" s="7" t="str">
        <f>IFERROR(__xludf.DUMMYFUNCTION("IF('Respuestas de formulario 1'!I826="""","""",TO_TEXT('Respuestas de formulario 1'!I826))"),"Obra social")</f>
        <v>Obra social</v>
      </c>
      <c r="J826" s="7" t="str">
        <f>IFERROR(__xludf.DUMMYFUNCTION("IF('Respuestas de formulario 1'!J826&lt;&gt;"""",UPPER(TRIM(TO_TEXT('Respuestas de formulario 1'!J826))),IF('Respuestas de formulario 1'!O826&lt;&gt;"""",UPPER(TRIM(TO_TEXT('Respuestas de formulario 1'!O826))),""""))"),"APROSS")</f>
        <v>APROSS</v>
      </c>
      <c r="K826" s="7" t="str">
        <f>IFERROR(__xludf.DUMMYFUNCTION("IF('Respuestas de formulario 1'!K826="""","""",TO_TEXT('Respuestas de formulario 1'!K826))"),"No")</f>
        <v>No</v>
      </c>
      <c r="L826" s="7" t="str">
        <f>IFERROR(__xludf.DUMMYFUNCTION("IF('Respuestas de formulario 1'!L826="""","""",TO_TEXT('Respuestas de formulario 1'!L826))"),"")</f>
        <v/>
      </c>
      <c r="M826" s="7" t="str">
        <f>IFERROR(__xludf.DUMMYFUNCTION("IF('Respuestas de formulario 1'!M826="""","""",TO_TEXT('Respuestas de formulario 1'!M826))"),"")</f>
        <v/>
      </c>
      <c r="N826" s="7">
        <f t="shared" si="1"/>
        <v>2025</v>
      </c>
      <c r="O826" s="7" t="str">
        <f t="shared" si="2"/>
        <v>enero</v>
      </c>
      <c r="P826" s="7" t="s">
        <v>5828</v>
      </c>
    </row>
    <row r="827">
      <c r="A827" s="19">
        <f>'Respuestas de formulario 1'!A827</f>
        <v>45664.57524</v>
      </c>
      <c r="B827" s="7" t="str">
        <f>'Respuestas de formulario 1'!B827</f>
        <v>Soto</v>
      </c>
      <c r="C827" s="7" t="str">
        <f>'Respuestas de formulario 1'!C827</f>
        <v>Paula</v>
      </c>
      <c r="D827" s="7" t="str">
        <f>'Respuestas de formulario 1'!D827</f>
        <v>paulajulietasoto@gmail.com</v>
      </c>
      <c r="E827" s="20">
        <f>'Respuestas de formulario 1'!E827</f>
        <v>34854</v>
      </c>
      <c r="F827" s="7">
        <f>'Respuestas de formulario 1'!F827</f>
        <v>43110762</v>
      </c>
      <c r="G827" s="7" t="str">
        <f>IFERROR(__xludf.DUMMYFUNCTION("IF('Respuestas de formulario 1'!G827="""","""",IF(LEFT(REGEXREPLACE(TO_TEXT('Respuestas de formulario 1'!G827),""[^0-9]"",""""),2)=""54"",""+""&amp;REGEXREPLACE(TO_TEXT('Respuestas de formulario 1'!G827),""[^0-9]"",""""),""+54""&amp;REGEXREPLACE(TO_TEXT('Respuest"&amp;"as de formulario 1'!G827),""[^0-9]"","""")))"),"+543516378095")</f>
        <v>+543516378095</v>
      </c>
      <c r="H827" s="7">
        <f>'Respuestas de formulario 1'!S827</f>
        <v>2025</v>
      </c>
      <c r="I827" s="7" t="str">
        <f>IFERROR(__xludf.DUMMYFUNCTION("IF('Respuestas de formulario 1'!I827="""","""",TO_TEXT('Respuestas de formulario 1'!I827))"),"Obra social")</f>
        <v>Obra social</v>
      </c>
      <c r="J827" s="7" t="str">
        <f>IFERROR(__xludf.DUMMYFUNCTION("IF('Respuestas de formulario 1'!J827&lt;&gt;"""",UPPER(TRIM(TO_TEXT('Respuestas de formulario 1'!J827))),IF('Respuestas de formulario 1'!O827&lt;&gt;"""",UPPER(TRIM(TO_TEXT('Respuestas de formulario 1'!O827))),""""))"),"AVALIAN")</f>
        <v>AVALIAN</v>
      </c>
      <c r="K827" s="7" t="str">
        <f>IFERROR(__xludf.DUMMYFUNCTION("IF('Respuestas de formulario 1'!K827="""","""",TO_TEXT('Respuestas de formulario 1'!K827))"),"No")</f>
        <v>No</v>
      </c>
      <c r="L827" s="7" t="str">
        <f>IFERROR(__xludf.DUMMYFUNCTION("IF('Respuestas de formulario 1'!L827="""","""",TO_TEXT('Respuestas de formulario 1'!L827))"),"")</f>
        <v/>
      </c>
      <c r="M827" s="7" t="str">
        <f>IFERROR(__xludf.DUMMYFUNCTION("IF('Respuestas de formulario 1'!M827="""","""",TO_TEXT('Respuestas de formulario 1'!M827))"),"")</f>
        <v/>
      </c>
      <c r="N827" s="7">
        <f t="shared" si="1"/>
        <v>2025</v>
      </c>
      <c r="O827" s="7" t="str">
        <f t="shared" si="2"/>
        <v>enero</v>
      </c>
      <c r="P827" s="7" t="s">
        <v>5830</v>
      </c>
    </row>
    <row r="828">
      <c r="A828" s="19">
        <f>'Respuestas de formulario 1'!A828</f>
        <v>45665.76425</v>
      </c>
      <c r="B828" s="7" t="str">
        <f>'Respuestas de formulario 1'!B828</f>
        <v>Antoniaci</v>
      </c>
      <c r="C828" s="7" t="str">
        <f>'Respuestas de formulario 1'!C828</f>
        <v>Rocio</v>
      </c>
      <c r="D828" s="7" t="str">
        <f>'Respuestas de formulario 1'!D828</f>
        <v>rocioantoniaci64@gmail.com</v>
      </c>
      <c r="E828" s="20">
        <f>'Respuestas de formulario 1'!E828</f>
        <v>36707</v>
      </c>
      <c r="F828" s="7">
        <f>'Respuestas de formulario 1'!F828</f>
        <v>42773380</v>
      </c>
      <c r="G828" s="7" t="str">
        <f>IFERROR(__xludf.DUMMYFUNCTION("IF('Respuestas de formulario 1'!G828="""","""",IF(LEFT(REGEXREPLACE(TO_TEXT('Respuestas de formulario 1'!G828),""[^0-9]"",""""),2)=""54"",""+""&amp;REGEXREPLACE(TO_TEXT('Respuestas de formulario 1'!G828),""[^0-9]"",""""),""+54""&amp;REGEXREPLACE(TO_TEXT('Respuest"&amp;"as de formulario 1'!G828),""[^0-9]"","""")))"),"+543512118190")</f>
        <v>+543512118190</v>
      </c>
      <c r="H828" s="7">
        <f>'Respuestas de formulario 1'!S828</f>
        <v>2025</v>
      </c>
      <c r="I828" s="7" t="str">
        <f>IFERROR(__xludf.DUMMYFUNCTION("IF('Respuestas de formulario 1'!I828="""","""",TO_TEXT('Respuestas de formulario 1'!I828))"),"Particular")</f>
        <v>Particular</v>
      </c>
      <c r="J828" s="7" t="str">
        <f>IFERROR(__xludf.DUMMYFUNCTION("IF('Respuestas de formulario 1'!J828&lt;&gt;"""",UPPER(TRIM(TO_TEXT('Respuestas de formulario 1'!J828))),IF('Respuestas de formulario 1'!O828&lt;&gt;"""",UPPER(TRIM(TO_TEXT('Respuestas de formulario 1'!O828))),""""))"),"")</f>
        <v/>
      </c>
      <c r="K828" s="7" t="str">
        <f>IFERROR(__xludf.DUMMYFUNCTION("IF('Respuestas de formulario 1'!K828="""","""",TO_TEXT('Respuestas de formulario 1'!K828))"),"Si")</f>
        <v>Si</v>
      </c>
      <c r="L828" s="7" t="str">
        <f>IFERROR(__xludf.DUMMYFUNCTION("IF('Respuestas de formulario 1'!L828="""","""",TO_TEXT('Respuestas de formulario 1'!L828))"),"Zumba+Ritmo")</f>
        <v>Zumba+Ritmo</v>
      </c>
      <c r="M828" s="7" t="str">
        <f>IFERROR(__xludf.DUMMYFUNCTION("IF('Respuestas de formulario 1'!M828="""","""",TO_TEXT('Respuestas de formulario 1'!M828))"),"3 a 5 veces por semana")</f>
        <v>3 a 5 veces por semana</v>
      </c>
      <c r="N828" s="7">
        <f t="shared" si="1"/>
        <v>2025</v>
      </c>
      <c r="O828" s="7" t="str">
        <f t="shared" si="2"/>
        <v>enero</v>
      </c>
      <c r="P828" s="7" t="s">
        <v>5832</v>
      </c>
    </row>
    <row r="829">
      <c r="A829" s="19">
        <f>'Respuestas de formulario 1'!A829</f>
        <v>45665.79635</v>
      </c>
      <c r="B829" s="7" t="str">
        <f>'Respuestas de formulario 1'!B829</f>
        <v>Marimon</v>
      </c>
      <c r="C829" s="7" t="str">
        <f>'Respuestas de formulario 1'!C829</f>
        <v>Andrea Fabiana</v>
      </c>
      <c r="D829" s="7" t="str">
        <f>'Respuestas de formulario 1'!D829</f>
        <v>andreamarimon2405@gmail.com</v>
      </c>
      <c r="E829" s="20">
        <f>'Respuestas de formulario 1'!E829</f>
        <v>24982</v>
      </c>
      <c r="F829" s="7">
        <f>'Respuestas de formulario 1'!F829</f>
        <v>20439302</v>
      </c>
      <c r="G829" s="7" t="str">
        <f>IFERROR(__xludf.DUMMYFUNCTION("IF('Respuestas de formulario 1'!G829="""","""",IF(LEFT(REGEXREPLACE(TO_TEXT('Respuestas de formulario 1'!G829),""[^0-9]"",""""),2)=""54"",""+""&amp;REGEXREPLACE(TO_TEXT('Respuestas de formulario 1'!G829),""[^0-9]"",""""),""+54""&amp;REGEXREPLACE(TO_TEXT('Respuest"&amp;"as de formulario 1'!G829),""[^0-9]"","""")))"),"+543515197178")</f>
        <v>+543515197178</v>
      </c>
      <c r="H829" s="7">
        <f>'Respuestas de formulario 1'!S829</f>
        <v>2025</v>
      </c>
      <c r="I829" s="7" t="str">
        <f>IFERROR(__xludf.DUMMYFUNCTION("IF('Respuestas de formulario 1'!I829="""","""",TO_TEXT('Respuestas de formulario 1'!I829))"),"Particular")</f>
        <v>Particular</v>
      </c>
      <c r="J829" s="7" t="str">
        <f>IFERROR(__xludf.DUMMYFUNCTION("IF('Respuestas de formulario 1'!J829&lt;&gt;"""",UPPER(TRIM(TO_TEXT('Respuestas de formulario 1'!J829))),IF('Respuestas de formulario 1'!O829&lt;&gt;"""",UPPER(TRIM(TO_TEXT('Respuestas de formulario 1'!O829))),""""))"),"")</f>
        <v/>
      </c>
      <c r="K829" s="7" t="str">
        <f>IFERROR(__xludf.DUMMYFUNCTION("IF('Respuestas de formulario 1'!K829="""","""",TO_TEXT('Respuestas de formulario 1'!K829))"),"Si")</f>
        <v>Si</v>
      </c>
      <c r="L829" s="7" t="str">
        <f>IFERROR(__xludf.DUMMYFUNCTION("IF('Respuestas de formulario 1'!L829="""","""",TO_TEXT('Respuestas de formulario 1'!L829))"),"Running")</f>
        <v>Running</v>
      </c>
      <c r="M829" s="7" t="str">
        <f>IFERROR(__xludf.DUMMYFUNCTION("IF('Respuestas de formulario 1'!M829="""","""",TO_TEXT('Respuestas de formulario 1'!M829))"),"3 a 5 veces por semana")</f>
        <v>3 a 5 veces por semana</v>
      </c>
      <c r="N829" s="7">
        <f t="shared" si="1"/>
        <v>2025</v>
      </c>
      <c r="O829" s="7" t="str">
        <f t="shared" si="2"/>
        <v>enero</v>
      </c>
      <c r="P829" s="7" t="s">
        <v>5834</v>
      </c>
    </row>
    <row r="830">
      <c r="A830" s="19">
        <f>'Respuestas de formulario 1'!A830</f>
        <v>45666.85024</v>
      </c>
      <c r="B830" s="7" t="str">
        <f>'Respuestas de formulario 1'!B830</f>
        <v>Dahbar</v>
      </c>
      <c r="C830" s="7" t="str">
        <f>'Respuestas de formulario 1'!C830</f>
        <v>Silvina Susana </v>
      </c>
      <c r="D830" s="7" t="str">
        <f>'Respuestas de formulario 1'!D830</f>
        <v>dahbarsilvina@gmail.com </v>
      </c>
      <c r="E830" s="20">
        <f>'Respuestas de formulario 1'!E830</f>
        <v>25126</v>
      </c>
      <c r="F830" s="21">
        <f>'Respuestas de formulario 1'!F830</f>
        <v>20531066</v>
      </c>
      <c r="G830" s="7" t="str">
        <f>IFERROR(__xludf.DUMMYFUNCTION("IF('Respuestas de formulario 1'!G830="""","""",IF(LEFT(REGEXREPLACE(TO_TEXT('Respuestas de formulario 1'!G830),""[^0-9]"",""""),2)=""54"",""+""&amp;REGEXREPLACE(TO_TEXT('Respuestas de formulario 1'!G830),""[^0-9]"",""""),""+54""&amp;REGEXREPLACE(TO_TEXT('Respuest"&amp;"as de formulario 1'!G830),""[^0-9]"","""")))"),"+543515121314")</f>
        <v>+543515121314</v>
      </c>
      <c r="H830" s="7">
        <f>'Respuestas de formulario 1'!S830</f>
        <v>2025</v>
      </c>
      <c r="I830" s="7" t="str">
        <f>IFERROR(__xludf.DUMMYFUNCTION("IF('Respuestas de formulario 1'!I830="""","""",TO_TEXT('Respuestas de formulario 1'!I830))"),"Obra social")</f>
        <v>Obra social</v>
      </c>
      <c r="J830" s="7" t="str">
        <f>IFERROR(__xludf.DUMMYFUNCTION("IF('Respuestas de formulario 1'!J830&lt;&gt;"""",UPPER(TRIM(TO_TEXT('Respuestas de formulario 1'!J830))),IF('Respuestas de formulario 1'!O830&lt;&gt;"""",UPPER(TRIM(TO_TEXT('Respuestas de formulario 1'!O830))),""""))"),"APROSS")</f>
        <v>APROSS</v>
      </c>
      <c r="K830" s="7" t="str">
        <f>IFERROR(__xludf.DUMMYFUNCTION("IF('Respuestas de formulario 1'!K830="""","""",TO_TEXT('Respuestas de formulario 1'!K830))"),"Si")</f>
        <v>Si</v>
      </c>
      <c r="L830" s="7" t="str">
        <f>IFERROR(__xludf.DUMMYFUNCTION("IF('Respuestas de formulario 1'!L830="""","""",TO_TEXT('Respuestas de formulario 1'!L830))"),"Pilates funcional")</f>
        <v>Pilates funcional</v>
      </c>
      <c r="M830" s="7" t="str">
        <f>IFERROR(__xludf.DUMMYFUNCTION("IF('Respuestas de formulario 1'!M830="""","""",TO_TEXT('Respuestas de formulario 1'!M830))"),"1 a 2 veces por semana")</f>
        <v>1 a 2 veces por semana</v>
      </c>
      <c r="N830" s="7">
        <f t="shared" si="1"/>
        <v>2025</v>
      </c>
      <c r="O830" s="7" t="str">
        <f t="shared" si="2"/>
        <v>enero</v>
      </c>
      <c r="P830" s="7" t="s">
        <v>5836</v>
      </c>
    </row>
    <row r="831">
      <c r="A831" s="19">
        <f>'Respuestas de formulario 1'!A831</f>
        <v>45667.57694</v>
      </c>
      <c r="B831" s="7" t="str">
        <f>'Respuestas de formulario 1'!B831</f>
        <v>Peralta</v>
      </c>
      <c r="C831" s="7" t="str">
        <f>'Respuestas de formulario 1'!C831</f>
        <v>Magdalena A</v>
      </c>
      <c r="D831" s="7" t="str">
        <f>'Respuestas de formulario 1'!D831</f>
        <v>magdalenaarmindape@gmail.com</v>
      </c>
      <c r="E831" s="20">
        <f>'Respuestas de formulario 1'!E831</f>
        <v>15359</v>
      </c>
      <c r="F831" s="7">
        <f>'Respuestas de formulario 1'!F831</f>
        <v>4278863</v>
      </c>
      <c r="G831" s="7" t="str">
        <f>IFERROR(__xludf.DUMMYFUNCTION("IF('Respuestas de formulario 1'!G831="""","""",IF(LEFT(REGEXREPLACE(TO_TEXT('Respuestas de formulario 1'!G831),""[^0-9]"",""""),2)=""54"",""+""&amp;REGEXREPLACE(TO_TEXT('Respuestas de formulario 1'!G831),""[^0-9]"",""""),""+54""&amp;REGEXREPLACE(TO_TEXT('Respuest"&amp;"as de formulario 1'!G831),""[^0-9]"","""")))"),"+543516362189")</f>
        <v>+543516362189</v>
      </c>
      <c r="H831" s="7">
        <f>'Respuestas de formulario 1'!S831</f>
        <v>2025</v>
      </c>
      <c r="I831" s="7" t="str">
        <f>IFERROR(__xludf.DUMMYFUNCTION("IF('Respuestas de formulario 1'!I831="""","""",TO_TEXT('Respuestas de formulario 1'!I831))"),"Obra social")</f>
        <v>Obra social</v>
      </c>
      <c r="J831" s="7" t="str">
        <f>IFERROR(__xludf.DUMMYFUNCTION("IF('Respuestas de formulario 1'!J831&lt;&gt;"""",UPPER(TRIM(TO_TEXT('Respuestas de formulario 1'!J831))),IF('Respuestas de formulario 1'!O831&lt;&gt;"""",UPPER(TRIM(TO_TEXT('Respuestas de formulario 1'!O831))),""""))"),"APROSS")</f>
        <v>APROSS</v>
      </c>
      <c r="K831" s="7" t="str">
        <f>IFERROR(__xludf.DUMMYFUNCTION("IF('Respuestas de formulario 1'!K831="""","""",TO_TEXT('Respuestas de formulario 1'!K831))"),"Si")</f>
        <v>Si</v>
      </c>
      <c r="L831" s="7" t="str">
        <f>IFERROR(__xludf.DUMMYFUNCTION("IF('Respuestas de formulario 1'!L831="""","""",TO_TEXT('Respuestas de formulario 1'!L831))"),"")</f>
        <v/>
      </c>
      <c r="M831" s="7" t="str">
        <f>IFERROR(__xludf.DUMMYFUNCTION("IF('Respuestas de formulario 1'!M831="""","""",TO_TEXT('Respuestas de formulario 1'!M831))"),"1 a 2 veces por semana")</f>
        <v>1 a 2 veces por semana</v>
      </c>
      <c r="N831" s="7">
        <f t="shared" si="1"/>
        <v>2025</v>
      </c>
      <c r="O831" s="7" t="str">
        <f t="shared" si="2"/>
        <v>enero</v>
      </c>
      <c r="P831" s="7" t="s">
        <v>5838</v>
      </c>
    </row>
    <row r="832">
      <c r="A832" s="19">
        <f>'Respuestas de formulario 1'!A832</f>
        <v>45671.62603</v>
      </c>
      <c r="B832" s="7" t="str">
        <f>'Respuestas de formulario 1'!B832</f>
        <v>Grandi</v>
      </c>
      <c r="C832" s="7" t="str">
        <f>'Respuestas de formulario 1'!C832</f>
        <v>Maria Eugenia</v>
      </c>
      <c r="D832" s="7" t="str">
        <f>'Respuestas de formulario 1'!D832</f>
        <v/>
      </c>
      <c r="E832" s="20">
        <f>'Respuestas de formulario 1'!E832</f>
        <v>17117</v>
      </c>
      <c r="F832" s="7">
        <f>'Respuestas de formulario 1'!F832</f>
        <v>5489599</v>
      </c>
      <c r="G832" s="7" t="str">
        <f>IFERROR(__xludf.DUMMYFUNCTION("IF('Respuestas de formulario 1'!G832="""","""",IF(LEFT(REGEXREPLACE(TO_TEXT('Respuestas de formulario 1'!G832),""[^0-9]"",""""),2)=""54"",""+""&amp;REGEXREPLACE(TO_TEXT('Respuestas de formulario 1'!G832),""[^0-9]"",""""),""+54""&amp;REGEXREPLACE(TO_TEXT('Respuest"&amp;"as de formulario 1'!G832),""[^0-9]"","""")))"),"+543516144212")</f>
        <v>+543516144212</v>
      </c>
      <c r="H832" s="7">
        <f>'Respuestas de formulario 1'!S832</f>
        <v>2025</v>
      </c>
      <c r="I832" s="7" t="str">
        <f>IFERROR(__xludf.DUMMYFUNCTION("IF('Respuestas de formulario 1'!I832="""","""",TO_TEXT('Respuestas de formulario 1'!I832))"),"Obra social")</f>
        <v>Obra social</v>
      </c>
      <c r="J832" s="7" t="str">
        <f>IFERROR(__xludf.DUMMYFUNCTION("IF('Respuestas de formulario 1'!J832&lt;&gt;"""",UPPER(TRIM(TO_TEXT('Respuestas de formulario 1'!J832))),IF('Respuestas de formulario 1'!O832&lt;&gt;"""",UPPER(TRIM(TO_TEXT('Respuestas de formulario 1'!O832))),""""))"),"APROSS")</f>
        <v>APROSS</v>
      </c>
      <c r="K832" s="7" t="str">
        <f>IFERROR(__xludf.DUMMYFUNCTION("IF('Respuestas de formulario 1'!K832="""","""",TO_TEXT('Respuestas de formulario 1'!K832))"),"No")</f>
        <v>No</v>
      </c>
      <c r="L832" s="7" t="str">
        <f>IFERROR(__xludf.DUMMYFUNCTION("IF('Respuestas de formulario 1'!L832="""","""",TO_TEXT('Respuestas de formulario 1'!L832))"),"")</f>
        <v/>
      </c>
      <c r="M832" s="7" t="str">
        <f>IFERROR(__xludf.DUMMYFUNCTION("IF('Respuestas de formulario 1'!M832="""","""",TO_TEXT('Respuestas de formulario 1'!M832))"),"")</f>
        <v/>
      </c>
      <c r="N832" s="7">
        <f t="shared" si="1"/>
        <v>2025</v>
      </c>
      <c r="O832" s="7" t="str">
        <f t="shared" si="2"/>
        <v>enero</v>
      </c>
      <c r="P832" s="7" t="s">
        <v>5840</v>
      </c>
    </row>
    <row r="833">
      <c r="A833" s="19">
        <f>'Respuestas de formulario 1'!A833</f>
        <v>45671.67577</v>
      </c>
      <c r="B833" s="7" t="str">
        <f>'Respuestas de formulario 1'!B833</f>
        <v>Ramos</v>
      </c>
      <c r="C833" s="7" t="str">
        <f>'Respuestas de formulario 1'!C833</f>
        <v>Laura</v>
      </c>
      <c r="D833" s="7" t="str">
        <f>'Respuestas de formulario 1'!D833</f>
        <v/>
      </c>
      <c r="E833" s="20">
        <f>'Respuestas de formulario 1'!E833</f>
        <v>22537</v>
      </c>
      <c r="F833" s="7">
        <f>'Respuestas de formulario 1'!F833</f>
        <v>13951769</v>
      </c>
      <c r="G833" s="7" t="str">
        <f>IFERROR(__xludf.DUMMYFUNCTION("IF('Respuestas de formulario 1'!G833="""","""",IF(LEFT(REGEXREPLACE(TO_TEXT('Respuestas de formulario 1'!G833),""[^0-9]"",""""),2)=""54"",""+""&amp;REGEXREPLACE(TO_TEXT('Respuestas de formulario 1'!G833),""[^0-9]"",""""),""+54""&amp;REGEXREPLACE(TO_TEXT('Respuest"&amp;"as de formulario 1'!G833),""[^0-9]"","""")))"),"+543513019701")</f>
        <v>+543513019701</v>
      </c>
      <c r="H833" s="7">
        <f>'Respuestas de formulario 1'!S833</f>
        <v>2025</v>
      </c>
      <c r="I833" s="7" t="str">
        <f>IFERROR(__xludf.DUMMYFUNCTION("IF('Respuestas de formulario 1'!I833="""","""",TO_TEXT('Respuestas de formulario 1'!I833))"),"Obra social")</f>
        <v>Obra social</v>
      </c>
      <c r="J833" s="7" t="str">
        <f>IFERROR(__xludf.DUMMYFUNCTION("IF('Respuestas de formulario 1'!J833&lt;&gt;"""",UPPER(TRIM(TO_TEXT('Respuestas de formulario 1'!J833))),IF('Respuestas de formulario 1'!O833&lt;&gt;"""",UPPER(TRIM(TO_TEXT('Respuestas de formulario 1'!O833))),""""))"),"APROSS")</f>
        <v>APROSS</v>
      </c>
      <c r="K833" s="7" t="str">
        <f>IFERROR(__xludf.DUMMYFUNCTION("IF('Respuestas de formulario 1'!K833="""","""",TO_TEXT('Respuestas de formulario 1'!K833))"),"Si")</f>
        <v>Si</v>
      </c>
      <c r="L833" s="7" t="str">
        <f>IFERROR(__xludf.DUMMYFUNCTION("IF('Respuestas de formulario 1'!L833="""","""",TO_TEXT('Respuestas de formulario 1'!L833))"),"")</f>
        <v/>
      </c>
      <c r="M833" s="7" t="str">
        <f>IFERROR(__xludf.DUMMYFUNCTION("IF('Respuestas de formulario 1'!M833="""","""",TO_TEXT('Respuestas de formulario 1'!M833))"),"3 a 5 veces por semana")</f>
        <v>3 a 5 veces por semana</v>
      </c>
      <c r="N833" s="7">
        <f t="shared" si="1"/>
        <v>2025</v>
      </c>
      <c r="O833" s="7" t="str">
        <f t="shared" si="2"/>
        <v>enero</v>
      </c>
      <c r="P833" s="7" t="s">
        <v>5842</v>
      </c>
    </row>
    <row r="834">
      <c r="A834" s="19">
        <f>'Respuestas de formulario 1'!A834</f>
        <v>45672.80084</v>
      </c>
      <c r="B834" s="7" t="str">
        <f>'Respuestas de formulario 1'!B834</f>
        <v>Novgorodtsev</v>
      </c>
      <c r="C834" s="7" t="str">
        <f>'Respuestas de formulario 1'!C834</f>
        <v>Nikita</v>
      </c>
      <c r="D834" s="7" t="str">
        <f>'Respuestas de formulario 1'!D834</f>
        <v>cooltank01@gmail.com</v>
      </c>
      <c r="E834" s="20">
        <f>'Respuestas de formulario 1'!E834</f>
        <v>33092</v>
      </c>
      <c r="F834" s="7">
        <f>'Respuestas de formulario 1'!F834</f>
        <v>96360039</v>
      </c>
      <c r="G834" s="7" t="str">
        <f>IFERROR(__xludf.DUMMYFUNCTION("IF('Respuestas de formulario 1'!G834="""","""",IF(LEFT(REGEXREPLACE(TO_TEXT('Respuestas de formulario 1'!G834),""[^0-9]"",""""),2)=""54"",""+""&amp;REGEXREPLACE(TO_TEXT('Respuestas de formulario 1'!G834),""[^0-9]"",""""),""+54""&amp;REGEXREPLACE(TO_TEXT('Respuest"&amp;"as de formulario 1'!G834),""[^0-9]"","""")))"),"+541171164849")</f>
        <v>+541171164849</v>
      </c>
      <c r="H834" s="7">
        <f>'Respuestas de formulario 1'!S834</f>
        <v>2025</v>
      </c>
      <c r="I834" s="7" t="str">
        <f>IFERROR(__xludf.DUMMYFUNCTION("IF('Respuestas de formulario 1'!I834="""","""",TO_TEXT('Respuestas de formulario 1'!I834))"),"Particular")</f>
        <v>Particular</v>
      </c>
      <c r="J834" s="7" t="str">
        <f>IFERROR(__xludf.DUMMYFUNCTION("IF('Respuestas de formulario 1'!J834&lt;&gt;"""",UPPER(TRIM(TO_TEXT('Respuestas de formulario 1'!J834))),IF('Respuestas de formulario 1'!O834&lt;&gt;"""",UPPER(TRIM(TO_TEXT('Respuestas de formulario 1'!O834))),""""))"),"")</f>
        <v/>
      </c>
      <c r="K834" s="7" t="str">
        <f>IFERROR(__xludf.DUMMYFUNCTION("IF('Respuestas de formulario 1'!K834="""","""",TO_TEXT('Respuestas de formulario 1'!K834))"),"Si")</f>
        <v>Si</v>
      </c>
      <c r="L834" s="7" t="str">
        <f>IFERROR(__xludf.DUMMYFUNCTION("IF('Respuestas de formulario 1'!L834="""","""",TO_TEXT('Respuestas de formulario 1'!L834))"),"Gimnasio")</f>
        <v>Gimnasio</v>
      </c>
      <c r="M834" s="7" t="str">
        <f>IFERROR(__xludf.DUMMYFUNCTION("IF('Respuestas de formulario 1'!M834="""","""",TO_TEXT('Respuestas de formulario 1'!M834))"),"1 a 2 veces por semana")</f>
        <v>1 a 2 veces por semana</v>
      </c>
      <c r="N834" s="7">
        <f t="shared" si="1"/>
        <v>2025</v>
      </c>
      <c r="O834" s="7" t="str">
        <f t="shared" si="2"/>
        <v>enero</v>
      </c>
      <c r="P834" s="7" t="s">
        <v>5844</v>
      </c>
    </row>
    <row r="835">
      <c r="A835" s="19">
        <f>'Respuestas de formulario 1'!A835</f>
        <v>45673.36995</v>
      </c>
      <c r="B835" s="7" t="str">
        <f>'Respuestas de formulario 1'!B835</f>
        <v>Segovia</v>
      </c>
      <c r="C835" s="7" t="str">
        <f>'Respuestas de formulario 1'!C835</f>
        <v>Guillermo</v>
      </c>
      <c r="D835" s="7" t="str">
        <f>'Respuestas de formulario 1'!D835</f>
        <v/>
      </c>
      <c r="E835" s="20">
        <f>'Respuestas de formulario 1'!E835</f>
        <v>25180</v>
      </c>
      <c r="F835" s="7">
        <f>'Respuestas de formulario 1'!F835</f>
        <v>20543106</v>
      </c>
      <c r="G835" s="7" t="str">
        <f>IFERROR(__xludf.DUMMYFUNCTION("IF('Respuestas de formulario 1'!G835="""","""",IF(LEFT(REGEXREPLACE(TO_TEXT('Respuestas de formulario 1'!G835),""[^0-9]"",""""),2)=""54"",""+""&amp;REGEXREPLACE(TO_TEXT('Respuestas de formulario 1'!G835),""[^0-9]"",""""),""+54""&amp;REGEXREPLACE(TO_TEXT('Respuest"&amp;"as de formulario 1'!G835),""[^0-9]"","""")))"),"+543516797692")</f>
        <v>+543516797692</v>
      </c>
      <c r="H835" s="7">
        <f>'Respuestas de formulario 1'!S835</f>
        <v>2025</v>
      </c>
      <c r="I835" s="7" t="str">
        <f>IFERROR(__xludf.DUMMYFUNCTION("IF('Respuestas de formulario 1'!I835="""","""",TO_TEXT('Respuestas de formulario 1'!I835))"),"Obra social")</f>
        <v>Obra social</v>
      </c>
      <c r="J835" s="7" t="str">
        <f>IFERROR(__xludf.DUMMYFUNCTION("IF('Respuestas de formulario 1'!J835&lt;&gt;"""",UPPER(TRIM(TO_TEXT('Respuestas de formulario 1'!J835))),IF('Respuestas de formulario 1'!O835&lt;&gt;"""",UPPER(TRIM(TO_TEXT('Respuestas de formulario 1'!O835))),""""))"),"PREVENCIÓN")</f>
        <v>PREVENCIÓN</v>
      </c>
      <c r="K835" s="7" t="str">
        <f>IFERROR(__xludf.DUMMYFUNCTION("IF('Respuestas de formulario 1'!K835="""","""",TO_TEXT('Respuestas de formulario 1'!K835))"),"No")</f>
        <v>No</v>
      </c>
      <c r="L835" s="7" t="str">
        <f>IFERROR(__xludf.DUMMYFUNCTION("IF('Respuestas de formulario 1'!L835="""","""",TO_TEXT('Respuestas de formulario 1'!L835))"),"")</f>
        <v/>
      </c>
      <c r="M835" s="7" t="str">
        <f>IFERROR(__xludf.DUMMYFUNCTION("IF('Respuestas de formulario 1'!M835="""","""",TO_TEXT('Respuestas de formulario 1'!M835))"),"")</f>
        <v/>
      </c>
      <c r="N835" s="7">
        <f t="shared" si="1"/>
        <v>2025</v>
      </c>
      <c r="O835" s="7" t="str">
        <f t="shared" si="2"/>
        <v>enero</v>
      </c>
      <c r="P835" s="7" t="s">
        <v>5846</v>
      </c>
    </row>
    <row r="836">
      <c r="A836" s="19">
        <f>'Respuestas de formulario 1'!A836</f>
        <v>45673.47905</v>
      </c>
      <c r="B836" s="7" t="str">
        <f>'Respuestas de formulario 1'!B836</f>
        <v>Pérez </v>
      </c>
      <c r="C836" s="7" t="str">
        <f>'Respuestas de formulario 1'!C836</f>
        <v>Maria ines</v>
      </c>
      <c r="D836" s="7" t="str">
        <f>'Respuestas de formulario 1'!D836</f>
        <v>inesperezema@gmail.com</v>
      </c>
      <c r="E836" s="20">
        <f>'Respuestas de formulario 1'!E836</f>
        <v>33196</v>
      </c>
      <c r="F836" s="7">
        <f>'Respuestas de formulario 1'!F836</f>
        <v>35531617</v>
      </c>
      <c r="G836" s="7" t="str">
        <f>IFERROR(__xludf.DUMMYFUNCTION("IF('Respuestas de formulario 1'!G836="""","""",IF(LEFT(REGEXREPLACE(TO_TEXT('Respuestas de formulario 1'!G836),""[^0-9]"",""""),2)=""54"",""+""&amp;REGEXREPLACE(TO_TEXT('Respuestas de formulario 1'!G836),""[^0-9]"",""""),""+54""&amp;REGEXREPLACE(TO_TEXT('Respuest"&amp;"as de formulario 1'!G836),""[^0-9]"","""")))"),"+543512327857")</f>
        <v>+543512327857</v>
      </c>
      <c r="H836" s="7">
        <f>'Respuestas de formulario 1'!S836</f>
        <v>2025</v>
      </c>
      <c r="I836" s="7" t="str">
        <f>IFERROR(__xludf.DUMMYFUNCTION("IF('Respuestas de formulario 1'!I836="""","""",TO_TEXT('Respuestas de formulario 1'!I836))"),"Obra social")</f>
        <v>Obra social</v>
      </c>
      <c r="J836" s="7" t="str">
        <f>IFERROR(__xludf.DUMMYFUNCTION("IF('Respuestas de formulario 1'!J836&lt;&gt;"""",UPPER(TRIM(TO_TEXT('Respuestas de formulario 1'!J836))),IF('Respuestas de formulario 1'!O836&lt;&gt;"""",UPPER(TRIM(TO_TEXT('Respuestas de formulario 1'!O836))),""""))"),"OSSOELSAC")</f>
        <v>OSSOELSAC</v>
      </c>
      <c r="K836" s="7" t="str">
        <f>IFERROR(__xludf.DUMMYFUNCTION("IF('Respuestas de formulario 1'!K836="""","""",TO_TEXT('Respuestas de formulario 1'!K836))"),"No")</f>
        <v>No</v>
      </c>
      <c r="L836" s="7" t="str">
        <f>IFERROR(__xludf.DUMMYFUNCTION("IF('Respuestas de formulario 1'!L836="""","""",TO_TEXT('Respuestas de formulario 1'!L836))"),"")</f>
        <v/>
      </c>
      <c r="M836" s="7" t="str">
        <f>IFERROR(__xludf.DUMMYFUNCTION("IF('Respuestas de formulario 1'!M836="""","""",TO_TEXT('Respuestas de formulario 1'!M836))"),"")</f>
        <v/>
      </c>
      <c r="N836" s="7">
        <f t="shared" si="1"/>
        <v>2025</v>
      </c>
      <c r="O836" s="7" t="str">
        <f t="shared" si="2"/>
        <v>enero</v>
      </c>
      <c r="P836" s="7" t="s">
        <v>5848</v>
      </c>
    </row>
    <row r="837">
      <c r="A837" s="19">
        <f>'Respuestas de formulario 1'!A837</f>
        <v>45673.48066</v>
      </c>
      <c r="B837" s="7" t="str">
        <f>'Respuestas de formulario 1'!B837</f>
        <v>Perez</v>
      </c>
      <c r="C837" s="7" t="str">
        <f>'Respuestas de formulario 1'!C837</f>
        <v>Maria Inés </v>
      </c>
      <c r="D837" s="7" t="str">
        <f>'Respuestas de formulario 1'!D837</f>
        <v>inesperezema@gmail.com</v>
      </c>
      <c r="E837" s="20">
        <f>'Respuestas de formulario 1'!E837</f>
        <v>33196</v>
      </c>
      <c r="F837" s="7">
        <f>'Respuestas de formulario 1'!F837</f>
        <v>35531617</v>
      </c>
      <c r="G837" s="7" t="str">
        <f>IFERROR(__xludf.DUMMYFUNCTION("IF('Respuestas de formulario 1'!G837="""","""",IF(LEFT(REGEXREPLACE(TO_TEXT('Respuestas de formulario 1'!G837),""[^0-9]"",""""),2)=""54"",""+""&amp;REGEXREPLACE(TO_TEXT('Respuestas de formulario 1'!G837),""[^0-9]"",""""),""+54""&amp;REGEXREPLACE(TO_TEXT('Respuest"&amp;"as de formulario 1'!G837),""[^0-9]"","""")))"),"+543512327857")</f>
        <v>+543512327857</v>
      </c>
      <c r="H837" s="7">
        <f>'Respuestas de formulario 1'!S837</f>
        <v>2025</v>
      </c>
      <c r="I837" s="7" t="str">
        <f>IFERROR(__xludf.DUMMYFUNCTION("IF('Respuestas de formulario 1'!I837="""","""",TO_TEXT('Respuestas de formulario 1'!I837))"),"Obra social")</f>
        <v>Obra social</v>
      </c>
      <c r="J837" s="7" t="str">
        <f>IFERROR(__xludf.DUMMYFUNCTION("IF('Respuestas de formulario 1'!J837&lt;&gt;"""",UPPER(TRIM(TO_TEXT('Respuestas de formulario 1'!J837))),IF('Respuestas de formulario 1'!O837&lt;&gt;"""",UPPER(TRIM(TO_TEXT('Respuestas de formulario 1'!O837))),""""))"),"OSOELSAC")</f>
        <v>OSOELSAC</v>
      </c>
      <c r="K837" s="7" t="str">
        <f>IFERROR(__xludf.DUMMYFUNCTION("IF('Respuestas de formulario 1'!K837="""","""",TO_TEXT('Respuestas de formulario 1'!K837))"),"No")</f>
        <v>No</v>
      </c>
      <c r="L837" s="7" t="str">
        <f>IFERROR(__xludf.DUMMYFUNCTION("IF('Respuestas de formulario 1'!L837="""","""",TO_TEXT('Respuestas de formulario 1'!L837))"),"")</f>
        <v/>
      </c>
      <c r="M837" s="7" t="str">
        <f>IFERROR(__xludf.DUMMYFUNCTION("IF('Respuestas de formulario 1'!M837="""","""",TO_TEXT('Respuestas de formulario 1'!M837))"),"")</f>
        <v/>
      </c>
      <c r="N837" s="7">
        <f t="shared" si="1"/>
        <v>2025</v>
      </c>
      <c r="O837" s="7" t="str">
        <f t="shared" si="2"/>
        <v>enero</v>
      </c>
      <c r="P837" s="7" t="s">
        <v>5850</v>
      </c>
    </row>
    <row r="838">
      <c r="A838" s="19">
        <f>'Respuestas de formulario 1'!A838</f>
        <v>45673.62499</v>
      </c>
      <c r="B838" s="7" t="str">
        <f>'Respuestas de formulario 1'!B838</f>
        <v>Maturano</v>
      </c>
      <c r="C838" s="7" t="str">
        <f>'Respuestas de formulario 1'!C838</f>
        <v>Clarisa</v>
      </c>
      <c r="D838" s="7" t="str">
        <f>'Respuestas de formulario 1'!D838</f>
        <v/>
      </c>
      <c r="E838" s="20">
        <f>'Respuestas de formulario 1'!E838</f>
        <v>27606</v>
      </c>
      <c r="F838" s="7">
        <f>'Respuestas de formulario 1'!F838</f>
        <v>24629326</v>
      </c>
      <c r="G838" s="7" t="str">
        <f>IFERROR(__xludf.DUMMYFUNCTION("IF('Respuestas de formulario 1'!G838="""","""",IF(LEFT(REGEXREPLACE(TO_TEXT('Respuestas de formulario 1'!G838),""[^0-9]"",""""),2)=""54"",""+""&amp;REGEXREPLACE(TO_TEXT('Respuestas de formulario 1'!G838),""[^0-9]"",""""),""+54""&amp;REGEXREPLACE(TO_TEXT('Respuest"&amp;"as de formulario 1'!G838),""[^0-9]"","""")))"),"+543512273529")</f>
        <v>+543512273529</v>
      </c>
      <c r="H838" s="7">
        <f>'Respuestas de formulario 1'!S838</f>
        <v>2025</v>
      </c>
      <c r="I838" s="7" t="str">
        <f>IFERROR(__xludf.DUMMYFUNCTION("IF('Respuestas de formulario 1'!I838="""","""",TO_TEXT('Respuestas de formulario 1'!I838))"),"Particular")</f>
        <v>Particular</v>
      </c>
      <c r="J838" s="7" t="str">
        <f>IFERROR(__xludf.DUMMYFUNCTION("IF('Respuestas de formulario 1'!J838&lt;&gt;"""",UPPER(TRIM(TO_TEXT('Respuestas de formulario 1'!J838))),IF('Respuestas de formulario 1'!O838&lt;&gt;"""",UPPER(TRIM(TO_TEXT('Respuestas de formulario 1'!O838))),""""))"),"")</f>
        <v/>
      </c>
      <c r="K838" s="7" t="str">
        <f>IFERROR(__xludf.DUMMYFUNCTION("IF('Respuestas de formulario 1'!K838="""","""",TO_TEXT('Respuestas de formulario 1'!K838))"),"No")</f>
        <v>No</v>
      </c>
      <c r="L838" s="7" t="str">
        <f>IFERROR(__xludf.DUMMYFUNCTION("IF('Respuestas de formulario 1'!L838="""","""",TO_TEXT('Respuestas de formulario 1'!L838))"),"")</f>
        <v/>
      </c>
      <c r="M838" s="7" t="str">
        <f>IFERROR(__xludf.DUMMYFUNCTION("IF('Respuestas de formulario 1'!M838="""","""",TO_TEXT('Respuestas de formulario 1'!M838))"),"")</f>
        <v/>
      </c>
      <c r="N838" s="7">
        <f t="shared" si="1"/>
        <v>2025</v>
      </c>
      <c r="O838" s="7" t="str">
        <f t="shared" si="2"/>
        <v>enero</v>
      </c>
      <c r="P838" s="7" t="s">
        <v>5851</v>
      </c>
    </row>
    <row r="839">
      <c r="A839" s="19">
        <f>'Respuestas de formulario 1'!A839</f>
        <v>45674.63204</v>
      </c>
      <c r="B839" s="7" t="str">
        <f>'Respuestas de formulario 1'!B839</f>
        <v>Varela </v>
      </c>
      <c r="C839" s="7" t="str">
        <f>'Respuestas de formulario 1'!C839</f>
        <v>Daniel Alejandro </v>
      </c>
      <c r="D839" s="7" t="str">
        <f>'Respuestas de formulario 1'!D839</f>
        <v>danielalevarela1973@gmail.com </v>
      </c>
      <c r="E839" s="20">
        <f>'Respuestas de formulario 1'!E839</f>
        <v>26672</v>
      </c>
      <c r="F839" s="7">
        <f>'Respuestas de formulario 1'!F839</f>
        <v>23194124</v>
      </c>
      <c r="G839" s="7" t="str">
        <f>IFERROR(__xludf.DUMMYFUNCTION("IF('Respuestas de formulario 1'!G839="""","""",IF(LEFT(REGEXREPLACE(TO_TEXT('Respuestas de formulario 1'!G839),""[^0-9]"",""""),2)=""54"",""+""&amp;REGEXREPLACE(TO_TEXT('Respuestas de formulario 1'!G839),""[^0-9]"",""""),""+54""&amp;REGEXREPLACE(TO_TEXT('Respuest"&amp;"as de formulario 1'!G839),""[^0-9]"","""")))"),"+543516220388")</f>
        <v>+543516220388</v>
      </c>
      <c r="H839" s="7">
        <f>'Respuestas de formulario 1'!S839</f>
        <v>2025</v>
      </c>
      <c r="I839" s="7" t="str">
        <f>IFERROR(__xludf.DUMMYFUNCTION("IF('Respuestas de formulario 1'!I839="""","""",TO_TEXT('Respuestas de formulario 1'!I839))"),"Obra social")</f>
        <v>Obra social</v>
      </c>
      <c r="J839" s="7" t="str">
        <f>IFERROR(__xludf.DUMMYFUNCTION("IF('Respuestas de formulario 1'!J839&lt;&gt;"""",UPPER(TRIM(TO_TEXT('Respuestas de formulario 1'!J839))),IF('Respuestas de formulario 1'!O839&lt;&gt;"""",UPPER(TRIM(TO_TEXT('Respuestas de formulario 1'!O839))),""""))"),"BOREAL")</f>
        <v>BOREAL</v>
      </c>
      <c r="K839" s="7" t="str">
        <f>IFERROR(__xludf.DUMMYFUNCTION("IF('Respuestas de formulario 1'!K839="""","""",TO_TEXT('Respuestas de formulario 1'!K839))"),"No")</f>
        <v>No</v>
      </c>
      <c r="L839" s="7" t="str">
        <f>IFERROR(__xludf.DUMMYFUNCTION("IF('Respuestas de formulario 1'!L839="""","""",TO_TEXT('Respuestas de formulario 1'!L839))"),"")</f>
        <v/>
      </c>
      <c r="M839" s="7" t="str">
        <f>IFERROR(__xludf.DUMMYFUNCTION("IF('Respuestas de formulario 1'!M839="""","""",TO_TEXT('Respuestas de formulario 1'!M839))"),"")</f>
        <v/>
      </c>
      <c r="N839" s="7">
        <f t="shared" si="1"/>
        <v>2025</v>
      </c>
      <c r="O839" s="7" t="str">
        <f t="shared" si="2"/>
        <v>enero</v>
      </c>
      <c r="P839" s="7" t="s">
        <v>5853</v>
      </c>
    </row>
    <row r="840">
      <c r="A840" s="19">
        <f>'Respuestas de formulario 1'!A840</f>
        <v>45674.66879</v>
      </c>
      <c r="B840" s="7" t="str">
        <f>'Respuestas de formulario 1'!B840</f>
        <v>Tello</v>
      </c>
      <c r="C840" s="7" t="str">
        <f>'Respuestas de formulario 1'!C840</f>
        <v>Veronica</v>
      </c>
      <c r="D840" s="7" t="str">
        <f>'Respuestas de formulario 1'!D840</f>
        <v>verotello81@hotmail.com</v>
      </c>
      <c r="E840" s="20">
        <f>'Respuestas de formulario 1'!E840</f>
        <v>29947</v>
      </c>
      <c r="F840" s="7">
        <f>'Respuestas de formulario 1'!F840</f>
        <v>29206980</v>
      </c>
      <c r="G840" s="7" t="str">
        <f>IFERROR(__xludf.DUMMYFUNCTION("IF('Respuestas de formulario 1'!G840="""","""",IF(LEFT(REGEXREPLACE(TO_TEXT('Respuestas de formulario 1'!G840),""[^0-9]"",""""),2)=""54"",""+""&amp;REGEXREPLACE(TO_TEXT('Respuestas de formulario 1'!G840),""[^0-9]"",""""),""+54""&amp;REGEXREPLACE(TO_TEXT('Respuest"&amp;"as de formulario 1'!G840),""[^0-9]"","""")))"),"+543515116806")</f>
        <v>+543515116806</v>
      </c>
      <c r="H840" s="7">
        <f>'Respuestas de formulario 1'!S840</f>
        <v>2025</v>
      </c>
      <c r="I840" s="7" t="str">
        <f>IFERROR(__xludf.DUMMYFUNCTION("IF('Respuestas de formulario 1'!I840="""","""",TO_TEXT('Respuestas de formulario 1'!I840))"),"Obra social")</f>
        <v>Obra social</v>
      </c>
      <c r="J840" s="7" t="str">
        <f>IFERROR(__xludf.DUMMYFUNCTION("IF('Respuestas de formulario 1'!J840&lt;&gt;"""",UPPER(TRIM(TO_TEXT('Respuestas de formulario 1'!J840))),IF('Respuestas de formulario 1'!O840&lt;&gt;"""",UPPER(TRIM(TO_TEXT('Respuestas de formulario 1'!O840))),""""))"),"APROSS")</f>
        <v>APROSS</v>
      </c>
      <c r="K840" s="7" t="str">
        <f>IFERROR(__xludf.DUMMYFUNCTION("IF('Respuestas de formulario 1'!K840="""","""",TO_TEXT('Respuestas de formulario 1'!K840))"),"Si")</f>
        <v>Si</v>
      </c>
      <c r="L840" s="7" t="str">
        <f>IFERROR(__xludf.DUMMYFUNCTION("IF('Respuestas de formulario 1'!L840="""","""",TO_TEXT('Respuestas de formulario 1'!L840))"),"Gimnasio")</f>
        <v>Gimnasio</v>
      </c>
      <c r="M840" s="7" t="str">
        <f>IFERROR(__xludf.DUMMYFUNCTION("IF('Respuestas de formulario 1'!M840="""","""",TO_TEXT('Respuestas de formulario 1'!M840))"),"1 a 2 veces por semana")</f>
        <v>1 a 2 veces por semana</v>
      </c>
      <c r="N840" s="7">
        <f t="shared" si="1"/>
        <v>2025</v>
      </c>
      <c r="O840" s="7" t="str">
        <f t="shared" si="2"/>
        <v>enero</v>
      </c>
      <c r="P840" s="7" t="s">
        <v>5855</v>
      </c>
    </row>
    <row r="841">
      <c r="A841" s="19">
        <f>'Respuestas de formulario 1'!A841</f>
        <v>45677.40348</v>
      </c>
      <c r="B841" s="7" t="str">
        <f>'Respuestas de formulario 1'!B841</f>
        <v>Ortiz</v>
      </c>
      <c r="C841" s="7" t="str">
        <f>'Respuestas de formulario 1'!C841</f>
        <v>Lucio</v>
      </c>
      <c r="D841" s="7" t="str">
        <f>'Respuestas de formulario 1'!D841</f>
        <v>-</v>
      </c>
      <c r="E841" s="20">
        <f>'Respuestas de formulario 1'!E841</f>
        <v>15278</v>
      </c>
      <c r="F841" s="7">
        <f>'Respuestas de formulario 1'!F841</f>
        <v>7965847</v>
      </c>
      <c r="G841" s="7" t="str">
        <f>IFERROR(__xludf.DUMMYFUNCTION("IF('Respuestas de formulario 1'!G841="""","""",IF(LEFT(REGEXREPLACE(TO_TEXT('Respuestas de formulario 1'!G841),""[^0-9]"",""""),2)=""54"",""+""&amp;REGEXREPLACE(TO_TEXT('Respuestas de formulario 1'!G841),""[^0-9]"",""""),""+54""&amp;REGEXREPLACE(TO_TEXT('Respuest"&amp;"as de formulario 1'!G841),""[^0-9]"","""")))"),"+543512007914")</f>
        <v>+543512007914</v>
      </c>
      <c r="H841" s="7">
        <f>'Respuestas de formulario 1'!S841</f>
        <v>2025</v>
      </c>
      <c r="I841" s="7" t="str">
        <f>IFERROR(__xludf.DUMMYFUNCTION("IF('Respuestas de formulario 1'!I841="""","""",TO_TEXT('Respuestas de formulario 1'!I841))"),"Obra social")</f>
        <v>Obra social</v>
      </c>
      <c r="J841" s="7" t="str">
        <f>IFERROR(__xludf.DUMMYFUNCTION("IF('Respuestas de formulario 1'!J841&lt;&gt;"""",UPPER(TRIM(TO_TEXT('Respuestas de formulario 1'!J841))),IF('Respuestas de formulario 1'!O841&lt;&gt;"""",UPPER(TRIM(TO_TEXT('Respuestas de formulario 1'!O841))),""""))"),"APROSS")</f>
        <v>APROSS</v>
      </c>
      <c r="K841" s="7" t="str">
        <f>IFERROR(__xludf.DUMMYFUNCTION("IF('Respuestas de formulario 1'!K841="""","""",TO_TEXT('Respuestas de formulario 1'!K841))"),"Si")</f>
        <v>Si</v>
      </c>
      <c r="L841" s="7" t="str">
        <f>IFERROR(__xludf.DUMMYFUNCTION("IF('Respuestas de formulario 1'!L841="""","""",TO_TEXT('Respuestas de formulario 1'!L841))"),"Caminata")</f>
        <v>Caminata</v>
      </c>
      <c r="M841" s="7" t="str">
        <f>IFERROR(__xludf.DUMMYFUNCTION("IF('Respuestas de formulario 1'!M841="""","""",TO_TEXT('Respuestas de formulario 1'!M841))"),"6 a 7 veces por semana")</f>
        <v>6 a 7 veces por semana</v>
      </c>
      <c r="N841" s="7">
        <f t="shared" si="1"/>
        <v>2025</v>
      </c>
      <c r="O841" s="7" t="str">
        <f t="shared" si="2"/>
        <v>enero</v>
      </c>
      <c r="P841" s="7" t="s">
        <v>5857</v>
      </c>
    </row>
    <row r="842">
      <c r="A842" s="19">
        <f>'Respuestas de formulario 1'!A842</f>
        <v>45677.65396</v>
      </c>
      <c r="B842" s="7" t="str">
        <f>'Respuestas de formulario 1'!B842</f>
        <v>Malcolm</v>
      </c>
      <c r="C842" s="7" t="str">
        <f>'Respuestas de formulario 1'!C842</f>
        <v>Elsa</v>
      </c>
      <c r="D842" s="7" t="str">
        <f>'Respuestas de formulario 1'!D842</f>
        <v>emp-39@hotmail.com</v>
      </c>
      <c r="E842" s="20">
        <f>'Respuestas de formulario 1'!E842</f>
        <v>18451</v>
      </c>
      <c r="F842" s="7">
        <f>'Respuestas de formulario 1'!F842</f>
        <v>6401938</v>
      </c>
      <c r="G842" s="7" t="str">
        <f>IFERROR(__xludf.DUMMYFUNCTION("IF('Respuestas de formulario 1'!G842="""","""",IF(LEFT(REGEXREPLACE(TO_TEXT('Respuestas de formulario 1'!G842),""[^0-9]"",""""),2)=""54"",""+""&amp;REGEXREPLACE(TO_TEXT('Respuestas de formulario 1'!G842),""[^0-9]"",""""),""+54""&amp;REGEXREPLACE(TO_TEXT('Respuest"&amp;"as de formulario 1'!G842),""[^0-9]"","""")))"),"+543516635350")</f>
        <v>+543516635350</v>
      </c>
      <c r="H842" s="7">
        <f>'Respuestas de formulario 1'!S842</f>
        <v>2025</v>
      </c>
      <c r="I842" s="7" t="str">
        <f>IFERROR(__xludf.DUMMYFUNCTION("IF('Respuestas de formulario 1'!I842="""","""",TO_TEXT('Respuestas de formulario 1'!I842))"),"Obra social")</f>
        <v>Obra social</v>
      </c>
      <c r="J842" s="7" t="str">
        <f>IFERROR(__xludf.DUMMYFUNCTION("IF('Respuestas de formulario 1'!J842&lt;&gt;"""",UPPER(TRIM(TO_TEXT('Respuestas de formulario 1'!J842))),IF('Respuestas de formulario 1'!O842&lt;&gt;"""",UPPER(TRIM(TO_TEXT('Respuestas de formulario 1'!O842))),""""))"),"CPCE")</f>
        <v>CPCE</v>
      </c>
      <c r="K842" s="7" t="str">
        <f>IFERROR(__xludf.DUMMYFUNCTION("IF('Respuestas de formulario 1'!K842="""","""",TO_TEXT('Respuestas de formulario 1'!K842))"),"Si")</f>
        <v>Si</v>
      </c>
      <c r="L842" s="7" t="str">
        <f>IFERROR(__xludf.DUMMYFUNCTION("IF('Respuestas de formulario 1'!L842="""","""",TO_TEXT('Respuestas de formulario 1'!L842))"),"Gimnasio")</f>
        <v>Gimnasio</v>
      </c>
      <c r="M842" s="7" t="str">
        <f>IFERROR(__xludf.DUMMYFUNCTION("IF('Respuestas de formulario 1'!M842="""","""",TO_TEXT('Respuestas de formulario 1'!M842))"),"1 a 2 veces por semana")</f>
        <v>1 a 2 veces por semana</v>
      </c>
      <c r="N842" s="7">
        <f t="shared" si="1"/>
        <v>2025</v>
      </c>
      <c r="O842" s="7" t="str">
        <f t="shared" si="2"/>
        <v>enero</v>
      </c>
      <c r="P842" s="7" t="s">
        <v>5859</v>
      </c>
    </row>
    <row r="843">
      <c r="A843" s="19">
        <f>'Respuestas de formulario 1'!A843</f>
        <v>45677.80782</v>
      </c>
      <c r="B843" s="7" t="str">
        <f>'Respuestas de formulario 1'!B843</f>
        <v>Juan</v>
      </c>
      <c r="C843" s="7" t="str">
        <f>'Respuestas de formulario 1'!C843</f>
        <v>Martín alberto</v>
      </c>
      <c r="D843" s="7" t="str">
        <f>'Respuestas de formulario 1'!D843</f>
        <v/>
      </c>
      <c r="E843" s="20">
        <f>'Respuestas de formulario 1'!E843</f>
        <v>32171</v>
      </c>
      <c r="F843" s="7">
        <f>'Respuestas de formulario 1'!F843</f>
        <v>33535439</v>
      </c>
      <c r="G843" s="7" t="str">
        <f>IFERROR(__xludf.DUMMYFUNCTION("IF('Respuestas de formulario 1'!G843="""","""",IF(LEFT(REGEXREPLACE(TO_TEXT('Respuestas de formulario 1'!G843),""[^0-9]"",""""),2)=""54"",""+""&amp;REGEXREPLACE(TO_TEXT('Respuestas de formulario 1'!G843),""[^0-9]"",""""),""+54""&amp;REGEXREPLACE(TO_TEXT('Respuest"&amp;"as de formulario 1'!G843),""[^0-9]"","""")))"),"+543517393466")</f>
        <v>+543517393466</v>
      </c>
      <c r="H843" s="7">
        <f>'Respuestas de formulario 1'!S843</f>
        <v>2025</v>
      </c>
      <c r="I843" s="7" t="str">
        <f>IFERROR(__xludf.DUMMYFUNCTION("IF('Respuestas de formulario 1'!I843="""","""",TO_TEXT('Respuestas de formulario 1'!I843))"),"Obra social")</f>
        <v>Obra social</v>
      </c>
      <c r="J843" s="7" t="str">
        <f>IFERROR(__xludf.DUMMYFUNCTION("IF('Respuestas de formulario 1'!J843&lt;&gt;"""",UPPER(TRIM(TO_TEXT('Respuestas de formulario 1'!J843))),IF('Respuestas de formulario 1'!O843&lt;&gt;"""",UPPER(TRIM(TO_TEXT('Respuestas de formulario 1'!O843))),""""))"),"SANCOR")</f>
        <v>SANCOR</v>
      </c>
      <c r="K843" s="7" t="str">
        <f>IFERROR(__xludf.DUMMYFUNCTION("IF('Respuestas de formulario 1'!K843="""","""",TO_TEXT('Respuestas de formulario 1'!K843))"),"Si")</f>
        <v>Si</v>
      </c>
      <c r="L843" s="7" t="str">
        <f>IFERROR(__xludf.DUMMYFUNCTION("IF('Respuestas de formulario 1'!L843="""","""",TO_TEXT('Respuestas de formulario 1'!L843))"),"Surf")</f>
        <v>Surf</v>
      </c>
      <c r="M843" s="7" t="str">
        <f>IFERROR(__xludf.DUMMYFUNCTION("IF('Respuestas de formulario 1'!M843="""","""",TO_TEXT('Respuestas de formulario 1'!M843))"),"3 a 5 veces por semana")</f>
        <v>3 a 5 veces por semana</v>
      </c>
      <c r="N843" s="7">
        <f t="shared" si="1"/>
        <v>2025</v>
      </c>
      <c r="O843" s="7" t="str">
        <f t="shared" si="2"/>
        <v>enero</v>
      </c>
      <c r="P843" s="7" t="s">
        <v>5861</v>
      </c>
    </row>
    <row r="844">
      <c r="A844" s="19">
        <f>'Respuestas de formulario 1'!A844</f>
        <v>45677.81876</v>
      </c>
      <c r="B844" s="7" t="str">
        <f>'Respuestas de formulario 1'!B844</f>
        <v>EGUILUZ </v>
      </c>
      <c r="C844" s="7" t="str">
        <f>'Respuestas de formulario 1'!C844</f>
        <v>Alfredo</v>
      </c>
      <c r="D844" s="7" t="str">
        <f>'Respuestas de formulario 1'!D844</f>
        <v>eguiluzalfredo@gmail.com</v>
      </c>
      <c r="E844" s="20">
        <f>'Respuestas de formulario 1'!E844</f>
        <v>20360</v>
      </c>
      <c r="F844" s="21">
        <f>'Respuestas de formulario 1'!F844</f>
        <v>11785895</v>
      </c>
      <c r="G844" s="7" t="str">
        <f>IFERROR(__xludf.DUMMYFUNCTION("IF('Respuestas de formulario 1'!G844="""","""",IF(LEFT(REGEXREPLACE(TO_TEXT('Respuestas de formulario 1'!G844),""[^0-9]"",""""),2)=""54"",""+""&amp;REGEXREPLACE(TO_TEXT('Respuestas de formulario 1'!G844),""[^0-9]"",""""),""+54""&amp;REGEXREPLACE(TO_TEXT('Respuest"&amp;"as de formulario 1'!G844),""[^0-9]"","""")))"),"+543515295932")</f>
        <v>+543515295932</v>
      </c>
      <c r="H844" s="7">
        <f>'Respuestas de formulario 1'!S844</f>
        <v>2025</v>
      </c>
      <c r="I844" s="7" t="str">
        <f>IFERROR(__xludf.DUMMYFUNCTION("IF('Respuestas de formulario 1'!I844="""","""",TO_TEXT('Respuestas de formulario 1'!I844))"),"Particular")</f>
        <v>Particular</v>
      </c>
      <c r="J844" s="7" t="str">
        <f>IFERROR(__xludf.DUMMYFUNCTION("IF('Respuestas de formulario 1'!J844&lt;&gt;"""",UPPER(TRIM(TO_TEXT('Respuestas de formulario 1'!J844))),IF('Respuestas de formulario 1'!O844&lt;&gt;"""",UPPER(TRIM(TO_TEXT('Respuestas de formulario 1'!O844))),""""))"),"")</f>
        <v/>
      </c>
      <c r="K844" s="7" t="str">
        <f>IFERROR(__xludf.DUMMYFUNCTION("IF('Respuestas de formulario 1'!K844="""","""",TO_TEXT('Respuestas de formulario 1'!K844))"),"No")</f>
        <v>No</v>
      </c>
      <c r="L844" s="7" t="str">
        <f>IFERROR(__xludf.DUMMYFUNCTION("IF('Respuestas de formulario 1'!L844="""","""",TO_TEXT('Respuestas de formulario 1'!L844))"),"")</f>
        <v/>
      </c>
      <c r="M844" s="7" t="str">
        <f>IFERROR(__xludf.DUMMYFUNCTION("IF('Respuestas de formulario 1'!M844="""","""",TO_TEXT('Respuestas de formulario 1'!M844))"),"")</f>
        <v/>
      </c>
      <c r="N844" s="7">
        <f t="shared" si="1"/>
        <v>2025</v>
      </c>
      <c r="O844" s="7" t="str">
        <f t="shared" si="2"/>
        <v>enero</v>
      </c>
      <c r="P844" s="7" t="s">
        <v>5863</v>
      </c>
    </row>
    <row r="845">
      <c r="A845" s="19">
        <f>'Respuestas de formulario 1'!A845</f>
        <v>45677.81958</v>
      </c>
      <c r="B845" s="7" t="str">
        <f>'Respuestas de formulario 1'!B845</f>
        <v>Raimondi</v>
      </c>
      <c r="C845" s="7" t="str">
        <f>'Respuestas de formulario 1'!C845</f>
        <v>Letizia Lucila</v>
      </c>
      <c r="D845" s="7" t="str">
        <f>'Respuestas de formulario 1'!D845</f>
        <v>letiraimondi@gmail.com</v>
      </c>
      <c r="E845" s="20">
        <f>'Respuestas de formulario 1'!E845</f>
        <v>20759</v>
      </c>
      <c r="F845" s="7">
        <f>'Respuestas de formulario 1'!F845</f>
        <v>12672465</v>
      </c>
      <c r="G845" s="7" t="str">
        <f>IFERROR(__xludf.DUMMYFUNCTION("IF('Respuestas de formulario 1'!G845="""","""",IF(LEFT(REGEXREPLACE(TO_TEXT('Respuestas de formulario 1'!G845),""[^0-9]"",""""),2)=""54"",""+""&amp;REGEXREPLACE(TO_TEXT('Respuestas de formulario 1'!G845),""[^0-9]"",""""),""+54""&amp;REGEXREPLACE(TO_TEXT('Respuest"&amp;"as de formulario 1'!G845),""[^0-9]"","""")))"),"+543512411840")</f>
        <v>+543512411840</v>
      </c>
      <c r="H845" s="7">
        <f>'Respuestas de formulario 1'!S845</f>
        <v>2025</v>
      </c>
      <c r="I845" s="7" t="str">
        <f>IFERROR(__xludf.DUMMYFUNCTION("IF('Respuestas de formulario 1'!I845="""","""",TO_TEXT('Respuestas de formulario 1'!I845))"),"Particular")</f>
        <v>Particular</v>
      </c>
      <c r="J845" s="7" t="str">
        <f>IFERROR(__xludf.DUMMYFUNCTION("IF('Respuestas de formulario 1'!J845&lt;&gt;"""",UPPER(TRIM(TO_TEXT('Respuestas de formulario 1'!J845))),IF('Respuestas de formulario 1'!O845&lt;&gt;"""",UPPER(TRIM(TO_TEXT('Respuestas de formulario 1'!O845))),""""))"),"")</f>
        <v/>
      </c>
      <c r="K845" s="7" t="str">
        <f>IFERROR(__xludf.DUMMYFUNCTION("IF('Respuestas de formulario 1'!K845="""","""",TO_TEXT('Respuestas de formulario 1'!K845))"),"Si")</f>
        <v>Si</v>
      </c>
      <c r="L845" s="7" t="str">
        <f>IFERROR(__xludf.DUMMYFUNCTION("IF('Respuestas de formulario 1'!L845="""","""",TO_TEXT('Respuestas de formulario 1'!L845))"),"Danza -Salsa")</f>
        <v>Danza -Salsa</v>
      </c>
      <c r="M845" s="7" t="str">
        <f>IFERROR(__xludf.DUMMYFUNCTION("IF('Respuestas de formulario 1'!M845="""","""",TO_TEXT('Respuestas de formulario 1'!M845))"),"3 a 5 veces por semana")</f>
        <v>3 a 5 veces por semana</v>
      </c>
      <c r="N845" s="7">
        <f t="shared" si="1"/>
        <v>2025</v>
      </c>
      <c r="O845" s="7" t="str">
        <f t="shared" si="2"/>
        <v>enero</v>
      </c>
      <c r="P845" s="7" t="s">
        <v>5865</v>
      </c>
    </row>
    <row r="846">
      <c r="A846" s="19">
        <f>'Respuestas de formulario 1'!A846</f>
        <v>45678.74357</v>
      </c>
      <c r="B846" s="7" t="str">
        <f>'Respuestas de formulario 1'!B846</f>
        <v>Toloza</v>
      </c>
      <c r="C846" s="7" t="str">
        <f>'Respuestas de formulario 1'!C846</f>
        <v>Mario</v>
      </c>
      <c r="D846" s="7" t="str">
        <f>'Respuestas de formulario 1'!D846</f>
        <v>mario.toloza3472@hotmail.com</v>
      </c>
      <c r="E846" s="20">
        <f>'Respuestas de formulario 1'!E846</f>
        <v>31891</v>
      </c>
      <c r="F846" s="7">
        <f>'Respuestas de formulario 1'!F846</f>
        <v>33029301</v>
      </c>
      <c r="G846" s="7" t="str">
        <f>IFERROR(__xludf.DUMMYFUNCTION("IF('Respuestas de formulario 1'!G846="""","""",IF(LEFT(REGEXREPLACE(TO_TEXT('Respuestas de formulario 1'!G846),""[^0-9]"",""""),2)=""54"",""+""&amp;REGEXREPLACE(TO_TEXT('Respuestas de formulario 1'!G846),""[^0-9]"",""""),""+54""&amp;REGEXREPLACE(TO_TEXT('Respuest"&amp;"as de formulario 1'!G846),""[^0-9]"","""")))"),"+543513359751")</f>
        <v>+543513359751</v>
      </c>
      <c r="H846" s="7">
        <f>'Respuestas de formulario 1'!S846</f>
        <v>2025</v>
      </c>
      <c r="I846" s="7" t="str">
        <f>IFERROR(__xludf.DUMMYFUNCTION("IF('Respuestas de formulario 1'!I846="""","""",TO_TEXT('Respuestas de formulario 1'!I846))"),"Obra social")</f>
        <v>Obra social</v>
      </c>
      <c r="J846" s="7" t="str">
        <f>IFERROR(__xludf.DUMMYFUNCTION("IF('Respuestas de formulario 1'!J846&lt;&gt;"""",UPPER(TRIM(TO_TEXT('Respuestas de formulario 1'!J846))),IF('Respuestas de formulario 1'!O846&lt;&gt;"""",UPPER(TRIM(TO_TEXT('Respuestas de formulario 1'!O846))),""""))"),"UNIMED")</f>
        <v>UNIMED</v>
      </c>
      <c r="K846" s="7" t="str">
        <f>IFERROR(__xludf.DUMMYFUNCTION("IF('Respuestas de formulario 1'!K846="""","""",TO_TEXT('Respuestas de formulario 1'!K846))"),"Si")</f>
        <v>Si</v>
      </c>
      <c r="L846" s="7" t="str">
        <f>IFERROR(__xludf.DUMMYFUNCTION("IF('Respuestas de formulario 1'!L846="""","""",TO_TEXT('Respuestas de formulario 1'!L846))"),"Running")</f>
        <v>Running</v>
      </c>
      <c r="M846" s="7" t="str">
        <f>IFERROR(__xludf.DUMMYFUNCTION("IF('Respuestas de formulario 1'!M846="""","""",TO_TEXT('Respuestas de formulario 1'!M846))"),"1 a 2 veces por semana")</f>
        <v>1 a 2 veces por semana</v>
      </c>
      <c r="N846" s="7">
        <f t="shared" si="1"/>
        <v>2025</v>
      </c>
      <c r="O846" s="7" t="str">
        <f t="shared" si="2"/>
        <v>enero</v>
      </c>
      <c r="P846" s="7" t="s">
        <v>5867</v>
      </c>
    </row>
    <row r="847">
      <c r="A847" s="19">
        <f>'Respuestas de formulario 1'!A847</f>
        <v>45678.76389</v>
      </c>
      <c r="B847" s="7" t="str">
        <f>'Respuestas de formulario 1'!B847</f>
        <v>Mine</v>
      </c>
      <c r="C847" s="7" t="str">
        <f>'Respuestas de formulario 1'!C847</f>
        <v>Mario</v>
      </c>
      <c r="D847" s="7" t="str">
        <f>'Respuestas de formulario 1'!D847</f>
        <v/>
      </c>
      <c r="E847" s="20">
        <f>'Respuestas de formulario 1'!E847</f>
        <v>15934</v>
      </c>
      <c r="F847" s="7">
        <f>'Respuestas de formulario 1'!F847</f>
        <v>7973986</v>
      </c>
      <c r="G847" s="7" t="str">
        <f>IFERROR(__xludf.DUMMYFUNCTION("IF('Respuestas de formulario 1'!G847="""","""",IF(LEFT(REGEXREPLACE(TO_TEXT('Respuestas de formulario 1'!G847),""[^0-9]"",""""),2)=""54"",""+""&amp;REGEXREPLACE(TO_TEXT('Respuestas de formulario 1'!G847),""[^0-9]"",""""),""+54""&amp;REGEXREPLACE(TO_TEXT('Respuest"&amp;"as de formulario 1'!G847),""[^0-9]"","""")))"),"+543512608885")</f>
        <v>+543512608885</v>
      </c>
      <c r="H847" s="7">
        <f>'Respuestas de formulario 1'!S847</f>
        <v>2025</v>
      </c>
      <c r="I847" s="7" t="str">
        <f>IFERROR(__xludf.DUMMYFUNCTION("IF('Respuestas de formulario 1'!I847="""","""",TO_TEXT('Respuestas de formulario 1'!I847))"),"Obra social")</f>
        <v>Obra social</v>
      </c>
      <c r="J847" s="7" t="str">
        <f>IFERROR(__xludf.DUMMYFUNCTION("IF('Respuestas de formulario 1'!J847&lt;&gt;"""",UPPER(TRIM(TO_TEXT('Respuestas de formulario 1'!J847))),IF('Respuestas de formulario 1'!O847&lt;&gt;"""",UPPER(TRIM(TO_TEXT('Respuestas de formulario 1'!O847))),""""))"),"PODER JUDICIAL")</f>
        <v>PODER JUDICIAL</v>
      </c>
      <c r="K847" s="7" t="str">
        <f>IFERROR(__xludf.DUMMYFUNCTION("IF('Respuestas de formulario 1'!K847="""","""",TO_TEXT('Respuestas de formulario 1'!K847))"),"Si")</f>
        <v>Si</v>
      </c>
      <c r="L847" s="7" t="str">
        <f>IFERROR(__xludf.DUMMYFUNCTION("IF('Respuestas de formulario 1'!L847="""","""",TO_TEXT('Respuestas de formulario 1'!L847))"),"Natacion")</f>
        <v>Natacion</v>
      </c>
      <c r="M847" s="7" t="str">
        <f>IFERROR(__xludf.DUMMYFUNCTION("IF('Respuestas de formulario 1'!M847="""","""",TO_TEXT('Respuestas de formulario 1'!M847))"),"1 a 2 veces por semana")</f>
        <v>1 a 2 veces por semana</v>
      </c>
      <c r="N847" s="7">
        <f t="shared" si="1"/>
        <v>2025</v>
      </c>
      <c r="O847" s="7" t="str">
        <f t="shared" si="2"/>
        <v>enero</v>
      </c>
      <c r="P847" s="7" t="s">
        <v>5869</v>
      </c>
    </row>
    <row r="848">
      <c r="A848" s="19">
        <f>'Respuestas de formulario 1'!A848</f>
        <v>45678.77534</v>
      </c>
      <c r="B848" s="7" t="str">
        <f>'Respuestas de formulario 1'!B848</f>
        <v>Viglietti</v>
      </c>
      <c r="C848" s="7" t="str">
        <f>'Respuestas de formulario 1'!C848</f>
        <v>Jorge</v>
      </c>
      <c r="D848" s="7" t="str">
        <f>'Respuestas de formulario 1'!D848</f>
        <v/>
      </c>
      <c r="E848" s="20">
        <f>'Respuestas de formulario 1'!E848</f>
        <v>18897</v>
      </c>
      <c r="F848" s="7">
        <f>'Respuestas de formulario 1'!F848</f>
        <v>8629165</v>
      </c>
      <c r="G848" s="7" t="str">
        <f>IFERROR(__xludf.DUMMYFUNCTION("IF('Respuestas de formulario 1'!G848="""","""",IF(LEFT(REGEXREPLACE(TO_TEXT('Respuestas de formulario 1'!G848),""[^0-9]"",""""),2)=""54"",""+""&amp;REGEXREPLACE(TO_TEXT('Respuestas de formulario 1'!G848),""[^0-9]"",""""),""+54""&amp;REGEXREPLACE(TO_TEXT('Respuest"&amp;"as de formulario 1'!G848),""[^0-9]"","""")))"),"+543515724754")</f>
        <v>+543515724754</v>
      </c>
      <c r="H848" s="7">
        <f>'Respuestas de formulario 1'!S848</f>
        <v>2025</v>
      </c>
      <c r="I848" s="7" t="str">
        <f>IFERROR(__xludf.DUMMYFUNCTION("IF('Respuestas de formulario 1'!I848="""","""",TO_TEXT('Respuestas de formulario 1'!I848))"),"Obra social")</f>
        <v>Obra social</v>
      </c>
      <c r="J848" s="7" t="str">
        <f>IFERROR(__xludf.DUMMYFUNCTION("IF('Respuestas de formulario 1'!J848&lt;&gt;"""",UPPER(TRIM(TO_TEXT('Respuestas de formulario 1'!J848))),IF('Respuestas de formulario 1'!O848&lt;&gt;"""",UPPER(TRIM(TO_TEXT('Respuestas de formulario 1'!O848))),""""))"),"SANCOR")</f>
        <v>SANCOR</v>
      </c>
      <c r="K848" s="7" t="str">
        <f>IFERROR(__xludf.DUMMYFUNCTION("IF('Respuestas de formulario 1'!K848="""","""",TO_TEXT('Respuestas de formulario 1'!K848))"),"No")</f>
        <v>No</v>
      </c>
      <c r="L848" s="7" t="str">
        <f>IFERROR(__xludf.DUMMYFUNCTION("IF('Respuestas de formulario 1'!L848="""","""",TO_TEXT('Respuestas de formulario 1'!L848))"),"")</f>
        <v/>
      </c>
      <c r="M848" s="7" t="str">
        <f>IFERROR(__xludf.DUMMYFUNCTION("IF('Respuestas de formulario 1'!M848="""","""",TO_TEXT('Respuestas de formulario 1'!M848))"),"")</f>
        <v/>
      </c>
      <c r="N848" s="7">
        <f t="shared" si="1"/>
        <v>2025</v>
      </c>
      <c r="O848" s="7" t="str">
        <f t="shared" si="2"/>
        <v>enero</v>
      </c>
      <c r="P848" s="7" t="s">
        <v>5871</v>
      </c>
    </row>
    <row r="849">
      <c r="A849" s="19">
        <f>'Respuestas de formulario 1'!A849</f>
        <v>45679.48874</v>
      </c>
      <c r="B849" s="7" t="str">
        <f>'Respuestas de formulario 1'!B849</f>
        <v>Juan</v>
      </c>
      <c r="C849" s="7" t="str">
        <f>'Respuestas de formulario 1'!C849</f>
        <v>Martin </v>
      </c>
      <c r="D849" s="7" t="str">
        <f>'Respuestas de formulario 1'!D849</f>
        <v>-</v>
      </c>
      <c r="E849" s="20">
        <f>'Respuestas de formulario 1'!E849</f>
        <v>32171</v>
      </c>
      <c r="F849" s="7">
        <f>'Respuestas de formulario 1'!F849</f>
        <v>33535439</v>
      </c>
      <c r="G849" s="7" t="str">
        <f>IFERROR(__xludf.DUMMYFUNCTION("IF('Respuestas de formulario 1'!G849="""","""",IF(LEFT(REGEXREPLACE(TO_TEXT('Respuestas de formulario 1'!G849),""[^0-9]"",""""),2)=""54"",""+""&amp;REGEXREPLACE(TO_TEXT('Respuestas de formulario 1'!G849),""[^0-9]"",""""),""+54""&amp;REGEXREPLACE(TO_TEXT('Respuest"&amp;"as de formulario 1'!G849),""[^0-9]"","""")))"),"+543517393466")</f>
        <v>+543517393466</v>
      </c>
      <c r="H849" s="7">
        <f>'Respuestas de formulario 1'!S849</f>
        <v>2025</v>
      </c>
      <c r="I849" s="7" t="str">
        <f>IFERROR(__xludf.DUMMYFUNCTION("IF('Respuestas de formulario 1'!I849="""","""",TO_TEXT('Respuestas de formulario 1'!I849))"),"Obra social")</f>
        <v>Obra social</v>
      </c>
      <c r="J849" s="7" t="str">
        <f>IFERROR(__xludf.DUMMYFUNCTION("IF('Respuestas de formulario 1'!J849&lt;&gt;"""",UPPER(TRIM(TO_TEXT('Respuestas de formulario 1'!J849))),IF('Respuestas de formulario 1'!O849&lt;&gt;"""",UPPER(TRIM(TO_TEXT('Respuestas de formulario 1'!O849))),""""))"),"SANCOR")</f>
        <v>SANCOR</v>
      </c>
      <c r="K849" s="7" t="str">
        <f>IFERROR(__xludf.DUMMYFUNCTION("IF('Respuestas de formulario 1'!K849="""","""",TO_TEXT('Respuestas de formulario 1'!K849))"),"No")</f>
        <v>No</v>
      </c>
      <c r="L849" s="7" t="str">
        <f>IFERROR(__xludf.DUMMYFUNCTION("IF('Respuestas de formulario 1'!L849="""","""",TO_TEXT('Respuestas de formulario 1'!L849))"),"")</f>
        <v/>
      </c>
      <c r="M849" s="7" t="str">
        <f>IFERROR(__xludf.DUMMYFUNCTION("IF('Respuestas de formulario 1'!M849="""","""",TO_TEXT('Respuestas de formulario 1'!M849))"),"")</f>
        <v/>
      </c>
      <c r="N849" s="7">
        <f t="shared" si="1"/>
        <v>2025</v>
      </c>
      <c r="O849" s="7" t="str">
        <f t="shared" si="2"/>
        <v>enero</v>
      </c>
      <c r="P849" s="7" t="s">
        <v>5873</v>
      </c>
    </row>
    <row r="850">
      <c r="A850" s="19">
        <f>'Respuestas de formulario 1'!A850</f>
        <v>45680.70385</v>
      </c>
      <c r="B850" s="7" t="str">
        <f>'Respuestas de formulario 1'!B850</f>
        <v>Ceballos</v>
      </c>
      <c r="C850" s="7" t="str">
        <f>'Respuestas de formulario 1'!C850</f>
        <v>Mauro</v>
      </c>
      <c r="D850" s="7" t="str">
        <f>'Respuestas de formulario 1'!D850</f>
        <v>psicologomauroceballos@gmail.com</v>
      </c>
      <c r="E850" s="20">
        <f>'Respuestas de formulario 1'!E850</f>
        <v>28846</v>
      </c>
      <c r="F850" s="7">
        <f>'Respuestas de formulario 1'!F850</f>
        <v>27014925</v>
      </c>
      <c r="G850" s="7" t="str">
        <f>IFERROR(__xludf.DUMMYFUNCTION("IF('Respuestas de formulario 1'!G850="""","""",IF(LEFT(REGEXREPLACE(TO_TEXT('Respuestas de formulario 1'!G850),""[^0-9]"",""""),2)=""54"",""+""&amp;REGEXREPLACE(TO_TEXT('Respuestas de formulario 1'!G850),""[^0-9]"",""""),""+54""&amp;REGEXREPLACE(TO_TEXT('Respuest"&amp;"as de formulario 1'!G850),""[^0-9]"","""")))"),"+543516208041")</f>
        <v>+543516208041</v>
      </c>
      <c r="H850" s="7">
        <f>'Respuestas de formulario 1'!S850</f>
        <v>2025</v>
      </c>
      <c r="I850" s="7" t="str">
        <f>IFERROR(__xludf.DUMMYFUNCTION("IF('Respuestas de formulario 1'!I850="""","""",TO_TEXT('Respuestas de formulario 1'!I850))"),"Obra social")</f>
        <v>Obra social</v>
      </c>
      <c r="J850" s="7" t="str">
        <f>IFERROR(__xludf.DUMMYFUNCTION("IF('Respuestas de formulario 1'!J850&lt;&gt;"""",UPPER(TRIM(TO_TEXT('Respuestas de formulario 1'!J850))),IF('Respuestas de formulario 1'!O850&lt;&gt;"""",UPPER(TRIM(TO_TEXT('Respuestas de formulario 1'!O850))),""""))"),"CPCE")</f>
        <v>CPCE</v>
      </c>
      <c r="K850" s="7" t="str">
        <f>IFERROR(__xludf.DUMMYFUNCTION("IF('Respuestas de formulario 1'!K850="""","""",TO_TEXT('Respuestas de formulario 1'!K850))"),"Si")</f>
        <v>Si</v>
      </c>
      <c r="L850" s="7" t="str">
        <f>IFERROR(__xludf.DUMMYFUNCTION("IF('Respuestas de formulario 1'!L850="""","""",TO_TEXT('Respuestas de formulario 1'!L850))"),"Gimnasio")</f>
        <v>Gimnasio</v>
      </c>
      <c r="M850" s="7" t="str">
        <f>IFERROR(__xludf.DUMMYFUNCTION("IF('Respuestas de formulario 1'!M850="""","""",TO_TEXT('Respuestas de formulario 1'!M850))"),"3 a 5 veces por semana")</f>
        <v>3 a 5 veces por semana</v>
      </c>
      <c r="N850" s="7">
        <f t="shared" si="1"/>
        <v>2025</v>
      </c>
      <c r="O850" s="7" t="str">
        <f t="shared" si="2"/>
        <v>enero</v>
      </c>
      <c r="P850" s="7" t="s">
        <v>5874</v>
      </c>
    </row>
    <row r="851">
      <c r="A851" s="19">
        <f>'Respuestas de formulario 1'!A851</f>
        <v>45680.74687</v>
      </c>
      <c r="B851" s="7" t="str">
        <f>'Respuestas de formulario 1'!B851</f>
        <v>Lucero Bringas </v>
      </c>
      <c r="C851" s="7" t="str">
        <f>'Respuestas de formulario 1'!C851</f>
        <v>Enrique Rafael </v>
      </c>
      <c r="D851" s="7" t="str">
        <f>'Respuestas de formulario 1'!D851</f>
        <v>enriquelucerobringas@gmail.com</v>
      </c>
      <c r="E851" s="20">
        <f>'Respuestas de formulario 1'!E851</f>
        <v>29993</v>
      </c>
      <c r="F851" s="7">
        <f>'Respuestas de formulario 1'!F851</f>
        <v>29253017</v>
      </c>
      <c r="G851" s="7" t="str">
        <f>IFERROR(__xludf.DUMMYFUNCTION("IF('Respuestas de formulario 1'!G851="""","""",IF(LEFT(REGEXREPLACE(TO_TEXT('Respuestas de formulario 1'!G851),""[^0-9]"",""""),2)=""54"",""+""&amp;REGEXREPLACE(TO_TEXT('Respuestas de formulario 1'!G851),""[^0-9]"",""""),""+54""&amp;REGEXREPLACE(TO_TEXT('Respuest"&amp;"as de formulario 1'!G851),""[^0-9]"","""")))"),"+543518164135")</f>
        <v>+543518164135</v>
      </c>
      <c r="H851" s="7">
        <f>'Respuestas de formulario 1'!S851</f>
        <v>2025</v>
      </c>
      <c r="I851" s="7" t="str">
        <f>IFERROR(__xludf.DUMMYFUNCTION("IF('Respuestas de formulario 1'!I851="""","""",TO_TEXT('Respuestas de formulario 1'!I851))"),"Particular")</f>
        <v>Particular</v>
      </c>
      <c r="J851" s="7" t="str">
        <f>IFERROR(__xludf.DUMMYFUNCTION("IF('Respuestas de formulario 1'!J851&lt;&gt;"""",UPPER(TRIM(TO_TEXT('Respuestas de formulario 1'!J851))),IF('Respuestas de formulario 1'!O851&lt;&gt;"""",UPPER(TRIM(TO_TEXT('Respuestas de formulario 1'!O851))),""""))"),"")</f>
        <v/>
      </c>
      <c r="K851" s="7" t="str">
        <f>IFERROR(__xludf.DUMMYFUNCTION("IF('Respuestas de formulario 1'!K851="""","""",TO_TEXT('Respuestas de formulario 1'!K851))"),"Si")</f>
        <v>Si</v>
      </c>
      <c r="L851" s="7" t="str">
        <f>IFERROR(__xludf.DUMMYFUNCTION("IF('Respuestas de formulario 1'!L851="""","""",TO_TEXT('Respuestas de formulario 1'!L851))"),"Calistenia")</f>
        <v>Calistenia</v>
      </c>
      <c r="M851" s="7" t="str">
        <f>IFERROR(__xludf.DUMMYFUNCTION("IF('Respuestas de formulario 1'!M851="""","""",TO_TEXT('Respuestas de formulario 1'!M851))"),"3 a 5 veces por semana")</f>
        <v>3 a 5 veces por semana</v>
      </c>
      <c r="N851" s="7">
        <f t="shared" si="1"/>
        <v>2025</v>
      </c>
      <c r="O851" s="7" t="str">
        <f t="shared" si="2"/>
        <v>enero</v>
      </c>
      <c r="P851" s="7" t="s">
        <v>5876</v>
      </c>
    </row>
    <row r="852">
      <c r="A852" s="19">
        <f>'Respuestas de formulario 1'!A852</f>
        <v>45680.86112</v>
      </c>
      <c r="B852" s="7" t="str">
        <f>'Respuestas de formulario 1'!B852</f>
        <v>Aguirre </v>
      </c>
      <c r="C852" s="7" t="str">
        <f>'Respuestas de formulario 1'!C852</f>
        <v>Carlos Javier </v>
      </c>
      <c r="D852" s="7" t="str">
        <f>'Respuestas de formulario 1'!D852</f>
        <v>Deejayhouserekete@hotmail.com.ar</v>
      </c>
      <c r="E852" s="20">
        <f>'Respuestas de formulario 1'!E852</f>
        <v>29906</v>
      </c>
      <c r="F852" s="7">
        <f>'Respuestas de formulario 1'!F852</f>
        <v>29089999</v>
      </c>
      <c r="G852" s="7" t="str">
        <f>IFERROR(__xludf.DUMMYFUNCTION("IF('Respuestas de formulario 1'!G852="""","""",IF(LEFT(REGEXREPLACE(TO_TEXT('Respuestas de formulario 1'!G852),""[^0-9]"",""""),2)=""54"",""+""&amp;REGEXREPLACE(TO_TEXT('Respuestas de formulario 1'!G852),""[^0-9]"",""""),""+54""&amp;REGEXREPLACE(TO_TEXT('Respuest"&amp;"as de formulario 1'!G852),""[^0-9]"","""")))"),"+543794347758")</f>
        <v>+543794347758</v>
      </c>
      <c r="H852" s="7">
        <f>'Respuestas de formulario 1'!S852</f>
        <v>2025</v>
      </c>
      <c r="I852" s="7" t="str">
        <f>IFERROR(__xludf.DUMMYFUNCTION("IF('Respuestas de formulario 1'!I852="""","""",TO_TEXT('Respuestas de formulario 1'!I852))"),"Particular")</f>
        <v>Particular</v>
      </c>
      <c r="J852" s="7" t="str">
        <f>IFERROR(__xludf.DUMMYFUNCTION("IF('Respuestas de formulario 1'!J852&lt;&gt;"""",UPPER(TRIM(TO_TEXT('Respuestas de formulario 1'!J852))),IF('Respuestas de formulario 1'!O852&lt;&gt;"""",UPPER(TRIM(TO_TEXT('Respuestas de formulario 1'!O852))),""""))"),"")</f>
        <v/>
      </c>
      <c r="K852" s="7" t="str">
        <f>IFERROR(__xludf.DUMMYFUNCTION("IF('Respuestas de formulario 1'!K852="""","""",TO_TEXT('Respuestas de formulario 1'!K852))"),"No")</f>
        <v>No</v>
      </c>
      <c r="L852" s="7" t="str">
        <f>IFERROR(__xludf.DUMMYFUNCTION("IF('Respuestas de formulario 1'!L852="""","""",TO_TEXT('Respuestas de formulario 1'!L852))"),"")</f>
        <v/>
      </c>
      <c r="M852" s="7" t="str">
        <f>IFERROR(__xludf.DUMMYFUNCTION("IF('Respuestas de formulario 1'!M852="""","""",TO_TEXT('Respuestas de formulario 1'!M852))"),"")</f>
        <v/>
      </c>
      <c r="N852" s="7">
        <f t="shared" si="1"/>
        <v>2025</v>
      </c>
      <c r="O852" s="7" t="str">
        <f t="shared" si="2"/>
        <v>enero</v>
      </c>
      <c r="P852" s="7" t="s">
        <v>5878</v>
      </c>
    </row>
    <row r="853">
      <c r="A853" s="19">
        <f>'Respuestas de formulario 1'!A853</f>
        <v>45681.43902</v>
      </c>
      <c r="B853" s="7" t="str">
        <f>'Respuestas de formulario 1'!B853</f>
        <v>Torta</v>
      </c>
      <c r="C853" s="7" t="str">
        <f>'Respuestas de formulario 1'!C853</f>
        <v>Mirian</v>
      </c>
      <c r="D853" s="7" t="str">
        <f>'Respuestas de formulario 1'!D853</f>
        <v>tortamirian@gmail.com</v>
      </c>
      <c r="E853" s="20">
        <f>'Respuestas de formulario 1'!E853</f>
        <v>21122</v>
      </c>
      <c r="F853" s="7">
        <f>'Respuestas de formulario 1'!F853</f>
        <v>13042938</v>
      </c>
      <c r="G853" s="7" t="str">
        <f>IFERROR(__xludf.DUMMYFUNCTION("IF('Respuestas de formulario 1'!G853="""","""",IF(LEFT(REGEXREPLACE(TO_TEXT('Respuestas de formulario 1'!G853),""[^0-9]"",""""),2)=""54"",""+""&amp;REGEXREPLACE(TO_TEXT('Respuestas de formulario 1'!G853),""[^0-9]"",""""),""+54""&amp;REGEXREPLACE(TO_TEXT('Respuest"&amp;"as de formulario 1'!G853),""[^0-9]"","""")))"),"+543513155903")</f>
        <v>+543513155903</v>
      </c>
      <c r="H853" s="7">
        <f>'Respuestas de formulario 1'!S853</f>
        <v>2025</v>
      </c>
      <c r="I853" s="7" t="str">
        <f>IFERROR(__xludf.DUMMYFUNCTION("IF('Respuestas de formulario 1'!I853="""","""",TO_TEXT('Respuestas de formulario 1'!I853))"),"Particular")</f>
        <v>Particular</v>
      </c>
      <c r="J853" s="7" t="str">
        <f>IFERROR(__xludf.DUMMYFUNCTION("IF('Respuestas de formulario 1'!J853&lt;&gt;"""",UPPER(TRIM(TO_TEXT('Respuestas de formulario 1'!J853))),IF('Respuestas de formulario 1'!O853&lt;&gt;"""",UPPER(TRIM(TO_TEXT('Respuestas de formulario 1'!O853))),""""))"),"")</f>
        <v/>
      </c>
      <c r="K853" s="7" t="str">
        <f>IFERROR(__xludf.DUMMYFUNCTION("IF('Respuestas de formulario 1'!K853="""","""",TO_TEXT('Respuestas de formulario 1'!K853))"),"No")</f>
        <v>No</v>
      </c>
      <c r="L853" s="7" t="str">
        <f>IFERROR(__xludf.DUMMYFUNCTION("IF('Respuestas de formulario 1'!L853="""","""",TO_TEXT('Respuestas de formulario 1'!L853))"),"")</f>
        <v/>
      </c>
      <c r="M853" s="7" t="str">
        <f>IFERROR(__xludf.DUMMYFUNCTION("IF('Respuestas de formulario 1'!M853="""","""",TO_TEXT('Respuestas de formulario 1'!M853))"),"")</f>
        <v/>
      </c>
      <c r="N853" s="7">
        <f t="shared" si="1"/>
        <v>2025</v>
      </c>
      <c r="O853" s="7" t="str">
        <f t="shared" si="2"/>
        <v>enero</v>
      </c>
      <c r="P853" s="7" t="s">
        <v>5880</v>
      </c>
    </row>
    <row r="854">
      <c r="A854" s="19">
        <f>'Respuestas de formulario 1'!A854</f>
        <v>45684.42542</v>
      </c>
      <c r="B854" s="7" t="str">
        <f>'Respuestas de formulario 1'!B854</f>
        <v>Di Lascio</v>
      </c>
      <c r="C854" s="7" t="str">
        <f>'Respuestas de formulario 1'!C854</f>
        <v>Fabricio</v>
      </c>
      <c r="D854" s="7" t="str">
        <f>'Respuestas de formulario 1'!D854</f>
        <v>fabriciodl41@gmail.com</v>
      </c>
      <c r="E854" s="20">
        <f>'Respuestas de formulario 1'!E854</f>
        <v>38173</v>
      </c>
      <c r="F854" s="7">
        <f>'Respuestas de formulario 1'!F854</f>
        <v>45595700</v>
      </c>
      <c r="G854" s="7" t="str">
        <f>IFERROR(__xludf.DUMMYFUNCTION("IF('Respuestas de formulario 1'!G854="""","""",IF(LEFT(REGEXREPLACE(TO_TEXT('Respuestas de formulario 1'!G854),""[^0-9]"",""""),2)=""54"",""+""&amp;REGEXREPLACE(TO_TEXT('Respuestas de formulario 1'!G854),""[^0-9]"",""""),""+54""&amp;REGEXREPLACE(TO_TEXT('Respuest"&amp;"as de formulario 1'!G854),""[^0-9]"","""")))"),"+543512307123")</f>
        <v>+543512307123</v>
      </c>
      <c r="H854" s="7">
        <f>'Respuestas de formulario 1'!S854</f>
        <v>2025</v>
      </c>
      <c r="I854" s="7" t="str">
        <f>IFERROR(__xludf.DUMMYFUNCTION("IF('Respuestas de formulario 1'!I854="""","""",TO_TEXT('Respuestas de formulario 1'!I854))"),"Particular")</f>
        <v>Particular</v>
      </c>
      <c r="J854" s="7" t="str">
        <f>IFERROR(__xludf.DUMMYFUNCTION("IF('Respuestas de formulario 1'!J854&lt;&gt;"""",UPPER(TRIM(TO_TEXT('Respuestas de formulario 1'!J854))),IF('Respuestas de formulario 1'!O854&lt;&gt;"""",UPPER(TRIM(TO_TEXT('Respuestas de formulario 1'!O854))),""""))"),"")</f>
        <v/>
      </c>
      <c r="K854" s="7" t="str">
        <f>IFERROR(__xludf.DUMMYFUNCTION("IF('Respuestas de formulario 1'!K854="""","""",TO_TEXT('Respuestas de formulario 1'!K854))"),"Si")</f>
        <v>Si</v>
      </c>
      <c r="L854" s="7" t="str">
        <f>IFERROR(__xludf.DUMMYFUNCTION("IF('Respuestas de formulario 1'!L854="""","""",TO_TEXT('Respuestas de formulario 1'!L854))"),"Gimnasio")</f>
        <v>Gimnasio</v>
      </c>
      <c r="M854" s="7" t="str">
        <f>IFERROR(__xludf.DUMMYFUNCTION("IF('Respuestas de formulario 1'!M854="""","""",TO_TEXT('Respuestas de formulario 1'!M854))"),"3 a 5 veces por semana")</f>
        <v>3 a 5 veces por semana</v>
      </c>
      <c r="N854" s="7">
        <f t="shared" si="1"/>
        <v>2025</v>
      </c>
      <c r="O854" s="7" t="str">
        <f t="shared" si="2"/>
        <v>enero</v>
      </c>
      <c r="P854" s="7" t="s">
        <v>5882</v>
      </c>
    </row>
    <row r="855">
      <c r="A855" s="19">
        <f>'Respuestas de formulario 1'!A855</f>
        <v>45684.87359</v>
      </c>
      <c r="B855" s="7" t="str">
        <f>'Respuestas de formulario 1'!B855</f>
        <v>Etchemendy </v>
      </c>
      <c r="C855" s="7" t="str">
        <f>'Respuestas de formulario 1'!C855</f>
        <v>M. Cristina </v>
      </c>
      <c r="D855" s="7" t="str">
        <f>'Respuestas de formulario 1'!D855</f>
        <v>criset26@hotmail.com</v>
      </c>
      <c r="E855" s="20">
        <f>'Respuestas de formulario 1'!E855</f>
        <v>22915</v>
      </c>
      <c r="F855" s="7">
        <f>'Respuestas de formulario 1'!F855</f>
        <v>16083436</v>
      </c>
      <c r="G855" s="7" t="str">
        <f>IFERROR(__xludf.DUMMYFUNCTION("IF('Respuestas de formulario 1'!G855="""","""",IF(LEFT(REGEXREPLACE(TO_TEXT('Respuestas de formulario 1'!G855),""[^0-9]"",""""),2)=""54"",""+""&amp;REGEXREPLACE(TO_TEXT('Respuestas de formulario 1'!G855),""[^0-9]"",""""),""+54""&amp;REGEXREPLACE(TO_TEXT('Respuest"&amp;"as de formulario 1'!G855),""[^0-9]"","""")))"),"+543512086028")</f>
        <v>+543512086028</v>
      </c>
      <c r="H855" s="7">
        <f>'Respuestas de formulario 1'!S855</f>
        <v>2025</v>
      </c>
      <c r="I855" s="7" t="str">
        <f>IFERROR(__xludf.DUMMYFUNCTION("IF('Respuestas de formulario 1'!I855="""","""",TO_TEXT('Respuestas de formulario 1'!I855))"),"Obra social")</f>
        <v>Obra social</v>
      </c>
      <c r="J855" s="7" t="str">
        <f>IFERROR(__xludf.DUMMYFUNCTION("IF('Respuestas de formulario 1'!J855&lt;&gt;"""",UPPER(TRIM(TO_TEXT('Respuestas de formulario 1'!J855))),IF('Respuestas de formulario 1'!O855&lt;&gt;"""",UPPER(TRIM(TO_TEXT('Respuestas de formulario 1'!O855))),""""))"),"SANCOR")</f>
        <v>SANCOR</v>
      </c>
      <c r="K855" s="7" t="str">
        <f>IFERROR(__xludf.DUMMYFUNCTION("IF('Respuestas de formulario 1'!K855="""","""",TO_TEXT('Respuestas de formulario 1'!K855))"),"No")</f>
        <v>No</v>
      </c>
      <c r="L855" s="7" t="str">
        <f>IFERROR(__xludf.DUMMYFUNCTION("IF('Respuestas de formulario 1'!L855="""","""",TO_TEXT('Respuestas de formulario 1'!L855))"),"")</f>
        <v/>
      </c>
      <c r="M855" s="7" t="str">
        <f>IFERROR(__xludf.DUMMYFUNCTION("IF('Respuestas de formulario 1'!M855="""","""",TO_TEXT('Respuestas de formulario 1'!M855))"),"")</f>
        <v/>
      </c>
      <c r="N855" s="7">
        <f t="shared" si="1"/>
        <v>2025</v>
      </c>
      <c r="O855" s="7" t="str">
        <f t="shared" si="2"/>
        <v>enero</v>
      </c>
      <c r="P855" s="7" t="s">
        <v>5884</v>
      </c>
    </row>
    <row r="856">
      <c r="A856" s="19">
        <f>'Respuestas de formulario 1'!A856</f>
        <v>45684.87692</v>
      </c>
      <c r="B856" s="7" t="str">
        <f>'Respuestas de formulario 1'!B856</f>
        <v>Etchemendy </v>
      </c>
      <c r="C856" s="7" t="str">
        <f>'Respuestas de formulario 1'!C856</f>
        <v>M. Cristina </v>
      </c>
      <c r="D856" s="7" t="str">
        <f>'Respuestas de formulario 1'!D856</f>
        <v>criset26@hotmail.com</v>
      </c>
      <c r="E856" s="20">
        <f>'Respuestas de formulario 1'!E856</f>
        <v>22915</v>
      </c>
      <c r="F856" s="7">
        <f>'Respuestas de formulario 1'!F856</f>
        <v>16086028</v>
      </c>
      <c r="G856" s="7" t="str">
        <f>IFERROR(__xludf.DUMMYFUNCTION("IF('Respuestas de formulario 1'!G856="""","""",IF(LEFT(REGEXREPLACE(TO_TEXT('Respuestas de formulario 1'!G856),""[^0-9]"",""""),2)=""54"",""+""&amp;REGEXREPLACE(TO_TEXT('Respuestas de formulario 1'!G856),""[^0-9]"",""""),""+54""&amp;REGEXREPLACE(TO_TEXT('Respuest"&amp;"as de formulario 1'!G856),""[^0-9]"","""")))"),"+543512086028")</f>
        <v>+543512086028</v>
      </c>
      <c r="H856" s="7">
        <f>'Respuestas de formulario 1'!S856</f>
        <v>2025</v>
      </c>
      <c r="I856" s="7" t="str">
        <f>IFERROR(__xludf.DUMMYFUNCTION("IF('Respuestas de formulario 1'!I856="""","""",TO_TEXT('Respuestas de formulario 1'!I856))"),"Obra social")</f>
        <v>Obra social</v>
      </c>
      <c r="J856" s="7" t="str">
        <f>IFERROR(__xludf.DUMMYFUNCTION("IF('Respuestas de formulario 1'!J856&lt;&gt;"""",UPPER(TRIM(TO_TEXT('Respuestas de formulario 1'!J856))),IF('Respuestas de formulario 1'!O856&lt;&gt;"""",UPPER(TRIM(TO_TEXT('Respuestas de formulario 1'!O856))),""""))"),"SANCOR")</f>
        <v>SANCOR</v>
      </c>
      <c r="K856" s="7" t="str">
        <f>IFERROR(__xludf.DUMMYFUNCTION("IF('Respuestas de formulario 1'!K856="""","""",TO_TEXT('Respuestas de formulario 1'!K856))"),"No")</f>
        <v>No</v>
      </c>
      <c r="L856" s="7" t="str">
        <f>IFERROR(__xludf.DUMMYFUNCTION("IF('Respuestas de formulario 1'!L856="""","""",TO_TEXT('Respuestas de formulario 1'!L856))"),"")</f>
        <v/>
      </c>
      <c r="M856" s="7" t="str">
        <f>IFERROR(__xludf.DUMMYFUNCTION("IF('Respuestas de formulario 1'!M856="""","""",TO_TEXT('Respuestas de formulario 1'!M856))"),"")</f>
        <v/>
      </c>
      <c r="N856" s="7">
        <f t="shared" si="1"/>
        <v>2025</v>
      </c>
      <c r="O856" s="7" t="str">
        <f t="shared" si="2"/>
        <v>enero</v>
      </c>
      <c r="P856" s="7" t="s">
        <v>5884</v>
      </c>
    </row>
    <row r="857">
      <c r="A857" s="19">
        <f>'Respuestas de formulario 1'!A857</f>
        <v>45685.4372</v>
      </c>
      <c r="B857" s="7" t="str">
        <f>'Respuestas de formulario 1'!B857</f>
        <v>GONZALEZ</v>
      </c>
      <c r="C857" s="7" t="str">
        <f>'Respuestas de formulario 1'!C857</f>
        <v>PATRICIA</v>
      </c>
      <c r="D857" s="7" t="str">
        <f>'Respuestas de formulario 1'!D857</f>
        <v>patogonzalez_@hotmail.com</v>
      </c>
      <c r="E857" s="20">
        <f>'Respuestas de formulario 1'!E857</f>
        <v>30118</v>
      </c>
      <c r="F857" s="7">
        <f>'Respuestas de formulario 1'!F857</f>
        <v>29606847</v>
      </c>
      <c r="G857" s="7" t="str">
        <f>IFERROR(__xludf.DUMMYFUNCTION("IF('Respuestas de formulario 1'!G857="""","""",IF(LEFT(REGEXREPLACE(TO_TEXT('Respuestas de formulario 1'!G857),""[^0-9]"",""""),2)=""54"",""+""&amp;REGEXREPLACE(TO_TEXT('Respuestas de formulario 1'!G857),""[^0-9]"",""""),""+54""&amp;REGEXREPLACE(TO_TEXT('Respuest"&amp;"as de formulario 1'!G857),""[^0-9]"","""")))"),"+543516360085")</f>
        <v>+543516360085</v>
      </c>
      <c r="H857" s="7">
        <f>'Respuestas de formulario 1'!S857</f>
        <v>2025</v>
      </c>
      <c r="I857" s="7" t="str">
        <f>IFERROR(__xludf.DUMMYFUNCTION("IF('Respuestas de formulario 1'!I857="""","""",TO_TEXT('Respuestas de formulario 1'!I857))"),"Obra social")</f>
        <v>Obra social</v>
      </c>
      <c r="J857" s="7" t="str">
        <f>IFERROR(__xludf.DUMMYFUNCTION("IF('Respuestas de formulario 1'!J857&lt;&gt;"""",UPPER(TRIM(TO_TEXT('Respuestas de formulario 1'!J857))),IF('Respuestas de formulario 1'!O857&lt;&gt;"""",UPPER(TRIM(TO_TEXT('Respuestas de formulario 1'!O857))),""""))"),"SWISS MEDICAL POR REINTEGRO")</f>
        <v>SWISS MEDICAL POR REINTEGRO</v>
      </c>
      <c r="K857" s="7" t="str">
        <f>IFERROR(__xludf.DUMMYFUNCTION("IF('Respuestas de formulario 1'!K857="""","""",TO_TEXT('Respuestas de formulario 1'!K857))"),"Si")</f>
        <v>Si</v>
      </c>
      <c r="L857" s="7" t="str">
        <f>IFERROR(__xludf.DUMMYFUNCTION("IF('Respuestas de formulario 1'!L857="""","""",TO_TEXT('Respuestas de formulario 1'!L857))"),"aeroyoga")</f>
        <v>aeroyoga</v>
      </c>
      <c r="M857" s="7" t="str">
        <f>IFERROR(__xludf.DUMMYFUNCTION("IF('Respuestas de formulario 1'!M857="""","""",TO_TEXT('Respuestas de formulario 1'!M857))"),"1 a 2 veces por semana")</f>
        <v>1 a 2 veces por semana</v>
      </c>
      <c r="N857" s="7">
        <f t="shared" si="1"/>
        <v>2025</v>
      </c>
      <c r="O857" s="7" t="str">
        <f t="shared" si="2"/>
        <v>enero</v>
      </c>
      <c r="P857" s="7" t="s">
        <v>5886</v>
      </c>
    </row>
    <row r="858">
      <c r="A858" s="19">
        <f>'Respuestas de formulario 1'!A858</f>
        <v>45685.72976</v>
      </c>
      <c r="B858" s="7" t="str">
        <f>'Respuestas de formulario 1'!B858</f>
        <v>Garzón Funes </v>
      </c>
      <c r="C858" s="7" t="str">
        <f>'Respuestas de formulario 1'!C858</f>
        <v>Tomás Enrique </v>
      </c>
      <c r="D858" s="7" t="str">
        <f>'Respuestas de formulario 1'!D858</f>
        <v>tegf14@gmail.com</v>
      </c>
      <c r="E858" s="20">
        <f>'Respuestas de formulario 1'!E858</f>
        <v>35024</v>
      </c>
      <c r="F858" s="7">
        <f>'Respuestas de formulario 1'!F858</f>
        <v>38301848</v>
      </c>
      <c r="G858" s="7" t="str">
        <f>IFERROR(__xludf.DUMMYFUNCTION("IF('Respuestas de formulario 1'!G858="""","""",IF(LEFT(REGEXREPLACE(TO_TEXT('Respuestas de formulario 1'!G858),""[^0-9]"",""""),2)=""54"",""+""&amp;REGEXREPLACE(TO_TEXT('Respuestas de formulario 1'!G858),""[^0-9]"",""""),""+54""&amp;REGEXREPLACE(TO_TEXT('Respuest"&amp;"as de formulario 1'!G858),""[^0-9]"","""")))"),"+543517897449")</f>
        <v>+543517897449</v>
      </c>
      <c r="H858" s="7">
        <f>'Respuestas de formulario 1'!S858</f>
        <v>2025</v>
      </c>
      <c r="I858" s="7" t="str">
        <f>IFERROR(__xludf.DUMMYFUNCTION("IF('Respuestas de formulario 1'!I858="""","""",TO_TEXT('Respuestas de formulario 1'!I858))"),"Obra social")</f>
        <v>Obra social</v>
      </c>
      <c r="J858" s="7" t="str">
        <f>IFERROR(__xludf.DUMMYFUNCTION("IF('Respuestas de formulario 1'!J858&lt;&gt;"""",UPPER(TRIM(TO_TEXT('Respuestas de formulario 1'!J858))),IF('Respuestas de formulario 1'!O858&lt;&gt;"""",UPPER(TRIM(TO_TEXT('Respuestas de formulario 1'!O858))),""""))"),"MEDIFE")</f>
        <v>MEDIFE</v>
      </c>
      <c r="K858" s="7" t="str">
        <f>IFERROR(__xludf.DUMMYFUNCTION("IF('Respuestas de formulario 1'!K858="""","""",TO_TEXT('Respuestas de formulario 1'!K858))"),"Si")</f>
        <v>Si</v>
      </c>
      <c r="L858" s="7" t="str">
        <f>IFERROR(__xludf.DUMMYFUNCTION("IF('Respuestas de formulario 1'!L858="""","""",TO_TEXT('Respuestas de formulario 1'!L858))"),"Tenis")</f>
        <v>Tenis</v>
      </c>
      <c r="M858" s="7" t="str">
        <f>IFERROR(__xludf.DUMMYFUNCTION("IF('Respuestas de formulario 1'!M858="""","""",TO_TEXT('Respuestas de formulario 1'!M858))"),"1 a 2 veces por semana")</f>
        <v>1 a 2 veces por semana</v>
      </c>
      <c r="N858" s="7">
        <f t="shared" si="1"/>
        <v>2025</v>
      </c>
      <c r="O858" s="7" t="str">
        <f t="shared" si="2"/>
        <v>enero</v>
      </c>
      <c r="P858" s="7" t="s">
        <v>5888</v>
      </c>
    </row>
    <row r="859">
      <c r="A859" s="19">
        <f>'Respuestas de formulario 1'!A859</f>
        <v>45685.74582</v>
      </c>
      <c r="B859" s="7" t="str">
        <f>'Respuestas de formulario 1'!B859</f>
        <v>Caporaletti </v>
      </c>
      <c r="C859" s="7" t="str">
        <f>'Respuestas de formulario 1'!C859</f>
        <v>Juan</v>
      </c>
      <c r="D859" s="7" t="str">
        <f>'Respuestas de formulario 1'!D859</f>
        <v>juancaporaletti@yahoo.com.ar</v>
      </c>
      <c r="E859" s="20">
        <f>'Respuestas de formulario 1'!E859</f>
        <v>28799</v>
      </c>
      <c r="F859" s="7">
        <f>'Respuestas de formulario 1'!F859</f>
        <v>26313462</v>
      </c>
      <c r="G859" s="7" t="str">
        <f>IFERROR(__xludf.DUMMYFUNCTION("IF('Respuestas de formulario 1'!G859="""","""",IF(LEFT(REGEXREPLACE(TO_TEXT('Respuestas de formulario 1'!G859),""[^0-9]"",""""),2)=""54"",""+""&amp;REGEXREPLACE(TO_TEXT('Respuestas de formulario 1'!G859),""[^0-9]"",""""),""+54""&amp;REGEXREPLACE(TO_TEXT('Respuest"&amp;"as de formulario 1'!G859),""[^0-9]"","""")))"),"+543517527532")</f>
        <v>+543517527532</v>
      </c>
      <c r="H859" s="7">
        <f>'Respuestas de formulario 1'!S859</f>
        <v>2025</v>
      </c>
      <c r="I859" s="7" t="str">
        <f>IFERROR(__xludf.DUMMYFUNCTION("IF('Respuestas de formulario 1'!I859="""","""",TO_TEXT('Respuestas de formulario 1'!I859))"),"Particular")</f>
        <v>Particular</v>
      </c>
      <c r="J859" s="7" t="str">
        <f>IFERROR(__xludf.DUMMYFUNCTION("IF('Respuestas de formulario 1'!J859&lt;&gt;"""",UPPER(TRIM(TO_TEXT('Respuestas de formulario 1'!J859))),IF('Respuestas de formulario 1'!O859&lt;&gt;"""",UPPER(TRIM(TO_TEXT('Respuestas de formulario 1'!O859))),""""))"),"")</f>
        <v/>
      </c>
      <c r="K859" s="7" t="str">
        <f>IFERROR(__xludf.DUMMYFUNCTION("IF('Respuestas de formulario 1'!K859="""","""",TO_TEXT('Respuestas de formulario 1'!K859))"),"Si")</f>
        <v>Si</v>
      </c>
      <c r="L859" s="7" t="str">
        <f>IFERROR(__xludf.DUMMYFUNCTION("IF('Respuestas de formulario 1'!L859="""","""",TO_TEXT('Respuestas de formulario 1'!L859))"),"Running mas Gimnasio")</f>
        <v>Running mas Gimnasio</v>
      </c>
      <c r="M859" s="7" t="str">
        <f>IFERROR(__xludf.DUMMYFUNCTION("IF('Respuestas de formulario 1'!M859="""","""",TO_TEXT('Respuestas de formulario 1'!M859))"),"6 a 7 veces por semana")</f>
        <v>6 a 7 veces por semana</v>
      </c>
      <c r="N859" s="7">
        <f t="shared" si="1"/>
        <v>2025</v>
      </c>
      <c r="O859" s="7" t="str">
        <f t="shared" si="2"/>
        <v>enero</v>
      </c>
      <c r="P859" s="7" t="s">
        <v>5890</v>
      </c>
    </row>
    <row r="860">
      <c r="A860" s="19">
        <f>'Respuestas de formulario 1'!A860</f>
        <v>45686.45011</v>
      </c>
      <c r="B860" s="7" t="str">
        <f>'Respuestas de formulario 1'!B860</f>
        <v>Delgado</v>
      </c>
      <c r="C860" s="7" t="str">
        <f>'Respuestas de formulario 1'!C860</f>
        <v>Maximiliano</v>
      </c>
      <c r="D860" s="7" t="str">
        <f>'Respuestas de formulario 1'!D860</f>
        <v>delgado_mx@hotmail.com</v>
      </c>
      <c r="E860" s="20">
        <f>'Respuestas de formulario 1'!E860</f>
        <v>25748</v>
      </c>
      <c r="F860" s="7">
        <f>'Respuestas de formulario 1'!F860</f>
        <v>21610301</v>
      </c>
      <c r="G860" s="7" t="str">
        <f>IFERROR(__xludf.DUMMYFUNCTION("IF('Respuestas de formulario 1'!G860="""","""",IF(LEFT(REGEXREPLACE(TO_TEXT('Respuestas de formulario 1'!G860),""[^0-9]"",""""),2)=""54"",""+""&amp;REGEXREPLACE(TO_TEXT('Respuestas de formulario 1'!G860),""[^0-9]"",""""),""+54""&amp;REGEXREPLACE(TO_TEXT('Respuest"&amp;"as de formulario 1'!G860),""[^0-9]"","""")))"),"+542645010314")</f>
        <v>+542645010314</v>
      </c>
      <c r="H860" s="7">
        <f>'Respuestas de formulario 1'!S860</f>
        <v>2025</v>
      </c>
      <c r="I860" s="7" t="str">
        <f>IFERROR(__xludf.DUMMYFUNCTION("IF('Respuestas de formulario 1'!I860="""","""",TO_TEXT('Respuestas de formulario 1'!I860))"),"Obra social")</f>
        <v>Obra social</v>
      </c>
      <c r="J860" s="7" t="str">
        <f>IFERROR(__xludf.DUMMYFUNCTION("IF('Respuestas de formulario 1'!J860&lt;&gt;"""",UPPER(TRIM(TO_TEXT('Respuestas de formulario 1'!J860))),IF('Respuestas de formulario 1'!O860&lt;&gt;"""",UPPER(TRIM(TO_TEXT('Respuestas de formulario 1'!O860))),""""))"),"MEDIFE")</f>
        <v>MEDIFE</v>
      </c>
      <c r="K860" s="7" t="str">
        <f>IFERROR(__xludf.DUMMYFUNCTION("IF('Respuestas de formulario 1'!K860="""","""",TO_TEXT('Respuestas de formulario 1'!K860))"),"Si")</f>
        <v>Si</v>
      </c>
      <c r="L860" s="7" t="str">
        <f>IFERROR(__xludf.DUMMYFUNCTION("IF('Respuestas de formulario 1'!L860="""","""",TO_TEXT('Respuestas de formulario 1'!L860))"),"Gimnasio")</f>
        <v>Gimnasio</v>
      </c>
      <c r="M860" s="7" t="str">
        <f>IFERROR(__xludf.DUMMYFUNCTION("IF('Respuestas de formulario 1'!M860="""","""",TO_TEXT('Respuestas de formulario 1'!M860))"),"3 a 5 veces por semana")</f>
        <v>3 a 5 veces por semana</v>
      </c>
      <c r="N860" s="7">
        <f t="shared" si="1"/>
        <v>2025</v>
      </c>
      <c r="O860" s="7" t="str">
        <f t="shared" si="2"/>
        <v>enero</v>
      </c>
      <c r="P860" s="7" t="s">
        <v>5892</v>
      </c>
    </row>
    <row r="861">
      <c r="A861" s="19">
        <f>'Respuestas de formulario 1'!A861</f>
        <v>45686.72668</v>
      </c>
      <c r="B861" s="7" t="str">
        <f>'Respuestas de formulario 1'!B861</f>
        <v>Vilchez</v>
      </c>
      <c r="C861" s="7" t="str">
        <f>'Respuestas de formulario 1'!C861</f>
        <v>Pricila</v>
      </c>
      <c r="D861" s="7" t="str">
        <f>'Respuestas de formulario 1'!D861</f>
        <v>prici1543@gmail.com</v>
      </c>
      <c r="E861" s="20">
        <f>'Respuestas de formulario 1'!E861</f>
        <v>33100</v>
      </c>
      <c r="F861" s="7">
        <f>'Respuestas de formulario 1'!F861</f>
        <v>41815006</v>
      </c>
      <c r="G861" s="7" t="str">
        <f>IFERROR(__xludf.DUMMYFUNCTION("IF('Respuestas de formulario 1'!G861="""","""",IF(LEFT(REGEXREPLACE(TO_TEXT('Respuestas de formulario 1'!G861),""[^0-9]"",""""),2)=""54"",""+""&amp;REGEXREPLACE(TO_TEXT('Respuestas de formulario 1'!G861),""[^0-9]"",""""),""+54""&amp;REGEXREPLACE(TO_TEXT('Respuest"&amp;"as de formulario 1'!G861),""[^0-9]"","""")))"),"+543517526765")</f>
        <v>+543517526765</v>
      </c>
      <c r="H861" s="7">
        <f>'Respuestas de formulario 1'!S861</f>
        <v>2025</v>
      </c>
      <c r="I861" s="7" t="str">
        <f>IFERROR(__xludf.DUMMYFUNCTION("IF('Respuestas de formulario 1'!I861="""","""",TO_TEXT('Respuestas de formulario 1'!I861))"),"Particular")</f>
        <v>Particular</v>
      </c>
      <c r="J861" s="7" t="str">
        <f>IFERROR(__xludf.DUMMYFUNCTION("IF('Respuestas de formulario 1'!J861&lt;&gt;"""",UPPER(TRIM(TO_TEXT('Respuestas de formulario 1'!J861))),IF('Respuestas de formulario 1'!O861&lt;&gt;"""",UPPER(TRIM(TO_TEXT('Respuestas de formulario 1'!O861))),""""))"),"")</f>
        <v/>
      </c>
      <c r="K861" s="7" t="str">
        <f>IFERROR(__xludf.DUMMYFUNCTION("IF('Respuestas de formulario 1'!K861="""","""",TO_TEXT('Respuestas de formulario 1'!K861))"),"Si")</f>
        <v>Si</v>
      </c>
      <c r="L861" s="7" t="str">
        <f>IFERROR(__xludf.DUMMYFUNCTION("IF('Respuestas de formulario 1'!L861="""","""",TO_TEXT('Respuestas de formulario 1'!L861))"),"Fútbol")</f>
        <v>Fútbol</v>
      </c>
      <c r="M861" s="7" t="str">
        <f>IFERROR(__xludf.DUMMYFUNCTION("IF('Respuestas de formulario 1'!M861="""","""",TO_TEXT('Respuestas de formulario 1'!M861))"),"3 a 5 veces por semana")</f>
        <v>3 a 5 veces por semana</v>
      </c>
      <c r="N861" s="7">
        <f t="shared" si="1"/>
        <v>2025</v>
      </c>
      <c r="O861" s="7" t="str">
        <f t="shared" si="2"/>
        <v>enero</v>
      </c>
      <c r="P861" s="7" t="s">
        <v>5894</v>
      </c>
    </row>
    <row r="862">
      <c r="A862" s="19">
        <f>'Respuestas de formulario 1'!A862</f>
        <v>45686.75207</v>
      </c>
      <c r="B862" s="7" t="str">
        <f>'Respuestas de formulario 1'!B862</f>
        <v>Almada</v>
      </c>
      <c r="C862" s="7" t="str">
        <f>'Respuestas de formulario 1'!C862</f>
        <v>Gustavo </v>
      </c>
      <c r="D862" s="7" t="str">
        <f>'Respuestas de formulario 1'!D862</f>
        <v>gustavoalmada67@gmail.com</v>
      </c>
      <c r="E862" s="20">
        <f>'Respuestas de formulario 1'!E862</f>
        <v>24567</v>
      </c>
      <c r="F862" s="7">
        <f>'Respuestas de formulario 1'!F862</f>
        <v>18302572</v>
      </c>
      <c r="G862" s="7" t="str">
        <f>IFERROR(__xludf.DUMMYFUNCTION("IF('Respuestas de formulario 1'!G862="""","""",IF(LEFT(REGEXREPLACE(TO_TEXT('Respuestas de formulario 1'!G862),""[^0-9]"",""""),2)=""54"",""+""&amp;REGEXREPLACE(TO_TEXT('Respuestas de formulario 1'!G862),""[^0-9]"",""""),""+54""&amp;REGEXREPLACE(TO_TEXT('Respuest"&amp;"as de formulario 1'!G862),""[^0-9]"","""")))"),"+543515157379")</f>
        <v>+543515157379</v>
      </c>
      <c r="H862" s="7">
        <f>'Respuestas de formulario 1'!S862</f>
        <v>2025</v>
      </c>
      <c r="I862" s="7" t="str">
        <f>IFERROR(__xludf.DUMMYFUNCTION("IF('Respuestas de formulario 1'!I862="""","""",TO_TEXT('Respuestas de formulario 1'!I862))"),"Obra social")</f>
        <v>Obra social</v>
      </c>
      <c r="J862" s="7" t="str">
        <f>IFERROR(__xludf.DUMMYFUNCTION("IF('Respuestas de formulario 1'!J862&lt;&gt;"""",UPPER(TRIM(TO_TEXT('Respuestas de formulario 1'!J862))),IF('Respuestas de formulario 1'!O862&lt;&gt;"""",UPPER(TRIM(TO_TEXT('Respuestas de formulario 1'!O862))),""""))"),"SANCOR")</f>
        <v>SANCOR</v>
      </c>
      <c r="K862" s="7" t="str">
        <f>IFERROR(__xludf.DUMMYFUNCTION("IF('Respuestas de formulario 1'!K862="""","""",TO_TEXT('Respuestas de formulario 1'!K862))"),"Si")</f>
        <v>Si</v>
      </c>
      <c r="L862" s="7" t="str">
        <f>IFERROR(__xludf.DUMMYFUNCTION("IF('Respuestas de formulario 1'!L862="""","""",TO_TEXT('Respuestas de formulario 1'!L862))"),"Gimnasio")</f>
        <v>Gimnasio</v>
      </c>
      <c r="M862" s="7" t="str">
        <f>IFERROR(__xludf.DUMMYFUNCTION("IF('Respuestas de formulario 1'!M862="""","""",TO_TEXT('Respuestas de formulario 1'!M862))"),"1 a 2 veces por semana")</f>
        <v>1 a 2 veces por semana</v>
      </c>
      <c r="N862" s="7">
        <f t="shared" si="1"/>
        <v>2025</v>
      </c>
      <c r="O862" s="7" t="str">
        <f t="shared" si="2"/>
        <v>enero</v>
      </c>
      <c r="P862" s="7" t="s">
        <v>5896</v>
      </c>
    </row>
    <row r="863">
      <c r="A863" s="19">
        <f>'Respuestas de formulario 1'!A863</f>
        <v>45687.66891</v>
      </c>
      <c r="B863" s="7" t="str">
        <f>'Respuestas de formulario 1'!B863</f>
        <v>Mondino</v>
      </c>
      <c r="C863" s="7" t="str">
        <f>'Respuestas de formulario 1'!C863</f>
        <v>Nancy liliana</v>
      </c>
      <c r="D863" s="7" t="str">
        <f>'Respuestas de formulario 1'!D863</f>
        <v/>
      </c>
      <c r="E863" s="20">
        <f>'Respuestas de formulario 1'!E863</f>
        <v>23353</v>
      </c>
      <c r="F863" s="7">
        <f>'Respuestas de formulario 1'!F863</f>
        <v>16740824</v>
      </c>
      <c r="G863" s="7" t="str">
        <f>IFERROR(__xludf.DUMMYFUNCTION("IF('Respuestas de formulario 1'!G863="""","""",IF(LEFT(REGEXREPLACE(TO_TEXT('Respuestas de formulario 1'!G863),""[^0-9]"",""""),2)=""54"",""+""&amp;REGEXREPLACE(TO_TEXT('Respuestas de formulario 1'!G863),""[^0-9]"",""""),""+54""&amp;REGEXREPLACE(TO_TEXT('Respuest"&amp;"as de formulario 1'!G863),""[^0-9]"","""")))"),"+543512680068")</f>
        <v>+543512680068</v>
      </c>
      <c r="H863" s="7">
        <f>'Respuestas de formulario 1'!S863</f>
        <v>2025</v>
      </c>
      <c r="I863" s="7" t="str">
        <f>IFERROR(__xludf.DUMMYFUNCTION("IF('Respuestas de formulario 1'!I863="""","""",TO_TEXT('Respuestas de formulario 1'!I863))"),"Obra social")</f>
        <v>Obra social</v>
      </c>
      <c r="J863" s="7" t="str">
        <f>IFERROR(__xludf.DUMMYFUNCTION("IF('Respuestas de formulario 1'!J863&lt;&gt;"""",UPPER(TRIM(TO_TEXT('Respuestas de formulario 1'!J863))),IF('Respuestas de formulario 1'!O863&lt;&gt;"""",UPPER(TRIM(TO_TEXT('Respuestas de formulario 1'!O863))),""""))"),"")</f>
        <v/>
      </c>
      <c r="K863" s="7" t="str">
        <f>IFERROR(__xludf.DUMMYFUNCTION("IF('Respuestas de formulario 1'!K863="""","""",TO_TEXT('Respuestas de formulario 1'!K863))"),"No")</f>
        <v>No</v>
      </c>
      <c r="L863" s="7" t="str">
        <f>IFERROR(__xludf.DUMMYFUNCTION("IF('Respuestas de formulario 1'!L863="""","""",TO_TEXT('Respuestas de formulario 1'!L863))"),"")</f>
        <v/>
      </c>
      <c r="M863" s="7" t="str">
        <f>IFERROR(__xludf.DUMMYFUNCTION("IF('Respuestas de formulario 1'!M863="""","""",TO_TEXT('Respuestas de formulario 1'!M863))"),"")</f>
        <v/>
      </c>
      <c r="N863" s="7">
        <f t="shared" si="1"/>
        <v>2025</v>
      </c>
      <c r="O863" s="7" t="str">
        <f t="shared" si="2"/>
        <v>enero</v>
      </c>
      <c r="P863" s="7" t="s">
        <v>5898</v>
      </c>
    </row>
    <row r="864">
      <c r="A864" s="19">
        <f>'Respuestas de formulario 1'!A864</f>
        <v>45688.44819</v>
      </c>
      <c r="B864" s="7" t="str">
        <f>'Respuestas de formulario 1'!B864</f>
        <v>Moyano</v>
      </c>
      <c r="C864" s="7" t="str">
        <f>'Respuestas de formulario 1'!C864</f>
        <v>Maximiliano</v>
      </c>
      <c r="D864" s="7" t="str">
        <f>'Respuestas de formulario 1'!D864</f>
        <v>maximoyano95@gmail.com</v>
      </c>
      <c r="E864" s="20">
        <f>'Respuestas de formulario 1'!E864</f>
        <v>34727</v>
      </c>
      <c r="F864" s="7">
        <f>'Respuestas de formulario 1'!F864</f>
        <v>38647952</v>
      </c>
      <c r="G864" s="7" t="str">
        <f>IFERROR(__xludf.DUMMYFUNCTION("IF('Respuestas de formulario 1'!G864="""","""",IF(LEFT(REGEXREPLACE(TO_TEXT('Respuestas de formulario 1'!G864),""[^0-9]"",""""),2)=""54"",""+""&amp;REGEXREPLACE(TO_TEXT('Respuestas de formulario 1'!G864),""[^0-9]"",""""),""+54""&amp;REGEXREPLACE(TO_TEXT('Respuest"&amp;"as de formulario 1'!G864),""[^0-9]"","""")))"),"+543518022205")</f>
        <v>+543518022205</v>
      </c>
      <c r="H864" s="7">
        <f>'Respuestas de formulario 1'!S864</f>
        <v>2025</v>
      </c>
      <c r="I864" s="7" t="str">
        <f>IFERROR(__xludf.DUMMYFUNCTION("IF('Respuestas de formulario 1'!I864="""","""",TO_TEXT('Respuestas de formulario 1'!I864))"),"Particular")</f>
        <v>Particular</v>
      </c>
      <c r="J864" s="7" t="str">
        <f>IFERROR(__xludf.DUMMYFUNCTION("IF('Respuestas de formulario 1'!J864&lt;&gt;"""",UPPER(TRIM(TO_TEXT('Respuestas de formulario 1'!J864))),IF('Respuestas de formulario 1'!O864&lt;&gt;"""",UPPER(TRIM(TO_TEXT('Respuestas de formulario 1'!O864))),""""))"),"")</f>
        <v/>
      </c>
      <c r="K864" s="7" t="str">
        <f>IFERROR(__xludf.DUMMYFUNCTION("IF('Respuestas de formulario 1'!K864="""","""",TO_TEXT('Respuestas de formulario 1'!K864))"),"Si")</f>
        <v>Si</v>
      </c>
      <c r="L864" s="7" t="str">
        <f>IFERROR(__xludf.DUMMYFUNCTION("IF('Respuestas de formulario 1'!L864="""","""",TO_TEXT('Respuestas de formulario 1'!L864))"),"gimnasio")</f>
        <v>gimnasio</v>
      </c>
      <c r="M864" s="7" t="str">
        <f>IFERROR(__xludf.DUMMYFUNCTION("IF('Respuestas de formulario 1'!M864="""","""",TO_TEXT('Respuestas de formulario 1'!M864))"),"3 a 5 veces por semana")</f>
        <v>3 a 5 veces por semana</v>
      </c>
      <c r="N864" s="7">
        <f t="shared" si="1"/>
        <v>2025</v>
      </c>
      <c r="O864" s="7" t="str">
        <f t="shared" si="2"/>
        <v>enero</v>
      </c>
      <c r="P864" s="7" t="s">
        <v>5900</v>
      </c>
    </row>
    <row r="865">
      <c r="A865" s="19">
        <f>'Respuestas de formulario 1'!A865</f>
        <v>45692.67887</v>
      </c>
      <c r="B865" s="7" t="str">
        <f>'Respuestas de formulario 1'!B865</f>
        <v>Miretti</v>
      </c>
      <c r="C865" s="7" t="str">
        <f>'Respuestas de formulario 1'!C865</f>
        <v>Zulema</v>
      </c>
      <c r="D865" s="7" t="str">
        <f>'Respuestas de formulario 1'!D865</f>
        <v/>
      </c>
      <c r="E865" s="20">
        <f>'Respuestas de formulario 1'!E865</f>
        <v>19926</v>
      </c>
      <c r="F865" s="7">
        <f>'Respuestas de formulario 1'!F865</f>
        <v>11244221</v>
      </c>
      <c r="G865" s="7" t="str">
        <f>IFERROR(__xludf.DUMMYFUNCTION("IF('Respuestas de formulario 1'!G865="""","""",IF(LEFT(REGEXREPLACE(TO_TEXT('Respuestas de formulario 1'!G865),""[^0-9]"",""""),2)=""54"",""+""&amp;REGEXREPLACE(TO_TEXT('Respuestas de formulario 1'!G865),""[^0-9]"",""""),""+54""&amp;REGEXREPLACE(TO_TEXT('Respuest"&amp;"as de formulario 1'!G865),""[^0-9]"","""")))"),"+543516724587")</f>
        <v>+543516724587</v>
      </c>
      <c r="H865" s="7">
        <f>'Respuestas de formulario 1'!S865</f>
        <v>2025</v>
      </c>
      <c r="I865" s="7" t="str">
        <f>IFERROR(__xludf.DUMMYFUNCTION("IF('Respuestas de formulario 1'!I865="""","""",TO_TEXT('Respuestas de formulario 1'!I865))"),"Obra social")</f>
        <v>Obra social</v>
      </c>
      <c r="J865" s="7" t="str">
        <f>IFERROR(__xludf.DUMMYFUNCTION("IF('Respuestas de formulario 1'!J865&lt;&gt;"""",UPPER(TRIM(TO_TEXT('Respuestas de formulario 1'!J865))),IF('Respuestas de formulario 1'!O865&lt;&gt;"""",UPPER(TRIM(TO_TEXT('Respuestas de formulario 1'!O865))),""""))"),"APROSS")</f>
        <v>APROSS</v>
      </c>
      <c r="K865" s="7" t="str">
        <f>IFERROR(__xludf.DUMMYFUNCTION("IF('Respuestas de formulario 1'!K865="""","""",TO_TEXT('Respuestas de formulario 1'!K865))"),"Si")</f>
        <v>Si</v>
      </c>
      <c r="L865" s="7" t="str">
        <f>IFERROR(__xludf.DUMMYFUNCTION("IF('Respuestas de formulario 1'!L865="""","""",TO_TEXT('Respuestas de formulario 1'!L865))"),"Gimnasio")</f>
        <v>Gimnasio</v>
      </c>
      <c r="M865" s="7" t="str">
        <f>IFERROR(__xludf.DUMMYFUNCTION("IF('Respuestas de formulario 1'!M865="""","""",TO_TEXT('Respuestas de formulario 1'!M865))"),"1 a 2 veces por semana")</f>
        <v>1 a 2 veces por semana</v>
      </c>
      <c r="N865" s="7">
        <f t="shared" si="1"/>
        <v>2025</v>
      </c>
      <c r="O865" s="7" t="str">
        <f t="shared" si="2"/>
        <v>febrero</v>
      </c>
      <c r="P865" s="7" t="s">
        <v>5902</v>
      </c>
    </row>
    <row r="866">
      <c r="A866" s="19">
        <f>'Respuestas de formulario 1'!A866</f>
        <v>45692.95676</v>
      </c>
      <c r="B866" s="7" t="str">
        <f>'Respuestas de formulario 1'!B866</f>
        <v>rivero</v>
      </c>
      <c r="C866" s="7" t="str">
        <f>'Respuestas de formulario 1'!C866</f>
        <v>sabrina fernanda</v>
      </c>
      <c r="D866" s="7" t="str">
        <f>'Respuestas de formulario 1'!D866</f>
        <v>sabri.rivero@hotmail.com.ar</v>
      </c>
      <c r="E866" s="20">
        <f>'Respuestas de formulario 1'!E866</f>
        <v>31362</v>
      </c>
      <c r="F866" s="7">
        <f>'Respuestas de formulario 1'!F866</f>
        <v>31890251</v>
      </c>
      <c r="G866" s="7" t="str">
        <f>IFERROR(__xludf.DUMMYFUNCTION("IF('Respuestas de formulario 1'!G866="""","""",IF(LEFT(REGEXREPLACE(TO_TEXT('Respuestas de formulario 1'!G866),""[^0-9]"",""""),2)=""54"",""+""&amp;REGEXREPLACE(TO_TEXT('Respuestas de formulario 1'!G866),""[^0-9]"",""""),""+54""&amp;REGEXREPLACE(TO_TEXT('Respuest"&amp;"as de formulario 1'!G866),""[^0-9]"","""")))"),"+543413508520")</f>
        <v>+543413508520</v>
      </c>
      <c r="H866" s="7">
        <f>'Respuestas de formulario 1'!S866</f>
        <v>2025</v>
      </c>
      <c r="I866" s="7" t="str">
        <f>IFERROR(__xludf.DUMMYFUNCTION("IF('Respuestas de formulario 1'!I866="""","""",TO_TEXT('Respuestas de formulario 1'!I866))"),"Obra social")</f>
        <v>Obra social</v>
      </c>
      <c r="J866" s="7" t="str">
        <f>IFERROR(__xludf.DUMMYFUNCTION("IF('Respuestas de formulario 1'!J866&lt;&gt;"""",UPPER(TRIM(TO_TEXT('Respuestas de formulario 1'!J866))),IF('Respuestas de formulario 1'!O866&lt;&gt;"""",UPPER(TRIM(TO_TEXT('Respuestas de formulario 1'!O866))),""""))"),"PREVENCIÓN")</f>
        <v>PREVENCIÓN</v>
      </c>
      <c r="K866" s="7" t="str">
        <f>IFERROR(__xludf.DUMMYFUNCTION("IF('Respuestas de formulario 1'!K866="""","""",TO_TEXT('Respuestas de formulario 1'!K866))"),"No")</f>
        <v>No</v>
      </c>
      <c r="L866" s="7" t="str">
        <f>IFERROR(__xludf.DUMMYFUNCTION("IF('Respuestas de formulario 1'!L866="""","""",TO_TEXT('Respuestas de formulario 1'!L866))"),"")</f>
        <v/>
      </c>
      <c r="M866" s="7" t="str">
        <f>IFERROR(__xludf.DUMMYFUNCTION("IF('Respuestas de formulario 1'!M866="""","""",TO_TEXT('Respuestas de formulario 1'!M866))"),"")</f>
        <v/>
      </c>
      <c r="N866" s="7">
        <f t="shared" si="1"/>
        <v>2025</v>
      </c>
      <c r="O866" s="7" t="str">
        <f t="shared" si="2"/>
        <v>febrero</v>
      </c>
      <c r="P866" s="7" t="s">
        <v>5903</v>
      </c>
    </row>
    <row r="867">
      <c r="A867" s="19">
        <f>'Respuestas de formulario 1'!A867</f>
        <v>45693.4367</v>
      </c>
      <c r="B867" s="7" t="str">
        <f>'Respuestas de formulario 1'!B867</f>
        <v>Castagno</v>
      </c>
      <c r="C867" s="7" t="str">
        <f>'Respuestas de formulario 1'!C867</f>
        <v>Emanuel </v>
      </c>
      <c r="D867" s="7" t="str">
        <f>'Respuestas de formulario 1'!D867</f>
        <v>Ema005@hotmail.com</v>
      </c>
      <c r="E867" s="20">
        <f>'Respuestas de formulario 1'!E867</f>
        <v>33157</v>
      </c>
      <c r="F867" s="7">
        <f>'Respuestas de formulario 1'!F867</f>
        <v>35282113</v>
      </c>
      <c r="G867" s="7" t="str">
        <f>IFERROR(__xludf.DUMMYFUNCTION("IF('Respuestas de formulario 1'!G867="""","""",IF(LEFT(REGEXREPLACE(TO_TEXT('Respuestas de formulario 1'!G867),""[^0-9]"",""""),2)=""54"",""+""&amp;REGEXREPLACE(TO_TEXT('Respuestas de formulario 1'!G867),""[^0-9]"",""""),""+54""&amp;REGEXREPLACE(TO_TEXT('Respuest"&amp;"as de formulario 1'!G867),""[^0-9]"","""")))"),"+543515162829")</f>
        <v>+543515162829</v>
      </c>
      <c r="H867" s="7">
        <f>'Respuestas de formulario 1'!S867</f>
        <v>2025</v>
      </c>
      <c r="I867" s="7" t="str">
        <f>IFERROR(__xludf.DUMMYFUNCTION("IF('Respuestas de formulario 1'!I867="""","""",TO_TEXT('Respuestas de formulario 1'!I867))"),"Particular")</f>
        <v>Particular</v>
      </c>
      <c r="J867" s="7" t="str">
        <f>IFERROR(__xludf.DUMMYFUNCTION("IF('Respuestas de formulario 1'!J867&lt;&gt;"""",UPPER(TRIM(TO_TEXT('Respuestas de formulario 1'!J867))),IF('Respuestas de formulario 1'!O867&lt;&gt;"""",UPPER(TRIM(TO_TEXT('Respuestas de formulario 1'!O867))),""""))"),"")</f>
        <v/>
      </c>
      <c r="K867" s="7" t="str">
        <f>IFERROR(__xludf.DUMMYFUNCTION("IF('Respuestas de formulario 1'!K867="""","""",TO_TEXT('Respuestas de formulario 1'!K867))"),"Si")</f>
        <v>Si</v>
      </c>
      <c r="L867" s="7" t="str">
        <f>IFERROR(__xludf.DUMMYFUNCTION("IF('Respuestas de formulario 1'!L867="""","""",TO_TEXT('Respuestas de formulario 1'!L867))"),"Fútbol")</f>
        <v>Fútbol</v>
      </c>
      <c r="M867" s="7" t="str">
        <f>IFERROR(__xludf.DUMMYFUNCTION("IF('Respuestas de formulario 1'!M867="""","""",TO_TEXT('Respuestas de formulario 1'!M867))"),"3 a 5 veces por semana")</f>
        <v>3 a 5 veces por semana</v>
      </c>
      <c r="N867" s="7">
        <f t="shared" si="1"/>
        <v>2025</v>
      </c>
      <c r="O867" s="7" t="str">
        <f t="shared" si="2"/>
        <v>febrero</v>
      </c>
      <c r="P867" s="7" t="s">
        <v>5905</v>
      </c>
    </row>
    <row r="868">
      <c r="A868" s="19">
        <f>'Respuestas de formulario 1'!A868</f>
        <v>45693.52481</v>
      </c>
      <c r="B868" s="7" t="str">
        <f>'Respuestas de formulario 1'!B868</f>
        <v>Virginio </v>
      </c>
      <c r="C868" s="7" t="str">
        <f>'Respuestas de formulario 1'!C868</f>
        <v>Sebastián </v>
      </c>
      <c r="D868" s="7" t="str">
        <f>'Respuestas de formulario 1'!D868</f>
        <v>svirginio@gmail.com</v>
      </c>
      <c r="E868" s="20">
        <f>'Respuestas de formulario 1'!E868</f>
        <v>29182</v>
      </c>
      <c r="F868" s="7">
        <f>'Respuestas de formulario 1'!F868</f>
        <v>27656971</v>
      </c>
      <c r="G868" s="7" t="str">
        <f>IFERROR(__xludf.DUMMYFUNCTION("IF('Respuestas de formulario 1'!G868="""","""",IF(LEFT(REGEXREPLACE(TO_TEXT('Respuestas de formulario 1'!G868),""[^0-9]"",""""),2)=""54"",""+""&amp;REGEXREPLACE(TO_TEXT('Respuestas de formulario 1'!G868),""[^0-9]"",""""),""+54""&amp;REGEXREPLACE(TO_TEXT('Respuest"&amp;"as de formulario 1'!G868),""[^0-9]"","""")))"),"+543516754851")</f>
        <v>+543516754851</v>
      </c>
      <c r="H868" s="7">
        <f>'Respuestas de formulario 1'!S868</f>
        <v>2025</v>
      </c>
      <c r="I868" s="7" t="str">
        <f>IFERROR(__xludf.DUMMYFUNCTION("IF('Respuestas de formulario 1'!I868="""","""",TO_TEXT('Respuestas de formulario 1'!I868))"),"Obra social")</f>
        <v>Obra social</v>
      </c>
      <c r="J868" s="7" t="str">
        <f>IFERROR(__xludf.DUMMYFUNCTION("IF('Respuestas de formulario 1'!J868&lt;&gt;"""",UPPER(TRIM(TO_TEXT('Respuestas de formulario 1'!J868))),IF('Respuestas de formulario 1'!O868&lt;&gt;"""",UPPER(TRIM(TO_TEXT('Respuestas de formulario 1'!O868))),""""))"),"APROSS")</f>
        <v>APROSS</v>
      </c>
      <c r="K868" s="7" t="str">
        <f>IFERROR(__xludf.DUMMYFUNCTION("IF('Respuestas de formulario 1'!K868="""","""",TO_TEXT('Respuestas de formulario 1'!K868))"),"Si")</f>
        <v>Si</v>
      </c>
      <c r="L868" s="7" t="str">
        <f>IFERROR(__xludf.DUMMYFUNCTION("IF('Respuestas de formulario 1'!L868="""","""",TO_TEXT('Respuestas de formulario 1'!L868))"),"Escalada/montañismo")</f>
        <v>Escalada/montañismo</v>
      </c>
      <c r="M868" s="7" t="str">
        <f>IFERROR(__xludf.DUMMYFUNCTION("IF('Respuestas de formulario 1'!M868="""","""",TO_TEXT('Respuestas de formulario 1'!M868))"),"3 a 5 veces por semana")</f>
        <v>3 a 5 veces por semana</v>
      </c>
      <c r="N868" s="7">
        <f t="shared" si="1"/>
        <v>2025</v>
      </c>
      <c r="O868" s="7" t="str">
        <f t="shared" si="2"/>
        <v>febrero</v>
      </c>
      <c r="P868" s="7" t="s">
        <v>5907</v>
      </c>
    </row>
    <row r="869">
      <c r="A869" s="19">
        <f>'Respuestas de formulario 1'!A869</f>
        <v>45693.86325</v>
      </c>
      <c r="B869" s="7" t="str">
        <f>'Respuestas de formulario 1'!B869</f>
        <v>Cara</v>
      </c>
      <c r="C869" s="7" t="str">
        <f>'Respuestas de formulario 1'!C869</f>
        <v>María Luisa </v>
      </c>
      <c r="D869" s="7" t="str">
        <f>'Respuestas de formulario 1'!D869</f>
        <v>lulucara48@gmail.com</v>
      </c>
      <c r="E869" s="20">
        <f>'Respuestas de formulario 1'!E869</f>
        <v>36685</v>
      </c>
      <c r="F869" s="7">
        <f>'Respuestas de formulario 1'!F869</f>
        <v>42513817</v>
      </c>
      <c r="G869" s="7" t="str">
        <f>IFERROR(__xludf.DUMMYFUNCTION("IF('Respuestas de formulario 1'!G869="""","""",IF(LEFT(REGEXREPLACE(TO_TEXT('Respuestas de formulario 1'!G869),""[^0-9]"",""""),2)=""54"",""+""&amp;REGEXREPLACE(TO_TEXT('Respuestas de formulario 1'!G869),""[^0-9]"",""""),""+54""&amp;REGEXREPLACE(TO_TEXT('Respuest"&amp;"as de formulario 1'!G869),""[^0-9]"","""")))"),"+543516453248")</f>
        <v>+543516453248</v>
      </c>
      <c r="H869" s="7">
        <f>'Respuestas de formulario 1'!S869</f>
        <v>2025</v>
      </c>
      <c r="I869" s="7" t="str">
        <f>IFERROR(__xludf.DUMMYFUNCTION("IF('Respuestas de formulario 1'!I869="""","""",TO_TEXT('Respuestas de formulario 1'!I869))"),"Particular")</f>
        <v>Particular</v>
      </c>
      <c r="J869" s="7" t="str">
        <f>IFERROR(__xludf.DUMMYFUNCTION("IF('Respuestas de formulario 1'!J869&lt;&gt;"""",UPPER(TRIM(TO_TEXT('Respuestas de formulario 1'!J869))),IF('Respuestas de formulario 1'!O869&lt;&gt;"""",UPPER(TRIM(TO_TEXT('Respuestas de formulario 1'!O869))),""""))"),"")</f>
        <v/>
      </c>
      <c r="K869" s="7" t="str">
        <f>IFERROR(__xludf.DUMMYFUNCTION("IF('Respuestas de formulario 1'!K869="""","""",TO_TEXT('Respuestas de formulario 1'!K869))"),"No")</f>
        <v>No</v>
      </c>
      <c r="L869" s="7" t="str">
        <f>IFERROR(__xludf.DUMMYFUNCTION("IF('Respuestas de formulario 1'!L869="""","""",TO_TEXT('Respuestas de formulario 1'!L869))"),"")</f>
        <v/>
      </c>
      <c r="M869" s="7" t="str">
        <f>IFERROR(__xludf.DUMMYFUNCTION("IF('Respuestas de formulario 1'!M869="""","""",TO_TEXT('Respuestas de formulario 1'!M869))"),"")</f>
        <v/>
      </c>
      <c r="N869" s="7">
        <f t="shared" si="1"/>
        <v>2025</v>
      </c>
      <c r="O869" s="7" t="str">
        <f t="shared" si="2"/>
        <v>febrero</v>
      </c>
      <c r="P869" s="7" t="s">
        <v>5909</v>
      </c>
    </row>
    <row r="870">
      <c r="A870" s="19">
        <f>'Respuestas de formulario 1'!A870</f>
        <v>45694.47755</v>
      </c>
      <c r="B870" s="7" t="str">
        <f>'Respuestas de formulario 1'!B870</f>
        <v>Brandi </v>
      </c>
      <c r="C870" s="7" t="str">
        <f>'Respuestas de formulario 1'!C870</f>
        <v>Hector</v>
      </c>
      <c r="D870" s="23" t="str">
        <f>'Respuestas de formulario 1'!D870</f>
        <v>milagros1361qgmail.com</v>
      </c>
      <c r="E870" s="20">
        <f>'Respuestas de formulario 1'!E870</f>
        <v>17371</v>
      </c>
      <c r="F870" s="7">
        <f>'Respuestas de formulario 1'!F870</f>
        <v>7997880</v>
      </c>
      <c r="G870" s="7" t="str">
        <f>IFERROR(__xludf.DUMMYFUNCTION("IF('Respuestas de formulario 1'!G870="""","""",IF(LEFT(REGEXREPLACE(TO_TEXT('Respuestas de formulario 1'!G870),""[^0-9]"",""""),2)=""54"",""+""&amp;REGEXREPLACE(TO_TEXT('Respuestas de formulario 1'!G870),""[^0-9]"",""""),""+54""&amp;REGEXREPLACE(TO_TEXT('Respuest"&amp;"as de formulario 1'!G870),""[^0-9]"","""")))"),"+543513464188")</f>
        <v>+543513464188</v>
      </c>
      <c r="H870" s="7">
        <f>'Respuestas de formulario 1'!S870</f>
        <v>2025</v>
      </c>
      <c r="I870" s="7" t="str">
        <f>IFERROR(__xludf.DUMMYFUNCTION("IF('Respuestas de formulario 1'!I870="""","""",TO_TEXT('Respuestas de formulario 1'!I870))"),"Particular")</f>
        <v>Particular</v>
      </c>
      <c r="J870" s="7" t="str">
        <f>IFERROR(__xludf.DUMMYFUNCTION("IF('Respuestas de formulario 1'!J870&lt;&gt;"""",UPPER(TRIM(TO_TEXT('Respuestas de formulario 1'!J870))),IF('Respuestas de formulario 1'!O870&lt;&gt;"""",UPPER(TRIM(TO_TEXT('Respuestas de formulario 1'!O870))),""""))"),"")</f>
        <v/>
      </c>
      <c r="K870" s="7" t="str">
        <f>IFERROR(__xludf.DUMMYFUNCTION("IF('Respuestas de formulario 1'!K870="""","""",TO_TEXT('Respuestas de formulario 1'!K870))"),"No")</f>
        <v>No</v>
      </c>
      <c r="L870" s="7" t="str">
        <f>IFERROR(__xludf.DUMMYFUNCTION("IF('Respuestas de formulario 1'!L870="""","""",TO_TEXT('Respuestas de formulario 1'!L870))"),"")</f>
        <v/>
      </c>
      <c r="M870" s="7" t="str">
        <f>IFERROR(__xludf.DUMMYFUNCTION("IF('Respuestas de formulario 1'!M870="""","""",TO_TEXT('Respuestas de formulario 1'!M870))"),"")</f>
        <v/>
      </c>
      <c r="N870" s="7">
        <f t="shared" si="1"/>
        <v>2025</v>
      </c>
      <c r="O870" s="7" t="str">
        <f t="shared" si="2"/>
        <v>febrero</v>
      </c>
      <c r="P870" s="7" t="s">
        <v>5911</v>
      </c>
    </row>
    <row r="871">
      <c r="A871" s="19">
        <f>'Respuestas de formulario 1'!A871</f>
        <v>45698.46359</v>
      </c>
      <c r="B871" s="7" t="str">
        <f>'Respuestas de formulario 1'!B871</f>
        <v>Grecco</v>
      </c>
      <c r="C871" s="7" t="str">
        <f>'Respuestas de formulario 1'!C871</f>
        <v>Daniel</v>
      </c>
      <c r="D871" s="7" t="str">
        <f>'Respuestas de formulario 1'!D871</f>
        <v>danielalbertogrecco@gmail.com</v>
      </c>
      <c r="E871" s="20">
        <f>'Respuestas de formulario 1'!E871</f>
        <v>32511</v>
      </c>
      <c r="F871" s="7">
        <f>'Respuestas de formulario 1'!F871</f>
        <v>34131648</v>
      </c>
      <c r="G871" s="7" t="str">
        <f>IFERROR(__xludf.DUMMYFUNCTION("IF('Respuestas de formulario 1'!G871="""","""",IF(LEFT(REGEXREPLACE(TO_TEXT('Respuestas de formulario 1'!G871),""[^0-9]"",""""),2)=""54"",""+""&amp;REGEXREPLACE(TO_TEXT('Respuestas de formulario 1'!G871),""[^0-9]"",""""),""+54""&amp;REGEXREPLACE(TO_TEXT('Respuest"&amp;"as de formulario 1'!G871),""[^0-9]"","""")))"),"+543513999960")</f>
        <v>+543513999960</v>
      </c>
      <c r="H871" s="7">
        <f>'Respuestas de formulario 1'!S871</f>
        <v>2025</v>
      </c>
      <c r="I871" s="7" t="str">
        <f>IFERROR(__xludf.DUMMYFUNCTION("IF('Respuestas de formulario 1'!I871="""","""",TO_TEXT('Respuestas de formulario 1'!I871))"),"Particular")</f>
        <v>Particular</v>
      </c>
      <c r="J871" s="7" t="str">
        <f>IFERROR(__xludf.DUMMYFUNCTION("IF('Respuestas de formulario 1'!J871&lt;&gt;"""",UPPER(TRIM(TO_TEXT('Respuestas de formulario 1'!J871))),IF('Respuestas de formulario 1'!O871&lt;&gt;"""",UPPER(TRIM(TO_TEXT('Respuestas de formulario 1'!O871))),""""))"),"")</f>
        <v/>
      </c>
      <c r="K871" s="7" t="str">
        <f>IFERROR(__xludf.DUMMYFUNCTION("IF('Respuestas de formulario 1'!K871="""","""",TO_TEXT('Respuestas de formulario 1'!K871))"),"Si")</f>
        <v>Si</v>
      </c>
      <c r="L871" s="7" t="str">
        <f>IFERROR(__xludf.DUMMYFUNCTION("IF('Respuestas de formulario 1'!L871="""","""",TO_TEXT('Respuestas de formulario 1'!L871))"),"Gimnasio")</f>
        <v>Gimnasio</v>
      </c>
      <c r="M871" s="7" t="str">
        <f>IFERROR(__xludf.DUMMYFUNCTION("IF('Respuestas de formulario 1'!M871="""","""",TO_TEXT('Respuestas de formulario 1'!M871))"),"3 a 5 veces por semana")</f>
        <v>3 a 5 veces por semana</v>
      </c>
      <c r="N871" s="7">
        <f t="shared" si="1"/>
        <v>2025</v>
      </c>
      <c r="O871" s="7" t="str">
        <f t="shared" si="2"/>
        <v>febrero</v>
      </c>
      <c r="P871" s="7" t="s">
        <v>5913</v>
      </c>
    </row>
    <row r="872">
      <c r="A872" s="19">
        <f>'Respuestas de formulario 1'!A872</f>
        <v>45699.79867</v>
      </c>
      <c r="B872" s="7" t="str">
        <f>'Respuestas de formulario 1'!B872</f>
        <v>Moretto</v>
      </c>
      <c r="C872" s="7" t="str">
        <f>'Respuestas de formulario 1'!C872</f>
        <v>Milagros</v>
      </c>
      <c r="D872" s="7" t="str">
        <f>'Respuestas de formulario 1'!D872</f>
        <v>milimoretto@hotmail.com</v>
      </c>
      <c r="E872" s="20">
        <f>'Respuestas de formulario 1'!E872</f>
        <v>36353</v>
      </c>
      <c r="F872" s="7">
        <f>'Respuestas de formulario 1'!F872</f>
        <v>41963156</v>
      </c>
      <c r="G872" s="7" t="str">
        <f>IFERROR(__xludf.DUMMYFUNCTION("IF('Respuestas de formulario 1'!G872="""","""",IF(LEFT(REGEXREPLACE(TO_TEXT('Respuestas de formulario 1'!G872),""[^0-9]"",""""),2)=""54"",""+""&amp;REGEXREPLACE(TO_TEXT('Respuestas de formulario 1'!G872),""[^0-9]"",""""),""+54""&amp;REGEXREPLACE(TO_TEXT('Respuest"&amp;"as de formulario 1'!G872),""[^0-9]"","""")))"),"+543515060402")</f>
        <v>+543515060402</v>
      </c>
      <c r="H872" s="7">
        <f>'Respuestas de formulario 1'!S872</f>
        <v>2025</v>
      </c>
      <c r="I872" s="7" t="str">
        <f>IFERROR(__xludf.DUMMYFUNCTION("IF('Respuestas de formulario 1'!I872="""","""",TO_TEXT('Respuestas de formulario 1'!I872))"),"Obra social")</f>
        <v>Obra social</v>
      </c>
      <c r="J872" s="7" t="str">
        <f>IFERROR(__xludf.DUMMYFUNCTION("IF('Respuestas de formulario 1'!J872&lt;&gt;"""",UPPER(TRIM(TO_TEXT('Respuestas de formulario 1'!J872))),IF('Respuestas de formulario 1'!O872&lt;&gt;"""",UPPER(TRIM(TO_TEXT('Respuestas de formulario 1'!O872))),""""))"),"PREVENCIÓN")</f>
        <v>PREVENCIÓN</v>
      </c>
      <c r="K872" s="7" t="str">
        <f>IFERROR(__xludf.DUMMYFUNCTION("IF('Respuestas de formulario 1'!K872="""","""",TO_TEXT('Respuestas de formulario 1'!K872))"),"Si")</f>
        <v>Si</v>
      </c>
      <c r="L872" s="7" t="str">
        <f>IFERROR(__xludf.DUMMYFUNCTION("IF('Respuestas de formulario 1'!L872="""","""",TO_TEXT('Respuestas de formulario 1'!L872))"),"Pilates ")</f>
        <v>Pilates </v>
      </c>
      <c r="M872" s="7" t="str">
        <f>IFERROR(__xludf.DUMMYFUNCTION("IF('Respuestas de formulario 1'!M872="""","""",TO_TEXT('Respuestas de formulario 1'!M872))"),"6 a 7 veces por semana")</f>
        <v>6 a 7 veces por semana</v>
      </c>
      <c r="N872" s="7">
        <f t="shared" si="1"/>
        <v>2025</v>
      </c>
      <c r="O872" s="7" t="str">
        <f t="shared" si="2"/>
        <v>febrero</v>
      </c>
      <c r="P872" s="7" t="s">
        <v>5915</v>
      </c>
    </row>
    <row r="873">
      <c r="A873" s="19">
        <f>'Respuestas de formulario 1'!A873</f>
        <v>45700.81272</v>
      </c>
      <c r="B873" s="7" t="str">
        <f>'Respuestas de formulario 1'!B873</f>
        <v>Cornejo</v>
      </c>
      <c r="C873" s="7" t="str">
        <f>'Respuestas de formulario 1'!C873</f>
        <v>Maria josefina</v>
      </c>
      <c r="D873" s="7" t="str">
        <f>'Respuestas de formulario 1'!D873</f>
        <v>giselasr28@gmail.com</v>
      </c>
      <c r="E873" s="20">
        <f>'Respuestas de formulario 1'!E873</f>
        <v>15417</v>
      </c>
      <c r="F873" s="7">
        <f>'Respuestas de formulario 1'!F873</f>
        <v>4424142</v>
      </c>
      <c r="G873" s="7" t="str">
        <f>IFERROR(__xludf.DUMMYFUNCTION("IF('Respuestas de formulario 1'!G873="""","""",IF(LEFT(REGEXREPLACE(TO_TEXT('Respuestas de formulario 1'!G873),""[^0-9]"",""""),2)=""54"",""+""&amp;REGEXREPLACE(TO_TEXT('Respuestas de formulario 1'!G873),""[^0-9]"",""""),""+54""&amp;REGEXREPLACE(TO_TEXT('Respuest"&amp;"as de formulario 1'!G873),""[^0-9]"","""")))"),"+543512261824")</f>
        <v>+543512261824</v>
      </c>
      <c r="H873" s="7">
        <f>'Respuestas de formulario 1'!S873</f>
        <v>2025</v>
      </c>
      <c r="I873" s="7" t="str">
        <f>IFERROR(__xludf.DUMMYFUNCTION("IF('Respuestas de formulario 1'!I873="""","""",TO_TEXT('Respuestas de formulario 1'!I873))"),"Obra social")</f>
        <v>Obra social</v>
      </c>
      <c r="J873" s="7" t="str">
        <f>IFERROR(__xludf.DUMMYFUNCTION("IF('Respuestas de formulario 1'!J873&lt;&gt;"""",UPPER(TRIM(TO_TEXT('Respuestas de formulario 1'!J873))),IF('Respuestas de formulario 1'!O873&lt;&gt;"""",UPPER(TRIM(TO_TEXT('Respuestas de formulario 1'!O873))),""""))"),"APROSS")</f>
        <v>APROSS</v>
      </c>
      <c r="K873" s="7" t="str">
        <f>IFERROR(__xludf.DUMMYFUNCTION("IF('Respuestas de formulario 1'!K873="""","""",TO_TEXT('Respuestas de formulario 1'!K873))"),"No")</f>
        <v>No</v>
      </c>
      <c r="L873" s="7" t="str">
        <f>IFERROR(__xludf.DUMMYFUNCTION("IF('Respuestas de formulario 1'!L873="""","""",TO_TEXT('Respuestas de formulario 1'!L873))"),"")</f>
        <v/>
      </c>
      <c r="M873" s="7" t="str">
        <f>IFERROR(__xludf.DUMMYFUNCTION("IF('Respuestas de formulario 1'!M873="""","""",TO_TEXT('Respuestas de formulario 1'!M873))"),"")</f>
        <v/>
      </c>
      <c r="N873" s="7">
        <f t="shared" si="1"/>
        <v>2025</v>
      </c>
      <c r="O873" s="7" t="str">
        <f t="shared" si="2"/>
        <v>febrero</v>
      </c>
      <c r="P873" s="7" t="s">
        <v>5917</v>
      </c>
    </row>
    <row r="874">
      <c r="A874" s="19">
        <f>'Respuestas de formulario 1'!A874</f>
        <v>45701.36085</v>
      </c>
      <c r="B874" s="7" t="str">
        <f>'Respuestas de formulario 1'!B874</f>
        <v>Oviedo</v>
      </c>
      <c r="C874" s="7" t="str">
        <f>'Respuestas de formulario 1'!C874</f>
        <v>Manuel</v>
      </c>
      <c r="D874" s="7" t="str">
        <f>'Respuestas de formulario 1'!D874</f>
        <v>juanmanuel.oviedo14@gmail.com</v>
      </c>
      <c r="E874" s="20">
        <f>'Respuestas de formulario 1'!E874</f>
        <v>32216</v>
      </c>
      <c r="F874" s="7">
        <f>'Respuestas de formulario 1'!F874</f>
        <v>33712713</v>
      </c>
      <c r="G874" s="7" t="str">
        <f>IFERROR(__xludf.DUMMYFUNCTION("IF('Respuestas de formulario 1'!G874="""","""",IF(LEFT(REGEXREPLACE(TO_TEXT('Respuestas de formulario 1'!G874),""[^0-9]"",""""),2)=""54"",""+""&amp;REGEXREPLACE(TO_TEXT('Respuestas de formulario 1'!G874),""[^0-9]"",""""),""+54""&amp;REGEXREPLACE(TO_TEXT('Respuest"&amp;"as de formulario 1'!G874),""[^0-9]"","""")))"),"+543512369338")</f>
        <v>+543512369338</v>
      </c>
      <c r="H874" s="7">
        <f>'Respuestas de formulario 1'!S874</f>
        <v>2025</v>
      </c>
      <c r="I874" s="7" t="str">
        <f>IFERROR(__xludf.DUMMYFUNCTION("IF('Respuestas de formulario 1'!I874="""","""",TO_TEXT('Respuestas de formulario 1'!I874))"),"Particular")</f>
        <v>Particular</v>
      </c>
      <c r="J874" s="7" t="str">
        <f>IFERROR(__xludf.DUMMYFUNCTION("IF('Respuestas de formulario 1'!J874&lt;&gt;"""",UPPER(TRIM(TO_TEXT('Respuestas de formulario 1'!J874))),IF('Respuestas de formulario 1'!O874&lt;&gt;"""",UPPER(TRIM(TO_TEXT('Respuestas de formulario 1'!O874))),""""))"),"")</f>
        <v/>
      </c>
      <c r="K874" s="7" t="str">
        <f>IFERROR(__xludf.DUMMYFUNCTION("IF('Respuestas de formulario 1'!K874="""","""",TO_TEXT('Respuestas de formulario 1'!K874))"),"Si")</f>
        <v>Si</v>
      </c>
      <c r="L874" s="7" t="str">
        <f>IFERROR(__xludf.DUMMYFUNCTION("IF('Respuestas de formulario 1'!L874="""","""",TO_TEXT('Respuestas de formulario 1'!L874))"),"tenis y gym")</f>
        <v>tenis y gym</v>
      </c>
      <c r="M874" s="7" t="str">
        <f>IFERROR(__xludf.DUMMYFUNCTION("IF('Respuestas de formulario 1'!M874="""","""",TO_TEXT('Respuestas de formulario 1'!M874))"),"3 a 5 veces por semana")</f>
        <v>3 a 5 veces por semana</v>
      </c>
      <c r="N874" s="7">
        <f t="shared" si="1"/>
        <v>2025</v>
      </c>
      <c r="O874" s="7" t="str">
        <f t="shared" si="2"/>
        <v>febrero</v>
      </c>
      <c r="P874" s="7" t="s">
        <v>5919</v>
      </c>
    </row>
    <row r="875">
      <c r="A875" s="19">
        <f>'Respuestas de formulario 1'!A875</f>
        <v>45701.49758</v>
      </c>
      <c r="B875" s="7" t="str">
        <f>'Respuestas de formulario 1'!B875</f>
        <v>Chanampa</v>
      </c>
      <c r="C875" s="7" t="str">
        <f>'Respuestas de formulario 1'!C875</f>
        <v>Marcela</v>
      </c>
      <c r="D875" s="7" t="str">
        <f>'Respuestas de formulario 1'!D875</f>
        <v>marcela.chanampa@gmail.com</v>
      </c>
      <c r="E875" s="20">
        <f>'Respuestas de formulario 1'!E875</f>
        <v>25950</v>
      </c>
      <c r="F875" s="7">
        <f>'Respuestas de formulario 1'!F875</f>
        <v>22033078</v>
      </c>
      <c r="G875" s="7" t="str">
        <f>IFERROR(__xludf.DUMMYFUNCTION("IF('Respuestas de formulario 1'!G875="""","""",IF(LEFT(REGEXREPLACE(TO_TEXT('Respuestas de formulario 1'!G875),""[^0-9]"",""""),2)=""54"",""+""&amp;REGEXREPLACE(TO_TEXT('Respuestas de formulario 1'!G875),""[^0-9]"",""""),""+54""&amp;REGEXREPLACE(TO_TEXT('Respuest"&amp;"as de formulario 1'!G875),""[^0-9]"","""")))"),"+543513189192")</f>
        <v>+543513189192</v>
      </c>
      <c r="H875" s="7">
        <f>'Respuestas de formulario 1'!S875</f>
        <v>2025</v>
      </c>
      <c r="I875" s="7" t="str">
        <f>IFERROR(__xludf.DUMMYFUNCTION("IF('Respuestas de formulario 1'!I875="""","""",TO_TEXT('Respuestas de formulario 1'!I875))"),"Particular")</f>
        <v>Particular</v>
      </c>
      <c r="J875" s="7" t="str">
        <f>IFERROR(__xludf.DUMMYFUNCTION("IF('Respuestas de formulario 1'!J875&lt;&gt;"""",UPPER(TRIM(TO_TEXT('Respuestas de formulario 1'!J875))),IF('Respuestas de formulario 1'!O875&lt;&gt;"""",UPPER(TRIM(TO_TEXT('Respuestas de formulario 1'!O875))),""""))"),"")</f>
        <v/>
      </c>
      <c r="K875" s="7" t="str">
        <f>IFERROR(__xludf.DUMMYFUNCTION("IF('Respuestas de formulario 1'!K875="""","""",TO_TEXT('Respuestas de formulario 1'!K875))"),"Si")</f>
        <v>Si</v>
      </c>
      <c r="L875" s="7" t="str">
        <f>IFERROR(__xludf.DUMMYFUNCTION("IF('Respuestas de formulario 1'!L875="""","""",TO_TEXT('Respuestas de formulario 1'!L875))"),"Padel")</f>
        <v>Padel</v>
      </c>
      <c r="M875" s="7" t="str">
        <f>IFERROR(__xludf.DUMMYFUNCTION("IF('Respuestas de formulario 1'!M875="""","""",TO_TEXT('Respuestas de formulario 1'!M875))"),"1 a 2 veces por semana")</f>
        <v>1 a 2 veces por semana</v>
      </c>
      <c r="N875" s="7">
        <f t="shared" si="1"/>
        <v>2025</v>
      </c>
      <c r="O875" s="7" t="str">
        <f t="shared" si="2"/>
        <v>febrero</v>
      </c>
      <c r="P875" s="7" t="s">
        <v>5921</v>
      </c>
    </row>
    <row r="876">
      <c r="A876" s="19">
        <f>'Respuestas de formulario 1'!A876</f>
        <v>45701.51937</v>
      </c>
      <c r="B876" s="7" t="str">
        <f>'Respuestas de formulario 1'!B876</f>
        <v>cornejo</v>
      </c>
      <c r="C876" s="7" t="str">
        <f>'Respuestas de formulario 1'!C876</f>
        <v>maria josefina17</v>
      </c>
      <c r="D876" s="7" t="str">
        <f>'Respuestas de formulario 1'!D876</f>
        <v>mjcornejo142@gmail.com</v>
      </c>
      <c r="E876" s="20">
        <f>'Respuestas de formulario 1'!E876</f>
        <v>15417</v>
      </c>
      <c r="F876" s="7">
        <f>'Respuestas de formulario 1'!F876</f>
        <v>4424142</v>
      </c>
      <c r="G876" s="7" t="str">
        <f>IFERROR(__xludf.DUMMYFUNCTION("IF('Respuestas de formulario 1'!G876="""","""",IF(LEFT(REGEXREPLACE(TO_TEXT('Respuestas de formulario 1'!G876),""[^0-9]"",""""),2)=""54"",""+""&amp;REGEXREPLACE(TO_TEXT('Respuestas de formulario 1'!G876),""[^0-9]"",""""),""+54""&amp;REGEXREPLACE(TO_TEXT('Respuest"&amp;"as de formulario 1'!G876),""[^0-9]"","""")))"),"+543512261824")</f>
        <v>+543512261824</v>
      </c>
      <c r="H876" s="7">
        <f>'Respuestas de formulario 1'!S876</f>
        <v>2025</v>
      </c>
      <c r="I876" s="7" t="str">
        <f>IFERROR(__xludf.DUMMYFUNCTION("IF('Respuestas de formulario 1'!I876="""","""",TO_TEXT('Respuestas de formulario 1'!I876))"),"Obra social")</f>
        <v>Obra social</v>
      </c>
      <c r="J876" s="7" t="str">
        <f>IFERROR(__xludf.DUMMYFUNCTION("IF('Respuestas de formulario 1'!J876&lt;&gt;"""",UPPER(TRIM(TO_TEXT('Respuestas de formulario 1'!J876))),IF('Respuestas de formulario 1'!O876&lt;&gt;"""",UPPER(TRIM(TO_TEXT('Respuestas de formulario 1'!O876))),""""))"),"APROSS")</f>
        <v>APROSS</v>
      </c>
      <c r="K876" s="7" t="str">
        <f>IFERROR(__xludf.DUMMYFUNCTION("IF('Respuestas de formulario 1'!K876="""","""",TO_TEXT('Respuestas de formulario 1'!K876))"),"No")</f>
        <v>No</v>
      </c>
      <c r="L876" s="7" t="str">
        <f>IFERROR(__xludf.DUMMYFUNCTION("IF('Respuestas de formulario 1'!L876="""","""",TO_TEXT('Respuestas de formulario 1'!L876))"),"")</f>
        <v/>
      </c>
      <c r="M876" s="7" t="str">
        <f>IFERROR(__xludf.DUMMYFUNCTION("IF('Respuestas de formulario 1'!M876="""","""",TO_TEXT('Respuestas de formulario 1'!M876))"),"")</f>
        <v/>
      </c>
      <c r="N876" s="7">
        <f t="shared" si="1"/>
        <v>2025</v>
      </c>
      <c r="O876" s="7" t="str">
        <f t="shared" si="2"/>
        <v>febrero</v>
      </c>
      <c r="P876" s="7" t="s">
        <v>5923</v>
      </c>
    </row>
    <row r="877">
      <c r="A877" s="19">
        <f>'Respuestas de formulario 1'!A877</f>
        <v>45701.55397</v>
      </c>
      <c r="B877" s="7" t="str">
        <f>'Respuestas de formulario 1'!B877</f>
        <v>Morán de la Vega</v>
      </c>
      <c r="C877" s="7" t="str">
        <f>'Respuestas de formulario 1'!C877</f>
        <v>Francisco </v>
      </c>
      <c r="D877" s="7" t="str">
        <f>'Respuestas de formulario 1'!D877</f>
        <v>franmorandelavega@gmail.com</v>
      </c>
      <c r="E877" s="20">
        <f>'Respuestas de formulario 1'!E877</f>
        <v>37895</v>
      </c>
      <c r="F877" s="7">
        <f>'Respuestas de formulario 1'!F877</f>
        <v>44970210</v>
      </c>
      <c r="G877" s="7" t="str">
        <f>IFERROR(__xludf.DUMMYFUNCTION("IF('Respuestas de formulario 1'!G877="""","""",IF(LEFT(REGEXREPLACE(TO_TEXT('Respuestas de formulario 1'!G877),""[^0-9]"",""""),2)=""54"",""+""&amp;REGEXREPLACE(TO_TEXT('Respuestas de formulario 1'!G877),""[^0-9]"",""""),""+54""&amp;REGEXREPLACE(TO_TEXT('Respuest"&amp;"as de formulario 1'!G877),""[^0-9]"","""")))"),"+543512052250")</f>
        <v>+543512052250</v>
      </c>
      <c r="H877" s="7">
        <f>'Respuestas de formulario 1'!S877</f>
        <v>2025</v>
      </c>
      <c r="I877" s="7" t="str">
        <f>IFERROR(__xludf.DUMMYFUNCTION("IF('Respuestas de formulario 1'!I877="""","""",TO_TEXT('Respuestas de formulario 1'!I877))"),"Obra social")</f>
        <v>Obra social</v>
      </c>
      <c r="J877" s="7" t="str">
        <f>IFERROR(__xludf.DUMMYFUNCTION("IF('Respuestas de formulario 1'!J877&lt;&gt;"""",UPPER(TRIM(TO_TEXT('Respuestas de formulario 1'!J877))),IF('Respuestas de formulario 1'!O877&lt;&gt;"""",UPPER(TRIM(TO_TEXT('Respuestas de formulario 1'!O877))),""""))"),"APROSS")</f>
        <v>APROSS</v>
      </c>
      <c r="K877" s="7" t="str">
        <f>IFERROR(__xludf.DUMMYFUNCTION("IF('Respuestas de formulario 1'!K877="""","""",TO_TEXT('Respuestas de formulario 1'!K877))"),"Si")</f>
        <v>Si</v>
      </c>
      <c r="L877" s="7" t="str">
        <f>IFERROR(__xludf.DUMMYFUNCTION("IF('Respuestas de formulario 1'!L877="""","""",TO_TEXT('Respuestas de formulario 1'!L877))"),"Fútbol")</f>
        <v>Fútbol</v>
      </c>
      <c r="M877" s="7" t="str">
        <f>IFERROR(__xludf.DUMMYFUNCTION("IF('Respuestas de formulario 1'!M877="""","""",TO_TEXT('Respuestas de formulario 1'!M877))"),"3 a 5 veces por semana")</f>
        <v>3 a 5 veces por semana</v>
      </c>
      <c r="N877" s="7">
        <f t="shared" si="1"/>
        <v>2025</v>
      </c>
      <c r="O877" s="7" t="str">
        <f t="shared" si="2"/>
        <v>febrero</v>
      </c>
      <c r="P877" s="7" t="s">
        <v>5924</v>
      </c>
    </row>
    <row r="878">
      <c r="A878" s="19">
        <f>'Respuestas de formulario 1'!A878</f>
        <v>45701.66398</v>
      </c>
      <c r="B878" s="7" t="str">
        <f>'Respuestas de formulario 1'!B878</f>
        <v>Ocaño</v>
      </c>
      <c r="C878" s="7" t="str">
        <f>'Respuestas de formulario 1'!C878</f>
        <v>Esteban Guillermo</v>
      </c>
      <c r="D878" s="7" t="str">
        <f>'Respuestas de formulario 1'!D878</f>
        <v/>
      </c>
      <c r="E878" s="20">
        <f>'Respuestas de formulario 1'!E878</f>
        <v>33434</v>
      </c>
      <c r="F878" s="7">
        <f>'Respuestas de formulario 1'!F878</f>
        <v>36239241</v>
      </c>
      <c r="G878" s="7" t="str">
        <f>IFERROR(__xludf.DUMMYFUNCTION("IF('Respuestas de formulario 1'!G878="""","""",IF(LEFT(REGEXREPLACE(TO_TEXT('Respuestas de formulario 1'!G878),""[^0-9]"",""""),2)=""54"",""+""&amp;REGEXREPLACE(TO_TEXT('Respuestas de formulario 1'!G878),""[^0-9]"",""""),""+54""&amp;REGEXREPLACE(TO_TEXT('Respuest"&amp;"as de formulario 1'!G878),""[^0-9]"","""")))"),"+543513122150")</f>
        <v>+543513122150</v>
      </c>
      <c r="H878" s="7">
        <f>'Respuestas de formulario 1'!S878</f>
        <v>2025</v>
      </c>
      <c r="I878" s="7" t="str">
        <f>IFERROR(__xludf.DUMMYFUNCTION("IF('Respuestas de formulario 1'!I878="""","""",TO_TEXT('Respuestas de formulario 1'!I878))"),"Particular")</f>
        <v>Particular</v>
      </c>
      <c r="J878" s="7" t="str">
        <f>IFERROR(__xludf.DUMMYFUNCTION("IF('Respuestas de formulario 1'!J878&lt;&gt;"""",UPPER(TRIM(TO_TEXT('Respuestas de formulario 1'!J878))),IF('Respuestas de formulario 1'!O878&lt;&gt;"""",UPPER(TRIM(TO_TEXT('Respuestas de formulario 1'!O878))),""""))"),"")</f>
        <v/>
      </c>
      <c r="K878" s="7" t="str">
        <f>IFERROR(__xludf.DUMMYFUNCTION("IF('Respuestas de formulario 1'!K878="""","""",TO_TEXT('Respuestas de formulario 1'!K878))"),"Si")</f>
        <v>Si</v>
      </c>
      <c r="L878" s="7" t="str">
        <f>IFERROR(__xludf.DUMMYFUNCTION("IF('Respuestas de formulario 1'!L878="""","""",TO_TEXT('Respuestas de formulario 1'!L878))"),"Gimnasio")</f>
        <v>Gimnasio</v>
      </c>
      <c r="M878" s="7" t="str">
        <f>IFERROR(__xludf.DUMMYFUNCTION("IF('Respuestas de formulario 1'!M878="""","""",TO_TEXT('Respuestas de formulario 1'!M878))"),"3 a 5 veces por semana")</f>
        <v>3 a 5 veces por semana</v>
      </c>
      <c r="N878" s="7">
        <f t="shared" si="1"/>
        <v>2025</v>
      </c>
      <c r="O878" s="7" t="str">
        <f t="shared" si="2"/>
        <v>febrero</v>
      </c>
      <c r="P878" s="7" t="s">
        <v>5926</v>
      </c>
    </row>
    <row r="879">
      <c r="A879" s="19">
        <f>'Respuestas de formulario 1'!A879</f>
        <v>45702.75851</v>
      </c>
      <c r="B879" s="7" t="str">
        <f>'Respuestas de formulario 1'!B879</f>
        <v>Salman</v>
      </c>
      <c r="C879" s="7" t="str">
        <f>'Respuestas de formulario 1'!C879</f>
        <v>Ana Maria</v>
      </c>
      <c r="D879" s="7" t="str">
        <f>'Respuestas de formulario 1'!D879</f>
        <v/>
      </c>
      <c r="E879" s="20">
        <f>'Respuestas de formulario 1'!E879</f>
        <v>19363</v>
      </c>
      <c r="F879" s="7">
        <f>'Respuestas de formulario 1'!F879</f>
        <v>10333579</v>
      </c>
      <c r="G879" s="7" t="str">
        <f>IFERROR(__xludf.DUMMYFUNCTION("IF('Respuestas de formulario 1'!G879="""","""",IF(LEFT(REGEXREPLACE(TO_TEXT('Respuestas de formulario 1'!G879),""[^0-9]"",""""),2)=""54"",""+""&amp;REGEXREPLACE(TO_TEXT('Respuestas de formulario 1'!G879),""[^0-9]"",""""),""+54""&amp;REGEXREPLACE(TO_TEXT('Respuest"&amp;"as de formulario 1'!G879),""[^0-9]"","""")))"),"+543513022014")</f>
        <v>+543513022014</v>
      </c>
      <c r="H879" s="7">
        <f>'Respuestas de formulario 1'!S879</f>
        <v>2025</v>
      </c>
      <c r="I879" s="7" t="str">
        <f>IFERROR(__xludf.DUMMYFUNCTION("IF('Respuestas de formulario 1'!I879="""","""",TO_TEXT('Respuestas de formulario 1'!I879))"),"Particular")</f>
        <v>Particular</v>
      </c>
      <c r="J879" s="7" t="str">
        <f>IFERROR(__xludf.DUMMYFUNCTION("IF('Respuestas de formulario 1'!J879&lt;&gt;"""",UPPER(TRIM(TO_TEXT('Respuestas de formulario 1'!J879))),IF('Respuestas de formulario 1'!O879&lt;&gt;"""",UPPER(TRIM(TO_TEXT('Respuestas de formulario 1'!O879))),""""))"),"")</f>
        <v/>
      </c>
      <c r="K879" s="7" t="str">
        <f>IFERROR(__xludf.DUMMYFUNCTION("IF('Respuestas de formulario 1'!K879="""","""",TO_TEXT('Respuestas de formulario 1'!K879))"),"Si")</f>
        <v>Si</v>
      </c>
      <c r="L879" s="7" t="str">
        <f>IFERROR(__xludf.DUMMYFUNCTION("IF('Respuestas de formulario 1'!L879="""","""",TO_TEXT('Respuestas de formulario 1'!L879))"),"Gimnasio")</f>
        <v>Gimnasio</v>
      </c>
      <c r="M879" s="7" t="str">
        <f>IFERROR(__xludf.DUMMYFUNCTION("IF('Respuestas de formulario 1'!M879="""","""",TO_TEXT('Respuestas de formulario 1'!M879))"),"1 a 2 veces por semana")</f>
        <v>1 a 2 veces por semana</v>
      </c>
      <c r="N879" s="7">
        <f t="shared" si="1"/>
        <v>2025</v>
      </c>
      <c r="O879" s="7" t="str">
        <f t="shared" si="2"/>
        <v>febrero</v>
      </c>
      <c r="P879" s="7" t="s">
        <v>5928</v>
      </c>
    </row>
    <row r="880">
      <c r="A880" s="19">
        <f>'Respuestas de formulario 1'!A880</f>
        <v>45702.82022</v>
      </c>
      <c r="B880" s="7" t="str">
        <f>'Respuestas de formulario 1'!B880</f>
        <v>DELLAROCCA</v>
      </c>
      <c r="C880" s="7" t="str">
        <f>'Respuestas de formulario 1'!C880</f>
        <v>CELESTE</v>
      </c>
      <c r="D880" s="7" t="str">
        <f>'Respuestas de formulario 1'!D880</f>
        <v>dellaroccaceleste@gmail.com</v>
      </c>
      <c r="E880" s="20">
        <f>'Respuestas de formulario 1'!E880</f>
        <v>28606</v>
      </c>
      <c r="F880" s="7">
        <f>'Respuestas de formulario 1'!F880</f>
        <v>25561899</v>
      </c>
      <c r="G880" s="7" t="str">
        <f>IFERROR(__xludf.DUMMYFUNCTION("IF('Respuestas de formulario 1'!G880="""","""",IF(LEFT(REGEXREPLACE(TO_TEXT('Respuestas de formulario 1'!G880),""[^0-9]"",""""),2)=""54"",""+""&amp;REGEXREPLACE(TO_TEXT('Respuestas de formulario 1'!G880),""[^0-9]"",""""),""+54""&amp;REGEXREPLACE(TO_TEXT('Respuest"&amp;"as de formulario 1'!G880),""[^0-9]"","""")))"),"+543517019390")</f>
        <v>+543517019390</v>
      </c>
      <c r="H880" s="7">
        <f>'Respuestas de formulario 1'!S880</f>
        <v>2025</v>
      </c>
      <c r="I880" s="7" t="str">
        <f>IFERROR(__xludf.DUMMYFUNCTION("IF('Respuestas de formulario 1'!I880="""","""",TO_TEXT('Respuestas de formulario 1'!I880))"),"Obra social")</f>
        <v>Obra social</v>
      </c>
      <c r="J880" s="7" t="str">
        <f>IFERROR(__xludf.DUMMYFUNCTION("IF('Respuestas de formulario 1'!J880&lt;&gt;"""",UPPER(TRIM(TO_TEXT('Respuestas de formulario 1'!J880))),IF('Respuestas de formulario 1'!O880&lt;&gt;"""",UPPER(TRIM(TO_TEXT('Respuestas de formulario 1'!O880))),""""))"),"SWISS MEDICAL")</f>
        <v>SWISS MEDICAL</v>
      </c>
      <c r="K880" s="7" t="str">
        <f>IFERROR(__xludf.DUMMYFUNCTION("IF('Respuestas de formulario 1'!K880="""","""",TO_TEXT('Respuestas de formulario 1'!K880))"),"Si")</f>
        <v>Si</v>
      </c>
      <c r="L880" s="7" t="str">
        <f>IFERROR(__xludf.DUMMYFUNCTION("IF('Respuestas de formulario 1'!L880="""","""",TO_TEXT('Respuestas de formulario 1'!L880))"),"nataciòn y gimnasio")</f>
        <v>nataciòn y gimnasio</v>
      </c>
      <c r="M880" s="7" t="str">
        <f>IFERROR(__xludf.DUMMYFUNCTION("IF('Respuestas de formulario 1'!M880="""","""",TO_TEXT('Respuestas de formulario 1'!M880))"),"3 a 5 veces por semana")</f>
        <v>3 a 5 veces por semana</v>
      </c>
      <c r="N880" s="7">
        <f t="shared" si="1"/>
        <v>2025</v>
      </c>
      <c r="O880" s="7" t="str">
        <f t="shared" si="2"/>
        <v>febrero</v>
      </c>
      <c r="P880" s="7" t="s">
        <v>5930</v>
      </c>
    </row>
    <row r="881">
      <c r="A881" s="19">
        <f>'Respuestas de formulario 1'!A881</f>
        <v>45705.443</v>
      </c>
      <c r="B881" s="7" t="str">
        <f>'Respuestas de formulario 1'!B881</f>
        <v>Moyano Bustos</v>
      </c>
      <c r="C881" s="7" t="str">
        <f>'Respuestas de formulario 1'!C881</f>
        <v>Matias Joaquin </v>
      </c>
      <c r="D881" s="7" t="str">
        <f>'Respuestas de formulario 1'!D881</f>
        <v>matiasmoyanobustos</v>
      </c>
      <c r="E881" s="20">
        <f>'Respuestas de formulario 1'!E881</f>
        <v>38948</v>
      </c>
      <c r="F881" s="7">
        <f>'Respuestas de formulario 1'!F881</f>
        <v>47350672</v>
      </c>
      <c r="G881" s="7" t="str">
        <f>IFERROR(__xludf.DUMMYFUNCTION("IF('Respuestas de formulario 1'!G881="""","""",IF(LEFT(REGEXREPLACE(TO_TEXT('Respuestas de formulario 1'!G881),""[^0-9]"",""""),2)=""54"",""+""&amp;REGEXREPLACE(TO_TEXT('Respuestas de formulario 1'!G881),""[^0-9]"",""""),""+54""&amp;REGEXREPLACE(TO_TEXT('Respuest"&amp;"as de formulario 1'!G881),""[^0-9]"","""")))"),"+543515449219")</f>
        <v>+543515449219</v>
      </c>
      <c r="H881" s="7">
        <f>'Respuestas de formulario 1'!S881</f>
        <v>2025</v>
      </c>
      <c r="I881" s="7" t="str">
        <f>IFERROR(__xludf.DUMMYFUNCTION("IF('Respuestas de formulario 1'!I881="""","""",TO_TEXT('Respuestas de formulario 1'!I881))"),"Obra social")</f>
        <v>Obra social</v>
      </c>
      <c r="J881" s="7" t="str">
        <f>IFERROR(__xludf.DUMMYFUNCTION("IF('Respuestas de formulario 1'!J881&lt;&gt;"""",UPPER(TRIM(TO_TEXT('Respuestas de formulario 1'!J881))),IF('Respuestas de formulario 1'!O881&lt;&gt;"""",UPPER(TRIM(TO_TEXT('Respuestas de formulario 1'!O881))),""""))"),"APROSS")</f>
        <v>APROSS</v>
      </c>
      <c r="K881" s="7" t="str">
        <f>IFERROR(__xludf.DUMMYFUNCTION("IF('Respuestas de formulario 1'!K881="""","""",TO_TEXT('Respuestas de formulario 1'!K881))"),"Si")</f>
        <v>Si</v>
      </c>
      <c r="L881" s="7" t="str">
        <f>IFERROR(__xludf.DUMMYFUNCTION("IF('Respuestas de formulario 1'!L881="""","""",TO_TEXT('Respuestas de formulario 1'!L881))"),"Gimnasio")</f>
        <v>Gimnasio</v>
      </c>
      <c r="M881" s="7" t="str">
        <f>IFERROR(__xludf.DUMMYFUNCTION("IF('Respuestas de formulario 1'!M881="""","""",TO_TEXT('Respuestas de formulario 1'!M881))"),"3 a 5 veces por semana")</f>
        <v>3 a 5 veces por semana</v>
      </c>
      <c r="N881" s="7">
        <f t="shared" si="1"/>
        <v>2025</v>
      </c>
      <c r="O881" s="7" t="str">
        <f t="shared" si="2"/>
        <v>febrero</v>
      </c>
      <c r="P881" s="7" t="s">
        <v>5932</v>
      </c>
    </row>
    <row r="882">
      <c r="A882" s="19">
        <f>'Respuestas de formulario 1'!A882</f>
        <v>45705.82572</v>
      </c>
      <c r="B882" s="7" t="str">
        <f>'Respuestas de formulario 1'!B882</f>
        <v>Torres</v>
      </c>
      <c r="C882" s="7" t="str">
        <f>'Respuestas de formulario 1'!C882</f>
        <v>Gonzalo</v>
      </c>
      <c r="D882" s="7" t="str">
        <f>'Respuestas de formulario 1'!D882</f>
        <v>gonzaloarieltorres05@gmail.com</v>
      </c>
      <c r="E882" s="20">
        <f>'Respuestas de formulario 1'!E882</f>
        <v>35844</v>
      </c>
      <c r="F882" s="7">
        <f>'Respuestas de formulario 1'!F882</f>
        <v>40963503</v>
      </c>
      <c r="G882" s="7" t="str">
        <f>IFERROR(__xludf.DUMMYFUNCTION("IF('Respuestas de formulario 1'!G882="""","""",IF(LEFT(REGEXREPLACE(TO_TEXT('Respuestas de formulario 1'!G882),""[^0-9]"",""""),2)=""54"",""+""&amp;REGEXREPLACE(TO_TEXT('Respuestas de formulario 1'!G882),""[^0-9]"",""""),""+54""&amp;REGEXREPLACE(TO_TEXT('Respuest"&amp;"as de formulario 1'!G882),""[^0-9]"","""")))"),"+543512069785")</f>
        <v>+543512069785</v>
      </c>
      <c r="H882" s="7">
        <f>'Respuestas de formulario 1'!S882</f>
        <v>2025</v>
      </c>
      <c r="I882" s="7" t="str">
        <f>IFERROR(__xludf.DUMMYFUNCTION("IF('Respuestas de formulario 1'!I882="""","""",TO_TEXT('Respuestas de formulario 1'!I882))"),"Particular")</f>
        <v>Particular</v>
      </c>
      <c r="J882" s="7" t="str">
        <f>IFERROR(__xludf.DUMMYFUNCTION("IF('Respuestas de formulario 1'!J882&lt;&gt;"""",UPPER(TRIM(TO_TEXT('Respuestas de formulario 1'!J882))),IF('Respuestas de formulario 1'!O882&lt;&gt;"""",UPPER(TRIM(TO_TEXT('Respuestas de formulario 1'!O882))),""""))"),"")</f>
        <v/>
      </c>
      <c r="K882" s="7" t="str">
        <f>IFERROR(__xludf.DUMMYFUNCTION("IF('Respuestas de formulario 1'!K882="""","""",TO_TEXT('Respuestas de formulario 1'!K882))"),"Si")</f>
        <v>Si</v>
      </c>
      <c r="L882" s="7" t="str">
        <f>IFERROR(__xludf.DUMMYFUNCTION("IF('Respuestas de formulario 1'!L882="""","""",TO_TEXT('Respuestas de formulario 1'!L882))"),"Gimnasio+Futbol")</f>
        <v>Gimnasio+Futbol</v>
      </c>
      <c r="M882" s="7" t="str">
        <f>IFERROR(__xludf.DUMMYFUNCTION("IF('Respuestas de formulario 1'!M882="""","""",TO_TEXT('Respuestas de formulario 1'!M882))"),"6 a 7 veces por semana")</f>
        <v>6 a 7 veces por semana</v>
      </c>
      <c r="N882" s="7">
        <f t="shared" si="1"/>
        <v>2025</v>
      </c>
      <c r="O882" s="7" t="str">
        <f t="shared" si="2"/>
        <v>febrero</v>
      </c>
      <c r="P882" s="7" t="s">
        <v>5934</v>
      </c>
    </row>
    <row r="883">
      <c r="A883" s="19">
        <f>'Respuestas de formulario 1'!A883</f>
        <v>45706.80956</v>
      </c>
      <c r="B883" s="7" t="str">
        <f>'Respuestas de formulario 1'!B883</f>
        <v>Chocobar</v>
      </c>
      <c r="C883" s="7" t="str">
        <f>'Respuestas de formulario 1'!C883</f>
        <v>Gonzalo</v>
      </c>
      <c r="D883" s="7" t="str">
        <f>'Respuestas de formulario 1'!D883</f>
        <v>gonzalocbes@hotmail.com</v>
      </c>
      <c r="E883" s="20">
        <f>'Respuestas de formulario 1'!E883</f>
        <v>31400</v>
      </c>
      <c r="F883" s="7">
        <f>'Respuestas de formulario 1'!F883</f>
        <v>31922296</v>
      </c>
      <c r="G883" s="7" t="str">
        <f>IFERROR(__xludf.DUMMYFUNCTION("IF('Respuestas de formulario 1'!G883="""","""",IF(LEFT(REGEXREPLACE(TO_TEXT('Respuestas de formulario 1'!G883),""[^0-9]"",""""),2)=""54"",""+""&amp;REGEXREPLACE(TO_TEXT('Respuestas de formulario 1'!G883),""[^0-9]"",""""),""+54""&amp;REGEXREPLACE(TO_TEXT('Respuest"&amp;"as de formulario 1'!G883),""[^0-9]"","""")))"),"+543513467935")</f>
        <v>+543513467935</v>
      </c>
      <c r="H883" s="7">
        <f>'Respuestas de formulario 1'!S883</f>
        <v>2025</v>
      </c>
      <c r="I883" s="7" t="str">
        <f>IFERROR(__xludf.DUMMYFUNCTION("IF('Respuestas de formulario 1'!I883="""","""",TO_TEXT('Respuestas de formulario 1'!I883))"),"Obra social")</f>
        <v>Obra social</v>
      </c>
      <c r="J883" s="7" t="str">
        <f>IFERROR(__xludf.DUMMYFUNCTION("IF('Respuestas de formulario 1'!J883&lt;&gt;"""",UPPER(TRIM(TO_TEXT('Respuestas de formulario 1'!J883))),IF('Respuestas de formulario 1'!O883&lt;&gt;"""",UPPER(TRIM(TO_TEXT('Respuestas de formulario 1'!O883))),""""))"),"SANCOR")</f>
        <v>SANCOR</v>
      </c>
      <c r="K883" s="7" t="str">
        <f>IFERROR(__xludf.DUMMYFUNCTION("IF('Respuestas de formulario 1'!K883="""","""",TO_TEXT('Respuestas de formulario 1'!K883))"),"No")</f>
        <v>No</v>
      </c>
      <c r="L883" s="7" t="str">
        <f>IFERROR(__xludf.DUMMYFUNCTION("IF('Respuestas de formulario 1'!L883="""","""",TO_TEXT('Respuestas de formulario 1'!L883))"),"")</f>
        <v/>
      </c>
      <c r="M883" s="7" t="str">
        <f>IFERROR(__xludf.DUMMYFUNCTION("IF('Respuestas de formulario 1'!M883="""","""",TO_TEXT('Respuestas de formulario 1'!M883))"),"")</f>
        <v/>
      </c>
      <c r="N883" s="7">
        <f t="shared" si="1"/>
        <v>2025</v>
      </c>
      <c r="O883" s="7" t="str">
        <f t="shared" si="2"/>
        <v>febrero</v>
      </c>
      <c r="P883" s="7" t="s">
        <v>5936</v>
      </c>
    </row>
    <row r="884">
      <c r="A884" s="19">
        <f>'Respuestas de formulario 1'!A884</f>
        <v>45706.89771</v>
      </c>
      <c r="B884" s="7" t="str">
        <f>'Respuestas de formulario 1'!B884</f>
        <v>Sánchez </v>
      </c>
      <c r="C884" s="7" t="str">
        <f>'Respuestas de formulario 1'!C884</f>
        <v>Alejandro </v>
      </c>
      <c r="D884" s="7" t="str">
        <f>'Respuestas de formulario 1'!D884</f>
        <v>alejandrocsanchez@hotmail.com</v>
      </c>
      <c r="E884" s="20">
        <f>'Respuestas de formulario 1'!E884</f>
        <v>25900</v>
      </c>
      <c r="F884" s="7">
        <f>'Respuestas de formulario 1'!F884</f>
        <v>21966240</v>
      </c>
      <c r="G884" s="7" t="str">
        <f>IFERROR(__xludf.DUMMYFUNCTION("IF('Respuestas de formulario 1'!G884="""","""",IF(LEFT(REGEXREPLACE(TO_TEXT('Respuestas de formulario 1'!G884),""[^0-9]"",""""),2)=""54"",""+""&amp;REGEXREPLACE(TO_TEXT('Respuestas de formulario 1'!G884),""[^0-9]"",""""),""+54""&amp;REGEXREPLACE(TO_TEXT('Respuest"&amp;"as de formulario 1'!G884),""[^0-9]"","""")))"),"+543513392976")</f>
        <v>+543513392976</v>
      </c>
      <c r="H884" s="7">
        <f>'Respuestas de formulario 1'!S884</f>
        <v>2025</v>
      </c>
      <c r="I884" s="7" t="str">
        <f>IFERROR(__xludf.DUMMYFUNCTION("IF('Respuestas de formulario 1'!I884="""","""",TO_TEXT('Respuestas de formulario 1'!I884))"),"Obra social")</f>
        <v>Obra social</v>
      </c>
      <c r="J884" s="7" t="str">
        <f>IFERROR(__xludf.DUMMYFUNCTION("IF('Respuestas de formulario 1'!J884&lt;&gt;"""",UPPER(TRIM(TO_TEXT('Respuestas de formulario 1'!J884))),IF('Respuestas de formulario 1'!O884&lt;&gt;"""",UPPER(TRIM(TO_TEXT('Respuestas de formulario 1'!O884))),""""))"),"APROSS")</f>
        <v>APROSS</v>
      </c>
      <c r="K884" s="7" t="str">
        <f>IFERROR(__xludf.DUMMYFUNCTION("IF('Respuestas de formulario 1'!K884="""","""",TO_TEXT('Respuestas de formulario 1'!K884))"),"Si")</f>
        <v>Si</v>
      </c>
      <c r="L884" s="7" t="str">
        <f>IFERROR(__xludf.DUMMYFUNCTION("IF('Respuestas de formulario 1'!L884="""","""",TO_TEXT('Respuestas de formulario 1'!L884))"),"")</f>
        <v/>
      </c>
      <c r="M884" s="7" t="str">
        <f>IFERROR(__xludf.DUMMYFUNCTION("IF('Respuestas de formulario 1'!M884="""","""",TO_TEXT('Respuestas de formulario 1'!M884))"),"1 a 2 veces por semana")</f>
        <v>1 a 2 veces por semana</v>
      </c>
      <c r="N884" s="7">
        <f t="shared" si="1"/>
        <v>2025</v>
      </c>
      <c r="O884" s="7" t="str">
        <f t="shared" si="2"/>
        <v>febrero</v>
      </c>
      <c r="P884" s="7" t="s">
        <v>5938</v>
      </c>
    </row>
    <row r="885">
      <c r="A885" s="19">
        <f>'Respuestas de formulario 1'!A885</f>
        <v>45706.9371</v>
      </c>
      <c r="B885" s="7" t="str">
        <f>'Respuestas de formulario 1'!B885</f>
        <v>Velasco </v>
      </c>
      <c r="C885" s="7" t="str">
        <f>'Respuestas de formulario 1'!C885</f>
        <v>Viviana </v>
      </c>
      <c r="D885" s="7" t="str">
        <f>'Respuestas de formulario 1'!D885</f>
        <v>Vivianavelasco5862@gmail.com</v>
      </c>
      <c r="E885" s="20">
        <f>'Respuestas de formulario 1'!E885</f>
        <v>22863</v>
      </c>
      <c r="F885" s="7">
        <f>'Respuestas de formulario 1'!F885</f>
        <v>14969369</v>
      </c>
      <c r="G885" s="7" t="str">
        <f>IFERROR(__xludf.DUMMYFUNCTION("IF('Respuestas de formulario 1'!G885="""","""",IF(LEFT(REGEXREPLACE(TO_TEXT('Respuestas de formulario 1'!G885),""[^0-9]"",""""),2)=""54"",""+""&amp;REGEXREPLACE(TO_TEXT('Respuestas de formulario 1'!G885),""[^0-9]"",""""),""+54""&amp;REGEXREPLACE(TO_TEXT('Respuest"&amp;"as de formulario 1'!G885),""[^0-9]"","""")))"),"+543517052627")</f>
        <v>+543517052627</v>
      </c>
      <c r="H885" s="7">
        <f>'Respuestas de formulario 1'!S885</f>
        <v>2025</v>
      </c>
      <c r="I885" s="7" t="str">
        <f>IFERROR(__xludf.DUMMYFUNCTION("IF('Respuestas de formulario 1'!I885="""","""",TO_TEXT('Respuestas de formulario 1'!I885))"),"Particular")</f>
        <v>Particular</v>
      </c>
      <c r="J885" s="7" t="str">
        <f>IFERROR(__xludf.DUMMYFUNCTION("IF('Respuestas de formulario 1'!J885&lt;&gt;"""",UPPER(TRIM(TO_TEXT('Respuestas de formulario 1'!J885))),IF('Respuestas de formulario 1'!O885&lt;&gt;"""",UPPER(TRIM(TO_TEXT('Respuestas de formulario 1'!O885))),""""))"),"")</f>
        <v/>
      </c>
      <c r="K885" s="7" t="str">
        <f>IFERROR(__xludf.DUMMYFUNCTION("IF('Respuestas de formulario 1'!K885="""","""",TO_TEXT('Respuestas de formulario 1'!K885))"),"Si")</f>
        <v>Si</v>
      </c>
      <c r="L885" s="7" t="str">
        <f>IFERROR(__xludf.DUMMYFUNCTION("IF('Respuestas de formulario 1'!L885="""","""",TO_TEXT('Respuestas de formulario 1'!L885))"),"Gimnasio")</f>
        <v>Gimnasio</v>
      </c>
      <c r="M885" s="7" t="str">
        <f>IFERROR(__xludf.DUMMYFUNCTION("IF('Respuestas de formulario 1'!M885="""","""",TO_TEXT('Respuestas de formulario 1'!M885))"),"1 a 2 veces por semana")</f>
        <v>1 a 2 veces por semana</v>
      </c>
      <c r="N885" s="7">
        <f t="shared" si="1"/>
        <v>2025</v>
      </c>
      <c r="O885" s="7" t="str">
        <f t="shared" si="2"/>
        <v>febrero</v>
      </c>
      <c r="P885" s="7" t="s">
        <v>5940</v>
      </c>
    </row>
    <row r="886">
      <c r="A886" s="19">
        <f>'Respuestas de formulario 1'!A886</f>
        <v>45707.43801</v>
      </c>
      <c r="B886" s="7" t="str">
        <f>'Respuestas de formulario 1'!B886</f>
        <v>gomez</v>
      </c>
      <c r="C886" s="7" t="str">
        <f>'Respuestas de formulario 1'!C886</f>
        <v>adriana</v>
      </c>
      <c r="D886" s="7" t="str">
        <f>'Respuestas de formulario 1'!D886</f>
        <v>giulianoromero0@gmail.com</v>
      </c>
      <c r="E886" s="20">
        <f>'Respuestas de formulario 1'!E886</f>
        <v>30365</v>
      </c>
      <c r="F886" s="7">
        <f>'Respuestas de formulario 1'!F886</f>
        <v>29968887</v>
      </c>
      <c r="G886" s="7" t="str">
        <f>IFERROR(__xludf.DUMMYFUNCTION("IF('Respuestas de formulario 1'!G886="""","""",IF(LEFT(REGEXREPLACE(TO_TEXT('Respuestas de formulario 1'!G886),""[^0-9]"",""""),2)=""54"",""+""&amp;REGEXREPLACE(TO_TEXT('Respuestas de formulario 1'!G886),""[^0-9]"",""""),""+54""&amp;REGEXREPLACE(TO_TEXT('Respuest"&amp;"as de formulario 1'!G886),""[^0-9]"","""")))"),"+543513165995")</f>
        <v>+543513165995</v>
      </c>
      <c r="H886" s="7">
        <f>'Respuestas de formulario 1'!S886</f>
        <v>2025</v>
      </c>
      <c r="I886" s="7" t="str">
        <f>IFERROR(__xludf.DUMMYFUNCTION("IF('Respuestas de formulario 1'!I886="""","""",TO_TEXT('Respuestas de formulario 1'!I886))"),"Obra social")</f>
        <v>Obra social</v>
      </c>
      <c r="J886" s="7" t="str">
        <f>IFERROR(__xludf.DUMMYFUNCTION("IF('Respuestas de formulario 1'!J886&lt;&gt;"""",UPPER(TRIM(TO_TEXT('Respuestas de formulario 1'!J886))),IF('Respuestas de formulario 1'!O886&lt;&gt;"""",UPPER(TRIM(TO_TEXT('Respuestas de formulario 1'!O886))),""""))"),"APROSS")</f>
        <v>APROSS</v>
      </c>
      <c r="K886" s="7" t="str">
        <f>IFERROR(__xludf.DUMMYFUNCTION("IF('Respuestas de formulario 1'!K886="""","""",TO_TEXT('Respuestas de formulario 1'!K886))"),"No")</f>
        <v>No</v>
      </c>
      <c r="L886" s="7" t="str">
        <f>IFERROR(__xludf.DUMMYFUNCTION("IF('Respuestas de formulario 1'!L886="""","""",TO_TEXT('Respuestas de formulario 1'!L886))"),"")</f>
        <v/>
      </c>
      <c r="M886" s="7" t="str">
        <f>IFERROR(__xludf.DUMMYFUNCTION("IF('Respuestas de formulario 1'!M886="""","""",TO_TEXT('Respuestas de formulario 1'!M886))"),"")</f>
        <v/>
      </c>
      <c r="N886" s="7">
        <f t="shared" si="1"/>
        <v>2025</v>
      </c>
      <c r="O886" s="7" t="str">
        <f t="shared" si="2"/>
        <v>febrero</v>
      </c>
      <c r="P886" s="7" t="s">
        <v>5942</v>
      </c>
    </row>
    <row r="887">
      <c r="A887" s="19">
        <f>'Respuestas de formulario 1'!A887</f>
        <v>45707.56768</v>
      </c>
      <c r="B887" s="7" t="str">
        <f>'Respuestas de formulario 1'!B887</f>
        <v>SOCIAS ALTAMIRANO </v>
      </c>
      <c r="C887" s="7" t="str">
        <f>'Respuestas de formulario 1'!C887</f>
        <v>Federico </v>
      </c>
      <c r="D887" s="7" t="str">
        <f>'Respuestas de formulario 1'!D887</f>
        <v>Cordobamma@gmail.com</v>
      </c>
      <c r="E887" s="20">
        <f>'Respuestas de formulario 1'!E887</f>
        <v>30338</v>
      </c>
      <c r="F887" s="7">
        <f>'Respuestas de formulario 1'!F887</f>
        <v>29966564</v>
      </c>
      <c r="G887" s="7" t="str">
        <f>IFERROR(__xludf.DUMMYFUNCTION("IF('Respuestas de formulario 1'!G887="""","""",IF(LEFT(REGEXREPLACE(TO_TEXT('Respuestas de formulario 1'!G887),""[^0-9]"",""""),2)=""54"",""+""&amp;REGEXREPLACE(TO_TEXT('Respuestas de formulario 1'!G887),""[^0-9]"",""""),""+54""&amp;REGEXREPLACE(TO_TEXT('Respuest"&amp;"as de formulario 1'!G887),""[^0-9]"","""")))"),"+543515182172")</f>
        <v>+543515182172</v>
      </c>
      <c r="H887" s="7">
        <f>'Respuestas de formulario 1'!S887</f>
        <v>2025</v>
      </c>
      <c r="I887" s="7" t="str">
        <f>IFERROR(__xludf.DUMMYFUNCTION("IF('Respuestas de formulario 1'!I887="""","""",TO_TEXT('Respuestas de formulario 1'!I887))"),"Particular")</f>
        <v>Particular</v>
      </c>
      <c r="J887" s="7" t="str">
        <f>IFERROR(__xludf.DUMMYFUNCTION("IF('Respuestas de formulario 1'!J887&lt;&gt;"""",UPPER(TRIM(TO_TEXT('Respuestas de formulario 1'!J887))),IF('Respuestas de formulario 1'!O887&lt;&gt;"""",UPPER(TRIM(TO_TEXT('Respuestas de formulario 1'!O887))),""""))"),"")</f>
        <v/>
      </c>
      <c r="K887" s="7" t="str">
        <f>IFERROR(__xludf.DUMMYFUNCTION("IF('Respuestas de formulario 1'!K887="""","""",TO_TEXT('Respuestas de formulario 1'!K887))"),"Si")</f>
        <v>Si</v>
      </c>
      <c r="L887" s="7" t="str">
        <f>IFERROR(__xludf.DUMMYFUNCTION("IF('Respuestas de formulario 1'!L887="""","""",TO_TEXT('Respuestas de formulario 1'!L887))"),"Ciclismo de montaña")</f>
        <v>Ciclismo de montaña</v>
      </c>
      <c r="M887" s="7" t="str">
        <f>IFERROR(__xludf.DUMMYFUNCTION("IF('Respuestas de formulario 1'!M887="""","""",TO_TEXT('Respuestas de formulario 1'!M887))"),"3 a 5 veces por semana")</f>
        <v>3 a 5 veces por semana</v>
      </c>
      <c r="N887" s="7">
        <f t="shared" si="1"/>
        <v>2025</v>
      </c>
      <c r="O887" s="7" t="str">
        <f t="shared" si="2"/>
        <v>febrero</v>
      </c>
      <c r="P887" s="7" t="s">
        <v>5944</v>
      </c>
    </row>
    <row r="888">
      <c r="A888" s="19">
        <f>'Respuestas de formulario 1'!A888</f>
        <v>45707.79626</v>
      </c>
      <c r="B888" s="7" t="str">
        <f>'Respuestas de formulario 1'!B888</f>
        <v>Oviedo</v>
      </c>
      <c r="C888" s="7" t="str">
        <f>'Respuestas de formulario 1'!C888</f>
        <v>Jose</v>
      </c>
      <c r="D888" s="7" t="str">
        <f>'Respuestas de formulario 1'!D888</f>
        <v>jose22_oviedo@hotmail.com</v>
      </c>
      <c r="E888" s="20">
        <f>'Respuestas de formulario 1'!E888</f>
        <v>29667</v>
      </c>
      <c r="F888" s="7">
        <f>'Respuestas de formulario 1'!F888</f>
        <v>28653571</v>
      </c>
      <c r="G888" s="7" t="str">
        <f>IFERROR(__xludf.DUMMYFUNCTION("IF('Respuestas de formulario 1'!G888="""","""",IF(LEFT(REGEXREPLACE(TO_TEXT('Respuestas de formulario 1'!G888),""[^0-9]"",""""),2)=""54"",""+""&amp;REGEXREPLACE(TO_TEXT('Respuestas de formulario 1'!G888),""[^0-9]"",""""),""+54""&amp;REGEXREPLACE(TO_TEXT('Respuest"&amp;"as de formulario 1'!G888),""[^0-9]"","""")))"),"+543517421823")</f>
        <v>+543517421823</v>
      </c>
      <c r="H888" s="7">
        <f>'Respuestas de formulario 1'!S888</f>
        <v>2025</v>
      </c>
      <c r="I888" s="7" t="str">
        <f>IFERROR(__xludf.DUMMYFUNCTION("IF('Respuestas de formulario 1'!I888="""","""",TO_TEXT('Respuestas de formulario 1'!I888))"),"Obra social")</f>
        <v>Obra social</v>
      </c>
      <c r="J888" s="7" t="str">
        <f>IFERROR(__xludf.DUMMYFUNCTION("IF('Respuestas de formulario 1'!J888&lt;&gt;"""",UPPER(TRIM(TO_TEXT('Respuestas de formulario 1'!J888))),IF('Respuestas de formulario 1'!O888&lt;&gt;"""",UPPER(TRIM(TO_TEXT('Respuestas de formulario 1'!O888))),""""))"),"APROSS")</f>
        <v>APROSS</v>
      </c>
      <c r="K888" s="7" t="str">
        <f>IFERROR(__xludf.DUMMYFUNCTION("IF('Respuestas de formulario 1'!K888="""","""",TO_TEXT('Respuestas de formulario 1'!K888))"),"Si")</f>
        <v>Si</v>
      </c>
      <c r="L888" s="7" t="str">
        <f>IFERROR(__xludf.DUMMYFUNCTION("IF('Respuestas de formulario 1'!L888="""","""",TO_TEXT('Respuestas de formulario 1'!L888))"),"Gimnasio")</f>
        <v>Gimnasio</v>
      </c>
      <c r="M888" s="7" t="str">
        <f>IFERROR(__xludf.DUMMYFUNCTION("IF('Respuestas de formulario 1'!M888="""","""",TO_TEXT('Respuestas de formulario 1'!M888))"),"3 a 5 veces por semana")</f>
        <v>3 a 5 veces por semana</v>
      </c>
      <c r="N888" s="7">
        <f t="shared" si="1"/>
        <v>2025</v>
      </c>
      <c r="O888" s="7" t="str">
        <f t="shared" si="2"/>
        <v>febrero</v>
      </c>
      <c r="P888" s="7" t="s">
        <v>5946</v>
      </c>
    </row>
    <row r="889">
      <c r="A889" s="19">
        <f>'Respuestas de formulario 1'!A889</f>
        <v>45707.80228</v>
      </c>
      <c r="B889" s="7" t="str">
        <f>'Respuestas de formulario 1'!B889</f>
        <v>Rainero </v>
      </c>
      <c r="C889" s="7" t="str">
        <f>'Respuestas de formulario 1'!C889</f>
        <v>Carlos </v>
      </c>
      <c r="D889" s="7" t="str">
        <f>'Respuestas de formulario 1'!D889</f>
        <v>Perfocor@hotmail.com</v>
      </c>
      <c r="E889" s="20">
        <f>'Respuestas de formulario 1'!E889</f>
        <v>45733</v>
      </c>
      <c r="F889" s="7">
        <f>'Respuestas de formulario 1'!F889</f>
        <v>18175697</v>
      </c>
      <c r="G889" s="7" t="str">
        <f>IFERROR(__xludf.DUMMYFUNCTION("IF('Respuestas de formulario 1'!G889="""","""",IF(LEFT(REGEXREPLACE(TO_TEXT('Respuestas de formulario 1'!G889),""[^0-9]"",""""),2)=""54"",""+""&amp;REGEXREPLACE(TO_TEXT('Respuestas de formulario 1'!G889),""[^0-9]"",""""),""+54""&amp;REGEXREPLACE(TO_TEXT('Respuest"&amp;"as de formulario 1'!G889),""[^0-9]"","""")))"),"+543514590389")</f>
        <v>+543514590389</v>
      </c>
      <c r="H889" s="7">
        <f>'Respuestas de formulario 1'!S889</f>
        <v>2025</v>
      </c>
      <c r="I889" s="7" t="str">
        <f>IFERROR(__xludf.DUMMYFUNCTION("IF('Respuestas de formulario 1'!I889="""","""",TO_TEXT('Respuestas de formulario 1'!I889))"),"Obra social")</f>
        <v>Obra social</v>
      </c>
      <c r="J889" s="7" t="str">
        <f>IFERROR(__xludf.DUMMYFUNCTION("IF('Respuestas de formulario 1'!J889&lt;&gt;"""",UPPER(TRIM(TO_TEXT('Respuestas de formulario 1'!J889))),IF('Respuestas de formulario 1'!O889&lt;&gt;"""",UPPER(TRIM(TO_TEXT('Respuestas de formulario 1'!O889))),""""))"),"APROSS")</f>
        <v>APROSS</v>
      </c>
      <c r="K889" s="7" t="str">
        <f>IFERROR(__xludf.DUMMYFUNCTION("IF('Respuestas de formulario 1'!K889="""","""",TO_TEXT('Respuestas de formulario 1'!K889))"),"No")</f>
        <v>No</v>
      </c>
      <c r="L889" s="7" t="str">
        <f>IFERROR(__xludf.DUMMYFUNCTION("IF('Respuestas de formulario 1'!L889="""","""",TO_TEXT('Respuestas de formulario 1'!L889))"),"")</f>
        <v/>
      </c>
      <c r="M889" s="7" t="str">
        <f>IFERROR(__xludf.DUMMYFUNCTION("IF('Respuestas de formulario 1'!M889="""","""",TO_TEXT('Respuestas de formulario 1'!M889))"),"")</f>
        <v/>
      </c>
      <c r="N889" s="7">
        <f t="shared" si="1"/>
        <v>2025</v>
      </c>
      <c r="O889" s="7" t="str">
        <f t="shared" si="2"/>
        <v>febrero</v>
      </c>
      <c r="P889" s="7" t="s">
        <v>5948</v>
      </c>
    </row>
    <row r="890">
      <c r="A890" s="19">
        <f>'Respuestas de formulario 1'!A890</f>
        <v>45708.69764</v>
      </c>
      <c r="B890" s="7" t="str">
        <f>'Respuestas de formulario 1'!B890</f>
        <v>Bustos </v>
      </c>
      <c r="C890" s="7" t="str">
        <f>'Respuestas de formulario 1'!C890</f>
        <v>Julieta </v>
      </c>
      <c r="D890" s="7" t="str">
        <f>'Respuestas de formulario 1'!D890</f>
        <v>Julietabustos_7@hotmail.com</v>
      </c>
      <c r="E890" s="20">
        <f>'Respuestas de formulario 1'!E890</f>
        <v>32363</v>
      </c>
      <c r="F890" s="7">
        <f>'Respuestas de formulario 1'!F890</f>
        <v>34357894</v>
      </c>
      <c r="G890" s="7" t="str">
        <f>IFERROR(__xludf.DUMMYFUNCTION("IF('Respuestas de formulario 1'!G890="""","""",IF(LEFT(REGEXREPLACE(TO_TEXT('Respuestas de formulario 1'!G890),""[^0-9]"",""""),2)=""54"",""+""&amp;REGEXREPLACE(TO_TEXT('Respuestas de formulario 1'!G890),""[^0-9]"",""""),""+54""&amp;REGEXREPLACE(TO_TEXT('Respuest"&amp;"as de formulario 1'!G890),""[^0-9]"","""")))"),"+543517541928")</f>
        <v>+543517541928</v>
      </c>
      <c r="H890" s="7">
        <f>'Respuestas de formulario 1'!S890</f>
        <v>2025</v>
      </c>
      <c r="I890" s="7" t="str">
        <f>IFERROR(__xludf.DUMMYFUNCTION("IF('Respuestas de formulario 1'!I890="""","""",TO_TEXT('Respuestas de formulario 1'!I890))"),"Obra social")</f>
        <v>Obra social</v>
      </c>
      <c r="J890" s="7" t="str">
        <f>IFERROR(__xludf.DUMMYFUNCTION("IF('Respuestas de formulario 1'!J890&lt;&gt;"""",UPPER(TRIM(TO_TEXT('Respuestas de formulario 1'!J890))),IF('Respuestas de formulario 1'!O890&lt;&gt;"""",UPPER(TRIM(TO_TEXT('Respuestas de formulario 1'!O890))),""""))"),"PREVENCIÓN")</f>
        <v>PREVENCIÓN</v>
      </c>
      <c r="K890" s="7" t="str">
        <f>IFERROR(__xludf.DUMMYFUNCTION("IF('Respuestas de formulario 1'!K890="""","""",TO_TEXT('Respuestas de formulario 1'!K890))"),"Si")</f>
        <v>Si</v>
      </c>
      <c r="L890" s="7" t="str">
        <f>IFERROR(__xludf.DUMMYFUNCTION("IF('Respuestas de formulario 1'!L890="""","""",TO_TEXT('Respuestas de formulario 1'!L890))"),"Fútbol")</f>
        <v>Fútbol</v>
      </c>
      <c r="M890" s="7" t="str">
        <f>IFERROR(__xludf.DUMMYFUNCTION("IF('Respuestas de formulario 1'!M890="""","""",TO_TEXT('Respuestas de formulario 1'!M890))"),"1 a 2 veces por semana")</f>
        <v>1 a 2 veces por semana</v>
      </c>
      <c r="N890" s="7">
        <f t="shared" si="1"/>
        <v>2025</v>
      </c>
      <c r="O890" s="7" t="str">
        <f t="shared" si="2"/>
        <v>febrero</v>
      </c>
      <c r="P890" s="7" t="s">
        <v>5950</v>
      </c>
    </row>
    <row r="891">
      <c r="A891" s="19">
        <f>'Respuestas de formulario 1'!A891</f>
        <v>45708.75148</v>
      </c>
      <c r="B891" s="7" t="str">
        <f>'Respuestas de formulario 1'!B891</f>
        <v>Micieli</v>
      </c>
      <c r="C891" s="7" t="str">
        <f>'Respuestas de formulario 1'!C891</f>
        <v>Christian Martin</v>
      </c>
      <c r="D891" s="7" t="str">
        <f>'Respuestas de formulario 1'!D891</f>
        <v>christianmicieli@gmail.com</v>
      </c>
      <c r="E891" s="20">
        <f>'Respuestas de formulario 1'!E891</f>
        <v>26654</v>
      </c>
      <c r="F891" s="7">
        <f>'Respuestas de formulario 1'!F891</f>
        <v>22795200</v>
      </c>
      <c r="G891" s="7" t="str">
        <f>IFERROR(__xludf.DUMMYFUNCTION("IF('Respuestas de formulario 1'!G891="""","""",IF(LEFT(REGEXREPLACE(TO_TEXT('Respuestas de formulario 1'!G891),""[^0-9]"",""""),2)=""54"",""+""&amp;REGEXREPLACE(TO_TEXT('Respuestas de formulario 1'!G891),""[^0-9]"",""""),""+54""&amp;REGEXREPLACE(TO_TEXT('Respuest"&amp;"as de formulario 1'!G891),""[^0-9]"","""")))"),"+543513578152")</f>
        <v>+543513578152</v>
      </c>
      <c r="H891" s="7">
        <f>'Respuestas de formulario 1'!S891</f>
        <v>2025</v>
      </c>
      <c r="I891" s="7" t="str">
        <f>IFERROR(__xludf.DUMMYFUNCTION("IF('Respuestas de formulario 1'!I891="""","""",TO_TEXT('Respuestas de formulario 1'!I891))"),"Obra social")</f>
        <v>Obra social</v>
      </c>
      <c r="J891" s="7" t="str">
        <f>IFERROR(__xludf.DUMMYFUNCTION("IF('Respuestas de formulario 1'!J891&lt;&gt;"""",UPPER(TRIM(TO_TEXT('Respuestas de formulario 1'!J891))),IF('Respuestas de formulario 1'!O891&lt;&gt;"""",UPPER(TRIM(TO_TEXT('Respuestas de formulario 1'!O891))),""""))"),"MEDIFE")</f>
        <v>MEDIFE</v>
      </c>
      <c r="K891" s="7" t="str">
        <f>IFERROR(__xludf.DUMMYFUNCTION("IF('Respuestas de formulario 1'!K891="""","""",TO_TEXT('Respuestas de formulario 1'!K891))"),"Si")</f>
        <v>Si</v>
      </c>
      <c r="L891" s="7" t="str">
        <f>IFERROR(__xludf.DUMMYFUNCTION("IF('Respuestas de formulario 1'!L891="""","""",TO_TEXT('Respuestas de formulario 1'!L891))"),"Caminata")</f>
        <v>Caminata</v>
      </c>
      <c r="M891" s="7" t="str">
        <f>IFERROR(__xludf.DUMMYFUNCTION("IF('Respuestas de formulario 1'!M891="""","""",TO_TEXT('Respuestas de formulario 1'!M891))"),"3 a 5 veces por semana")</f>
        <v>3 a 5 veces por semana</v>
      </c>
      <c r="N891" s="7">
        <f t="shared" si="1"/>
        <v>2025</v>
      </c>
      <c r="O891" s="7" t="str">
        <f t="shared" si="2"/>
        <v>febrero</v>
      </c>
      <c r="P891" s="7" t="s">
        <v>5952</v>
      </c>
    </row>
    <row r="892">
      <c r="A892" s="19">
        <f>'Respuestas de formulario 1'!A892</f>
        <v>45709.78921</v>
      </c>
      <c r="B892" s="7" t="str">
        <f>'Respuestas de formulario 1'!B892</f>
        <v>DELCASTILLO </v>
      </c>
      <c r="C892" s="7" t="str">
        <f>'Respuestas de formulario 1'!C892</f>
        <v>GUSTAVO </v>
      </c>
      <c r="D892" s="7" t="str">
        <f>'Respuestas de formulario 1'!D892</f>
        <v>gustavodelcastillo515@hotmail.com</v>
      </c>
      <c r="E892" s="20">
        <f>'Respuestas de formulario 1'!E892</f>
        <v>33414</v>
      </c>
      <c r="F892" s="7">
        <f>'Respuestas de formulario 1'!F892</f>
        <v>94102164</v>
      </c>
      <c r="G892" s="7" t="str">
        <f>IFERROR(__xludf.DUMMYFUNCTION("IF('Respuestas de formulario 1'!G892="""","""",IF(LEFT(REGEXREPLACE(TO_TEXT('Respuestas de formulario 1'!G892),""[^0-9]"",""""),2)=""54"",""+""&amp;REGEXREPLACE(TO_TEXT('Respuestas de formulario 1'!G892),""[^0-9]"",""""),""+54""&amp;REGEXREPLACE(TO_TEXT('Respuest"&amp;"as de formulario 1'!G892),""[^0-9]"","""")))"),"+543512674033")</f>
        <v>+543512674033</v>
      </c>
      <c r="H892" s="7">
        <f>'Respuestas de formulario 1'!S892</f>
        <v>2025</v>
      </c>
      <c r="I892" s="7" t="str">
        <f>IFERROR(__xludf.DUMMYFUNCTION("IF('Respuestas de formulario 1'!I892="""","""",TO_TEXT('Respuestas de formulario 1'!I892))"),"Particular")</f>
        <v>Particular</v>
      </c>
      <c r="J892" s="7" t="str">
        <f>IFERROR(__xludf.DUMMYFUNCTION("IF('Respuestas de formulario 1'!J892&lt;&gt;"""",UPPER(TRIM(TO_TEXT('Respuestas de formulario 1'!J892))),IF('Respuestas de formulario 1'!O892&lt;&gt;"""",UPPER(TRIM(TO_TEXT('Respuestas de formulario 1'!O892))),""""))"),"")</f>
        <v/>
      </c>
      <c r="K892" s="7" t="str">
        <f>IFERROR(__xludf.DUMMYFUNCTION("IF('Respuestas de formulario 1'!K892="""","""",TO_TEXT('Respuestas de formulario 1'!K892))"),"Si")</f>
        <v>Si</v>
      </c>
      <c r="L892" s="7" t="str">
        <f>IFERROR(__xludf.DUMMYFUNCTION("IF('Respuestas de formulario 1'!L892="""","""",TO_TEXT('Respuestas de formulario 1'!L892))"),"gimnasio, calistenia, trek")</f>
        <v>gimnasio, calistenia, trek</v>
      </c>
      <c r="M892" s="7" t="str">
        <f>IFERROR(__xludf.DUMMYFUNCTION("IF('Respuestas de formulario 1'!M892="""","""",TO_TEXT('Respuestas de formulario 1'!M892))"),"6 a 7 veces por semana")</f>
        <v>6 a 7 veces por semana</v>
      </c>
      <c r="N892" s="7">
        <f t="shared" si="1"/>
        <v>2025</v>
      </c>
      <c r="O892" s="7" t="str">
        <f t="shared" si="2"/>
        <v>febrero</v>
      </c>
      <c r="P892" s="7" t="s">
        <v>5954</v>
      </c>
    </row>
    <row r="893">
      <c r="A893" s="19">
        <f>'Respuestas de formulario 1'!A893</f>
        <v>45712.6434</v>
      </c>
      <c r="B893" s="7" t="str">
        <f>'Respuestas de formulario 1'!B893</f>
        <v>Baez</v>
      </c>
      <c r="C893" s="7" t="str">
        <f>'Respuestas de formulario 1'!C893</f>
        <v>Anibal</v>
      </c>
      <c r="D893" s="7" t="str">
        <f>'Respuestas de formulario 1'!D893</f>
        <v/>
      </c>
      <c r="E893" s="20">
        <f>'Respuestas de formulario 1'!E893</f>
        <v>27951</v>
      </c>
      <c r="F893" s="7">
        <f>'Respuestas de formulario 1'!F893</f>
        <v>25441468</v>
      </c>
      <c r="G893" s="7" t="str">
        <f>IFERROR(__xludf.DUMMYFUNCTION("IF('Respuestas de formulario 1'!G893="""","""",IF(LEFT(REGEXREPLACE(TO_TEXT('Respuestas de formulario 1'!G893),""[^0-9]"",""""),2)=""54"",""+""&amp;REGEXREPLACE(TO_TEXT('Respuestas de formulario 1'!G893),""[^0-9]"",""""),""+54""&amp;REGEXREPLACE(TO_TEXT('Respuest"&amp;"as de formulario 1'!G893),""[^0-9]"","""")))"),"+543515904563")</f>
        <v>+543515904563</v>
      </c>
      <c r="H893" s="7">
        <f>'Respuestas de formulario 1'!S893</f>
        <v>2025</v>
      </c>
      <c r="I893" s="7" t="str">
        <f>IFERROR(__xludf.DUMMYFUNCTION("IF('Respuestas de formulario 1'!I893="""","""",TO_TEXT('Respuestas de formulario 1'!I893))"),"Particular")</f>
        <v>Particular</v>
      </c>
      <c r="J893" s="7" t="str">
        <f>IFERROR(__xludf.DUMMYFUNCTION("IF('Respuestas de formulario 1'!J893&lt;&gt;"""",UPPER(TRIM(TO_TEXT('Respuestas de formulario 1'!J893))),IF('Respuestas de formulario 1'!O893&lt;&gt;"""",UPPER(TRIM(TO_TEXT('Respuestas de formulario 1'!O893))),""""))"),"")</f>
        <v/>
      </c>
      <c r="K893" s="7" t="str">
        <f>IFERROR(__xludf.DUMMYFUNCTION("IF('Respuestas de formulario 1'!K893="""","""",TO_TEXT('Respuestas de formulario 1'!K893))"),"Si")</f>
        <v>Si</v>
      </c>
      <c r="L893" s="7" t="str">
        <f>IFERROR(__xludf.DUMMYFUNCTION("IF('Respuestas de formulario 1'!L893="""","""",TO_TEXT('Respuestas de formulario 1'!L893))"),"tenis")</f>
        <v>tenis</v>
      </c>
      <c r="M893" s="7" t="str">
        <f>IFERROR(__xludf.DUMMYFUNCTION("IF('Respuestas de formulario 1'!M893="""","""",TO_TEXT('Respuestas de formulario 1'!M893))"),"3 a 5 veces por semana")</f>
        <v>3 a 5 veces por semana</v>
      </c>
      <c r="N893" s="7">
        <f t="shared" si="1"/>
        <v>2025</v>
      </c>
      <c r="O893" s="7" t="str">
        <f t="shared" si="2"/>
        <v>febrero</v>
      </c>
      <c r="P893" s="7" t="s">
        <v>5956</v>
      </c>
    </row>
    <row r="894">
      <c r="A894" s="19">
        <f>'Respuestas de formulario 1'!A894</f>
        <v>45713.74902</v>
      </c>
      <c r="B894" s="7" t="str">
        <f>'Respuestas de formulario 1'!B894</f>
        <v>Altamirano </v>
      </c>
      <c r="C894" s="7" t="str">
        <f>'Respuestas de formulario 1'!C894</f>
        <v>Joana</v>
      </c>
      <c r="D894" s="7" t="str">
        <f>'Respuestas de formulario 1'!D894</f>
        <v>Altamirano 33</v>
      </c>
      <c r="E894" s="20">
        <f>'Respuestas de formulario 1'!E894</f>
        <v>45708</v>
      </c>
      <c r="F894" s="7">
        <f>'Respuestas de formulario 1'!F894</f>
        <v>35522051</v>
      </c>
      <c r="G894" s="7" t="str">
        <f>IFERROR(__xludf.DUMMYFUNCTION("IF('Respuestas de formulario 1'!G894="""","""",IF(LEFT(REGEXREPLACE(TO_TEXT('Respuestas de formulario 1'!G894),""[^0-9]"",""""),2)=""54"",""+""&amp;REGEXREPLACE(TO_TEXT('Respuestas de formulario 1'!G894),""[^0-9]"",""""),""+54""&amp;REGEXREPLACE(TO_TEXT('Respuest"&amp;"as de formulario 1'!G894),""[^0-9]"","""")))"),"+543518637856")</f>
        <v>+543518637856</v>
      </c>
      <c r="H894" s="7">
        <f>'Respuestas de formulario 1'!S894</f>
        <v>2025</v>
      </c>
      <c r="I894" s="7" t="str">
        <f>IFERROR(__xludf.DUMMYFUNCTION("IF('Respuestas de formulario 1'!I894="""","""",TO_TEXT('Respuestas de formulario 1'!I894))"),"Particular")</f>
        <v>Particular</v>
      </c>
      <c r="J894" s="7" t="str">
        <f>IFERROR(__xludf.DUMMYFUNCTION("IF('Respuestas de formulario 1'!J894&lt;&gt;"""",UPPER(TRIM(TO_TEXT('Respuestas de formulario 1'!J894))),IF('Respuestas de formulario 1'!O894&lt;&gt;"""",UPPER(TRIM(TO_TEXT('Respuestas de formulario 1'!O894))),""""))"),"")</f>
        <v/>
      </c>
      <c r="K894" s="7" t="str">
        <f>IFERROR(__xludf.DUMMYFUNCTION("IF('Respuestas de formulario 1'!K894="""","""",TO_TEXT('Respuestas de formulario 1'!K894))"),"No")</f>
        <v>No</v>
      </c>
      <c r="L894" s="7" t="str">
        <f>IFERROR(__xludf.DUMMYFUNCTION("IF('Respuestas de formulario 1'!L894="""","""",TO_TEXT('Respuestas de formulario 1'!L894))"),"")</f>
        <v/>
      </c>
      <c r="M894" s="7" t="str">
        <f>IFERROR(__xludf.DUMMYFUNCTION("IF('Respuestas de formulario 1'!M894="""","""",TO_TEXT('Respuestas de formulario 1'!M894))"),"")</f>
        <v/>
      </c>
      <c r="N894" s="7">
        <f t="shared" si="1"/>
        <v>2025</v>
      </c>
      <c r="O894" s="7" t="str">
        <f t="shared" si="2"/>
        <v>febrero</v>
      </c>
      <c r="P894" s="7" t="s">
        <v>5958</v>
      </c>
    </row>
    <row r="895">
      <c r="A895" s="19">
        <f>'Respuestas de formulario 1'!A895</f>
        <v>45713.75662</v>
      </c>
      <c r="B895" s="7" t="str">
        <f>'Respuestas de formulario 1'!B895</f>
        <v>Ponce</v>
      </c>
      <c r="C895" s="7" t="str">
        <f>'Respuestas de formulario 1'!C895</f>
        <v>Victoria </v>
      </c>
      <c r="D895" s="7" t="str">
        <f>'Respuestas de formulario 1'!D895</f>
        <v>altamiranojoana28@gmail.com</v>
      </c>
      <c r="E895" s="20">
        <f>'Respuestas de formulario 1'!E895</f>
        <v>41172</v>
      </c>
      <c r="F895" s="7">
        <f>'Respuestas de formulario 1'!F895</f>
        <v>52743733</v>
      </c>
      <c r="G895" s="7" t="str">
        <f>IFERROR(__xludf.DUMMYFUNCTION("IF('Respuestas de formulario 1'!G895="""","""",IF(LEFT(REGEXREPLACE(TO_TEXT('Respuestas de formulario 1'!G895),""[^0-9]"",""""),2)=""54"",""+""&amp;REGEXREPLACE(TO_TEXT('Respuestas de formulario 1'!G895),""[^0-9]"",""""),""+54""&amp;REGEXREPLACE(TO_TEXT('Respuest"&amp;"as de formulario 1'!G895),""[^0-9]"","""")))"),"+543518637856")</f>
        <v>+543518637856</v>
      </c>
      <c r="H895" s="7">
        <f>'Respuestas de formulario 1'!S895</f>
        <v>2025</v>
      </c>
      <c r="I895" s="7" t="str">
        <f>IFERROR(__xludf.DUMMYFUNCTION("IF('Respuestas de formulario 1'!I895="""","""",TO_TEXT('Respuestas de formulario 1'!I895))"),"Particular")</f>
        <v>Particular</v>
      </c>
      <c r="J895" s="7" t="str">
        <f>IFERROR(__xludf.DUMMYFUNCTION("IF('Respuestas de formulario 1'!J895&lt;&gt;"""",UPPER(TRIM(TO_TEXT('Respuestas de formulario 1'!J895))),IF('Respuestas de formulario 1'!O895&lt;&gt;"""",UPPER(TRIM(TO_TEXT('Respuestas de formulario 1'!O895))),""""))"),"")</f>
        <v/>
      </c>
      <c r="K895" s="7" t="str">
        <f>IFERROR(__xludf.DUMMYFUNCTION("IF('Respuestas de formulario 1'!K895="""","""",TO_TEXT('Respuestas de formulario 1'!K895))"),"No")</f>
        <v>No</v>
      </c>
      <c r="L895" s="7" t="str">
        <f>IFERROR(__xludf.DUMMYFUNCTION("IF('Respuestas de formulario 1'!L895="""","""",TO_TEXT('Respuestas de formulario 1'!L895))"),"")</f>
        <v/>
      </c>
      <c r="M895" s="7" t="str">
        <f>IFERROR(__xludf.DUMMYFUNCTION("IF('Respuestas de formulario 1'!M895="""","""",TO_TEXT('Respuestas de formulario 1'!M895))"),"")</f>
        <v/>
      </c>
      <c r="N895" s="7">
        <f t="shared" si="1"/>
        <v>2025</v>
      </c>
      <c r="O895" s="7" t="str">
        <f t="shared" si="2"/>
        <v>febrero</v>
      </c>
      <c r="P895" s="7" t="s">
        <v>5960</v>
      </c>
    </row>
    <row r="896">
      <c r="A896" s="19">
        <f>'Respuestas de formulario 1'!A896</f>
        <v>45713.78688</v>
      </c>
      <c r="B896" s="7" t="str">
        <f>'Respuestas de formulario 1'!B896</f>
        <v>NIETO</v>
      </c>
      <c r="C896" s="7" t="str">
        <f>'Respuestas de formulario 1'!C896</f>
        <v>Claudio</v>
      </c>
      <c r="D896" s="7" t="str">
        <f>'Respuestas de formulario 1'!D896</f>
        <v/>
      </c>
      <c r="E896" s="20">
        <f>'Respuestas de formulario 1'!E896</f>
        <v>25596</v>
      </c>
      <c r="F896" s="7">
        <f>'Respuestas de formulario 1'!F896</f>
        <v>21408295</v>
      </c>
      <c r="G896" s="7" t="str">
        <f>IFERROR(__xludf.DUMMYFUNCTION("IF('Respuestas de formulario 1'!G896="""","""",IF(LEFT(REGEXREPLACE(TO_TEXT('Respuestas de formulario 1'!G896),""[^0-9]"",""""),2)=""54"",""+""&amp;REGEXREPLACE(TO_TEXT('Respuestas de formulario 1'!G896),""[^0-9]"",""""),""+54""&amp;REGEXREPLACE(TO_TEXT('Respuest"&amp;"as de formulario 1'!G896),""[^0-9]"","""")))"),"+543515104601")</f>
        <v>+543515104601</v>
      </c>
      <c r="H896" s="7">
        <f>'Respuestas de formulario 1'!S896</f>
        <v>2025</v>
      </c>
      <c r="I896" s="7" t="str">
        <f>IFERROR(__xludf.DUMMYFUNCTION("IF('Respuestas de formulario 1'!I896="""","""",TO_TEXT('Respuestas de formulario 1'!I896))"),"Obra social")</f>
        <v>Obra social</v>
      </c>
      <c r="J896" s="7" t="str">
        <f>IFERROR(__xludf.DUMMYFUNCTION("IF('Respuestas de formulario 1'!J896&lt;&gt;"""",UPPER(TRIM(TO_TEXT('Respuestas de formulario 1'!J896))),IF('Respuestas de formulario 1'!O896&lt;&gt;"""",UPPER(TRIM(TO_TEXT('Respuestas de formulario 1'!O896))),""""))"),"")</f>
        <v/>
      </c>
      <c r="K896" s="7" t="str">
        <f>IFERROR(__xludf.DUMMYFUNCTION("IF('Respuestas de formulario 1'!K896="""","""",TO_TEXT('Respuestas de formulario 1'!K896))"),"Si")</f>
        <v>Si</v>
      </c>
      <c r="L896" s="7" t="str">
        <f>IFERROR(__xludf.DUMMYFUNCTION("IF('Respuestas de formulario 1'!L896="""","""",TO_TEXT('Respuestas de formulario 1'!L896))"),"Gimnasio")</f>
        <v>Gimnasio</v>
      </c>
      <c r="M896" s="7" t="str">
        <f>IFERROR(__xludf.DUMMYFUNCTION("IF('Respuestas de formulario 1'!M896="""","""",TO_TEXT('Respuestas de formulario 1'!M896))"),"3 a 5 veces por semana")</f>
        <v>3 a 5 veces por semana</v>
      </c>
      <c r="N896" s="7">
        <f t="shared" si="1"/>
        <v>2025</v>
      </c>
      <c r="O896" s="7" t="str">
        <f t="shared" si="2"/>
        <v>febrero</v>
      </c>
      <c r="P896" s="7" t="s">
        <v>5961</v>
      </c>
    </row>
    <row r="897">
      <c r="A897" s="19">
        <f>'Respuestas de formulario 1'!A897</f>
        <v>45714.48189</v>
      </c>
      <c r="B897" s="7" t="str">
        <f>'Respuestas de formulario 1'!B897</f>
        <v>Maccio</v>
      </c>
      <c r="C897" s="7" t="str">
        <f>'Respuestas de formulario 1'!C897</f>
        <v>Andres</v>
      </c>
      <c r="D897" s="7" t="str">
        <f>'Respuestas de formulario 1'!D897</f>
        <v>maccio.andres@gmail.com</v>
      </c>
      <c r="E897" s="20">
        <f>'Respuestas de formulario 1'!E897</f>
        <v>33547</v>
      </c>
      <c r="F897" s="7">
        <f>'Respuestas de formulario 1'!F897</f>
        <v>36141891</v>
      </c>
      <c r="G897" s="7" t="str">
        <f>IFERROR(__xludf.DUMMYFUNCTION("IF('Respuestas de formulario 1'!G897="""","""",IF(LEFT(REGEXREPLACE(TO_TEXT('Respuestas de formulario 1'!G897),""[^0-9]"",""""),2)=""54"",""+""&amp;REGEXREPLACE(TO_TEXT('Respuestas de formulario 1'!G897),""[^0-9]"",""""),""+54""&amp;REGEXREPLACE(TO_TEXT('Respuest"&amp;"as de formulario 1'!G897),""[^0-9]"","""")))"),"+543516561192")</f>
        <v>+543516561192</v>
      </c>
      <c r="H897" s="7">
        <f>'Respuestas de formulario 1'!S897</f>
        <v>2025</v>
      </c>
      <c r="I897" s="7" t="str">
        <f>IFERROR(__xludf.DUMMYFUNCTION("IF('Respuestas de formulario 1'!I897="""","""",TO_TEXT('Respuestas de formulario 1'!I897))"),"Particular")</f>
        <v>Particular</v>
      </c>
      <c r="J897" s="7" t="str">
        <f>IFERROR(__xludf.DUMMYFUNCTION("IF('Respuestas de formulario 1'!J897&lt;&gt;"""",UPPER(TRIM(TO_TEXT('Respuestas de formulario 1'!J897))),IF('Respuestas de formulario 1'!O897&lt;&gt;"""",UPPER(TRIM(TO_TEXT('Respuestas de formulario 1'!O897))),""""))"),"")</f>
        <v/>
      </c>
      <c r="K897" s="7" t="str">
        <f>IFERROR(__xludf.DUMMYFUNCTION("IF('Respuestas de formulario 1'!K897="""","""",TO_TEXT('Respuestas de formulario 1'!K897))"),"Si")</f>
        <v>Si</v>
      </c>
      <c r="L897" s="7" t="str">
        <f>IFERROR(__xludf.DUMMYFUNCTION("IF('Respuestas de formulario 1'!L897="""","""",TO_TEXT('Respuestas de formulario 1'!L897))"),"Escalada")</f>
        <v>Escalada</v>
      </c>
      <c r="M897" s="7" t="str">
        <f>IFERROR(__xludf.DUMMYFUNCTION("IF('Respuestas de formulario 1'!M897="""","""",TO_TEXT('Respuestas de formulario 1'!M897))"),"1 a 2 veces por semana")</f>
        <v>1 a 2 veces por semana</v>
      </c>
      <c r="N897" s="7">
        <f t="shared" si="1"/>
        <v>2025</v>
      </c>
      <c r="O897" s="7" t="str">
        <f t="shared" si="2"/>
        <v>febrero</v>
      </c>
      <c r="P897" s="7" t="s">
        <v>5962</v>
      </c>
    </row>
    <row r="898">
      <c r="A898" s="19">
        <f>'Respuestas de formulario 1'!A898</f>
        <v>45714.63251</v>
      </c>
      <c r="B898" s="7" t="str">
        <f>'Respuestas de formulario 1'!B898</f>
        <v>Pagola</v>
      </c>
      <c r="C898" s="7" t="str">
        <f>'Respuestas de formulario 1'!C898</f>
        <v>Lila</v>
      </c>
      <c r="D898" s="7" t="str">
        <f>'Respuestas de formulario 1'!D898</f>
        <v>lilapagola@gmail.com</v>
      </c>
      <c r="E898" s="20">
        <f>'Respuestas de formulario 1'!E898</f>
        <v>26530</v>
      </c>
      <c r="F898" s="7">
        <f>'Respuestas de formulario 1'!F898</f>
        <v>22793300</v>
      </c>
      <c r="G898" s="7" t="str">
        <f>IFERROR(__xludf.DUMMYFUNCTION("IF('Respuestas de formulario 1'!G898="""","""",IF(LEFT(REGEXREPLACE(TO_TEXT('Respuestas de formulario 1'!G898),""[^0-9]"",""""),2)=""54"",""+""&amp;REGEXREPLACE(TO_TEXT('Respuestas de formulario 1'!G898),""[^0-9]"",""""),""+54""&amp;REGEXREPLACE(TO_TEXT('Respuest"&amp;"as de formulario 1'!G898),""[^0-9]"","""")))"),"+543516666933")</f>
        <v>+543516666933</v>
      </c>
      <c r="H898" s="7">
        <f>'Respuestas de formulario 1'!S898</f>
        <v>2025</v>
      </c>
      <c r="I898" s="7" t="str">
        <f>IFERROR(__xludf.DUMMYFUNCTION("IF('Respuestas de formulario 1'!I898="""","""",TO_TEXT('Respuestas de formulario 1'!I898))"),"Obra social")</f>
        <v>Obra social</v>
      </c>
      <c r="J898" s="7" t="str">
        <f>IFERROR(__xludf.DUMMYFUNCTION("IF('Respuestas de formulario 1'!J898&lt;&gt;"""",UPPER(TRIM(TO_TEXT('Respuestas de formulario 1'!J898))),IF('Respuestas de formulario 1'!O898&lt;&gt;"""",UPPER(TRIM(TO_TEXT('Respuestas de formulario 1'!O898))),""""))"),"APROSS")</f>
        <v>APROSS</v>
      </c>
      <c r="K898" s="7" t="str">
        <f>IFERROR(__xludf.DUMMYFUNCTION("IF('Respuestas de formulario 1'!K898="""","""",TO_TEXT('Respuestas de formulario 1'!K898))"),"Si")</f>
        <v>Si</v>
      </c>
      <c r="L898" s="7" t="str">
        <f>IFERROR(__xludf.DUMMYFUNCTION("IF('Respuestas de formulario 1'!L898="""","""",TO_TEXT('Respuestas de formulario 1'!L898))"),"pilates")</f>
        <v>pilates</v>
      </c>
      <c r="M898" s="7" t="str">
        <f>IFERROR(__xludf.DUMMYFUNCTION("IF('Respuestas de formulario 1'!M898="""","""",TO_TEXT('Respuestas de formulario 1'!M898))"),"1 a 2 veces por semana")</f>
        <v>1 a 2 veces por semana</v>
      </c>
      <c r="N898" s="7">
        <f t="shared" si="1"/>
        <v>2025</v>
      </c>
      <c r="O898" s="7" t="str">
        <f t="shared" si="2"/>
        <v>febrero</v>
      </c>
      <c r="P898" s="7" t="s">
        <v>5964</v>
      </c>
    </row>
    <row r="899">
      <c r="A899" s="19">
        <f>'Respuestas de formulario 1'!A899</f>
        <v>45715.45204</v>
      </c>
      <c r="B899" s="7" t="str">
        <f>'Respuestas de formulario 1'!B899</f>
        <v>Cantos</v>
      </c>
      <c r="C899" s="7" t="str">
        <f>'Respuestas de formulario 1'!C899</f>
        <v>Lautaro</v>
      </c>
      <c r="D899" s="7" t="str">
        <f>'Respuestas de formulario 1'!D899</f>
        <v>Cantosmiguel1973@gmail.com</v>
      </c>
      <c r="E899" s="20">
        <f>'Respuestas de formulario 1'!E899</f>
        <v>26734</v>
      </c>
      <c r="F899" s="7">
        <f>'Respuestas de formulario 1'!F899</f>
        <v>22968383</v>
      </c>
      <c r="G899" s="7" t="str">
        <f>IFERROR(__xludf.DUMMYFUNCTION("IF('Respuestas de formulario 1'!G899="""","""",IF(LEFT(REGEXREPLACE(TO_TEXT('Respuestas de formulario 1'!G899),""[^0-9]"",""""),2)=""54"",""+""&amp;REGEXREPLACE(TO_TEXT('Respuestas de formulario 1'!G899),""[^0-9]"",""""),""+54""&amp;REGEXREPLACE(TO_TEXT('Respuest"&amp;"as de formulario 1'!G899),""[^0-9]"","""")))"),"+543513421912")</f>
        <v>+543513421912</v>
      </c>
      <c r="H899" s="7">
        <f>'Respuestas de formulario 1'!S899</f>
        <v>2025</v>
      </c>
      <c r="I899" s="7" t="str">
        <f>IFERROR(__xludf.DUMMYFUNCTION("IF('Respuestas de formulario 1'!I899="""","""",TO_TEXT('Respuestas de formulario 1'!I899))"),"Particular")</f>
        <v>Particular</v>
      </c>
      <c r="J899" s="7" t="str">
        <f>IFERROR(__xludf.DUMMYFUNCTION("IF('Respuestas de formulario 1'!J899&lt;&gt;"""",UPPER(TRIM(TO_TEXT('Respuestas de formulario 1'!J899))),IF('Respuestas de formulario 1'!O899&lt;&gt;"""",UPPER(TRIM(TO_TEXT('Respuestas de formulario 1'!O899))),""""))"),"")</f>
        <v/>
      </c>
      <c r="K899" s="7" t="str">
        <f>IFERROR(__xludf.DUMMYFUNCTION("IF('Respuestas de formulario 1'!K899="""","""",TO_TEXT('Respuestas de formulario 1'!K899))"),"No")</f>
        <v>No</v>
      </c>
      <c r="L899" s="7" t="str">
        <f>IFERROR(__xludf.DUMMYFUNCTION("IF('Respuestas de formulario 1'!L899="""","""",TO_TEXT('Respuestas de formulario 1'!L899))"),"")</f>
        <v/>
      </c>
      <c r="M899" s="7" t="str">
        <f>IFERROR(__xludf.DUMMYFUNCTION("IF('Respuestas de formulario 1'!M899="""","""",TO_TEXT('Respuestas de formulario 1'!M899))"),"")</f>
        <v/>
      </c>
      <c r="N899" s="7">
        <f t="shared" si="1"/>
        <v>2025</v>
      </c>
      <c r="O899" s="7" t="str">
        <f t="shared" si="2"/>
        <v>febrero</v>
      </c>
      <c r="P899" s="7" t="s">
        <v>5966</v>
      </c>
    </row>
    <row r="900">
      <c r="A900" s="19">
        <f>'Respuestas de formulario 1'!A900</f>
        <v>45721.49355</v>
      </c>
      <c r="B900" s="7" t="str">
        <f>'Respuestas de formulario 1'!B900</f>
        <v>ALBARRACIN</v>
      </c>
      <c r="C900" s="7" t="str">
        <f>'Respuestas de formulario 1'!C900</f>
        <v>ALBERTO </v>
      </c>
      <c r="D900" s="7" t="str">
        <f>'Respuestas de formulario 1'!D900</f>
        <v>albarracin.1387@gmail.com</v>
      </c>
      <c r="E900" s="20">
        <f>'Respuestas de formulario 1'!E900</f>
        <v>31941</v>
      </c>
      <c r="F900" s="7">
        <f>'Respuestas de formulario 1'!F900</f>
        <v>33101207</v>
      </c>
      <c r="G900" s="7" t="str">
        <f>IFERROR(__xludf.DUMMYFUNCTION("IF('Respuestas de formulario 1'!G900="""","""",IF(LEFT(REGEXREPLACE(TO_TEXT('Respuestas de formulario 1'!G900),""[^0-9]"",""""),2)=""54"",""+""&amp;REGEXREPLACE(TO_TEXT('Respuestas de formulario 1'!G900),""[^0-9]"",""""),""+54""&amp;REGEXREPLACE(TO_TEXT('Respuest"&amp;"as de formulario 1'!G900),""[^0-9]"","""")))"),"+543513165406")</f>
        <v>+543513165406</v>
      </c>
      <c r="H900" s="7">
        <f>'Respuestas de formulario 1'!S900</f>
        <v>2025</v>
      </c>
      <c r="I900" s="7" t="str">
        <f>IFERROR(__xludf.DUMMYFUNCTION("IF('Respuestas de formulario 1'!I900="""","""",TO_TEXT('Respuestas de formulario 1'!I900))"),"Particular")</f>
        <v>Particular</v>
      </c>
      <c r="J900" s="7" t="str">
        <f>IFERROR(__xludf.DUMMYFUNCTION("IF('Respuestas de formulario 1'!J900&lt;&gt;"""",UPPER(TRIM(TO_TEXT('Respuestas de formulario 1'!J900))),IF('Respuestas de formulario 1'!O900&lt;&gt;"""",UPPER(TRIM(TO_TEXT('Respuestas de formulario 1'!O900))),""""))"),"")</f>
        <v/>
      </c>
      <c r="K900" s="7" t="str">
        <f>IFERROR(__xludf.DUMMYFUNCTION("IF('Respuestas de formulario 1'!K900="""","""",TO_TEXT('Respuestas de formulario 1'!K900))"),"Si")</f>
        <v>Si</v>
      </c>
      <c r="L900" s="7" t="str">
        <f>IFERROR(__xludf.DUMMYFUNCTION("IF('Respuestas de formulario 1'!L900="""","""",TO_TEXT('Respuestas de formulario 1'!L900))"),"Gimnasio")</f>
        <v>Gimnasio</v>
      </c>
      <c r="M900" s="7" t="str">
        <f>IFERROR(__xludf.DUMMYFUNCTION("IF('Respuestas de formulario 1'!M900="""","""",TO_TEXT('Respuestas de formulario 1'!M900))"),"3 a 5 veces por semana")</f>
        <v>3 a 5 veces por semana</v>
      </c>
      <c r="N900" s="7">
        <f t="shared" si="1"/>
        <v>2025</v>
      </c>
      <c r="O900" s="7" t="str">
        <f t="shared" si="2"/>
        <v>marzo</v>
      </c>
      <c r="P900" s="7" t="s">
        <v>5968</v>
      </c>
    </row>
    <row r="901">
      <c r="A901" s="19">
        <f>'Respuestas de formulario 1'!A901</f>
        <v>45721.53705</v>
      </c>
      <c r="B901" s="7" t="str">
        <f>'Respuestas de formulario 1'!B901</f>
        <v>Zacarias </v>
      </c>
      <c r="C901" s="7" t="str">
        <f>'Respuestas de formulario 1'!C901</f>
        <v>Claudio Alejandro </v>
      </c>
      <c r="D901" s="7" t="str">
        <f>'Respuestas de formulario 1'!D901</f>
        <v>claugomezcoiffeur@gmail.com</v>
      </c>
      <c r="E901" s="20">
        <f>'Respuestas de formulario 1'!E901</f>
        <v>33275</v>
      </c>
      <c r="F901" s="7">
        <f>'Respuestas de formulario 1'!F901</f>
        <v>35673726</v>
      </c>
      <c r="G901" s="7" t="str">
        <f>IFERROR(__xludf.DUMMYFUNCTION("IF('Respuestas de formulario 1'!G901="""","""",IF(LEFT(REGEXREPLACE(TO_TEXT('Respuestas de formulario 1'!G901),""[^0-9]"",""""),2)=""54"",""+""&amp;REGEXREPLACE(TO_TEXT('Respuestas de formulario 1'!G901),""[^0-9]"",""""),""+54""&amp;REGEXREPLACE(TO_TEXT('Respuest"&amp;"as de formulario 1'!G901),""[^0-9]"","""")))"),"+543543552547")</f>
        <v>+543543552547</v>
      </c>
      <c r="H901" s="7">
        <f>'Respuestas de formulario 1'!S901</f>
        <v>2025</v>
      </c>
      <c r="I901" s="7" t="str">
        <f>IFERROR(__xludf.DUMMYFUNCTION("IF('Respuestas de formulario 1'!I901="""","""",TO_TEXT('Respuestas de formulario 1'!I901))"),"Obra social")</f>
        <v>Obra social</v>
      </c>
      <c r="J901" s="7" t="str">
        <f>IFERROR(__xludf.DUMMYFUNCTION("IF('Respuestas de formulario 1'!J901&lt;&gt;"""",UPPER(TRIM(TO_TEXT('Respuestas de formulario 1'!J901))),IF('Respuestas de formulario 1'!O901&lt;&gt;"""",UPPER(TRIM(TO_TEXT('Respuestas de formulario 1'!O901))),""""))"),"BOREAL")</f>
        <v>BOREAL</v>
      </c>
      <c r="K901" s="7" t="str">
        <f>IFERROR(__xludf.DUMMYFUNCTION("IF('Respuestas de formulario 1'!K901="""","""",TO_TEXT('Respuestas de formulario 1'!K901))"),"No")</f>
        <v>No</v>
      </c>
      <c r="L901" s="7" t="str">
        <f>IFERROR(__xludf.DUMMYFUNCTION("IF('Respuestas de formulario 1'!L901="""","""",TO_TEXT('Respuestas de formulario 1'!L901))"),"")</f>
        <v/>
      </c>
      <c r="M901" s="7" t="str">
        <f>IFERROR(__xludf.DUMMYFUNCTION("IF('Respuestas de formulario 1'!M901="""","""",TO_TEXT('Respuestas de formulario 1'!M901))"),"")</f>
        <v/>
      </c>
      <c r="N901" s="7">
        <f t="shared" si="1"/>
        <v>2025</v>
      </c>
      <c r="O901" s="7" t="str">
        <f t="shared" si="2"/>
        <v>marzo</v>
      </c>
      <c r="P901" s="7" t="s">
        <v>5969</v>
      </c>
    </row>
    <row r="902">
      <c r="A902" s="19">
        <f>'Respuestas de formulario 1'!A902</f>
        <v>45722.78221</v>
      </c>
      <c r="B902" s="7" t="str">
        <f>'Respuestas de formulario 1'!B902</f>
        <v>Biolato</v>
      </c>
      <c r="C902" s="7" t="str">
        <f>'Respuestas de formulario 1'!C902</f>
        <v>Romina paola</v>
      </c>
      <c r="D902" s="7" t="str">
        <f>'Respuestas de formulario 1'!D902</f>
        <v>romibiolato@gmail.com</v>
      </c>
      <c r="E902" s="20">
        <f>'Respuestas de formulario 1'!E902</f>
        <v>30856</v>
      </c>
      <c r="F902" s="7">
        <f>'Respuestas de formulario 1'!F902</f>
        <v>31023452</v>
      </c>
      <c r="G902" s="7" t="str">
        <f>IFERROR(__xludf.DUMMYFUNCTION("IF('Respuestas de formulario 1'!G902="""","""",IF(LEFT(REGEXREPLACE(TO_TEXT('Respuestas de formulario 1'!G902),""[^0-9]"",""""),2)=""54"",""+""&amp;REGEXREPLACE(TO_TEXT('Respuestas de formulario 1'!G902),""[^0-9]"",""""),""+54""&amp;REGEXREPLACE(TO_TEXT('Respuest"&amp;"as de formulario 1'!G902),""[^0-9]"","""")))"),"+543512268557")</f>
        <v>+543512268557</v>
      </c>
      <c r="H902" s="7">
        <f>'Respuestas de formulario 1'!S902</f>
        <v>2025</v>
      </c>
      <c r="I902" s="7" t="str">
        <f>IFERROR(__xludf.DUMMYFUNCTION("IF('Respuestas de formulario 1'!I902="""","""",TO_TEXT('Respuestas de formulario 1'!I902))"),"Obra social")</f>
        <v>Obra social</v>
      </c>
      <c r="J902" s="7" t="str">
        <f>IFERROR(__xludf.DUMMYFUNCTION("IF('Respuestas de formulario 1'!J902&lt;&gt;"""",UPPER(TRIM(TO_TEXT('Respuestas de formulario 1'!J902))),IF('Respuestas de formulario 1'!O902&lt;&gt;"""",UPPER(TRIM(TO_TEXT('Respuestas de formulario 1'!O902))),""""))"),"SWISS NEDICAL REINTEGRO")</f>
        <v>SWISS NEDICAL REINTEGRO</v>
      </c>
      <c r="K902" s="7" t="str">
        <f>IFERROR(__xludf.DUMMYFUNCTION("IF('Respuestas de formulario 1'!K902="""","""",TO_TEXT('Respuestas de formulario 1'!K902))"),"Si")</f>
        <v>Si</v>
      </c>
      <c r="L902" s="7" t="str">
        <f>IFERROR(__xludf.DUMMYFUNCTION("IF('Respuestas de formulario 1'!L902="""","""",TO_TEXT('Respuestas de formulario 1'!L902))"),"Gimnasio")</f>
        <v>Gimnasio</v>
      </c>
      <c r="M902" s="7" t="str">
        <f>IFERROR(__xludf.DUMMYFUNCTION("IF('Respuestas de formulario 1'!M902="""","""",TO_TEXT('Respuestas de formulario 1'!M902))"),"3 a 5 veces por semana")</f>
        <v>3 a 5 veces por semana</v>
      </c>
      <c r="N902" s="7">
        <f t="shared" si="1"/>
        <v>2025</v>
      </c>
      <c r="O902" s="7" t="str">
        <f t="shared" si="2"/>
        <v>marzo</v>
      </c>
      <c r="P902" s="7" t="s">
        <v>5971</v>
      </c>
    </row>
    <row r="903">
      <c r="A903" s="19">
        <f>'Respuestas de formulario 1'!A903</f>
        <v>45722.79259</v>
      </c>
      <c r="B903" s="7" t="str">
        <f>'Respuestas de formulario 1'!B903</f>
        <v>Echenique </v>
      </c>
      <c r="C903" s="7" t="str">
        <f>'Respuestas de formulario 1'!C903</f>
        <v>Patricio</v>
      </c>
      <c r="D903" s="7" t="str">
        <f>'Respuestas de formulario 1'!D903</f>
        <v>patoechenique@hotmail.com</v>
      </c>
      <c r="E903" s="20">
        <f>'Respuestas de formulario 1'!E903</f>
        <v>29187</v>
      </c>
      <c r="F903" s="7">
        <f>'Respuestas de formulario 1'!F903</f>
        <v>27670467</v>
      </c>
      <c r="G903" s="7" t="str">
        <f>IFERROR(__xludf.DUMMYFUNCTION("IF('Respuestas de formulario 1'!G903="""","""",IF(LEFT(REGEXREPLACE(TO_TEXT('Respuestas de formulario 1'!G903),""[^0-9]"",""""),2)=""54"",""+""&amp;REGEXREPLACE(TO_TEXT('Respuestas de formulario 1'!G903),""[^0-9]"",""""),""+54""&amp;REGEXREPLACE(TO_TEXT('Respuest"&amp;"as de formulario 1'!G903),""[^0-9]"","""")))"),"+543513185620")</f>
        <v>+543513185620</v>
      </c>
      <c r="H903" s="7">
        <f>'Respuestas de formulario 1'!S903</f>
        <v>2025</v>
      </c>
      <c r="I903" s="7" t="str">
        <f>IFERROR(__xludf.DUMMYFUNCTION("IF('Respuestas de formulario 1'!I903="""","""",TO_TEXT('Respuestas de formulario 1'!I903))"),"Obra social")</f>
        <v>Obra social</v>
      </c>
      <c r="J903" s="7" t="str">
        <f>IFERROR(__xludf.DUMMYFUNCTION("IF('Respuestas de formulario 1'!J903&lt;&gt;"""",UPPER(TRIM(TO_TEXT('Respuestas de formulario 1'!J903))),IF('Respuestas de formulario 1'!O903&lt;&gt;"""",UPPER(TRIM(TO_TEXT('Respuestas de formulario 1'!O903))),""""))"),"APROSS")</f>
        <v>APROSS</v>
      </c>
      <c r="K903" s="7" t="str">
        <f>IFERROR(__xludf.DUMMYFUNCTION("IF('Respuestas de formulario 1'!K903="""","""",TO_TEXT('Respuestas de formulario 1'!K903))"),"Si")</f>
        <v>Si</v>
      </c>
      <c r="L903" s="7" t="str">
        <f>IFERROR(__xludf.DUMMYFUNCTION("IF('Respuestas de formulario 1'!L903="""","""",TO_TEXT('Respuestas de formulario 1'!L903))"),"Fútbol")</f>
        <v>Fútbol</v>
      </c>
      <c r="M903" s="7" t="str">
        <f>IFERROR(__xludf.DUMMYFUNCTION("IF('Respuestas de formulario 1'!M903="""","""",TO_TEXT('Respuestas de formulario 1'!M903))"),"1 a 2 veces por semana")</f>
        <v>1 a 2 veces por semana</v>
      </c>
      <c r="N903" s="7">
        <f t="shared" si="1"/>
        <v>2025</v>
      </c>
      <c r="O903" s="7" t="str">
        <f t="shared" si="2"/>
        <v>marzo</v>
      </c>
      <c r="P903" s="7" t="s">
        <v>5973</v>
      </c>
    </row>
    <row r="904">
      <c r="A904" s="19">
        <f>'Respuestas de formulario 1'!A904</f>
        <v>45723.45699</v>
      </c>
      <c r="B904" s="7" t="str">
        <f>'Respuestas de formulario 1'!B904</f>
        <v>VENTRE</v>
      </c>
      <c r="C904" s="7" t="str">
        <f>'Respuestas de formulario 1'!C904</f>
        <v>GUSTAVO</v>
      </c>
      <c r="D904" s="7" t="str">
        <f>'Respuestas de formulario 1'!D904</f>
        <v>gustavo_ventre@hotmail.com</v>
      </c>
      <c r="E904" s="20">
        <f>'Respuestas de formulario 1'!E904</f>
        <v>26566</v>
      </c>
      <c r="F904" s="7">
        <f>'Respuestas de formulario 1'!F904</f>
        <v>22794801</v>
      </c>
      <c r="G904" s="7" t="str">
        <f>IFERROR(__xludf.DUMMYFUNCTION("IF('Respuestas de formulario 1'!G904="""","""",IF(LEFT(REGEXREPLACE(TO_TEXT('Respuestas de formulario 1'!G904),""[^0-9]"",""""),2)=""54"",""+""&amp;REGEXREPLACE(TO_TEXT('Respuestas de formulario 1'!G904),""[^0-9]"",""""),""+54""&amp;REGEXREPLACE(TO_TEXT('Respuest"&amp;"as de formulario 1'!G904),""[^0-9]"","""")))"),"+543517403686")</f>
        <v>+543517403686</v>
      </c>
      <c r="H904" s="7">
        <f>'Respuestas de formulario 1'!S904</f>
        <v>2025</v>
      </c>
      <c r="I904" s="7" t="str">
        <f>IFERROR(__xludf.DUMMYFUNCTION("IF('Respuestas de formulario 1'!I904="""","""",TO_TEXT('Respuestas de formulario 1'!I904))"),"Obra social")</f>
        <v>Obra social</v>
      </c>
      <c r="J904" s="7" t="str">
        <f>IFERROR(__xludf.DUMMYFUNCTION("IF('Respuestas de formulario 1'!J904&lt;&gt;"""",UPPER(TRIM(TO_TEXT('Respuestas de formulario 1'!J904))),IF('Respuestas de formulario 1'!O904&lt;&gt;"""",UPPER(TRIM(TO_TEXT('Respuestas de formulario 1'!O904))),""""))"),"MEDIFE")</f>
        <v>MEDIFE</v>
      </c>
      <c r="K904" s="7" t="str">
        <f>IFERROR(__xludf.DUMMYFUNCTION("IF('Respuestas de formulario 1'!K904="""","""",TO_TEXT('Respuestas de formulario 1'!K904))"),"No")</f>
        <v>No</v>
      </c>
      <c r="L904" s="7" t="str">
        <f>IFERROR(__xludf.DUMMYFUNCTION("IF('Respuestas de formulario 1'!L904="""","""",TO_TEXT('Respuestas de formulario 1'!L904))"),"")</f>
        <v/>
      </c>
      <c r="M904" s="7" t="str">
        <f>IFERROR(__xludf.DUMMYFUNCTION("IF('Respuestas de formulario 1'!M904="""","""",TO_TEXT('Respuestas de formulario 1'!M904))"),"")</f>
        <v/>
      </c>
      <c r="N904" s="7">
        <f t="shared" si="1"/>
        <v>2025</v>
      </c>
      <c r="O904" s="7" t="str">
        <f t="shared" si="2"/>
        <v>marzo</v>
      </c>
      <c r="P904" s="7" t="s">
        <v>5975</v>
      </c>
    </row>
    <row r="905">
      <c r="A905" s="19">
        <f>'Respuestas de formulario 1'!A905</f>
        <v>45723.58305</v>
      </c>
      <c r="B905" s="7" t="str">
        <f>'Respuestas de formulario 1'!B905</f>
        <v>Figueroa</v>
      </c>
      <c r="C905" s="7" t="str">
        <f>'Respuestas de formulario 1'!C905</f>
        <v>Jorge agustin</v>
      </c>
      <c r="D905" s="7" t="str">
        <f>'Respuestas de formulario 1'!D905</f>
        <v>agusfiguer@gmail.com</v>
      </c>
      <c r="E905" s="20">
        <f>'Respuestas de formulario 1'!E905</f>
        <v>32760</v>
      </c>
      <c r="F905" s="7">
        <f>'Respuestas de formulario 1'!F905</f>
        <v>34768618</v>
      </c>
      <c r="G905" s="7" t="str">
        <f>IFERROR(__xludf.DUMMYFUNCTION("IF('Respuestas de formulario 1'!G905="""","""",IF(LEFT(REGEXREPLACE(TO_TEXT('Respuestas de formulario 1'!G905),""[^0-9]"",""""),2)=""54"",""+""&amp;REGEXREPLACE(TO_TEXT('Respuestas de formulario 1'!G905),""[^0-9]"",""""),""+54""&amp;REGEXREPLACE(TO_TEXT('Respuest"&amp;"as de formulario 1'!G905),""[^0-9]"","""")))"),"+543517162513")</f>
        <v>+543517162513</v>
      </c>
      <c r="H905" s="7">
        <f>'Respuestas de formulario 1'!S905</f>
        <v>2025</v>
      </c>
      <c r="I905" s="7" t="str">
        <f>IFERROR(__xludf.DUMMYFUNCTION("IF('Respuestas de formulario 1'!I905="""","""",TO_TEXT('Respuestas de formulario 1'!I905))"),"Particular")</f>
        <v>Particular</v>
      </c>
      <c r="J905" s="7" t="str">
        <f>IFERROR(__xludf.DUMMYFUNCTION("IF('Respuestas de formulario 1'!J905&lt;&gt;"""",UPPER(TRIM(TO_TEXT('Respuestas de formulario 1'!J905))),IF('Respuestas de formulario 1'!O905&lt;&gt;"""",UPPER(TRIM(TO_TEXT('Respuestas de formulario 1'!O905))),""""))"),"")</f>
        <v/>
      </c>
      <c r="K905" s="7" t="str">
        <f>IFERROR(__xludf.DUMMYFUNCTION("IF('Respuestas de formulario 1'!K905="""","""",TO_TEXT('Respuestas de formulario 1'!K905))"),"Si")</f>
        <v>Si</v>
      </c>
      <c r="L905" s="7" t="str">
        <f>IFERROR(__xludf.DUMMYFUNCTION("IF('Respuestas de formulario 1'!L905="""","""",TO_TEXT('Respuestas de formulario 1'!L905))"),"Gimnasio")</f>
        <v>Gimnasio</v>
      </c>
      <c r="M905" s="7" t="str">
        <f>IFERROR(__xludf.DUMMYFUNCTION("IF('Respuestas de formulario 1'!M905="""","""",TO_TEXT('Respuestas de formulario 1'!M905))"),"3 a 5 veces por semana")</f>
        <v>3 a 5 veces por semana</v>
      </c>
      <c r="N905" s="7">
        <f t="shared" si="1"/>
        <v>2025</v>
      </c>
      <c r="O905" s="7" t="str">
        <f t="shared" si="2"/>
        <v>marzo</v>
      </c>
      <c r="P905" s="7" t="s">
        <v>5977</v>
      </c>
    </row>
    <row r="906">
      <c r="A906" s="19">
        <f>'Respuestas de formulario 1'!A906</f>
        <v>45727.45251</v>
      </c>
      <c r="B906" s="7" t="str">
        <f>'Respuestas de formulario 1'!B906</f>
        <v>Mujica</v>
      </c>
      <c r="C906" s="7" t="str">
        <f>'Respuestas de formulario 1'!C906</f>
        <v>Ramon</v>
      </c>
      <c r="D906" s="7" t="str">
        <f>'Respuestas de formulario 1'!D906</f>
        <v>ram.mujicad@gmail.com</v>
      </c>
      <c r="E906" s="20">
        <f>'Respuestas de formulario 1'!E906</f>
        <v>33053</v>
      </c>
      <c r="F906" s="7">
        <f>'Respuestas de formulario 1'!F906</f>
        <v>19124844</v>
      </c>
      <c r="G906" s="7" t="str">
        <f>IFERROR(__xludf.DUMMYFUNCTION("IF('Respuestas de formulario 1'!G906="""","""",IF(LEFT(REGEXREPLACE(TO_TEXT('Respuestas de formulario 1'!G906),""[^0-9]"",""""),2)=""54"",""+""&amp;REGEXREPLACE(TO_TEXT('Respuestas de formulario 1'!G906),""[^0-9]"",""""),""+54""&amp;REGEXREPLACE(TO_TEXT('Respuest"&amp;"as de formulario 1'!G906),""[^0-9]"","""")))"),"+543516782890")</f>
        <v>+543516782890</v>
      </c>
      <c r="H906" s="7">
        <f>'Respuestas de formulario 1'!S906</f>
        <v>2025</v>
      </c>
      <c r="I906" s="7" t="str">
        <f>IFERROR(__xludf.DUMMYFUNCTION("IF('Respuestas de formulario 1'!I906="""","""",TO_TEXT('Respuestas de formulario 1'!I906))"),"Obra social")</f>
        <v>Obra social</v>
      </c>
      <c r="J906" s="7" t="str">
        <f>IFERROR(__xludf.DUMMYFUNCTION("IF('Respuestas de formulario 1'!J906&lt;&gt;"""",UPPER(TRIM(TO_TEXT('Respuestas de formulario 1'!J906))),IF('Respuestas de formulario 1'!O906&lt;&gt;"""",UPPER(TRIM(TO_TEXT('Respuestas de formulario 1'!O906))),""""))"),"MEDIFE - PLAN PLATA")</f>
        <v>MEDIFE - PLAN PLATA</v>
      </c>
      <c r="K906" s="7" t="str">
        <f>IFERROR(__xludf.DUMMYFUNCTION("IF('Respuestas de formulario 1'!K906="""","""",TO_TEXT('Respuestas de formulario 1'!K906))"),"No")</f>
        <v>No</v>
      </c>
      <c r="L906" s="7" t="str">
        <f>IFERROR(__xludf.DUMMYFUNCTION("IF('Respuestas de formulario 1'!L906="""","""",TO_TEXT('Respuestas de formulario 1'!L906))"),"")</f>
        <v/>
      </c>
      <c r="M906" s="7" t="str">
        <f>IFERROR(__xludf.DUMMYFUNCTION("IF('Respuestas de formulario 1'!M906="""","""",TO_TEXT('Respuestas de formulario 1'!M906))"),"")</f>
        <v/>
      </c>
      <c r="N906" s="7">
        <f t="shared" si="1"/>
        <v>2025</v>
      </c>
      <c r="O906" s="7" t="str">
        <f t="shared" si="2"/>
        <v>marzo</v>
      </c>
      <c r="P906" s="7" t="s">
        <v>5979</v>
      </c>
    </row>
    <row r="907">
      <c r="A907" s="19">
        <f>'Respuestas de formulario 1'!A907</f>
        <v>45727.81561</v>
      </c>
      <c r="B907" s="7" t="str">
        <f>'Respuestas de formulario 1'!B907</f>
        <v>Gonzalez Mazzoni </v>
      </c>
      <c r="C907" s="7" t="str">
        <f>'Respuestas de formulario 1'!C907</f>
        <v>Santiago </v>
      </c>
      <c r="D907" s="7" t="str">
        <f>'Respuestas de formulario 1'!D907</f>
        <v>Santigonma@gmail.com</v>
      </c>
      <c r="E907" s="20">
        <f>'Respuestas de formulario 1'!E907</f>
        <v>37715</v>
      </c>
      <c r="F907" s="7">
        <f>'Respuestas de formulario 1'!F907</f>
        <v>44739124</v>
      </c>
      <c r="G907" s="7" t="str">
        <f>IFERROR(__xludf.DUMMYFUNCTION("IF('Respuestas de formulario 1'!G907="""","""",IF(LEFT(REGEXREPLACE(TO_TEXT('Respuestas de formulario 1'!G907),""[^0-9]"",""""),2)=""54"",""+""&amp;REGEXREPLACE(TO_TEXT('Respuestas de formulario 1'!G907),""[^0-9]"",""""),""+54""&amp;REGEXREPLACE(TO_TEXT('Respuest"&amp;"as de formulario 1'!G907),""[^0-9]"","""")))"),"+543513885676")</f>
        <v>+543513885676</v>
      </c>
      <c r="H907" s="7">
        <f>'Respuestas de formulario 1'!S907</f>
        <v>2025</v>
      </c>
      <c r="I907" s="7" t="str">
        <f>IFERROR(__xludf.DUMMYFUNCTION("IF('Respuestas de formulario 1'!I907="""","""",TO_TEXT('Respuestas de formulario 1'!I907))"),"Obra social")</f>
        <v>Obra social</v>
      </c>
      <c r="J907" s="7" t="str">
        <f>IFERROR(__xludf.DUMMYFUNCTION("IF('Respuestas de formulario 1'!J907&lt;&gt;"""",UPPER(TRIM(TO_TEXT('Respuestas de formulario 1'!J907))),IF('Respuestas de formulario 1'!O907&lt;&gt;"""",UPPER(TRIM(TO_TEXT('Respuestas de formulario 1'!O907))),""""))"),"OSPIA")</f>
        <v>OSPIA</v>
      </c>
      <c r="K907" s="7" t="str">
        <f>IFERROR(__xludf.DUMMYFUNCTION("IF('Respuestas de formulario 1'!K907="""","""",TO_TEXT('Respuestas de formulario 1'!K907))"),"Si")</f>
        <v>Si</v>
      </c>
      <c r="L907" s="7" t="str">
        <f>IFERROR(__xludf.DUMMYFUNCTION("IF('Respuestas de formulario 1'!L907="""","""",TO_TEXT('Respuestas de formulario 1'!L907))"),"Fútbol")</f>
        <v>Fútbol</v>
      </c>
      <c r="M907" s="7" t="str">
        <f>IFERROR(__xludf.DUMMYFUNCTION("IF('Respuestas de formulario 1'!M907="""","""",TO_TEXT('Respuestas de formulario 1'!M907))"),"3 a 5 veces por semana")</f>
        <v>3 a 5 veces por semana</v>
      </c>
      <c r="N907" s="7">
        <f t="shared" si="1"/>
        <v>2025</v>
      </c>
      <c r="O907" s="7" t="str">
        <f t="shared" si="2"/>
        <v>marzo</v>
      </c>
      <c r="P907" s="7" t="s">
        <v>5981</v>
      </c>
    </row>
    <row r="908">
      <c r="A908" s="19">
        <f>'Respuestas de formulario 1'!A908</f>
        <v>45727.90113</v>
      </c>
      <c r="B908" s="7" t="str">
        <f>'Respuestas de formulario 1'!B908</f>
        <v>Ramirez </v>
      </c>
      <c r="C908" s="7" t="str">
        <f>'Respuestas de formulario 1'!C908</f>
        <v>Javier</v>
      </c>
      <c r="D908" s="7" t="str">
        <f>'Respuestas de formulario 1'!D908</f>
        <v>javicat79@gmail.com </v>
      </c>
      <c r="E908" s="20">
        <f>'Respuestas de formulario 1'!E908</f>
        <v>29126</v>
      </c>
      <c r="F908" s="7">
        <f>'Respuestas de formulario 1'!F908</f>
        <v>27653652</v>
      </c>
      <c r="G908" s="7" t="str">
        <f>IFERROR(__xludf.DUMMYFUNCTION("IF('Respuestas de formulario 1'!G908="""","""",IF(LEFT(REGEXREPLACE(TO_TEXT('Respuestas de formulario 1'!G908),""[^0-9]"",""""),2)=""54"",""+""&amp;REGEXREPLACE(TO_TEXT('Respuestas de formulario 1'!G908),""[^0-9]"",""""),""+54""&amp;REGEXREPLACE(TO_TEXT('Respuest"&amp;"as de formulario 1'!G908),""[^0-9]"","""")))"),"+543515638014")</f>
        <v>+543515638014</v>
      </c>
      <c r="H908" s="7">
        <f>'Respuestas de formulario 1'!S908</f>
        <v>2025</v>
      </c>
      <c r="I908" s="7" t="str">
        <f>IFERROR(__xludf.DUMMYFUNCTION("IF('Respuestas de formulario 1'!I908="""","""",TO_TEXT('Respuestas de formulario 1'!I908))"),"Particular")</f>
        <v>Particular</v>
      </c>
      <c r="J908" s="7" t="str">
        <f>IFERROR(__xludf.DUMMYFUNCTION("IF('Respuestas de formulario 1'!J908&lt;&gt;"""",UPPER(TRIM(TO_TEXT('Respuestas de formulario 1'!J908))),IF('Respuestas de formulario 1'!O908&lt;&gt;"""",UPPER(TRIM(TO_TEXT('Respuestas de formulario 1'!O908))),""""))"),"")</f>
        <v/>
      </c>
      <c r="K908" s="7" t="str">
        <f>IFERROR(__xludf.DUMMYFUNCTION("IF('Respuestas de formulario 1'!K908="""","""",TO_TEXT('Respuestas de formulario 1'!K908))"),"Si")</f>
        <v>Si</v>
      </c>
      <c r="L908" s="7" t="str">
        <f>IFERROR(__xludf.DUMMYFUNCTION("IF('Respuestas de formulario 1'!L908="""","""",TO_TEXT('Respuestas de formulario 1'!L908))"),"Bici")</f>
        <v>Bici</v>
      </c>
      <c r="M908" s="7" t="str">
        <f>IFERROR(__xludf.DUMMYFUNCTION("IF('Respuestas de formulario 1'!M908="""","""",TO_TEXT('Respuestas de formulario 1'!M908))"),"1 a 2 veces por semana")</f>
        <v>1 a 2 veces por semana</v>
      </c>
      <c r="N908" s="7">
        <f t="shared" si="1"/>
        <v>2025</v>
      </c>
      <c r="O908" s="7" t="str">
        <f t="shared" si="2"/>
        <v>marzo</v>
      </c>
      <c r="P908" s="7" t="s">
        <v>5983</v>
      </c>
    </row>
    <row r="909">
      <c r="A909" s="19">
        <f>'Respuestas de formulario 1'!A909</f>
        <v>45728.4345</v>
      </c>
      <c r="B909" s="7" t="str">
        <f>'Respuestas de formulario 1'!B909</f>
        <v>Sánchez Salamanca </v>
      </c>
      <c r="C909" s="7" t="str">
        <f>'Respuestas de formulario 1'!C909</f>
        <v>Laura</v>
      </c>
      <c r="D909" s="7" t="str">
        <f>'Respuestas de formulario 1'!D909</f>
        <v>laurasanchezsalamanca@gmail.com</v>
      </c>
      <c r="E909" s="20">
        <f>'Respuestas de formulario 1'!E909</f>
        <v>33282</v>
      </c>
      <c r="F909" s="7">
        <f>'Respuestas de formulario 1'!F909</f>
        <v>35500370</v>
      </c>
      <c r="G909" s="7" t="str">
        <f>IFERROR(__xludf.DUMMYFUNCTION("IF('Respuestas de formulario 1'!G909="""","""",IF(LEFT(REGEXREPLACE(TO_TEXT('Respuestas de formulario 1'!G909),""[^0-9]"",""""),2)=""54"",""+""&amp;REGEXREPLACE(TO_TEXT('Respuestas de formulario 1'!G909),""[^0-9]"",""""),""+54""&amp;REGEXREPLACE(TO_TEXT('Respuest"&amp;"as de formulario 1'!G909),""[^0-9]"","""")))"),"+543834246569")</f>
        <v>+543834246569</v>
      </c>
      <c r="H909" s="7">
        <f>'Respuestas de formulario 1'!S909</f>
        <v>2025</v>
      </c>
      <c r="I909" s="7" t="str">
        <f>IFERROR(__xludf.DUMMYFUNCTION("IF('Respuestas de formulario 1'!I909="""","""",TO_TEXT('Respuestas de formulario 1'!I909))"),"Obra social")</f>
        <v>Obra social</v>
      </c>
      <c r="J909" s="7" t="str">
        <f>IFERROR(__xludf.DUMMYFUNCTION("IF('Respuestas de formulario 1'!J909&lt;&gt;"""",UPPER(TRIM(TO_TEXT('Respuestas de formulario 1'!J909))),IF('Respuestas de formulario 1'!O909&lt;&gt;"""",UPPER(TRIM(TO_TEXT('Respuestas de formulario 1'!O909))),""""))"),"SANCOR")</f>
        <v>SANCOR</v>
      </c>
      <c r="K909" s="7" t="str">
        <f>IFERROR(__xludf.DUMMYFUNCTION("IF('Respuestas de formulario 1'!K909="""","""",TO_TEXT('Respuestas de formulario 1'!K909))"),"Si")</f>
        <v>Si</v>
      </c>
      <c r="L909" s="7" t="str">
        <f>IFERROR(__xludf.DUMMYFUNCTION("IF('Respuestas de formulario 1'!L909="""","""",TO_TEXT('Respuestas de formulario 1'!L909))"),"Entrenamiento funcional")</f>
        <v>Entrenamiento funcional</v>
      </c>
      <c r="M909" s="7" t="str">
        <f>IFERROR(__xludf.DUMMYFUNCTION("IF('Respuestas de formulario 1'!M909="""","""",TO_TEXT('Respuestas de formulario 1'!M909))"),"3 a 5 veces por semana")</f>
        <v>3 a 5 veces por semana</v>
      </c>
      <c r="N909" s="7">
        <f t="shared" si="1"/>
        <v>2025</v>
      </c>
      <c r="O909" s="7" t="str">
        <f t="shared" si="2"/>
        <v>marzo</v>
      </c>
      <c r="P909" s="7" t="s">
        <v>5985</v>
      </c>
    </row>
    <row r="910">
      <c r="A910" s="19">
        <f>'Respuestas de formulario 1'!A910</f>
        <v>45730.6093</v>
      </c>
      <c r="B910" s="7" t="str">
        <f>'Respuestas de formulario 1'!B910</f>
        <v>MARTINEZ</v>
      </c>
      <c r="C910" s="7" t="str">
        <f>'Respuestas de formulario 1'!C910</f>
        <v>ANA MARIA</v>
      </c>
      <c r="D910" s="7" t="str">
        <f>'Respuestas de formulario 1'!D910</f>
        <v>anitabosio@hotmail.com</v>
      </c>
      <c r="E910" s="20">
        <f>'Respuestas de formulario 1'!E910</f>
        <v>15179</v>
      </c>
      <c r="F910" s="7" t="str">
        <f>'Respuestas de formulario 1'!F910</f>
        <v>anitabosio@hotmail.com</v>
      </c>
      <c r="G910" s="7" t="str">
        <f>IFERROR(__xludf.DUMMYFUNCTION("IF('Respuestas de formulario 1'!G910="""","""",IF(LEFT(REGEXREPLACE(TO_TEXT('Respuestas de formulario 1'!G910),""[^0-9]"",""""),2)=""54"",""+""&amp;REGEXREPLACE(TO_TEXT('Respuestas de formulario 1'!G910),""[^0-9]"",""""),""+54""&amp;REGEXREPLACE(TO_TEXT('Respuest"&amp;"as de formulario 1'!G910),""[^0-9]"","""")))"),"+543514598255")</f>
        <v>+543514598255</v>
      </c>
      <c r="H910" s="7">
        <f>'Respuestas de formulario 1'!S910</f>
        <v>2025</v>
      </c>
      <c r="I910" s="7" t="str">
        <f>IFERROR(__xludf.DUMMYFUNCTION("IF('Respuestas de formulario 1'!I910="""","""",TO_TEXT('Respuestas de formulario 1'!I910))"),"Obra social")</f>
        <v>Obra social</v>
      </c>
      <c r="J910" s="7" t="str">
        <f>IFERROR(__xludf.DUMMYFUNCTION("IF('Respuestas de formulario 1'!J910&lt;&gt;"""",UPPER(TRIM(TO_TEXT('Respuestas de formulario 1'!J910))),IF('Respuestas de formulario 1'!O910&lt;&gt;"""",UPPER(TRIM(TO_TEXT('Respuestas de formulario 1'!O910))),""""))"),"CPCE")</f>
        <v>CPCE</v>
      </c>
      <c r="K910" s="7" t="str">
        <f>IFERROR(__xludf.DUMMYFUNCTION("IF('Respuestas de formulario 1'!K910="""","""",TO_TEXT('Respuestas de formulario 1'!K910))"),"Si")</f>
        <v>Si</v>
      </c>
      <c r="L910" s="7" t="str">
        <f>IFERROR(__xludf.DUMMYFUNCTION("IF('Respuestas de formulario 1'!L910="""","""",TO_TEXT('Respuestas de formulario 1'!L910))"),"Pilates")</f>
        <v>Pilates</v>
      </c>
      <c r="M910" s="7" t="str">
        <f>IFERROR(__xludf.DUMMYFUNCTION("IF('Respuestas de formulario 1'!M910="""","""",TO_TEXT('Respuestas de formulario 1'!M910))"),"1 a 2 veces por semana")</f>
        <v>1 a 2 veces por semana</v>
      </c>
      <c r="N910" s="7">
        <f t="shared" si="1"/>
        <v>2025</v>
      </c>
      <c r="O910" s="7" t="str">
        <f t="shared" si="2"/>
        <v>marzo</v>
      </c>
      <c r="P910" s="7" t="s">
        <v>5987</v>
      </c>
    </row>
    <row r="911">
      <c r="A911" s="19">
        <f>'Respuestas de formulario 1'!A911</f>
        <v>45730.79394</v>
      </c>
      <c r="B911" s="7" t="str">
        <f>'Respuestas de formulario 1'!B911</f>
        <v>Cordoba</v>
      </c>
      <c r="C911" s="7" t="str">
        <f>'Respuestas de formulario 1'!C911</f>
        <v>Franco</v>
      </c>
      <c r="D911" s="7" t="str">
        <f>'Respuestas de formulario 1'!D911</f>
        <v>francocba999@gmail.com</v>
      </c>
      <c r="E911" s="20">
        <f>'Respuestas de formulario 1'!E911</f>
        <v>36462</v>
      </c>
      <c r="F911" s="7">
        <f>'Respuestas de formulario 1'!F911</f>
        <v>42217942</v>
      </c>
      <c r="G911" s="7" t="str">
        <f>IFERROR(__xludf.DUMMYFUNCTION("IF('Respuestas de formulario 1'!G911="""","""",IF(LEFT(REGEXREPLACE(TO_TEXT('Respuestas de formulario 1'!G911),""[^0-9]"",""""),2)=""54"",""+""&amp;REGEXREPLACE(TO_TEXT('Respuestas de formulario 1'!G911),""[^0-9]"",""""),""+54""&amp;REGEXREPLACE(TO_TEXT('Respuest"&amp;"as de formulario 1'!G911),""[^0-9]"","""")))"),"+543513145178")</f>
        <v>+543513145178</v>
      </c>
      <c r="H911" s="7">
        <f>'Respuestas de formulario 1'!S911</f>
        <v>2025</v>
      </c>
      <c r="I911" s="7" t="str">
        <f>IFERROR(__xludf.DUMMYFUNCTION("IF('Respuestas de formulario 1'!I911="""","""",TO_TEXT('Respuestas de formulario 1'!I911))"),"Obra social")</f>
        <v>Obra social</v>
      </c>
      <c r="J911" s="7" t="str">
        <f>IFERROR(__xludf.DUMMYFUNCTION("IF('Respuestas de formulario 1'!J911&lt;&gt;"""",UPPER(TRIM(TO_TEXT('Respuestas de formulario 1'!J911))),IF('Respuestas de formulario 1'!O911&lt;&gt;"""",UPPER(TRIM(TO_TEXT('Respuestas de formulario 1'!O911))),""""))"),"SANCOR")</f>
        <v>SANCOR</v>
      </c>
      <c r="K911" s="7" t="str">
        <f>IFERROR(__xludf.DUMMYFUNCTION("IF('Respuestas de formulario 1'!K911="""","""",TO_TEXT('Respuestas de formulario 1'!K911))"),"Si")</f>
        <v>Si</v>
      </c>
      <c r="L911" s="7" t="str">
        <f>IFERROR(__xludf.DUMMYFUNCTION("IF('Respuestas de formulario 1'!L911="""","""",TO_TEXT('Respuestas de formulario 1'!L911))"),"Fútbol")</f>
        <v>Fútbol</v>
      </c>
      <c r="M911" s="7" t="str">
        <f>IFERROR(__xludf.DUMMYFUNCTION("IF('Respuestas de formulario 1'!M911="""","""",TO_TEXT('Respuestas de formulario 1'!M911))"),"1 a 2 veces por semana")</f>
        <v>1 a 2 veces por semana</v>
      </c>
      <c r="N911" s="7">
        <f t="shared" si="1"/>
        <v>2025</v>
      </c>
      <c r="O911" s="7" t="str">
        <f t="shared" si="2"/>
        <v>marzo</v>
      </c>
      <c r="P911" s="7" t="s">
        <v>5989</v>
      </c>
    </row>
    <row r="912">
      <c r="A912" s="19">
        <f>'Respuestas de formulario 1'!A912</f>
        <v>45733.4832</v>
      </c>
      <c r="B912" s="7" t="str">
        <f>'Respuestas de formulario 1'!B912</f>
        <v>Avaca</v>
      </c>
      <c r="C912" s="7" t="str">
        <f>'Respuestas de formulario 1'!C912</f>
        <v>Nicolas</v>
      </c>
      <c r="D912" s="7" t="str">
        <f>'Respuestas de formulario 1'!D912</f>
        <v>karensantucho29@gmail.com</v>
      </c>
      <c r="E912" s="20">
        <f>'Respuestas de formulario 1'!E912</f>
        <v>42767</v>
      </c>
      <c r="F912" s="7">
        <f>'Respuestas de formulario 1'!F912</f>
        <v>56059212</v>
      </c>
      <c r="G912" s="7" t="str">
        <f>IFERROR(__xludf.DUMMYFUNCTION("IF('Respuestas de formulario 1'!G912="""","""",IF(LEFT(REGEXREPLACE(TO_TEXT('Respuestas de formulario 1'!G912),""[^0-9]"",""""),2)=""54"",""+""&amp;REGEXREPLACE(TO_TEXT('Respuestas de formulario 1'!G912),""[^0-9]"",""""),""+54""&amp;REGEXREPLACE(TO_TEXT('Respuest"&amp;"as de formulario 1'!G912),""[^0-9]"","""")))"),"+543512054990")</f>
        <v>+543512054990</v>
      </c>
      <c r="H912" s="7">
        <f>'Respuestas de formulario 1'!S912</f>
        <v>2025</v>
      </c>
      <c r="I912" s="7" t="str">
        <f>IFERROR(__xludf.DUMMYFUNCTION("IF('Respuestas de formulario 1'!I912="""","""",TO_TEXT('Respuestas de formulario 1'!I912))"),"Particular")</f>
        <v>Particular</v>
      </c>
      <c r="J912" s="7" t="str">
        <f>IFERROR(__xludf.DUMMYFUNCTION("IF('Respuestas de formulario 1'!J912&lt;&gt;"""",UPPER(TRIM(TO_TEXT('Respuestas de formulario 1'!J912))),IF('Respuestas de formulario 1'!O912&lt;&gt;"""",UPPER(TRIM(TO_TEXT('Respuestas de formulario 1'!O912))),""""))"),"")</f>
        <v/>
      </c>
      <c r="K912" s="7" t="str">
        <f>IFERROR(__xludf.DUMMYFUNCTION("IF('Respuestas de formulario 1'!K912="""","""",TO_TEXT('Respuestas de formulario 1'!K912))"),"No")</f>
        <v>No</v>
      </c>
      <c r="L912" s="7" t="str">
        <f>IFERROR(__xludf.DUMMYFUNCTION("IF('Respuestas de formulario 1'!L912="""","""",TO_TEXT('Respuestas de formulario 1'!L912))"),"")</f>
        <v/>
      </c>
      <c r="M912" s="7" t="str">
        <f>IFERROR(__xludf.DUMMYFUNCTION("IF('Respuestas de formulario 1'!M912="""","""",TO_TEXT('Respuestas de formulario 1'!M912))"),"")</f>
        <v/>
      </c>
      <c r="N912" s="7">
        <f t="shared" si="1"/>
        <v>2025</v>
      </c>
      <c r="O912" s="7" t="str">
        <f t="shared" si="2"/>
        <v>marzo</v>
      </c>
      <c r="P912" s="7" t="s">
        <v>5991</v>
      </c>
    </row>
    <row r="913">
      <c r="A913" s="19">
        <f>'Respuestas de formulario 1'!A913</f>
        <v>45733.84957</v>
      </c>
      <c r="B913" s="7" t="str">
        <f>'Respuestas de formulario 1'!B913</f>
        <v>Abalos</v>
      </c>
      <c r="C913" s="7" t="str">
        <f>'Respuestas de formulario 1'!C913</f>
        <v>Nahuel</v>
      </c>
      <c r="D913" s="7" t="str">
        <f>'Respuestas de formulario 1'!D913</f>
        <v>Nahuelandresabalos@hotmail.com</v>
      </c>
      <c r="E913" s="20">
        <f>'Respuestas de formulario 1'!E913</f>
        <v>35188</v>
      </c>
      <c r="F913" s="7">
        <f>'Respuestas de formulario 1'!F913</f>
        <v>39498590</v>
      </c>
      <c r="G913" s="7" t="str">
        <f>IFERROR(__xludf.DUMMYFUNCTION("IF('Respuestas de formulario 1'!G913="""","""",IF(LEFT(REGEXREPLACE(TO_TEXT('Respuestas de formulario 1'!G913),""[^0-9]"",""""),2)=""54"",""+""&amp;REGEXREPLACE(TO_TEXT('Respuestas de formulario 1'!G913),""[^0-9]"",""""),""+54""&amp;REGEXREPLACE(TO_TEXT('Respuest"&amp;"as de formulario 1'!G913),""[^0-9]"","""")))"),"+543513908643")</f>
        <v>+543513908643</v>
      </c>
      <c r="H913" s="7">
        <f>'Respuestas de formulario 1'!S913</f>
        <v>2025</v>
      </c>
      <c r="I913" s="7" t="str">
        <f>IFERROR(__xludf.DUMMYFUNCTION("IF('Respuestas de formulario 1'!I913="""","""",TO_TEXT('Respuestas de formulario 1'!I913))"),"Obra social")</f>
        <v>Obra social</v>
      </c>
      <c r="J913" s="7" t="str">
        <f>IFERROR(__xludf.DUMMYFUNCTION("IF('Respuestas de formulario 1'!J913&lt;&gt;"""",UPPER(TRIM(TO_TEXT('Respuestas de formulario 1'!J913))),IF('Respuestas de formulario 1'!O913&lt;&gt;"""",UPPER(TRIM(TO_TEXT('Respuestas de formulario 1'!O913))),""""))"),"APROSS")</f>
        <v>APROSS</v>
      </c>
      <c r="K913" s="7" t="str">
        <f>IFERROR(__xludf.DUMMYFUNCTION("IF('Respuestas de formulario 1'!K913="""","""",TO_TEXT('Respuestas de formulario 1'!K913))"),"Si")</f>
        <v>Si</v>
      </c>
      <c r="L913" s="7" t="str">
        <f>IFERROR(__xludf.DUMMYFUNCTION("IF('Respuestas de formulario 1'!L913="""","""",TO_TEXT('Respuestas de formulario 1'!L913))"),"Fútbol")</f>
        <v>Fútbol</v>
      </c>
      <c r="M913" s="7" t="str">
        <f>IFERROR(__xludf.DUMMYFUNCTION("IF('Respuestas de formulario 1'!M913="""","""",TO_TEXT('Respuestas de formulario 1'!M913))"),"1 a 2 veces por semana")</f>
        <v>1 a 2 veces por semana</v>
      </c>
      <c r="N913" s="7">
        <f t="shared" si="1"/>
        <v>2025</v>
      </c>
      <c r="O913" s="7" t="str">
        <f t="shared" si="2"/>
        <v>marzo</v>
      </c>
      <c r="P913" s="7" t="s">
        <v>5993</v>
      </c>
    </row>
    <row r="914">
      <c r="A914" s="19">
        <f>'Respuestas de formulario 1'!A914</f>
        <v>45734.47816</v>
      </c>
      <c r="B914" s="7" t="str">
        <f>'Respuestas de formulario 1'!B914</f>
        <v>Lutteral</v>
      </c>
      <c r="C914" s="7" t="str">
        <f>'Respuestas de formulario 1'!C914</f>
        <v>Christian </v>
      </c>
      <c r="D914" s="7" t="str">
        <f>'Respuestas de formulario 1'!D914</f>
        <v>c.lutteral@live.com</v>
      </c>
      <c r="E914" s="20">
        <f>'Respuestas de formulario 1'!E914</f>
        <v>45983</v>
      </c>
      <c r="F914" s="7">
        <f>'Respuestas de formulario 1'!F914</f>
        <v>34840949</v>
      </c>
      <c r="G914" s="7" t="str">
        <f>IFERROR(__xludf.DUMMYFUNCTION("IF('Respuestas de formulario 1'!G914="""","""",IF(LEFT(REGEXREPLACE(TO_TEXT('Respuestas de formulario 1'!G914),""[^0-9]"",""""),2)=""54"",""+""&amp;REGEXREPLACE(TO_TEXT('Respuestas de formulario 1'!G914),""[^0-9]"",""""),""+54""&amp;REGEXREPLACE(TO_TEXT('Respuest"&amp;"as de formulario 1'!G914),""[^0-9]"","""")))"),"+543518583214")</f>
        <v>+543518583214</v>
      </c>
      <c r="H914" s="7">
        <f>'Respuestas de formulario 1'!S914</f>
        <v>2025</v>
      </c>
      <c r="I914" s="7" t="str">
        <f>IFERROR(__xludf.DUMMYFUNCTION("IF('Respuestas de formulario 1'!I914="""","""",TO_TEXT('Respuestas de formulario 1'!I914))"),"Particular")</f>
        <v>Particular</v>
      </c>
      <c r="J914" s="7" t="str">
        <f>IFERROR(__xludf.DUMMYFUNCTION("IF('Respuestas de formulario 1'!J914&lt;&gt;"""",UPPER(TRIM(TO_TEXT('Respuestas de formulario 1'!J914))),IF('Respuestas de formulario 1'!O914&lt;&gt;"""",UPPER(TRIM(TO_TEXT('Respuestas de formulario 1'!O914))),""""))"),"")</f>
        <v/>
      </c>
      <c r="K914" s="7" t="str">
        <f>IFERROR(__xludf.DUMMYFUNCTION("IF('Respuestas de formulario 1'!K914="""","""",TO_TEXT('Respuestas de formulario 1'!K914))"),"Si")</f>
        <v>Si</v>
      </c>
      <c r="L914" s="7" t="str">
        <f>IFERROR(__xludf.DUMMYFUNCTION("IF('Respuestas de formulario 1'!L914="""","""",TO_TEXT('Respuestas de formulario 1'!L914))"),"")</f>
        <v/>
      </c>
      <c r="M914" s="7" t="str">
        <f>IFERROR(__xludf.DUMMYFUNCTION("IF('Respuestas de formulario 1'!M914="""","""",TO_TEXT('Respuestas de formulario 1'!M914))"),"3 a 5 veces por semana")</f>
        <v>3 a 5 veces por semana</v>
      </c>
      <c r="N914" s="7">
        <f t="shared" si="1"/>
        <v>2025</v>
      </c>
      <c r="O914" s="7" t="str">
        <f t="shared" si="2"/>
        <v>marzo</v>
      </c>
      <c r="P914" s="7" t="s">
        <v>5995</v>
      </c>
    </row>
    <row r="915">
      <c r="A915" s="19">
        <f>'Respuestas de formulario 1'!A915</f>
        <v>45734.78878</v>
      </c>
      <c r="B915" s="7" t="str">
        <f>'Respuestas de formulario 1'!B915</f>
        <v>Prados </v>
      </c>
      <c r="C915" s="7" t="str">
        <f>'Respuestas de formulario 1'!C915</f>
        <v>Yolanda </v>
      </c>
      <c r="D915" s="7" t="str">
        <f>'Respuestas de formulario 1'!D915</f>
        <v>yoly-p-prados@hotmail.com</v>
      </c>
      <c r="E915" s="20">
        <f>'Respuestas de formulario 1'!E915</f>
        <v>22077</v>
      </c>
      <c r="F915" s="7">
        <f>'Respuestas de formulario 1'!F915</f>
        <v>13984281</v>
      </c>
      <c r="G915" s="7" t="str">
        <f>IFERROR(__xludf.DUMMYFUNCTION("IF('Respuestas de formulario 1'!G915="""","""",IF(LEFT(REGEXREPLACE(TO_TEXT('Respuestas de formulario 1'!G915),""[^0-9]"",""""),2)=""54"",""+""&amp;REGEXREPLACE(TO_TEXT('Respuestas de formulario 1'!G915),""[^0-9]"",""""),""+54""&amp;REGEXREPLACE(TO_TEXT('Respuest"&amp;"as de formulario 1'!G915),""[^0-9]"","""")))"),"+543515597474")</f>
        <v>+543515597474</v>
      </c>
      <c r="H915" s="7">
        <f>'Respuestas de formulario 1'!S915</f>
        <v>2025</v>
      </c>
      <c r="I915" s="7" t="str">
        <f>IFERROR(__xludf.DUMMYFUNCTION("IF('Respuestas de formulario 1'!I915="""","""",TO_TEXT('Respuestas de formulario 1'!I915))"),"Particular")</f>
        <v>Particular</v>
      </c>
      <c r="J915" s="7" t="str">
        <f>IFERROR(__xludf.DUMMYFUNCTION("IF('Respuestas de formulario 1'!J915&lt;&gt;"""",UPPER(TRIM(TO_TEXT('Respuestas de formulario 1'!J915))),IF('Respuestas de formulario 1'!O915&lt;&gt;"""",UPPER(TRIM(TO_TEXT('Respuestas de formulario 1'!O915))),""""))"),"")</f>
        <v/>
      </c>
      <c r="K915" s="7" t="str">
        <f>IFERROR(__xludf.DUMMYFUNCTION("IF('Respuestas de formulario 1'!K915="""","""",TO_TEXT('Respuestas de formulario 1'!K915))"),"No")</f>
        <v>No</v>
      </c>
      <c r="L915" s="7" t="str">
        <f>IFERROR(__xludf.DUMMYFUNCTION("IF('Respuestas de formulario 1'!L915="""","""",TO_TEXT('Respuestas de formulario 1'!L915))"),"")</f>
        <v/>
      </c>
      <c r="M915" s="7" t="str">
        <f>IFERROR(__xludf.DUMMYFUNCTION("IF('Respuestas de formulario 1'!M915="""","""",TO_TEXT('Respuestas de formulario 1'!M915))"),"")</f>
        <v/>
      </c>
      <c r="N915" s="7">
        <f t="shared" si="1"/>
        <v>2025</v>
      </c>
      <c r="O915" s="7" t="str">
        <f t="shared" si="2"/>
        <v>marzo</v>
      </c>
      <c r="P915" s="7" t="s">
        <v>5997</v>
      </c>
    </row>
    <row r="916">
      <c r="A916" s="19">
        <f>'Respuestas de formulario 1'!A916</f>
        <v>45735.44763</v>
      </c>
      <c r="B916" s="7" t="str">
        <f>'Respuestas de formulario 1'!B916</f>
        <v>Montes </v>
      </c>
      <c r="C916" s="7" t="str">
        <f>'Respuestas de formulario 1'!C916</f>
        <v>Sergio</v>
      </c>
      <c r="D916" s="7" t="str">
        <f>'Respuestas de formulario 1'!D916</f>
        <v>orlandomontis33@gmail.com</v>
      </c>
      <c r="E916" s="20">
        <f>'Respuestas de formulario 1'!E916</f>
        <v>24163</v>
      </c>
      <c r="F916" s="7">
        <f>'Respuestas de formulario 1'!F916</f>
        <v>17628061</v>
      </c>
      <c r="G916" s="7" t="str">
        <f>IFERROR(__xludf.DUMMYFUNCTION("IF('Respuestas de formulario 1'!G916="""","""",IF(LEFT(REGEXREPLACE(TO_TEXT('Respuestas de formulario 1'!G916),""[^0-9]"",""""),2)=""54"",""+""&amp;REGEXREPLACE(TO_TEXT('Respuestas de formulario 1'!G916),""[^0-9]"",""""),""+54""&amp;REGEXREPLACE(TO_TEXT('Respuest"&amp;"as de formulario 1'!G916),""[^0-9]"","""")))"),"+543512299573")</f>
        <v>+543512299573</v>
      </c>
      <c r="H916" s="7">
        <f>'Respuestas de formulario 1'!S916</f>
        <v>2025</v>
      </c>
      <c r="I916" s="7" t="str">
        <f>IFERROR(__xludf.DUMMYFUNCTION("IF('Respuestas de formulario 1'!I916="""","""",TO_TEXT('Respuestas de formulario 1'!I916))"),"Obra social")</f>
        <v>Obra social</v>
      </c>
      <c r="J916" s="7" t="str">
        <f>IFERROR(__xludf.DUMMYFUNCTION("IF('Respuestas de formulario 1'!J916&lt;&gt;"""",UPPER(TRIM(TO_TEXT('Respuestas de formulario 1'!J916))),IF('Respuestas de formulario 1'!O916&lt;&gt;"""",UPPER(TRIM(TO_TEXT('Respuestas de formulario 1'!O916))),""""))"),"BOREAL")</f>
        <v>BOREAL</v>
      </c>
      <c r="K916" s="7" t="str">
        <f>IFERROR(__xludf.DUMMYFUNCTION("IF('Respuestas de formulario 1'!K916="""","""",TO_TEXT('Respuestas de formulario 1'!K916))"),"No")</f>
        <v>No</v>
      </c>
      <c r="L916" s="7" t="str">
        <f>IFERROR(__xludf.DUMMYFUNCTION("IF('Respuestas de formulario 1'!L916="""","""",TO_TEXT('Respuestas de formulario 1'!L916))"),"")</f>
        <v/>
      </c>
      <c r="M916" s="7" t="str">
        <f>IFERROR(__xludf.DUMMYFUNCTION("IF('Respuestas de formulario 1'!M916="""","""",TO_TEXT('Respuestas de formulario 1'!M916))"),"")</f>
        <v/>
      </c>
      <c r="N916" s="7">
        <f t="shared" si="1"/>
        <v>2025</v>
      </c>
      <c r="O916" s="7" t="str">
        <f t="shared" si="2"/>
        <v>marzo</v>
      </c>
      <c r="P916" s="7" t="s">
        <v>5999</v>
      </c>
    </row>
    <row r="917">
      <c r="A917" s="19">
        <f>'Respuestas de formulario 1'!A917</f>
        <v>45736.41248</v>
      </c>
      <c r="B917" s="7" t="str">
        <f>'Respuestas de formulario 1'!B917</f>
        <v>cordero</v>
      </c>
      <c r="C917" s="7" t="str">
        <f>'Respuestas de formulario 1'!C917</f>
        <v>veronica</v>
      </c>
      <c r="D917" s="7" t="str">
        <f>'Respuestas de formulario 1'!D917</f>
        <v>vmariacordero@gmail.com</v>
      </c>
      <c r="E917" s="20">
        <f>'Respuestas de formulario 1'!E917</f>
        <v>32131</v>
      </c>
      <c r="F917" s="7">
        <f>'Respuestas de formulario 1'!F917</f>
        <v>33310140</v>
      </c>
      <c r="G917" s="7" t="str">
        <f>IFERROR(__xludf.DUMMYFUNCTION("IF('Respuestas de formulario 1'!G917="""","""",IF(LEFT(REGEXREPLACE(TO_TEXT('Respuestas de formulario 1'!G917),""[^0-9]"",""""),2)=""54"",""+""&amp;REGEXREPLACE(TO_TEXT('Respuestas de formulario 1'!G917),""[^0-9]"",""""),""+54""&amp;REGEXREPLACE(TO_TEXT('Respuest"&amp;"as de formulario 1'!G917),""[^0-9]"","""")))"),"+543518046056")</f>
        <v>+543518046056</v>
      </c>
      <c r="H917" s="7">
        <f>'Respuestas de formulario 1'!S917</f>
        <v>2025</v>
      </c>
      <c r="I917" s="7" t="str">
        <f>IFERROR(__xludf.DUMMYFUNCTION("IF('Respuestas de formulario 1'!I917="""","""",TO_TEXT('Respuestas de formulario 1'!I917))"),"Obra social")</f>
        <v>Obra social</v>
      </c>
      <c r="J917" s="7" t="str">
        <f>IFERROR(__xludf.DUMMYFUNCTION("IF('Respuestas de formulario 1'!J917&lt;&gt;"""",UPPER(TRIM(TO_TEXT('Respuestas de formulario 1'!J917))),IF('Respuestas de formulario 1'!O917&lt;&gt;"""",UPPER(TRIM(TO_TEXT('Respuestas de formulario 1'!O917))),""""))"),"APROSS")</f>
        <v>APROSS</v>
      </c>
      <c r="K917" s="7" t="str">
        <f>IFERROR(__xludf.DUMMYFUNCTION("IF('Respuestas de formulario 1'!K917="""","""",TO_TEXT('Respuestas de formulario 1'!K917))"),"Si")</f>
        <v>Si</v>
      </c>
      <c r="L917" s="7" t="str">
        <f>IFERROR(__xludf.DUMMYFUNCTION("IF('Respuestas de formulario 1'!L917="""","""",TO_TEXT('Respuestas de formulario 1'!L917))"),"Fútbol")</f>
        <v>Fútbol</v>
      </c>
      <c r="M917" s="7" t="str">
        <f>IFERROR(__xludf.DUMMYFUNCTION("IF('Respuestas de formulario 1'!M917="""","""",TO_TEXT('Respuestas de formulario 1'!M917))"),"1 a 2 veces por semana")</f>
        <v>1 a 2 veces por semana</v>
      </c>
      <c r="N917" s="7">
        <f t="shared" si="1"/>
        <v>2025</v>
      </c>
      <c r="O917" s="7" t="str">
        <f t="shared" si="2"/>
        <v>marzo</v>
      </c>
      <c r="P917" s="7" t="s">
        <v>6001</v>
      </c>
    </row>
    <row r="918">
      <c r="A918" s="19">
        <f>'Respuestas de formulario 1'!A918</f>
        <v>45736.41646</v>
      </c>
      <c r="B918" s="7" t="str">
        <f>'Respuestas de formulario 1'!B918</f>
        <v>Bizzera</v>
      </c>
      <c r="C918" s="7" t="str">
        <f>'Respuestas de formulario 1'!C918</f>
        <v>Franco Ariel</v>
      </c>
      <c r="D918" s="7" t="str">
        <f>'Respuestas de formulario 1'!D918</f>
        <v>francobizzera@gmail.com</v>
      </c>
      <c r="E918" s="20">
        <f>'Respuestas de formulario 1'!E918</f>
        <v>34677</v>
      </c>
      <c r="F918" s="7">
        <f>'Respuestas de formulario 1'!F918</f>
        <v>38500592</v>
      </c>
      <c r="G918" s="7" t="str">
        <f>IFERROR(__xludf.DUMMYFUNCTION("IF('Respuestas de formulario 1'!G918="""","""",IF(LEFT(REGEXREPLACE(TO_TEXT('Respuestas de formulario 1'!G918),""[^0-9]"",""""),2)=""54"",""+""&amp;REGEXREPLACE(TO_TEXT('Respuestas de formulario 1'!G918),""[^0-9]"",""""),""+54""&amp;REGEXREPLACE(TO_TEXT('Respuest"&amp;"as de formulario 1'!G918),""[^0-9]"","""")))"),"+543512571777")</f>
        <v>+543512571777</v>
      </c>
      <c r="H918" s="7">
        <f>'Respuestas de formulario 1'!S918</f>
        <v>2025</v>
      </c>
      <c r="I918" s="7" t="str">
        <f>IFERROR(__xludf.DUMMYFUNCTION("IF('Respuestas de formulario 1'!I918="""","""",TO_TEXT('Respuestas de formulario 1'!I918))"),"Particular")</f>
        <v>Particular</v>
      </c>
      <c r="J918" s="7" t="str">
        <f>IFERROR(__xludf.DUMMYFUNCTION("IF('Respuestas de formulario 1'!J918&lt;&gt;"""",UPPER(TRIM(TO_TEXT('Respuestas de formulario 1'!J918))),IF('Respuestas de formulario 1'!O918&lt;&gt;"""",UPPER(TRIM(TO_TEXT('Respuestas de formulario 1'!O918))),""""))"),"")</f>
        <v/>
      </c>
      <c r="K918" s="7" t="str">
        <f>IFERROR(__xludf.DUMMYFUNCTION("IF('Respuestas de formulario 1'!K918="""","""",TO_TEXT('Respuestas de formulario 1'!K918))"),"Si")</f>
        <v>Si</v>
      </c>
      <c r="L918" s="7" t="str">
        <f>IFERROR(__xludf.DUMMYFUNCTION("IF('Respuestas de formulario 1'!L918="""","""",TO_TEXT('Respuestas de formulario 1'!L918))"),"Running")</f>
        <v>Running</v>
      </c>
      <c r="M918" s="7" t="str">
        <f>IFERROR(__xludf.DUMMYFUNCTION("IF('Respuestas de formulario 1'!M918="""","""",TO_TEXT('Respuestas de formulario 1'!M918))"),"3 a 5 veces por semana")</f>
        <v>3 a 5 veces por semana</v>
      </c>
      <c r="N918" s="7">
        <f t="shared" si="1"/>
        <v>2025</v>
      </c>
      <c r="O918" s="7" t="str">
        <f t="shared" si="2"/>
        <v>marzo</v>
      </c>
      <c r="P918" s="7" t="s">
        <v>6003</v>
      </c>
    </row>
    <row r="919">
      <c r="A919" s="19">
        <f>'Respuestas de formulario 1'!A919</f>
        <v>45736.44875</v>
      </c>
      <c r="B919" s="7" t="str">
        <f>'Respuestas de formulario 1'!B919</f>
        <v>STRICKLER </v>
      </c>
      <c r="C919" s="7" t="str">
        <f>'Respuestas de formulario 1'!C919</f>
        <v>Osvaldo Carlos </v>
      </c>
      <c r="D919" s="7" t="str">
        <f>'Respuestas de formulario 1'!D919</f>
        <v>Milanohelados@hotmail.com</v>
      </c>
      <c r="E919" s="20">
        <f>'Respuestas de formulario 1'!E919</f>
        <v>22701</v>
      </c>
      <c r="F919" s="7">
        <f>'Respuestas de formulario 1'!F919</f>
        <v>14894338</v>
      </c>
      <c r="G919" s="7" t="str">
        <f>IFERROR(__xludf.DUMMYFUNCTION("IF('Respuestas de formulario 1'!G919="""","""",IF(LEFT(REGEXREPLACE(TO_TEXT('Respuestas de formulario 1'!G919),""[^0-9]"",""""),2)=""54"",""+""&amp;REGEXREPLACE(TO_TEXT('Respuestas de formulario 1'!G919),""[^0-9]"",""""),""+54""&amp;REGEXREPLACE(TO_TEXT('Respuest"&amp;"as de formulario 1'!G919),""[^0-9]"","""")))"),"+543513344901")</f>
        <v>+543513344901</v>
      </c>
      <c r="H919" s="7">
        <f>'Respuestas de formulario 1'!S919</f>
        <v>2025</v>
      </c>
      <c r="I919" s="7" t="str">
        <f>IFERROR(__xludf.DUMMYFUNCTION("IF('Respuestas de formulario 1'!I919="""","""",TO_TEXT('Respuestas de formulario 1'!I919))"),"Obra social")</f>
        <v>Obra social</v>
      </c>
      <c r="J919" s="7" t="str">
        <f>IFERROR(__xludf.DUMMYFUNCTION("IF('Respuestas de formulario 1'!J919&lt;&gt;"""",UPPER(TRIM(TO_TEXT('Respuestas de formulario 1'!J919))),IF('Respuestas de formulario 1'!O919&lt;&gt;"""",UPPER(TRIM(TO_TEXT('Respuestas de formulario 1'!O919))),""""))"),"APM")</f>
        <v>APM</v>
      </c>
      <c r="K919" s="7" t="str">
        <f>IFERROR(__xludf.DUMMYFUNCTION("IF('Respuestas de formulario 1'!K919="""","""",TO_TEXT('Respuestas de formulario 1'!K919))"),"No")</f>
        <v>No</v>
      </c>
      <c r="L919" s="7" t="str">
        <f>IFERROR(__xludf.DUMMYFUNCTION("IF('Respuestas de formulario 1'!L919="""","""",TO_TEXT('Respuestas de formulario 1'!L919))"),"")</f>
        <v/>
      </c>
      <c r="M919" s="7" t="str">
        <f>IFERROR(__xludf.DUMMYFUNCTION("IF('Respuestas de formulario 1'!M919="""","""",TO_TEXT('Respuestas de formulario 1'!M919))"),"")</f>
        <v/>
      </c>
      <c r="N919" s="7">
        <f t="shared" si="1"/>
        <v>2025</v>
      </c>
      <c r="O919" s="7" t="str">
        <f t="shared" si="2"/>
        <v>marzo</v>
      </c>
      <c r="P919" s="7" t="s">
        <v>6005</v>
      </c>
    </row>
    <row r="920">
      <c r="A920" s="19">
        <f>'Respuestas de formulario 1'!A920</f>
        <v>45736.8292</v>
      </c>
      <c r="B920" s="7" t="str">
        <f>'Respuestas de formulario 1'!B920</f>
        <v>ABAD </v>
      </c>
      <c r="C920" s="7" t="str">
        <f>'Respuestas de formulario 1'!C920</f>
        <v>Dante</v>
      </c>
      <c r="D920" s="7" t="str">
        <f>'Respuestas de formulario 1'!D920</f>
        <v>abaddm@gmail.com</v>
      </c>
      <c r="E920" s="20">
        <f>'Respuestas de formulario 1'!E920</f>
        <v>22820</v>
      </c>
      <c r="F920" s="7">
        <f>'Respuestas de formulario 1'!F920</f>
        <v>14920445</v>
      </c>
      <c r="G920" s="7" t="str">
        <f>IFERROR(__xludf.DUMMYFUNCTION("IF('Respuestas de formulario 1'!G920="""","""",IF(LEFT(REGEXREPLACE(TO_TEXT('Respuestas de formulario 1'!G920),""[^0-9]"",""""),2)=""54"",""+""&amp;REGEXREPLACE(TO_TEXT('Respuestas de formulario 1'!G920),""[^0-9]"",""""),""+54""&amp;REGEXREPLACE(TO_TEXT('Respuest"&amp;"as de formulario 1'!G920),""[^0-9]"","""")))"),"+543516504616")</f>
        <v>+543516504616</v>
      </c>
      <c r="H920" s="7">
        <f>'Respuestas de formulario 1'!S920</f>
        <v>2025</v>
      </c>
      <c r="I920" s="7" t="str">
        <f>IFERROR(__xludf.DUMMYFUNCTION("IF('Respuestas de formulario 1'!I920="""","""",TO_TEXT('Respuestas de formulario 1'!I920))"),"Obra social")</f>
        <v>Obra social</v>
      </c>
      <c r="J920" s="7" t="str">
        <f>IFERROR(__xludf.DUMMYFUNCTION("IF('Respuestas de formulario 1'!J920&lt;&gt;"""",UPPER(TRIM(TO_TEXT('Respuestas de formulario 1'!J920))),IF('Respuestas de formulario 1'!O920&lt;&gt;"""",UPPER(TRIM(TO_TEXT('Respuestas de formulario 1'!O920))),""""))"),"APROSS")</f>
        <v>APROSS</v>
      </c>
      <c r="K920" s="7" t="str">
        <f>IFERROR(__xludf.DUMMYFUNCTION("IF('Respuestas de formulario 1'!K920="""","""",TO_TEXT('Respuestas de formulario 1'!K920))"),"Si")</f>
        <v>Si</v>
      </c>
      <c r="L920" s="7" t="str">
        <f>IFERROR(__xludf.DUMMYFUNCTION("IF('Respuestas de formulario 1'!L920="""","""",TO_TEXT('Respuestas de formulario 1'!L920))"),"motociclismo recreativo ")</f>
        <v>motociclismo recreativo </v>
      </c>
      <c r="M920" s="7" t="str">
        <f>IFERROR(__xludf.DUMMYFUNCTION("IF('Respuestas de formulario 1'!M920="""","""",TO_TEXT('Respuestas de formulario 1'!M920))"),"3 a 5 veces por semana")</f>
        <v>3 a 5 veces por semana</v>
      </c>
      <c r="N920" s="7">
        <f t="shared" si="1"/>
        <v>2025</v>
      </c>
      <c r="O920" s="7" t="str">
        <f t="shared" si="2"/>
        <v>marzo</v>
      </c>
      <c r="P920" s="7" t="s">
        <v>6007</v>
      </c>
    </row>
    <row r="921">
      <c r="A921" s="19">
        <f>'Respuestas de formulario 1'!A921</f>
        <v>45736.8405</v>
      </c>
      <c r="B921" s="7" t="str">
        <f>'Respuestas de formulario 1'!B921</f>
        <v>Ybarra</v>
      </c>
      <c r="C921" s="7" t="str">
        <f>'Respuestas de formulario 1'!C921</f>
        <v>Andrea viviana</v>
      </c>
      <c r="D921" s="7" t="str">
        <f>'Respuestas de formulario 1'!D921</f>
        <v>Sybarra26@gmail.com</v>
      </c>
      <c r="E921" s="20">
        <f>'Respuestas de formulario 1'!E921</f>
        <v>27048</v>
      </c>
      <c r="F921" s="7">
        <f>'Respuestas de formulario 1'!F921</f>
        <v>24147633</v>
      </c>
      <c r="G921" s="7" t="str">
        <f>IFERROR(__xludf.DUMMYFUNCTION("IF('Respuestas de formulario 1'!G921="""","""",IF(LEFT(REGEXREPLACE(TO_TEXT('Respuestas de formulario 1'!G921),""[^0-9]"",""""),2)=""54"",""+""&amp;REGEXREPLACE(TO_TEXT('Respuestas de formulario 1'!G921),""[^0-9]"",""""),""+54""&amp;REGEXREPLACE(TO_TEXT('Respuest"&amp;"as de formulario 1'!G921),""[^0-9]"","""")))"),"+543513066792")</f>
        <v>+543513066792</v>
      </c>
      <c r="H921" s="7">
        <f>'Respuestas de formulario 1'!S921</f>
        <v>2025</v>
      </c>
      <c r="I921" s="7" t="str">
        <f>IFERROR(__xludf.DUMMYFUNCTION("IF('Respuestas de formulario 1'!I921="""","""",TO_TEXT('Respuestas de formulario 1'!I921))"),"Particular")</f>
        <v>Particular</v>
      </c>
      <c r="J921" s="7" t="str">
        <f>IFERROR(__xludf.DUMMYFUNCTION("IF('Respuestas de formulario 1'!J921&lt;&gt;"""",UPPER(TRIM(TO_TEXT('Respuestas de formulario 1'!J921))),IF('Respuestas de formulario 1'!O921&lt;&gt;"""",UPPER(TRIM(TO_TEXT('Respuestas de formulario 1'!O921))),""""))"),"")</f>
        <v/>
      </c>
      <c r="K921" s="7" t="str">
        <f>IFERROR(__xludf.DUMMYFUNCTION("IF('Respuestas de formulario 1'!K921="""","""",TO_TEXT('Respuestas de formulario 1'!K921))"),"Si")</f>
        <v>Si</v>
      </c>
      <c r="L921" s="7" t="str">
        <f>IFERROR(__xludf.DUMMYFUNCTION("IF('Respuestas de formulario 1'!L921="""","""",TO_TEXT('Respuestas de formulario 1'!L921))"),"Gimnasio")</f>
        <v>Gimnasio</v>
      </c>
      <c r="M921" s="7" t="str">
        <f>IFERROR(__xludf.DUMMYFUNCTION("IF('Respuestas de formulario 1'!M921="""","""",TO_TEXT('Respuestas de formulario 1'!M921))"),"3 a 5 veces por semana")</f>
        <v>3 a 5 veces por semana</v>
      </c>
      <c r="N921" s="7">
        <f t="shared" si="1"/>
        <v>2025</v>
      </c>
      <c r="O921" s="7" t="str">
        <f t="shared" si="2"/>
        <v>marzo</v>
      </c>
      <c r="P921" s="7" t="s">
        <v>6009</v>
      </c>
    </row>
    <row r="922">
      <c r="A922" s="19">
        <f>'Respuestas de formulario 1'!A922</f>
        <v>45741.37234</v>
      </c>
      <c r="B922" s="7" t="str">
        <f>'Respuestas de formulario 1'!B922</f>
        <v>APESTEGUIA</v>
      </c>
      <c r="C922" s="7" t="str">
        <f>'Respuestas de formulario 1'!C922</f>
        <v>Rodrigo</v>
      </c>
      <c r="D922" s="7" t="str">
        <f>'Respuestas de formulario 1'!D922</f>
        <v/>
      </c>
      <c r="E922" s="20">
        <f>'Respuestas de formulario 1'!E922</f>
        <v>28164</v>
      </c>
      <c r="F922" s="7">
        <f>'Respuestas de formulario 1'!F922</f>
        <v>25710265</v>
      </c>
      <c r="G922" s="7" t="str">
        <f>IFERROR(__xludf.DUMMYFUNCTION("IF('Respuestas de formulario 1'!G922="""","""",IF(LEFT(REGEXREPLACE(TO_TEXT('Respuestas de formulario 1'!G922),""[^0-9]"",""""),2)=""54"",""+""&amp;REGEXREPLACE(TO_TEXT('Respuestas de formulario 1'!G922),""[^0-9]"",""""),""+54""&amp;REGEXREPLACE(TO_TEXT('Respuest"&amp;"as de formulario 1'!G922),""[^0-9]"","""")))"),"+543515942369")</f>
        <v>+543515942369</v>
      </c>
      <c r="H922" s="7">
        <f>'Respuestas de formulario 1'!S922</f>
        <v>2025</v>
      </c>
      <c r="I922" s="7" t="str">
        <f>IFERROR(__xludf.DUMMYFUNCTION("IF('Respuestas de formulario 1'!I922="""","""",TO_TEXT('Respuestas de formulario 1'!I922))"),"Particular")</f>
        <v>Particular</v>
      </c>
      <c r="J922" s="7" t="str">
        <f>IFERROR(__xludf.DUMMYFUNCTION("IF('Respuestas de formulario 1'!J922&lt;&gt;"""",UPPER(TRIM(TO_TEXT('Respuestas de formulario 1'!J922))),IF('Respuestas de formulario 1'!O922&lt;&gt;"""",UPPER(TRIM(TO_TEXT('Respuestas de formulario 1'!O922))),""""))"),"")</f>
        <v/>
      </c>
      <c r="K922" s="7" t="str">
        <f>IFERROR(__xludf.DUMMYFUNCTION("IF('Respuestas de formulario 1'!K922="""","""",TO_TEXT('Respuestas de formulario 1'!K922))"),"Si")</f>
        <v>Si</v>
      </c>
      <c r="L922" s="7" t="str">
        <f>IFERROR(__xludf.DUMMYFUNCTION("IF('Respuestas de formulario 1'!L922="""","""",TO_TEXT('Respuestas de formulario 1'!L922))"),"Fútbol")</f>
        <v>Fútbol</v>
      </c>
      <c r="M922" s="7" t="str">
        <f>IFERROR(__xludf.DUMMYFUNCTION("IF('Respuestas de formulario 1'!M922="""","""",TO_TEXT('Respuestas de formulario 1'!M922))"),"1 a 2 veces por semana")</f>
        <v>1 a 2 veces por semana</v>
      </c>
      <c r="N922" s="7">
        <f t="shared" si="1"/>
        <v>2025</v>
      </c>
      <c r="O922" s="7" t="str">
        <f t="shared" si="2"/>
        <v>marzo</v>
      </c>
      <c r="P922" s="7" t="s">
        <v>6011</v>
      </c>
    </row>
    <row r="923">
      <c r="A923" s="19">
        <f>'Respuestas de formulario 1'!A923</f>
        <v>45742.51978</v>
      </c>
      <c r="B923" s="7" t="str">
        <f>'Respuestas de formulario 1'!B923</f>
        <v>Quinteros</v>
      </c>
      <c r="C923" s="7" t="str">
        <f>'Respuestas de formulario 1'!C923</f>
        <v>Rodrigo Nicolás </v>
      </c>
      <c r="D923" s="7" t="str">
        <f>'Respuestas de formulario 1'!D923</f>
        <v>rodrigoquinteros170@gmail.com</v>
      </c>
      <c r="E923" s="20">
        <f>'Respuestas de formulario 1'!E923</f>
        <v>36578</v>
      </c>
      <c r="F923" s="7">
        <f>'Respuestas de formulario 1'!F923</f>
        <v>42387202</v>
      </c>
      <c r="G923" s="7" t="str">
        <f>IFERROR(__xludf.DUMMYFUNCTION("IF('Respuestas de formulario 1'!G923="""","""",IF(LEFT(REGEXREPLACE(TO_TEXT('Respuestas de formulario 1'!G923),""[^0-9]"",""""),2)=""54"",""+""&amp;REGEXREPLACE(TO_TEXT('Respuestas de formulario 1'!G923),""[^0-9]"",""""),""+54""&amp;REGEXREPLACE(TO_TEXT('Respuest"&amp;"as de formulario 1'!G923),""[^0-9]"","""")))"),"+543513506283")</f>
        <v>+543513506283</v>
      </c>
      <c r="H923" s="7">
        <f>'Respuestas de formulario 1'!S923</f>
        <v>2025</v>
      </c>
      <c r="I923" s="7" t="str">
        <f>IFERROR(__xludf.DUMMYFUNCTION("IF('Respuestas de formulario 1'!I923="""","""",TO_TEXT('Respuestas de formulario 1'!I923))"),"Particular")</f>
        <v>Particular</v>
      </c>
      <c r="J923" s="7" t="str">
        <f>IFERROR(__xludf.DUMMYFUNCTION("IF('Respuestas de formulario 1'!J923&lt;&gt;"""",UPPER(TRIM(TO_TEXT('Respuestas de formulario 1'!J923))),IF('Respuestas de formulario 1'!O923&lt;&gt;"""",UPPER(TRIM(TO_TEXT('Respuestas de formulario 1'!O923))),""""))"),"")</f>
        <v/>
      </c>
      <c r="K923" s="7" t="str">
        <f>IFERROR(__xludf.DUMMYFUNCTION("IF('Respuestas de formulario 1'!K923="""","""",TO_TEXT('Respuestas de formulario 1'!K923))"),"Si")</f>
        <v>Si</v>
      </c>
      <c r="L923" s="7" t="str">
        <f>IFERROR(__xludf.DUMMYFUNCTION("IF('Respuestas de formulario 1'!L923="""","""",TO_TEXT('Respuestas de formulario 1'!L923))"),"Fútbol")</f>
        <v>Fútbol</v>
      </c>
      <c r="M923" s="7" t="str">
        <f>IFERROR(__xludf.DUMMYFUNCTION("IF('Respuestas de formulario 1'!M923="""","""",TO_TEXT('Respuestas de formulario 1'!M923))"),"1 a 2 veces por semana")</f>
        <v>1 a 2 veces por semana</v>
      </c>
      <c r="N923" s="7">
        <f t="shared" si="1"/>
        <v>2025</v>
      </c>
      <c r="O923" s="7" t="str">
        <f t="shared" si="2"/>
        <v>marzo</v>
      </c>
      <c r="P923" s="7" t="s">
        <v>6013</v>
      </c>
    </row>
    <row r="924">
      <c r="A924" s="19">
        <f>'Respuestas de formulario 1'!A924</f>
        <v>45742.79407</v>
      </c>
      <c r="B924" s="7" t="str">
        <f>'Respuestas de formulario 1'!B924</f>
        <v>Giaccaglia</v>
      </c>
      <c r="C924" s="7" t="str">
        <f>'Respuestas de formulario 1'!C924</f>
        <v>Sandra</v>
      </c>
      <c r="D924" s="7" t="str">
        <f>'Respuestas de formulario 1'!D924</f>
        <v>S_giaccaglia@hotmail.com</v>
      </c>
      <c r="E924" s="20">
        <f>'Respuestas de formulario 1'!E924</f>
        <v>24243</v>
      </c>
      <c r="F924" s="7">
        <f>'Respuestas de formulario 1'!F924</f>
        <v>17629490</v>
      </c>
      <c r="G924" s="7" t="str">
        <f>IFERROR(__xludf.DUMMYFUNCTION("IF('Respuestas de formulario 1'!G924="""","""",IF(LEFT(REGEXREPLACE(TO_TEXT('Respuestas de formulario 1'!G924),""[^0-9]"",""""),2)=""54"",""+""&amp;REGEXREPLACE(TO_TEXT('Respuestas de formulario 1'!G924),""[^0-9]"",""""),""+54""&amp;REGEXREPLACE(TO_TEXT('Respuest"&amp;"as de formulario 1'!G924),""[^0-9]"","""")))"),"+543515149476")</f>
        <v>+543515149476</v>
      </c>
      <c r="H924" s="7">
        <f>'Respuestas de formulario 1'!S924</f>
        <v>2025</v>
      </c>
      <c r="I924" s="7" t="str">
        <f>IFERROR(__xludf.DUMMYFUNCTION("IF('Respuestas de formulario 1'!I924="""","""",TO_TEXT('Respuestas de formulario 1'!I924))"),"Obra social")</f>
        <v>Obra social</v>
      </c>
      <c r="J924" s="7" t="str">
        <f>IFERROR(__xludf.DUMMYFUNCTION("IF('Respuestas de formulario 1'!J924&lt;&gt;"""",UPPER(TRIM(TO_TEXT('Respuestas de formulario 1'!J924))),IF('Respuestas de formulario 1'!O924&lt;&gt;"""",UPPER(TRIM(TO_TEXT('Respuestas de formulario 1'!O924))),""""))"),"SANCOR")</f>
        <v>SANCOR</v>
      </c>
      <c r="K924" s="7" t="str">
        <f>IFERROR(__xludf.DUMMYFUNCTION("IF('Respuestas de formulario 1'!K924="""","""",TO_TEXT('Respuestas de formulario 1'!K924))"),"Si")</f>
        <v>Si</v>
      </c>
      <c r="L924" s="7" t="str">
        <f>IFERROR(__xludf.DUMMYFUNCTION("IF('Respuestas de formulario 1'!L924="""","""",TO_TEXT('Respuestas de formulario 1'!L924))"),"Gimnasio")</f>
        <v>Gimnasio</v>
      </c>
      <c r="M924" s="7" t="str">
        <f>IFERROR(__xludf.DUMMYFUNCTION("IF('Respuestas de formulario 1'!M924="""","""",TO_TEXT('Respuestas de formulario 1'!M924))"),"3 a 5 veces por semana")</f>
        <v>3 a 5 veces por semana</v>
      </c>
      <c r="N924" s="7">
        <f t="shared" si="1"/>
        <v>2025</v>
      </c>
      <c r="O924" s="7" t="str">
        <f t="shared" si="2"/>
        <v>marzo</v>
      </c>
      <c r="P924" s="7" t="s">
        <v>6015</v>
      </c>
    </row>
    <row r="925">
      <c r="A925" s="19">
        <f>'Respuestas de formulario 1'!A925</f>
        <v>45742.89236</v>
      </c>
      <c r="B925" s="7" t="str">
        <f>'Respuestas de formulario 1'!B925</f>
        <v>Granada</v>
      </c>
      <c r="C925" s="7" t="str">
        <f>'Respuestas de formulario 1'!C925</f>
        <v>Roberta</v>
      </c>
      <c r="D925" s="7" t="str">
        <f>'Respuestas de formulario 1'!D925</f>
        <v>yaninamonier@gmail.com</v>
      </c>
      <c r="E925" s="20">
        <f>'Respuestas de formulario 1'!E925</f>
        <v>16190</v>
      </c>
      <c r="F925" s="7">
        <f>'Respuestas de formulario 1'!F925</f>
        <v>4500089</v>
      </c>
      <c r="G925" s="7" t="str">
        <f>IFERROR(__xludf.DUMMYFUNCTION("IF('Respuestas de formulario 1'!G925="""","""",IF(LEFT(REGEXREPLACE(TO_TEXT('Respuestas de formulario 1'!G925),""[^0-9]"",""""),2)=""54"",""+""&amp;REGEXREPLACE(TO_TEXT('Respuestas de formulario 1'!G925),""[^0-9]"",""""),""+54""&amp;REGEXREPLACE(TO_TEXT('Respuest"&amp;"as de formulario 1'!G925),""[^0-9]"","""")))"),"+543515476871")</f>
        <v>+543515476871</v>
      </c>
      <c r="H925" s="7">
        <f>'Respuestas de formulario 1'!S925</f>
        <v>2025</v>
      </c>
      <c r="I925" s="7" t="str">
        <f>IFERROR(__xludf.DUMMYFUNCTION("IF('Respuestas de formulario 1'!I925="""","""",TO_TEXT('Respuestas de formulario 1'!I925))"),"Obra social")</f>
        <v>Obra social</v>
      </c>
      <c r="J925" s="7" t="str">
        <f>IFERROR(__xludf.DUMMYFUNCTION("IF('Respuestas de formulario 1'!J925&lt;&gt;"""",UPPER(TRIM(TO_TEXT('Respuestas de formulario 1'!J925))),IF('Respuestas de formulario 1'!O925&lt;&gt;"""",UPPER(TRIM(TO_TEXT('Respuestas de formulario 1'!O925))),""""))"),"APROSS")</f>
        <v>APROSS</v>
      </c>
      <c r="K925" s="7" t="str">
        <f>IFERROR(__xludf.DUMMYFUNCTION("IF('Respuestas de formulario 1'!K925="""","""",TO_TEXT('Respuestas de formulario 1'!K925))"),"No")</f>
        <v>No</v>
      </c>
      <c r="L925" s="7" t="str">
        <f>IFERROR(__xludf.DUMMYFUNCTION("IF('Respuestas de formulario 1'!L925="""","""",TO_TEXT('Respuestas de formulario 1'!L925))"),"")</f>
        <v/>
      </c>
      <c r="M925" s="7" t="str">
        <f>IFERROR(__xludf.DUMMYFUNCTION("IF('Respuestas de formulario 1'!M925="""","""",TO_TEXT('Respuestas de formulario 1'!M925))"),"")</f>
        <v/>
      </c>
      <c r="N925" s="7">
        <f t="shared" si="1"/>
        <v>2025</v>
      </c>
      <c r="O925" s="7" t="str">
        <f t="shared" si="2"/>
        <v>marzo</v>
      </c>
      <c r="P925" s="7" t="s">
        <v>6017</v>
      </c>
    </row>
    <row r="926">
      <c r="A926" s="19">
        <f>'Respuestas de formulario 1'!A926</f>
        <v>45743.64769</v>
      </c>
      <c r="B926" s="7" t="str">
        <f>'Respuestas de formulario 1'!B926</f>
        <v>GONZALES</v>
      </c>
      <c r="C926" s="7" t="str">
        <f>'Respuestas de formulario 1'!C926</f>
        <v>Francisco </v>
      </c>
      <c r="D926" s="7" t="str">
        <f>'Respuestas de formulario 1'!D926</f>
        <v>fotocabinascrash@gmail.com</v>
      </c>
      <c r="E926" s="20">
        <f>'Respuestas de formulario 1'!E926</f>
        <v>33543</v>
      </c>
      <c r="F926" s="7">
        <f>'Respuestas de formulario 1'!F926</f>
        <v>36141852</v>
      </c>
      <c r="G926" s="7" t="str">
        <f>IFERROR(__xludf.DUMMYFUNCTION("IF('Respuestas de formulario 1'!G926="""","""",IF(LEFT(REGEXREPLACE(TO_TEXT('Respuestas de formulario 1'!G926),""[^0-9]"",""""),2)=""54"",""+""&amp;REGEXREPLACE(TO_TEXT('Respuestas de formulario 1'!G926),""[^0-9]"",""""),""+54""&amp;REGEXREPLACE(TO_TEXT('Respuest"&amp;"as de formulario 1'!G926),""[^0-9]"","""")))"),"+543513698015")</f>
        <v>+543513698015</v>
      </c>
      <c r="H926" s="7">
        <f>'Respuestas de formulario 1'!S926</f>
        <v>2025</v>
      </c>
      <c r="I926" s="7" t="str">
        <f>IFERROR(__xludf.DUMMYFUNCTION("IF('Respuestas de formulario 1'!I926="""","""",TO_TEXT('Respuestas de formulario 1'!I926))"),"Obra social")</f>
        <v>Obra social</v>
      </c>
      <c r="J926" s="7" t="str">
        <f>IFERROR(__xludf.DUMMYFUNCTION("IF('Respuestas de formulario 1'!J926&lt;&gt;"""",UPPER(TRIM(TO_TEXT('Respuestas de formulario 1'!J926))),IF('Respuestas de formulario 1'!O926&lt;&gt;"""",UPPER(TRIM(TO_TEXT('Respuestas de formulario 1'!O926))),""""))"),"DASPU")</f>
        <v>DASPU</v>
      </c>
      <c r="K926" s="7" t="str">
        <f>IFERROR(__xludf.DUMMYFUNCTION("IF('Respuestas de formulario 1'!K926="""","""",TO_TEXT('Respuestas de formulario 1'!K926))"),"Si")</f>
        <v>Si</v>
      </c>
      <c r="L926" s="7" t="str">
        <f>IFERROR(__xludf.DUMMYFUNCTION("IF('Respuestas de formulario 1'!L926="""","""",TO_TEXT('Respuestas de formulario 1'!L926))"),"Gimnasio")</f>
        <v>Gimnasio</v>
      </c>
      <c r="M926" s="7" t="str">
        <f>IFERROR(__xludf.DUMMYFUNCTION("IF('Respuestas de formulario 1'!M926="""","""",TO_TEXT('Respuestas de formulario 1'!M926))"),"3 a 5 veces por semana")</f>
        <v>3 a 5 veces por semana</v>
      </c>
      <c r="N926" s="7">
        <f t="shared" si="1"/>
        <v>2025</v>
      </c>
      <c r="O926" s="7" t="str">
        <f t="shared" si="2"/>
        <v>marzo</v>
      </c>
      <c r="P926" s="7" t="s">
        <v>6019</v>
      </c>
    </row>
    <row r="927">
      <c r="A927" s="19">
        <f>'Respuestas de formulario 1'!A927</f>
        <v>45743.65181</v>
      </c>
      <c r="B927" s="7" t="str">
        <f>'Respuestas de formulario 1'!B927</f>
        <v>Gonzalez</v>
      </c>
      <c r="C927" s="7" t="str">
        <f>'Respuestas de formulario 1'!C927</f>
        <v>Margarita Irene</v>
      </c>
      <c r="D927" s="7" t="str">
        <f>'Respuestas de formulario 1'!D927</f>
        <v/>
      </c>
      <c r="E927" s="20">
        <f>'Respuestas de formulario 1'!E927</f>
        <v>21933</v>
      </c>
      <c r="F927" s="7">
        <f>'Respuestas de formulario 1'!F927</f>
        <v>13961377</v>
      </c>
      <c r="G927" s="7" t="str">
        <f>IFERROR(__xludf.DUMMYFUNCTION("IF('Respuestas de formulario 1'!G927="""","""",IF(LEFT(REGEXREPLACE(TO_TEXT('Respuestas de formulario 1'!G927),""[^0-9]"",""""),2)=""54"",""+""&amp;REGEXREPLACE(TO_TEXT('Respuestas de formulario 1'!G927),""[^0-9]"",""""),""+54""&amp;REGEXREPLACE(TO_TEXT('Respuest"&amp;"as de formulario 1'!G927),""[^0-9]"","""")))"),"+543513792843")</f>
        <v>+543513792843</v>
      </c>
      <c r="H927" s="7">
        <f>'Respuestas de formulario 1'!S927</f>
        <v>2025</v>
      </c>
      <c r="I927" s="7" t="str">
        <f>IFERROR(__xludf.DUMMYFUNCTION("IF('Respuestas de formulario 1'!I927="""","""",TO_TEXT('Respuestas de formulario 1'!I927))"),"Obra social")</f>
        <v>Obra social</v>
      </c>
      <c r="J927" s="7" t="str">
        <f>IFERROR(__xludf.DUMMYFUNCTION("IF('Respuestas de formulario 1'!J927&lt;&gt;"""",UPPER(TRIM(TO_TEXT('Respuestas de formulario 1'!J927))),IF('Respuestas de formulario 1'!O927&lt;&gt;"""",UPPER(TRIM(TO_TEXT('Respuestas de formulario 1'!O927))),""""))"),"APROSS")</f>
        <v>APROSS</v>
      </c>
      <c r="K927" s="7" t="str">
        <f>IFERROR(__xludf.DUMMYFUNCTION("IF('Respuestas de formulario 1'!K927="""","""",TO_TEXT('Respuestas de formulario 1'!K927))"),"No")</f>
        <v>No</v>
      </c>
      <c r="L927" s="7" t="str">
        <f>IFERROR(__xludf.DUMMYFUNCTION("IF('Respuestas de formulario 1'!L927="""","""",TO_TEXT('Respuestas de formulario 1'!L927))"),"")</f>
        <v/>
      </c>
      <c r="M927" s="7" t="str">
        <f>IFERROR(__xludf.DUMMYFUNCTION("IF('Respuestas de formulario 1'!M927="""","""",TO_TEXT('Respuestas de formulario 1'!M927))"),"")</f>
        <v/>
      </c>
      <c r="N927" s="7">
        <f t="shared" si="1"/>
        <v>2025</v>
      </c>
      <c r="O927" s="7" t="str">
        <f t="shared" si="2"/>
        <v>marzo</v>
      </c>
      <c r="P927" s="7" t="s">
        <v>6020</v>
      </c>
    </row>
    <row r="928">
      <c r="A928" s="19">
        <f>'Respuestas de formulario 1'!A928</f>
        <v>45744.48864</v>
      </c>
      <c r="B928" s="7" t="str">
        <f>'Respuestas de formulario 1'!B928</f>
        <v>GONZALES</v>
      </c>
      <c r="C928" s="7" t="str">
        <f>'Respuestas de formulario 1'!C928</f>
        <v>Margarita Irene</v>
      </c>
      <c r="D928" s="7" t="str">
        <f>'Respuestas de formulario 1'!D928</f>
        <v>maru-irene10@hotmail.com</v>
      </c>
      <c r="E928" s="20">
        <f>'Respuestas de formulario 1'!E928</f>
        <v>21933</v>
      </c>
      <c r="F928" s="7">
        <f>'Respuestas de formulario 1'!F928</f>
        <v>13961377</v>
      </c>
      <c r="G928" s="7" t="str">
        <f>IFERROR(__xludf.DUMMYFUNCTION("IF('Respuestas de formulario 1'!G928="""","""",IF(LEFT(REGEXREPLACE(TO_TEXT('Respuestas de formulario 1'!G928),""[^0-9]"",""""),2)=""54"",""+""&amp;REGEXREPLACE(TO_TEXT('Respuestas de formulario 1'!G928),""[^0-9]"",""""),""+54""&amp;REGEXREPLACE(TO_TEXT('Respuest"&amp;"as de formulario 1'!G928),""[^0-9]"","""")))"),"+543513792843")</f>
        <v>+543513792843</v>
      </c>
      <c r="H928" s="7">
        <f>'Respuestas de formulario 1'!S928</f>
        <v>2025</v>
      </c>
      <c r="I928" s="7" t="str">
        <f>IFERROR(__xludf.DUMMYFUNCTION("IF('Respuestas de formulario 1'!I928="""","""",TO_TEXT('Respuestas de formulario 1'!I928))"),"Obra social")</f>
        <v>Obra social</v>
      </c>
      <c r="J928" s="7" t="str">
        <f>IFERROR(__xludf.DUMMYFUNCTION("IF('Respuestas de formulario 1'!J928&lt;&gt;"""",UPPER(TRIM(TO_TEXT('Respuestas de formulario 1'!J928))),IF('Respuestas de formulario 1'!O928&lt;&gt;"""",UPPER(TRIM(TO_TEXT('Respuestas de formulario 1'!O928))),""""))"),"APROSS")</f>
        <v>APROSS</v>
      </c>
      <c r="K928" s="7" t="str">
        <f>IFERROR(__xludf.DUMMYFUNCTION("IF('Respuestas de formulario 1'!K928="""","""",TO_TEXT('Respuestas de formulario 1'!K928))"),"No")</f>
        <v>No</v>
      </c>
      <c r="L928" s="7" t="str">
        <f>IFERROR(__xludf.DUMMYFUNCTION("IF('Respuestas de formulario 1'!L928="""","""",TO_TEXT('Respuestas de formulario 1'!L928))"),"")</f>
        <v/>
      </c>
      <c r="M928" s="7" t="str">
        <f>IFERROR(__xludf.DUMMYFUNCTION("IF('Respuestas de formulario 1'!M928="""","""",TO_TEXT('Respuestas de formulario 1'!M928))"),"")</f>
        <v/>
      </c>
      <c r="N928" s="7">
        <f t="shared" si="1"/>
        <v>2025</v>
      </c>
      <c r="O928" s="7" t="str">
        <f t="shared" si="2"/>
        <v>marzo</v>
      </c>
      <c r="P928" s="7" t="s">
        <v>6022</v>
      </c>
    </row>
    <row r="929">
      <c r="A929" s="19">
        <f>'Respuestas de formulario 1'!A929</f>
        <v>45744.73926</v>
      </c>
      <c r="B929" s="7" t="str">
        <f>'Respuestas de formulario 1'!B929</f>
        <v>Horovitz </v>
      </c>
      <c r="C929" s="7" t="str">
        <f>'Respuestas de formulario 1'!C929</f>
        <v>Benjamin</v>
      </c>
      <c r="D929" s="7" t="str">
        <f>'Respuestas de formulario 1'!D929</f>
        <v>benjahorovitz2@gmail.com</v>
      </c>
      <c r="E929" s="20">
        <f>'Respuestas de formulario 1'!E929</f>
        <v>37713</v>
      </c>
      <c r="F929" s="7">
        <f>'Respuestas de formulario 1'!F929</f>
        <v>44739634</v>
      </c>
      <c r="G929" s="7" t="str">
        <f>IFERROR(__xludf.DUMMYFUNCTION("IF('Respuestas de formulario 1'!G929="""","""",IF(LEFT(REGEXREPLACE(TO_TEXT('Respuestas de formulario 1'!G929),""[^0-9]"",""""),2)=""54"",""+""&amp;REGEXREPLACE(TO_TEXT('Respuestas de formulario 1'!G929),""[^0-9]"",""""),""+54""&amp;REGEXREPLACE(TO_TEXT('Respuest"&amp;"as de formulario 1'!G929),""[^0-9]"","""")))"),"+543517594080")</f>
        <v>+543517594080</v>
      </c>
      <c r="H929" s="7">
        <f>'Respuestas de formulario 1'!S929</f>
        <v>2025</v>
      </c>
      <c r="I929" s="7" t="str">
        <f>IFERROR(__xludf.DUMMYFUNCTION("IF('Respuestas de formulario 1'!I929="""","""",TO_TEXT('Respuestas de formulario 1'!I929))"),"Particular")</f>
        <v>Particular</v>
      </c>
      <c r="J929" s="7" t="str">
        <f>IFERROR(__xludf.DUMMYFUNCTION("IF('Respuestas de formulario 1'!J929&lt;&gt;"""",UPPER(TRIM(TO_TEXT('Respuestas de formulario 1'!J929))),IF('Respuestas de formulario 1'!O929&lt;&gt;"""",UPPER(TRIM(TO_TEXT('Respuestas de formulario 1'!O929))),""""))"),"")</f>
        <v/>
      </c>
      <c r="K929" s="7" t="str">
        <f>IFERROR(__xludf.DUMMYFUNCTION("IF('Respuestas de formulario 1'!K929="""","""",TO_TEXT('Respuestas de formulario 1'!K929))"),"Si")</f>
        <v>Si</v>
      </c>
      <c r="L929" s="7" t="str">
        <f>IFERROR(__xludf.DUMMYFUNCTION("IF('Respuestas de formulario 1'!L929="""","""",TO_TEXT('Respuestas de formulario 1'!L929))"),"Básquet")</f>
        <v>Básquet</v>
      </c>
      <c r="M929" s="7" t="str">
        <f>IFERROR(__xludf.DUMMYFUNCTION("IF('Respuestas de formulario 1'!M929="""","""",TO_TEXT('Respuestas de formulario 1'!M929))"),"3 a 5 veces por semana")</f>
        <v>3 a 5 veces por semana</v>
      </c>
      <c r="N929" s="7">
        <f t="shared" si="1"/>
        <v>2025</v>
      </c>
      <c r="O929" s="7" t="str">
        <f t="shared" si="2"/>
        <v>marzo</v>
      </c>
      <c r="P929" s="7" t="s">
        <v>6023</v>
      </c>
    </row>
    <row r="930">
      <c r="A930" s="19">
        <f>'Respuestas de formulario 1'!A930</f>
        <v>45747.40069</v>
      </c>
      <c r="B930" s="7" t="str">
        <f>'Respuestas de formulario 1'!B930</f>
        <v>Oliva Ceballos </v>
      </c>
      <c r="C930" s="7" t="str">
        <f>'Respuestas de formulario 1'!C930</f>
        <v>Giselle Elizabet </v>
      </c>
      <c r="D930" s="7" t="str">
        <f>'Respuestas de formulario 1'!D930</f>
        <v>tiiti.ac@gmail.com</v>
      </c>
      <c r="E930" s="20">
        <f>'Respuestas de formulario 1'!E930</f>
        <v>34670</v>
      </c>
      <c r="F930" s="7">
        <f>'Respuestas de formulario 1'!F930</f>
        <v>38349628</v>
      </c>
      <c r="G930" s="7" t="str">
        <f>IFERROR(__xludf.DUMMYFUNCTION("IF('Respuestas de formulario 1'!G930="""","""",IF(LEFT(REGEXREPLACE(TO_TEXT('Respuestas de formulario 1'!G930),""[^0-9]"",""""),2)=""54"",""+""&amp;REGEXREPLACE(TO_TEXT('Respuestas de formulario 1'!G930),""[^0-9]"",""""),""+54""&amp;REGEXREPLACE(TO_TEXT('Respuest"&amp;"as de formulario 1'!G930),""[^0-9]"","""")))"),"+543512383506")</f>
        <v>+543512383506</v>
      </c>
      <c r="H930" s="7">
        <f>'Respuestas de formulario 1'!S930</f>
        <v>2025</v>
      </c>
      <c r="I930" s="7" t="str">
        <f>IFERROR(__xludf.DUMMYFUNCTION("IF('Respuestas de formulario 1'!I930="""","""",TO_TEXT('Respuestas de formulario 1'!I930))"),"Particular")</f>
        <v>Particular</v>
      </c>
      <c r="J930" s="7" t="str">
        <f>IFERROR(__xludf.DUMMYFUNCTION("IF('Respuestas de formulario 1'!J930&lt;&gt;"""",UPPER(TRIM(TO_TEXT('Respuestas de formulario 1'!J930))),IF('Respuestas de formulario 1'!O930&lt;&gt;"""",UPPER(TRIM(TO_TEXT('Respuestas de formulario 1'!O930))),""""))"),"")</f>
        <v/>
      </c>
      <c r="K930" s="7" t="str">
        <f>IFERROR(__xludf.DUMMYFUNCTION("IF('Respuestas de formulario 1'!K930="""","""",TO_TEXT('Respuestas de formulario 1'!K930))"),"Si")</f>
        <v>Si</v>
      </c>
      <c r="L930" s="7" t="str">
        <f>IFERROR(__xludf.DUMMYFUNCTION("IF('Respuestas de formulario 1'!L930="""","""",TO_TEXT('Respuestas de formulario 1'!L930))"),"Acroyoga")</f>
        <v>Acroyoga</v>
      </c>
      <c r="M930" s="7" t="str">
        <f>IFERROR(__xludf.DUMMYFUNCTION("IF('Respuestas de formulario 1'!M930="""","""",TO_TEXT('Respuestas de formulario 1'!M930))"),"1 a 2 veces por semana")</f>
        <v>1 a 2 veces por semana</v>
      </c>
      <c r="N930" s="7">
        <f t="shared" si="1"/>
        <v>2025</v>
      </c>
      <c r="O930" s="7" t="str">
        <f t="shared" si="2"/>
        <v>marzo</v>
      </c>
      <c r="P930" s="7" t="s">
        <v>6025</v>
      </c>
    </row>
    <row r="931">
      <c r="A931" s="19">
        <f>'Respuestas de formulario 1'!A931</f>
        <v>45747.43004</v>
      </c>
      <c r="B931" s="7" t="str">
        <f>'Respuestas de formulario 1'!B931</f>
        <v>Yorio</v>
      </c>
      <c r="C931" s="7" t="str">
        <f>'Respuestas de formulario 1'!C931</f>
        <v>Carolina</v>
      </c>
      <c r="D931" s="7" t="str">
        <f>'Respuestas de formulario 1'!D931</f>
        <v>caroyorio92@gmail.com</v>
      </c>
      <c r="E931" s="20">
        <f>'Respuestas de formulario 1'!E931</f>
        <v>33892</v>
      </c>
      <c r="F931" s="7">
        <f>'Respuestas de formulario 1'!F931</f>
        <v>36428952</v>
      </c>
      <c r="G931" s="7" t="str">
        <f>IFERROR(__xludf.DUMMYFUNCTION("IF('Respuestas de formulario 1'!G931="""","""",IF(LEFT(REGEXREPLACE(TO_TEXT('Respuestas de formulario 1'!G931),""[^0-9]"",""""),2)=""54"",""+""&amp;REGEXREPLACE(TO_TEXT('Respuestas de formulario 1'!G931),""[^0-9]"",""""),""+54""&amp;REGEXREPLACE(TO_TEXT('Respuest"&amp;"as de formulario 1'!G931),""[^0-9]"","""")))"),"+543515932712")</f>
        <v>+543515932712</v>
      </c>
      <c r="H931" s="7">
        <f>'Respuestas de formulario 1'!S931</f>
        <v>2025</v>
      </c>
      <c r="I931" s="7" t="str">
        <f>IFERROR(__xludf.DUMMYFUNCTION("IF('Respuestas de formulario 1'!I931="""","""",TO_TEXT('Respuestas de formulario 1'!I931))"),"Obra social")</f>
        <v>Obra social</v>
      </c>
      <c r="J931" s="7" t="str">
        <f>IFERROR(__xludf.DUMMYFUNCTION("IF('Respuestas de formulario 1'!J931&lt;&gt;"""",UPPER(TRIM(TO_TEXT('Respuestas de formulario 1'!J931))),IF('Respuestas de formulario 1'!O931&lt;&gt;"""",UPPER(TRIM(TO_TEXT('Respuestas de formulario 1'!O931))),""""))"),"MEDIFE")</f>
        <v>MEDIFE</v>
      </c>
      <c r="K931" s="7" t="str">
        <f>IFERROR(__xludf.DUMMYFUNCTION("IF('Respuestas de formulario 1'!K931="""","""",TO_TEXT('Respuestas de formulario 1'!K931))"),"Si")</f>
        <v>Si</v>
      </c>
      <c r="L931" s="7" t="str">
        <f>IFERROR(__xludf.DUMMYFUNCTION("IF('Respuestas de formulario 1'!L931="""","""",TO_TEXT('Respuestas de formulario 1'!L931))"),"Gimnasio")</f>
        <v>Gimnasio</v>
      </c>
      <c r="M931" s="7" t="str">
        <f>IFERROR(__xludf.DUMMYFUNCTION("IF('Respuestas de formulario 1'!M931="""","""",TO_TEXT('Respuestas de formulario 1'!M931))"),"1 a 2 veces por semana")</f>
        <v>1 a 2 veces por semana</v>
      </c>
      <c r="N931" s="7">
        <f t="shared" si="1"/>
        <v>2025</v>
      </c>
      <c r="O931" s="7" t="str">
        <f t="shared" si="2"/>
        <v>marzo</v>
      </c>
      <c r="P931" s="7" t="s">
        <v>6027</v>
      </c>
    </row>
    <row r="932">
      <c r="A932" s="19">
        <f>'Respuestas de formulario 1'!A932</f>
        <v>45751.37684</v>
      </c>
      <c r="B932" s="7" t="str">
        <f>'Respuestas de formulario 1'!B932</f>
        <v>Coraglio</v>
      </c>
      <c r="C932" s="7" t="str">
        <f>'Respuestas de formulario 1'!C932</f>
        <v>Georgina</v>
      </c>
      <c r="D932" s="7" t="str">
        <f>'Respuestas de formulario 1'!D932</f>
        <v>geocoraglio@gmail.com</v>
      </c>
      <c r="E932" s="20">
        <f>'Respuestas de formulario 1'!E932</f>
        <v>27897</v>
      </c>
      <c r="F932" s="7">
        <f>'Respuestas de formulario 1'!F932</f>
        <v>25038955</v>
      </c>
      <c r="G932" s="7" t="str">
        <f>IFERROR(__xludf.DUMMYFUNCTION("IF('Respuestas de formulario 1'!G932="""","""",IF(LEFT(REGEXREPLACE(TO_TEXT('Respuestas de formulario 1'!G932),""[^0-9]"",""""),2)=""54"",""+""&amp;REGEXREPLACE(TO_TEXT('Respuestas de formulario 1'!G932),""[^0-9]"",""""),""+54""&amp;REGEXREPLACE(TO_TEXT('Respuest"&amp;"as de formulario 1'!G932),""[^0-9]"","""")))"),"+543515102330")</f>
        <v>+543515102330</v>
      </c>
      <c r="H932" s="7">
        <f>'Respuestas de formulario 1'!S932</f>
        <v>2025</v>
      </c>
      <c r="I932" s="7" t="str">
        <f>IFERROR(__xludf.DUMMYFUNCTION("IF('Respuestas de formulario 1'!I932="""","""",TO_TEXT('Respuestas de formulario 1'!I932))"),"Obra social")</f>
        <v>Obra social</v>
      </c>
      <c r="J932" s="7" t="str">
        <f>IFERROR(__xludf.DUMMYFUNCTION("IF('Respuestas de formulario 1'!J932&lt;&gt;"""",UPPER(TRIM(TO_TEXT('Respuestas de formulario 1'!J932))),IF('Respuestas de formulario 1'!O932&lt;&gt;"""",UPPER(TRIM(TO_TEXT('Respuestas de formulario 1'!O932))),""""))"),"DASPU")</f>
        <v>DASPU</v>
      </c>
      <c r="K932" s="7" t="str">
        <f>IFERROR(__xludf.DUMMYFUNCTION("IF('Respuestas de formulario 1'!K932="""","""",TO_TEXT('Respuestas de formulario 1'!K932))"),"Si")</f>
        <v>Si</v>
      </c>
      <c r="L932" s="7" t="str">
        <f>IFERROR(__xludf.DUMMYFUNCTION("IF('Respuestas de formulario 1'!L932="""","""",TO_TEXT('Respuestas de formulario 1'!L932))"),"a veces running y bici")</f>
        <v>a veces running y bici</v>
      </c>
      <c r="M932" s="7" t="str">
        <f>IFERROR(__xludf.DUMMYFUNCTION("IF('Respuestas de formulario 1'!M932="""","""",TO_TEXT('Respuestas de formulario 1'!M932))"),"3 a 5 veces por semana")</f>
        <v>3 a 5 veces por semana</v>
      </c>
      <c r="N932" s="7">
        <f t="shared" si="1"/>
        <v>2025</v>
      </c>
      <c r="O932" s="7" t="str">
        <f t="shared" si="2"/>
        <v>abril</v>
      </c>
      <c r="P932" s="7" t="s">
        <v>6029</v>
      </c>
    </row>
    <row r="933">
      <c r="A933" s="19">
        <f>'Respuestas de formulario 1'!A933</f>
        <v>45751.64927</v>
      </c>
      <c r="B933" s="7" t="str">
        <f>'Respuestas de formulario 1'!B933</f>
        <v>Acosta</v>
      </c>
      <c r="C933" s="7" t="str">
        <f>'Respuestas de formulario 1'!C933</f>
        <v>Marcos</v>
      </c>
      <c r="D933" s="7" t="str">
        <f>'Respuestas de formulario 1'!D933</f>
        <v>marcacho_07@hotmail.com</v>
      </c>
      <c r="E933" s="20">
        <f>'Respuestas de formulario 1'!E933</f>
        <v>33339</v>
      </c>
      <c r="F933" s="7">
        <f>'Respuestas de formulario 1'!F933</f>
        <v>35580116</v>
      </c>
      <c r="G933" s="7" t="str">
        <f>IFERROR(__xludf.DUMMYFUNCTION("IF('Respuestas de formulario 1'!G933="""","""",IF(LEFT(REGEXREPLACE(TO_TEXT('Respuestas de formulario 1'!G933),""[^0-9]"",""""),2)=""54"",""+""&amp;REGEXREPLACE(TO_TEXT('Respuestas de formulario 1'!G933),""[^0-9]"",""""),""+54""&amp;REGEXREPLACE(TO_TEXT('Respuest"&amp;"as de formulario 1'!G933),""[^0-9]"","""")))"),"+543512194215")</f>
        <v>+543512194215</v>
      </c>
      <c r="H933" s="7">
        <f>'Respuestas de formulario 1'!S933</f>
        <v>2025</v>
      </c>
      <c r="I933" s="7" t="str">
        <f>IFERROR(__xludf.DUMMYFUNCTION("IF('Respuestas de formulario 1'!I933="""","""",TO_TEXT('Respuestas de formulario 1'!I933))"),"Obra social")</f>
        <v>Obra social</v>
      </c>
      <c r="J933" s="7" t="str">
        <f>IFERROR(__xludf.DUMMYFUNCTION("IF('Respuestas de formulario 1'!J933&lt;&gt;"""",UPPER(TRIM(TO_TEXT('Respuestas de formulario 1'!J933))),IF('Respuestas de formulario 1'!O933&lt;&gt;"""",UPPER(TRIM(TO_TEXT('Respuestas de formulario 1'!O933))),""""))"),"PREVENCIÓN")</f>
        <v>PREVENCIÓN</v>
      </c>
      <c r="K933" s="7" t="str">
        <f>IFERROR(__xludf.DUMMYFUNCTION("IF('Respuestas de formulario 1'!K933="""","""",TO_TEXT('Respuestas de formulario 1'!K933))"),"Si")</f>
        <v>Si</v>
      </c>
      <c r="L933" s="7" t="str">
        <f>IFERROR(__xludf.DUMMYFUNCTION("IF('Respuestas de formulario 1'!L933="""","""",TO_TEXT('Respuestas de formulario 1'!L933))"),"Gimnasio")</f>
        <v>Gimnasio</v>
      </c>
      <c r="M933" s="7" t="str">
        <f>IFERROR(__xludf.DUMMYFUNCTION("IF('Respuestas de formulario 1'!M933="""","""",TO_TEXT('Respuestas de formulario 1'!M933))"),"1 a 2 veces por semana")</f>
        <v>1 a 2 veces por semana</v>
      </c>
      <c r="N933" s="7">
        <f t="shared" si="1"/>
        <v>2025</v>
      </c>
      <c r="O933" s="7" t="str">
        <f t="shared" si="2"/>
        <v>abril</v>
      </c>
      <c r="P933" s="7" t="s">
        <v>6031</v>
      </c>
    </row>
    <row r="934">
      <c r="A934" s="19">
        <f>'Respuestas de formulario 1'!A934</f>
        <v>45751.71008</v>
      </c>
      <c r="B934" s="7" t="str">
        <f>'Respuestas de formulario 1'!B934</f>
        <v>Notararigo </v>
      </c>
      <c r="C934" s="7" t="str">
        <f>'Respuestas de formulario 1'!C934</f>
        <v>Patricia </v>
      </c>
      <c r="D934" s="7" t="str">
        <f>'Respuestas de formulario 1'!D934</f>
        <v/>
      </c>
      <c r="E934" s="20">
        <f>'Respuestas de formulario 1'!E934</f>
        <v>23798</v>
      </c>
      <c r="F934" s="7">
        <f>'Respuestas de formulario 1'!F934</f>
        <v>17158920</v>
      </c>
      <c r="G934" s="7" t="str">
        <f>IFERROR(__xludf.DUMMYFUNCTION("IF('Respuestas de formulario 1'!G934="""","""",IF(LEFT(REGEXREPLACE(TO_TEXT('Respuestas de formulario 1'!G934),""[^0-9]"",""""),2)=""54"",""+""&amp;REGEXREPLACE(TO_TEXT('Respuestas de formulario 1'!G934),""[^0-9]"",""""),""+54""&amp;REGEXREPLACE(TO_TEXT('Respuest"&amp;"as de formulario 1'!G934),""[^0-9]"","""")))"),"+543513300817")</f>
        <v>+543513300817</v>
      </c>
      <c r="H934" s="7">
        <f>'Respuestas de formulario 1'!S934</f>
        <v>2025</v>
      </c>
      <c r="I934" s="7" t="str">
        <f>IFERROR(__xludf.DUMMYFUNCTION("IF('Respuestas de formulario 1'!I934="""","""",TO_TEXT('Respuestas de formulario 1'!I934))"),"Obra social")</f>
        <v>Obra social</v>
      </c>
      <c r="J934" s="7" t="str">
        <f>IFERROR(__xludf.DUMMYFUNCTION("IF('Respuestas de formulario 1'!J934&lt;&gt;"""",UPPER(TRIM(TO_TEXT('Respuestas de formulario 1'!J934))),IF('Respuestas de formulario 1'!O934&lt;&gt;"""",UPPER(TRIM(TO_TEXT('Respuestas de formulario 1'!O934))),""""))"),"APROSS")</f>
        <v>APROSS</v>
      </c>
      <c r="K934" s="7" t="str">
        <f>IFERROR(__xludf.DUMMYFUNCTION("IF('Respuestas de formulario 1'!K934="""","""",TO_TEXT('Respuestas de formulario 1'!K934))"),"No")</f>
        <v>No</v>
      </c>
      <c r="L934" s="7" t="str">
        <f>IFERROR(__xludf.DUMMYFUNCTION("IF('Respuestas de formulario 1'!L934="""","""",TO_TEXT('Respuestas de formulario 1'!L934))"),"")</f>
        <v/>
      </c>
      <c r="M934" s="7" t="str">
        <f>IFERROR(__xludf.DUMMYFUNCTION("IF('Respuestas de formulario 1'!M934="""","""",TO_TEXT('Respuestas de formulario 1'!M934))"),"")</f>
        <v/>
      </c>
      <c r="N934" s="7">
        <f t="shared" si="1"/>
        <v>2025</v>
      </c>
      <c r="O934" s="7" t="str">
        <f t="shared" si="2"/>
        <v>abril</v>
      </c>
      <c r="P934" s="7" t="s">
        <v>6033</v>
      </c>
    </row>
    <row r="935">
      <c r="A935" s="19">
        <f>'Respuestas de formulario 1'!A935</f>
        <v>45751.77141</v>
      </c>
      <c r="B935" s="7" t="str">
        <f>'Respuestas de formulario 1'!B935</f>
        <v>Carreño</v>
      </c>
      <c r="C935" s="7" t="str">
        <f>'Respuestas de formulario 1'!C935</f>
        <v>Nicolas </v>
      </c>
      <c r="D935" s="7" t="str">
        <f>'Respuestas de formulario 1'!D935</f>
        <v>nico911@live.com.ar</v>
      </c>
      <c r="E935" s="20">
        <f>'Respuestas de formulario 1'!E935</f>
        <v>30264</v>
      </c>
      <c r="F935" s="7">
        <f>'Respuestas de formulario 1'!F935</f>
        <v>29715277</v>
      </c>
      <c r="G935" s="7" t="str">
        <f>IFERROR(__xludf.DUMMYFUNCTION("IF('Respuestas de formulario 1'!G935="""","""",IF(LEFT(REGEXREPLACE(TO_TEXT('Respuestas de formulario 1'!G935),""[^0-9]"",""""),2)=""54"",""+""&amp;REGEXREPLACE(TO_TEXT('Respuestas de formulario 1'!G935),""[^0-9]"",""""),""+54""&amp;REGEXREPLACE(TO_TEXT('Respuest"&amp;"as de formulario 1'!G935),""[^0-9]"","""")))"),"+543512155310")</f>
        <v>+543512155310</v>
      </c>
      <c r="H935" s="7">
        <f>'Respuestas de formulario 1'!S935</f>
        <v>2025</v>
      </c>
      <c r="I935" s="7" t="str">
        <f>IFERROR(__xludf.DUMMYFUNCTION("IF('Respuestas de formulario 1'!I935="""","""",TO_TEXT('Respuestas de formulario 1'!I935))"),"Obra social")</f>
        <v>Obra social</v>
      </c>
      <c r="J935" s="7" t="str">
        <f>IFERROR(__xludf.DUMMYFUNCTION("IF('Respuestas de formulario 1'!J935&lt;&gt;"""",UPPER(TRIM(TO_TEXT('Respuestas de formulario 1'!J935))),IF('Respuestas de formulario 1'!O935&lt;&gt;"""",UPPER(TRIM(TO_TEXT('Respuestas de formulario 1'!O935))),""""))"),"APROSS")</f>
        <v>APROSS</v>
      </c>
      <c r="K935" s="7" t="str">
        <f>IFERROR(__xludf.DUMMYFUNCTION("IF('Respuestas de formulario 1'!K935="""","""",TO_TEXT('Respuestas de formulario 1'!K935))"),"No")</f>
        <v>No</v>
      </c>
      <c r="L935" s="7" t="str">
        <f>IFERROR(__xludf.DUMMYFUNCTION("IF('Respuestas de formulario 1'!L935="""","""",TO_TEXT('Respuestas de formulario 1'!L935))"),"")</f>
        <v/>
      </c>
      <c r="M935" s="7" t="str">
        <f>IFERROR(__xludf.DUMMYFUNCTION("IF('Respuestas de formulario 1'!M935="""","""",TO_TEXT('Respuestas de formulario 1'!M935))"),"")</f>
        <v/>
      </c>
      <c r="N935" s="7">
        <f t="shared" si="1"/>
        <v>2025</v>
      </c>
      <c r="O935" s="7" t="str">
        <f t="shared" si="2"/>
        <v>abril</v>
      </c>
      <c r="P935" s="7" t="s">
        <v>6035</v>
      </c>
    </row>
    <row r="936">
      <c r="A936" s="19">
        <f>'Respuestas de formulario 1'!A936</f>
        <v>45751.80567</v>
      </c>
      <c r="B936" s="7" t="str">
        <f>'Respuestas de formulario 1'!B936</f>
        <v>Viale</v>
      </c>
      <c r="C936" s="7" t="str">
        <f>'Respuestas de formulario 1'!C936</f>
        <v>Agustina</v>
      </c>
      <c r="D936" s="7" t="str">
        <f>'Respuestas de formulario 1'!D936</f>
        <v/>
      </c>
      <c r="E936" s="20">
        <f>'Respuestas de formulario 1'!E936</f>
        <v>30890</v>
      </c>
      <c r="F936" s="7">
        <f>'Respuestas de formulario 1'!F936</f>
        <v>31053600</v>
      </c>
      <c r="G936" s="7" t="str">
        <f>IFERROR(__xludf.DUMMYFUNCTION("IF('Respuestas de formulario 1'!G936="""","""",IF(LEFT(REGEXREPLACE(TO_TEXT('Respuestas de formulario 1'!G936),""[^0-9]"",""""),2)=""54"",""+""&amp;REGEXREPLACE(TO_TEXT('Respuestas de formulario 1'!G936),""[^0-9]"",""""),""+54""&amp;REGEXREPLACE(TO_TEXT('Respuest"&amp;"as de formulario 1'!G936),""[^0-9]"","""")))"),"+543513853405")</f>
        <v>+543513853405</v>
      </c>
      <c r="H936" s="7">
        <f>'Respuestas de formulario 1'!S936</f>
        <v>2025</v>
      </c>
      <c r="I936" s="7" t="str">
        <f>IFERROR(__xludf.DUMMYFUNCTION("IF('Respuestas de formulario 1'!I936="""","""",TO_TEXT('Respuestas de formulario 1'!I936))"),"Obra social")</f>
        <v>Obra social</v>
      </c>
      <c r="J936" s="7" t="str">
        <f>IFERROR(__xludf.DUMMYFUNCTION("IF('Respuestas de formulario 1'!J936&lt;&gt;"""",UPPER(TRIM(TO_TEXT('Respuestas de formulario 1'!J936))),IF('Respuestas de formulario 1'!O936&lt;&gt;"""",UPPER(TRIM(TO_TEXT('Respuestas de formulario 1'!O936))),""""))"),"PREVENCIÓN")</f>
        <v>PREVENCIÓN</v>
      </c>
      <c r="K936" s="7" t="str">
        <f>IFERROR(__xludf.DUMMYFUNCTION("IF('Respuestas de formulario 1'!K936="""","""",TO_TEXT('Respuestas de formulario 1'!K936))"),"No")</f>
        <v>No</v>
      </c>
      <c r="L936" s="7" t="str">
        <f>IFERROR(__xludf.DUMMYFUNCTION("IF('Respuestas de formulario 1'!L936="""","""",TO_TEXT('Respuestas de formulario 1'!L936))"),"")</f>
        <v/>
      </c>
      <c r="M936" s="7" t="str">
        <f>IFERROR(__xludf.DUMMYFUNCTION("IF('Respuestas de formulario 1'!M936="""","""",TO_TEXT('Respuestas de formulario 1'!M936))"),"")</f>
        <v/>
      </c>
      <c r="N936" s="7">
        <f t="shared" si="1"/>
        <v>2025</v>
      </c>
      <c r="O936" s="7" t="str">
        <f t="shared" si="2"/>
        <v>abril</v>
      </c>
      <c r="P936" s="7" t="s">
        <v>6037</v>
      </c>
    </row>
    <row r="937">
      <c r="A937" s="19">
        <f>'Respuestas de formulario 1'!A937</f>
        <v>45754.48509</v>
      </c>
      <c r="B937" s="7" t="str">
        <f>'Respuestas de formulario 1'!B937</f>
        <v>MUÑOZ</v>
      </c>
      <c r="C937" s="7" t="str">
        <f>'Respuestas de formulario 1'!C937</f>
        <v>EMERY OMAR</v>
      </c>
      <c r="D937" s="7" t="str">
        <f>'Respuestas de formulario 1'!D937</f>
        <v>emeryomunoz@gmail.com</v>
      </c>
      <c r="E937" s="20">
        <f>'Respuestas de formulario 1'!E937</f>
        <v>28950</v>
      </c>
      <c r="F937" s="7">
        <f>'Respuestas de formulario 1'!F937</f>
        <v>27303587</v>
      </c>
      <c r="G937" s="7" t="str">
        <f>IFERROR(__xludf.DUMMYFUNCTION("IF('Respuestas de formulario 1'!G937="""","""",IF(LEFT(REGEXREPLACE(TO_TEXT('Respuestas de formulario 1'!G937),""[^0-9]"",""""),2)=""54"",""+""&amp;REGEXREPLACE(TO_TEXT('Respuestas de formulario 1'!G937),""[^0-9]"",""""),""+54""&amp;REGEXREPLACE(TO_TEXT('Respuest"&amp;"as de formulario 1'!G937),""[^0-9]"","""")))"),"+543513493623")</f>
        <v>+543513493623</v>
      </c>
      <c r="H937" s="7">
        <f>'Respuestas de formulario 1'!S937</f>
        <v>2025</v>
      </c>
      <c r="I937" s="7" t="str">
        <f>IFERROR(__xludf.DUMMYFUNCTION("IF('Respuestas de formulario 1'!I937="""","""",TO_TEXT('Respuestas de formulario 1'!I937))"),"Obra social")</f>
        <v>Obra social</v>
      </c>
      <c r="J937" s="7" t="str">
        <f>IFERROR(__xludf.DUMMYFUNCTION("IF('Respuestas de formulario 1'!J937&lt;&gt;"""",UPPER(TRIM(TO_TEXT('Respuestas de formulario 1'!J937))),IF('Respuestas de formulario 1'!O937&lt;&gt;"""",UPPER(TRIM(TO_TEXT('Respuestas de formulario 1'!O937))),""""))"),"CAJA NOTARIAL")</f>
        <v>CAJA NOTARIAL</v>
      </c>
      <c r="K937" s="7" t="str">
        <f>IFERROR(__xludf.DUMMYFUNCTION("IF('Respuestas de formulario 1'!K937="""","""",TO_TEXT('Respuestas de formulario 1'!K937))"),"Si")</f>
        <v>Si</v>
      </c>
      <c r="L937" s="7" t="str">
        <f>IFERROR(__xludf.DUMMYFUNCTION("IF('Respuestas de formulario 1'!L937="""","""",TO_TEXT('Respuestas de formulario 1'!L937))"),"boxeo y gim")</f>
        <v>boxeo y gim</v>
      </c>
      <c r="M937" s="7" t="str">
        <f>IFERROR(__xludf.DUMMYFUNCTION("IF('Respuestas de formulario 1'!M937="""","""",TO_TEXT('Respuestas de formulario 1'!M937))"),"3 a 5 veces por semana")</f>
        <v>3 a 5 veces por semana</v>
      </c>
      <c r="N937" s="7">
        <f t="shared" si="1"/>
        <v>2025</v>
      </c>
      <c r="O937" s="7" t="str">
        <f t="shared" si="2"/>
        <v>abril</v>
      </c>
      <c r="P937" s="7" t="s">
        <v>6039</v>
      </c>
    </row>
    <row r="938">
      <c r="A938" s="19">
        <f>'Respuestas de formulario 1'!A938</f>
        <v>45754.66105</v>
      </c>
      <c r="B938" s="7" t="str">
        <f>'Respuestas de formulario 1'!B938</f>
        <v>Barrionuevo </v>
      </c>
      <c r="C938" s="7" t="str">
        <f>'Respuestas de formulario 1'!C938</f>
        <v>Maximiliano </v>
      </c>
      <c r="D938" s="7" t="str">
        <f>'Respuestas de formulario 1'!D938</f>
        <v>maxeze232@gmail.com</v>
      </c>
      <c r="E938" s="20">
        <f>'Respuestas de formulario 1'!E938</f>
        <v>32512</v>
      </c>
      <c r="F938" s="7">
        <f>'Respuestas de formulario 1'!F938</f>
        <v>34188496</v>
      </c>
      <c r="G938" s="7" t="str">
        <f>IFERROR(__xludf.DUMMYFUNCTION("IF('Respuestas de formulario 1'!G938="""","""",IF(LEFT(REGEXREPLACE(TO_TEXT('Respuestas de formulario 1'!G938),""[^0-9]"",""""),2)=""54"",""+""&amp;REGEXREPLACE(TO_TEXT('Respuestas de formulario 1'!G938),""[^0-9]"",""""),""+54""&amp;REGEXREPLACE(TO_TEXT('Respuest"&amp;"as de formulario 1'!G938),""[^0-9]"","""")))"),"+543512895706")</f>
        <v>+543512895706</v>
      </c>
      <c r="H938" s="7">
        <f>'Respuestas de formulario 1'!S938</f>
        <v>2025</v>
      </c>
      <c r="I938" s="7" t="str">
        <f>IFERROR(__xludf.DUMMYFUNCTION("IF('Respuestas de formulario 1'!I938="""","""",TO_TEXT('Respuestas de formulario 1'!I938))"),"Obra social")</f>
        <v>Obra social</v>
      </c>
      <c r="J938" s="7" t="str">
        <f>IFERROR(__xludf.DUMMYFUNCTION("IF('Respuestas de formulario 1'!J938&lt;&gt;"""",UPPER(TRIM(TO_TEXT('Respuestas de formulario 1'!J938))),IF('Respuestas de formulario 1'!O938&lt;&gt;"""",UPPER(TRIM(TO_TEXT('Respuestas de formulario 1'!O938))),""""))"),"APROSS")</f>
        <v>APROSS</v>
      </c>
      <c r="K938" s="7" t="str">
        <f>IFERROR(__xludf.DUMMYFUNCTION("IF('Respuestas de formulario 1'!K938="""","""",TO_TEXT('Respuestas de formulario 1'!K938))"),"Si")</f>
        <v>Si</v>
      </c>
      <c r="L938" s="7" t="str">
        <f>IFERROR(__xludf.DUMMYFUNCTION("IF('Respuestas de formulario 1'!L938="""","""",TO_TEXT('Respuestas de formulario 1'!L938))"),"Running")</f>
        <v>Running</v>
      </c>
      <c r="M938" s="7" t="str">
        <f>IFERROR(__xludf.DUMMYFUNCTION("IF('Respuestas de formulario 1'!M938="""","""",TO_TEXT('Respuestas de formulario 1'!M938))"),"1 a 2 veces por semana")</f>
        <v>1 a 2 veces por semana</v>
      </c>
      <c r="N938" s="7">
        <f t="shared" si="1"/>
        <v>2025</v>
      </c>
      <c r="O938" s="7" t="str">
        <f t="shared" si="2"/>
        <v>abril</v>
      </c>
      <c r="P938" s="7" t="s">
        <v>6040</v>
      </c>
    </row>
    <row r="939">
      <c r="A939" s="19">
        <f>'Respuestas de formulario 1'!A939</f>
        <v>45754.88607</v>
      </c>
      <c r="B939" s="7" t="str">
        <f>'Respuestas de formulario 1'!B939</f>
        <v>Liotta</v>
      </c>
      <c r="C939" s="7" t="str">
        <f>'Respuestas de formulario 1'!C939</f>
        <v>Oscar Alberto </v>
      </c>
      <c r="D939" s="7" t="str">
        <f>'Respuestas de formulario 1'!D939</f>
        <v>oscarliotta@hotmail.com</v>
      </c>
      <c r="E939" s="20">
        <f>'Respuestas de formulario 1'!E939</f>
        <v>20175</v>
      </c>
      <c r="F939" s="7">
        <f>'Respuestas de formulario 1'!F939</f>
        <v>11744055</v>
      </c>
      <c r="G939" s="7" t="str">
        <f>IFERROR(__xludf.DUMMYFUNCTION("IF('Respuestas de formulario 1'!G939="""","""",IF(LEFT(REGEXREPLACE(TO_TEXT('Respuestas de formulario 1'!G939),""[^0-9]"",""""),2)=""54"",""+""&amp;REGEXREPLACE(TO_TEXT('Respuestas de formulario 1'!G939),""[^0-9]"",""""),""+54""&amp;REGEXREPLACE(TO_TEXT('Respuest"&amp;"as de formulario 1'!G939),""[^0-9]"","""")))"),"+543515168697")</f>
        <v>+543515168697</v>
      </c>
      <c r="H939" s="7">
        <f>'Respuestas de formulario 1'!S939</f>
        <v>2025</v>
      </c>
      <c r="I939" s="7" t="str">
        <f>IFERROR(__xludf.DUMMYFUNCTION("IF('Respuestas de formulario 1'!I939="""","""",TO_TEXT('Respuestas de formulario 1'!I939))"),"Particular")</f>
        <v>Particular</v>
      </c>
      <c r="J939" s="7" t="str">
        <f>IFERROR(__xludf.DUMMYFUNCTION("IF('Respuestas de formulario 1'!J939&lt;&gt;"""",UPPER(TRIM(TO_TEXT('Respuestas de formulario 1'!J939))),IF('Respuestas de formulario 1'!O939&lt;&gt;"""",UPPER(TRIM(TO_TEXT('Respuestas de formulario 1'!O939))),""""))"),"")</f>
        <v/>
      </c>
      <c r="K939" s="7" t="str">
        <f>IFERROR(__xludf.DUMMYFUNCTION("IF('Respuestas de formulario 1'!K939="""","""",TO_TEXT('Respuestas de formulario 1'!K939))"),"No")</f>
        <v>No</v>
      </c>
      <c r="L939" s="7" t="str">
        <f>IFERROR(__xludf.DUMMYFUNCTION("IF('Respuestas de formulario 1'!L939="""","""",TO_TEXT('Respuestas de formulario 1'!L939))"),"")</f>
        <v/>
      </c>
      <c r="M939" s="7" t="str">
        <f>IFERROR(__xludf.DUMMYFUNCTION("IF('Respuestas de formulario 1'!M939="""","""",TO_TEXT('Respuestas de formulario 1'!M939))"),"")</f>
        <v/>
      </c>
      <c r="N939" s="7">
        <f t="shared" si="1"/>
        <v>2025</v>
      </c>
      <c r="O939" s="7" t="str">
        <f t="shared" si="2"/>
        <v>abril</v>
      </c>
      <c r="P939" s="7" t="s">
        <v>6042</v>
      </c>
    </row>
    <row r="940">
      <c r="A940" s="19">
        <f>'Respuestas de formulario 1'!A940</f>
        <v>45755.45863</v>
      </c>
      <c r="B940" s="7" t="str">
        <f>'Respuestas de formulario 1'!B940</f>
        <v>Castro Tomé </v>
      </c>
      <c r="C940" s="7" t="str">
        <f>'Respuestas de formulario 1'!C940</f>
        <v>Ramón </v>
      </c>
      <c r="D940" s="7" t="str">
        <f>'Respuestas de formulario 1'!D940</f>
        <v>vraffin002@gmail.com</v>
      </c>
      <c r="E940" s="20">
        <f>'Respuestas de formulario 1'!E940</f>
        <v>11714</v>
      </c>
      <c r="F940" s="7">
        <f>'Respuestas de formulario 1'!F940</f>
        <v>93938916</v>
      </c>
      <c r="G940" s="7" t="str">
        <f>IFERROR(__xludf.DUMMYFUNCTION("IF('Respuestas de formulario 1'!G940="""","""",IF(LEFT(REGEXREPLACE(TO_TEXT('Respuestas de formulario 1'!G940),""[^0-9]"",""""),2)=""54"",""+""&amp;REGEXREPLACE(TO_TEXT('Respuestas de formulario 1'!G940),""[^0-9]"",""""),""+54""&amp;REGEXREPLACE(TO_TEXT('Respuest"&amp;"as de formulario 1'!G940),""[^0-9]"","""")))"),"+543515389887")</f>
        <v>+543515389887</v>
      </c>
      <c r="H940" s="7">
        <f>'Respuestas de formulario 1'!S940</f>
        <v>2025</v>
      </c>
      <c r="I940" s="7" t="str">
        <f>IFERROR(__xludf.DUMMYFUNCTION("IF('Respuestas de formulario 1'!I940="""","""",TO_TEXT('Respuestas de formulario 1'!I940))"),"Particular")</f>
        <v>Particular</v>
      </c>
      <c r="J940" s="7" t="str">
        <f>IFERROR(__xludf.DUMMYFUNCTION("IF('Respuestas de formulario 1'!J940&lt;&gt;"""",UPPER(TRIM(TO_TEXT('Respuestas de formulario 1'!J940))),IF('Respuestas de formulario 1'!O940&lt;&gt;"""",UPPER(TRIM(TO_TEXT('Respuestas de formulario 1'!O940))),""""))"),"")</f>
        <v/>
      </c>
      <c r="K940" s="7" t="str">
        <f>IFERROR(__xludf.DUMMYFUNCTION("IF('Respuestas de formulario 1'!K940="""","""",TO_TEXT('Respuestas de formulario 1'!K940))"),"No")</f>
        <v>No</v>
      </c>
      <c r="L940" s="7" t="str">
        <f>IFERROR(__xludf.DUMMYFUNCTION("IF('Respuestas de formulario 1'!L940="""","""",TO_TEXT('Respuestas de formulario 1'!L940))"),"")</f>
        <v/>
      </c>
      <c r="M940" s="7" t="str">
        <f>IFERROR(__xludf.DUMMYFUNCTION("IF('Respuestas de formulario 1'!M940="""","""",TO_TEXT('Respuestas de formulario 1'!M940))"),"")</f>
        <v/>
      </c>
      <c r="N940" s="7">
        <f t="shared" si="1"/>
        <v>2025</v>
      </c>
      <c r="O940" s="7" t="str">
        <f t="shared" si="2"/>
        <v>abril</v>
      </c>
      <c r="P940" s="7" t="s">
        <v>6044</v>
      </c>
    </row>
    <row r="941">
      <c r="A941" s="19">
        <f>'Respuestas de formulario 1'!A941</f>
        <v>45755.49196</v>
      </c>
      <c r="B941" s="7" t="str">
        <f>'Respuestas de formulario 1'!B941</f>
        <v>Panero</v>
      </c>
      <c r="C941" s="7" t="str">
        <f>'Respuestas de formulario 1'!C941</f>
        <v>Marite</v>
      </c>
      <c r="D941" s="7" t="str">
        <f>'Respuestas de formulario 1'!D941</f>
        <v>maritepanero@gmail.com</v>
      </c>
      <c r="E941" s="20">
        <f>'Respuestas de formulario 1'!E941</f>
        <v>21443</v>
      </c>
      <c r="F941" s="7">
        <f>'Respuestas de formulario 1'!F941</f>
        <v>12670232</v>
      </c>
      <c r="G941" s="7" t="str">
        <f>IFERROR(__xludf.DUMMYFUNCTION("IF('Respuestas de formulario 1'!G941="""","""",IF(LEFT(REGEXREPLACE(TO_TEXT('Respuestas de formulario 1'!G941),""[^0-9]"",""""),2)=""54"",""+""&amp;REGEXREPLACE(TO_TEXT('Respuestas de formulario 1'!G941),""[^0-9]"",""""),""+54""&amp;REGEXREPLACE(TO_TEXT('Respuest"&amp;"as de formulario 1'!G941),""[^0-9]"","""")))"),"+543512417002")</f>
        <v>+543512417002</v>
      </c>
      <c r="H941" s="7">
        <f>'Respuestas de formulario 1'!S941</f>
        <v>2025</v>
      </c>
      <c r="I941" s="7" t="str">
        <f>IFERROR(__xludf.DUMMYFUNCTION("IF('Respuestas de formulario 1'!I941="""","""",TO_TEXT('Respuestas de formulario 1'!I941))"),"Particular")</f>
        <v>Particular</v>
      </c>
      <c r="J941" s="7" t="str">
        <f>IFERROR(__xludf.DUMMYFUNCTION("IF('Respuestas de formulario 1'!J941&lt;&gt;"""",UPPER(TRIM(TO_TEXT('Respuestas de formulario 1'!J941))),IF('Respuestas de formulario 1'!O941&lt;&gt;"""",UPPER(TRIM(TO_TEXT('Respuestas de formulario 1'!O941))),""""))"),"")</f>
        <v/>
      </c>
      <c r="K941" s="7" t="str">
        <f>IFERROR(__xludf.DUMMYFUNCTION("IF('Respuestas de formulario 1'!K941="""","""",TO_TEXT('Respuestas de formulario 1'!K941))"),"No")</f>
        <v>No</v>
      </c>
      <c r="L941" s="7" t="str">
        <f>IFERROR(__xludf.DUMMYFUNCTION("IF('Respuestas de formulario 1'!L941="""","""",TO_TEXT('Respuestas de formulario 1'!L941))"),"")</f>
        <v/>
      </c>
      <c r="M941" s="7" t="str">
        <f>IFERROR(__xludf.DUMMYFUNCTION("IF('Respuestas de formulario 1'!M941="""","""",TO_TEXT('Respuestas de formulario 1'!M941))"),"")</f>
        <v/>
      </c>
      <c r="N941" s="7">
        <f t="shared" si="1"/>
        <v>2025</v>
      </c>
      <c r="O941" s="7" t="str">
        <f t="shared" si="2"/>
        <v>abril</v>
      </c>
      <c r="P941" s="7" t="s">
        <v>6045</v>
      </c>
    </row>
    <row r="942">
      <c r="A942" s="19">
        <f>'Respuestas de formulario 1'!A942</f>
        <v>45755.49442</v>
      </c>
      <c r="B942" s="7" t="str">
        <f>'Respuestas de formulario 1'!B942</f>
        <v>Gallara</v>
      </c>
      <c r="C942" s="7" t="str">
        <f>'Respuestas de formulario 1'!C942</f>
        <v>Daniel G</v>
      </c>
      <c r="D942" s="7" t="str">
        <f>'Respuestas de formulario 1'!D942</f>
        <v>danielgallara13@gmail.com</v>
      </c>
      <c r="E942" s="20">
        <f>'Respuestas de formulario 1'!E942</f>
        <v>19833</v>
      </c>
      <c r="F942" s="7">
        <f>'Respuestas de formulario 1'!F942</f>
        <v>11190688</v>
      </c>
      <c r="G942" s="7" t="str">
        <f>IFERROR(__xludf.DUMMYFUNCTION("IF('Respuestas de formulario 1'!G942="""","""",IF(LEFT(REGEXREPLACE(TO_TEXT('Respuestas de formulario 1'!G942),""[^0-9]"",""""),2)=""54"",""+""&amp;REGEXREPLACE(TO_TEXT('Respuestas de formulario 1'!G942),""[^0-9]"",""""),""+54""&amp;REGEXREPLACE(TO_TEXT('Respuest"&amp;"as de formulario 1'!G942),""[^0-9]"","""")))"),"+543512417001")</f>
        <v>+543512417001</v>
      </c>
      <c r="H942" s="7">
        <f>'Respuestas de formulario 1'!S942</f>
        <v>2025</v>
      </c>
      <c r="I942" s="7" t="str">
        <f>IFERROR(__xludf.DUMMYFUNCTION("IF('Respuestas de formulario 1'!I942="""","""",TO_TEXT('Respuestas de formulario 1'!I942))"),"Particular")</f>
        <v>Particular</v>
      </c>
      <c r="J942" s="7" t="str">
        <f>IFERROR(__xludf.DUMMYFUNCTION("IF('Respuestas de formulario 1'!J942&lt;&gt;"""",UPPER(TRIM(TO_TEXT('Respuestas de formulario 1'!J942))),IF('Respuestas de formulario 1'!O942&lt;&gt;"""",UPPER(TRIM(TO_TEXT('Respuestas de formulario 1'!O942))),""""))"),"")</f>
        <v/>
      </c>
      <c r="K942" s="7" t="str">
        <f>IFERROR(__xludf.DUMMYFUNCTION("IF('Respuestas de formulario 1'!K942="""","""",TO_TEXT('Respuestas de formulario 1'!K942))"),"Si")</f>
        <v>Si</v>
      </c>
      <c r="L942" s="7" t="str">
        <f>IFERROR(__xludf.DUMMYFUNCTION("IF('Respuestas de formulario 1'!L942="""","""",TO_TEXT('Respuestas de formulario 1'!L942))"),"Baile")</f>
        <v>Baile</v>
      </c>
      <c r="M942" s="7" t="str">
        <f>IFERROR(__xludf.DUMMYFUNCTION("IF('Respuestas de formulario 1'!M942="""","""",TO_TEXT('Respuestas de formulario 1'!M942))"),"1 a 2 veces por semana")</f>
        <v>1 a 2 veces por semana</v>
      </c>
      <c r="N942" s="7">
        <f t="shared" si="1"/>
        <v>2025</v>
      </c>
      <c r="O942" s="7" t="str">
        <f t="shared" si="2"/>
        <v>abril</v>
      </c>
      <c r="P942" s="7" t="s">
        <v>6047</v>
      </c>
    </row>
    <row r="943">
      <c r="A943" s="19">
        <f>'Respuestas de formulario 1'!A943</f>
        <v>45755.51029</v>
      </c>
      <c r="B943" s="7" t="str">
        <f>'Respuestas de formulario 1'!B943</f>
        <v>Ayerbe</v>
      </c>
      <c r="C943" s="7" t="str">
        <f>'Respuestas de formulario 1'!C943</f>
        <v>Alejandro</v>
      </c>
      <c r="D943" s="7" t="str">
        <f>'Respuestas de formulario 1'!D943</f>
        <v>ayerbea@gmail.com</v>
      </c>
      <c r="E943" s="20">
        <f>'Respuestas de formulario 1'!E943</f>
        <v>20058</v>
      </c>
      <c r="F943" s="7">
        <f>'Respuestas de formulario 1'!F943</f>
        <v>11257813</v>
      </c>
      <c r="G943" s="7" t="str">
        <f>IFERROR(__xludf.DUMMYFUNCTION("IF('Respuestas de formulario 1'!G943="""","""",IF(LEFT(REGEXREPLACE(TO_TEXT('Respuestas de formulario 1'!G943),""[^0-9]"",""""),2)=""54"",""+""&amp;REGEXREPLACE(TO_TEXT('Respuestas de formulario 1'!G943),""[^0-9]"",""""),""+54""&amp;REGEXREPLACE(TO_TEXT('Respuest"&amp;"as de formulario 1'!G943),""[^0-9]"","""")))"),"+543513181590")</f>
        <v>+543513181590</v>
      </c>
      <c r="H943" s="7">
        <f>'Respuestas de formulario 1'!S943</f>
        <v>2025</v>
      </c>
      <c r="I943" s="7" t="str">
        <f>IFERROR(__xludf.DUMMYFUNCTION("IF('Respuestas de formulario 1'!I943="""","""",TO_TEXT('Respuestas de formulario 1'!I943))"),"Obra social")</f>
        <v>Obra social</v>
      </c>
      <c r="J943" s="7" t="str">
        <f>IFERROR(__xludf.DUMMYFUNCTION("IF('Respuestas de formulario 1'!J943&lt;&gt;"""",UPPER(TRIM(TO_TEXT('Respuestas de formulario 1'!J943))),IF('Respuestas de formulario 1'!O943&lt;&gt;"""",UPPER(TRIM(TO_TEXT('Respuestas de formulario 1'!O943))),""""))"),"DASPU")</f>
        <v>DASPU</v>
      </c>
      <c r="K943" s="7" t="str">
        <f>IFERROR(__xludf.DUMMYFUNCTION("IF('Respuestas de formulario 1'!K943="""","""",TO_TEXT('Respuestas de formulario 1'!K943))"),"Si")</f>
        <v>Si</v>
      </c>
      <c r="L943" s="7" t="str">
        <f>IFERROR(__xludf.DUMMYFUNCTION("IF('Respuestas de formulario 1'!L943="""","""",TO_TEXT('Respuestas de formulario 1'!L943))"),"Newcom")</f>
        <v>Newcom</v>
      </c>
      <c r="M943" s="7" t="str">
        <f>IFERROR(__xludf.DUMMYFUNCTION("IF('Respuestas de formulario 1'!M943="""","""",TO_TEXT('Respuestas de formulario 1'!M943))"),"3 a 5 veces por semana")</f>
        <v>3 a 5 veces por semana</v>
      </c>
      <c r="N943" s="7">
        <f t="shared" si="1"/>
        <v>2025</v>
      </c>
      <c r="O943" s="7" t="str">
        <f t="shared" si="2"/>
        <v>abril</v>
      </c>
      <c r="P943" s="7" t="s">
        <v>6049</v>
      </c>
    </row>
    <row r="944">
      <c r="A944" s="19">
        <f>'Respuestas de formulario 1'!A944</f>
        <v>45755.9177</v>
      </c>
      <c r="B944" s="7" t="str">
        <f>'Respuestas de formulario 1'!B944</f>
        <v>YERIO</v>
      </c>
      <c r="C944" s="7" t="str">
        <f>'Respuestas de formulario 1'!C944</f>
        <v>Josefina </v>
      </c>
      <c r="D944" s="7" t="str">
        <f>'Respuestas de formulario 1'!D944</f>
        <v>yeriojosefina19@gmail.com</v>
      </c>
      <c r="E944" s="20">
        <f>'Respuestas de formulario 1'!E944</f>
        <v>38491</v>
      </c>
      <c r="F944" s="21">
        <f>'Respuestas de formulario 1'!F944</f>
        <v>46671046</v>
      </c>
      <c r="G944" s="7" t="str">
        <f>IFERROR(__xludf.DUMMYFUNCTION("IF('Respuestas de formulario 1'!G944="""","""",IF(LEFT(REGEXREPLACE(TO_TEXT('Respuestas de formulario 1'!G944),""[^0-9]"",""""),2)=""54"",""+""&amp;REGEXREPLACE(TO_TEXT('Respuestas de formulario 1'!G944),""[^0-9]"",""""),""+54""&amp;REGEXREPLACE(TO_TEXT('Respuest"&amp;"as de formulario 1'!G944),""[^0-9]"","""")))"),"+542994115646")</f>
        <v>+542994115646</v>
      </c>
      <c r="H944" s="7">
        <f>'Respuestas de formulario 1'!S944</f>
        <v>2025</v>
      </c>
      <c r="I944" s="7" t="str">
        <f>IFERROR(__xludf.DUMMYFUNCTION("IF('Respuestas de formulario 1'!I944="""","""",TO_TEXT('Respuestas de formulario 1'!I944))"),"Particular")</f>
        <v>Particular</v>
      </c>
      <c r="J944" s="7" t="str">
        <f>IFERROR(__xludf.DUMMYFUNCTION("IF('Respuestas de formulario 1'!J944&lt;&gt;"""",UPPER(TRIM(TO_TEXT('Respuestas de formulario 1'!J944))),IF('Respuestas de formulario 1'!O944&lt;&gt;"""",UPPER(TRIM(TO_TEXT('Respuestas de formulario 1'!O944))),""""))"),"")</f>
        <v/>
      </c>
      <c r="K944" s="7" t="str">
        <f>IFERROR(__xludf.DUMMYFUNCTION("IF('Respuestas de formulario 1'!K944="""","""",TO_TEXT('Respuestas de formulario 1'!K944))"),"No")</f>
        <v>No</v>
      </c>
      <c r="L944" s="7" t="str">
        <f>IFERROR(__xludf.DUMMYFUNCTION("IF('Respuestas de formulario 1'!L944="""","""",TO_TEXT('Respuestas de formulario 1'!L944))"),"")</f>
        <v/>
      </c>
      <c r="M944" s="7" t="str">
        <f>IFERROR(__xludf.DUMMYFUNCTION("IF('Respuestas de formulario 1'!M944="""","""",TO_TEXT('Respuestas de formulario 1'!M944))"),"")</f>
        <v/>
      </c>
      <c r="N944" s="7">
        <f t="shared" si="1"/>
        <v>2025</v>
      </c>
      <c r="O944" s="7" t="str">
        <f t="shared" si="2"/>
        <v>abril</v>
      </c>
      <c r="P944" s="7" t="s">
        <v>6051</v>
      </c>
    </row>
    <row r="945">
      <c r="A945" s="19">
        <f>'Respuestas de formulario 1'!A945</f>
        <v>45756.62818</v>
      </c>
      <c r="B945" s="7" t="str">
        <f>'Respuestas de formulario 1'!B945</f>
        <v>Peralta </v>
      </c>
      <c r="C945" s="7" t="str">
        <f>'Respuestas de formulario 1'!C945</f>
        <v>Marisel</v>
      </c>
      <c r="D945" s="7" t="str">
        <f>'Respuestas de formulario 1'!D945</f>
        <v>mariselmnp@gmail.com</v>
      </c>
      <c r="E945" s="20">
        <f>'Respuestas de formulario 1'!E945</f>
        <v>30279</v>
      </c>
      <c r="F945" s="7">
        <f>'Respuestas de formulario 1'!F945</f>
        <v>29512477</v>
      </c>
      <c r="G945" s="7" t="str">
        <f>IFERROR(__xludf.DUMMYFUNCTION("IF('Respuestas de formulario 1'!G945="""","""",IF(LEFT(REGEXREPLACE(TO_TEXT('Respuestas de formulario 1'!G945),""[^0-9]"",""""),2)=""54"",""+""&amp;REGEXREPLACE(TO_TEXT('Respuestas de formulario 1'!G945),""[^0-9]"",""""),""+54""&amp;REGEXREPLACE(TO_TEXT('Respuest"&amp;"as de formulario 1'!G945),""[^0-9]"","""")))"),"+543517537748")</f>
        <v>+543517537748</v>
      </c>
      <c r="H945" s="7">
        <f>'Respuestas de formulario 1'!S945</f>
        <v>2025</v>
      </c>
      <c r="I945" s="7" t="str">
        <f>IFERROR(__xludf.DUMMYFUNCTION("IF('Respuestas de formulario 1'!I945="""","""",TO_TEXT('Respuestas de formulario 1'!I945))"),"Obra social")</f>
        <v>Obra social</v>
      </c>
      <c r="J945" s="7" t="str">
        <f>IFERROR(__xludf.DUMMYFUNCTION("IF('Respuestas de formulario 1'!J945&lt;&gt;"""",UPPER(TRIM(TO_TEXT('Respuestas de formulario 1'!J945))),IF('Respuestas de formulario 1'!O945&lt;&gt;"""",UPPER(TRIM(TO_TEXT('Respuestas de formulario 1'!O945))),""""))"),"APROSS")</f>
        <v>APROSS</v>
      </c>
      <c r="K945" s="7" t="str">
        <f>IFERROR(__xludf.DUMMYFUNCTION("IF('Respuestas de formulario 1'!K945="""","""",TO_TEXT('Respuestas de formulario 1'!K945))"),"Si")</f>
        <v>Si</v>
      </c>
      <c r="L945" s="7" t="str">
        <f>IFERROR(__xludf.DUMMYFUNCTION("IF('Respuestas de formulario 1'!L945="""","""",TO_TEXT('Respuestas de formulario 1'!L945))"),"Natación ")</f>
        <v>Natación </v>
      </c>
      <c r="M945" s="7" t="str">
        <f>IFERROR(__xludf.DUMMYFUNCTION("IF('Respuestas de formulario 1'!M945="""","""",TO_TEXT('Respuestas de formulario 1'!M945))"),"1 a 2 veces por semana")</f>
        <v>1 a 2 veces por semana</v>
      </c>
      <c r="N945" s="7">
        <f t="shared" si="1"/>
        <v>2025</v>
      </c>
      <c r="O945" s="7" t="str">
        <f t="shared" si="2"/>
        <v>abril</v>
      </c>
      <c r="P945" s="7" t="s">
        <v>6053</v>
      </c>
    </row>
    <row r="946">
      <c r="A946" s="19">
        <f>'Respuestas de formulario 1'!A946</f>
        <v>45756.69213</v>
      </c>
      <c r="B946" s="7" t="str">
        <f>'Respuestas de formulario 1'!B946</f>
        <v>SILVA</v>
      </c>
      <c r="C946" s="7" t="str">
        <f>'Respuestas de formulario 1'!C946</f>
        <v>Mary</v>
      </c>
      <c r="D946" s="7" t="str">
        <f>'Respuestas de formulario 1'!D946</f>
        <v/>
      </c>
      <c r="E946" s="20">
        <f>'Respuestas de formulario 1'!E946</f>
        <v>25476</v>
      </c>
      <c r="F946" s="7">
        <f>'Respuestas de formulario 1'!F946</f>
        <v>20966836</v>
      </c>
      <c r="G946" s="7" t="str">
        <f>IFERROR(__xludf.DUMMYFUNCTION("IF('Respuestas de formulario 1'!G946="""","""",IF(LEFT(REGEXREPLACE(TO_TEXT('Respuestas de formulario 1'!G946),""[^0-9]"",""""),2)=""54"",""+""&amp;REGEXREPLACE(TO_TEXT('Respuestas de formulario 1'!G946),""[^0-9]"",""""),""+54""&amp;REGEXREPLACE(TO_TEXT('Respuest"&amp;"as de formulario 1'!G946),""[^0-9]"","""")))"),"+543518018923")</f>
        <v>+543518018923</v>
      </c>
      <c r="H946" s="7">
        <f>'Respuestas de formulario 1'!S946</f>
        <v>2025</v>
      </c>
      <c r="I946" s="7" t="str">
        <f>IFERROR(__xludf.DUMMYFUNCTION("IF('Respuestas de formulario 1'!I946="""","""",TO_TEXT('Respuestas de formulario 1'!I946))"),"Particular")</f>
        <v>Particular</v>
      </c>
      <c r="J946" s="7" t="str">
        <f>IFERROR(__xludf.DUMMYFUNCTION("IF('Respuestas de formulario 1'!J946&lt;&gt;"""",UPPER(TRIM(TO_TEXT('Respuestas de formulario 1'!J946))),IF('Respuestas de formulario 1'!O946&lt;&gt;"""",UPPER(TRIM(TO_TEXT('Respuestas de formulario 1'!O946))),""""))"),"")</f>
        <v/>
      </c>
      <c r="K946" s="7" t="str">
        <f>IFERROR(__xludf.DUMMYFUNCTION("IF('Respuestas de formulario 1'!K946="""","""",TO_TEXT('Respuestas de formulario 1'!K946))"),"Si")</f>
        <v>Si</v>
      </c>
      <c r="L946" s="7" t="str">
        <f>IFERROR(__xludf.DUMMYFUNCTION("IF('Respuestas de formulario 1'!L946="""","""",TO_TEXT('Respuestas de formulario 1'!L946))"),"Gimnasio")</f>
        <v>Gimnasio</v>
      </c>
      <c r="M946" s="7" t="str">
        <f>IFERROR(__xludf.DUMMYFUNCTION("IF('Respuestas de formulario 1'!M946="""","""",TO_TEXT('Respuestas de formulario 1'!M946))"),"3 a 5 veces por semana")</f>
        <v>3 a 5 veces por semana</v>
      </c>
      <c r="N946" s="7">
        <f t="shared" si="1"/>
        <v>2025</v>
      </c>
      <c r="O946" s="7" t="str">
        <f t="shared" si="2"/>
        <v>abril</v>
      </c>
      <c r="P946" s="7" t="s">
        <v>6055</v>
      </c>
    </row>
    <row r="947">
      <c r="A947" s="19">
        <f>'Respuestas de formulario 1'!A947</f>
        <v>45756.75851</v>
      </c>
      <c r="B947" s="7" t="str">
        <f>'Respuestas de formulario 1'!B947</f>
        <v>Alvarez</v>
      </c>
      <c r="C947" s="7" t="str">
        <f>'Respuestas de formulario 1'!C947</f>
        <v>Osvaldo</v>
      </c>
      <c r="D947" s="7" t="str">
        <f>'Respuestas de formulario 1'!D947</f>
        <v>egialvarez@hotmail.com</v>
      </c>
      <c r="E947" s="20">
        <f>'Respuestas de formulario 1'!E947</f>
        <v>19714</v>
      </c>
      <c r="F947" s="7">
        <f>'Respuestas de formulario 1'!F947</f>
        <v>10920204</v>
      </c>
      <c r="G947" s="7" t="str">
        <f>IFERROR(__xludf.DUMMYFUNCTION("IF('Respuestas de formulario 1'!G947="""","""",IF(LEFT(REGEXREPLACE(TO_TEXT('Respuestas de formulario 1'!G947),""[^0-9]"",""""),2)=""54"",""+""&amp;REGEXREPLACE(TO_TEXT('Respuestas de formulario 1'!G947),""[^0-9]"",""""),""+54""&amp;REGEXREPLACE(TO_TEXT('Respuest"&amp;"as de formulario 1'!G947),""[^0-9]"","""")))"),"+543516761063")</f>
        <v>+543516761063</v>
      </c>
      <c r="H947" s="7">
        <f>'Respuestas de formulario 1'!S947</f>
        <v>2025</v>
      </c>
      <c r="I947" s="7" t="str">
        <f>IFERROR(__xludf.DUMMYFUNCTION("IF('Respuestas de formulario 1'!I947="""","""",TO_TEXT('Respuestas de formulario 1'!I947))"),"Obra social")</f>
        <v>Obra social</v>
      </c>
      <c r="J947" s="7" t="str">
        <f>IFERROR(__xludf.DUMMYFUNCTION("IF('Respuestas de formulario 1'!J947&lt;&gt;"""",UPPER(TRIM(TO_TEXT('Respuestas de formulario 1'!J947))),IF('Respuestas de formulario 1'!O947&lt;&gt;"""",UPPER(TRIM(TO_TEXT('Respuestas de formulario 1'!O947))),""""))"),"DASPU")</f>
        <v>DASPU</v>
      </c>
      <c r="K947" s="7" t="str">
        <f>IFERROR(__xludf.DUMMYFUNCTION("IF('Respuestas de formulario 1'!K947="""","""",TO_TEXT('Respuestas de formulario 1'!K947))"),"Si")</f>
        <v>Si</v>
      </c>
      <c r="L947" s="7" t="str">
        <f>IFERROR(__xludf.DUMMYFUNCTION("IF('Respuestas de formulario 1'!L947="""","""",TO_TEXT('Respuestas de formulario 1'!L947))"),"Caminata")</f>
        <v>Caminata</v>
      </c>
      <c r="M947" s="7" t="str">
        <f>IFERROR(__xludf.DUMMYFUNCTION("IF('Respuestas de formulario 1'!M947="""","""",TO_TEXT('Respuestas de formulario 1'!M947))"),"3 a 5 veces por semana")</f>
        <v>3 a 5 veces por semana</v>
      </c>
      <c r="N947" s="7">
        <f t="shared" si="1"/>
        <v>2025</v>
      </c>
      <c r="O947" s="7" t="str">
        <f t="shared" si="2"/>
        <v>abril</v>
      </c>
      <c r="P947" s="7" t="s">
        <v>6057</v>
      </c>
    </row>
    <row r="948">
      <c r="A948" s="19">
        <f>'Respuestas de formulario 1'!A948</f>
        <v>45758.72394</v>
      </c>
      <c r="B948" s="7" t="str">
        <f>'Respuestas de formulario 1'!B948</f>
        <v>Pereyra</v>
      </c>
      <c r="C948" s="7" t="str">
        <f>'Respuestas de formulario 1'!C948</f>
        <v>Daniel</v>
      </c>
      <c r="D948" s="7" t="str">
        <f>'Respuestas de formulario 1'!D948</f>
        <v>danii2017.dap@gmail.com</v>
      </c>
      <c r="E948" s="20">
        <f>'Respuestas de formulario 1'!E948</f>
        <v>34275</v>
      </c>
      <c r="F948" s="7">
        <f>'Respuestas de formulario 1'!F948</f>
        <v>38500844</v>
      </c>
      <c r="G948" s="7" t="str">
        <f>IFERROR(__xludf.DUMMYFUNCTION("IF('Respuestas de formulario 1'!G948="""","""",IF(LEFT(REGEXREPLACE(TO_TEXT('Respuestas de formulario 1'!G948),""[^0-9]"",""""),2)=""54"",""+""&amp;REGEXREPLACE(TO_TEXT('Respuestas de formulario 1'!G948),""[^0-9]"",""""),""+54""&amp;REGEXREPLACE(TO_TEXT('Respuest"&amp;"as de formulario 1'!G948),""[^0-9]"","""")))"),"+543516365446")</f>
        <v>+543516365446</v>
      </c>
      <c r="H948" s="7">
        <f>'Respuestas de formulario 1'!S948</f>
        <v>2025</v>
      </c>
      <c r="I948" s="7" t="str">
        <f>IFERROR(__xludf.DUMMYFUNCTION("IF('Respuestas de formulario 1'!I948="""","""",TO_TEXT('Respuestas de formulario 1'!I948))"),"Obra social")</f>
        <v>Obra social</v>
      </c>
      <c r="J948" s="7" t="str">
        <f>IFERROR(__xludf.DUMMYFUNCTION("IF('Respuestas de formulario 1'!J948&lt;&gt;"""",UPPER(TRIM(TO_TEXT('Respuestas de formulario 1'!J948))),IF('Respuestas de formulario 1'!O948&lt;&gt;"""",UPPER(TRIM(TO_TEXT('Respuestas de formulario 1'!O948))),""""))"),"APROSS")</f>
        <v>APROSS</v>
      </c>
      <c r="K948" s="7" t="str">
        <f>IFERROR(__xludf.DUMMYFUNCTION("IF('Respuestas de formulario 1'!K948="""","""",TO_TEXT('Respuestas de formulario 1'!K948))"),"Si")</f>
        <v>Si</v>
      </c>
      <c r="L948" s="7" t="str">
        <f>IFERROR(__xludf.DUMMYFUNCTION("IF('Respuestas de formulario 1'!L948="""","""",TO_TEXT('Respuestas de formulario 1'!L948))"),"Futbol+Correr")</f>
        <v>Futbol+Correr</v>
      </c>
      <c r="M948" s="7" t="str">
        <f>IFERROR(__xludf.DUMMYFUNCTION("IF('Respuestas de formulario 1'!M948="""","""",TO_TEXT('Respuestas de formulario 1'!M948))"),"3 a 5 veces por semana")</f>
        <v>3 a 5 veces por semana</v>
      </c>
      <c r="N948" s="7">
        <f t="shared" si="1"/>
        <v>2025</v>
      </c>
      <c r="O948" s="7" t="str">
        <f t="shared" si="2"/>
        <v>abril</v>
      </c>
      <c r="P948" s="7" t="s">
        <v>6059</v>
      </c>
    </row>
    <row r="949">
      <c r="A949" s="19">
        <f>'Respuestas de formulario 1'!A949</f>
        <v>45758.79492</v>
      </c>
      <c r="B949" s="7" t="str">
        <f>'Respuestas de formulario 1'!B949</f>
        <v>Werner</v>
      </c>
      <c r="C949" s="7" t="str">
        <f>'Respuestas de formulario 1'!C949</f>
        <v>Victoria</v>
      </c>
      <c r="D949" s="7" t="str">
        <f>'Respuestas de formulario 1'!D949</f>
        <v>Marielamazzoni@gmail.com</v>
      </c>
      <c r="E949" s="20">
        <f>'Respuestas de formulario 1'!E949</f>
        <v>37324</v>
      </c>
      <c r="F949" s="7">
        <f>'Respuestas de formulario 1'!F949</f>
        <v>52154931</v>
      </c>
      <c r="G949" s="7" t="str">
        <f>IFERROR(__xludf.DUMMYFUNCTION("IF('Respuestas de formulario 1'!G949="""","""",IF(LEFT(REGEXREPLACE(TO_TEXT('Respuestas de formulario 1'!G949),""[^0-9]"",""""),2)=""54"",""+""&amp;REGEXREPLACE(TO_TEXT('Respuestas de formulario 1'!G949),""[^0-9]"",""""),""+54""&amp;REGEXREPLACE(TO_TEXT('Respuest"&amp;"as de formulario 1'!G949),""[^0-9]"","""")))"),"+543518002086")</f>
        <v>+543518002086</v>
      </c>
      <c r="H949" s="7">
        <f>'Respuestas de formulario 1'!S949</f>
        <v>2025</v>
      </c>
      <c r="I949" s="7" t="str">
        <f>IFERROR(__xludf.DUMMYFUNCTION("IF('Respuestas de formulario 1'!I949="""","""",TO_TEXT('Respuestas de formulario 1'!I949))"),"Obra social")</f>
        <v>Obra social</v>
      </c>
      <c r="J949" s="7" t="str">
        <f>IFERROR(__xludf.DUMMYFUNCTION("IF('Respuestas de formulario 1'!J949&lt;&gt;"""",UPPER(TRIM(TO_TEXT('Respuestas de formulario 1'!J949))),IF('Respuestas de formulario 1'!O949&lt;&gt;"""",UPPER(TRIM(TO_TEXT('Respuestas de formulario 1'!O949))),""""))"),"PREVENCIÓN")</f>
        <v>PREVENCIÓN</v>
      </c>
      <c r="K949" s="7" t="str">
        <f>IFERROR(__xludf.DUMMYFUNCTION("IF('Respuestas de formulario 1'!K949="""","""",TO_TEXT('Respuestas de formulario 1'!K949))"),"Si")</f>
        <v>Si</v>
      </c>
      <c r="L949" s="7" t="str">
        <f>IFERROR(__xludf.DUMMYFUNCTION("IF('Respuestas de formulario 1'!L949="""","""",TO_TEXT('Respuestas de formulario 1'!L949))"),"Voley")</f>
        <v>Voley</v>
      </c>
      <c r="M949" s="7" t="str">
        <f>IFERROR(__xludf.DUMMYFUNCTION("IF('Respuestas de formulario 1'!M949="""","""",TO_TEXT('Respuestas de formulario 1'!M949))"),"6 a 7 veces por semana")</f>
        <v>6 a 7 veces por semana</v>
      </c>
      <c r="N949" s="7">
        <f t="shared" si="1"/>
        <v>2025</v>
      </c>
      <c r="O949" s="7" t="str">
        <f t="shared" si="2"/>
        <v>abril</v>
      </c>
      <c r="P949" s="7" t="s">
        <v>6061</v>
      </c>
    </row>
    <row r="950">
      <c r="A950" s="19">
        <f>'Respuestas de formulario 1'!A950</f>
        <v>45758.8209</v>
      </c>
      <c r="B950" s="7" t="str">
        <f>'Respuestas de formulario 1'!B950</f>
        <v>Marchisone</v>
      </c>
      <c r="C950" s="7" t="str">
        <f>'Respuestas de formulario 1'!C950</f>
        <v>Lucas</v>
      </c>
      <c r="D950" s="7" t="str">
        <f>'Respuestas de formulario 1'!D950</f>
        <v>marchisonel@gmail.com</v>
      </c>
      <c r="E950" s="20">
        <f>'Respuestas de formulario 1'!E950</f>
        <v>33435</v>
      </c>
      <c r="F950" s="7">
        <f>'Respuestas de formulario 1'!F950</f>
        <v>35965476</v>
      </c>
      <c r="G950" s="7" t="str">
        <f>IFERROR(__xludf.DUMMYFUNCTION("IF('Respuestas de formulario 1'!G950="""","""",IF(LEFT(REGEXREPLACE(TO_TEXT('Respuestas de formulario 1'!G950),""[^0-9]"",""""),2)=""54"",""+""&amp;REGEXREPLACE(TO_TEXT('Respuestas de formulario 1'!G950),""[^0-9]"",""""),""+54""&amp;REGEXREPLACE(TO_TEXT('Respuest"&amp;"as de formulario 1'!G950),""[^0-9]"","""")))"),"+543517734188")</f>
        <v>+543517734188</v>
      </c>
      <c r="H950" s="7">
        <f>'Respuestas de formulario 1'!S950</f>
        <v>2025</v>
      </c>
      <c r="I950" s="7" t="str">
        <f>IFERROR(__xludf.DUMMYFUNCTION("IF('Respuestas de formulario 1'!I950="""","""",TO_TEXT('Respuestas de formulario 1'!I950))"),"Particular")</f>
        <v>Particular</v>
      </c>
      <c r="J950" s="7" t="str">
        <f>IFERROR(__xludf.DUMMYFUNCTION("IF('Respuestas de formulario 1'!J950&lt;&gt;"""",UPPER(TRIM(TO_TEXT('Respuestas de formulario 1'!J950))),IF('Respuestas de formulario 1'!O950&lt;&gt;"""",UPPER(TRIM(TO_TEXT('Respuestas de formulario 1'!O950))),""""))"),"")</f>
        <v/>
      </c>
      <c r="K950" s="7" t="str">
        <f>IFERROR(__xludf.DUMMYFUNCTION("IF('Respuestas de formulario 1'!K950="""","""",TO_TEXT('Respuestas de formulario 1'!K950))"),"Si")</f>
        <v>Si</v>
      </c>
      <c r="L950" s="7" t="str">
        <f>IFERROR(__xludf.DUMMYFUNCTION("IF('Respuestas de formulario 1'!L950="""","""",TO_TEXT('Respuestas de formulario 1'!L950))"),"Fútbol")</f>
        <v>Fútbol</v>
      </c>
      <c r="M950" s="7" t="str">
        <f>IFERROR(__xludf.DUMMYFUNCTION("IF('Respuestas de formulario 1'!M950="""","""",TO_TEXT('Respuestas de formulario 1'!M950))"),"3 a 5 veces por semana")</f>
        <v>3 a 5 veces por semana</v>
      </c>
      <c r="N950" s="7">
        <f t="shared" si="1"/>
        <v>2025</v>
      </c>
      <c r="O950" s="7" t="str">
        <f t="shared" si="2"/>
        <v>abril</v>
      </c>
      <c r="P950" s="7" t="s">
        <v>6063</v>
      </c>
    </row>
    <row r="951">
      <c r="A951" s="19">
        <f>'Respuestas de formulario 1'!A951</f>
        <v>45758.8821</v>
      </c>
      <c r="B951" s="7" t="str">
        <f>'Respuestas de formulario 1'!B951</f>
        <v>Martini</v>
      </c>
      <c r="C951" s="7" t="str">
        <f>'Respuestas de formulario 1'!C951</f>
        <v>Valentina</v>
      </c>
      <c r="D951" s="7" t="str">
        <f>'Respuestas de formulario 1'!D951</f>
        <v>valenmartini2002@gmail.com</v>
      </c>
      <c r="E951" s="20">
        <f>'Respuestas de formulario 1'!E951</f>
        <v>19466</v>
      </c>
      <c r="F951" s="7">
        <f>'Respuestas de formulario 1'!F951</f>
        <v>10774385</v>
      </c>
      <c r="G951" s="7" t="str">
        <f>IFERROR(__xludf.DUMMYFUNCTION("IF('Respuestas de formulario 1'!G951="""","""",IF(LEFT(REGEXREPLACE(TO_TEXT('Respuestas de formulario 1'!G951),""[^0-9]"",""""),2)=""54"",""+""&amp;REGEXREPLACE(TO_TEXT('Respuestas de formulario 1'!G951),""[^0-9]"",""""),""+54""&amp;REGEXREPLACE(TO_TEXT('Respuest"&amp;"as de formulario 1'!G951),""[^0-9]"","""")))"),"+543513107075")</f>
        <v>+543513107075</v>
      </c>
      <c r="H951" s="7">
        <f>'Respuestas de formulario 1'!S951</f>
        <v>2025</v>
      </c>
      <c r="I951" s="7" t="str">
        <f>IFERROR(__xludf.DUMMYFUNCTION("IF('Respuestas de formulario 1'!I951="""","""",TO_TEXT('Respuestas de formulario 1'!I951))"),"Obra social")</f>
        <v>Obra social</v>
      </c>
      <c r="J951" s="7" t="str">
        <f>IFERROR(__xludf.DUMMYFUNCTION("IF('Respuestas de formulario 1'!J951&lt;&gt;"""",UPPER(TRIM(TO_TEXT('Respuestas de formulario 1'!J951))),IF('Respuestas de formulario 1'!O951&lt;&gt;"""",UPPER(TRIM(TO_TEXT('Respuestas de formulario 1'!O951))),""""))"),"APROSS")</f>
        <v>APROSS</v>
      </c>
      <c r="K951" s="7" t="str">
        <f>IFERROR(__xludf.DUMMYFUNCTION("IF('Respuestas de formulario 1'!K951="""","""",TO_TEXT('Respuestas de formulario 1'!K951))"),"No")</f>
        <v>No</v>
      </c>
      <c r="L951" s="7" t="str">
        <f>IFERROR(__xludf.DUMMYFUNCTION("IF('Respuestas de formulario 1'!L951="""","""",TO_TEXT('Respuestas de formulario 1'!L951))"),"")</f>
        <v/>
      </c>
      <c r="M951" s="7" t="str">
        <f>IFERROR(__xludf.DUMMYFUNCTION("IF('Respuestas de formulario 1'!M951="""","""",TO_TEXT('Respuestas de formulario 1'!M951))"),"")</f>
        <v/>
      </c>
      <c r="N951" s="7">
        <f t="shared" si="1"/>
        <v>2025</v>
      </c>
      <c r="O951" s="7" t="str">
        <f t="shared" si="2"/>
        <v>abril</v>
      </c>
      <c r="P951" s="7" t="s">
        <v>6065</v>
      </c>
    </row>
    <row r="952">
      <c r="A952" s="19">
        <f>'Respuestas de formulario 1'!A952</f>
        <v>45761.42912</v>
      </c>
      <c r="B952" s="7" t="str">
        <f>'Respuestas de formulario 1'!B952</f>
        <v>Palacios </v>
      </c>
      <c r="C952" s="7" t="str">
        <f>'Respuestas de formulario 1'!C952</f>
        <v>Luciano </v>
      </c>
      <c r="D952" s="7" t="str">
        <f>'Respuestas de formulario 1'!D952</f>
        <v>lucianopalacios48@gmail.com</v>
      </c>
      <c r="E952" s="20">
        <f>'Respuestas de formulario 1'!E952</f>
        <v>36279</v>
      </c>
      <c r="F952" s="21">
        <f>'Respuestas de formulario 1'!F952</f>
        <v>41887291</v>
      </c>
      <c r="G952" s="7" t="str">
        <f>IFERROR(__xludf.DUMMYFUNCTION("IF('Respuestas de formulario 1'!G952="""","""",IF(LEFT(REGEXREPLACE(TO_TEXT('Respuestas de formulario 1'!G952),""[^0-9]"",""""),2)=""54"",""+""&amp;REGEXREPLACE(TO_TEXT('Respuestas de formulario 1'!G952),""[^0-9]"",""""),""+54""&amp;REGEXREPLACE(TO_TEXT('Respuest"&amp;"as de formulario 1'!G952),""[^0-9]"","""")))"),"+543516890302")</f>
        <v>+543516890302</v>
      </c>
      <c r="H952" s="7">
        <f>'Respuestas de formulario 1'!S952</f>
        <v>2025</v>
      </c>
      <c r="I952" s="7" t="str">
        <f>IFERROR(__xludf.DUMMYFUNCTION("IF('Respuestas de formulario 1'!I952="""","""",TO_TEXT('Respuestas de formulario 1'!I952))"),"Obra social")</f>
        <v>Obra social</v>
      </c>
      <c r="J952" s="7" t="str">
        <f>IFERROR(__xludf.DUMMYFUNCTION("IF('Respuestas de formulario 1'!J952&lt;&gt;"""",UPPER(TRIM(TO_TEXT('Respuestas de formulario 1'!J952))),IF('Respuestas de formulario 1'!O952&lt;&gt;"""",UPPER(TRIM(TO_TEXT('Respuestas de formulario 1'!O952))),""""))"),"PREVENCIÓN")</f>
        <v>PREVENCIÓN</v>
      </c>
      <c r="K952" s="7" t="str">
        <f>IFERROR(__xludf.DUMMYFUNCTION("IF('Respuestas de formulario 1'!K952="""","""",TO_TEXT('Respuestas de formulario 1'!K952))"),"Si")</f>
        <v>Si</v>
      </c>
      <c r="L952" s="7" t="str">
        <f>IFERROR(__xludf.DUMMYFUNCTION("IF('Respuestas de formulario 1'!L952="""","""",TO_TEXT('Respuestas de formulario 1'!L952))"),"Fútbol")</f>
        <v>Fútbol</v>
      </c>
      <c r="M952" s="7" t="str">
        <f>IFERROR(__xludf.DUMMYFUNCTION("IF('Respuestas de formulario 1'!M952="""","""",TO_TEXT('Respuestas de formulario 1'!M952))"),"3 a 5 veces por semana")</f>
        <v>3 a 5 veces por semana</v>
      </c>
      <c r="N952" s="7">
        <f t="shared" si="1"/>
        <v>2025</v>
      </c>
      <c r="O952" s="7" t="str">
        <f t="shared" si="2"/>
        <v>abril</v>
      </c>
      <c r="P952" s="7" t="s">
        <v>6067</v>
      </c>
    </row>
    <row r="953">
      <c r="A953" s="19">
        <f>'Respuestas de formulario 1'!A953</f>
        <v>45761.79345</v>
      </c>
      <c r="B953" s="7" t="str">
        <f>'Respuestas de formulario 1'!B953</f>
        <v>Palacios </v>
      </c>
      <c r="C953" s="7" t="str">
        <f>'Respuestas de formulario 1'!C953</f>
        <v>Vanina </v>
      </c>
      <c r="D953" s="7" t="str">
        <f>'Respuestas de formulario 1'!D953</f>
        <v>palaciosvanina39@gmail.com</v>
      </c>
      <c r="E953" s="20">
        <f>'Respuestas de formulario 1'!E953</f>
        <v>38516</v>
      </c>
      <c r="F953" s="7">
        <f>'Respuestas de formulario 1'!F953</f>
        <v>46034082</v>
      </c>
      <c r="G953" s="7" t="str">
        <f>IFERROR(__xludf.DUMMYFUNCTION("IF('Respuestas de formulario 1'!G953="""","""",IF(LEFT(REGEXREPLACE(TO_TEXT('Respuestas de formulario 1'!G953),""[^0-9]"",""""),2)=""54"",""+""&amp;REGEXREPLACE(TO_TEXT('Respuestas de formulario 1'!G953),""[^0-9]"",""""),""+54""&amp;REGEXREPLACE(TO_TEXT('Respuest"&amp;"as de formulario 1'!G953),""[^0-9]"","""")))"),"+5435167713413515901845")</f>
        <v>+5435167713413515901845</v>
      </c>
      <c r="H953" s="7">
        <f>'Respuestas de formulario 1'!S953</f>
        <v>2025</v>
      </c>
      <c r="I953" s="7" t="str">
        <f>IFERROR(__xludf.DUMMYFUNCTION("IF('Respuestas de formulario 1'!I953="""","""",TO_TEXT('Respuestas de formulario 1'!I953))"),"Obra social")</f>
        <v>Obra social</v>
      </c>
      <c r="J953" s="7" t="str">
        <f>IFERROR(__xludf.DUMMYFUNCTION("IF('Respuestas de formulario 1'!J953&lt;&gt;"""",UPPER(TRIM(TO_TEXT('Respuestas de formulario 1'!J953))),IF('Respuestas de formulario 1'!O953&lt;&gt;"""",UPPER(TRIM(TO_TEXT('Respuestas de formulario 1'!O953))),""""))"),"APROSS")</f>
        <v>APROSS</v>
      </c>
      <c r="K953" s="7" t="str">
        <f>IFERROR(__xludf.DUMMYFUNCTION("IF('Respuestas de formulario 1'!K953="""","""",TO_TEXT('Respuestas de formulario 1'!K953))"),"Si")</f>
        <v>Si</v>
      </c>
      <c r="L953" s="7" t="str">
        <f>IFERROR(__xludf.DUMMYFUNCTION("IF('Respuestas de formulario 1'!L953="""","""",TO_TEXT('Respuestas de formulario 1'!L953))"),"Running")</f>
        <v>Running</v>
      </c>
      <c r="M953" s="7" t="str">
        <f>IFERROR(__xludf.DUMMYFUNCTION("IF('Respuestas de formulario 1'!M953="""","""",TO_TEXT('Respuestas de formulario 1'!M953))"),"3 a 5 veces por semana")</f>
        <v>3 a 5 veces por semana</v>
      </c>
      <c r="N953" s="7">
        <f t="shared" si="1"/>
        <v>2025</v>
      </c>
      <c r="O953" s="7" t="str">
        <f t="shared" si="2"/>
        <v>abril</v>
      </c>
      <c r="P953" s="7" t="s">
        <v>6068</v>
      </c>
    </row>
    <row r="954">
      <c r="A954" s="19">
        <f>'Respuestas de formulario 1'!A954</f>
        <v>45762.46213</v>
      </c>
      <c r="B954" s="7" t="str">
        <f>'Respuestas de formulario 1'!B954</f>
        <v>Morales</v>
      </c>
      <c r="C954" s="7" t="str">
        <f>'Respuestas de formulario 1'!C954</f>
        <v>Facundo</v>
      </c>
      <c r="D954" s="7" t="str">
        <f>'Respuestas de formulario 1'!D954</f>
        <v>juanfamorales@gmail.com</v>
      </c>
      <c r="E954" s="20">
        <f>'Respuestas de formulario 1'!E954</f>
        <v>30839</v>
      </c>
      <c r="F954" s="7">
        <f>'Respuestas de formulario 1'!F954</f>
        <v>30772775</v>
      </c>
      <c r="G954" s="7" t="str">
        <f>IFERROR(__xludf.DUMMYFUNCTION("IF('Respuestas de formulario 1'!G954="""","""",IF(LEFT(REGEXREPLACE(TO_TEXT('Respuestas de formulario 1'!G954),""[^0-9]"",""""),2)=""54"",""+""&amp;REGEXREPLACE(TO_TEXT('Respuestas de formulario 1'!G954),""[^0-9]"",""""),""+54""&amp;REGEXREPLACE(TO_TEXT('Respuest"&amp;"as de formulario 1'!G954),""[^0-9]"","""")))"),"+543516313815")</f>
        <v>+543516313815</v>
      </c>
      <c r="H954" s="7">
        <f>'Respuestas de formulario 1'!S954</f>
        <v>2025</v>
      </c>
      <c r="I954" s="7" t="str">
        <f>IFERROR(__xludf.DUMMYFUNCTION("IF('Respuestas de formulario 1'!I954="""","""",TO_TEXT('Respuestas de formulario 1'!I954))"),"Particular")</f>
        <v>Particular</v>
      </c>
      <c r="J954" s="7" t="str">
        <f>IFERROR(__xludf.DUMMYFUNCTION("IF('Respuestas de formulario 1'!J954&lt;&gt;"""",UPPER(TRIM(TO_TEXT('Respuestas de formulario 1'!J954))),IF('Respuestas de formulario 1'!O954&lt;&gt;"""",UPPER(TRIM(TO_TEXT('Respuestas de formulario 1'!O954))),""""))"),"")</f>
        <v/>
      </c>
      <c r="K954" s="7" t="str">
        <f>IFERROR(__xludf.DUMMYFUNCTION("IF('Respuestas de formulario 1'!K954="""","""",TO_TEXT('Respuestas de formulario 1'!K954))"),"Si")</f>
        <v>Si</v>
      </c>
      <c r="L954" s="7" t="str">
        <f>IFERROR(__xludf.DUMMYFUNCTION("IF('Respuestas de formulario 1'!L954="""","""",TO_TEXT('Respuestas de formulario 1'!L954))"),"Caminatas y gym")</f>
        <v>Caminatas y gym</v>
      </c>
      <c r="M954" s="7" t="str">
        <f>IFERROR(__xludf.DUMMYFUNCTION("IF('Respuestas de formulario 1'!M954="""","""",TO_TEXT('Respuestas de formulario 1'!M954))"),"3 a 5 veces por semana")</f>
        <v>3 a 5 veces por semana</v>
      </c>
      <c r="N954" s="7">
        <f t="shared" si="1"/>
        <v>2025</v>
      </c>
      <c r="O954" s="7" t="str">
        <f t="shared" si="2"/>
        <v>abril</v>
      </c>
      <c r="P954" s="7" t="s">
        <v>6070</v>
      </c>
    </row>
    <row r="955">
      <c r="A955" s="19">
        <f>'Respuestas de formulario 1'!A955</f>
        <v>45762.72465</v>
      </c>
      <c r="B955" s="7" t="str">
        <f>'Respuestas de formulario 1'!B955</f>
        <v>Menseguez</v>
      </c>
      <c r="C955" s="7" t="str">
        <f>'Respuestas de formulario 1'!C955</f>
        <v>Juan Cruz</v>
      </c>
      <c r="D955" s="7" t="str">
        <f>'Respuestas de formulario 1'!D955</f>
        <v/>
      </c>
      <c r="E955" s="20">
        <f>'Respuestas de formulario 1'!E955</f>
        <v>32401</v>
      </c>
      <c r="F955" s="7">
        <f>'Respuestas de formulario 1'!F955</f>
        <v>33893221</v>
      </c>
      <c r="G955" s="7" t="str">
        <f>IFERROR(__xludf.DUMMYFUNCTION("IF('Respuestas de formulario 1'!G955="""","""",IF(LEFT(REGEXREPLACE(TO_TEXT('Respuestas de formulario 1'!G955),""[^0-9]"",""""),2)=""54"",""+""&amp;REGEXREPLACE(TO_TEXT('Respuestas de formulario 1'!G955),""[^0-9]"",""""),""+54""&amp;REGEXREPLACE(TO_TEXT('Respuest"&amp;"as de formulario 1'!G955),""[^0-9]"","""")))"),"+543513346346")</f>
        <v>+543513346346</v>
      </c>
      <c r="H955" s="7">
        <f>'Respuestas de formulario 1'!S955</f>
        <v>2025</v>
      </c>
      <c r="I955" s="7" t="str">
        <f>IFERROR(__xludf.DUMMYFUNCTION("IF('Respuestas de formulario 1'!I955="""","""",TO_TEXT('Respuestas de formulario 1'!I955))"),"Particular")</f>
        <v>Particular</v>
      </c>
      <c r="J955" s="7" t="str">
        <f>IFERROR(__xludf.DUMMYFUNCTION("IF('Respuestas de formulario 1'!J955&lt;&gt;"""",UPPER(TRIM(TO_TEXT('Respuestas de formulario 1'!J955))),IF('Respuestas de formulario 1'!O955&lt;&gt;"""",UPPER(TRIM(TO_TEXT('Respuestas de formulario 1'!O955))),""""))"),"")</f>
        <v/>
      </c>
      <c r="K955" s="7" t="str">
        <f>IFERROR(__xludf.DUMMYFUNCTION("IF('Respuestas de formulario 1'!K955="""","""",TO_TEXT('Respuestas de formulario 1'!K955))"),"Si")</f>
        <v>Si</v>
      </c>
      <c r="L955" s="7" t="str">
        <f>IFERROR(__xludf.DUMMYFUNCTION("IF('Respuestas de formulario 1'!L955="""","""",TO_TEXT('Respuestas de formulario 1'!L955))"),"Fútbol")</f>
        <v>Fútbol</v>
      </c>
      <c r="M955" s="7" t="str">
        <f>IFERROR(__xludf.DUMMYFUNCTION("IF('Respuestas de formulario 1'!M955="""","""",TO_TEXT('Respuestas de formulario 1'!M955))"),"3 a 5 veces por semana")</f>
        <v>3 a 5 veces por semana</v>
      </c>
      <c r="N955" s="7">
        <f t="shared" si="1"/>
        <v>2025</v>
      </c>
      <c r="O955" s="7" t="str">
        <f t="shared" si="2"/>
        <v>abril</v>
      </c>
      <c r="P955" s="7" t="s">
        <v>6072</v>
      </c>
    </row>
    <row r="956">
      <c r="A956" s="19">
        <f>'Respuestas de formulario 1'!A956</f>
        <v>45762.82382</v>
      </c>
      <c r="B956" s="7" t="str">
        <f>'Respuestas de formulario 1'!B956</f>
        <v>Pont</v>
      </c>
      <c r="C956" s="7" t="str">
        <f>'Respuestas de formulario 1'!C956</f>
        <v>María Angélica </v>
      </c>
      <c r="D956" s="7" t="str">
        <f>'Respuestas de formulario 1'!D956</f>
        <v>gabrielazurlo@gmail,com</v>
      </c>
      <c r="E956" s="20">
        <f>'Respuestas de formulario 1'!E956</f>
        <v>16501</v>
      </c>
      <c r="F956" s="7">
        <f>'Respuestas de formulario 1'!F956</f>
        <v>5098861</v>
      </c>
      <c r="G956" s="7" t="str">
        <f>IFERROR(__xludf.DUMMYFUNCTION("IF('Respuestas de formulario 1'!G956="""","""",IF(LEFT(REGEXREPLACE(TO_TEXT('Respuestas de formulario 1'!G956),""[^0-9]"",""""),2)=""54"",""+""&amp;REGEXREPLACE(TO_TEXT('Respuestas de formulario 1'!G956),""[^0-9]"",""""),""+54""&amp;REGEXREPLACE(TO_TEXT('Respuest"&amp;"as de formulario 1'!G956),""[^0-9]"","""")))"),"+543513746299")</f>
        <v>+543513746299</v>
      </c>
      <c r="H956" s="7">
        <f>'Respuestas de formulario 1'!S956</f>
        <v>2025</v>
      </c>
      <c r="I956" s="7" t="str">
        <f>IFERROR(__xludf.DUMMYFUNCTION("IF('Respuestas de formulario 1'!I956="""","""",TO_TEXT('Respuestas de formulario 1'!I956))"),"Obra social")</f>
        <v>Obra social</v>
      </c>
      <c r="J956" s="7" t="str">
        <f>IFERROR(__xludf.DUMMYFUNCTION("IF('Respuestas de formulario 1'!J956&lt;&gt;"""",UPPER(TRIM(TO_TEXT('Respuestas de formulario 1'!J956))),IF('Respuestas de formulario 1'!O956&lt;&gt;"""",UPPER(TRIM(TO_TEXT('Respuestas de formulario 1'!O956))),""""))"),"APROSS")</f>
        <v>APROSS</v>
      </c>
      <c r="K956" s="7" t="str">
        <f>IFERROR(__xludf.DUMMYFUNCTION("IF('Respuestas de formulario 1'!K956="""","""",TO_TEXT('Respuestas de formulario 1'!K956))"),"No")</f>
        <v>No</v>
      </c>
      <c r="L956" s="7" t="str">
        <f>IFERROR(__xludf.DUMMYFUNCTION("IF('Respuestas de formulario 1'!L956="""","""",TO_TEXT('Respuestas de formulario 1'!L956))"),"")</f>
        <v/>
      </c>
      <c r="M956" s="7" t="str">
        <f>IFERROR(__xludf.DUMMYFUNCTION("IF('Respuestas de formulario 1'!M956="""","""",TO_TEXT('Respuestas de formulario 1'!M956))"),"")</f>
        <v/>
      </c>
      <c r="N956" s="7">
        <f t="shared" si="1"/>
        <v>2025</v>
      </c>
      <c r="O956" s="7" t="str">
        <f t="shared" si="2"/>
        <v>abril</v>
      </c>
      <c r="P956" s="7" t="s">
        <v>6074</v>
      </c>
    </row>
    <row r="957">
      <c r="A957" s="19">
        <f>'Respuestas de formulario 1'!A957</f>
        <v>45763.77794</v>
      </c>
      <c r="B957" s="7" t="str">
        <f>'Respuestas de formulario 1'!B957</f>
        <v>Scordo</v>
      </c>
      <c r="C957" s="7" t="str">
        <f>'Respuestas de formulario 1'!C957</f>
        <v>Claudia</v>
      </c>
      <c r="D957" s="7" t="str">
        <f>'Respuestas de formulario 1'!D957</f>
        <v>Claudiascordo16@gmail.com</v>
      </c>
      <c r="E957" s="20">
        <f>'Respuestas de formulario 1'!E957</f>
        <v>25155</v>
      </c>
      <c r="F957" s="7">
        <f>'Respuestas de formulario 1'!F957</f>
        <v>20532674</v>
      </c>
      <c r="G957" s="7" t="str">
        <f>IFERROR(__xludf.DUMMYFUNCTION("IF('Respuestas de formulario 1'!G957="""","""",IF(LEFT(REGEXREPLACE(TO_TEXT('Respuestas de formulario 1'!G957),""[^0-9]"",""""),2)=""54"",""+""&amp;REGEXREPLACE(TO_TEXT('Respuestas de formulario 1'!G957),""[^0-9]"",""""),""+54""&amp;REGEXREPLACE(TO_TEXT('Respuest"&amp;"as de formulario 1'!G957),""[^0-9]"","""")))"),"+543515109541")</f>
        <v>+543515109541</v>
      </c>
      <c r="H957" s="7">
        <f>'Respuestas de formulario 1'!S957</f>
        <v>2025</v>
      </c>
      <c r="I957" s="7" t="str">
        <f>IFERROR(__xludf.DUMMYFUNCTION("IF('Respuestas de formulario 1'!I957="""","""",TO_TEXT('Respuestas de formulario 1'!I957))"),"Particular")</f>
        <v>Particular</v>
      </c>
      <c r="J957" s="7" t="str">
        <f>IFERROR(__xludf.DUMMYFUNCTION("IF('Respuestas de formulario 1'!J957&lt;&gt;"""",UPPER(TRIM(TO_TEXT('Respuestas de formulario 1'!J957))),IF('Respuestas de formulario 1'!O957&lt;&gt;"""",UPPER(TRIM(TO_TEXT('Respuestas de formulario 1'!O957))),""""))"),"")</f>
        <v/>
      </c>
      <c r="K957" s="7" t="str">
        <f>IFERROR(__xludf.DUMMYFUNCTION("IF('Respuestas de formulario 1'!K957="""","""",TO_TEXT('Respuestas de formulario 1'!K957))"),"Si")</f>
        <v>Si</v>
      </c>
      <c r="L957" s="7" t="str">
        <f>IFERROR(__xludf.DUMMYFUNCTION("IF('Respuestas de formulario 1'!L957="""","""",TO_TEXT('Respuestas de formulario 1'!L957))"),"Flamenco")</f>
        <v>Flamenco</v>
      </c>
      <c r="M957" s="7" t="str">
        <f>IFERROR(__xludf.DUMMYFUNCTION("IF('Respuestas de formulario 1'!M957="""","""",TO_TEXT('Respuestas de formulario 1'!M957))"),"1 a 2 veces por semana")</f>
        <v>1 a 2 veces por semana</v>
      </c>
      <c r="N957" s="7">
        <f t="shared" si="1"/>
        <v>2025</v>
      </c>
      <c r="O957" s="7" t="str">
        <f t="shared" si="2"/>
        <v>abril</v>
      </c>
      <c r="P957" s="7" t="s">
        <v>6076</v>
      </c>
    </row>
    <row r="958">
      <c r="A958" s="19">
        <f>'Respuestas de formulario 1'!A958</f>
        <v>45764.64462</v>
      </c>
      <c r="B958" s="7" t="str">
        <f>'Respuestas de formulario 1'!B958</f>
        <v>Dolard</v>
      </c>
      <c r="C958" s="7" t="str">
        <f>'Respuestas de formulario 1'!C958</f>
        <v>Agustin</v>
      </c>
      <c r="D958" s="7" t="str">
        <f>'Respuestas de formulario 1'!D958</f>
        <v/>
      </c>
      <c r="E958" s="20">
        <f>'Respuestas de formulario 1'!E958</f>
        <v>36090</v>
      </c>
      <c r="F958" s="7">
        <f>'Respuestas de formulario 1'!F958</f>
        <v>41600143</v>
      </c>
      <c r="G958" s="7" t="str">
        <f>IFERROR(__xludf.DUMMYFUNCTION("IF('Respuestas de formulario 1'!G958="""","""",IF(LEFT(REGEXREPLACE(TO_TEXT('Respuestas de formulario 1'!G958),""[^0-9]"",""""),2)=""54"",""+""&amp;REGEXREPLACE(TO_TEXT('Respuestas de formulario 1'!G958),""[^0-9]"",""""),""+54""&amp;REGEXREPLACE(TO_TEXT('Respuest"&amp;"as de formulario 1'!G958),""[^0-9]"","""")))"),"+543513484526")</f>
        <v>+543513484526</v>
      </c>
      <c r="H958" s="7">
        <f>'Respuestas de formulario 1'!S958</f>
        <v>2025</v>
      </c>
      <c r="I958" s="7" t="str">
        <f>IFERROR(__xludf.DUMMYFUNCTION("IF('Respuestas de formulario 1'!I958="""","""",TO_TEXT('Respuestas de formulario 1'!I958))"),"Obra social")</f>
        <v>Obra social</v>
      </c>
      <c r="J958" s="7" t="str">
        <f>IFERROR(__xludf.DUMMYFUNCTION("IF('Respuestas de formulario 1'!J958&lt;&gt;"""",UPPER(TRIM(TO_TEXT('Respuestas de formulario 1'!J958))),IF('Respuestas de formulario 1'!O958&lt;&gt;"""",UPPER(TRIM(TO_TEXT('Respuestas de formulario 1'!O958))),""""))"),"")</f>
        <v/>
      </c>
      <c r="K958" s="7" t="str">
        <f>IFERROR(__xludf.DUMMYFUNCTION("IF('Respuestas de formulario 1'!K958="""","""",TO_TEXT('Respuestas de formulario 1'!K958))"),"No")</f>
        <v>No</v>
      </c>
      <c r="L958" s="7" t="str">
        <f>IFERROR(__xludf.DUMMYFUNCTION("IF('Respuestas de formulario 1'!L958="""","""",TO_TEXT('Respuestas de formulario 1'!L958))"),"")</f>
        <v/>
      </c>
      <c r="M958" s="7" t="str">
        <f>IFERROR(__xludf.DUMMYFUNCTION("IF('Respuestas de formulario 1'!M958="""","""",TO_TEXT('Respuestas de formulario 1'!M958))"),"")</f>
        <v/>
      </c>
      <c r="N958" s="7">
        <f t="shared" si="1"/>
        <v>2025</v>
      </c>
      <c r="O958" s="7" t="str">
        <f t="shared" si="2"/>
        <v>abril</v>
      </c>
      <c r="P958" s="7" t="s">
        <v>6078</v>
      </c>
    </row>
    <row r="959">
      <c r="A959" s="19">
        <f>'Respuestas de formulario 1'!A959</f>
        <v>45764.75444</v>
      </c>
      <c r="B959" s="7" t="str">
        <f>'Respuestas de formulario 1'!B959</f>
        <v>Dorflinger</v>
      </c>
      <c r="C959" s="7" t="str">
        <f>'Respuestas de formulario 1'!C959</f>
        <v>Walter</v>
      </c>
      <c r="D959" s="7" t="str">
        <f>'Respuestas de formulario 1'!D959</f>
        <v>1059walter@gmail.com</v>
      </c>
      <c r="E959" s="20">
        <f>'Respuestas de formulario 1'!E959</f>
        <v>21680</v>
      </c>
      <c r="F959" s="7">
        <f>'Respuestas de formulario 1'!F959</f>
        <v>12998499</v>
      </c>
      <c r="G959" s="7" t="str">
        <f>IFERROR(__xludf.DUMMYFUNCTION("IF('Respuestas de formulario 1'!G959="""","""",IF(LEFT(REGEXREPLACE(TO_TEXT('Respuestas de formulario 1'!G959),""[^0-9]"",""""),2)=""54"",""+""&amp;REGEXREPLACE(TO_TEXT('Respuestas de formulario 1'!G959),""[^0-9]"",""""),""+54""&amp;REGEXREPLACE(TO_TEXT('Respuest"&amp;"as de formulario 1'!G959),""[^0-9]"","""")))"),"+543516880117")</f>
        <v>+543516880117</v>
      </c>
      <c r="H959" s="7">
        <f>'Respuestas de formulario 1'!S959</f>
        <v>2025</v>
      </c>
      <c r="I959" s="7" t="str">
        <f>IFERROR(__xludf.DUMMYFUNCTION("IF('Respuestas de formulario 1'!I959="""","""",TO_TEXT('Respuestas de formulario 1'!I959))"),"Particular")</f>
        <v>Particular</v>
      </c>
      <c r="J959" s="7" t="str">
        <f>IFERROR(__xludf.DUMMYFUNCTION("IF('Respuestas de formulario 1'!J959&lt;&gt;"""",UPPER(TRIM(TO_TEXT('Respuestas de formulario 1'!J959))),IF('Respuestas de formulario 1'!O959&lt;&gt;"""",UPPER(TRIM(TO_TEXT('Respuestas de formulario 1'!O959))),""""))"),"")</f>
        <v/>
      </c>
      <c r="K959" s="7" t="str">
        <f>IFERROR(__xludf.DUMMYFUNCTION("IF('Respuestas de formulario 1'!K959="""","""",TO_TEXT('Respuestas de formulario 1'!K959))"),"Si")</f>
        <v>Si</v>
      </c>
      <c r="L959" s="7" t="str">
        <f>IFERROR(__xludf.DUMMYFUNCTION("IF('Respuestas de formulario 1'!L959="""","""",TO_TEXT('Respuestas de formulario 1'!L959))"),"Fronto")</f>
        <v>Fronto</v>
      </c>
      <c r="M959" s="7" t="str">
        <f>IFERROR(__xludf.DUMMYFUNCTION("IF('Respuestas de formulario 1'!M959="""","""",TO_TEXT('Respuestas de formulario 1'!M959))"),"1 a 2 veces por semana")</f>
        <v>1 a 2 veces por semana</v>
      </c>
      <c r="N959" s="7">
        <f t="shared" si="1"/>
        <v>2025</v>
      </c>
      <c r="O959" s="7" t="str">
        <f t="shared" si="2"/>
        <v>abril</v>
      </c>
      <c r="P959" s="7" t="s">
        <v>6080</v>
      </c>
    </row>
    <row r="960">
      <c r="A960" s="19">
        <f>'Respuestas de formulario 1'!A960</f>
        <v>45764.78975</v>
      </c>
      <c r="B960" s="7" t="str">
        <f>'Respuestas de formulario 1'!B960</f>
        <v>Aguirre Messina</v>
      </c>
      <c r="C960" s="7" t="str">
        <f>'Respuestas de formulario 1'!C960</f>
        <v>Paloma</v>
      </c>
      <c r="D960" s="7" t="str">
        <f>'Respuestas de formulario 1'!D960</f>
        <v>palomamessina10@gmail.com</v>
      </c>
      <c r="E960" s="20">
        <f>'Respuestas de formulario 1'!E960</f>
        <v>38654</v>
      </c>
      <c r="F960" s="7">
        <f>'Respuestas de formulario 1'!F960</f>
        <v>46849942</v>
      </c>
      <c r="G960" s="7" t="str">
        <f>IFERROR(__xludf.DUMMYFUNCTION("IF('Respuestas de formulario 1'!G960="""","""",IF(LEFT(REGEXREPLACE(TO_TEXT('Respuestas de formulario 1'!G960),""[^0-9]"",""""),2)=""54"",""+""&amp;REGEXREPLACE(TO_TEXT('Respuestas de formulario 1'!G960),""[^0-9]"",""""),""+54""&amp;REGEXREPLACE(TO_TEXT('Respuest"&amp;"as de formulario 1'!G960),""[^0-9]"","""")))"),"+543518026715")</f>
        <v>+543518026715</v>
      </c>
      <c r="H960" s="7">
        <f>'Respuestas de formulario 1'!S960</f>
        <v>2025</v>
      </c>
      <c r="I960" s="7" t="str">
        <f>IFERROR(__xludf.DUMMYFUNCTION("IF('Respuestas de formulario 1'!I960="""","""",TO_TEXT('Respuestas de formulario 1'!I960))"),"Obra social")</f>
        <v>Obra social</v>
      </c>
      <c r="J960" s="7" t="str">
        <f>IFERROR(__xludf.DUMMYFUNCTION("IF('Respuestas de formulario 1'!J960&lt;&gt;"""",UPPER(TRIM(TO_TEXT('Respuestas de formulario 1'!J960))),IF('Respuestas de formulario 1'!O960&lt;&gt;"""",UPPER(TRIM(TO_TEXT('Respuestas de formulario 1'!O960))),""""))"),"APROSS")</f>
        <v>APROSS</v>
      </c>
      <c r="K960" s="7" t="str">
        <f>IFERROR(__xludf.DUMMYFUNCTION("IF('Respuestas de formulario 1'!K960="""","""",TO_TEXT('Respuestas de formulario 1'!K960))"),"Si")</f>
        <v>Si</v>
      </c>
      <c r="L960" s="7" t="str">
        <f>IFERROR(__xludf.DUMMYFUNCTION("IF('Respuestas de formulario 1'!L960="""","""",TO_TEXT('Respuestas de formulario 1'!L960))"),"Fútbol")</f>
        <v>Fútbol</v>
      </c>
      <c r="M960" s="7" t="str">
        <f>IFERROR(__xludf.DUMMYFUNCTION("IF('Respuestas de formulario 1'!M960="""","""",TO_TEXT('Respuestas de formulario 1'!M960))"),"3 a 5 veces por semana")</f>
        <v>3 a 5 veces por semana</v>
      </c>
      <c r="N960" s="7">
        <f t="shared" si="1"/>
        <v>2025</v>
      </c>
      <c r="O960" s="7" t="str">
        <f t="shared" si="2"/>
        <v>abril</v>
      </c>
      <c r="P960" s="7" t="s">
        <v>6082</v>
      </c>
    </row>
    <row r="961">
      <c r="A961" s="19">
        <f>'Respuestas de formulario 1'!A961</f>
        <v>45768.41811</v>
      </c>
      <c r="B961" s="7" t="str">
        <f>'Respuestas de formulario 1'!B961</f>
        <v>Ponce</v>
      </c>
      <c r="C961" s="7" t="str">
        <f>'Respuestas de formulario 1'!C961</f>
        <v>Mailen</v>
      </c>
      <c r="D961" s="7" t="str">
        <f>'Respuestas de formulario 1'!D961</f>
        <v>cele_1504@hotmail.com</v>
      </c>
      <c r="E961" s="20">
        <f>'Respuestas de formulario 1'!E961</f>
        <v>40592</v>
      </c>
      <c r="F961" s="7">
        <f>'Respuestas de formulario 1'!F961</f>
        <v>50854409</v>
      </c>
      <c r="G961" s="7" t="str">
        <f>IFERROR(__xludf.DUMMYFUNCTION("IF('Respuestas de formulario 1'!G961="""","""",IF(LEFT(REGEXREPLACE(TO_TEXT('Respuestas de formulario 1'!G961),""[^0-9]"",""""),2)=""54"",""+""&amp;REGEXREPLACE(TO_TEXT('Respuestas de formulario 1'!G961),""[^0-9]"",""""),""+54""&amp;REGEXREPLACE(TO_TEXT('Respuest"&amp;"as de formulario 1'!G961),""[^0-9]"","""")))"),"+543512586760")</f>
        <v>+543512586760</v>
      </c>
      <c r="H961" s="7">
        <f>'Respuestas de formulario 1'!S961</f>
        <v>2025</v>
      </c>
      <c r="I961" s="7" t="str">
        <f>IFERROR(__xludf.DUMMYFUNCTION("IF('Respuestas de formulario 1'!I961="""","""",TO_TEXT('Respuestas de formulario 1'!I961))"),"Obra social")</f>
        <v>Obra social</v>
      </c>
      <c r="J961" s="7" t="str">
        <f>IFERROR(__xludf.DUMMYFUNCTION("IF('Respuestas de formulario 1'!J961&lt;&gt;"""",UPPER(TRIM(TO_TEXT('Respuestas de formulario 1'!J961))),IF('Respuestas de formulario 1'!O961&lt;&gt;"""",UPPER(TRIM(TO_TEXT('Respuestas de formulario 1'!O961))),""""))"),"PREVENCIÓN")</f>
        <v>PREVENCIÓN</v>
      </c>
      <c r="K961" s="7" t="str">
        <f>IFERROR(__xludf.DUMMYFUNCTION("IF('Respuestas de formulario 1'!K961="""","""",TO_TEXT('Respuestas de formulario 1'!K961))"),"Si")</f>
        <v>Si</v>
      </c>
      <c r="L961" s="7" t="str">
        <f>IFERROR(__xludf.DUMMYFUNCTION("IF('Respuestas de formulario 1'!L961="""","""",TO_TEXT('Respuestas de formulario 1'!L961))"),"Básquet")</f>
        <v>Básquet</v>
      </c>
      <c r="M961" s="7" t="str">
        <f>IFERROR(__xludf.DUMMYFUNCTION("IF('Respuestas de formulario 1'!M961="""","""",TO_TEXT('Respuestas de formulario 1'!M961))"),"3 a 5 veces por semana")</f>
        <v>3 a 5 veces por semana</v>
      </c>
      <c r="N961" s="7">
        <f t="shared" si="1"/>
        <v>2025</v>
      </c>
      <c r="O961" s="7" t="str">
        <f t="shared" si="2"/>
        <v>abril</v>
      </c>
      <c r="P961" s="7" t="s">
        <v>6084</v>
      </c>
    </row>
    <row r="962">
      <c r="A962" s="19">
        <f>'Respuestas de formulario 1'!A962</f>
        <v>45768.41987</v>
      </c>
      <c r="B962" s="7" t="str">
        <f>'Respuestas de formulario 1'!B962</f>
        <v>Cavallero Figueroa </v>
      </c>
      <c r="C962" s="7" t="str">
        <f>'Respuestas de formulario 1'!C962</f>
        <v>Alma</v>
      </c>
      <c r="D962" s="7" t="str">
        <f>'Respuestas de formulario 1'!D962</f>
        <v>ingaramo.ma@gmail.com</v>
      </c>
      <c r="E962" s="20">
        <f>'Respuestas de formulario 1'!E962</f>
        <v>40270</v>
      </c>
      <c r="F962" s="7">
        <f>'Respuestas de formulario 1'!F962</f>
        <v>52867560</v>
      </c>
      <c r="G962" s="7" t="str">
        <f>IFERROR(__xludf.DUMMYFUNCTION("IF('Respuestas de formulario 1'!G962="""","""",IF(LEFT(REGEXREPLACE(TO_TEXT('Respuestas de formulario 1'!G962),""[^0-9]"",""""),2)=""54"",""+""&amp;REGEXREPLACE(TO_TEXT('Respuestas de formulario 1'!G962),""[^0-9]"",""""),""+54""&amp;REGEXREPLACE(TO_TEXT('Respuest"&amp;"as de formulario 1'!G962),""[^0-9]"","""")))"),"+543512383506")</f>
        <v>+543512383506</v>
      </c>
      <c r="H962" s="7">
        <f>'Respuestas de formulario 1'!S962</f>
        <v>2025</v>
      </c>
      <c r="I962" s="7" t="str">
        <f>IFERROR(__xludf.DUMMYFUNCTION("IF('Respuestas de formulario 1'!I962="""","""",TO_TEXT('Respuestas de formulario 1'!I962))"),"Particular")</f>
        <v>Particular</v>
      </c>
      <c r="J962" s="7" t="str">
        <f>IFERROR(__xludf.DUMMYFUNCTION("IF('Respuestas de formulario 1'!J962&lt;&gt;"""",UPPER(TRIM(TO_TEXT('Respuestas de formulario 1'!J962))),IF('Respuestas de formulario 1'!O962&lt;&gt;"""",UPPER(TRIM(TO_TEXT('Respuestas de formulario 1'!O962))),""""))"),"")</f>
        <v/>
      </c>
      <c r="K962" s="7" t="str">
        <f>IFERROR(__xludf.DUMMYFUNCTION("IF('Respuestas de formulario 1'!K962="""","""",TO_TEXT('Respuestas de formulario 1'!K962))"),"Si")</f>
        <v>Si</v>
      </c>
      <c r="L962" s="7" t="str">
        <f>IFERROR(__xludf.DUMMYFUNCTION("IF('Respuestas de formulario 1'!L962="""","""",TO_TEXT('Respuestas de formulario 1'!L962))"),"Fútbol")</f>
        <v>Fútbol</v>
      </c>
      <c r="M962" s="7" t="str">
        <f>IFERROR(__xludf.DUMMYFUNCTION("IF('Respuestas de formulario 1'!M962="""","""",TO_TEXT('Respuestas de formulario 1'!M962))"),"3 a 5 veces por semana")</f>
        <v>3 a 5 veces por semana</v>
      </c>
      <c r="N962" s="7">
        <f t="shared" si="1"/>
        <v>2025</v>
      </c>
      <c r="O962" s="7" t="str">
        <f t="shared" si="2"/>
        <v>abril</v>
      </c>
      <c r="P962" s="7" t="s">
        <v>6086</v>
      </c>
    </row>
    <row r="963">
      <c r="A963" s="19">
        <f>'Respuestas de formulario 1'!A963</f>
        <v>45768.4449</v>
      </c>
      <c r="B963" s="7" t="str">
        <f>'Respuestas de formulario 1'!B963</f>
        <v>Gallardo</v>
      </c>
      <c r="C963" s="7" t="str">
        <f>'Respuestas de formulario 1'!C963</f>
        <v>Alejandro</v>
      </c>
      <c r="D963" s="7" t="str">
        <f>'Respuestas de formulario 1'!D963</f>
        <v>Ale47gallardo@gmail.com</v>
      </c>
      <c r="E963" s="20">
        <f>'Respuestas de formulario 1'!E963</f>
        <v>32028</v>
      </c>
      <c r="F963" s="7">
        <f>'Respuestas de formulario 1'!F963</f>
        <v>33227169</v>
      </c>
      <c r="G963" s="7" t="str">
        <f>IFERROR(__xludf.DUMMYFUNCTION("IF('Respuestas de formulario 1'!G963="""","""",IF(LEFT(REGEXREPLACE(TO_TEXT('Respuestas de formulario 1'!G963),""[^0-9]"",""""),2)=""54"",""+""&amp;REGEXREPLACE(TO_TEXT('Respuestas de formulario 1'!G963),""[^0-9]"",""""),""+54""&amp;REGEXREPLACE(TO_TEXT('Respuest"&amp;"as de formulario 1'!G963),""[^0-9]"","""")))"),"+543517672758")</f>
        <v>+543517672758</v>
      </c>
      <c r="H963" s="7">
        <f>'Respuestas de formulario 1'!S963</f>
        <v>2025</v>
      </c>
      <c r="I963" s="7" t="str">
        <f>IFERROR(__xludf.DUMMYFUNCTION("IF('Respuestas de formulario 1'!I963="""","""",TO_TEXT('Respuestas de formulario 1'!I963))"),"Particular")</f>
        <v>Particular</v>
      </c>
      <c r="J963" s="7" t="str">
        <f>IFERROR(__xludf.DUMMYFUNCTION("IF('Respuestas de formulario 1'!J963&lt;&gt;"""",UPPER(TRIM(TO_TEXT('Respuestas de formulario 1'!J963))),IF('Respuestas de formulario 1'!O963&lt;&gt;"""",UPPER(TRIM(TO_TEXT('Respuestas de formulario 1'!O963))),""""))"),"")</f>
        <v/>
      </c>
      <c r="K963" s="7" t="str">
        <f>IFERROR(__xludf.DUMMYFUNCTION("IF('Respuestas de formulario 1'!K963="""","""",TO_TEXT('Respuestas de formulario 1'!K963))"),"No")</f>
        <v>No</v>
      </c>
      <c r="L963" s="7" t="str">
        <f>IFERROR(__xludf.DUMMYFUNCTION("IF('Respuestas de formulario 1'!L963="""","""",TO_TEXT('Respuestas de formulario 1'!L963))"),"")</f>
        <v/>
      </c>
      <c r="M963" s="7" t="str">
        <f>IFERROR(__xludf.DUMMYFUNCTION("IF('Respuestas de formulario 1'!M963="""","""",TO_TEXT('Respuestas de formulario 1'!M963))"),"")</f>
        <v/>
      </c>
      <c r="N963" s="7">
        <f t="shared" si="1"/>
        <v>2025</v>
      </c>
      <c r="O963" s="7" t="str">
        <f t="shared" si="2"/>
        <v>abril</v>
      </c>
      <c r="P963" s="7" t="s">
        <v>5422</v>
      </c>
    </row>
    <row r="964">
      <c r="A964" s="19">
        <f>'Respuestas de formulario 1'!A964</f>
        <v>45768.47998</v>
      </c>
      <c r="B964" s="7" t="str">
        <f>'Respuestas de formulario 1'!B964</f>
        <v>Ludueña</v>
      </c>
      <c r="C964" s="7" t="str">
        <f>'Respuestas de formulario 1'!C964</f>
        <v>Ignacio</v>
      </c>
      <c r="D964" s="7" t="str">
        <f>'Respuestas de formulario 1'!D964</f>
        <v>nachitoiacc@gmail.com</v>
      </c>
      <c r="E964" s="20">
        <f>'Respuestas de formulario 1'!E964</f>
        <v>37432</v>
      </c>
      <c r="F964" s="7">
        <f>'Respuestas de formulario 1'!F964</f>
        <v>43811634</v>
      </c>
      <c r="G964" s="7" t="str">
        <f>IFERROR(__xludf.DUMMYFUNCTION("IF('Respuestas de formulario 1'!G964="""","""",IF(LEFT(REGEXREPLACE(TO_TEXT('Respuestas de formulario 1'!G964),""[^0-9]"",""""),2)=""54"",""+""&amp;REGEXREPLACE(TO_TEXT('Respuestas de formulario 1'!G964),""[^0-9]"",""""),""+54""&amp;REGEXREPLACE(TO_TEXT('Respuest"&amp;"as de formulario 1'!G964),""[^0-9]"","""")))"),"+543516988111")</f>
        <v>+543516988111</v>
      </c>
      <c r="H964" s="7">
        <f>'Respuestas de formulario 1'!S964</f>
        <v>2025</v>
      </c>
      <c r="I964" s="7" t="str">
        <f>IFERROR(__xludf.DUMMYFUNCTION("IF('Respuestas de formulario 1'!I964="""","""",TO_TEXT('Respuestas de formulario 1'!I964))"),"Particular")</f>
        <v>Particular</v>
      </c>
      <c r="J964" s="7" t="str">
        <f>IFERROR(__xludf.DUMMYFUNCTION("IF('Respuestas de formulario 1'!J964&lt;&gt;"""",UPPER(TRIM(TO_TEXT('Respuestas de formulario 1'!J964))),IF('Respuestas de formulario 1'!O964&lt;&gt;"""",UPPER(TRIM(TO_TEXT('Respuestas de formulario 1'!O964))),""""))"),"")</f>
        <v/>
      </c>
      <c r="K964" s="7" t="str">
        <f>IFERROR(__xludf.DUMMYFUNCTION("IF('Respuestas de formulario 1'!K964="""","""",TO_TEXT('Respuestas de formulario 1'!K964))"),"Si")</f>
        <v>Si</v>
      </c>
      <c r="L964" s="7" t="str">
        <f>IFERROR(__xludf.DUMMYFUNCTION("IF('Respuestas de formulario 1'!L964="""","""",TO_TEXT('Respuestas de formulario 1'!L964))"),"Fútbol")</f>
        <v>Fútbol</v>
      </c>
      <c r="M964" s="7" t="str">
        <f>IFERROR(__xludf.DUMMYFUNCTION("IF('Respuestas de formulario 1'!M964="""","""",TO_TEXT('Respuestas de formulario 1'!M964))"),"3 a 5 veces por semana")</f>
        <v>3 a 5 veces por semana</v>
      </c>
      <c r="N964" s="7">
        <f t="shared" si="1"/>
        <v>2025</v>
      </c>
      <c r="O964" s="7" t="str">
        <f t="shared" si="2"/>
        <v>abril</v>
      </c>
      <c r="P964" s="7" t="s">
        <v>6087</v>
      </c>
    </row>
    <row r="965">
      <c r="A965" s="19">
        <f>'Respuestas de formulario 1'!A965</f>
        <v>45768.73816</v>
      </c>
      <c r="B965" s="7" t="str">
        <f>'Respuestas de formulario 1'!B965</f>
        <v>CERASO </v>
      </c>
      <c r="C965" s="7" t="str">
        <f>'Respuestas de formulario 1'!C965</f>
        <v>Lucas </v>
      </c>
      <c r="D965" s="7" t="str">
        <f>'Respuestas de formulario 1'!D965</f>
        <v>lucasceraso@hotmail.com</v>
      </c>
      <c r="E965" s="20">
        <f>'Respuestas de formulario 1'!E965</f>
        <v>30621</v>
      </c>
      <c r="F965" s="7">
        <f>'Respuestas de formulario 1'!F965</f>
        <v>30389784</v>
      </c>
      <c r="G965" s="7" t="str">
        <f>IFERROR(__xludf.DUMMYFUNCTION("IF('Respuestas de formulario 1'!G965="""","""",IF(LEFT(REGEXREPLACE(TO_TEXT('Respuestas de formulario 1'!G965),""[^0-9]"",""""),2)=""54"",""+""&amp;REGEXREPLACE(TO_TEXT('Respuestas de formulario 1'!G965),""[^0-9]"",""""),""+54""&amp;REGEXREPLACE(TO_TEXT('Respuest"&amp;"as de formulario 1'!G965),""[^0-9]"","""")))"),"+543412020195")</f>
        <v>+543412020195</v>
      </c>
      <c r="H965" s="7">
        <f>'Respuestas de formulario 1'!S965</f>
        <v>2025</v>
      </c>
      <c r="I965" s="7" t="str">
        <f>IFERROR(__xludf.DUMMYFUNCTION("IF('Respuestas de formulario 1'!I965="""","""",TO_TEXT('Respuestas de formulario 1'!I965))"),"Particular")</f>
        <v>Particular</v>
      </c>
      <c r="J965" s="7" t="str">
        <f>IFERROR(__xludf.DUMMYFUNCTION("IF('Respuestas de formulario 1'!J965&lt;&gt;"""",UPPER(TRIM(TO_TEXT('Respuestas de formulario 1'!J965))),IF('Respuestas de formulario 1'!O965&lt;&gt;"""",UPPER(TRIM(TO_TEXT('Respuestas de formulario 1'!O965))),""""))"),"")</f>
        <v/>
      </c>
      <c r="K965" s="7" t="str">
        <f>IFERROR(__xludf.DUMMYFUNCTION("IF('Respuestas de formulario 1'!K965="""","""",TO_TEXT('Respuestas de formulario 1'!K965))"),"Si")</f>
        <v>Si</v>
      </c>
      <c r="L965" s="7" t="str">
        <f>IFERROR(__xludf.DUMMYFUNCTION("IF('Respuestas de formulario 1'!L965="""","""",TO_TEXT('Respuestas de formulario 1'!L965))"),"Trote, caminata y futbol eventualmente ")</f>
        <v>Trote, caminata y futbol eventualmente </v>
      </c>
      <c r="M965" s="7" t="str">
        <f>IFERROR(__xludf.DUMMYFUNCTION("IF('Respuestas de formulario 1'!M965="""","""",TO_TEXT('Respuestas de formulario 1'!M965))"),"3 a 5 veces por semana")</f>
        <v>3 a 5 veces por semana</v>
      </c>
      <c r="N965" s="7">
        <f t="shared" si="1"/>
        <v>2025</v>
      </c>
      <c r="O965" s="7" t="str">
        <f t="shared" si="2"/>
        <v>abril</v>
      </c>
      <c r="P965" s="7" t="s">
        <v>6089</v>
      </c>
    </row>
    <row r="966">
      <c r="A966" s="19">
        <f>'Respuestas de formulario 1'!A966</f>
        <v>45768.80587</v>
      </c>
      <c r="B966" s="7" t="str">
        <f>'Respuestas de formulario 1'!B966</f>
        <v>Batallan</v>
      </c>
      <c r="C966" s="7" t="str">
        <f>'Respuestas de formulario 1'!C966</f>
        <v>Raul</v>
      </c>
      <c r="D966" s="7" t="str">
        <f>'Respuestas de formulario 1'!D966</f>
        <v>rbatallan@broggio.com.ar</v>
      </c>
      <c r="E966" s="20">
        <f>'Respuestas de formulario 1'!E966</f>
        <v>20884</v>
      </c>
      <c r="F966" s="7">
        <f>'Respuestas de formulario 1'!F966</f>
        <v>12995443</v>
      </c>
      <c r="G966" s="7" t="str">
        <f>IFERROR(__xludf.DUMMYFUNCTION("IF('Respuestas de formulario 1'!G966="""","""",IF(LEFT(REGEXREPLACE(TO_TEXT('Respuestas de formulario 1'!G966),""[^0-9]"",""""),2)=""54"",""+""&amp;REGEXREPLACE(TO_TEXT('Respuestas de formulario 1'!G966),""[^0-9]"",""""),""+54""&amp;REGEXREPLACE(TO_TEXT('Respuest"&amp;"as de formulario 1'!G966),""[^0-9]"","""")))"),"+543515214857")</f>
        <v>+543515214857</v>
      </c>
      <c r="H966" s="7">
        <f>'Respuestas de formulario 1'!S966</f>
        <v>2025</v>
      </c>
      <c r="I966" s="7" t="str">
        <f>IFERROR(__xludf.DUMMYFUNCTION("IF('Respuestas de formulario 1'!I966="""","""",TO_TEXT('Respuestas de formulario 1'!I966))"),"Particular")</f>
        <v>Particular</v>
      </c>
      <c r="J966" s="7" t="str">
        <f>IFERROR(__xludf.DUMMYFUNCTION("IF('Respuestas de formulario 1'!J966&lt;&gt;"""",UPPER(TRIM(TO_TEXT('Respuestas de formulario 1'!J966))),IF('Respuestas de formulario 1'!O966&lt;&gt;"""",UPPER(TRIM(TO_TEXT('Respuestas de formulario 1'!O966))),""""))"),"")</f>
        <v/>
      </c>
      <c r="K966" s="7" t="str">
        <f>IFERROR(__xludf.DUMMYFUNCTION("IF('Respuestas de formulario 1'!K966="""","""",TO_TEXT('Respuestas de formulario 1'!K966))"),"Si")</f>
        <v>Si</v>
      </c>
      <c r="L966" s="7" t="str">
        <f>IFERROR(__xludf.DUMMYFUNCTION("IF('Respuestas de formulario 1'!L966="""","""",TO_TEXT('Respuestas de formulario 1'!L966))"),"Gimnasio")</f>
        <v>Gimnasio</v>
      </c>
      <c r="M966" s="7" t="str">
        <f>IFERROR(__xludf.DUMMYFUNCTION("IF('Respuestas de formulario 1'!M966="""","""",TO_TEXT('Respuestas de formulario 1'!M966))"),"3 a 5 veces por semana")</f>
        <v>3 a 5 veces por semana</v>
      </c>
      <c r="N966" s="7">
        <f t="shared" si="1"/>
        <v>2025</v>
      </c>
      <c r="O966" s="7" t="str">
        <f t="shared" si="2"/>
        <v>abril</v>
      </c>
      <c r="P966" s="7" t="s">
        <v>6091</v>
      </c>
    </row>
    <row r="967">
      <c r="A967" s="19">
        <f>'Respuestas de formulario 1'!A967</f>
        <v>45768.83373</v>
      </c>
      <c r="B967" s="7" t="str">
        <f>'Respuestas de formulario 1'!B967</f>
        <v>GIACOMELLI</v>
      </c>
      <c r="C967" s="7" t="str">
        <f>'Respuestas de formulario 1'!C967</f>
        <v>Franco </v>
      </c>
      <c r="D967" s="7" t="str">
        <f>'Respuestas de formulario 1'!D967</f>
        <v>francopgsa@gmail.com</v>
      </c>
      <c r="E967" s="20">
        <f>'Respuestas de formulario 1'!E967</f>
        <v>34684</v>
      </c>
      <c r="F967" s="7">
        <f>'Respuestas de formulario 1'!F967</f>
        <v>38644083</v>
      </c>
      <c r="G967" s="7" t="str">
        <f>IFERROR(__xludf.DUMMYFUNCTION("IF('Respuestas de formulario 1'!G967="""","""",IF(LEFT(REGEXREPLACE(TO_TEXT('Respuestas de formulario 1'!G967),""[^0-9]"",""""),2)=""54"",""+""&amp;REGEXREPLACE(TO_TEXT('Respuestas de formulario 1'!G967),""[^0-9]"",""""),""+54""&amp;REGEXREPLACE(TO_TEXT('Respuest"&amp;"as de formulario 1'!G967),""[^0-9]"","""")))"),"+543513127200")</f>
        <v>+543513127200</v>
      </c>
      <c r="H967" s="7">
        <f>'Respuestas de formulario 1'!S967</f>
        <v>2025</v>
      </c>
      <c r="I967" s="7" t="str">
        <f>IFERROR(__xludf.DUMMYFUNCTION("IF('Respuestas de formulario 1'!I967="""","""",TO_TEXT('Respuestas de formulario 1'!I967))"),"Particular")</f>
        <v>Particular</v>
      </c>
      <c r="J967" s="7" t="str">
        <f>IFERROR(__xludf.DUMMYFUNCTION("IF('Respuestas de formulario 1'!J967&lt;&gt;"""",UPPER(TRIM(TO_TEXT('Respuestas de formulario 1'!J967))),IF('Respuestas de formulario 1'!O967&lt;&gt;"""",UPPER(TRIM(TO_TEXT('Respuestas de formulario 1'!O967))),""""))"),"")</f>
        <v/>
      </c>
      <c r="K967" s="7" t="str">
        <f>IFERROR(__xludf.DUMMYFUNCTION("IF('Respuestas de formulario 1'!K967="""","""",TO_TEXT('Respuestas de formulario 1'!K967))"),"Si")</f>
        <v>Si</v>
      </c>
      <c r="L967" s="7" t="str">
        <f>IFERROR(__xludf.DUMMYFUNCTION("IF('Respuestas de formulario 1'!L967="""","""",TO_TEXT('Respuestas de formulario 1'!L967))"),"gimnasio, BMX")</f>
        <v>gimnasio, BMX</v>
      </c>
      <c r="M967" s="7" t="str">
        <f>IFERROR(__xludf.DUMMYFUNCTION("IF('Respuestas de formulario 1'!M967="""","""",TO_TEXT('Respuestas de formulario 1'!M967))"),"3 a 5 veces por semana")</f>
        <v>3 a 5 veces por semana</v>
      </c>
      <c r="N967" s="7">
        <f t="shared" si="1"/>
        <v>2025</v>
      </c>
      <c r="O967" s="7" t="str">
        <f t="shared" si="2"/>
        <v>abril</v>
      </c>
      <c r="P967" s="7" t="s">
        <v>6093</v>
      </c>
    </row>
    <row r="968">
      <c r="A968" s="19">
        <f>'Respuestas de formulario 1'!A968</f>
        <v>45769.43529</v>
      </c>
      <c r="B968" s="7" t="str">
        <f>'Respuestas de formulario 1'!B968</f>
        <v>Acosta</v>
      </c>
      <c r="C968" s="7" t="str">
        <f>'Respuestas de formulario 1'!C968</f>
        <v>Maylen </v>
      </c>
      <c r="D968" s="7" t="str">
        <f>'Respuestas de formulario 1'!D968</f>
        <v>acostamaylen6@gmail.com</v>
      </c>
      <c r="E968" s="20">
        <f>'Respuestas de formulario 1'!E968</f>
        <v>37868</v>
      </c>
      <c r="F968" s="7">
        <f>'Respuestas de formulario 1'!F968</f>
        <v>45026146</v>
      </c>
      <c r="G968" s="7" t="str">
        <f>IFERROR(__xludf.DUMMYFUNCTION("IF('Respuestas de formulario 1'!G968="""","""",IF(LEFT(REGEXREPLACE(TO_TEXT('Respuestas de formulario 1'!G968),""[^0-9]"",""""),2)=""54"",""+""&amp;REGEXREPLACE(TO_TEXT('Respuestas de formulario 1'!G968),""[^0-9]"",""""),""+54""&amp;REGEXREPLACE(TO_TEXT('Respuest"&amp;"as de formulario 1'!G968),""[^0-9]"","""")))"),"+543513799497")</f>
        <v>+543513799497</v>
      </c>
      <c r="H968" s="7">
        <f>'Respuestas de formulario 1'!S968</f>
        <v>2025</v>
      </c>
      <c r="I968" s="7" t="str">
        <f>IFERROR(__xludf.DUMMYFUNCTION("IF('Respuestas de formulario 1'!I968="""","""",TO_TEXT('Respuestas de formulario 1'!I968))"),"Obra social")</f>
        <v>Obra social</v>
      </c>
      <c r="J968" s="7" t="str">
        <f>IFERROR(__xludf.DUMMYFUNCTION("IF('Respuestas de formulario 1'!J968&lt;&gt;"""",UPPER(TRIM(TO_TEXT('Respuestas de formulario 1'!J968))),IF('Respuestas de formulario 1'!O968&lt;&gt;"""",UPPER(TRIM(TO_TEXT('Respuestas de formulario 1'!O968))),""""))"),"PREVENCIÓN")</f>
        <v>PREVENCIÓN</v>
      </c>
      <c r="K968" s="7" t="str">
        <f>IFERROR(__xludf.DUMMYFUNCTION("IF('Respuestas de formulario 1'!K968="""","""",TO_TEXT('Respuestas de formulario 1'!K968))"),"No")</f>
        <v>No</v>
      </c>
      <c r="L968" s="7" t="str">
        <f>IFERROR(__xludf.DUMMYFUNCTION("IF('Respuestas de formulario 1'!L968="""","""",TO_TEXT('Respuestas de formulario 1'!L968))"),"")</f>
        <v/>
      </c>
      <c r="M968" s="7" t="str">
        <f>IFERROR(__xludf.DUMMYFUNCTION("IF('Respuestas de formulario 1'!M968="""","""",TO_TEXT('Respuestas de formulario 1'!M968))"),"")</f>
        <v/>
      </c>
      <c r="N968" s="7">
        <f t="shared" si="1"/>
        <v>2025</v>
      </c>
      <c r="O968" s="7" t="str">
        <f t="shared" si="2"/>
        <v>abril</v>
      </c>
      <c r="P968" s="7" t="s">
        <v>6095</v>
      </c>
    </row>
    <row r="969">
      <c r="A969" s="19">
        <f>'Respuestas de formulario 1'!A969</f>
        <v>45769.8379</v>
      </c>
      <c r="B969" s="7" t="str">
        <f>'Respuestas de formulario 1'!B969</f>
        <v>Cabanillas</v>
      </c>
      <c r="C969" s="7" t="str">
        <f>'Respuestas de formulario 1'!C969</f>
        <v>Miguel</v>
      </c>
      <c r="D969" s="7" t="str">
        <f>'Respuestas de formulario 1'!D969</f>
        <v>miguecabanillas@gmail.com</v>
      </c>
      <c r="E969" s="20">
        <f>'Respuestas de formulario 1'!E969</f>
        <v>32503</v>
      </c>
      <c r="F969" s="7">
        <f>'Respuestas de formulario 1'!F969</f>
        <v>34316740</v>
      </c>
      <c r="G969" s="7" t="str">
        <f>IFERROR(__xludf.DUMMYFUNCTION("IF('Respuestas de formulario 1'!G969="""","""",IF(LEFT(REGEXREPLACE(TO_TEXT('Respuestas de formulario 1'!G969),""[^0-9]"",""""),2)=""54"",""+""&amp;REGEXREPLACE(TO_TEXT('Respuestas de formulario 1'!G969),""[^0-9]"",""""),""+54""&amp;REGEXREPLACE(TO_TEXT('Respuest"&amp;"as de formulario 1'!G969),""[^0-9]"","""")))"),"+543512441054")</f>
        <v>+543512441054</v>
      </c>
      <c r="H969" s="7">
        <f>'Respuestas de formulario 1'!S969</f>
        <v>2025</v>
      </c>
      <c r="I969" s="7" t="str">
        <f>IFERROR(__xludf.DUMMYFUNCTION("IF('Respuestas de formulario 1'!I969="""","""",TO_TEXT('Respuestas de formulario 1'!I969))"),"Obra social")</f>
        <v>Obra social</v>
      </c>
      <c r="J969" s="7" t="str">
        <f>IFERROR(__xludf.DUMMYFUNCTION("IF('Respuestas de formulario 1'!J969&lt;&gt;"""",UPPER(TRIM(TO_TEXT('Respuestas de formulario 1'!J969))),IF('Respuestas de formulario 1'!O969&lt;&gt;"""",UPPER(TRIM(TO_TEXT('Respuestas de formulario 1'!O969))),""""))"),"DASPU")</f>
        <v>DASPU</v>
      </c>
      <c r="K969" s="7" t="str">
        <f>IFERROR(__xludf.DUMMYFUNCTION("IF('Respuestas de formulario 1'!K969="""","""",TO_TEXT('Respuestas de formulario 1'!K969))"),"Si")</f>
        <v>Si</v>
      </c>
      <c r="L969" s="7" t="str">
        <f>IFERROR(__xludf.DUMMYFUNCTION("IF('Respuestas de formulario 1'!L969="""","""",TO_TEXT('Respuestas de formulario 1'!L969))"),"Golf")</f>
        <v>Golf</v>
      </c>
      <c r="M969" s="7" t="str">
        <f>IFERROR(__xludf.DUMMYFUNCTION("IF('Respuestas de formulario 1'!M969="""","""",TO_TEXT('Respuestas de formulario 1'!M969))"),"1 a 2 veces por semana")</f>
        <v>1 a 2 veces por semana</v>
      </c>
      <c r="N969" s="7">
        <f t="shared" si="1"/>
        <v>2025</v>
      </c>
      <c r="O969" s="7" t="str">
        <f t="shared" si="2"/>
        <v>abril</v>
      </c>
      <c r="P969" s="7" t="s">
        <v>6097</v>
      </c>
    </row>
    <row r="970">
      <c r="A970" s="19">
        <f>'Respuestas de formulario 1'!A970</f>
        <v>45770.41</v>
      </c>
      <c r="B970" s="7" t="str">
        <f>'Respuestas de formulario 1'!B970</f>
        <v>Cortez</v>
      </c>
      <c r="C970" s="7" t="str">
        <f>'Respuestas de formulario 1'!C970</f>
        <v>Angelica Nene</v>
      </c>
      <c r="D970" s="7" t="str">
        <f>'Respuestas de formulario 1'!D970</f>
        <v>nenecitapatino0501@gmail.com</v>
      </c>
      <c r="E970" s="20">
        <f>'Respuestas de formulario 1'!E970</f>
        <v>18633</v>
      </c>
      <c r="F970" s="7">
        <f>'Respuestas de formulario 1'!F970</f>
        <v>6494708</v>
      </c>
      <c r="G970" s="7" t="str">
        <f>IFERROR(__xludf.DUMMYFUNCTION("IF('Respuestas de formulario 1'!G970="""","""",IF(LEFT(REGEXREPLACE(TO_TEXT('Respuestas de formulario 1'!G970),""[^0-9]"",""""),2)=""54"",""+""&amp;REGEXREPLACE(TO_TEXT('Respuestas de formulario 1'!G970),""[^0-9]"",""""),""+54""&amp;REGEXREPLACE(TO_TEXT('Respuest"&amp;"as de formulario 1'!G970),""[^0-9]"","""")))"),"+54")</f>
        <v>+54</v>
      </c>
      <c r="H970" s="7">
        <f>'Respuestas de formulario 1'!S970</f>
        <v>2025</v>
      </c>
      <c r="I970" s="7" t="str">
        <f>IFERROR(__xludf.DUMMYFUNCTION("IF('Respuestas de formulario 1'!I970="""","""",TO_TEXT('Respuestas de formulario 1'!I970))"),"Obra social")</f>
        <v>Obra social</v>
      </c>
      <c r="J970" s="7" t="str">
        <f>IFERROR(__xludf.DUMMYFUNCTION("IF('Respuestas de formulario 1'!J970&lt;&gt;"""",UPPER(TRIM(TO_TEXT('Respuestas de formulario 1'!J970))),IF('Respuestas de formulario 1'!O970&lt;&gt;"""",UPPER(TRIM(TO_TEXT('Respuestas de formulario 1'!O970))),""""))"),"DASPU")</f>
        <v>DASPU</v>
      </c>
      <c r="K970" s="7" t="str">
        <f>IFERROR(__xludf.DUMMYFUNCTION("IF('Respuestas de formulario 1'!K970="""","""",TO_TEXT('Respuestas de formulario 1'!K970))"),"No")</f>
        <v>No</v>
      </c>
      <c r="L970" s="7" t="str">
        <f>IFERROR(__xludf.DUMMYFUNCTION("IF('Respuestas de formulario 1'!L970="""","""",TO_TEXT('Respuestas de formulario 1'!L970))"),"")</f>
        <v/>
      </c>
      <c r="M970" s="7" t="str">
        <f>IFERROR(__xludf.DUMMYFUNCTION("IF('Respuestas de formulario 1'!M970="""","""",TO_TEXT('Respuestas de formulario 1'!M970))"),"")</f>
        <v/>
      </c>
      <c r="N970" s="7">
        <f t="shared" si="1"/>
        <v>2025</v>
      </c>
      <c r="O970" s="7" t="str">
        <f t="shared" si="2"/>
        <v>abril</v>
      </c>
      <c r="P970" s="7" t="s">
        <v>6099</v>
      </c>
    </row>
    <row r="971">
      <c r="A971" s="19">
        <f>'Respuestas de formulario 1'!A971</f>
        <v>45770.76471</v>
      </c>
      <c r="B971" s="7" t="str">
        <f>'Respuestas de formulario 1'!B971</f>
        <v>Paulino</v>
      </c>
      <c r="C971" s="7" t="str">
        <f>'Respuestas de formulario 1'!C971</f>
        <v>Sofia</v>
      </c>
      <c r="D971" s="7" t="str">
        <f>'Respuestas de formulario 1'!D971</f>
        <v>lic.vatiluschi@gmail.com</v>
      </c>
      <c r="E971" s="20">
        <f>'Respuestas de formulario 1'!E971</f>
        <v>40422</v>
      </c>
      <c r="F971" s="7">
        <f>'Respuestas de formulario 1'!F971</f>
        <v>50422125</v>
      </c>
      <c r="G971" s="7" t="str">
        <f>IFERROR(__xludf.DUMMYFUNCTION("IF('Respuestas de formulario 1'!G971="""","""",IF(LEFT(REGEXREPLACE(TO_TEXT('Respuestas de formulario 1'!G971),""[^0-9]"",""""),2)=""54"",""+""&amp;REGEXREPLACE(TO_TEXT('Respuestas de formulario 1'!G971),""[^0-9]"",""""),""+54""&amp;REGEXREPLACE(TO_TEXT('Respuest"&amp;"as de formulario 1'!G971),""[^0-9]"","""")))"),"+54")</f>
        <v>+54</v>
      </c>
      <c r="H971" s="7">
        <f>'Respuestas de formulario 1'!S971</f>
        <v>2025</v>
      </c>
      <c r="I971" s="7" t="str">
        <f>IFERROR(__xludf.DUMMYFUNCTION("IF('Respuestas de formulario 1'!I971="""","""",TO_TEXT('Respuestas de formulario 1'!I971))"),"Particular")</f>
        <v>Particular</v>
      </c>
      <c r="J971" s="7" t="str">
        <f>IFERROR(__xludf.DUMMYFUNCTION("IF('Respuestas de formulario 1'!J971&lt;&gt;"""",UPPER(TRIM(TO_TEXT('Respuestas de formulario 1'!J971))),IF('Respuestas de formulario 1'!O971&lt;&gt;"""",UPPER(TRIM(TO_TEXT('Respuestas de formulario 1'!O971))),""""))"),"")</f>
        <v/>
      </c>
      <c r="K971" s="7" t="str">
        <f>IFERROR(__xludf.DUMMYFUNCTION("IF('Respuestas de formulario 1'!K971="""","""",TO_TEXT('Respuestas de formulario 1'!K971))"),"Si")</f>
        <v>Si</v>
      </c>
      <c r="L971" s="7" t="str">
        <f>IFERROR(__xludf.DUMMYFUNCTION("IF('Respuestas de formulario 1'!L971="""","""",TO_TEXT('Respuestas de formulario 1'!L971))"),"Handball")</f>
        <v>Handball</v>
      </c>
      <c r="M971" s="7" t="str">
        <f>IFERROR(__xludf.DUMMYFUNCTION("IF('Respuestas de formulario 1'!M971="""","""",TO_TEXT('Respuestas de formulario 1'!M971))"),"3 a 5 veces por semana")</f>
        <v>3 a 5 veces por semana</v>
      </c>
      <c r="N971" s="7">
        <f t="shared" si="1"/>
        <v>2025</v>
      </c>
      <c r="O971" s="7" t="str">
        <f t="shared" si="2"/>
        <v>abril</v>
      </c>
      <c r="P971" s="7" t="s">
        <v>6100</v>
      </c>
    </row>
    <row r="972">
      <c r="A972" s="19">
        <f>'Respuestas de formulario 1'!A972</f>
        <v>45771.69905</v>
      </c>
      <c r="B972" s="7" t="str">
        <f>'Respuestas de formulario 1'!B972</f>
        <v>Tobares</v>
      </c>
      <c r="C972" s="7" t="str">
        <f>'Respuestas de formulario 1'!C972</f>
        <v>Regina</v>
      </c>
      <c r="D972" s="7" t="str">
        <f>'Respuestas de formulario 1'!D972</f>
        <v>regina.tobares@gmail.com</v>
      </c>
      <c r="E972" s="20">
        <f>'Respuestas de formulario 1'!E972</f>
        <v>31101</v>
      </c>
      <c r="F972" s="7">
        <f>'Respuestas de formulario 1'!F972</f>
        <v>31355985</v>
      </c>
      <c r="G972" s="7" t="str">
        <f>IFERROR(__xludf.DUMMYFUNCTION("IF('Respuestas de formulario 1'!G972="""","""",IF(LEFT(REGEXREPLACE(TO_TEXT('Respuestas de formulario 1'!G972),""[^0-9]"",""""),2)=""54"",""+""&amp;REGEXREPLACE(TO_TEXT('Respuestas de formulario 1'!G972),""[^0-9]"",""""),""+54""&amp;REGEXREPLACE(TO_TEXT('Respuest"&amp;"as de formulario 1'!G972),""[^0-9]"","""")))"),"+543512665822")</f>
        <v>+543512665822</v>
      </c>
      <c r="H972" s="7">
        <f>'Respuestas de formulario 1'!S972</f>
        <v>2025</v>
      </c>
      <c r="I972" s="7" t="str">
        <f>IFERROR(__xludf.DUMMYFUNCTION("IF('Respuestas de formulario 1'!I972="""","""",TO_TEXT('Respuestas de formulario 1'!I972))"),"Particular")</f>
        <v>Particular</v>
      </c>
      <c r="J972" s="7" t="str">
        <f>IFERROR(__xludf.DUMMYFUNCTION("IF('Respuestas de formulario 1'!J972&lt;&gt;"""",UPPER(TRIM(TO_TEXT('Respuestas de formulario 1'!J972))),IF('Respuestas de formulario 1'!O972&lt;&gt;"""",UPPER(TRIM(TO_TEXT('Respuestas de formulario 1'!O972))),""""))"),"")</f>
        <v/>
      </c>
      <c r="K972" s="7" t="str">
        <f>IFERROR(__xludf.DUMMYFUNCTION("IF('Respuestas de formulario 1'!K972="""","""",TO_TEXT('Respuestas de formulario 1'!K972))"),"Si")</f>
        <v>Si</v>
      </c>
      <c r="L972" s="7" t="str">
        <f>IFERROR(__xludf.DUMMYFUNCTION("IF('Respuestas de formulario 1'!L972="""","""",TO_TEXT('Respuestas de formulario 1'!L972))"),"Patin")</f>
        <v>Patin</v>
      </c>
      <c r="M972" s="7" t="str">
        <f>IFERROR(__xludf.DUMMYFUNCTION("IF('Respuestas de formulario 1'!M972="""","""",TO_TEXT('Respuestas de formulario 1'!M972))"),"3 a 5 veces por semana")</f>
        <v>3 a 5 veces por semana</v>
      </c>
      <c r="N972" s="7">
        <f t="shared" si="1"/>
        <v>2025</v>
      </c>
      <c r="O972" s="7" t="str">
        <f t="shared" si="2"/>
        <v>abril</v>
      </c>
      <c r="P972" s="7" t="s">
        <v>6101</v>
      </c>
    </row>
    <row r="973">
      <c r="A973" s="19">
        <f>'Respuestas de formulario 1'!A973</f>
        <v>45772.41904</v>
      </c>
      <c r="B973" s="7" t="str">
        <f>'Respuestas de formulario 1'!B973</f>
        <v>Davila </v>
      </c>
      <c r="C973" s="7" t="str">
        <f>'Respuestas de formulario 1'!C973</f>
        <v>Pablo </v>
      </c>
      <c r="D973" s="7" t="str">
        <f>'Respuestas de formulario 1'!D973</f>
        <v>pablo_davila@hotmail.com</v>
      </c>
      <c r="E973" s="20">
        <f>'Respuestas de formulario 1'!E973</f>
        <v>27580</v>
      </c>
      <c r="F973" s="7">
        <f>'Respuestas de formulario 1'!F973</f>
        <v>24687262</v>
      </c>
      <c r="G973" s="7" t="str">
        <f>IFERROR(__xludf.DUMMYFUNCTION("IF('Respuestas de formulario 1'!G973="""","""",IF(LEFT(REGEXREPLACE(TO_TEXT('Respuestas de formulario 1'!G973),""[^0-9]"",""""),2)=""54"",""+""&amp;REGEXREPLACE(TO_TEXT('Respuestas de formulario 1'!G973),""[^0-9]"",""""),""+54""&amp;REGEXREPLACE(TO_TEXT('Respuest"&amp;"as de formulario 1'!G973),""[^0-9]"","""")))"),"+543513022880")</f>
        <v>+543513022880</v>
      </c>
      <c r="H973" s="7">
        <f>'Respuestas de formulario 1'!S973</f>
        <v>2025</v>
      </c>
      <c r="I973" s="7" t="str">
        <f>IFERROR(__xludf.DUMMYFUNCTION("IF('Respuestas de formulario 1'!I973="""","""",TO_TEXT('Respuestas de formulario 1'!I973))"),"Particular")</f>
        <v>Particular</v>
      </c>
      <c r="J973" s="7" t="str">
        <f>IFERROR(__xludf.DUMMYFUNCTION("IF('Respuestas de formulario 1'!J973&lt;&gt;"""",UPPER(TRIM(TO_TEXT('Respuestas de formulario 1'!J973))),IF('Respuestas de formulario 1'!O973&lt;&gt;"""",UPPER(TRIM(TO_TEXT('Respuestas de formulario 1'!O973))),""""))"),"")</f>
        <v/>
      </c>
      <c r="K973" s="7" t="str">
        <f>IFERROR(__xludf.DUMMYFUNCTION("IF('Respuestas de formulario 1'!K973="""","""",TO_TEXT('Respuestas de formulario 1'!K973))"),"Si")</f>
        <v>Si</v>
      </c>
      <c r="L973" s="7" t="str">
        <f>IFERROR(__xludf.DUMMYFUNCTION("IF('Respuestas de formulario 1'!L973="""","""",TO_TEXT('Respuestas de formulario 1'!L973))"),"Gimnasio")</f>
        <v>Gimnasio</v>
      </c>
      <c r="M973" s="7" t="str">
        <f>IFERROR(__xludf.DUMMYFUNCTION("IF('Respuestas de formulario 1'!M973="""","""",TO_TEXT('Respuestas de formulario 1'!M973))"),"3 a 5 veces por semana")</f>
        <v>3 a 5 veces por semana</v>
      </c>
      <c r="N973" s="7">
        <f t="shared" si="1"/>
        <v>2025</v>
      </c>
      <c r="O973" s="7" t="str">
        <f t="shared" si="2"/>
        <v>abril</v>
      </c>
      <c r="P973" s="7" t="s">
        <v>6103</v>
      </c>
    </row>
    <row r="974">
      <c r="A974" s="19">
        <f>'Respuestas de formulario 1'!A974</f>
        <v>45772.74969</v>
      </c>
      <c r="B974" s="7" t="str">
        <f>'Respuestas de formulario 1'!B974</f>
        <v>Moretto </v>
      </c>
      <c r="C974" s="7" t="str">
        <f>'Respuestas de formulario 1'!C974</f>
        <v>Horacio</v>
      </c>
      <c r="D974" s="7" t="str">
        <f>'Respuestas de formulario 1'!D974</f>
        <v>h_moretto65*hotmail.com</v>
      </c>
      <c r="E974" s="20">
        <f>'Respuestas de formulario 1'!E974</f>
        <v>23935</v>
      </c>
      <c r="F974" s="7">
        <f>'Respuestas de formulario 1'!F974</f>
        <v>16665878</v>
      </c>
      <c r="G974" s="7" t="str">
        <f>IFERROR(__xludf.DUMMYFUNCTION("IF('Respuestas de formulario 1'!G974="""","""",IF(LEFT(REGEXREPLACE(TO_TEXT('Respuestas de formulario 1'!G974),""[^0-9]"",""""),2)=""54"",""+""&amp;REGEXREPLACE(TO_TEXT('Respuestas de formulario 1'!G974),""[^0-9]"",""""),""+54""&amp;REGEXREPLACE(TO_TEXT('Respuest"&amp;"as de formulario 1'!G974),""[^0-9]"","""")))"),"+543515505817")</f>
        <v>+543515505817</v>
      </c>
      <c r="H974" s="7">
        <f>'Respuestas de formulario 1'!S974</f>
        <v>2025</v>
      </c>
      <c r="I974" s="7" t="str">
        <f>IFERROR(__xludf.DUMMYFUNCTION("IF('Respuestas de formulario 1'!I974="""","""",TO_TEXT('Respuestas de formulario 1'!I974))"),"Particular")</f>
        <v>Particular</v>
      </c>
      <c r="J974" s="7" t="str">
        <f>IFERROR(__xludf.DUMMYFUNCTION("IF('Respuestas de formulario 1'!J974&lt;&gt;"""",UPPER(TRIM(TO_TEXT('Respuestas de formulario 1'!J974))),IF('Respuestas de formulario 1'!O974&lt;&gt;"""",UPPER(TRIM(TO_TEXT('Respuestas de formulario 1'!O974))),""""))"),"")</f>
        <v/>
      </c>
      <c r="K974" s="7" t="str">
        <f>IFERROR(__xludf.DUMMYFUNCTION("IF('Respuestas de formulario 1'!K974="""","""",TO_TEXT('Respuestas de formulario 1'!K974))"),"Si")</f>
        <v>Si</v>
      </c>
      <c r="L974" s="7" t="str">
        <f>IFERROR(__xludf.DUMMYFUNCTION("IF('Respuestas de formulario 1'!L974="""","""",TO_TEXT('Respuestas de formulario 1'!L974))"),"Running")</f>
        <v>Running</v>
      </c>
      <c r="M974" s="7" t="str">
        <f>IFERROR(__xludf.DUMMYFUNCTION("IF('Respuestas de formulario 1'!M974="""","""",TO_TEXT('Respuestas de formulario 1'!M974))"),"3 a 5 veces por semana")</f>
        <v>3 a 5 veces por semana</v>
      </c>
      <c r="N974" s="7">
        <f t="shared" si="1"/>
        <v>2025</v>
      </c>
      <c r="O974" s="7" t="str">
        <f t="shared" si="2"/>
        <v>abril</v>
      </c>
      <c r="P974" s="7" t="s">
        <v>6104</v>
      </c>
    </row>
    <row r="975">
      <c r="A975" s="19">
        <f>'Respuestas de formulario 1'!A975</f>
        <v>45775.84329</v>
      </c>
      <c r="B975" s="7" t="str">
        <f>'Respuestas de formulario 1'!B975</f>
        <v>VIBERTI</v>
      </c>
      <c r="C975" s="7" t="str">
        <f>'Respuestas de formulario 1'!C975</f>
        <v>Carlos</v>
      </c>
      <c r="D975" s="7" t="str">
        <f>'Respuestas de formulario 1'!D975</f>
        <v>carlosvibertipapa@gmail.com</v>
      </c>
      <c r="E975" s="20">
        <f>'Respuestas de formulario 1'!E975</f>
        <v>25695</v>
      </c>
      <c r="F975" s="7">
        <f>'Respuestas de formulario 1'!F975</f>
        <v>21567648</v>
      </c>
      <c r="G975" s="7" t="str">
        <f>IFERROR(__xludf.DUMMYFUNCTION("IF('Respuestas de formulario 1'!G975="""","""",IF(LEFT(REGEXREPLACE(TO_TEXT('Respuestas de formulario 1'!G975),""[^0-9]"",""""),2)=""54"",""+""&amp;REGEXREPLACE(TO_TEXT('Respuestas de formulario 1'!G975),""[^0-9]"",""""),""+54""&amp;REGEXREPLACE(TO_TEXT('Respuest"&amp;"as de formulario 1'!G975),""[^0-9]"","""")))"),"+543514590212")</f>
        <v>+543514590212</v>
      </c>
      <c r="H975" s="7">
        <f>'Respuestas de formulario 1'!S975</f>
        <v>2025</v>
      </c>
      <c r="I975" s="7" t="str">
        <f>IFERROR(__xludf.DUMMYFUNCTION("IF('Respuestas de formulario 1'!I975="""","""",TO_TEXT('Respuestas de formulario 1'!I975))"),"Particular")</f>
        <v>Particular</v>
      </c>
      <c r="J975" s="7" t="str">
        <f>IFERROR(__xludf.DUMMYFUNCTION("IF('Respuestas de formulario 1'!J975&lt;&gt;"""",UPPER(TRIM(TO_TEXT('Respuestas de formulario 1'!J975))),IF('Respuestas de formulario 1'!O975&lt;&gt;"""",UPPER(TRIM(TO_TEXT('Respuestas de formulario 1'!O975))),""""))"),"")</f>
        <v/>
      </c>
      <c r="K975" s="7" t="str">
        <f>IFERROR(__xludf.DUMMYFUNCTION("IF('Respuestas de formulario 1'!K975="""","""",TO_TEXT('Respuestas de formulario 1'!K975))"),"Si")</f>
        <v>Si</v>
      </c>
      <c r="L975" s="7" t="str">
        <f>IFERROR(__xludf.DUMMYFUNCTION("IF('Respuestas de formulario 1'!L975="""","""",TO_TEXT('Respuestas de formulario 1'!L975))"),"Gym y montain")</f>
        <v>Gym y montain</v>
      </c>
      <c r="M975" s="7" t="str">
        <f>IFERROR(__xludf.DUMMYFUNCTION("IF('Respuestas de formulario 1'!M975="""","""",TO_TEXT('Respuestas de formulario 1'!M975))"),"3 a 5 veces por semana")</f>
        <v>3 a 5 veces por semana</v>
      </c>
      <c r="N975" s="7">
        <f t="shared" si="1"/>
        <v>2025</v>
      </c>
      <c r="O975" s="7" t="str">
        <f t="shared" si="2"/>
        <v>abril</v>
      </c>
      <c r="P975" s="7" t="s">
        <v>6106</v>
      </c>
    </row>
    <row r="976">
      <c r="A976" s="19">
        <f>'Respuestas de formulario 1'!A976</f>
        <v>45776.73834</v>
      </c>
      <c r="B976" s="7" t="str">
        <f>'Respuestas de formulario 1'!B976</f>
        <v>Castro</v>
      </c>
      <c r="C976" s="7" t="str">
        <f>'Respuestas de formulario 1'!C976</f>
        <v>Antonia Matilde</v>
      </c>
      <c r="D976" s="7" t="str">
        <f>'Respuestas de formulario 1'!D976</f>
        <v>piojin@live.com</v>
      </c>
      <c r="E976" s="20">
        <f>'Respuestas de formulario 1'!E976</f>
        <v>15395</v>
      </c>
      <c r="F976" s="7">
        <f>'Respuestas de formulario 1'!F976</f>
        <v>4129035</v>
      </c>
      <c r="G976" s="7" t="str">
        <f>IFERROR(__xludf.DUMMYFUNCTION("IF('Respuestas de formulario 1'!G976="""","""",IF(LEFT(REGEXREPLACE(TO_TEXT('Respuestas de formulario 1'!G976),""[^0-9]"",""""),2)=""54"",""+""&amp;REGEXREPLACE(TO_TEXT('Respuestas de formulario 1'!G976),""[^0-9]"",""""),""+54""&amp;REGEXREPLACE(TO_TEXT('Respuest"&amp;"as de formulario 1'!G976),""[^0-9]"","""")))"),"+543513565063")</f>
        <v>+543513565063</v>
      </c>
      <c r="H976" s="7">
        <f>'Respuestas de formulario 1'!S976</f>
        <v>2025</v>
      </c>
      <c r="I976" s="7" t="str">
        <f>IFERROR(__xludf.DUMMYFUNCTION("IF('Respuestas de formulario 1'!I976="""","""",TO_TEXT('Respuestas de formulario 1'!I976))"),"Particular")</f>
        <v>Particular</v>
      </c>
      <c r="J976" s="7" t="str">
        <f>IFERROR(__xludf.DUMMYFUNCTION("IF('Respuestas de formulario 1'!J976&lt;&gt;"""",UPPER(TRIM(TO_TEXT('Respuestas de formulario 1'!J976))),IF('Respuestas de formulario 1'!O976&lt;&gt;"""",UPPER(TRIM(TO_TEXT('Respuestas de formulario 1'!O976))),""""))"),"")</f>
        <v/>
      </c>
      <c r="K976" s="7" t="str">
        <f>IFERROR(__xludf.DUMMYFUNCTION("IF('Respuestas de formulario 1'!K976="""","""",TO_TEXT('Respuestas de formulario 1'!K976))"),"No")</f>
        <v>No</v>
      </c>
      <c r="L976" s="7" t="str">
        <f>IFERROR(__xludf.DUMMYFUNCTION("IF('Respuestas de formulario 1'!L976="""","""",TO_TEXT('Respuestas de formulario 1'!L976))"),"")</f>
        <v/>
      </c>
      <c r="M976" s="7" t="str">
        <f>IFERROR(__xludf.DUMMYFUNCTION("IF('Respuestas de formulario 1'!M976="""","""",TO_TEXT('Respuestas de formulario 1'!M976))"),"")</f>
        <v/>
      </c>
      <c r="N976" s="7">
        <f t="shared" si="1"/>
        <v>2025</v>
      </c>
      <c r="O976" s="7" t="str">
        <f t="shared" si="2"/>
        <v>abril</v>
      </c>
      <c r="P976" s="7" t="s">
        <v>4683</v>
      </c>
    </row>
    <row r="977">
      <c r="A977" s="19">
        <f>'Respuestas de formulario 1'!A977</f>
        <v>45777.666</v>
      </c>
      <c r="B977" s="7" t="str">
        <f>'Respuestas de formulario 1'!B977</f>
        <v>Merdidian</v>
      </c>
      <c r="C977" s="7" t="str">
        <f>'Respuestas de formulario 1'!C977</f>
        <v>Juan Carlos</v>
      </c>
      <c r="D977" s="7" t="str">
        <f>'Respuestas de formulario 1'!D977</f>
        <v>jcmer77@gmail.com</v>
      </c>
      <c r="E977" s="20">
        <f>'Respuestas de formulario 1'!E977</f>
        <v>21082</v>
      </c>
      <c r="F977" s="7">
        <f>'Respuestas de formulario 1'!F977</f>
        <v>13373977</v>
      </c>
      <c r="G977" s="7" t="str">
        <f>IFERROR(__xludf.DUMMYFUNCTION("IF('Respuestas de formulario 1'!G977="""","""",IF(LEFT(REGEXREPLACE(TO_TEXT('Respuestas de formulario 1'!G977),""[^0-9]"",""""),2)=""54"",""+""&amp;REGEXREPLACE(TO_TEXT('Respuestas de formulario 1'!G977),""[^0-9]"",""""),""+54""&amp;REGEXREPLACE(TO_TEXT('Respuest"&amp;"as de formulario 1'!G977),""[^0-9]"","""")))"),"+543513146903")</f>
        <v>+543513146903</v>
      </c>
      <c r="H977" s="7">
        <f>'Respuestas de formulario 1'!S977</f>
        <v>2025</v>
      </c>
      <c r="I977" s="7" t="str">
        <f>IFERROR(__xludf.DUMMYFUNCTION("IF('Respuestas de formulario 1'!I977="""","""",TO_TEXT('Respuestas de formulario 1'!I977))"),"Particular")</f>
        <v>Particular</v>
      </c>
      <c r="J977" s="7" t="str">
        <f>IFERROR(__xludf.DUMMYFUNCTION("IF('Respuestas de formulario 1'!J977&lt;&gt;"""",UPPER(TRIM(TO_TEXT('Respuestas de formulario 1'!J977))),IF('Respuestas de formulario 1'!O977&lt;&gt;"""",UPPER(TRIM(TO_TEXT('Respuestas de formulario 1'!O977))),""""))"),"")</f>
        <v/>
      </c>
      <c r="K977" s="7" t="str">
        <f>IFERROR(__xludf.DUMMYFUNCTION("IF('Respuestas de formulario 1'!K977="""","""",TO_TEXT('Respuestas de formulario 1'!K977))"),"No")</f>
        <v>No</v>
      </c>
      <c r="L977" s="7" t="str">
        <f>IFERROR(__xludf.DUMMYFUNCTION("IF('Respuestas de formulario 1'!L977="""","""",TO_TEXT('Respuestas de formulario 1'!L977))"),"")</f>
        <v/>
      </c>
      <c r="M977" s="7" t="str">
        <f>IFERROR(__xludf.DUMMYFUNCTION("IF('Respuestas de formulario 1'!M977="""","""",TO_TEXT('Respuestas de formulario 1'!M977))"),"")</f>
        <v/>
      </c>
      <c r="N977" s="7">
        <f t="shared" si="1"/>
        <v>2025</v>
      </c>
      <c r="O977" s="7" t="str">
        <f t="shared" si="2"/>
        <v>abril</v>
      </c>
      <c r="P977" s="7" t="s">
        <v>6108</v>
      </c>
    </row>
    <row r="978">
      <c r="A978" s="19">
        <f>'Respuestas de formulario 1'!A978</f>
        <v>45782.54671</v>
      </c>
      <c r="B978" s="7" t="str">
        <f>'Respuestas de formulario 1'!B978</f>
        <v>Barra González </v>
      </c>
      <c r="C978" s="7" t="str">
        <f>'Respuestas de formulario 1'!C978</f>
        <v>Tomás </v>
      </c>
      <c r="D978" s="7" t="str">
        <f>'Respuestas de formulario 1'!D978</f>
        <v>alegonzalezra@gmail.com</v>
      </c>
      <c r="E978" s="20">
        <f>'Respuestas de formulario 1'!E978</f>
        <v>40001</v>
      </c>
      <c r="F978" s="7">
        <f>'Respuestas de formulario 1'!F978</f>
        <v>49716875</v>
      </c>
      <c r="G978" s="7" t="str">
        <f>IFERROR(__xludf.DUMMYFUNCTION("IF('Respuestas de formulario 1'!G978="""","""",IF(LEFT(REGEXREPLACE(TO_TEXT('Respuestas de formulario 1'!G978),""[^0-9]"",""""),2)=""54"",""+""&amp;REGEXREPLACE(TO_TEXT('Respuestas de formulario 1'!G978),""[^0-9]"",""""),""+54""&amp;REGEXREPLACE(TO_TEXT('Respuest"&amp;"as de formulario 1'!G978),""[^0-9]"","""")))"),"+543515329797")</f>
        <v>+543515329797</v>
      </c>
      <c r="H978" s="7">
        <f>'Respuestas de formulario 1'!S978</f>
        <v>2025</v>
      </c>
      <c r="I978" s="7" t="str">
        <f>IFERROR(__xludf.DUMMYFUNCTION("IF('Respuestas de formulario 1'!I978="""","""",TO_TEXT('Respuestas de formulario 1'!I978))"),"Obra social")</f>
        <v>Obra social</v>
      </c>
      <c r="J978" s="7" t="str">
        <f>IFERROR(__xludf.DUMMYFUNCTION("IF('Respuestas de formulario 1'!J978&lt;&gt;"""",UPPER(TRIM(TO_TEXT('Respuestas de formulario 1'!J978))),IF('Respuestas de formulario 1'!O978&lt;&gt;"""",UPPER(TRIM(TO_TEXT('Respuestas de formulario 1'!O978))),""""))"),"APROSS")</f>
        <v>APROSS</v>
      </c>
      <c r="K978" s="7" t="str">
        <f>IFERROR(__xludf.DUMMYFUNCTION("IF('Respuestas de formulario 1'!K978="""","""",TO_TEXT('Respuestas de formulario 1'!K978))"),"Si")</f>
        <v>Si</v>
      </c>
      <c r="L978" s="7" t="str">
        <f>IFERROR(__xludf.DUMMYFUNCTION("IF('Respuestas de formulario 1'!L978="""","""",TO_TEXT('Respuestas de formulario 1'!L978))"),"Fútbol")</f>
        <v>Fútbol</v>
      </c>
      <c r="M978" s="7" t="str">
        <f>IFERROR(__xludf.DUMMYFUNCTION("IF('Respuestas de formulario 1'!M978="""","""",TO_TEXT('Respuestas de formulario 1'!M978))"),"3 a 5 veces por semana")</f>
        <v>3 a 5 veces por semana</v>
      </c>
      <c r="N978" s="7">
        <f t="shared" si="1"/>
        <v>2025</v>
      </c>
      <c r="O978" s="7" t="str">
        <f t="shared" si="2"/>
        <v>mayo</v>
      </c>
      <c r="P978" s="7" t="s">
        <v>6110</v>
      </c>
    </row>
    <row r="979">
      <c r="A979" s="19">
        <f>'Respuestas de formulario 1'!A979</f>
        <v>45782.64805</v>
      </c>
      <c r="B979" s="7" t="str">
        <f>'Respuestas de formulario 1'!B979</f>
        <v>Blanco </v>
      </c>
      <c r="C979" s="7" t="str">
        <f>'Respuestas de formulario 1'!C979</f>
        <v>Luis Manuel </v>
      </c>
      <c r="D979" s="7" t="str">
        <f>'Respuestas de formulario 1'!D979</f>
        <v>luismanuelblanco17@gmail.com</v>
      </c>
      <c r="E979" s="20">
        <f>'Respuestas de formulario 1'!E979</f>
        <v>30637</v>
      </c>
      <c r="F979" s="7">
        <f>'Respuestas de formulario 1'!F979</f>
        <v>30656590</v>
      </c>
      <c r="G979" s="7" t="str">
        <f>IFERROR(__xludf.DUMMYFUNCTION("IF('Respuestas de formulario 1'!G979="""","""",IF(LEFT(REGEXREPLACE(TO_TEXT('Respuestas de formulario 1'!G979),""[^0-9]"",""""),2)=""54"",""+""&amp;REGEXREPLACE(TO_TEXT('Respuestas de formulario 1'!G979),""[^0-9]"",""""),""+54""&amp;REGEXREPLACE(TO_TEXT('Respuest"&amp;"as de formulario 1'!G979),""[^0-9]"","""")))"),"+543512008982")</f>
        <v>+543512008982</v>
      </c>
      <c r="H979" s="7">
        <f>'Respuestas de formulario 1'!S979</f>
        <v>2025</v>
      </c>
      <c r="I979" s="7" t="str">
        <f>IFERROR(__xludf.DUMMYFUNCTION("IF('Respuestas de formulario 1'!I979="""","""",TO_TEXT('Respuestas de formulario 1'!I979))"),"Particular")</f>
        <v>Particular</v>
      </c>
      <c r="J979" s="7" t="str">
        <f>IFERROR(__xludf.DUMMYFUNCTION("IF('Respuestas de formulario 1'!J979&lt;&gt;"""",UPPER(TRIM(TO_TEXT('Respuestas de formulario 1'!J979))),IF('Respuestas de formulario 1'!O979&lt;&gt;"""",UPPER(TRIM(TO_TEXT('Respuestas de formulario 1'!O979))),""""))"),"")</f>
        <v/>
      </c>
      <c r="K979" s="7" t="str">
        <f>IFERROR(__xludf.DUMMYFUNCTION("IF('Respuestas de formulario 1'!K979="""","""",TO_TEXT('Respuestas de formulario 1'!K979))"),"No")</f>
        <v>No</v>
      </c>
      <c r="L979" s="7" t="str">
        <f>IFERROR(__xludf.DUMMYFUNCTION("IF('Respuestas de formulario 1'!L979="""","""",TO_TEXT('Respuestas de formulario 1'!L979))"),"")</f>
        <v/>
      </c>
      <c r="M979" s="7" t="str">
        <f>IFERROR(__xludf.DUMMYFUNCTION("IF('Respuestas de formulario 1'!M979="""","""",TO_TEXT('Respuestas de formulario 1'!M979))"),"")</f>
        <v/>
      </c>
      <c r="N979" s="7">
        <f t="shared" si="1"/>
        <v>2025</v>
      </c>
      <c r="O979" s="7" t="str">
        <f t="shared" si="2"/>
        <v>mayo</v>
      </c>
      <c r="P979" s="7" t="s">
        <v>6112</v>
      </c>
    </row>
    <row r="980">
      <c r="A980" s="19">
        <f>'Respuestas de formulario 1'!A980</f>
        <v>45782.83197</v>
      </c>
      <c r="B980" s="7" t="str">
        <f>'Respuestas de formulario 1'!B980</f>
        <v>Bassano</v>
      </c>
      <c r="C980" s="7" t="str">
        <f>'Respuestas de formulario 1'!C980</f>
        <v>Jorge</v>
      </c>
      <c r="D980" s="7" t="str">
        <f>'Respuestas de formulario 1'!D980</f>
        <v>jorgealbertobassano@gmail.com</v>
      </c>
      <c r="E980" s="20">
        <f>'Respuestas de formulario 1'!E980</f>
        <v>30420</v>
      </c>
      <c r="F980" s="7">
        <f>'Respuestas de formulario 1'!F980</f>
        <v>30087325</v>
      </c>
      <c r="G980" s="7" t="str">
        <f>IFERROR(__xludf.DUMMYFUNCTION("IF('Respuestas de formulario 1'!G980="""","""",IF(LEFT(REGEXREPLACE(TO_TEXT('Respuestas de formulario 1'!G980),""[^0-9]"",""""),2)=""54"",""+""&amp;REGEXREPLACE(TO_TEXT('Respuestas de formulario 1'!G980),""[^0-9]"",""""),""+54""&amp;REGEXREPLACE(TO_TEXT('Respuest"&amp;"as de formulario 1'!G980),""[^0-9]"","""")))"),"+543516817829")</f>
        <v>+543516817829</v>
      </c>
      <c r="H980" s="7">
        <f>'Respuestas de formulario 1'!S980</f>
        <v>2025</v>
      </c>
      <c r="I980" s="7" t="str">
        <f>IFERROR(__xludf.DUMMYFUNCTION("IF('Respuestas de formulario 1'!I980="""","""",TO_TEXT('Respuestas de formulario 1'!I980))"),"Obra social")</f>
        <v>Obra social</v>
      </c>
      <c r="J980" s="7" t="str">
        <f>IFERROR(__xludf.DUMMYFUNCTION("IF('Respuestas de formulario 1'!J980&lt;&gt;"""",UPPER(TRIM(TO_TEXT('Respuestas de formulario 1'!J980))),IF('Respuestas de formulario 1'!O980&lt;&gt;"""",UPPER(TRIM(TO_TEXT('Respuestas de formulario 1'!O980))),""""))"),"SANCOR")</f>
        <v>SANCOR</v>
      </c>
      <c r="K980" s="7" t="str">
        <f>IFERROR(__xludf.DUMMYFUNCTION("IF('Respuestas de formulario 1'!K980="""","""",TO_TEXT('Respuestas de formulario 1'!K980))"),"Si")</f>
        <v>Si</v>
      </c>
      <c r="L980" s="7" t="str">
        <f>IFERROR(__xludf.DUMMYFUNCTION("IF('Respuestas de formulario 1'!L980="""","""",TO_TEXT('Respuestas de formulario 1'!L980))"),"Gimnasio")</f>
        <v>Gimnasio</v>
      </c>
      <c r="M980" s="7" t="str">
        <f>IFERROR(__xludf.DUMMYFUNCTION("IF('Respuestas de formulario 1'!M980="""","""",TO_TEXT('Respuestas de formulario 1'!M980))"),"3 a 5 veces por semana")</f>
        <v>3 a 5 veces por semana</v>
      </c>
      <c r="N980" s="7">
        <f t="shared" si="1"/>
        <v>2025</v>
      </c>
      <c r="O980" s="7" t="str">
        <f t="shared" si="2"/>
        <v>mayo</v>
      </c>
      <c r="P980" s="7" t="s">
        <v>6114</v>
      </c>
    </row>
    <row r="981">
      <c r="A981" s="19">
        <f>'Respuestas de formulario 1'!A981</f>
        <v>45784.81759</v>
      </c>
      <c r="B981" s="7" t="str">
        <f>'Respuestas de formulario 1'!B981</f>
        <v>Navarro</v>
      </c>
      <c r="C981" s="7" t="str">
        <f>'Respuestas de formulario 1'!C981</f>
        <v>Fabian</v>
      </c>
      <c r="D981" s="7" t="str">
        <f>'Respuestas de formulario 1'!D981</f>
        <v/>
      </c>
      <c r="E981" s="20">
        <f>'Respuestas de formulario 1'!E981</f>
        <v>24154</v>
      </c>
      <c r="F981" s="7">
        <f>'Respuestas de formulario 1'!F981</f>
        <v>17626908</v>
      </c>
      <c r="G981" s="7" t="str">
        <f>IFERROR(__xludf.DUMMYFUNCTION("IF('Respuestas de formulario 1'!G981="""","""",IF(LEFT(REGEXREPLACE(TO_TEXT('Respuestas de formulario 1'!G981),""[^0-9]"",""""),2)=""54"",""+""&amp;REGEXREPLACE(TO_TEXT('Respuestas de formulario 1'!G981),""[^0-9]"",""""),""+54""&amp;REGEXREPLACE(TO_TEXT('Respuest"&amp;"as de formulario 1'!G981),""[^0-9]"","""")))"),"+543515135709")</f>
        <v>+543515135709</v>
      </c>
      <c r="H981" s="7">
        <f>'Respuestas de formulario 1'!S981</f>
        <v>2025</v>
      </c>
      <c r="I981" s="7" t="str">
        <f>IFERROR(__xludf.DUMMYFUNCTION("IF('Respuestas de formulario 1'!I981="""","""",TO_TEXT('Respuestas de formulario 1'!I981))"),"Particular")</f>
        <v>Particular</v>
      </c>
      <c r="J981" s="7" t="str">
        <f>IFERROR(__xludf.DUMMYFUNCTION("IF('Respuestas de formulario 1'!J981&lt;&gt;"""",UPPER(TRIM(TO_TEXT('Respuestas de formulario 1'!J981))),IF('Respuestas de formulario 1'!O981&lt;&gt;"""",UPPER(TRIM(TO_TEXT('Respuestas de formulario 1'!O981))),""""))"),"")</f>
        <v/>
      </c>
      <c r="K981" s="7" t="str">
        <f>IFERROR(__xludf.DUMMYFUNCTION("IF('Respuestas de formulario 1'!K981="""","""",TO_TEXT('Respuestas de formulario 1'!K981))"),"No")</f>
        <v>No</v>
      </c>
      <c r="L981" s="7" t="str">
        <f>IFERROR(__xludf.DUMMYFUNCTION("IF('Respuestas de formulario 1'!L981="""","""",TO_TEXT('Respuestas de formulario 1'!L981))"),"")</f>
        <v/>
      </c>
      <c r="M981" s="7" t="str">
        <f>IFERROR(__xludf.DUMMYFUNCTION("IF('Respuestas de formulario 1'!M981="""","""",TO_TEXT('Respuestas de formulario 1'!M981))"),"")</f>
        <v/>
      </c>
      <c r="N981" s="7">
        <f t="shared" si="1"/>
        <v>2025</v>
      </c>
      <c r="O981" s="7" t="str">
        <f t="shared" si="2"/>
        <v>mayo</v>
      </c>
      <c r="P981" s="7" t="s">
        <v>6116</v>
      </c>
    </row>
    <row r="982">
      <c r="A982" s="19">
        <f>'Respuestas de formulario 1'!A982</f>
        <v>45784.93377</v>
      </c>
      <c r="B982" s="7" t="str">
        <f>'Respuestas de formulario 1'!B982</f>
        <v>Gonzalez Mazzoni</v>
      </c>
      <c r="C982" s="7" t="str">
        <f>'Respuestas de formulario 1'!C982</f>
        <v>Octavio</v>
      </c>
      <c r="D982" s="7" t="str">
        <f>'Respuestas de formulario 1'!D982</f>
        <v>octigonma@gmail.com</v>
      </c>
      <c r="E982" s="20">
        <f>'Respuestas de formulario 1'!E982</f>
        <v>36446</v>
      </c>
      <c r="F982" s="7">
        <f>'Respuestas de formulario 1'!F982</f>
        <v>42160204</v>
      </c>
      <c r="G982" s="7" t="str">
        <f>IFERROR(__xludf.DUMMYFUNCTION("IF('Respuestas de formulario 1'!G982="""","""",IF(LEFT(REGEXREPLACE(TO_TEXT('Respuestas de formulario 1'!G982),""[^0-9]"",""""),2)=""54"",""+""&amp;REGEXREPLACE(TO_TEXT('Respuestas de formulario 1'!G982),""[^0-9]"",""""),""+54""&amp;REGEXREPLACE(TO_TEXT('Respuest"&amp;"as de formulario 1'!G982),""[^0-9]"","""")))"),"+543512343290")</f>
        <v>+543512343290</v>
      </c>
      <c r="H982" s="7">
        <f>'Respuestas de formulario 1'!S982</f>
        <v>2025</v>
      </c>
      <c r="I982" s="7" t="str">
        <f>IFERROR(__xludf.DUMMYFUNCTION("IF('Respuestas de formulario 1'!I982="""","""",TO_TEXT('Respuestas de formulario 1'!I982))"),"Obra social")</f>
        <v>Obra social</v>
      </c>
      <c r="J982" s="7" t="str">
        <f>IFERROR(__xludf.DUMMYFUNCTION("IF('Respuestas de formulario 1'!J982&lt;&gt;"""",UPPER(TRIM(TO_TEXT('Respuestas de formulario 1'!J982))),IF('Respuestas de formulario 1'!O982&lt;&gt;"""",UPPER(TRIM(TO_TEXT('Respuestas de formulario 1'!O982))),""""))"),"OSPIA")</f>
        <v>OSPIA</v>
      </c>
      <c r="K982" s="7" t="str">
        <f>IFERROR(__xludf.DUMMYFUNCTION("IF('Respuestas de formulario 1'!K982="""","""",TO_TEXT('Respuestas de formulario 1'!K982))"),"Si")</f>
        <v>Si</v>
      </c>
      <c r="L982" s="7" t="str">
        <f>IFERROR(__xludf.DUMMYFUNCTION("IF('Respuestas de formulario 1'!L982="""","""",TO_TEXT('Respuestas de formulario 1'!L982))"),"De manera ocasional pádel ")</f>
        <v>De manera ocasional pádel </v>
      </c>
      <c r="M982" s="7" t="str">
        <f>IFERROR(__xludf.DUMMYFUNCTION("IF('Respuestas de formulario 1'!M982="""","""",TO_TEXT('Respuestas de formulario 1'!M982))"),"3 a 5 veces por semana")</f>
        <v>3 a 5 veces por semana</v>
      </c>
      <c r="N982" s="7">
        <f t="shared" si="1"/>
        <v>2025</v>
      </c>
      <c r="O982" s="7" t="str">
        <f t="shared" si="2"/>
        <v>mayo</v>
      </c>
      <c r="P982" s="7" t="s">
        <v>6118</v>
      </c>
    </row>
    <row r="983">
      <c r="A983" s="19">
        <f>'Respuestas de formulario 1'!A983</f>
        <v>45785.55634</v>
      </c>
      <c r="B983" s="7" t="str">
        <f>'Respuestas de formulario 1'!B983</f>
        <v>Romero</v>
      </c>
      <c r="C983" s="7" t="str">
        <f>'Respuestas de formulario 1'!C983</f>
        <v>Sergio</v>
      </c>
      <c r="D983" s="7" t="str">
        <f>'Respuestas de formulario 1'!D983</f>
        <v>Imasor62@gmail.com</v>
      </c>
      <c r="E983" s="20">
        <f>'Respuestas de formulario 1'!E983</f>
        <v>22962</v>
      </c>
      <c r="F983" s="7">
        <f>'Respuestas de formulario 1'!F983</f>
        <v>16183623</v>
      </c>
      <c r="G983" s="7" t="str">
        <f>IFERROR(__xludf.DUMMYFUNCTION("IF('Respuestas de formulario 1'!G983="""","""",IF(LEFT(REGEXREPLACE(TO_TEXT('Respuestas de formulario 1'!G983),""[^0-9]"",""""),2)=""54"",""+""&amp;REGEXREPLACE(TO_TEXT('Respuestas de formulario 1'!G983),""[^0-9]"",""""),""+54""&amp;REGEXREPLACE(TO_TEXT('Respuest"&amp;"as de formulario 1'!G983),""[^0-9]"","""")))"),"+543513218392")</f>
        <v>+543513218392</v>
      </c>
      <c r="H983" s="7">
        <f>'Respuestas de formulario 1'!S983</f>
        <v>2025</v>
      </c>
      <c r="I983" s="7" t="str">
        <f>IFERROR(__xludf.DUMMYFUNCTION("IF('Respuestas de formulario 1'!I983="""","""",TO_TEXT('Respuestas de formulario 1'!I983))"),"Particular")</f>
        <v>Particular</v>
      </c>
      <c r="J983" s="7" t="str">
        <f>IFERROR(__xludf.DUMMYFUNCTION("IF('Respuestas de formulario 1'!J983&lt;&gt;"""",UPPER(TRIM(TO_TEXT('Respuestas de formulario 1'!J983))),IF('Respuestas de formulario 1'!O983&lt;&gt;"""",UPPER(TRIM(TO_TEXT('Respuestas de formulario 1'!O983))),""""))"),"")</f>
        <v/>
      </c>
      <c r="K983" s="7" t="str">
        <f>IFERROR(__xludf.DUMMYFUNCTION("IF('Respuestas de formulario 1'!K983="""","""",TO_TEXT('Respuestas de formulario 1'!K983))"),"Si")</f>
        <v>Si</v>
      </c>
      <c r="L983" s="7" t="str">
        <f>IFERROR(__xludf.DUMMYFUNCTION("IF('Respuestas de formulario 1'!L983="""","""",TO_TEXT('Respuestas de formulario 1'!L983))"),"Gimnasio")</f>
        <v>Gimnasio</v>
      </c>
      <c r="M983" s="7" t="str">
        <f>IFERROR(__xludf.DUMMYFUNCTION("IF('Respuestas de formulario 1'!M983="""","""",TO_TEXT('Respuestas de formulario 1'!M983))"),"3 a 5 veces por semana")</f>
        <v>3 a 5 veces por semana</v>
      </c>
      <c r="N983" s="7">
        <f t="shared" si="1"/>
        <v>2025</v>
      </c>
      <c r="O983" s="7" t="str">
        <f t="shared" si="2"/>
        <v>mayo</v>
      </c>
      <c r="P983" s="7" t="s">
        <v>6120</v>
      </c>
    </row>
    <row r="984">
      <c r="A984" s="19">
        <f>'Respuestas de formulario 1'!A984</f>
        <v>45785.65724</v>
      </c>
      <c r="B984" s="7" t="str">
        <f>'Respuestas de formulario 1'!B984</f>
        <v>Pedroza</v>
      </c>
      <c r="C984" s="7" t="str">
        <f>'Respuestas de formulario 1'!C984</f>
        <v>Gustavo</v>
      </c>
      <c r="D984" s="7" t="str">
        <f>'Respuestas de formulario 1'!D984</f>
        <v/>
      </c>
      <c r="E984" s="20">
        <f>'Respuestas de formulario 1'!E984</f>
        <v>14519</v>
      </c>
      <c r="F984" s="7">
        <f>'Respuestas de formulario 1'!F984</f>
        <v>6509542</v>
      </c>
      <c r="G984" s="7" t="str">
        <f>IFERROR(__xludf.DUMMYFUNCTION("IF('Respuestas de formulario 1'!G984="""","""",IF(LEFT(REGEXREPLACE(TO_TEXT('Respuestas de formulario 1'!G984),""[^0-9]"",""""),2)=""54"",""+""&amp;REGEXREPLACE(TO_TEXT('Respuestas de formulario 1'!G984),""[^0-9]"",""""),""+54""&amp;REGEXREPLACE(TO_TEXT('Respuest"&amp;"as de formulario 1'!G984),""[^0-9]"","""")))"),"+543512145133")</f>
        <v>+543512145133</v>
      </c>
      <c r="H984" s="7">
        <f>'Respuestas de formulario 1'!S984</f>
        <v>2025</v>
      </c>
      <c r="I984" s="7" t="str">
        <f>IFERROR(__xludf.DUMMYFUNCTION("IF('Respuestas de formulario 1'!I984="""","""",TO_TEXT('Respuestas de formulario 1'!I984))"),"Obra social")</f>
        <v>Obra social</v>
      </c>
      <c r="J984" s="7" t="str">
        <f>IFERROR(__xludf.DUMMYFUNCTION("IF('Respuestas de formulario 1'!J984&lt;&gt;"""",UPPER(TRIM(TO_TEXT('Respuestas de formulario 1'!J984))),IF('Respuestas de formulario 1'!O984&lt;&gt;"""",UPPER(TRIM(TO_TEXT('Respuestas de formulario 1'!O984))),""""))"),"APROSS")</f>
        <v>APROSS</v>
      </c>
      <c r="K984" s="7" t="str">
        <f>IFERROR(__xludf.DUMMYFUNCTION("IF('Respuestas de formulario 1'!K984="""","""",TO_TEXT('Respuestas de formulario 1'!K984))"),"No")</f>
        <v>No</v>
      </c>
      <c r="L984" s="7" t="str">
        <f>IFERROR(__xludf.DUMMYFUNCTION("IF('Respuestas de formulario 1'!L984="""","""",TO_TEXT('Respuestas de formulario 1'!L984))"),"")</f>
        <v/>
      </c>
      <c r="M984" s="7" t="str">
        <f>IFERROR(__xludf.DUMMYFUNCTION("IF('Respuestas de formulario 1'!M984="""","""",TO_TEXT('Respuestas de formulario 1'!M984))"),"")</f>
        <v/>
      </c>
      <c r="N984" s="7">
        <f t="shared" si="1"/>
        <v>2025</v>
      </c>
      <c r="O984" s="7" t="str">
        <f t="shared" si="2"/>
        <v>mayo</v>
      </c>
      <c r="P984" s="7" t="s">
        <v>6122</v>
      </c>
    </row>
    <row r="985">
      <c r="A985" s="19">
        <f>'Respuestas de formulario 1'!A985</f>
        <v>45786.67445</v>
      </c>
      <c r="B985" s="7" t="str">
        <f>'Respuestas de formulario 1'!B985</f>
        <v>Gervino</v>
      </c>
      <c r="C985" s="7" t="str">
        <f>'Respuestas de formulario 1'!C985</f>
        <v>Luis</v>
      </c>
      <c r="D985" s="7" t="str">
        <f>'Respuestas de formulario 1'!D985</f>
        <v>gervinoluis058@gmail.com</v>
      </c>
      <c r="E985" s="20">
        <f>'Respuestas de formulario 1'!E985</f>
        <v>40237</v>
      </c>
      <c r="F985" s="7">
        <f>'Respuestas de formulario 1'!F985</f>
        <v>5009099</v>
      </c>
      <c r="G985" s="7" t="str">
        <f>IFERROR(__xludf.DUMMYFUNCTION("IF('Respuestas de formulario 1'!G985="""","""",IF(LEFT(REGEXREPLACE(TO_TEXT('Respuestas de formulario 1'!G985),""[^0-9]"",""""),2)=""54"",""+""&amp;REGEXREPLACE(TO_TEXT('Respuestas de formulario 1'!G985),""[^0-9]"",""""),""+54""&amp;REGEXREPLACE(TO_TEXT('Respuest"&amp;"as de formulario 1'!G985),""[^0-9]"","""")))"),"+543515605577")</f>
        <v>+543515605577</v>
      </c>
      <c r="H985" s="7">
        <f>'Respuestas de formulario 1'!S985</f>
        <v>2025</v>
      </c>
      <c r="I985" s="7" t="str">
        <f>IFERROR(__xludf.DUMMYFUNCTION("IF('Respuestas de formulario 1'!I985="""","""",TO_TEXT('Respuestas de formulario 1'!I985))"),"Particular")</f>
        <v>Particular</v>
      </c>
      <c r="J985" s="7" t="str">
        <f>IFERROR(__xludf.DUMMYFUNCTION("IF('Respuestas de formulario 1'!J985&lt;&gt;"""",UPPER(TRIM(TO_TEXT('Respuestas de formulario 1'!J985))),IF('Respuestas de formulario 1'!O985&lt;&gt;"""",UPPER(TRIM(TO_TEXT('Respuestas de formulario 1'!O985))),""""))"),"")</f>
        <v/>
      </c>
      <c r="K985" s="7" t="str">
        <f>IFERROR(__xludf.DUMMYFUNCTION("IF('Respuestas de formulario 1'!K985="""","""",TO_TEXT('Respuestas de formulario 1'!K985))"),"Si")</f>
        <v>Si</v>
      </c>
      <c r="L985" s="7" t="str">
        <f>IFERROR(__xludf.DUMMYFUNCTION("IF('Respuestas de formulario 1'!L985="""","""",TO_TEXT('Respuestas de formulario 1'!L985))"),"Rugby")</f>
        <v>Rugby</v>
      </c>
      <c r="M985" s="7" t="str">
        <f>IFERROR(__xludf.DUMMYFUNCTION("IF('Respuestas de formulario 1'!M985="""","""",TO_TEXT('Respuestas de formulario 1'!M985))"),"3 a 5 veces por semana")</f>
        <v>3 a 5 veces por semana</v>
      </c>
      <c r="N985" s="7">
        <f t="shared" si="1"/>
        <v>2025</v>
      </c>
      <c r="O985" s="7" t="str">
        <f t="shared" si="2"/>
        <v>mayo</v>
      </c>
      <c r="P985" s="7" t="s">
        <v>6123</v>
      </c>
    </row>
    <row r="986">
      <c r="A986" s="19">
        <f>'Respuestas de formulario 1'!A986</f>
        <v>45788.53781</v>
      </c>
      <c r="B986" s="7" t="str">
        <f>'Respuestas de formulario 1'!B986</f>
        <v>Fernandez</v>
      </c>
      <c r="C986" s="7" t="str">
        <f>'Respuestas de formulario 1'!C986</f>
        <v>Carlota Mercedes</v>
      </c>
      <c r="D986" s="7" t="str">
        <f>'Respuestas de formulario 1'!D986</f>
        <v>carlotamf31@gmail.com</v>
      </c>
      <c r="E986" s="20">
        <f>'Respuestas de formulario 1'!E986</f>
        <v>23742</v>
      </c>
      <c r="F986" s="7">
        <f>'Respuestas de formulario 1'!F986</f>
        <v>17156995</v>
      </c>
      <c r="G986" s="7" t="str">
        <f>IFERROR(__xludf.DUMMYFUNCTION("IF('Respuestas de formulario 1'!G986="""","""",IF(LEFT(REGEXREPLACE(TO_TEXT('Respuestas de formulario 1'!G986),""[^0-9]"",""""),2)=""54"",""+""&amp;REGEXREPLACE(TO_TEXT('Respuestas de formulario 1'!G986),""[^0-9]"",""""),""+54""&amp;REGEXREPLACE(TO_TEXT('Respuest"&amp;"as de formulario 1'!G986),""[^0-9]"","""")))"),"+543516622237")</f>
        <v>+543516622237</v>
      </c>
      <c r="H986" s="7">
        <f>'Respuestas de formulario 1'!S986</f>
        <v>2025</v>
      </c>
      <c r="I986" s="7" t="str">
        <f>IFERROR(__xludf.DUMMYFUNCTION("IF('Respuestas de formulario 1'!I986="""","""",TO_TEXT('Respuestas de formulario 1'!I986))"),"Particular")</f>
        <v>Particular</v>
      </c>
      <c r="J986" s="7" t="str">
        <f>IFERROR(__xludf.DUMMYFUNCTION("IF('Respuestas de formulario 1'!J986&lt;&gt;"""",UPPER(TRIM(TO_TEXT('Respuestas de formulario 1'!J986))),IF('Respuestas de formulario 1'!O986&lt;&gt;"""",UPPER(TRIM(TO_TEXT('Respuestas de formulario 1'!O986))),""""))"),"")</f>
        <v/>
      </c>
      <c r="K986" s="7" t="str">
        <f>IFERROR(__xludf.DUMMYFUNCTION("IF('Respuestas de formulario 1'!K986="""","""",TO_TEXT('Respuestas de formulario 1'!K986))"),"No")</f>
        <v>No</v>
      </c>
      <c r="L986" s="7" t="str">
        <f>IFERROR(__xludf.DUMMYFUNCTION("IF('Respuestas de formulario 1'!L986="""","""",TO_TEXT('Respuestas de formulario 1'!L986))"),"")</f>
        <v/>
      </c>
      <c r="M986" s="7" t="str">
        <f>IFERROR(__xludf.DUMMYFUNCTION("IF('Respuestas de formulario 1'!M986="""","""",TO_TEXT('Respuestas de formulario 1'!M986))"),"")</f>
        <v/>
      </c>
      <c r="N986" s="7">
        <f t="shared" si="1"/>
        <v>2025</v>
      </c>
      <c r="O986" s="7" t="str">
        <f t="shared" si="2"/>
        <v>mayo</v>
      </c>
      <c r="P986" s="7" t="s">
        <v>6125</v>
      </c>
    </row>
    <row r="987">
      <c r="A987" s="19">
        <f>'Respuestas de formulario 1'!A987</f>
        <v>45790.51282</v>
      </c>
      <c r="B987" s="7" t="str">
        <f>'Respuestas de formulario 1'!B987</f>
        <v>Cardozo </v>
      </c>
      <c r="C987" s="7" t="str">
        <f>'Respuestas de formulario 1'!C987</f>
        <v>Augusto David </v>
      </c>
      <c r="D987" s="7" t="str">
        <f>'Respuestas de formulario 1'!D987</f>
        <v>Auguda@hotmail.com</v>
      </c>
      <c r="E987" s="20">
        <f>'Respuestas de formulario 1'!E987</f>
        <v>31481</v>
      </c>
      <c r="F987" s="7">
        <f>'Respuestas de formulario 1'!F987</f>
        <v>32203431</v>
      </c>
      <c r="G987" s="7" t="str">
        <f>IFERROR(__xludf.DUMMYFUNCTION("IF('Respuestas de formulario 1'!G987="""","""",IF(LEFT(REGEXREPLACE(TO_TEXT('Respuestas de formulario 1'!G987),""[^0-9]"",""""),2)=""54"",""+""&amp;REGEXREPLACE(TO_TEXT('Respuestas de formulario 1'!G987),""[^0-9]"",""""),""+54""&amp;REGEXREPLACE(TO_TEXT('Respuest"&amp;"as de formulario 1'!G987),""[^0-9]"","""")))"),"+543515106103")</f>
        <v>+543515106103</v>
      </c>
      <c r="H987" s="7">
        <f>'Respuestas de formulario 1'!S987</f>
        <v>2025</v>
      </c>
      <c r="I987" s="7" t="str">
        <f>IFERROR(__xludf.DUMMYFUNCTION("IF('Respuestas de formulario 1'!I987="""","""",TO_TEXT('Respuestas de formulario 1'!I987))"),"Obra social")</f>
        <v>Obra social</v>
      </c>
      <c r="J987" s="7" t="str">
        <f>IFERROR(__xludf.DUMMYFUNCTION("IF('Respuestas de formulario 1'!J987&lt;&gt;"""",UPPER(TRIM(TO_TEXT('Respuestas de formulario 1'!J987))),IF('Respuestas de formulario 1'!O987&lt;&gt;"""",UPPER(TRIM(TO_TEXT('Respuestas de formulario 1'!O987))),""""))"),"APROSS")</f>
        <v>APROSS</v>
      </c>
      <c r="K987" s="7" t="str">
        <f>IFERROR(__xludf.DUMMYFUNCTION("IF('Respuestas de formulario 1'!K987="""","""",TO_TEXT('Respuestas de formulario 1'!K987))"),"Si")</f>
        <v>Si</v>
      </c>
      <c r="L987" s="7" t="str">
        <f>IFERROR(__xludf.DUMMYFUNCTION("IF('Respuestas de formulario 1'!L987="""","""",TO_TEXT('Respuestas de formulario 1'!L987))"),"Padel ")</f>
        <v>Padel </v>
      </c>
      <c r="M987" s="7" t="str">
        <f>IFERROR(__xludf.DUMMYFUNCTION("IF('Respuestas de formulario 1'!M987="""","""",TO_TEXT('Respuestas de formulario 1'!M987))"),"3 a 5 veces por semana")</f>
        <v>3 a 5 veces por semana</v>
      </c>
      <c r="N987" s="7">
        <f t="shared" si="1"/>
        <v>2025</v>
      </c>
      <c r="O987" s="7" t="str">
        <f t="shared" si="2"/>
        <v>mayo</v>
      </c>
      <c r="P987" s="7" t="s">
        <v>6127</v>
      </c>
    </row>
    <row r="988">
      <c r="A988" s="19">
        <f>'Respuestas de formulario 1'!A988</f>
        <v>45790.87637</v>
      </c>
      <c r="B988" s="7" t="str">
        <f>'Respuestas de formulario 1'!B988</f>
        <v>Claure</v>
      </c>
      <c r="C988" s="7" t="str">
        <f>'Respuestas de formulario 1'!C988</f>
        <v>Isabel</v>
      </c>
      <c r="D988" s="7" t="str">
        <f>'Respuestas de formulario 1'!D988</f>
        <v>isamicaela31@gmail.com</v>
      </c>
      <c r="E988" s="20">
        <f>'Respuestas de formulario 1'!E988</f>
        <v>37652</v>
      </c>
      <c r="F988" s="7">
        <f>'Respuestas de formulario 1'!F988</f>
        <v>49262251</v>
      </c>
      <c r="G988" s="7" t="str">
        <f>IFERROR(__xludf.DUMMYFUNCTION("IF('Respuestas de formulario 1'!G988="""","""",IF(LEFT(REGEXREPLACE(TO_TEXT('Respuestas de formulario 1'!G988),""[^0-9]"",""""),2)=""54"",""+""&amp;REGEXREPLACE(TO_TEXT('Respuestas de formulario 1'!G988),""[^0-9]"",""""),""+54""&amp;REGEXREPLACE(TO_TEXT('Respuest"&amp;"as de formulario 1'!G988),""[^0-9]"","""")))"),"+5431")</f>
        <v>+5431</v>
      </c>
      <c r="H988" s="7">
        <f>'Respuestas de formulario 1'!S988</f>
        <v>2025</v>
      </c>
      <c r="I988" s="7" t="str">
        <f>IFERROR(__xludf.DUMMYFUNCTION("IF('Respuestas de formulario 1'!I988="""","""",TO_TEXT('Respuestas de formulario 1'!I988))"),"Obra social")</f>
        <v>Obra social</v>
      </c>
      <c r="J988" s="7" t="str">
        <f>IFERROR(__xludf.DUMMYFUNCTION("IF('Respuestas de formulario 1'!J988&lt;&gt;"""",UPPER(TRIM(TO_TEXT('Respuestas de formulario 1'!J988))),IF('Respuestas de formulario 1'!O988&lt;&gt;"""",UPPER(TRIM(TO_TEXT('Respuestas de formulario 1'!O988))),""""))"),"MEDIFÉ")</f>
        <v>MEDIFÉ</v>
      </c>
      <c r="K988" s="7" t="str">
        <f>IFERROR(__xludf.DUMMYFUNCTION("IF('Respuestas de formulario 1'!K988="""","""",TO_TEXT('Respuestas de formulario 1'!K988))"),"Si")</f>
        <v>Si</v>
      </c>
      <c r="L988" s="7" t="str">
        <f>IFERROR(__xludf.DUMMYFUNCTION("IF('Respuestas de formulario 1'!L988="""","""",TO_TEXT('Respuestas de formulario 1'!L988))"),"Gimnasio")</f>
        <v>Gimnasio</v>
      </c>
      <c r="M988" s="7" t="str">
        <f>IFERROR(__xludf.DUMMYFUNCTION("IF('Respuestas de formulario 1'!M988="""","""",TO_TEXT('Respuestas de formulario 1'!M988))"),"3 a 5 veces por semana")</f>
        <v>3 a 5 veces por semana</v>
      </c>
      <c r="N988" s="7">
        <f t="shared" si="1"/>
        <v>2025</v>
      </c>
      <c r="O988" s="7" t="str">
        <f t="shared" si="2"/>
        <v>mayo</v>
      </c>
      <c r="P988" s="7" t="s">
        <v>6129</v>
      </c>
    </row>
    <row r="989">
      <c r="A989" s="19">
        <f>'Respuestas de formulario 1'!A989</f>
        <v>45791.49601</v>
      </c>
      <c r="B989" s="7" t="str">
        <f>'Respuestas de formulario 1'!B989</f>
        <v>Roulet</v>
      </c>
      <c r="C989" s="7" t="str">
        <f>'Respuestas de formulario 1'!C989</f>
        <v>Elias</v>
      </c>
      <c r="D989" s="7" t="str">
        <f>'Respuestas de formulario 1'!D989</f>
        <v>eliasroulet@gmail.com</v>
      </c>
      <c r="E989" s="20">
        <f>'Respuestas de formulario 1'!E989</f>
        <v>36232</v>
      </c>
      <c r="F989" s="7">
        <f>'Respuestas de formulario 1'!F989</f>
        <v>41809631</v>
      </c>
      <c r="G989" s="7" t="str">
        <f>IFERROR(__xludf.DUMMYFUNCTION("IF('Respuestas de formulario 1'!G989="""","""",IF(LEFT(REGEXREPLACE(TO_TEXT('Respuestas de formulario 1'!G989),""[^0-9]"",""""),2)=""54"",""+""&amp;REGEXREPLACE(TO_TEXT('Respuestas de formulario 1'!G989),""[^0-9]"",""""),""+54""&amp;REGEXREPLACE(TO_TEXT('Respuest"&amp;"as de formulario 1'!G989),""[^0-9]"","""")))"),"+543515953371")</f>
        <v>+543515953371</v>
      </c>
      <c r="H989" s="7">
        <f>'Respuestas de formulario 1'!S989</f>
        <v>2025</v>
      </c>
      <c r="I989" s="7" t="str">
        <f>IFERROR(__xludf.DUMMYFUNCTION("IF('Respuestas de formulario 1'!I989="""","""",TO_TEXT('Respuestas de formulario 1'!I989))"),"Particular")</f>
        <v>Particular</v>
      </c>
      <c r="J989" s="7" t="str">
        <f>IFERROR(__xludf.DUMMYFUNCTION("IF('Respuestas de formulario 1'!J989&lt;&gt;"""",UPPER(TRIM(TO_TEXT('Respuestas de formulario 1'!J989))),IF('Respuestas de formulario 1'!O989&lt;&gt;"""",UPPER(TRIM(TO_TEXT('Respuestas de formulario 1'!O989))),""""))"),"")</f>
        <v/>
      </c>
      <c r="K989" s="7" t="str">
        <f>IFERROR(__xludf.DUMMYFUNCTION("IF('Respuestas de formulario 1'!K989="""","""",TO_TEXT('Respuestas de formulario 1'!K989))"),"Si")</f>
        <v>Si</v>
      </c>
      <c r="L989" s="7" t="str">
        <f>IFERROR(__xludf.DUMMYFUNCTION("IF('Respuestas de formulario 1'!L989="""","""",TO_TEXT('Respuestas de formulario 1'!L989))"),"Handball")</f>
        <v>Handball</v>
      </c>
      <c r="M989" s="7" t="str">
        <f>IFERROR(__xludf.DUMMYFUNCTION("IF('Respuestas de formulario 1'!M989="""","""",TO_TEXT('Respuestas de formulario 1'!M989))"),"3 a 5 veces por semana")</f>
        <v>3 a 5 veces por semana</v>
      </c>
      <c r="N989" s="7">
        <f t="shared" si="1"/>
        <v>2025</v>
      </c>
      <c r="O989" s="7" t="str">
        <f t="shared" si="2"/>
        <v>mayo</v>
      </c>
      <c r="P989" s="7" t="s">
        <v>6131</v>
      </c>
    </row>
    <row r="990">
      <c r="A990" s="19">
        <f>'Respuestas de formulario 1'!A990</f>
        <v>45791.83415</v>
      </c>
      <c r="B990" s="7" t="str">
        <f>'Respuestas de formulario 1'!B990</f>
        <v>Peltzer </v>
      </c>
      <c r="C990" s="7" t="str">
        <f>'Respuestas de formulario 1'!C990</f>
        <v>Enrique</v>
      </c>
      <c r="D990" s="7" t="str">
        <f>'Respuestas de formulario 1'!D990</f>
        <v>peltzer.enrique@gmail.com</v>
      </c>
      <c r="E990" s="20">
        <f>'Respuestas de formulario 1'!E990</f>
        <v>30907</v>
      </c>
      <c r="F990" s="7">
        <f>'Respuestas de formulario 1'!F990</f>
        <v>31085932</v>
      </c>
      <c r="G990" s="7" t="str">
        <f>IFERROR(__xludf.DUMMYFUNCTION("IF('Respuestas de formulario 1'!G990="""","""",IF(LEFT(REGEXREPLACE(TO_TEXT('Respuestas de formulario 1'!G990),""[^0-9]"",""""),2)=""54"",""+""&amp;REGEXREPLACE(TO_TEXT('Respuestas de formulario 1'!G990),""[^0-9]"",""""),""+54""&amp;REGEXREPLACE(TO_TEXT('Respuest"&amp;"as de formulario 1'!G990),""[^0-9]"","""")))"),"+543515600500")</f>
        <v>+543515600500</v>
      </c>
      <c r="H990" s="7">
        <f>'Respuestas de formulario 1'!S990</f>
        <v>2025</v>
      </c>
      <c r="I990" s="7" t="str">
        <f>IFERROR(__xludf.DUMMYFUNCTION("IF('Respuestas de formulario 1'!I990="""","""",TO_TEXT('Respuestas de formulario 1'!I990))"),"Particular")</f>
        <v>Particular</v>
      </c>
      <c r="J990" s="7" t="str">
        <f>IFERROR(__xludf.DUMMYFUNCTION("IF('Respuestas de formulario 1'!J990&lt;&gt;"""",UPPER(TRIM(TO_TEXT('Respuestas de formulario 1'!J990))),IF('Respuestas de formulario 1'!O990&lt;&gt;"""",UPPER(TRIM(TO_TEXT('Respuestas de formulario 1'!O990))),""""))"),"")</f>
        <v/>
      </c>
      <c r="K990" s="7" t="str">
        <f>IFERROR(__xludf.DUMMYFUNCTION("IF('Respuestas de formulario 1'!K990="""","""",TO_TEXT('Respuestas de formulario 1'!K990))"),"Si")</f>
        <v>Si</v>
      </c>
      <c r="L990" s="7" t="str">
        <f>IFERROR(__xludf.DUMMYFUNCTION("IF('Respuestas de formulario 1'!L990="""","""",TO_TEXT('Respuestas de formulario 1'!L990))"),"Gimnasio")</f>
        <v>Gimnasio</v>
      </c>
      <c r="M990" s="7" t="str">
        <f>IFERROR(__xludf.DUMMYFUNCTION("IF('Respuestas de formulario 1'!M990="""","""",TO_TEXT('Respuestas de formulario 1'!M990))"),"3 a 5 veces por semana")</f>
        <v>3 a 5 veces por semana</v>
      </c>
      <c r="N990" s="7">
        <f t="shared" si="1"/>
        <v>2025</v>
      </c>
      <c r="O990" s="7" t="str">
        <f t="shared" si="2"/>
        <v>mayo</v>
      </c>
      <c r="P990" s="7" t="s">
        <v>6133</v>
      </c>
    </row>
    <row r="991">
      <c r="A991" s="19">
        <f>'Respuestas de formulario 1'!A991</f>
        <v>45792.67014</v>
      </c>
      <c r="B991" s="7" t="str">
        <f>'Respuestas de formulario 1'!B991</f>
        <v>Baldoma</v>
      </c>
      <c r="C991" s="7" t="str">
        <f>'Respuestas de formulario 1'!C991</f>
        <v>Gustavo</v>
      </c>
      <c r="D991" s="7" t="str">
        <f>'Respuestas de formulario 1'!D991</f>
        <v>Baldomatatos@hotmail.com</v>
      </c>
      <c r="E991" s="20">
        <f>'Respuestas de formulario 1'!E991</f>
        <v>28765</v>
      </c>
      <c r="F991" s="7">
        <f>'Respuestas de formulario 1'!F991</f>
        <v>26141736</v>
      </c>
      <c r="G991" s="7" t="str">
        <f>IFERROR(__xludf.DUMMYFUNCTION("IF('Respuestas de formulario 1'!G991="""","""",IF(LEFT(REGEXREPLACE(TO_TEXT('Respuestas de formulario 1'!G991),""[^0-9]"",""""),2)=""54"",""+""&amp;REGEXREPLACE(TO_TEXT('Respuestas de formulario 1'!G991),""[^0-9]"",""""),""+54""&amp;REGEXREPLACE(TO_TEXT('Respuest"&amp;"as de formulario 1'!G991),""[^0-9]"","""")))"),"+543513464446")</f>
        <v>+543513464446</v>
      </c>
      <c r="H991" s="7">
        <f>'Respuestas de formulario 1'!S991</f>
        <v>2025</v>
      </c>
      <c r="I991" s="7" t="str">
        <f>IFERROR(__xludf.DUMMYFUNCTION("IF('Respuestas de formulario 1'!I991="""","""",TO_TEXT('Respuestas de formulario 1'!I991))"),"Obra social")</f>
        <v>Obra social</v>
      </c>
      <c r="J991" s="7" t="str">
        <f>IFERROR(__xludf.DUMMYFUNCTION("IF('Respuestas de formulario 1'!J991&lt;&gt;"""",UPPER(TRIM(TO_TEXT('Respuestas de formulario 1'!J991))),IF('Respuestas de formulario 1'!O991&lt;&gt;"""",UPPER(TRIM(TO_TEXT('Respuestas de formulario 1'!O991))),""""))"),"SANCOR")</f>
        <v>SANCOR</v>
      </c>
      <c r="K991" s="7" t="str">
        <f>IFERROR(__xludf.DUMMYFUNCTION("IF('Respuestas de formulario 1'!K991="""","""",TO_TEXT('Respuestas de formulario 1'!K991))"),"No")</f>
        <v>No</v>
      </c>
      <c r="L991" s="7" t="str">
        <f>IFERROR(__xludf.DUMMYFUNCTION("IF('Respuestas de formulario 1'!L991="""","""",TO_TEXT('Respuestas de formulario 1'!L991))"),"")</f>
        <v/>
      </c>
      <c r="M991" s="7" t="str">
        <f>IFERROR(__xludf.DUMMYFUNCTION("IF('Respuestas de formulario 1'!M991="""","""",TO_TEXT('Respuestas de formulario 1'!M991))"),"")</f>
        <v/>
      </c>
      <c r="N991" s="7">
        <f t="shared" si="1"/>
        <v>2025</v>
      </c>
      <c r="O991" s="7" t="str">
        <f t="shared" si="2"/>
        <v>mayo</v>
      </c>
      <c r="P991" s="7" t="s">
        <v>6135</v>
      </c>
    </row>
    <row r="992">
      <c r="A992" s="19">
        <f>'Respuestas de formulario 1'!A992</f>
        <v>45794.04282</v>
      </c>
      <c r="B992" s="7" t="str">
        <f>'Respuestas de formulario 1'!B992</f>
        <v>Galvez </v>
      </c>
      <c r="C992" s="7" t="str">
        <f>'Respuestas de formulario 1'!C992</f>
        <v>Federico </v>
      </c>
      <c r="D992" s="7" t="str">
        <f>'Respuestas de formulario 1'!D992</f>
        <v>fedegalvez399@gmail.com</v>
      </c>
      <c r="E992" s="20">
        <f>'Respuestas de formulario 1'!E992</f>
        <v>38091</v>
      </c>
      <c r="F992" s="7">
        <f>'Respuestas de formulario 1'!F992</f>
        <v>45641433</v>
      </c>
      <c r="G992" s="7" t="str">
        <f>IFERROR(__xludf.DUMMYFUNCTION("IF('Respuestas de formulario 1'!G992="""","""",IF(LEFT(REGEXREPLACE(TO_TEXT('Respuestas de formulario 1'!G992),""[^0-9]"",""""),2)=""54"",""+""&amp;REGEXREPLACE(TO_TEXT('Respuestas de formulario 1'!G992),""[^0-9]"",""""),""+54""&amp;REGEXREPLACE(TO_TEXT('Respuest"&amp;"as de formulario 1'!G992),""[^0-9]"","""")))"),"+543516076331")</f>
        <v>+543516076331</v>
      </c>
      <c r="H992" s="7">
        <f>'Respuestas de formulario 1'!S992</f>
        <v>2025</v>
      </c>
      <c r="I992" s="7" t="str">
        <f>IFERROR(__xludf.DUMMYFUNCTION("IF('Respuestas de formulario 1'!I992="""","""",TO_TEXT('Respuestas de formulario 1'!I992))"),"Obra social")</f>
        <v>Obra social</v>
      </c>
      <c r="J992" s="7" t="str">
        <f>IFERROR(__xludf.DUMMYFUNCTION("IF('Respuestas de formulario 1'!J992&lt;&gt;"""",UPPER(TRIM(TO_TEXT('Respuestas de formulario 1'!J992))),IF('Respuestas de formulario 1'!O992&lt;&gt;"""",UPPER(TRIM(TO_TEXT('Respuestas de formulario 1'!O992))),""""))"),"DIBPFA")</f>
        <v>DIBPFA</v>
      </c>
      <c r="K992" s="7" t="str">
        <f>IFERROR(__xludf.DUMMYFUNCTION("IF('Respuestas de formulario 1'!K992="""","""",TO_TEXT('Respuestas de formulario 1'!K992))"),"Si")</f>
        <v>Si</v>
      </c>
      <c r="L992" s="7" t="str">
        <f>IFERROR(__xludf.DUMMYFUNCTION("IF('Respuestas de formulario 1'!L992="""","""",TO_TEXT('Respuestas de formulario 1'!L992))"),"Gimnasio")</f>
        <v>Gimnasio</v>
      </c>
      <c r="M992" s="7" t="str">
        <f>IFERROR(__xludf.DUMMYFUNCTION("IF('Respuestas de formulario 1'!M992="""","""",TO_TEXT('Respuestas de formulario 1'!M992))"),"3 a 5 veces por semana")</f>
        <v>3 a 5 veces por semana</v>
      </c>
      <c r="N992" s="7">
        <f t="shared" si="1"/>
        <v>2025</v>
      </c>
      <c r="O992" s="7" t="str">
        <f t="shared" si="2"/>
        <v>mayo</v>
      </c>
      <c r="P992" s="7" t="s">
        <v>6137</v>
      </c>
    </row>
    <row r="993">
      <c r="A993" s="19">
        <f>'Respuestas de formulario 1'!A993</f>
        <v>45795.83325</v>
      </c>
      <c r="B993" s="7" t="str">
        <f>'Respuestas de formulario 1'!B993</f>
        <v>Perez</v>
      </c>
      <c r="C993" s="7" t="str">
        <f>'Respuestas de formulario 1'!C993</f>
        <v>Maria Belen</v>
      </c>
      <c r="D993" s="7" t="str">
        <f>'Respuestas de formulario 1'!D993</f>
        <v>mariabelen.perezc@gmail.com</v>
      </c>
      <c r="E993" s="20">
        <f>'Respuestas de formulario 1'!E993</f>
        <v>30483</v>
      </c>
      <c r="F993" s="7">
        <f>'Respuestas de formulario 1'!F993</f>
        <v>30329641</v>
      </c>
      <c r="G993" s="7" t="str">
        <f>IFERROR(__xludf.DUMMYFUNCTION("IF('Respuestas de formulario 1'!G993="""","""",IF(LEFT(REGEXREPLACE(TO_TEXT('Respuestas de formulario 1'!G993),""[^0-9]"",""""),2)=""54"",""+""&amp;REGEXREPLACE(TO_TEXT('Respuestas de formulario 1'!G993),""[^0-9]"",""""),""+54""&amp;REGEXREPLACE(TO_TEXT('Respuest"&amp;"as de formulario 1'!G993),""[^0-9]"","""")))"),"+543513857461")</f>
        <v>+543513857461</v>
      </c>
      <c r="H993" s="7">
        <f>'Respuestas de formulario 1'!S993</f>
        <v>2025</v>
      </c>
      <c r="I993" s="7" t="str">
        <f>IFERROR(__xludf.DUMMYFUNCTION("IF('Respuestas de formulario 1'!I993="""","""",TO_TEXT('Respuestas de formulario 1'!I993))"),"Particular")</f>
        <v>Particular</v>
      </c>
      <c r="J993" s="7" t="str">
        <f>IFERROR(__xludf.DUMMYFUNCTION("IF('Respuestas de formulario 1'!J993&lt;&gt;"""",UPPER(TRIM(TO_TEXT('Respuestas de formulario 1'!J993))),IF('Respuestas de formulario 1'!O993&lt;&gt;"""",UPPER(TRIM(TO_TEXT('Respuestas de formulario 1'!O993))),""""))"),"")</f>
        <v/>
      </c>
      <c r="K993" s="7" t="str">
        <f>IFERROR(__xludf.DUMMYFUNCTION("IF('Respuestas de formulario 1'!K993="""","""",TO_TEXT('Respuestas de formulario 1'!K993))"),"Si")</f>
        <v>Si</v>
      </c>
      <c r="L993" s="7" t="str">
        <f>IFERROR(__xludf.DUMMYFUNCTION("IF('Respuestas de formulario 1'!L993="""","""",TO_TEXT('Respuestas de formulario 1'!L993))"),"Running")</f>
        <v>Running</v>
      </c>
      <c r="M993" s="7" t="str">
        <f>IFERROR(__xludf.DUMMYFUNCTION("IF('Respuestas de formulario 1'!M993="""","""",TO_TEXT('Respuestas de formulario 1'!M993))"),"3 a 5 veces por semana")</f>
        <v>3 a 5 veces por semana</v>
      </c>
      <c r="N993" s="7">
        <f t="shared" si="1"/>
        <v>2025</v>
      </c>
      <c r="O993" s="7" t="str">
        <f t="shared" si="2"/>
        <v>mayo</v>
      </c>
      <c r="P993" s="7" t="s">
        <v>6139</v>
      </c>
    </row>
    <row r="994">
      <c r="A994" s="19">
        <f>'Respuestas de formulario 1'!A994</f>
        <v>45795.88207</v>
      </c>
      <c r="B994" s="7" t="str">
        <f>'Respuestas de formulario 1'!B994</f>
        <v>Bordino</v>
      </c>
      <c r="C994" s="7" t="str">
        <f>'Respuestas de formulario 1'!C994</f>
        <v>Nora Hilda</v>
      </c>
      <c r="D994" s="7" t="str">
        <f>'Respuestas de formulario 1'!D994</f>
        <v>norabordino8@gmail.com</v>
      </c>
      <c r="E994" s="20">
        <f>'Respuestas de formulario 1'!E994</f>
        <v>45795</v>
      </c>
      <c r="F994" s="7">
        <f>'Respuestas de formulario 1'!F994</f>
        <v>6234619</v>
      </c>
      <c r="G994" s="7" t="str">
        <f>IFERROR(__xludf.DUMMYFUNCTION("IF('Respuestas de formulario 1'!G994="""","""",IF(LEFT(REGEXREPLACE(TO_TEXT('Respuestas de formulario 1'!G994),""[^0-9]"",""""),2)=""54"",""+""&amp;REGEXREPLACE(TO_TEXT('Respuestas de formulario 1'!G994),""[^0-9]"",""""),""+54""&amp;REGEXREPLACE(TO_TEXT('Respuest"&amp;"as de formulario 1'!G994),""[^0-9]"","""")))"),"+543516604695")</f>
        <v>+543516604695</v>
      </c>
      <c r="H994" s="7">
        <f>'Respuestas de formulario 1'!S994</f>
        <v>2025</v>
      </c>
      <c r="I994" s="7" t="str">
        <f>IFERROR(__xludf.DUMMYFUNCTION("IF('Respuestas de formulario 1'!I994="""","""",TO_TEXT('Respuestas de formulario 1'!I994))"),"Particular")</f>
        <v>Particular</v>
      </c>
      <c r="J994" s="7" t="str">
        <f>IFERROR(__xludf.DUMMYFUNCTION("IF('Respuestas de formulario 1'!J994&lt;&gt;"""",UPPER(TRIM(TO_TEXT('Respuestas de formulario 1'!J994))),IF('Respuestas de formulario 1'!O994&lt;&gt;"""",UPPER(TRIM(TO_TEXT('Respuestas de formulario 1'!O994))),""""))"),"")</f>
        <v/>
      </c>
      <c r="K994" s="7" t="str">
        <f>IFERROR(__xludf.DUMMYFUNCTION("IF('Respuestas de formulario 1'!K994="""","""",TO_TEXT('Respuestas de formulario 1'!K994))"),"No")</f>
        <v>No</v>
      </c>
      <c r="L994" s="7" t="str">
        <f>IFERROR(__xludf.DUMMYFUNCTION("IF('Respuestas de formulario 1'!L994="""","""",TO_TEXT('Respuestas de formulario 1'!L994))"),"")</f>
        <v/>
      </c>
      <c r="M994" s="7" t="str">
        <f>IFERROR(__xludf.DUMMYFUNCTION("IF('Respuestas de formulario 1'!M994="""","""",TO_TEXT('Respuestas de formulario 1'!M994))"),"")</f>
        <v/>
      </c>
      <c r="N994" s="7">
        <f t="shared" si="1"/>
        <v>2025</v>
      </c>
      <c r="O994" s="7" t="str">
        <f t="shared" si="2"/>
        <v>mayo</v>
      </c>
      <c r="P994" s="7" t="s">
        <v>6141</v>
      </c>
    </row>
    <row r="995">
      <c r="A995" s="19">
        <f>'Respuestas de formulario 1'!A995</f>
        <v>45796.44129</v>
      </c>
      <c r="B995" s="7" t="str">
        <f>'Respuestas de formulario 1'!B995</f>
        <v>Fontanella</v>
      </c>
      <c r="C995" s="7" t="str">
        <f>'Respuestas de formulario 1'!C995</f>
        <v>Agostina</v>
      </c>
      <c r="D995" s="7" t="str">
        <f>'Respuestas de formulario 1'!D995</f>
        <v>Agofontanella@gmail.com</v>
      </c>
      <c r="E995" s="20">
        <f>'Respuestas de formulario 1'!E995</f>
        <v>34234</v>
      </c>
      <c r="F995" s="7">
        <f>'Respuestas de formulario 1'!F995</f>
        <v>37522530</v>
      </c>
      <c r="G995" s="7" t="str">
        <f>IFERROR(__xludf.DUMMYFUNCTION("IF('Respuestas de formulario 1'!G995="""","""",IF(LEFT(REGEXREPLACE(TO_TEXT('Respuestas de formulario 1'!G995),""[^0-9]"",""""),2)=""54"",""+""&amp;REGEXREPLACE(TO_TEXT('Respuestas de formulario 1'!G995),""[^0-9]"",""""),""+54""&amp;REGEXREPLACE(TO_TEXT('Respuest"&amp;"as de formulario 1'!G995),""[^0-9]"","""")))"),"+543534792451")</f>
        <v>+543534792451</v>
      </c>
      <c r="H995" s="7">
        <f>'Respuestas de formulario 1'!S995</f>
        <v>2025</v>
      </c>
      <c r="I995" s="7" t="str">
        <f>IFERROR(__xludf.DUMMYFUNCTION("IF('Respuestas de formulario 1'!I995="""","""",TO_TEXT('Respuestas de formulario 1'!I995))"),"Obra social")</f>
        <v>Obra social</v>
      </c>
      <c r="J995" s="7" t="str">
        <f>IFERROR(__xludf.DUMMYFUNCTION("IF('Respuestas de formulario 1'!J995&lt;&gt;"""",UPPER(TRIM(TO_TEXT('Respuestas de formulario 1'!J995))),IF('Respuestas de formulario 1'!O995&lt;&gt;"""",UPPER(TRIM(TO_TEXT('Respuestas de formulario 1'!O995))),""""))"),"MEDIFE")</f>
        <v>MEDIFE</v>
      </c>
      <c r="K995" s="7" t="str">
        <f>IFERROR(__xludf.DUMMYFUNCTION("IF('Respuestas de formulario 1'!K995="""","""",TO_TEXT('Respuestas de formulario 1'!K995))"),"Si")</f>
        <v>Si</v>
      </c>
      <c r="L995" s="7" t="str">
        <f>IFERROR(__xludf.DUMMYFUNCTION("IF('Respuestas de formulario 1'!L995="""","""",TO_TEXT('Respuestas de formulario 1'!L995))"),"Gimnasio")</f>
        <v>Gimnasio</v>
      </c>
      <c r="M995" s="7" t="str">
        <f>IFERROR(__xludf.DUMMYFUNCTION("IF('Respuestas de formulario 1'!M995="""","""",TO_TEXT('Respuestas de formulario 1'!M995))"),"3 a 5 veces por semana")</f>
        <v>3 a 5 veces por semana</v>
      </c>
      <c r="N995" s="7">
        <f t="shared" si="1"/>
        <v>2025</v>
      </c>
      <c r="O995" s="7" t="str">
        <f t="shared" si="2"/>
        <v>mayo</v>
      </c>
      <c r="P995" s="7" t="s">
        <v>6143</v>
      </c>
    </row>
    <row r="996">
      <c r="A996" s="19">
        <f>'Respuestas de formulario 1'!A996</f>
        <v>45796.46774</v>
      </c>
      <c r="B996" s="7" t="str">
        <f>'Respuestas de formulario 1'!B996</f>
        <v>GLOWACKI</v>
      </c>
      <c r="C996" s="7" t="str">
        <f>'Respuestas de formulario 1'!C996</f>
        <v>Walter</v>
      </c>
      <c r="D996" s="7" t="str">
        <f>'Respuestas de formulario 1'!D996</f>
        <v/>
      </c>
      <c r="E996" s="20">
        <f>'Respuestas de formulario 1'!E996</f>
        <v>23291</v>
      </c>
      <c r="F996" s="7">
        <f>'Respuestas de formulario 1'!F996</f>
        <v>16507309</v>
      </c>
      <c r="G996" s="7" t="str">
        <f>IFERROR(__xludf.DUMMYFUNCTION("IF('Respuestas de formulario 1'!G996="""","""",IF(LEFT(REGEXREPLACE(TO_TEXT('Respuestas de formulario 1'!G996),""[^0-9]"",""""),2)=""54"",""+""&amp;REGEXREPLACE(TO_TEXT('Respuestas de formulario 1'!G996),""[^0-9]"",""""),""+54""&amp;REGEXREPLACE(TO_TEXT('Respuest"&amp;"as de formulario 1'!G996),""[^0-9]"","""")))"),"+543515730256")</f>
        <v>+543515730256</v>
      </c>
      <c r="H996" s="7">
        <f>'Respuestas de formulario 1'!S996</f>
        <v>2025</v>
      </c>
      <c r="I996" s="7" t="str">
        <f>IFERROR(__xludf.DUMMYFUNCTION("IF('Respuestas de formulario 1'!I996="""","""",TO_TEXT('Respuestas de formulario 1'!I996))"),"Particular")</f>
        <v>Particular</v>
      </c>
      <c r="J996" s="7" t="str">
        <f>IFERROR(__xludf.DUMMYFUNCTION("IF('Respuestas de formulario 1'!J996&lt;&gt;"""",UPPER(TRIM(TO_TEXT('Respuestas de formulario 1'!J996))),IF('Respuestas de formulario 1'!O996&lt;&gt;"""",UPPER(TRIM(TO_TEXT('Respuestas de formulario 1'!O996))),""""))"),"")</f>
        <v/>
      </c>
      <c r="K996" s="7" t="str">
        <f>IFERROR(__xludf.DUMMYFUNCTION("IF('Respuestas de formulario 1'!K996="""","""",TO_TEXT('Respuestas de formulario 1'!K996))"),"Si")</f>
        <v>Si</v>
      </c>
      <c r="L996" s="7" t="str">
        <f>IFERROR(__xludf.DUMMYFUNCTION("IF('Respuestas de formulario 1'!L996="""","""",TO_TEXT('Respuestas de formulario 1'!L996))"),"Gimnasio")</f>
        <v>Gimnasio</v>
      </c>
      <c r="M996" s="7" t="str">
        <f>IFERROR(__xludf.DUMMYFUNCTION("IF('Respuestas de formulario 1'!M996="""","""",TO_TEXT('Respuestas de formulario 1'!M996))"),"3 a 5 veces por semana")</f>
        <v>3 a 5 veces por semana</v>
      </c>
      <c r="N996" s="7">
        <f t="shared" si="1"/>
        <v>2025</v>
      </c>
      <c r="O996" s="7" t="str">
        <f t="shared" si="2"/>
        <v>mayo</v>
      </c>
      <c r="P996" s="7" t="s">
        <v>6145</v>
      </c>
    </row>
    <row r="997">
      <c r="A997" s="19">
        <f>'Respuestas de formulario 1'!A997</f>
        <v>45796.5074</v>
      </c>
      <c r="B997" s="7" t="str">
        <f>'Respuestas de formulario 1'!B997</f>
        <v>Silva</v>
      </c>
      <c r="C997" s="7" t="str">
        <f>'Respuestas de formulario 1'!C997</f>
        <v>Gregorio</v>
      </c>
      <c r="D997" s="7" t="str">
        <f>'Respuestas de formulario 1'!D997</f>
        <v/>
      </c>
      <c r="E997" s="20">
        <f>'Respuestas de formulario 1'!E997</f>
        <v>23771</v>
      </c>
      <c r="F997" s="7">
        <f>'Respuestas de formulario 1'!F997</f>
        <v>17591789</v>
      </c>
      <c r="G997" s="7" t="str">
        <f>IFERROR(__xludf.DUMMYFUNCTION("IF('Respuestas de formulario 1'!G997="""","""",IF(LEFT(REGEXREPLACE(TO_TEXT('Respuestas de formulario 1'!G997),""[^0-9]"",""""),2)=""54"",""+""&amp;REGEXREPLACE(TO_TEXT('Respuestas de formulario 1'!G997),""[^0-9]"",""""),""+54""&amp;REGEXREPLACE(TO_TEXT('Respuest"&amp;"as de formulario 1'!G997),""[^0-9]"","""")))"),"+543512095193")</f>
        <v>+543512095193</v>
      </c>
      <c r="H997" s="7">
        <f>'Respuestas de formulario 1'!S997</f>
        <v>2025</v>
      </c>
      <c r="I997" s="7" t="str">
        <f>IFERROR(__xludf.DUMMYFUNCTION("IF('Respuestas de formulario 1'!I997="""","""",TO_TEXT('Respuestas de formulario 1'!I997))"),"Particular")</f>
        <v>Particular</v>
      </c>
      <c r="J997" s="7" t="str">
        <f>IFERROR(__xludf.DUMMYFUNCTION("IF('Respuestas de formulario 1'!J997&lt;&gt;"""",UPPER(TRIM(TO_TEXT('Respuestas de formulario 1'!J997))),IF('Respuestas de formulario 1'!O997&lt;&gt;"""",UPPER(TRIM(TO_TEXT('Respuestas de formulario 1'!O997))),""""))"),"")</f>
        <v/>
      </c>
      <c r="K997" s="7" t="str">
        <f>IFERROR(__xludf.DUMMYFUNCTION("IF('Respuestas de formulario 1'!K997="""","""",TO_TEXT('Respuestas de formulario 1'!K997))"),"No")</f>
        <v>No</v>
      </c>
      <c r="L997" s="7" t="str">
        <f>IFERROR(__xludf.DUMMYFUNCTION("IF('Respuestas de formulario 1'!L997="""","""",TO_TEXT('Respuestas de formulario 1'!L997))"),"")</f>
        <v/>
      </c>
      <c r="M997" s="7" t="str">
        <f>IFERROR(__xludf.DUMMYFUNCTION("IF('Respuestas de formulario 1'!M997="""","""",TO_TEXT('Respuestas de formulario 1'!M997))"),"")</f>
        <v/>
      </c>
      <c r="N997" s="7">
        <f t="shared" si="1"/>
        <v>2025</v>
      </c>
      <c r="O997" s="7" t="str">
        <f t="shared" si="2"/>
        <v>mayo</v>
      </c>
      <c r="P997" s="7" t="s">
        <v>6147</v>
      </c>
    </row>
    <row r="998">
      <c r="A998" s="19">
        <f>'Respuestas de formulario 1'!A998</f>
        <v>45796.73935</v>
      </c>
      <c r="B998" s="7" t="str">
        <f>'Respuestas de formulario 1'!B998</f>
        <v>Sanchez </v>
      </c>
      <c r="C998" s="7" t="str">
        <f>'Respuestas de formulario 1'!C998</f>
        <v>Eva </v>
      </c>
      <c r="D998" s="7" t="str">
        <f>'Respuestas de formulario 1'!D998</f>
        <v>evagesanchez@hotmail.com</v>
      </c>
      <c r="E998" s="20">
        <f>'Respuestas de formulario 1'!E998</f>
        <v>28332</v>
      </c>
      <c r="F998" s="7">
        <f>'Respuestas de formulario 1'!F998</f>
        <v>25858494</v>
      </c>
      <c r="G998" s="7" t="str">
        <f>IFERROR(__xludf.DUMMYFUNCTION("IF('Respuestas de formulario 1'!G998="""","""",IF(LEFT(REGEXREPLACE(TO_TEXT('Respuestas de formulario 1'!G998),""[^0-9]"",""""),2)=""54"",""+""&amp;REGEXREPLACE(TO_TEXT('Respuestas de formulario 1'!G998),""[^0-9]"",""""),""+54""&amp;REGEXREPLACE(TO_TEXT('Respuest"&amp;"as de formulario 1'!G998),""[^0-9]"","""")))"),"+543516379967")</f>
        <v>+543516379967</v>
      </c>
      <c r="H998" s="7">
        <f>'Respuestas de formulario 1'!S998</f>
        <v>2025</v>
      </c>
      <c r="I998" s="7" t="str">
        <f>IFERROR(__xludf.DUMMYFUNCTION("IF('Respuestas de formulario 1'!I998="""","""",TO_TEXT('Respuestas de formulario 1'!I998))"),"Obra social")</f>
        <v>Obra social</v>
      </c>
      <c r="J998" s="7" t="str">
        <f>IFERROR(__xludf.DUMMYFUNCTION("IF('Respuestas de formulario 1'!J998&lt;&gt;"""",UPPER(TRIM(TO_TEXT('Respuestas de formulario 1'!J998))),IF('Respuestas de formulario 1'!O998&lt;&gt;"""",UPPER(TRIM(TO_TEXT('Respuestas de formulario 1'!O998))),""""))"),"APROSS")</f>
        <v>APROSS</v>
      </c>
      <c r="K998" s="7" t="str">
        <f>IFERROR(__xludf.DUMMYFUNCTION("IF('Respuestas de formulario 1'!K998="""","""",TO_TEXT('Respuestas de formulario 1'!K998))"),"Si")</f>
        <v>Si</v>
      </c>
      <c r="L998" s="7" t="str">
        <f>IFERROR(__xludf.DUMMYFUNCTION("IF('Respuestas de formulario 1'!L998="""","""",TO_TEXT('Respuestas de formulario 1'!L998))"),"Funcional")</f>
        <v>Funcional</v>
      </c>
      <c r="M998" s="7" t="str">
        <f>IFERROR(__xludf.DUMMYFUNCTION("IF('Respuestas de formulario 1'!M998="""","""",TO_TEXT('Respuestas de formulario 1'!M998))"),"1 a 2 veces por semana")</f>
        <v>1 a 2 veces por semana</v>
      </c>
      <c r="N998" s="7">
        <f t="shared" si="1"/>
        <v>2025</v>
      </c>
      <c r="O998" s="7" t="str">
        <f t="shared" si="2"/>
        <v>mayo</v>
      </c>
      <c r="P998" s="7" t="s">
        <v>6149</v>
      </c>
    </row>
    <row r="999">
      <c r="A999" s="19">
        <f>'Respuestas de formulario 1'!A999</f>
        <v>45797.76053</v>
      </c>
      <c r="B999" s="7" t="str">
        <f>'Respuestas de formulario 1'!B999</f>
        <v>OLOCCO</v>
      </c>
      <c r="C999" s="7" t="str">
        <f>'Respuestas de formulario 1'!C999</f>
        <v>David</v>
      </c>
      <c r="D999" s="7" t="str">
        <f>'Respuestas de formulario 1'!D999</f>
        <v>oloccodavid86@gmail.com</v>
      </c>
      <c r="E999" s="20">
        <f>'Respuestas de formulario 1'!E999</f>
        <v>32609</v>
      </c>
      <c r="F999" s="7">
        <f>'Respuestas de formulario 1'!F999</f>
        <v>34440403</v>
      </c>
      <c r="G999" s="7" t="str">
        <f>IFERROR(__xludf.DUMMYFUNCTION("IF('Respuestas de formulario 1'!G999="""","""",IF(LEFT(REGEXREPLACE(TO_TEXT('Respuestas de formulario 1'!G999),""[^0-9]"",""""),2)=""54"",""+""&amp;REGEXREPLACE(TO_TEXT('Respuestas de formulario 1'!G999),""[^0-9]"",""""),""+54""&amp;REGEXREPLACE(TO_TEXT('Respuest"&amp;"as de formulario 1'!G999),""[^0-9]"","""")))"),"+543516648823")</f>
        <v>+543516648823</v>
      </c>
      <c r="H999" s="7">
        <f>'Respuestas de formulario 1'!S999</f>
        <v>2025</v>
      </c>
      <c r="I999" s="7" t="str">
        <f>IFERROR(__xludf.DUMMYFUNCTION("IF('Respuestas de formulario 1'!I999="""","""",TO_TEXT('Respuestas de formulario 1'!I999))"),"Obra social")</f>
        <v>Obra social</v>
      </c>
      <c r="J999" s="7" t="str">
        <f>IFERROR(__xludf.DUMMYFUNCTION("IF('Respuestas de formulario 1'!J999&lt;&gt;"""",UPPER(TRIM(TO_TEXT('Respuestas de formulario 1'!J999))),IF('Respuestas de formulario 1'!O999&lt;&gt;"""",UPPER(TRIM(TO_TEXT('Respuestas de formulario 1'!O999))),""""))"),"PREVENCIÓN")</f>
        <v>PREVENCIÓN</v>
      </c>
      <c r="K999" s="7" t="str">
        <f>IFERROR(__xludf.DUMMYFUNCTION("IF('Respuestas de formulario 1'!K999="""","""",TO_TEXT('Respuestas de formulario 1'!K999))"),"No")</f>
        <v>No</v>
      </c>
      <c r="L999" s="7" t="str">
        <f>IFERROR(__xludf.DUMMYFUNCTION("IF('Respuestas de formulario 1'!L999="""","""",TO_TEXT('Respuestas de formulario 1'!L999))"),"")</f>
        <v/>
      </c>
      <c r="M999" s="7" t="str">
        <f>IFERROR(__xludf.DUMMYFUNCTION("IF('Respuestas de formulario 1'!M999="""","""",TO_TEXT('Respuestas de formulario 1'!M999))"),"")</f>
        <v/>
      </c>
      <c r="N999" s="7">
        <f t="shared" si="1"/>
        <v>2025</v>
      </c>
      <c r="O999" s="7" t="str">
        <f t="shared" si="2"/>
        <v>mayo</v>
      </c>
      <c r="P999" s="7" t="s">
        <v>6151</v>
      </c>
    </row>
    <row r="1000">
      <c r="A1000" s="19">
        <f>'Respuestas de formulario 1'!A1000</f>
        <v>45798.46287</v>
      </c>
      <c r="B1000" s="7" t="str">
        <f>'Respuestas de formulario 1'!B1000</f>
        <v>Costamagna</v>
      </c>
      <c r="C1000" s="7" t="str">
        <f>'Respuestas de formulario 1'!C1000</f>
        <v>Susana</v>
      </c>
      <c r="D1000" s="7" t="str">
        <f>'Respuestas de formulario 1'!D1000</f>
        <v>susanacostamagna@hotmail.com</v>
      </c>
      <c r="E1000" s="20">
        <f>'Respuestas de formulario 1'!E1000</f>
        <v>17840</v>
      </c>
      <c r="F1000" s="7">
        <f>'Respuestas de formulario 1'!F1000</f>
        <v>5869655</v>
      </c>
      <c r="G1000" s="7" t="str">
        <f>IFERROR(__xludf.DUMMYFUNCTION("IF('Respuestas de formulario 1'!G1000="""","""",IF(LEFT(REGEXREPLACE(TO_TEXT('Respuestas de formulario 1'!G1000),""[^0-9]"",""""),2)=""54"",""+""&amp;REGEXREPLACE(TO_TEXT('Respuestas de formulario 1'!G1000),""[^0-9]"",""""),""+54""&amp;REGEXREPLACE(TO_TEXT('Respu"&amp;"estas de formulario 1'!G1000),""[^0-9]"","""")))"),"+543513239274")</f>
        <v>+543513239274</v>
      </c>
      <c r="H1000" s="7">
        <f>'Respuestas de formulario 1'!S1000</f>
        <v>2025</v>
      </c>
      <c r="I1000" s="7" t="str">
        <f>IFERROR(__xludf.DUMMYFUNCTION("IF('Respuestas de formulario 1'!I1000="""","""",TO_TEXT('Respuestas de formulario 1'!I1000))"),"Particular")</f>
        <v>Particular</v>
      </c>
      <c r="J1000" s="7" t="str">
        <f>IFERROR(__xludf.DUMMYFUNCTION("IF('Respuestas de formulario 1'!J1000&lt;&gt;"""",UPPER(TRIM(TO_TEXT('Respuestas de formulario 1'!J1000))),IF('Respuestas de formulario 1'!O1000&lt;&gt;"""",UPPER(TRIM(TO_TEXT('Respuestas de formulario 1'!O1000))),""""))"),"")</f>
        <v/>
      </c>
      <c r="K1000" s="7" t="str">
        <f>IFERROR(__xludf.DUMMYFUNCTION("IF('Respuestas de formulario 1'!K1000="""","""",TO_TEXT('Respuestas de formulario 1'!K1000))"),"Si")</f>
        <v>Si</v>
      </c>
      <c r="L1000" s="7" t="str">
        <f>IFERROR(__xludf.DUMMYFUNCTION("IF('Respuestas de formulario 1'!L1000="""","""",TO_TEXT('Respuestas de formulario 1'!L1000))"),"Gimnasio")</f>
        <v>Gimnasio</v>
      </c>
      <c r="M1000" s="7" t="str">
        <f>IFERROR(__xludf.DUMMYFUNCTION("IF('Respuestas de formulario 1'!M1000="""","""",TO_TEXT('Respuestas de formulario 1'!M1000))"),"3 a 5 veces por semana")</f>
        <v>3 a 5 veces por semana</v>
      </c>
      <c r="N1000" s="7">
        <f t="shared" si="1"/>
        <v>2025</v>
      </c>
      <c r="O1000" s="7" t="str">
        <f t="shared" si="2"/>
        <v>mayo</v>
      </c>
      <c r="P1000" s="7" t="s">
        <v>6153</v>
      </c>
    </row>
    <row r="1001">
      <c r="A1001" s="19">
        <f>'Respuestas de formulario 1'!A1001</f>
        <v>45798.74893</v>
      </c>
      <c r="B1001" s="7" t="str">
        <f>'Respuestas de formulario 1'!B1001</f>
        <v>SEGHEZZO</v>
      </c>
      <c r="C1001" s="7" t="str">
        <f>'Respuestas de formulario 1'!C1001</f>
        <v>Chiara Belen </v>
      </c>
      <c r="D1001" s="7" t="str">
        <f>'Respuestas de formulario 1'!D1001</f>
        <v>chiaraSEGHEZZO23@gmail.com</v>
      </c>
      <c r="E1001" s="20">
        <f>'Respuestas de formulario 1'!E1001</f>
        <v>37613</v>
      </c>
      <c r="F1001" s="7">
        <f>'Respuestas de formulario 1'!F1001</f>
        <v>44579777</v>
      </c>
      <c r="G1001" s="7" t="str">
        <f>IFERROR(__xludf.DUMMYFUNCTION("IF('Respuestas de formulario 1'!G1001="""","""",IF(LEFT(REGEXREPLACE(TO_TEXT('Respuestas de formulario 1'!G1001),""[^0-9]"",""""),2)=""54"",""+""&amp;REGEXREPLACE(TO_TEXT('Respuestas de formulario 1'!G1001),""[^0-9]"",""""),""+54""&amp;REGEXREPLACE(TO_TEXT('Respu"&amp;"estas de formulario 1'!G1001),""[^0-9]"","""")))"),"+543416559313")</f>
        <v>+543416559313</v>
      </c>
      <c r="H1001" s="7">
        <f>'Respuestas de formulario 1'!S1001</f>
        <v>2025</v>
      </c>
      <c r="I1001" s="7" t="str">
        <f>IFERROR(__xludf.DUMMYFUNCTION("IF('Respuestas de formulario 1'!I1001="""","""",TO_TEXT('Respuestas de formulario 1'!I1001))"),"Obra social")</f>
        <v>Obra social</v>
      </c>
      <c r="J1001" s="7" t="str">
        <f>IFERROR(__xludf.DUMMYFUNCTION("IF('Respuestas de formulario 1'!J1001&lt;&gt;"""",UPPER(TRIM(TO_TEXT('Respuestas de formulario 1'!J1001))),IF('Respuestas de formulario 1'!O1001&lt;&gt;"""",UPPER(TRIM(TO_TEXT('Respuestas de formulario 1'!O1001))),""""))"),"PREVENCIÓN")</f>
        <v>PREVENCIÓN</v>
      </c>
      <c r="K1001" s="7" t="str">
        <f>IFERROR(__xludf.DUMMYFUNCTION("IF('Respuestas de formulario 1'!K1001="""","""",TO_TEXT('Respuestas de formulario 1'!K1001))"),"Si")</f>
        <v>Si</v>
      </c>
      <c r="L1001" s="7" t="str">
        <f>IFERROR(__xludf.DUMMYFUNCTION("IF('Respuestas de formulario 1'!L1001="""","""",TO_TEXT('Respuestas de formulario 1'!L1001))"),"Patin (es profe) y pilates ")</f>
        <v>Patin (es profe) y pilates </v>
      </c>
      <c r="M1001" s="7" t="str">
        <f>IFERROR(__xludf.DUMMYFUNCTION("IF('Respuestas de formulario 1'!M1001="""","""",TO_TEXT('Respuestas de formulario 1'!M1001))"),"1 a 2 veces por semana")</f>
        <v>1 a 2 veces por semana</v>
      </c>
      <c r="N1001" s="7">
        <f t="shared" si="1"/>
        <v>2025</v>
      </c>
      <c r="O1001" s="7" t="str">
        <f t="shared" si="2"/>
        <v>mayo</v>
      </c>
      <c r="P1001" s="7" t="s">
        <v>6155</v>
      </c>
    </row>
    <row r="1002">
      <c r="A1002" s="19">
        <f>'Respuestas de formulario 1'!A1002</f>
        <v>45799.66321</v>
      </c>
      <c r="B1002" s="7" t="str">
        <f>'Respuestas de formulario 1'!B1002</f>
        <v>Medina</v>
      </c>
      <c r="C1002" s="7" t="str">
        <f>'Respuestas de formulario 1'!C1002</f>
        <v>Luis</v>
      </c>
      <c r="D1002" s="7" t="str">
        <f>'Respuestas de formulario 1'!D1002</f>
        <v>luis_cba.18@hotmai.com</v>
      </c>
      <c r="E1002" s="20">
        <f>'Respuestas de formulario 1'!E1002</f>
        <v>32655</v>
      </c>
      <c r="F1002" s="7">
        <f>'Respuestas de formulario 1'!F1002</f>
        <v>34455050</v>
      </c>
      <c r="G1002" s="7" t="str">
        <f>IFERROR(__xludf.DUMMYFUNCTION("IF('Respuestas de formulario 1'!G1002="""","""",IF(LEFT(REGEXREPLACE(TO_TEXT('Respuestas de formulario 1'!G1002),""[^0-9]"",""""),2)=""54"",""+""&amp;REGEXREPLACE(TO_TEXT('Respuestas de formulario 1'!G1002),""[^0-9]"",""""),""+54""&amp;REGEXREPLACE(TO_TEXT('Respu"&amp;"estas de formulario 1'!G1002),""[^0-9]"","""")))"),"+543514085635")</f>
        <v>+543514085635</v>
      </c>
      <c r="H1002" s="7">
        <f>'Respuestas de formulario 1'!S1002</f>
        <v>2025</v>
      </c>
      <c r="I1002" s="7" t="str">
        <f>IFERROR(__xludf.DUMMYFUNCTION("IF('Respuestas de formulario 1'!I1002="""","""",TO_TEXT('Respuestas de formulario 1'!I1002))"),"Particular")</f>
        <v>Particular</v>
      </c>
      <c r="J1002" s="7" t="str">
        <f>IFERROR(__xludf.DUMMYFUNCTION("IF('Respuestas de formulario 1'!J1002&lt;&gt;"""",UPPER(TRIM(TO_TEXT('Respuestas de formulario 1'!J1002))),IF('Respuestas de formulario 1'!O1002&lt;&gt;"""",UPPER(TRIM(TO_TEXT('Respuestas de formulario 1'!O1002))),""""))"),"")</f>
        <v/>
      </c>
      <c r="K1002" s="7" t="str">
        <f>IFERROR(__xludf.DUMMYFUNCTION("IF('Respuestas de formulario 1'!K1002="""","""",TO_TEXT('Respuestas de formulario 1'!K1002))"),"Si")</f>
        <v>Si</v>
      </c>
      <c r="L1002" s="7" t="str">
        <f>IFERROR(__xludf.DUMMYFUNCTION("IF('Respuestas de formulario 1'!L1002="""","""",TO_TEXT('Respuestas de formulario 1'!L1002))"),"Gimnasio+karate")</f>
        <v>Gimnasio+karate</v>
      </c>
      <c r="M1002" s="7" t="str">
        <f>IFERROR(__xludf.DUMMYFUNCTION("IF('Respuestas de formulario 1'!M1002="""","""",TO_TEXT('Respuestas de formulario 1'!M1002))"),"3 a 5 veces por semana")</f>
        <v>3 a 5 veces por semana</v>
      </c>
      <c r="N1002" s="7">
        <f t="shared" si="1"/>
        <v>2025</v>
      </c>
      <c r="O1002" s="7" t="str">
        <f t="shared" si="2"/>
        <v>mayo</v>
      </c>
      <c r="P1002" s="7" t="s">
        <v>6157</v>
      </c>
    </row>
    <row r="1003">
      <c r="A1003" s="19">
        <f>'Respuestas de formulario 1'!A1003</f>
        <v>45800.46522</v>
      </c>
      <c r="B1003" s="7" t="str">
        <f>'Respuestas de formulario 1'!B1003</f>
        <v>Salas </v>
      </c>
      <c r="C1003" s="7" t="str">
        <f>'Respuestas de formulario 1'!C1003</f>
        <v>Fernando </v>
      </c>
      <c r="D1003" s="7" t="str">
        <f>'Respuestas de formulario 1'!D1003</f>
        <v/>
      </c>
      <c r="E1003" s="20">
        <f>'Respuestas de formulario 1'!E1003</f>
        <v>27488</v>
      </c>
      <c r="F1003" s="7">
        <f>'Respuestas de formulario 1'!F1003</f>
        <v>24302562</v>
      </c>
      <c r="G1003" s="7" t="str">
        <f>IFERROR(__xludf.DUMMYFUNCTION("IF('Respuestas de formulario 1'!G1003="""","""",IF(LEFT(REGEXREPLACE(TO_TEXT('Respuestas de formulario 1'!G1003),""[^0-9]"",""""),2)=""54"",""+""&amp;REGEXREPLACE(TO_TEXT('Respuestas de formulario 1'!G1003),""[^0-9]"",""""),""+54""&amp;REGEXREPLACE(TO_TEXT('Respu"&amp;"estas de formulario 1'!G1003),""[^0-9]"","""")))"),"+543516565633")</f>
        <v>+543516565633</v>
      </c>
      <c r="H1003" s="7">
        <f>'Respuestas de formulario 1'!S1003</f>
        <v>2025</v>
      </c>
      <c r="I1003" s="7" t="str">
        <f>IFERROR(__xludf.DUMMYFUNCTION("IF('Respuestas de formulario 1'!I1003="""","""",TO_TEXT('Respuestas de formulario 1'!I1003))"),"Particular")</f>
        <v>Particular</v>
      </c>
      <c r="J1003" s="7" t="str">
        <f>IFERROR(__xludf.DUMMYFUNCTION("IF('Respuestas de formulario 1'!J1003&lt;&gt;"""",UPPER(TRIM(TO_TEXT('Respuestas de formulario 1'!J1003))),IF('Respuestas de formulario 1'!O1003&lt;&gt;"""",UPPER(TRIM(TO_TEXT('Respuestas de formulario 1'!O1003))),""""))"),"")</f>
        <v/>
      </c>
      <c r="K1003" s="7" t="str">
        <f>IFERROR(__xludf.DUMMYFUNCTION("IF('Respuestas de formulario 1'!K1003="""","""",TO_TEXT('Respuestas de formulario 1'!K1003))"),"No")</f>
        <v>No</v>
      </c>
      <c r="L1003" s="7" t="str">
        <f>IFERROR(__xludf.DUMMYFUNCTION("IF('Respuestas de formulario 1'!L1003="""","""",TO_TEXT('Respuestas de formulario 1'!L1003))"),"")</f>
        <v/>
      </c>
      <c r="M1003" s="7" t="str">
        <f>IFERROR(__xludf.DUMMYFUNCTION("IF('Respuestas de formulario 1'!M1003="""","""",TO_TEXT('Respuestas de formulario 1'!M1003))"),"")</f>
        <v/>
      </c>
      <c r="N1003" s="7">
        <f t="shared" si="1"/>
        <v>2025</v>
      </c>
      <c r="O1003" s="7" t="str">
        <f t="shared" si="2"/>
        <v>mayo</v>
      </c>
      <c r="P1003" s="7" t="s">
        <v>6159</v>
      </c>
    </row>
    <row r="1004">
      <c r="A1004" s="19">
        <f>'Respuestas de formulario 1'!A1004</f>
        <v>45803.40665</v>
      </c>
      <c r="B1004" s="7" t="str">
        <f>'Respuestas de formulario 1'!B1004</f>
        <v>Hillar</v>
      </c>
      <c r="C1004" s="7" t="str">
        <f>'Respuestas de formulario 1'!C1004</f>
        <v>Alejandro</v>
      </c>
      <c r="D1004" s="7" t="str">
        <f>'Respuestas de formulario 1'!D1004</f>
        <v>alehillar90@gmail.com</v>
      </c>
      <c r="E1004" s="20">
        <f>'Respuestas de formulario 1'!E1004</f>
        <v>33069</v>
      </c>
      <c r="F1004" s="7">
        <f>'Respuestas de formulario 1'!F1004</f>
        <v>35283712</v>
      </c>
      <c r="G1004" s="7" t="str">
        <f>IFERROR(__xludf.DUMMYFUNCTION("IF('Respuestas de formulario 1'!G1004="""","""",IF(LEFT(REGEXREPLACE(TO_TEXT('Respuestas de formulario 1'!G1004),""[^0-9]"",""""),2)=""54"",""+""&amp;REGEXREPLACE(TO_TEXT('Respuestas de formulario 1'!G1004),""[^0-9]"",""""),""+54""&amp;REGEXREPLACE(TO_TEXT('Respu"&amp;"estas de formulario 1'!G1004),""[^0-9]"","""")))"),"+543516427532")</f>
        <v>+543516427532</v>
      </c>
      <c r="H1004" s="7">
        <f>'Respuestas de formulario 1'!S1004</f>
        <v>2025</v>
      </c>
      <c r="I1004" s="7" t="str">
        <f>IFERROR(__xludf.DUMMYFUNCTION("IF('Respuestas de formulario 1'!I1004="""","""",TO_TEXT('Respuestas de formulario 1'!I1004))"),"Obra social")</f>
        <v>Obra social</v>
      </c>
      <c r="J1004" s="7" t="str">
        <f>IFERROR(__xludf.DUMMYFUNCTION("IF('Respuestas de formulario 1'!J1004&lt;&gt;"""",UPPER(TRIM(TO_TEXT('Respuestas de formulario 1'!J1004))),IF('Respuestas de formulario 1'!O1004&lt;&gt;"""",UPPER(TRIM(TO_TEXT('Respuestas de formulario 1'!O1004))),""""))"),"SWISS")</f>
        <v>SWISS</v>
      </c>
      <c r="K1004" s="7" t="str">
        <f>IFERROR(__xludf.DUMMYFUNCTION("IF('Respuestas de formulario 1'!K1004="""","""",TO_TEXT('Respuestas de formulario 1'!K1004))"),"Si")</f>
        <v>Si</v>
      </c>
      <c r="L1004" s="7" t="str">
        <f>IFERROR(__xludf.DUMMYFUNCTION("IF('Respuestas de formulario 1'!L1004="""","""",TO_TEXT('Respuestas de formulario 1'!L1004))"),"Fútbol")</f>
        <v>Fútbol</v>
      </c>
      <c r="M1004" s="7" t="str">
        <f>IFERROR(__xludf.DUMMYFUNCTION("IF('Respuestas de formulario 1'!M1004="""","""",TO_TEXT('Respuestas de formulario 1'!M1004))"),"3 a 5 veces por semana")</f>
        <v>3 a 5 veces por semana</v>
      </c>
      <c r="N1004" s="7">
        <f t="shared" si="1"/>
        <v>2025</v>
      </c>
      <c r="O1004" s="7" t="str">
        <f t="shared" si="2"/>
        <v>mayo</v>
      </c>
      <c r="P1004" s="7" t="s">
        <v>6161</v>
      </c>
    </row>
    <row r="1005">
      <c r="A1005" s="19">
        <f>'Respuestas de formulario 1'!A1005</f>
        <v>45803.46487</v>
      </c>
      <c r="B1005" s="7" t="str">
        <f>'Respuestas de formulario 1'!B1005</f>
        <v>Quiroga</v>
      </c>
      <c r="C1005" s="7" t="str">
        <f>'Respuestas de formulario 1'!C1005</f>
        <v>Ignacio</v>
      </c>
      <c r="D1005" s="7" t="str">
        <f>'Respuestas de formulario 1'!D1005</f>
        <v>ignacioequiroga@gmail.com</v>
      </c>
      <c r="E1005" s="20">
        <f>'Respuestas de formulario 1'!E1005</f>
        <v>33897</v>
      </c>
      <c r="F1005" s="7">
        <f>'Respuestas de formulario 1'!F1005</f>
        <v>36925936</v>
      </c>
      <c r="G1005" s="7" t="str">
        <f>IFERROR(__xludf.DUMMYFUNCTION("IF('Respuestas de formulario 1'!G1005="""","""",IF(LEFT(REGEXREPLACE(TO_TEXT('Respuestas de formulario 1'!G1005),""[^0-9]"",""""),2)=""54"",""+""&amp;REGEXREPLACE(TO_TEXT('Respuestas de formulario 1'!G1005),""[^0-9]"",""""),""+54""&amp;REGEXREPLACE(TO_TEXT('Respu"&amp;"estas de formulario 1'!G1005),""[^0-9]"","""")))"),"+543512472243")</f>
        <v>+543512472243</v>
      </c>
      <c r="H1005" s="7">
        <f>'Respuestas de formulario 1'!S1005</f>
        <v>2025</v>
      </c>
      <c r="I1005" s="7" t="str">
        <f>IFERROR(__xludf.DUMMYFUNCTION("IF('Respuestas de formulario 1'!I1005="""","""",TO_TEXT('Respuestas de formulario 1'!I1005))"),"Obra social")</f>
        <v>Obra social</v>
      </c>
      <c r="J1005" s="7" t="str">
        <f>IFERROR(__xludf.DUMMYFUNCTION("IF('Respuestas de formulario 1'!J1005&lt;&gt;"""",UPPER(TRIM(TO_TEXT('Respuestas de formulario 1'!J1005))),IF('Respuestas de formulario 1'!O1005&lt;&gt;"""",UPPER(TRIM(TO_TEXT('Respuestas de formulario 1'!O1005))),""""))"),"SWISS MEDICAL")</f>
        <v>SWISS MEDICAL</v>
      </c>
      <c r="K1005" s="7" t="str">
        <f>IFERROR(__xludf.DUMMYFUNCTION("IF('Respuestas de formulario 1'!K1005="""","""",TO_TEXT('Respuestas de formulario 1'!K1005))"),"Si")</f>
        <v>Si</v>
      </c>
      <c r="L1005" s="7" t="str">
        <f>IFERROR(__xludf.DUMMYFUNCTION("IF('Respuestas de formulario 1'!L1005="""","""",TO_TEXT('Respuestas de formulario 1'!L1005))"),"Running y gimnasio")</f>
        <v>Running y gimnasio</v>
      </c>
      <c r="M1005" s="7" t="str">
        <f>IFERROR(__xludf.DUMMYFUNCTION("IF('Respuestas de formulario 1'!M1005="""","""",TO_TEXT('Respuestas de formulario 1'!M1005))"),"6 a 7 veces por semana")</f>
        <v>6 a 7 veces por semana</v>
      </c>
      <c r="N1005" s="7">
        <f t="shared" si="1"/>
        <v>2025</v>
      </c>
      <c r="O1005" s="7" t="str">
        <f t="shared" si="2"/>
        <v>mayo</v>
      </c>
      <c r="P1005" s="7" t="s">
        <v>6163</v>
      </c>
    </row>
    <row r="1006">
      <c r="A1006" s="19">
        <f>'Respuestas de formulario 1'!A1006</f>
        <v>45803.63454</v>
      </c>
      <c r="B1006" s="7" t="str">
        <f>'Respuestas de formulario 1'!B1006</f>
        <v>Macagno</v>
      </c>
      <c r="C1006" s="7" t="str">
        <f>'Respuestas de formulario 1'!C1006</f>
        <v>Diego</v>
      </c>
      <c r="D1006" s="7" t="str">
        <f>'Respuestas de formulario 1'!D1006</f>
        <v/>
      </c>
      <c r="E1006" s="20">
        <f>'Respuestas de formulario 1'!E1006</f>
        <v>25486</v>
      </c>
      <c r="F1006" s="7">
        <f>'Respuestas de formulario 1'!F1006</f>
        <v>20876674</v>
      </c>
      <c r="G1006" s="7" t="str">
        <f>IFERROR(__xludf.DUMMYFUNCTION("IF('Respuestas de formulario 1'!G1006="""","""",IF(LEFT(REGEXREPLACE(TO_TEXT('Respuestas de formulario 1'!G1006),""[^0-9]"",""""),2)=""54"",""+""&amp;REGEXREPLACE(TO_TEXT('Respuestas de formulario 1'!G1006),""[^0-9]"",""""),""+54""&amp;REGEXREPLACE(TO_TEXT('Respu"&amp;"estas de formulario 1'!G1006),""[^0-9]"","""")))"),"+543513932937")</f>
        <v>+543513932937</v>
      </c>
      <c r="H1006" s="7">
        <f>'Respuestas de formulario 1'!S1006</f>
        <v>2025</v>
      </c>
      <c r="I1006" s="7" t="str">
        <f>IFERROR(__xludf.DUMMYFUNCTION("IF('Respuestas de formulario 1'!I1006="""","""",TO_TEXT('Respuestas de formulario 1'!I1006))"),"Obra social")</f>
        <v>Obra social</v>
      </c>
      <c r="J1006" s="7" t="str">
        <f>IFERROR(__xludf.DUMMYFUNCTION("IF('Respuestas de formulario 1'!J1006&lt;&gt;"""",UPPER(TRIM(TO_TEXT('Respuestas de formulario 1'!J1006))),IF('Respuestas de formulario 1'!O1006&lt;&gt;"""",UPPER(TRIM(TO_TEXT('Respuestas de formulario 1'!O1006))),""""))"),"APROSS")</f>
        <v>APROSS</v>
      </c>
      <c r="K1006" s="7" t="str">
        <f>IFERROR(__xludf.DUMMYFUNCTION("IF('Respuestas de formulario 1'!K1006="""","""",TO_TEXT('Respuestas de formulario 1'!K1006))"),"No")</f>
        <v>No</v>
      </c>
      <c r="L1006" s="7" t="str">
        <f>IFERROR(__xludf.DUMMYFUNCTION("IF('Respuestas de formulario 1'!L1006="""","""",TO_TEXT('Respuestas de formulario 1'!L1006))"),"")</f>
        <v/>
      </c>
      <c r="M1006" s="7" t="str">
        <f>IFERROR(__xludf.DUMMYFUNCTION("IF('Respuestas de formulario 1'!M1006="""","""",TO_TEXT('Respuestas de formulario 1'!M1006))"),"")</f>
        <v/>
      </c>
      <c r="N1006" s="7">
        <f t="shared" si="1"/>
        <v>2025</v>
      </c>
      <c r="O1006" s="7" t="str">
        <f t="shared" si="2"/>
        <v>mayo</v>
      </c>
      <c r="P1006" s="7" t="s">
        <v>6165</v>
      </c>
    </row>
    <row r="1007">
      <c r="A1007" s="19">
        <f>'Respuestas de formulario 1'!A1007</f>
        <v>45803.7648</v>
      </c>
      <c r="B1007" s="7" t="str">
        <f>'Respuestas de formulario 1'!B1007</f>
        <v>Gomez barbeito</v>
      </c>
      <c r="C1007" s="7" t="str">
        <f>'Respuestas de formulario 1'!C1007</f>
        <v>Juan ignacio</v>
      </c>
      <c r="D1007" s="7" t="str">
        <f>'Respuestas de formulario 1'!D1007</f>
        <v>arq.gomezbarbeito@gmail.com</v>
      </c>
      <c r="E1007" s="20">
        <f>'Respuestas de formulario 1'!E1007</f>
        <v>31147</v>
      </c>
      <c r="F1007" s="7">
        <f>'Respuestas de formulario 1'!F1007</f>
        <v>31471409</v>
      </c>
      <c r="G1007" s="7" t="str">
        <f>IFERROR(__xludf.DUMMYFUNCTION("IF('Respuestas de formulario 1'!G1007="""","""",IF(LEFT(REGEXREPLACE(TO_TEXT('Respuestas de formulario 1'!G1007),""[^0-9]"",""""),2)=""54"",""+""&amp;REGEXREPLACE(TO_TEXT('Respuestas de formulario 1'!G1007),""[^0-9]"",""""),""+54""&amp;REGEXREPLACE(TO_TEXT('Respu"&amp;"estas de formulario 1'!G1007),""[^0-9]"","""")))"),"+543513483032")</f>
        <v>+543513483032</v>
      </c>
      <c r="H1007" s="7">
        <f>'Respuestas de formulario 1'!S1007</f>
        <v>2025</v>
      </c>
      <c r="I1007" s="7" t="str">
        <f>IFERROR(__xludf.DUMMYFUNCTION("IF('Respuestas de formulario 1'!I1007="""","""",TO_TEXT('Respuestas de formulario 1'!I1007))"),"Particular")</f>
        <v>Particular</v>
      </c>
      <c r="J1007" s="7" t="str">
        <f>IFERROR(__xludf.DUMMYFUNCTION("IF('Respuestas de formulario 1'!J1007&lt;&gt;"""",UPPER(TRIM(TO_TEXT('Respuestas de formulario 1'!J1007))),IF('Respuestas de formulario 1'!O1007&lt;&gt;"""",UPPER(TRIM(TO_TEXT('Respuestas de formulario 1'!O1007))),""""))"),"")</f>
        <v/>
      </c>
      <c r="K1007" s="7" t="str">
        <f>IFERROR(__xludf.DUMMYFUNCTION("IF('Respuestas de formulario 1'!K1007="""","""",TO_TEXT('Respuestas de formulario 1'!K1007))"),"Si")</f>
        <v>Si</v>
      </c>
      <c r="L1007" s="7" t="str">
        <f>IFERROR(__xludf.DUMMYFUNCTION("IF('Respuestas de formulario 1'!L1007="""","""",TO_TEXT('Respuestas de formulario 1'!L1007))"),"Gimnasio")</f>
        <v>Gimnasio</v>
      </c>
      <c r="M1007" s="7" t="str">
        <f>IFERROR(__xludf.DUMMYFUNCTION("IF('Respuestas de formulario 1'!M1007="""","""",TO_TEXT('Respuestas de formulario 1'!M1007))"),"6 a 7 veces por semana")</f>
        <v>6 a 7 veces por semana</v>
      </c>
      <c r="N1007" s="7">
        <f t="shared" si="1"/>
        <v>2025</v>
      </c>
      <c r="O1007" s="7" t="str">
        <f t="shared" si="2"/>
        <v>mayo</v>
      </c>
      <c r="P1007" s="7" t="s">
        <v>6167</v>
      </c>
    </row>
    <row r="1008">
      <c r="A1008" s="19">
        <f>'Respuestas de formulario 1'!A1008</f>
        <v>45803.77059</v>
      </c>
      <c r="B1008" s="7" t="str">
        <f>'Respuestas de formulario 1'!B1008</f>
        <v>Trad</v>
      </c>
      <c r="C1008" s="7" t="str">
        <f>'Respuestas de formulario 1'!C1008</f>
        <v>JAiro</v>
      </c>
      <c r="D1008" s="7" t="str">
        <f>'Respuestas de formulario 1'!D1008</f>
        <v>jairotrad@gmail.com</v>
      </c>
      <c r="E1008" s="20">
        <f>'Respuestas de formulario 1'!E1008</f>
        <v>32028</v>
      </c>
      <c r="F1008" s="7">
        <f>'Respuestas de formulario 1'!F1008</f>
        <v>32979712</v>
      </c>
      <c r="G1008" s="7" t="str">
        <f>IFERROR(__xludf.DUMMYFUNCTION("IF('Respuestas de formulario 1'!G1008="""","""",IF(LEFT(REGEXREPLACE(TO_TEXT('Respuestas de formulario 1'!G1008),""[^0-9]"",""""),2)=""54"",""+""&amp;REGEXREPLACE(TO_TEXT('Respuestas de formulario 1'!G1008),""[^0-9]"",""""),""+54""&amp;REGEXREPLACE(TO_TEXT('Respu"&amp;"estas de formulario 1'!G1008),""[^0-9]"","""")))"),"+543544599933")</f>
        <v>+543544599933</v>
      </c>
      <c r="H1008" s="7">
        <f>'Respuestas de formulario 1'!S1008</f>
        <v>2025</v>
      </c>
      <c r="I1008" s="7" t="str">
        <f>IFERROR(__xludf.DUMMYFUNCTION("IF('Respuestas de formulario 1'!I1008="""","""",TO_TEXT('Respuestas de formulario 1'!I1008))"),"Particular")</f>
        <v>Particular</v>
      </c>
      <c r="J1008" s="7" t="str">
        <f>IFERROR(__xludf.DUMMYFUNCTION("IF('Respuestas de formulario 1'!J1008&lt;&gt;"""",UPPER(TRIM(TO_TEXT('Respuestas de formulario 1'!J1008))),IF('Respuestas de formulario 1'!O1008&lt;&gt;"""",UPPER(TRIM(TO_TEXT('Respuestas de formulario 1'!O1008))),""""))"),"")</f>
        <v/>
      </c>
      <c r="K1008" s="7" t="str">
        <f>IFERROR(__xludf.DUMMYFUNCTION("IF('Respuestas de formulario 1'!K1008="""","""",TO_TEXT('Respuestas de formulario 1'!K1008))"),"Si")</f>
        <v>Si</v>
      </c>
      <c r="L1008" s="7" t="str">
        <f>IFERROR(__xludf.DUMMYFUNCTION("IF('Respuestas de formulario 1'!L1008="""","""",TO_TEXT('Respuestas de formulario 1'!L1008))"),"Gimnasio")</f>
        <v>Gimnasio</v>
      </c>
      <c r="M1008" s="7" t="str">
        <f>IFERROR(__xludf.DUMMYFUNCTION("IF('Respuestas de formulario 1'!M1008="""","""",TO_TEXT('Respuestas de formulario 1'!M1008))"),"3 a 5 veces por semana")</f>
        <v>3 a 5 veces por semana</v>
      </c>
      <c r="N1008" s="7">
        <f t="shared" si="1"/>
        <v>2025</v>
      </c>
      <c r="O1008" s="7" t="str">
        <f t="shared" si="2"/>
        <v>mayo</v>
      </c>
      <c r="P1008" s="7" t="s">
        <v>6169</v>
      </c>
    </row>
    <row r="1009">
      <c r="A1009" s="19">
        <f>'Respuestas de formulario 1'!A1009</f>
        <v>45804.43976</v>
      </c>
      <c r="B1009" s="7" t="str">
        <f>'Respuestas de formulario 1'!B1009</f>
        <v>Ceballos Ferri</v>
      </c>
      <c r="C1009" s="7" t="str">
        <f>'Respuestas de formulario 1'!C1009</f>
        <v>Geronimo</v>
      </c>
      <c r="D1009" s="7" t="str">
        <f>'Respuestas de formulario 1'!D1009</f>
        <v>psicologomauroceballos@gmail.com</v>
      </c>
      <c r="E1009" s="20">
        <f>'Respuestas de formulario 1'!E1009</f>
        <v>40773</v>
      </c>
      <c r="F1009" s="7">
        <f>'Respuestas de formulario 1'!F1009</f>
        <v>51196682</v>
      </c>
      <c r="G1009" s="7" t="str">
        <f>IFERROR(__xludf.DUMMYFUNCTION("IF('Respuestas de formulario 1'!G1009="""","""",IF(LEFT(REGEXREPLACE(TO_TEXT('Respuestas de formulario 1'!G1009),""[^0-9]"",""""),2)=""54"",""+""&amp;REGEXREPLACE(TO_TEXT('Respuestas de formulario 1'!G1009),""[^0-9]"",""""),""+54""&amp;REGEXREPLACE(TO_TEXT('Respu"&amp;"estas de formulario 1'!G1009),""[^0-9]"","""")))"),"+543516208041")</f>
        <v>+543516208041</v>
      </c>
      <c r="H1009" s="7">
        <f>'Respuestas de formulario 1'!S1009</f>
        <v>2025</v>
      </c>
      <c r="I1009" s="7" t="str">
        <f>IFERROR(__xludf.DUMMYFUNCTION("IF('Respuestas de formulario 1'!I1009="""","""",TO_TEXT('Respuestas de formulario 1'!I1009))"),"Obra social")</f>
        <v>Obra social</v>
      </c>
      <c r="J1009" s="7" t="str">
        <f>IFERROR(__xludf.DUMMYFUNCTION("IF('Respuestas de formulario 1'!J1009&lt;&gt;"""",UPPER(TRIM(TO_TEXT('Respuestas de formulario 1'!J1009))),IF('Respuestas de formulario 1'!O1009&lt;&gt;"""",UPPER(TRIM(TO_TEXT('Respuestas de formulario 1'!O1009))),""""))"),"CPCE")</f>
        <v>CPCE</v>
      </c>
      <c r="K1009" s="7" t="str">
        <f>IFERROR(__xludf.DUMMYFUNCTION("IF('Respuestas de formulario 1'!K1009="""","""",TO_TEXT('Respuestas de formulario 1'!K1009))"),"Si")</f>
        <v>Si</v>
      </c>
      <c r="L1009" s="7" t="str">
        <f>IFERROR(__xludf.DUMMYFUNCTION("IF('Respuestas de formulario 1'!L1009="""","""",TO_TEXT('Respuestas de formulario 1'!L1009))"),"Fútbol")</f>
        <v>Fútbol</v>
      </c>
      <c r="M1009" s="7" t="str">
        <f>IFERROR(__xludf.DUMMYFUNCTION("IF('Respuestas de formulario 1'!M1009="""","""",TO_TEXT('Respuestas de formulario 1'!M1009))"),"3 a 5 veces por semana")</f>
        <v>3 a 5 veces por semana</v>
      </c>
      <c r="N1009" s="7">
        <f t="shared" si="1"/>
        <v>2025</v>
      </c>
      <c r="O1009" s="7" t="str">
        <f t="shared" si="2"/>
        <v>mayo</v>
      </c>
      <c r="P1009" s="7" t="s">
        <v>6171</v>
      </c>
    </row>
    <row r="1010">
      <c r="A1010" s="19">
        <f>'Respuestas de formulario 1'!A1010</f>
        <v>45805.69122</v>
      </c>
      <c r="B1010" s="7" t="str">
        <f>'Respuestas de formulario 1'!B1010</f>
        <v>Feito</v>
      </c>
      <c r="C1010" s="7" t="str">
        <f>'Respuestas de formulario 1'!C1010</f>
        <v>José</v>
      </c>
      <c r="D1010" s="7" t="str">
        <f>'Respuestas de formulario 1'!D1010</f>
        <v>jrfeitoantilef@gmail.com</v>
      </c>
      <c r="E1010" s="20">
        <f>'Respuestas de formulario 1'!E1010</f>
        <v>35040</v>
      </c>
      <c r="F1010" s="7">
        <f>'Respuestas de formulario 1'!F1010</f>
        <v>39374466</v>
      </c>
      <c r="G1010" s="7" t="str">
        <f>IFERROR(__xludf.DUMMYFUNCTION("IF('Respuestas de formulario 1'!G1010="""","""",IF(LEFT(REGEXREPLACE(TO_TEXT('Respuestas de formulario 1'!G1010),""[^0-9]"",""""),2)=""54"",""+""&amp;REGEXREPLACE(TO_TEXT('Respuestas de formulario 1'!G1010),""[^0-9]"",""""),""+54""&amp;REGEXREPLACE(TO_TEXT('Respu"&amp;"estas de formulario 1'!G1010),""[^0-9]"","""")))"),"+541159899701")</f>
        <v>+541159899701</v>
      </c>
      <c r="H1010" s="7">
        <f>'Respuestas de formulario 1'!S1010</f>
        <v>2025</v>
      </c>
      <c r="I1010" s="7" t="str">
        <f>IFERROR(__xludf.DUMMYFUNCTION("IF('Respuestas de formulario 1'!I1010="""","""",TO_TEXT('Respuestas de formulario 1'!I1010))"),"Particular")</f>
        <v>Particular</v>
      </c>
      <c r="J1010" s="7" t="str">
        <f>IFERROR(__xludf.DUMMYFUNCTION("IF('Respuestas de formulario 1'!J1010&lt;&gt;"""",UPPER(TRIM(TO_TEXT('Respuestas de formulario 1'!J1010))),IF('Respuestas de formulario 1'!O1010&lt;&gt;"""",UPPER(TRIM(TO_TEXT('Respuestas de formulario 1'!O1010))),""""))"),"")</f>
        <v/>
      </c>
      <c r="K1010" s="7" t="str">
        <f>IFERROR(__xludf.DUMMYFUNCTION("IF('Respuestas de formulario 1'!K1010="""","""",TO_TEXT('Respuestas de formulario 1'!K1010))"),"Si")</f>
        <v>Si</v>
      </c>
      <c r="L1010" s="7" t="str">
        <f>IFERROR(__xludf.DUMMYFUNCTION("IF('Respuestas de formulario 1'!L1010="""","""",TO_TEXT('Respuestas de formulario 1'!L1010))"),"Paddle")</f>
        <v>Paddle</v>
      </c>
      <c r="M1010" s="7" t="str">
        <f>IFERROR(__xludf.DUMMYFUNCTION("IF('Respuestas de formulario 1'!M1010="""","""",TO_TEXT('Respuestas de formulario 1'!M1010))"),"3 a 5 veces por semana")</f>
        <v>3 a 5 veces por semana</v>
      </c>
      <c r="N1010" s="7">
        <f t="shared" si="1"/>
        <v>2025</v>
      </c>
      <c r="O1010" s="7" t="str">
        <f t="shared" si="2"/>
        <v>mayo</v>
      </c>
      <c r="P1010" s="7" t="s">
        <v>6172</v>
      </c>
    </row>
    <row r="1011">
      <c r="A1011" s="19">
        <f>'Respuestas de formulario 1'!A1011</f>
        <v>45805.72983</v>
      </c>
      <c r="B1011" s="7" t="str">
        <f>'Respuestas de formulario 1'!B1011</f>
        <v>Altamirano</v>
      </c>
      <c r="C1011" s="7" t="str">
        <f>'Respuestas de formulario 1'!C1011</f>
        <v>Lucas</v>
      </c>
      <c r="D1011" s="7" t="str">
        <f>'Respuestas de formulario 1'!D1011</f>
        <v>altamirano.lucas21@gmail.com</v>
      </c>
      <c r="E1011" s="20">
        <f>'Respuestas de formulario 1'!E1011</f>
        <v>35816</v>
      </c>
      <c r="F1011" s="7">
        <f>'Respuestas de formulario 1'!F1011</f>
        <v>40920257</v>
      </c>
      <c r="G1011" s="7" t="str">
        <f>IFERROR(__xludf.DUMMYFUNCTION("IF('Respuestas de formulario 1'!G1011="""","""",IF(LEFT(REGEXREPLACE(TO_TEXT('Respuestas de formulario 1'!G1011),""[^0-9]"",""""),2)=""54"",""+""&amp;REGEXREPLACE(TO_TEXT('Respuestas de formulario 1'!G1011),""[^0-9]"",""""),""+54""&amp;REGEXREPLACE(TO_TEXT('Respu"&amp;"estas de formulario 1'!G1011),""[^0-9]"","""")))"),"+543515587324")</f>
        <v>+543515587324</v>
      </c>
      <c r="H1011" s="7">
        <f>'Respuestas de formulario 1'!S1011</f>
        <v>2025</v>
      </c>
      <c r="I1011" s="7" t="str">
        <f>IFERROR(__xludf.DUMMYFUNCTION("IF('Respuestas de formulario 1'!I1011="""","""",TO_TEXT('Respuestas de formulario 1'!I1011))"),"Particular")</f>
        <v>Particular</v>
      </c>
      <c r="J1011" s="7" t="str">
        <f>IFERROR(__xludf.DUMMYFUNCTION("IF('Respuestas de formulario 1'!J1011&lt;&gt;"""",UPPER(TRIM(TO_TEXT('Respuestas de formulario 1'!J1011))),IF('Respuestas de formulario 1'!O1011&lt;&gt;"""",UPPER(TRIM(TO_TEXT('Respuestas de formulario 1'!O1011))),""""))"),"")</f>
        <v/>
      </c>
      <c r="K1011" s="7" t="str">
        <f>IFERROR(__xludf.DUMMYFUNCTION("IF('Respuestas de formulario 1'!K1011="""","""",TO_TEXT('Respuestas de formulario 1'!K1011))"),"Si")</f>
        <v>Si</v>
      </c>
      <c r="L1011" s="7" t="str">
        <f>IFERROR(__xludf.DUMMYFUNCTION("IF('Respuestas de formulario 1'!L1011="""","""",TO_TEXT('Respuestas de formulario 1'!L1011))"),"Gimnasio + Futbol")</f>
        <v>Gimnasio + Futbol</v>
      </c>
      <c r="M1011" s="7" t="str">
        <f>IFERROR(__xludf.DUMMYFUNCTION("IF('Respuestas de formulario 1'!M1011="""","""",TO_TEXT('Respuestas de formulario 1'!M1011))"),"3 a 5 veces por semana")</f>
        <v>3 a 5 veces por semana</v>
      </c>
      <c r="N1011" s="7">
        <f t="shared" si="1"/>
        <v>2025</v>
      </c>
      <c r="O1011" s="7" t="str">
        <f t="shared" si="2"/>
        <v>mayo</v>
      </c>
      <c r="P1011" s="7" t="s">
        <v>6174</v>
      </c>
    </row>
    <row r="1012">
      <c r="A1012" s="19">
        <f>'Respuestas de formulario 1'!A1012</f>
        <v>45805.78811</v>
      </c>
      <c r="B1012" s="7" t="str">
        <f>'Respuestas de formulario 1'!B1012</f>
        <v>Ramos</v>
      </c>
      <c r="C1012" s="7" t="str">
        <f>'Respuestas de formulario 1'!C1012</f>
        <v>Veronica Tamara</v>
      </c>
      <c r="D1012" s="7" t="str">
        <f>'Respuestas de formulario 1'!D1012</f>
        <v>verooramoos.cat@gmail.com</v>
      </c>
      <c r="E1012" s="20">
        <f>'Respuestas de formulario 1'!E1012</f>
        <v>33101</v>
      </c>
      <c r="F1012" s="7">
        <f>'Respuestas de formulario 1'!F1012</f>
        <v>35034672</v>
      </c>
      <c r="G1012" s="7" t="str">
        <f>IFERROR(__xludf.DUMMYFUNCTION("IF('Respuestas de formulario 1'!G1012="""","""",IF(LEFT(REGEXREPLACE(TO_TEXT('Respuestas de formulario 1'!G1012),""[^0-9]"",""""),2)=""54"",""+""&amp;REGEXREPLACE(TO_TEXT('Respuestas de formulario 1'!G1012),""[^0-9]"",""""),""+54""&amp;REGEXREPLACE(TO_TEXT('Respu"&amp;"estas de formulario 1'!G1012),""[^0-9]"","""")))"),"+543516067822")</f>
        <v>+543516067822</v>
      </c>
      <c r="H1012" s="7">
        <f>'Respuestas de formulario 1'!S1012</f>
        <v>2025</v>
      </c>
      <c r="I1012" s="7" t="str">
        <f>IFERROR(__xludf.DUMMYFUNCTION("IF('Respuestas de formulario 1'!I1012="""","""",TO_TEXT('Respuestas de formulario 1'!I1012))"),"Particular")</f>
        <v>Particular</v>
      </c>
      <c r="J1012" s="7" t="str">
        <f>IFERROR(__xludf.DUMMYFUNCTION("IF('Respuestas de formulario 1'!J1012&lt;&gt;"""",UPPER(TRIM(TO_TEXT('Respuestas de formulario 1'!J1012))),IF('Respuestas de formulario 1'!O1012&lt;&gt;"""",UPPER(TRIM(TO_TEXT('Respuestas de formulario 1'!O1012))),""""))"),"")</f>
        <v/>
      </c>
      <c r="K1012" s="7" t="str">
        <f>IFERROR(__xludf.DUMMYFUNCTION("IF('Respuestas de formulario 1'!K1012="""","""",TO_TEXT('Respuestas de formulario 1'!K1012))"),"No")</f>
        <v>No</v>
      </c>
      <c r="L1012" s="7" t="str">
        <f>IFERROR(__xludf.DUMMYFUNCTION("IF('Respuestas de formulario 1'!L1012="""","""",TO_TEXT('Respuestas de formulario 1'!L1012))"),"")</f>
        <v/>
      </c>
      <c r="M1012" s="7" t="str">
        <f>IFERROR(__xludf.DUMMYFUNCTION("IF('Respuestas de formulario 1'!M1012="""","""",TO_TEXT('Respuestas de formulario 1'!M1012))"),"")</f>
        <v/>
      </c>
      <c r="N1012" s="7">
        <f t="shared" si="1"/>
        <v>2025</v>
      </c>
      <c r="O1012" s="7" t="str">
        <f t="shared" si="2"/>
        <v>mayo</v>
      </c>
      <c r="P1012" s="7" t="s">
        <v>6176</v>
      </c>
    </row>
    <row r="1013">
      <c r="A1013" s="19">
        <f>'Respuestas de formulario 1'!A1013</f>
        <v>45806.44865</v>
      </c>
      <c r="B1013" s="7" t="str">
        <f>'Respuestas de formulario 1'!B1013</f>
        <v>Guevara </v>
      </c>
      <c r="C1013" s="7" t="str">
        <f>'Respuestas de formulario 1'!C1013</f>
        <v>Enrique</v>
      </c>
      <c r="D1013" s="7" t="str">
        <f>'Respuestas de formulario 1'!D1013</f>
        <v>licenrriqueguevara@hotmail.com</v>
      </c>
      <c r="E1013" s="20">
        <f>'Respuestas de formulario 1'!E1013</f>
        <v>21037</v>
      </c>
      <c r="F1013" s="7">
        <f>'Respuestas de formulario 1'!F1013</f>
        <v>13373656</v>
      </c>
      <c r="G1013" s="7" t="str">
        <f>IFERROR(__xludf.DUMMYFUNCTION("IF('Respuestas de formulario 1'!G1013="""","""",IF(LEFT(REGEXREPLACE(TO_TEXT('Respuestas de formulario 1'!G1013),""[^0-9]"",""""),2)=""54"",""+""&amp;REGEXREPLACE(TO_TEXT('Respuestas de formulario 1'!G1013),""[^0-9]"",""""),""+54""&amp;REGEXREPLACE(TO_TEXT('Respu"&amp;"estas de formulario 1'!G1013),""[^0-9]"","""")))"),"+543516111984")</f>
        <v>+543516111984</v>
      </c>
      <c r="H1013" s="7">
        <f>'Respuestas de formulario 1'!S1013</f>
        <v>2025</v>
      </c>
      <c r="I1013" s="7" t="str">
        <f>IFERROR(__xludf.DUMMYFUNCTION("IF('Respuestas de formulario 1'!I1013="""","""",TO_TEXT('Respuestas de formulario 1'!I1013))"),"Obra social")</f>
        <v>Obra social</v>
      </c>
      <c r="J1013" s="7" t="str">
        <f>IFERROR(__xludf.DUMMYFUNCTION("IF('Respuestas de formulario 1'!J1013&lt;&gt;"""",UPPER(TRIM(TO_TEXT('Respuestas de formulario 1'!J1013))),IF('Respuestas de formulario 1'!O1013&lt;&gt;"""",UPPER(TRIM(TO_TEXT('Respuestas de formulario 1'!O1013))),""""))"),"APROSS")</f>
        <v>APROSS</v>
      </c>
      <c r="K1013" s="7" t="str">
        <f>IFERROR(__xludf.DUMMYFUNCTION("IF('Respuestas de formulario 1'!K1013="""","""",TO_TEXT('Respuestas de formulario 1'!K1013))"),"Si")</f>
        <v>Si</v>
      </c>
      <c r="L1013" s="7" t="str">
        <f>IFERROR(__xludf.DUMMYFUNCTION("IF('Respuestas de formulario 1'!L1013="""","""",TO_TEXT('Respuestas de formulario 1'!L1013))"),"Gimnasio")</f>
        <v>Gimnasio</v>
      </c>
      <c r="M1013" s="7" t="str">
        <f>IFERROR(__xludf.DUMMYFUNCTION("IF('Respuestas de formulario 1'!M1013="""","""",TO_TEXT('Respuestas de formulario 1'!M1013))"),"3 a 5 veces por semana")</f>
        <v>3 a 5 veces por semana</v>
      </c>
      <c r="N1013" s="7">
        <f t="shared" si="1"/>
        <v>2025</v>
      </c>
      <c r="O1013" s="7" t="str">
        <f t="shared" si="2"/>
        <v>mayo</v>
      </c>
      <c r="P1013" s="7" t="s">
        <v>6178</v>
      </c>
    </row>
    <row r="1014">
      <c r="A1014" s="19">
        <f>'Respuestas de formulario 1'!A1014</f>
        <v>45807.46676</v>
      </c>
      <c r="B1014" s="7" t="str">
        <f>'Respuestas de formulario 1'!B1014</f>
        <v>Mascarello</v>
      </c>
      <c r="C1014" s="7" t="str">
        <f>'Respuestas de formulario 1'!C1014</f>
        <v>Eduardo</v>
      </c>
      <c r="D1014" s="7" t="str">
        <f>'Respuestas de formulario 1'!D1014</f>
        <v/>
      </c>
      <c r="E1014" s="20">
        <f>'Respuestas de formulario 1'!E1014</f>
        <v>24507</v>
      </c>
      <c r="F1014" s="7">
        <f>'Respuestas de formulario 1'!F1014</f>
        <v>18015534</v>
      </c>
      <c r="G1014" s="7" t="str">
        <f>IFERROR(__xludf.DUMMYFUNCTION("IF('Respuestas de formulario 1'!G1014="""","""",IF(LEFT(REGEXREPLACE(TO_TEXT('Respuestas de formulario 1'!G1014),""[^0-9]"",""""),2)=""54"",""+""&amp;REGEXREPLACE(TO_TEXT('Respuestas de formulario 1'!G1014),""[^0-9]"",""""),""+54""&amp;REGEXREPLACE(TO_TEXT('Respu"&amp;"estas de formulario 1'!G1014),""[^0-9]"","""")))"),"+543517460479")</f>
        <v>+543517460479</v>
      </c>
      <c r="H1014" s="7">
        <f>'Respuestas de formulario 1'!S1014</f>
        <v>2025</v>
      </c>
      <c r="I1014" s="7" t="str">
        <f>IFERROR(__xludf.DUMMYFUNCTION("IF('Respuestas de formulario 1'!I1014="""","""",TO_TEXT('Respuestas de formulario 1'!I1014))"),"Particular")</f>
        <v>Particular</v>
      </c>
      <c r="J1014" s="7" t="str">
        <f>IFERROR(__xludf.DUMMYFUNCTION("IF('Respuestas de formulario 1'!J1014&lt;&gt;"""",UPPER(TRIM(TO_TEXT('Respuestas de formulario 1'!J1014))),IF('Respuestas de formulario 1'!O1014&lt;&gt;"""",UPPER(TRIM(TO_TEXT('Respuestas de formulario 1'!O1014))),""""))"),"")</f>
        <v/>
      </c>
      <c r="K1014" s="7" t="str">
        <f>IFERROR(__xludf.DUMMYFUNCTION("IF('Respuestas de formulario 1'!K1014="""","""",TO_TEXT('Respuestas de formulario 1'!K1014))"),"Si")</f>
        <v>Si</v>
      </c>
      <c r="L1014" s="7" t="str">
        <f>IFERROR(__xludf.DUMMYFUNCTION("IF('Respuestas de formulario 1'!L1014="""","""",TO_TEXT('Respuestas de formulario 1'!L1014))"),"Fútbol")</f>
        <v>Fútbol</v>
      </c>
      <c r="M1014" s="7" t="str">
        <f>IFERROR(__xludf.DUMMYFUNCTION("IF('Respuestas de formulario 1'!M1014="""","""",TO_TEXT('Respuestas de formulario 1'!M1014))"),"3 a 5 veces por semana")</f>
        <v>3 a 5 veces por semana</v>
      </c>
      <c r="N1014" s="7">
        <f t="shared" si="1"/>
        <v>2025</v>
      </c>
      <c r="O1014" s="7" t="str">
        <f t="shared" si="2"/>
        <v>mayo</v>
      </c>
      <c r="P1014" s="7" t="s">
        <v>6180</v>
      </c>
    </row>
    <row r="1015">
      <c r="A1015" s="19">
        <f>'Respuestas de formulario 1'!A1015</f>
        <v>45807.67951</v>
      </c>
      <c r="B1015" s="7" t="str">
        <f>'Respuestas de formulario 1'!B1015</f>
        <v>MONTOYA</v>
      </c>
      <c r="C1015" s="7" t="str">
        <f>'Respuestas de formulario 1'!C1015</f>
        <v>ROQUE</v>
      </c>
      <c r="D1015" s="7" t="str">
        <f>'Respuestas de formulario 1'!D1015</f>
        <v/>
      </c>
      <c r="E1015" s="20">
        <f>'Respuestas de formulario 1'!E1015</f>
        <v>28381</v>
      </c>
      <c r="F1015" s="7">
        <f>'Respuestas de formulario 1'!F1015</f>
        <v>26098433</v>
      </c>
      <c r="G1015" s="7" t="str">
        <f>IFERROR(__xludf.DUMMYFUNCTION("IF('Respuestas de formulario 1'!G1015="""","""",IF(LEFT(REGEXREPLACE(TO_TEXT('Respuestas de formulario 1'!G1015),""[^0-9]"",""""),2)=""54"",""+""&amp;REGEXREPLACE(TO_TEXT('Respuestas de formulario 1'!G1015),""[^0-9]"",""""),""+54""&amp;REGEXREPLACE(TO_TEXT('Respu"&amp;"estas de formulario 1'!G1015),""[^0-9]"","""")))"),"+543515746964")</f>
        <v>+543515746964</v>
      </c>
      <c r="H1015" s="7">
        <f>'Respuestas de formulario 1'!S1015</f>
        <v>2025</v>
      </c>
      <c r="I1015" s="7" t="str">
        <f>IFERROR(__xludf.DUMMYFUNCTION("IF('Respuestas de formulario 1'!I1015="""","""",TO_TEXT('Respuestas de formulario 1'!I1015))"),"Particular")</f>
        <v>Particular</v>
      </c>
      <c r="J1015" s="7" t="str">
        <f>IFERROR(__xludf.DUMMYFUNCTION("IF('Respuestas de formulario 1'!J1015&lt;&gt;"""",UPPER(TRIM(TO_TEXT('Respuestas de formulario 1'!J1015))),IF('Respuestas de formulario 1'!O1015&lt;&gt;"""",UPPER(TRIM(TO_TEXT('Respuestas de formulario 1'!O1015))),""""))"),"")</f>
        <v/>
      </c>
      <c r="K1015" s="7" t="str">
        <f>IFERROR(__xludf.DUMMYFUNCTION("IF('Respuestas de formulario 1'!K1015="""","""",TO_TEXT('Respuestas de formulario 1'!K1015))"),"Si")</f>
        <v>Si</v>
      </c>
      <c r="L1015" s="7" t="str">
        <f>IFERROR(__xludf.DUMMYFUNCTION("IF('Respuestas de formulario 1'!L1015="""","""",TO_TEXT('Respuestas de formulario 1'!L1015))"),"Fútbol")</f>
        <v>Fútbol</v>
      </c>
      <c r="M1015" s="7" t="str">
        <f>IFERROR(__xludf.DUMMYFUNCTION("IF('Respuestas de formulario 1'!M1015="""","""",TO_TEXT('Respuestas de formulario 1'!M1015))"),"1 a 2 veces por semana")</f>
        <v>1 a 2 veces por semana</v>
      </c>
      <c r="N1015" s="7">
        <f t="shared" si="1"/>
        <v>2025</v>
      </c>
      <c r="O1015" s="7" t="str">
        <f t="shared" si="2"/>
        <v>mayo</v>
      </c>
      <c r="P1015" s="7" t="s">
        <v>6182</v>
      </c>
    </row>
    <row r="1016">
      <c r="A1016" s="19">
        <f>'Respuestas de formulario 1'!A1016</f>
        <v>45807.7935</v>
      </c>
      <c r="B1016" s="7" t="str">
        <f>'Respuestas de formulario 1'!B1016</f>
        <v>Fernandez</v>
      </c>
      <c r="C1016" s="7" t="str">
        <f>'Respuestas de formulario 1'!C1016</f>
        <v>Nahuel</v>
      </c>
      <c r="D1016" s="7" t="str">
        <f>'Respuestas de formulario 1'!D1016</f>
        <v>nahuel.fernandez@biofarmaweb.com.ar</v>
      </c>
      <c r="E1016" s="20">
        <f>'Respuestas de formulario 1'!E1016</f>
        <v>31200</v>
      </c>
      <c r="F1016" s="7">
        <f>'Respuestas de formulario 1'!F1016</f>
        <v>30779612</v>
      </c>
      <c r="G1016" s="7" t="str">
        <f>IFERROR(__xludf.DUMMYFUNCTION("IF('Respuestas de formulario 1'!G1016="""","""",IF(LEFT(REGEXREPLACE(TO_TEXT('Respuestas de formulario 1'!G1016),""[^0-9]"",""""),2)=""54"",""+""&amp;REGEXREPLACE(TO_TEXT('Respuestas de formulario 1'!G1016),""[^0-9]"",""""),""+54""&amp;REGEXREPLACE(TO_TEXT('Respu"&amp;"estas de formulario 1'!G1016),""[^0-9]"","""")))"),"+543518087765")</f>
        <v>+543518087765</v>
      </c>
      <c r="H1016" s="7">
        <f>'Respuestas de formulario 1'!S1016</f>
        <v>2025</v>
      </c>
      <c r="I1016" s="7" t="str">
        <f>IFERROR(__xludf.DUMMYFUNCTION("IF('Respuestas de formulario 1'!I1016="""","""",TO_TEXT('Respuestas de formulario 1'!I1016))"),"Particular")</f>
        <v>Particular</v>
      </c>
      <c r="J1016" s="7" t="str">
        <f>IFERROR(__xludf.DUMMYFUNCTION("IF('Respuestas de formulario 1'!J1016&lt;&gt;"""",UPPER(TRIM(TO_TEXT('Respuestas de formulario 1'!J1016))),IF('Respuestas de formulario 1'!O1016&lt;&gt;"""",UPPER(TRIM(TO_TEXT('Respuestas de formulario 1'!O1016))),""""))"),"")</f>
        <v/>
      </c>
      <c r="K1016" s="7" t="str">
        <f>IFERROR(__xludf.DUMMYFUNCTION("IF('Respuestas de formulario 1'!K1016="""","""",TO_TEXT('Respuestas de formulario 1'!K1016))"),"Si")</f>
        <v>Si</v>
      </c>
      <c r="L1016" s="7" t="str">
        <f>IFERROR(__xludf.DUMMYFUNCTION("IF('Respuestas de formulario 1'!L1016="""","""",TO_TEXT('Respuestas de formulario 1'!L1016))"),"Fútbol")</f>
        <v>Fútbol</v>
      </c>
      <c r="M1016" s="7" t="str">
        <f>IFERROR(__xludf.DUMMYFUNCTION("IF('Respuestas de formulario 1'!M1016="""","""",TO_TEXT('Respuestas de formulario 1'!M1016))"),"1 a 2 veces por semana")</f>
        <v>1 a 2 veces por semana</v>
      </c>
      <c r="N1016" s="7">
        <f t="shared" si="1"/>
        <v>2025</v>
      </c>
      <c r="O1016" s="7" t="str">
        <f t="shared" si="2"/>
        <v>mayo</v>
      </c>
      <c r="P1016" s="7" t="s">
        <v>6184</v>
      </c>
    </row>
    <row r="1017">
      <c r="A1017" s="19">
        <f>'Respuestas de formulario 1'!A1017</f>
        <v>45808.66325</v>
      </c>
      <c r="B1017" s="7" t="str">
        <f>'Respuestas de formulario 1'!B1017</f>
        <v>Pinto</v>
      </c>
      <c r="C1017" s="7" t="str">
        <f>'Respuestas de formulario 1'!C1017</f>
        <v>Ignacio</v>
      </c>
      <c r="D1017" s="7" t="str">
        <f>'Respuestas de formulario 1'!D1017</f>
        <v>Igna11pinto@gmail.com</v>
      </c>
      <c r="E1017" s="20">
        <f>'Respuestas de formulario 1'!E1017</f>
        <v>37020</v>
      </c>
      <c r="F1017" s="7">
        <f>'Respuestas de formulario 1'!F1017</f>
        <v>43273576</v>
      </c>
      <c r="G1017" s="7" t="str">
        <f>IFERROR(__xludf.DUMMYFUNCTION("IF('Respuestas de formulario 1'!G1017="""","""",IF(LEFT(REGEXREPLACE(TO_TEXT('Respuestas de formulario 1'!G1017),""[^0-9]"",""""),2)=""54"",""+""&amp;REGEXREPLACE(TO_TEXT('Respuestas de formulario 1'!G1017),""[^0-9]"",""""),""+54""&amp;REGEXREPLACE(TO_TEXT('Respu"&amp;"estas de formulario 1'!G1017),""[^0-9]"","""")))"),"+543513299104")</f>
        <v>+543513299104</v>
      </c>
      <c r="H1017" s="7">
        <f>'Respuestas de formulario 1'!S1017</f>
        <v>2025</v>
      </c>
      <c r="I1017" s="7" t="str">
        <f>IFERROR(__xludf.DUMMYFUNCTION("IF('Respuestas de formulario 1'!I1017="""","""",TO_TEXT('Respuestas de formulario 1'!I1017))"),"Obra social")</f>
        <v>Obra social</v>
      </c>
      <c r="J1017" s="7" t="str">
        <f>IFERROR(__xludf.DUMMYFUNCTION("IF('Respuestas de formulario 1'!J1017&lt;&gt;"""",UPPER(TRIM(TO_TEXT('Respuestas de formulario 1'!J1017))),IF('Respuestas de formulario 1'!O1017&lt;&gt;"""",UPPER(TRIM(TO_TEXT('Respuestas de formulario 1'!O1017))),""""))"),"DASPU")</f>
        <v>DASPU</v>
      </c>
      <c r="K1017" s="7" t="str">
        <f>IFERROR(__xludf.DUMMYFUNCTION("IF('Respuestas de formulario 1'!K1017="""","""",TO_TEXT('Respuestas de formulario 1'!K1017))"),"Si")</f>
        <v>Si</v>
      </c>
      <c r="L1017" s="7" t="str">
        <f>IFERROR(__xludf.DUMMYFUNCTION("IF('Respuestas de formulario 1'!L1017="""","""",TO_TEXT('Respuestas de formulario 1'!L1017))"),"Gimnasio")</f>
        <v>Gimnasio</v>
      </c>
      <c r="M1017" s="7" t="str">
        <f>IFERROR(__xludf.DUMMYFUNCTION("IF('Respuestas de formulario 1'!M1017="""","""",TO_TEXT('Respuestas de formulario 1'!M1017))"),"3 a 5 veces por semana")</f>
        <v>3 a 5 veces por semana</v>
      </c>
      <c r="N1017" s="7">
        <f t="shared" si="1"/>
        <v>2025</v>
      </c>
      <c r="O1017" s="7" t="str">
        <f t="shared" si="2"/>
        <v>mayo</v>
      </c>
      <c r="P1017" s="7" t="s">
        <v>6186</v>
      </c>
    </row>
    <row r="1018">
      <c r="A1018" s="19">
        <f>'Respuestas de formulario 1'!A1018</f>
        <v>45810.48143</v>
      </c>
      <c r="B1018" s="7" t="str">
        <f>'Respuestas de formulario 1'!B1018</f>
        <v>bazan</v>
      </c>
      <c r="C1018" s="7" t="str">
        <f>'Respuestas de formulario 1'!C1018</f>
        <v>Alicia Susana</v>
      </c>
      <c r="D1018" s="7" t="str">
        <f>'Respuestas de formulario 1'!D1018</f>
        <v>alibazan@yahoo.com.ar</v>
      </c>
      <c r="E1018" s="20">
        <f>'Respuestas de formulario 1'!E1018</f>
        <v>18489</v>
      </c>
      <c r="F1018" s="7">
        <f>'Respuestas de formulario 1'!F1018</f>
        <v>6397633</v>
      </c>
      <c r="G1018" s="7" t="str">
        <f>IFERROR(__xludf.DUMMYFUNCTION("IF('Respuestas de formulario 1'!G1018="""","""",IF(LEFT(REGEXREPLACE(TO_TEXT('Respuestas de formulario 1'!G1018),""[^0-9]"",""""),2)=""54"",""+""&amp;REGEXREPLACE(TO_TEXT('Respuestas de formulario 1'!G1018),""[^0-9]"",""""),""+54""&amp;REGEXREPLACE(TO_TEXT('Respu"&amp;"estas de formulario 1'!G1018),""[^0-9]"","""")))"),"+543513694169")</f>
        <v>+543513694169</v>
      </c>
      <c r="H1018" s="7">
        <f>'Respuestas de formulario 1'!S1018</f>
        <v>2025</v>
      </c>
      <c r="I1018" s="7" t="str">
        <f>IFERROR(__xludf.DUMMYFUNCTION("IF('Respuestas de formulario 1'!I1018="""","""",TO_TEXT('Respuestas de formulario 1'!I1018))"),"Obra social")</f>
        <v>Obra social</v>
      </c>
      <c r="J1018" s="7" t="str">
        <f>IFERROR(__xludf.DUMMYFUNCTION("IF('Respuestas de formulario 1'!J1018&lt;&gt;"""",UPPER(TRIM(TO_TEXT('Respuestas de formulario 1'!J1018))),IF('Respuestas de formulario 1'!O1018&lt;&gt;"""",UPPER(TRIM(TO_TEXT('Respuestas de formulario 1'!O1018))),""""))"),"APROSS")</f>
        <v>APROSS</v>
      </c>
      <c r="K1018" s="7" t="str">
        <f>IFERROR(__xludf.DUMMYFUNCTION("IF('Respuestas de formulario 1'!K1018="""","""",TO_TEXT('Respuestas de formulario 1'!K1018))"),"Si")</f>
        <v>Si</v>
      </c>
      <c r="L1018" s="7" t="str">
        <f>IFERROR(__xludf.DUMMYFUNCTION("IF('Respuestas de formulario 1'!L1018="""","""",TO_TEXT('Respuestas de formulario 1'!L1018))"),"aquagym")</f>
        <v>aquagym</v>
      </c>
      <c r="M1018" s="7" t="str">
        <f>IFERROR(__xludf.DUMMYFUNCTION("IF('Respuestas de formulario 1'!M1018="""","""",TO_TEXT('Respuestas de formulario 1'!M1018))"),"1 a 2 veces por semana")</f>
        <v>1 a 2 veces por semana</v>
      </c>
      <c r="N1018" s="7">
        <f t="shared" si="1"/>
        <v>2025</v>
      </c>
      <c r="O1018" s="7" t="str">
        <f t="shared" si="2"/>
        <v>junio</v>
      </c>
      <c r="P1018" s="7" t="s">
        <v>6188</v>
      </c>
    </row>
    <row r="1019">
      <c r="A1019" s="19">
        <f>'Respuestas de formulario 1'!A1019</f>
        <v>45810.62704</v>
      </c>
      <c r="B1019" s="7" t="str">
        <f>'Respuestas de formulario 1'!B1019</f>
        <v>Urey</v>
      </c>
      <c r="C1019" s="7" t="str">
        <f>'Respuestas de formulario 1'!C1019</f>
        <v>Lilian gisela </v>
      </c>
      <c r="D1019" s="7" t="str">
        <f>'Respuestas de formulario 1'!D1019</f>
        <v>giselaurey@gmail.com</v>
      </c>
      <c r="E1019" s="20">
        <f>'Respuestas de formulario 1'!E1019</f>
        <v>37670</v>
      </c>
      <c r="F1019" s="7">
        <f>'Respuestas de formulario 1'!F1019</f>
        <v>30843273</v>
      </c>
      <c r="G1019" s="7" t="str">
        <f>IFERROR(__xludf.DUMMYFUNCTION("IF('Respuestas de formulario 1'!G1019="""","""",IF(LEFT(REGEXREPLACE(TO_TEXT('Respuestas de formulario 1'!G1019),""[^0-9]"",""""),2)=""54"",""+""&amp;REGEXREPLACE(TO_TEXT('Respuestas de formulario 1'!G1019),""[^0-9]"",""""),""+54""&amp;REGEXREPLACE(TO_TEXT('Respu"&amp;"estas de formulario 1'!G1019),""[^0-9]"","""")))"),"+543512234086")</f>
        <v>+543512234086</v>
      </c>
      <c r="H1019" s="7">
        <f>'Respuestas de formulario 1'!S1019</f>
        <v>2025</v>
      </c>
      <c r="I1019" s="7" t="str">
        <f>IFERROR(__xludf.DUMMYFUNCTION("IF('Respuestas de formulario 1'!I1019="""","""",TO_TEXT('Respuestas de formulario 1'!I1019))"),"Particular")</f>
        <v>Particular</v>
      </c>
      <c r="J1019" s="7" t="str">
        <f>IFERROR(__xludf.DUMMYFUNCTION("IF('Respuestas de formulario 1'!J1019&lt;&gt;"""",UPPER(TRIM(TO_TEXT('Respuestas de formulario 1'!J1019))),IF('Respuestas de formulario 1'!O1019&lt;&gt;"""",UPPER(TRIM(TO_TEXT('Respuestas de formulario 1'!O1019))),""""))"),"")</f>
        <v/>
      </c>
      <c r="K1019" s="7" t="str">
        <f>IFERROR(__xludf.DUMMYFUNCTION("IF('Respuestas de formulario 1'!K1019="""","""",TO_TEXT('Respuestas de formulario 1'!K1019))"),"Si")</f>
        <v>Si</v>
      </c>
      <c r="L1019" s="7" t="str">
        <f>IFERROR(__xludf.DUMMYFUNCTION("IF('Respuestas de formulario 1'!L1019="""","""",TO_TEXT('Respuestas de formulario 1'!L1019))"),"Baile")</f>
        <v>Baile</v>
      </c>
      <c r="M1019" s="7" t="str">
        <f>IFERROR(__xludf.DUMMYFUNCTION("IF('Respuestas de formulario 1'!M1019="""","""",TO_TEXT('Respuestas de formulario 1'!M1019))"),"1 a 2 veces por semana")</f>
        <v>1 a 2 veces por semana</v>
      </c>
      <c r="N1019" s="7">
        <f t="shared" si="1"/>
        <v>2025</v>
      </c>
      <c r="O1019" s="7" t="str">
        <f t="shared" si="2"/>
        <v>junio</v>
      </c>
      <c r="P1019" s="7" t="s">
        <v>6190</v>
      </c>
    </row>
    <row r="1020">
      <c r="A1020" s="19">
        <f>'Respuestas de formulario 1'!A1020</f>
        <v>45810.79549</v>
      </c>
      <c r="B1020" s="7" t="str">
        <f>'Respuestas de formulario 1'!B1020</f>
        <v>Quiroga Monnier</v>
      </c>
      <c r="C1020" s="7" t="str">
        <f>'Respuestas de formulario 1'!C1020</f>
        <v>Gregorio</v>
      </c>
      <c r="D1020" s="7" t="str">
        <f>'Respuestas de formulario 1'!D1020</f>
        <v>gregoquiroga15@gmail.com</v>
      </c>
      <c r="E1020" s="20">
        <f>'Respuestas de formulario 1'!E1020</f>
        <v>36817</v>
      </c>
      <c r="F1020" s="7">
        <f>'Respuestas de formulario 1'!F1020</f>
        <v>42855577</v>
      </c>
      <c r="G1020" s="7" t="str">
        <f>IFERROR(__xludf.DUMMYFUNCTION("IF('Respuestas de formulario 1'!G1020="""","""",IF(LEFT(REGEXREPLACE(TO_TEXT('Respuestas de formulario 1'!G1020),""[^0-9]"",""""),2)=""54"",""+""&amp;REGEXREPLACE(TO_TEXT('Respuestas de formulario 1'!G1020),""[^0-9]"",""""),""+54""&amp;REGEXREPLACE(TO_TEXT('Respu"&amp;"estas de formulario 1'!G1020),""[^0-9]"","""")))"),"+543517425315")</f>
        <v>+543517425315</v>
      </c>
      <c r="H1020" s="7">
        <f>'Respuestas de formulario 1'!S1020</f>
        <v>2025</v>
      </c>
      <c r="I1020" s="7" t="str">
        <f>IFERROR(__xludf.DUMMYFUNCTION("IF('Respuestas de formulario 1'!I1020="""","""",TO_TEXT('Respuestas de formulario 1'!I1020))"),"Obra social")</f>
        <v>Obra social</v>
      </c>
      <c r="J1020" s="7" t="str">
        <f>IFERROR(__xludf.DUMMYFUNCTION("IF('Respuestas de formulario 1'!J1020&lt;&gt;"""",UPPER(TRIM(TO_TEXT('Respuestas de formulario 1'!J1020))),IF('Respuestas de formulario 1'!O1020&lt;&gt;"""",UPPER(TRIM(TO_TEXT('Respuestas de formulario 1'!O1020))),""""))"),"MEDIFE")</f>
        <v>MEDIFE</v>
      </c>
      <c r="K1020" s="7" t="str">
        <f>IFERROR(__xludf.DUMMYFUNCTION("IF('Respuestas de formulario 1'!K1020="""","""",TO_TEXT('Respuestas de formulario 1'!K1020))"),"Si")</f>
        <v>Si</v>
      </c>
      <c r="L1020" s="7" t="str">
        <f>IFERROR(__xludf.DUMMYFUNCTION("IF('Respuestas de formulario 1'!L1020="""","""",TO_TEXT('Respuestas de formulario 1'!L1020))"),"Fútbol")</f>
        <v>Fútbol</v>
      </c>
      <c r="M1020" s="7" t="str">
        <f>IFERROR(__xludf.DUMMYFUNCTION("IF('Respuestas de formulario 1'!M1020="""","""",TO_TEXT('Respuestas de formulario 1'!M1020))"),"1 a 2 veces por semana")</f>
        <v>1 a 2 veces por semana</v>
      </c>
      <c r="N1020" s="7">
        <f t="shared" si="1"/>
        <v>2025</v>
      </c>
      <c r="O1020" s="7" t="str">
        <f t="shared" si="2"/>
        <v>junio</v>
      </c>
      <c r="P1020" s="7" t="s">
        <v>6192</v>
      </c>
    </row>
    <row r="1021">
      <c r="A1021" s="19">
        <f>'Respuestas de formulario 1'!A1021</f>
        <v>45811.7824</v>
      </c>
      <c r="B1021" s="7" t="str">
        <f>'Respuestas de formulario 1'!B1021</f>
        <v>Andrada</v>
      </c>
      <c r="C1021" s="7" t="str">
        <f>'Respuestas de formulario 1'!C1021</f>
        <v>Gonzalo J</v>
      </c>
      <c r="D1021" s="7" t="str">
        <f>'Respuestas de formulario 1'!D1021</f>
        <v>gonzaloqq@hotmail.com</v>
      </c>
      <c r="E1021" s="20">
        <f>'Respuestas de formulario 1'!E1021</f>
        <v>31448</v>
      </c>
      <c r="F1021" s="7">
        <f>'Respuestas de formulario 1'!F1021</f>
        <v>32241401</v>
      </c>
      <c r="G1021" s="7" t="str">
        <f>IFERROR(__xludf.DUMMYFUNCTION("IF('Respuestas de formulario 1'!G1021="""","""",IF(LEFT(REGEXREPLACE(TO_TEXT('Respuestas de formulario 1'!G1021),""[^0-9]"",""""),2)=""54"",""+""&amp;REGEXREPLACE(TO_TEXT('Respuestas de formulario 1'!G1021),""[^0-9]"",""""),""+54""&amp;REGEXREPLACE(TO_TEXT('Respu"&amp;"estas de formulario 1'!G1021),""[^0-9]"","""")))"),"+543517012926")</f>
        <v>+543517012926</v>
      </c>
      <c r="H1021" s="7">
        <f>'Respuestas de formulario 1'!S1021</f>
        <v>2025</v>
      </c>
      <c r="I1021" s="7" t="str">
        <f>IFERROR(__xludf.DUMMYFUNCTION("IF('Respuestas de formulario 1'!I1021="""","""",TO_TEXT('Respuestas de formulario 1'!I1021))"),"Obra social")</f>
        <v>Obra social</v>
      </c>
      <c r="J1021" s="7" t="str">
        <f>IFERROR(__xludf.DUMMYFUNCTION("IF('Respuestas de formulario 1'!J1021&lt;&gt;"""",UPPER(TRIM(TO_TEXT('Respuestas de formulario 1'!J1021))),IF('Respuestas de formulario 1'!O1021&lt;&gt;"""",UPPER(TRIM(TO_TEXT('Respuestas de formulario 1'!O1021))),""""))"),"OSDE")</f>
        <v>OSDE</v>
      </c>
      <c r="K1021" s="7" t="str">
        <f>IFERROR(__xludf.DUMMYFUNCTION("IF('Respuestas de formulario 1'!K1021="""","""",TO_TEXT('Respuestas de formulario 1'!K1021))"),"Si")</f>
        <v>Si</v>
      </c>
      <c r="L1021" s="7" t="str">
        <f>IFERROR(__xludf.DUMMYFUNCTION("IF('Respuestas de formulario 1'!L1021="""","""",TO_TEXT('Respuestas de formulario 1'!L1021))"),"Escalada deportiva")</f>
        <v>Escalada deportiva</v>
      </c>
      <c r="M1021" s="7" t="str">
        <f>IFERROR(__xludf.DUMMYFUNCTION("IF('Respuestas de formulario 1'!M1021="""","""",TO_TEXT('Respuestas de formulario 1'!M1021))"),"3 a 5 veces por semana")</f>
        <v>3 a 5 veces por semana</v>
      </c>
      <c r="N1021" s="7">
        <f t="shared" si="1"/>
        <v>2025</v>
      </c>
      <c r="O1021" s="7" t="str">
        <f t="shared" si="2"/>
        <v>junio</v>
      </c>
      <c r="P1021" s="7" t="s">
        <v>6194</v>
      </c>
    </row>
    <row r="1022">
      <c r="A1022" s="19">
        <f>'Respuestas de formulario 1'!A1022</f>
        <v>45811.82581</v>
      </c>
      <c r="B1022" s="7" t="str">
        <f>'Respuestas de formulario 1'!B1022</f>
        <v>Spinosa</v>
      </c>
      <c r="C1022" s="7" t="str">
        <f>'Respuestas de formulario 1'!C1022</f>
        <v>Ana Estefania </v>
      </c>
      <c r="D1022" s="7" t="str">
        <f>'Respuestas de formulario 1'!D1022</f>
        <v>spinosa.ana.estefania@gmail.com</v>
      </c>
      <c r="E1022" s="20">
        <f>'Respuestas de formulario 1'!E1022</f>
        <v>35298</v>
      </c>
      <c r="F1022" s="7">
        <f>'Respuestas de formulario 1'!F1022</f>
        <v>39692449</v>
      </c>
      <c r="G1022" s="7" t="str">
        <f>IFERROR(__xludf.DUMMYFUNCTION("IF('Respuestas de formulario 1'!G1022="""","""",IF(LEFT(REGEXREPLACE(TO_TEXT('Respuestas de formulario 1'!G1022),""[^0-9]"",""""),2)=""54"",""+""&amp;REGEXREPLACE(TO_TEXT('Respuestas de formulario 1'!G1022),""[^0-9]"",""""),""+54""&amp;REGEXREPLACE(TO_TEXT('Respu"&amp;"estas de formulario 1'!G1022),""[^0-9]"","""")))"),"+543518561034")</f>
        <v>+543518561034</v>
      </c>
      <c r="H1022" s="7">
        <f>'Respuestas de formulario 1'!S1022</f>
        <v>2025</v>
      </c>
      <c r="I1022" s="7" t="str">
        <f>IFERROR(__xludf.DUMMYFUNCTION("IF('Respuestas de formulario 1'!I1022="""","""",TO_TEXT('Respuestas de formulario 1'!I1022))"),"Obra social")</f>
        <v>Obra social</v>
      </c>
      <c r="J1022" s="7" t="str">
        <f>IFERROR(__xludf.DUMMYFUNCTION("IF('Respuestas de formulario 1'!J1022&lt;&gt;"""",UPPER(TRIM(TO_TEXT('Respuestas de formulario 1'!J1022))),IF('Respuestas de formulario 1'!O1022&lt;&gt;"""",UPPER(TRIM(TO_TEXT('Respuestas de formulario 1'!O1022))),""""))"),"DASPU")</f>
        <v>DASPU</v>
      </c>
      <c r="K1022" s="7" t="str">
        <f>IFERROR(__xludf.DUMMYFUNCTION("IF('Respuestas de formulario 1'!K1022="""","""",TO_TEXT('Respuestas de formulario 1'!K1022))"),"Si")</f>
        <v>Si</v>
      </c>
      <c r="L1022" s="7" t="str">
        <f>IFERROR(__xludf.DUMMYFUNCTION("IF('Respuestas de formulario 1'!L1022="""","""",TO_TEXT('Respuestas de formulario 1'!L1022))"),"Esqui")</f>
        <v>Esqui</v>
      </c>
      <c r="M1022" s="7" t="str">
        <f>IFERROR(__xludf.DUMMYFUNCTION("IF('Respuestas de formulario 1'!M1022="""","""",TO_TEXT('Respuestas de formulario 1'!M1022))"),"1 a 2 veces por semana")</f>
        <v>1 a 2 veces por semana</v>
      </c>
      <c r="N1022" s="7">
        <f t="shared" si="1"/>
        <v>2025</v>
      </c>
      <c r="O1022" s="7" t="str">
        <f t="shared" si="2"/>
        <v>junio</v>
      </c>
      <c r="P1022" s="7" t="s">
        <v>6196</v>
      </c>
    </row>
    <row r="1023">
      <c r="A1023" s="19">
        <f>'Respuestas de formulario 1'!A1023</f>
        <v>45811.83254</v>
      </c>
      <c r="B1023" s="7" t="str">
        <f>'Respuestas de formulario 1'!B1023</f>
        <v>Belisle</v>
      </c>
      <c r="C1023" s="7" t="str">
        <f>'Respuestas de formulario 1'!C1023</f>
        <v>Maria Cecilia</v>
      </c>
      <c r="D1023" s="7" t="str">
        <f>'Respuestas de formulario 1'!D1023</f>
        <v>ceciliabelisle2@gmail.com</v>
      </c>
      <c r="E1023" s="20">
        <f>'Respuestas de formulario 1'!E1023</f>
        <v>28663</v>
      </c>
      <c r="F1023" s="7">
        <f>'Respuestas de formulario 1'!F1023</f>
        <v>26815230</v>
      </c>
      <c r="G1023" s="7" t="str">
        <f>IFERROR(__xludf.DUMMYFUNCTION("IF('Respuestas de formulario 1'!G1023="""","""",IF(LEFT(REGEXREPLACE(TO_TEXT('Respuestas de formulario 1'!G1023),""[^0-9]"",""""),2)=""54"",""+""&amp;REGEXREPLACE(TO_TEXT('Respuestas de formulario 1'!G1023),""[^0-9]"",""""),""+54""&amp;REGEXREPLACE(TO_TEXT('Respu"&amp;"estas de formulario 1'!G1023),""[^0-9]"","""")))"),"+543518009252")</f>
        <v>+543518009252</v>
      </c>
      <c r="H1023" s="7">
        <f>'Respuestas de formulario 1'!S1023</f>
        <v>2025</v>
      </c>
      <c r="I1023" s="7" t="str">
        <f>IFERROR(__xludf.DUMMYFUNCTION("IF('Respuestas de formulario 1'!I1023="""","""",TO_TEXT('Respuestas de formulario 1'!I1023))"),"Obra social")</f>
        <v>Obra social</v>
      </c>
      <c r="J1023" s="7" t="str">
        <f>IFERROR(__xludf.DUMMYFUNCTION("IF('Respuestas de formulario 1'!J1023&lt;&gt;"""",UPPER(TRIM(TO_TEXT('Respuestas de formulario 1'!J1023))),IF('Respuestas de formulario 1'!O1023&lt;&gt;"""",UPPER(TRIM(TO_TEXT('Respuestas de formulario 1'!O1023))),""""))"),"DASPU")</f>
        <v>DASPU</v>
      </c>
      <c r="K1023" s="7" t="str">
        <f>IFERROR(__xludf.DUMMYFUNCTION("IF('Respuestas de formulario 1'!K1023="""","""",TO_TEXT('Respuestas de formulario 1'!K1023))"),"No")</f>
        <v>No</v>
      </c>
      <c r="L1023" s="7" t="str">
        <f>IFERROR(__xludf.DUMMYFUNCTION("IF('Respuestas de formulario 1'!L1023="""","""",TO_TEXT('Respuestas de formulario 1'!L1023))"),"")</f>
        <v/>
      </c>
      <c r="M1023" s="7" t="str">
        <f>IFERROR(__xludf.DUMMYFUNCTION("IF('Respuestas de formulario 1'!M1023="""","""",TO_TEXT('Respuestas de formulario 1'!M1023))"),"")</f>
        <v/>
      </c>
      <c r="N1023" s="7">
        <f t="shared" si="1"/>
        <v>2025</v>
      </c>
      <c r="O1023" s="7" t="str">
        <f t="shared" si="2"/>
        <v>junio</v>
      </c>
      <c r="P1023" s="7" t="s">
        <v>6198</v>
      </c>
    </row>
    <row r="1024">
      <c r="A1024" s="19">
        <f>'Respuestas de formulario 1'!A1024</f>
        <v>45812.6347</v>
      </c>
      <c r="B1024" s="7" t="str">
        <f>'Respuestas de formulario 1'!B1024</f>
        <v>Colautti</v>
      </c>
      <c r="C1024" s="7" t="str">
        <f>'Respuestas de formulario 1'!C1024</f>
        <v>Adele</v>
      </c>
      <c r="D1024" s="7" t="str">
        <f>'Respuestas de formulario 1'!D1024</f>
        <v/>
      </c>
      <c r="E1024" s="20">
        <f>'Respuestas de formulario 1'!E1024</f>
        <v>19528</v>
      </c>
      <c r="F1024" s="7">
        <f>'Respuestas de formulario 1'!F1024</f>
        <v>10902037</v>
      </c>
      <c r="G1024" s="7" t="str">
        <f>IFERROR(__xludf.DUMMYFUNCTION("IF('Respuestas de formulario 1'!G1024="""","""",IF(LEFT(REGEXREPLACE(TO_TEXT('Respuestas de formulario 1'!G1024),""[^0-9]"",""""),2)=""54"",""+""&amp;REGEXREPLACE(TO_TEXT('Respuestas de formulario 1'!G1024),""[^0-9]"",""""),""+54""&amp;REGEXREPLACE(TO_TEXT('Respu"&amp;"estas de formulario 1'!G1024),""[^0-9]"","""")))"),"+543516884519")</f>
        <v>+543516884519</v>
      </c>
      <c r="H1024" s="7">
        <f>'Respuestas de formulario 1'!S1024</f>
        <v>2025</v>
      </c>
      <c r="I1024" s="7" t="str">
        <f>IFERROR(__xludf.DUMMYFUNCTION("IF('Respuestas de formulario 1'!I1024="""","""",TO_TEXT('Respuestas de formulario 1'!I1024))"),"Obra social")</f>
        <v>Obra social</v>
      </c>
      <c r="J1024" s="7" t="str">
        <f>IFERROR(__xludf.DUMMYFUNCTION("IF('Respuestas de formulario 1'!J1024&lt;&gt;"""",UPPER(TRIM(TO_TEXT('Respuestas de formulario 1'!J1024))),IF('Respuestas de formulario 1'!O1024&lt;&gt;"""",UPPER(TRIM(TO_TEXT('Respuestas de formulario 1'!O1024))),""""))"),"APROSS")</f>
        <v>APROSS</v>
      </c>
      <c r="K1024" s="7" t="str">
        <f>IFERROR(__xludf.DUMMYFUNCTION("IF('Respuestas de formulario 1'!K1024="""","""",TO_TEXT('Respuestas de formulario 1'!K1024))"),"Si")</f>
        <v>Si</v>
      </c>
      <c r="L1024" s="7" t="str">
        <f>IFERROR(__xludf.DUMMYFUNCTION("IF('Respuestas de formulario 1'!L1024="""","""",TO_TEXT('Respuestas de formulario 1'!L1024))"),"Caminta+Bici ")</f>
        <v>Caminta+Bici </v>
      </c>
      <c r="M1024" s="7" t="str">
        <f>IFERROR(__xludf.DUMMYFUNCTION("IF('Respuestas de formulario 1'!M1024="""","""",TO_TEXT('Respuestas de formulario 1'!M1024))"),"3 a 5 veces por semana")</f>
        <v>3 a 5 veces por semana</v>
      </c>
      <c r="N1024" s="7">
        <f t="shared" si="1"/>
        <v>2025</v>
      </c>
      <c r="O1024" s="7" t="str">
        <f t="shared" si="2"/>
        <v>junio</v>
      </c>
      <c r="P1024" s="7" t="s">
        <v>6200</v>
      </c>
    </row>
    <row r="1025">
      <c r="A1025" s="19">
        <f>'Respuestas de formulario 1'!A1025</f>
        <v>45812.73322</v>
      </c>
      <c r="B1025" s="7" t="str">
        <f>'Respuestas de formulario 1'!B1025</f>
        <v>Gangarrossa</v>
      </c>
      <c r="C1025" s="7" t="str">
        <f>'Respuestas de formulario 1'!C1025</f>
        <v>Franco Albano</v>
      </c>
      <c r="D1025" s="7" t="str">
        <f>'Respuestas de formulario 1'!D1025</f>
        <v>francogangarrossa@gmail.com</v>
      </c>
      <c r="E1025" s="20">
        <f>'Respuestas de formulario 1'!E1025</f>
        <v>-664534</v>
      </c>
      <c r="F1025" s="7">
        <f>'Respuestas de formulario 1'!F1025</f>
        <v>28270703</v>
      </c>
      <c r="G1025" s="7" t="str">
        <f>IFERROR(__xludf.DUMMYFUNCTION("IF('Respuestas de formulario 1'!G1025="""","""",IF(LEFT(REGEXREPLACE(TO_TEXT('Respuestas de formulario 1'!G1025),""[^0-9]"",""""),2)=""54"",""+""&amp;REGEXREPLACE(TO_TEXT('Respuestas de formulario 1'!G1025),""[^0-9]"",""""),""+54""&amp;REGEXREPLACE(TO_TEXT('Respu"&amp;"estas de formulario 1'!G1025),""[^0-9]"","""")))"),"+543515937242")</f>
        <v>+543515937242</v>
      </c>
      <c r="H1025" s="7">
        <f>'Respuestas de formulario 1'!S1025</f>
        <v>2025</v>
      </c>
      <c r="I1025" s="7" t="str">
        <f>IFERROR(__xludf.DUMMYFUNCTION("IF('Respuestas de formulario 1'!I1025="""","""",TO_TEXT('Respuestas de formulario 1'!I1025))"),"Particular")</f>
        <v>Particular</v>
      </c>
      <c r="J1025" s="7" t="str">
        <f>IFERROR(__xludf.DUMMYFUNCTION("IF('Respuestas de formulario 1'!J1025&lt;&gt;"""",UPPER(TRIM(TO_TEXT('Respuestas de formulario 1'!J1025))),IF('Respuestas de formulario 1'!O1025&lt;&gt;"""",UPPER(TRIM(TO_TEXT('Respuestas de formulario 1'!O1025))),""""))"),"")</f>
        <v/>
      </c>
      <c r="K1025" s="7" t="str">
        <f>IFERROR(__xludf.DUMMYFUNCTION("IF('Respuestas de formulario 1'!K1025="""","""",TO_TEXT('Respuestas de formulario 1'!K1025))"),"No")</f>
        <v>No</v>
      </c>
      <c r="L1025" s="7" t="str">
        <f>IFERROR(__xludf.DUMMYFUNCTION("IF('Respuestas de formulario 1'!L1025="""","""",TO_TEXT('Respuestas de formulario 1'!L1025))"),"")</f>
        <v/>
      </c>
      <c r="M1025" s="7" t="str">
        <f>IFERROR(__xludf.DUMMYFUNCTION("IF('Respuestas de formulario 1'!M1025="""","""",TO_TEXT('Respuestas de formulario 1'!M1025))"),"")</f>
        <v/>
      </c>
      <c r="N1025" s="7">
        <f t="shared" si="1"/>
        <v>2025</v>
      </c>
      <c r="O1025" s="7" t="str">
        <f t="shared" si="2"/>
        <v>junio</v>
      </c>
      <c r="P1025" s="7" t="s">
        <v>6202</v>
      </c>
    </row>
    <row r="1026">
      <c r="A1026" s="19">
        <f>'Respuestas de formulario 1'!A1026</f>
        <v>45813.44005</v>
      </c>
      <c r="B1026" s="7" t="str">
        <f>'Respuestas de formulario 1'!B1026</f>
        <v>Vittone</v>
      </c>
      <c r="C1026" s="7" t="str">
        <f>'Respuestas de formulario 1'!C1026</f>
        <v>Silvina</v>
      </c>
      <c r="D1026" s="7" t="str">
        <f>'Respuestas de formulario 1'!D1026</f>
        <v>smvittone@hotmail.com</v>
      </c>
      <c r="E1026" s="20">
        <f>'Respuestas de formulario 1'!E1026</f>
        <v>25571</v>
      </c>
      <c r="F1026" s="7">
        <f>'Respuestas de formulario 1'!F1026</f>
        <v>21402551</v>
      </c>
      <c r="G1026" s="7" t="str">
        <f>IFERROR(__xludf.DUMMYFUNCTION("IF('Respuestas de formulario 1'!G1026="""","""",IF(LEFT(REGEXREPLACE(TO_TEXT('Respuestas de formulario 1'!G1026),""[^0-9]"",""""),2)=""54"",""+""&amp;REGEXREPLACE(TO_TEXT('Respuestas de formulario 1'!G1026),""[^0-9]"",""""),""+54""&amp;REGEXREPLACE(TO_TEXT('Respu"&amp;"estas de formulario 1'!G1026),""[^0-9]"","""")))"),"+543512360848")</f>
        <v>+543512360848</v>
      </c>
      <c r="H1026" s="7">
        <f>'Respuestas de formulario 1'!S1026</f>
        <v>2025</v>
      </c>
      <c r="I1026" s="7" t="str">
        <f>IFERROR(__xludf.DUMMYFUNCTION("IF('Respuestas de formulario 1'!I1026="""","""",TO_TEXT('Respuestas de formulario 1'!I1026))"),"Obra social")</f>
        <v>Obra social</v>
      </c>
      <c r="J1026" s="7" t="str">
        <f>IFERROR(__xludf.DUMMYFUNCTION("IF('Respuestas de formulario 1'!J1026&lt;&gt;"""",UPPER(TRIM(TO_TEXT('Respuestas de formulario 1'!J1026))),IF('Respuestas de formulario 1'!O1026&lt;&gt;"""",UPPER(TRIM(TO_TEXT('Respuestas de formulario 1'!O1026))),""""))"),"APROSS")</f>
        <v>APROSS</v>
      </c>
      <c r="K1026" s="7" t="str">
        <f>IFERROR(__xludf.DUMMYFUNCTION("IF('Respuestas de formulario 1'!K1026="""","""",TO_TEXT('Respuestas de formulario 1'!K1026))"),"Si")</f>
        <v>Si</v>
      </c>
      <c r="L1026" s="7" t="str">
        <f>IFERROR(__xludf.DUMMYFUNCTION("IF('Respuestas de formulario 1'!L1026="""","""",TO_TEXT('Respuestas de formulario 1'!L1026))"),"Fútbol")</f>
        <v>Fútbol</v>
      </c>
      <c r="M1026" s="7" t="str">
        <f>IFERROR(__xludf.DUMMYFUNCTION("IF('Respuestas de formulario 1'!M1026="""","""",TO_TEXT('Respuestas de formulario 1'!M1026))"),"3 a 5 veces por semana")</f>
        <v>3 a 5 veces por semana</v>
      </c>
      <c r="N1026" s="7">
        <f t="shared" si="1"/>
        <v>2025</v>
      </c>
      <c r="O1026" s="7" t="str">
        <f t="shared" si="2"/>
        <v>junio</v>
      </c>
      <c r="P1026" s="7" t="s">
        <v>6204</v>
      </c>
    </row>
    <row r="1027">
      <c r="A1027" s="19">
        <f>'Respuestas de formulario 1'!A1027</f>
        <v>45813.63876</v>
      </c>
      <c r="B1027" s="7" t="str">
        <f>'Respuestas de formulario 1'!B1027</f>
        <v>Strasorier</v>
      </c>
      <c r="C1027" s="7" t="str">
        <f>'Respuestas de formulario 1'!C1027</f>
        <v>Santiago</v>
      </c>
      <c r="D1027" s="7" t="str">
        <f>'Respuestas de formulario 1'!D1027</f>
        <v>Santistraso123@gmail.com</v>
      </c>
      <c r="E1027" s="20">
        <f>'Respuestas de formulario 1'!E1027</f>
        <v>36532</v>
      </c>
      <c r="F1027" s="7">
        <f>'Respuestas de formulario 1'!F1027</f>
        <v>42336654</v>
      </c>
      <c r="G1027" s="7" t="str">
        <f>IFERROR(__xludf.DUMMYFUNCTION("IF('Respuestas de formulario 1'!G1027="""","""",IF(LEFT(REGEXREPLACE(TO_TEXT('Respuestas de formulario 1'!G1027),""[^0-9]"",""""),2)=""54"",""+""&amp;REGEXREPLACE(TO_TEXT('Respuestas de formulario 1'!G1027),""[^0-9]"",""""),""+54""&amp;REGEXREPLACE(TO_TEXT('Respu"&amp;"estas de formulario 1'!G1027),""[^0-9]"","""")))"),"+541130122089")</f>
        <v>+541130122089</v>
      </c>
      <c r="H1027" s="7">
        <f>'Respuestas de formulario 1'!S1027</f>
        <v>2025</v>
      </c>
      <c r="I1027" s="7" t="str">
        <f>IFERROR(__xludf.DUMMYFUNCTION("IF('Respuestas de formulario 1'!I1027="""","""",TO_TEXT('Respuestas de formulario 1'!I1027))"),"Particular")</f>
        <v>Particular</v>
      </c>
      <c r="J1027" s="7" t="str">
        <f>IFERROR(__xludf.DUMMYFUNCTION("IF('Respuestas de formulario 1'!J1027&lt;&gt;"""",UPPER(TRIM(TO_TEXT('Respuestas de formulario 1'!J1027))),IF('Respuestas de formulario 1'!O1027&lt;&gt;"""",UPPER(TRIM(TO_TEXT('Respuestas de formulario 1'!O1027))),""""))"),"")</f>
        <v/>
      </c>
      <c r="K1027" s="7" t="str">
        <f>IFERROR(__xludf.DUMMYFUNCTION("IF('Respuestas de formulario 1'!K1027="""","""",TO_TEXT('Respuestas de formulario 1'!K1027))"),"Si")</f>
        <v>Si</v>
      </c>
      <c r="L1027" s="7" t="str">
        <f>IFERROR(__xludf.DUMMYFUNCTION("IF('Respuestas de formulario 1'!L1027="""","""",TO_TEXT('Respuestas de formulario 1'!L1027))"),"Fútbol")</f>
        <v>Fútbol</v>
      </c>
      <c r="M1027" s="7" t="str">
        <f>IFERROR(__xludf.DUMMYFUNCTION("IF('Respuestas de formulario 1'!M1027="""","""",TO_TEXT('Respuestas de formulario 1'!M1027))"),"6 a 7 veces por semana")</f>
        <v>6 a 7 veces por semana</v>
      </c>
      <c r="N1027" s="7">
        <f t="shared" si="1"/>
        <v>2025</v>
      </c>
      <c r="O1027" s="7" t="str">
        <f t="shared" si="2"/>
        <v>junio</v>
      </c>
      <c r="P1027" s="7" t="s">
        <v>6206</v>
      </c>
    </row>
    <row r="1028">
      <c r="A1028" s="19">
        <f>'Respuestas de formulario 1'!A1028</f>
        <v>45814.51058</v>
      </c>
      <c r="B1028" s="7" t="str">
        <f>'Respuestas de formulario 1'!B1028</f>
        <v>Krivoruk</v>
      </c>
      <c r="C1028" s="7" t="str">
        <f>'Respuestas de formulario 1'!C1028</f>
        <v>Raul</v>
      </c>
      <c r="D1028" s="7" t="str">
        <f>'Respuestas de formulario 1'!D1028</f>
        <v>raulikrivoruk@gmail.com</v>
      </c>
      <c r="E1028" s="20">
        <f>'Respuestas de formulario 1'!E1028</f>
        <v>-348284</v>
      </c>
      <c r="F1028" s="7">
        <f>'Respuestas de formulario 1'!F1028</f>
        <v>7990729</v>
      </c>
      <c r="G1028" s="7" t="str">
        <f>IFERROR(__xludf.DUMMYFUNCTION("IF('Respuestas de formulario 1'!G1028="""","""",IF(LEFT(REGEXREPLACE(TO_TEXT('Respuestas de formulario 1'!G1028),""[^0-9]"",""""),2)=""54"",""+""&amp;REGEXREPLACE(TO_TEXT('Respuestas de formulario 1'!G1028),""[^0-9]"",""""),""+54""&amp;REGEXREPLACE(TO_TEXT('Respu"&amp;"estas de formulario 1'!G1028),""[^0-9]"","""")))"),"+543512021681")</f>
        <v>+543512021681</v>
      </c>
      <c r="H1028" s="7">
        <f>'Respuestas de formulario 1'!S1028</f>
        <v>2025</v>
      </c>
      <c r="I1028" s="7" t="str">
        <f>IFERROR(__xludf.DUMMYFUNCTION("IF('Respuestas de formulario 1'!I1028="""","""",TO_TEXT('Respuestas de formulario 1'!I1028))"),"Particular")</f>
        <v>Particular</v>
      </c>
      <c r="J1028" s="7" t="str">
        <f>IFERROR(__xludf.DUMMYFUNCTION("IF('Respuestas de formulario 1'!J1028&lt;&gt;"""",UPPER(TRIM(TO_TEXT('Respuestas de formulario 1'!J1028))),IF('Respuestas de formulario 1'!O1028&lt;&gt;"""",UPPER(TRIM(TO_TEXT('Respuestas de formulario 1'!O1028))),""""))"),"")</f>
        <v/>
      </c>
      <c r="K1028" s="7" t="str">
        <f>IFERROR(__xludf.DUMMYFUNCTION("IF('Respuestas de formulario 1'!K1028="""","""",TO_TEXT('Respuestas de formulario 1'!K1028))"),"Si")</f>
        <v>Si</v>
      </c>
      <c r="L1028" s="7" t="str">
        <f>IFERROR(__xludf.DUMMYFUNCTION("IF('Respuestas de formulario 1'!L1028="""","""",TO_TEXT('Respuestas de formulario 1'!L1028))"),"Karate")</f>
        <v>Karate</v>
      </c>
      <c r="M1028" s="7" t="str">
        <f>IFERROR(__xludf.DUMMYFUNCTION("IF('Respuestas de formulario 1'!M1028="""","""",TO_TEXT('Respuestas de formulario 1'!M1028))"),"1 a 2 veces por semana")</f>
        <v>1 a 2 veces por semana</v>
      </c>
      <c r="N1028" s="7">
        <f t="shared" si="1"/>
        <v>2025</v>
      </c>
      <c r="O1028" s="7" t="str">
        <f t="shared" si="2"/>
        <v>junio</v>
      </c>
      <c r="P1028" s="7" t="s">
        <v>6208</v>
      </c>
    </row>
    <row r="1029">
      <c r="A1029" s="19">
        <f>'Respuestas de formulario 1'!A1029</f>
        <v>45818.53208</v>
      </c>
      <c r="B1029" s="7" t="str">
        <f>'Respuestas de formulario 1'!B1029</f>
        <v>Martinez Tello</v>
      </c>
      <c r="C1029" s="7" t="str">
        <f>'Respuestas de formulario 1'!C1029</f>
        <v>Juliana </v>
      </c>
      <c r="D1029" s="7" t="str">
        <f>'Respuestas de formulario 1'!D1029</f>
        <v>vat198138@gmail.com</v>
      </c>
      <c r="E1029" s="20">
        <f>'Respuestas de formulario 1'!E1029</f>
        <v>41427</v>
      </c>
      <c r="F1029" s="21">
        <f>'Respuestas de formulario 1'!F1029</f>
        <v>53076154</v>
      </c>
      <c r="G1029" s="7" t="str">
        <f>IFERROR(__xludf.DUMMYFUNCTION("IF('Respuestas de formulario 1'!G1029="""","""",IF(LEFT(REGEXREPLACE(TO_TEXT('Respuestas de formulario 1'!G1029),""[^0-9]"",""""),2)=""54"",""+""&amp;REGEXREPLACE(TO_TEXT('Respuestas de formulario 1'!G1029),""[^0-9]"",""""),""+54""&amp;REGEXREPLACE(TO_TEXT('Respu"&amp;"estas de formulario 1'!G1029),""[^0-9]"","""")))"),"+543515116806")</f>
        <v>+543515116806</v>
      </c>
      <c r="H1029" s="7">
        <f>'Respuestas de formulario 1'!S1029</f>
        <v>2025</v>
      </c>
      <c r="I1029" s="7" t="str">
        <f>IFERROR(__xludf.DUMMYFUNCTION("IF('Respuestas de formulario 1'!I1029="""","""",TO_TEXT('Respuestas de formulario 1'!I1029))"),"Particular")</f>
        <v>Particular</v>
      </c>
      <c r="J1029" s="7" t="str">
        <f>IFERROR(__xludf.DUMMYFUNCTION("IF('Respuestas de formulario 1'!J1029&lt;&gt;"""",UPPER(TRIM(TO_TEXT('Respuestas de formulario 1'!J1029))),IF('Respuestas de formulario 1'!O1029&lt;&gt;"""",UPPER(TRIM(TO_TEXT('Respuestas de formulario 1'!O1029))),""""))"),"")</f>
        <v/>
      </c>
      <c r="K1029" s="7" t="str">
        <f>IFERROR(__xludf.DUMMYFUNCTION("IF('Respuestas de formulario 1'!K1029="""","""",TO_TEXT('Respuestas de formulario 1'!K1029))"),"Si")</f>
        <v>Si</v>
      </c>
      <c r="L1029" s="7" t="str">
        <f>IFERROR(__xludf.DUMMYFUNCTION("IF('Respuestas de formulario 1'!L1029="""","""",TO_TEXT('Respuestas de formulario 1'!L1029))"),"Voley")</f>
        <v>Voley</v>
      </c>
      <c r="M1029" s="7" t="str">
        <f>IFERROR(__xludf.DUMMYFUNCTION("IF('Respuestas de formulario 1'!M1029="""","""",TO_TEXT('Respuestas de formulario 1'!M1029))"),"3 a 5 veces por semana")</f>
        <v>3 a 5 veces por semana</v>
      </c>
      <c r="N1029" s="7">
        <f t="shared" si="1"/>
        <v>2025</v>
      </c>
      <c r="O1029" s="7" t="str">
        <f t="shared" si="2"/>
        <v>junio</v>
      </c>
      <c r="P1029" s="7" t="s">
        <v>6210</v>
      </c>
    </row>
    <row r="1030">
      <c r="A1030" s="19">
        <f>'Respuestas de formulario 1'!A1030</f>
        <v>45818.57044</v>
      </c>
      <c r="B1030" s="7" t="str">
        <f>'Respuestas de formulario 1'!B1030</f>
        <v>JUAN</v>
      </c>
      <c r="C1030" s="7" t="str">
        <f>'Respuestas de formulario 1'!C1030</f>
        <v>Alejandro</v>
      </c>
      <c r="D1030" s="7" t="str">
        <f>'Respuestas de formulario 1'!D1030</f>
        <v>alejandrojuan@live.com</v>
      </c>
      <c r="E1030" s="20">
        <f>'Respuestas de formulario 1'!E1030</f>
        <v>29999</v>
      </c>
      <c r="F1030" s="7">
        <f>'Respuestas de formulario 1'!F1030</f>
        <v>29254903</v>
      </c>
      <c r="G1030" s="7" t="str">
        <f>IFERROR(__xludf.DUMMYFUNCTION("IF('Respuestas de formulario 1'!G1030="""","""",IF(LEFT(REGEXREPLACE(TO_TEXT('Respuestas de formulario 1'!G1030),""[^0-9]"",""""),2)=""54"",""+""&amp;REGEXREPLACE(TO_TEXT('Respuestas de formulario 1'!G1030),""[^0-9]"",""""),""+54""&amp;REGEXREPLACE(TO_TEXT('Respu"&amp;"estas de formulario 1'!G1030),""[^0-9]"","""")))"),"+543516208900")</f>
        <v>+543516208900</v>
      </c>
      <c r="H1030" s="7">
        <f>'Respuestas de formulario 1'!S1030</f>
        <v>2025</v>
      </c>
      <c r="I1030" s="7" t="str">
        <f>IFERROR(__xludf.DUMMYFUNCTION("IF('Respuestas de formulario 1'!I1030="""","""",TO_TEXT('Respuestas de formulario 1'!I1030))"),"Particular")</f>
        <v>Particular</v>
      </c>
      <c r="J1030" s="7" t="str">
        <f>IFERROR(__xludf.DUMMYFUNCTION("IF('Respuestas de formulario 1'!J1030&lt;&gt;"""",UPPER(TRIM(TO_TEXT('Respuestas de formulario 1'!J1030))),IF('Respuestas de formulario 1'!O1030&lt;&gt;"""",UPPER(TRIM(TO_TEXT('Respuestas de formulario 1'!O1030))),""""))"),"")</f>
        <v/>
      </c>
      <c r="K1030" s="7" t="str">
        <f>IFERROR(__xludf.DUMMYFUNCTION("IF('Respuestas de formulario 1'!K1030="""","""",TO_TEXT('Respuestas de formulario 1'!K1030))"),"Si")</f>
        <v>Si</v>
      </c>
      <c r="L1030" s="7" t="str">
        <f>IFERROR(__xludf.DUMMYFUNCTION("IF('Respuestas de formulario 1'!L1030="""","""",TO_TEXT('Respuestas de formulario 1'!L1030))"),"Fútbol")</f>
        <v>Fútbol</v>
      </c>
      <c r="M1030" s="7" t="str">
        <f>IFERROR(__xludf.DUMMYFUNCTION("IF('Respuestas de formulario 1'!M1030="""","""",TO_TEXT('Respuestas de formulario 1'!M1030))"),"1 a 2 veces por semana")</f>
        <v>1 a 2 veces por semana</v>
      </c>
      <c r="N1030" s="7">
        <f t="shared" si="1"/>
        <v>2025</v>
      </c>
      <c r="O1030" s="7" t="str">
        <f t="shared" si="2"/>
        <v>junio</v>
      </c>
      <c r="P1030" s="7" t="s">
        <v>6211</v>
      </c>
    </row>
    <row r="1031">
      <c r="A1031" s="19">
        <f>'Respuestas de formulario 1'!A1031</f>
        <v>45818.76332</v>
      </c>
      <c r="B1031" s="7" t="str">
        <f>'Respuestas de formulario 1'!B1031</f>
        <v>Juan</v>
      </c>
      <c r="C1031" s="7" t="str">
        <f>'Respuestas de formulario 1'!C1031</f>
        <v>Alejandro</v>
      </c>
      <c r="D1031" s="7" t="str">
        <f>'Respuestas de formulario 1'!D1031</f>
        <v/>
      </c>
      <c r="E1031" s="20">
        <f>'Respuestas de formulario 1'!E1031</f>
        <v>29999</v>
      </c>
      <c r="F1031" s="7">
        <f>'Respuestas de formulario 1'!F1031</f>
        <v>29254903</v>
      </c>
      <c r="G1031" s="7" t="str">
        <f>IFERROR(__xludf.DUMMYFUNCTION("IF('Respuestas de formulario 1'!G1031="""","""",IF(LEFT(REGEXREPLACE(TO_TEXT('Respuestas de formulario 1'!G1031),""[^0-9]"",""""),2)=""54"",""+""&amp;REGEXREPLACE(TO_TEXT('Respuestas de formulario 1'!G1031),""[^0-9]"",""""),""+54""&amp;REGEXREPLACE(TO_TEXT('Respu"&amp;"estas de formulario 1'!G1031),""[^0-9]"","""")))"),"+543516208900")</f>
        <v>+543516208900</v>
      </c>
      <c r="H1031" s="7">
        <f>'Respuestas de formulario 1'!S1031</f>
        <v>2025</v>
      </c>
      <c r="I1031" s="7" t="str">
        <f>IFERROR(__xludf.DUMMYFUNCTION("IF('Respuestas de formulario 1'!I1031="""","""",TO_TEXT('Respuestas de formulario 1'!I1031))"),"Particular")</f>
        <v>Particular</v>
      </c>
      <c r="J1031" s="7" t="str">
        <f>IFERROR(__xludf.DUMMYFUNCTION("IF('Respuestas de formulario 1'!J1031&lt;&gt;"""",UPPER(TRIM(TO_TEXT('Respuestas de formulario 1'!J1031))),IF('Respuestas de formulario 1'!O1031&lt;&gt;"""",UPPER(TRIM(TO_TEXT('Respuestas de formulario 1'!O1031))),""""))"),"")</f>
        <v/>
      </c>
      <c r="K1031" s="7" t="str">
        <f>IFERROR(__xludf.DUMMYFUNCTION("IF('Respuestas de formulario 1'!K1031="""","""",TO_TEXT('Respuestas de formulario 1'!K1031))"),"Si")</f>
        <v>Si</v>
      </c>
      <c r="L1031" s="7" t="str">
        <f>IFERROR(__xludf.DUMMYFUNCTION("IF('Respuestas de formulario 1'!L1031="""","""",TO_TEXT('Respuestas de formulario 1'!L1031))"),"Fútbol")</f>
        <v>Fútbol</v>
      </c>
      <c r="M1031" s="7" t="str">
        <f>IFERROR(__xludf.DUMMYFUNCTION("IF('Respuestas de formulario 1'!M1031="""","""",TO_TEXT('Respuestas de formulario 1'!M1031))"),"1 a 2 veces por semana")</f>
        <v>1 a 2 veces por semana</v>
      </c>
      <c r="N1031" s="7">
        <f t="shared" si="1"/>
        <v>2025</v>
      </c>
      <c r="O1031" s="7" t="str">
        <f t="shared" si="2"/>
        <v>junio</v>
      </c>
      <c r="P1031" s="7" t="s">
        <v>6213</v>
      </c>
    </row>
    <row r="1032">
      <c r="A1032" s="19">
        <f>'Respuestas de formulario 1'!A1032</f>
        <v>45818.79612</v>
      </c>
      <c r="B1032" s="7" t="str">
        <f>'Respuestas de formulario 1'!B1032</f>
        <v>Bondio</v>
      </c>
      <c r="C1032" s="7" t="str">
        <f>'Respuestas de formulario 1'!C1032</f>
        <v>Luis</v>
      </c>
      <c r="D1032" s="7" t="str">
        <f>'Respuestas de formulario 1'!D1032</f>
        <v/>
      </c>
      <c r="E1032" s="20">
        <f>'Respuestas de formulario 1'!E1032</f>
        <v>31097</v>
      </c>
      <c r="F1032" s="7">
        <f>'Respuestas de formulario 1'!F1032</f>
        <v>31357652</v>
      </c>
      <c r="G1032" s="7" t="str">
        <f>IFERROR(__xludf.DUMMYFUNCTION("IF('Respuestas de formulario 1'!G1032="""","""",IF(LEFT(REGEXREPLACE(TO_TEXT('Respuestas de formulario 1'!G1032),""[^0-9]"",""""),2)=""54"",""+""&amp;REGEXREPLACE(TO_TEXT('Respuestas de formulario 1'!G1032),""[^0-9]"",""""),""+54""&amp;REGEXREPLACE(TO_TEXT('Respu"&amp;"estas de formulario 1'!G1032),""[^0-9]"","""")))"),"+543512374665")</f>
        <v>+543512374665</v>
      </c>
      <c r="H1032" s="7">
        <f>'Respuestas de formulario 1'!S1032</f>
        <v>2025</v>
      </c>
      <c r="I1032" s="7" t="str">
        <f>IFERROR(__xludf.DUMMYFUNCTION("IF('Respuestas de formulario 1'!I1032="""","""",TO_TEXT('Respuestas de formulario 1'!I1032))"),"Particular")</f>
        <v>Particular</v>
      </c>
      <c r="J1032" s="7" t="str">
        <f>IFERROR(__xludf.DUMMYFUNCTION("IF('Respuestas de formulario 1'!J1032&lt;&gt;"""",UPPER(TRIM(TO_TEXT('Respuestas de formulario 1'!J1032))),IF('Respuestas de formulario 1'!O1032&lt;&gt;"""",UPPER(TRIM(TO_TEXT('Respuestas de formulario 1'!O1032))),""""))"),"")</f>
        <v/>
      </c>
      <c r="K1032" s="7" t="str">
        <f>IFERROR(__xludf.DUMMYFUNCTION("IF('Respuestas de formulario 1'!K1032="""","""",TO_TEXT('Respuestas de formulario 1'!K1032))"),"Si")</f>
        <v>Si</v>
      </c>
      <c r="L1032" s="7" t="str">
        <f>IFERROR(__xludf.DUMMYFUNCTION("IF('Respuestas de formulario 1'!L1032="""","""",TO_TEXT('Respuestas de formulario 1'!L1032))"),"Running")</f>
        <v>Running</v>
      </c>
      <c r="M1032" s="7" t="str">
        <f>IFERROR(__xludf.DUMMYFUNCTION("IF('Respuestas de formulario 1'!M1032="""","""",TO_TEXT('Respuestas de formulario 1'!M1032))"),"3 a 5 veces por semana")</f>
        <v>3 a 5 veces por semana</v>
      </c>
      <c r="N1032" s="7">
        <f t="shared" si="1"/>
        <v>2025</v>
      </c>
      <c r="O1032" s="7" t="str">
        <f t="shared" si="2"/>
        <v>junio</v>
      </c>
      <c r="P1032" s="7" t="s">
        <v>4647</v>
      </c>
    </row>
    <row r="1033">
      <c r="A1033" s="19">
        <f>'Respuestas de formulario 1'!A1033</f>
        <v>45821.74874</v>
      </c>
      <c r="B1033" s="7" t="str">
        <f>'Respuestas de formulario 1'!B1033</f>
        <v>Guillen</v>
      </c>
      <c r="C1033" s="7" t="str">
        <f>'Respuestas de formulario 1'!C1033</f>
        <v>Francisco</v>
      </c>
      <c r="D1033" s="7" t="str">
        <f>'Respuestas de formulario 1'!D1033</f>
        <v>fgguillen@hotmail.com</v>
      </c>
      <c r="E1033" s="20">
        <f>'Respuestas de formulario 1'!E1033</f>
        <v>28978</v>
      </c>
      <c r="F1033" s="7">
        <f>'Respuestas de formulario 1'!F1033</f>
        <v>27248456</v>
      </c>
      <c r="G1033" s="7" t="str">
        <f>IFERROR(__xludf.DUMMYFUNCTION("IF('Respuestas de formulario 1'!G1033="""","""",IF(LEFT(REGEXREPLACE(TO_TEXT('Respuestas de formulario 1'!G1033),""[^0-9]"",""""),2)=""54"",""+""&amp;REGEXREPLACE(TO_TEXT('Respuestas de formulario 1'!G1033),""[^0-9]"",""""),""+54""&amp;REGEXREPLACE(TO_TEXT('Respu"&amp;"estas de formulario 1'!G1033),""[^0-9]"","""")))"),"+543518377000")</f>
        <v>+543518377000</v>
      </c>
      <c r="H1033" s="7">
        <f>'Respuestas de formulario 1'!S1033</f>
        <v>2025</v>
      </c>
      <c r="I1033" s="7" t="str">
        <f>IFERROR(__xludf.DUMMYFUNCTION("IF('Respuestas de formulario 1'!I1033="""","""",TO_TEXT('Respuestas de formulario 1'!I1033))"),"Particular")</f>
        <v>Particular</v>
      </c>
      <c r="J1033" s="7" t="str">
        <f>IFERROR(__xludf.DUMMYFUNCTION("IF('Respuestas de formulario 1'!J1033&lt;&gt;"""",UPPER(TRIM(TO_TEXT('Respuestas de formulario 1'!J1033))),IF('Respuestas de formulario 1'!O1033&lt;&gt;"""",UPPER(TRIM(TO_TEXT('Respuestas de formulario 1'!O1033))),""""))"),"")</f>
        <v/>
      </c>
      <c r="K1033" s="7" t="str">
        <f>IFERROR(__xludf.DUMMYFUNCTION("IF('Respuestas de formulario 1'!K1033="""","""",TO_TEXT('Respuestas de formulario 1'!K1033))"),"Si")</f>
        <v>Si</v>
      </c>
      <c r="L1033" s="7" t="str">
        <f>IFERROR(__xludf.DUMMYFUNCTION("IF('Respuestas de formulario 1'!L1033="""","""",TO_TEXT('Respuestas de formulario 1'!L1033))"),"Fútbol")</f>
        <v>Fútbol</v>
      </c>
      <c r="M1033" s="7" t="str">
        <f>IFERROR(__xludf.DUMMYFUNCTION("IF('Respuestas de formulario 1'!M1033="""","""",TO_TEXT('Respuestas de formulario 1'!M1033))"),"1 a 2 veces por semana")</f>
        <v>1 a 2 veces por semana</v>
      </c>
      <c r="N1033" s="7">
        <f t="shared" si="1"/>
        <v>2025</v>
      </c>
      <c r="O1033" s="7" t="str">
        <f t="shared" si="2"/>
        <v>junio</v>
      </c>
      <c r="P1033" s="7" t="s">
        <v>6214</v>
      </c>
    </row>
    <row r="1034">
      <c r="A1034" s="19">
        <f>'Respuestas de formulario 1'!A1034</f>
        <v>45821.84758</v>
      </c>
      <c r="B1034" s="7" t="str">
        <f>'Respuestas de formulario 1'!B1034</f>
        <v>Perez Dopazo</v>
      </c>
      <c r="C1034" s="7" t="str">
        <f>'Respuestas de formulario 1'!C1034</f>
        <v>Martha Viviana</v>
      </c>
      <c r="D1034" s="7" t="str">
        <f>'Respuestas de formulario 1'!D1034</f>
        <v>Mpdopazo@hotmail.com</v>
      </c>
      <c r="E1034" s="20">
        <f>'Respuestas de formulario 1'!E1034</f>
        <v>27010</v>
      </c>
      <c r="F1034" s="7">
        <f>'Respuestas de formulario 1'!F1034</f>
        <v>23821145</v>
      </c>
      <c r="G1034" s="7" t="str">
        <f>IFERROR(__xludf.DUMMYFUNCTION("IF('Respuestas de formulario 1'!G1034="""","""",IF(LEFT(REGEXREPLACE(TO_TEXT('Respuestas de formulario 1'!G1034),""[^0-9]"",""""),2)=""54"",""+""&amp;REGEXREPLACE(TO_TEXT('Respuestas de formulario 1'!G1034),""[^0-9]"",""""),""+54""&amp;REGEXREPLACE(TO_TEXT('Respu"&amp;"estas de formulario 1'!G1034),""[^0-9]"","""")))"),"+543513193958")</f>
        <v>+543513193958</v>
      </c>
      <c r="H1034" s="7">
        <f>'Respuestas de formulario 1'!S1034</f>
        <v>2025</v>
      </c>
      <c r="I1034" s="7" t="str">
        <f>IFERROR(__xludf.DUMMYFUNCTION("IF('Respuestas de formulario 1'!I1034="""","""",TO_TEXT('Respuestas de formulario 1'!I1034))"),"Obra social")</f>
        <v>Obra social</v>
      </c>
      <c r="J1034" s="7" t="str">
        <f>IFERROR(__xludf.DUMMYFUNCTION("IF('Respuestas de formulario 1'!J1034&lt;&gt;"""",UPPER(TRIM(TO_TEXT('Respuestas de formulario 1'!J1034))),IF('Respuestas de formulario 1'!O1034&lt;&gt;"""",UPPER(TRIM(TO_TEXT('Respuestas de formulario 1'!O1034))),""""))"),"CPCE")</f>
        <v>CPCE</v>
      </c>
      <c r="K1034" s="7" t="str">
        <f>IFERROR(__xludf.DUMMYFUNCTION("IF('Respuestas de formulario 1'!K1034="""","""",TO_TEXT('Respuestas de formulario 1'!K1034))"),"No")</f>
        <v>No</v>
      </c>
      <c r="L1034" s="7" t="str">
        <f>IFERROR(__xludf.DUMMYFUNCTION("IF('Respuestas de formulario 1'!L1034="""","""",TO_TEXT('Respuestas de formulario 1'!L1034))"),"")</f>
        <v/>
      </c>
      <c r="M1034" s="7" t="str">
        <f>IFERROR(__xludf.DUMMYFUNCTION("IF('Respuestas de formulario 1'!M1034="""","""",TO_TEXT('Respuestas de formulario 1'!M1034))"),"")</f>
        <v/>
      </c>
      <c r="N1034" s="7">
        <f t="shared" si="1"/>
        <v>2025</v>
      </c>
      <c r="O1034" s="7" t="str">
        <f t="shared" si="2"/>
        <v>junio</v>
      </c>
      <c r="P1034" s="7" t="s">
        <v>6216</v>
      </c>
    </row>
    <row r="1035">
      <c r="A1035" s="19">
        <f>'Respuestas de formulario 1'!A1035</f>
        <v>45821.84965</v>
      </c>
      <c r="B1035" s="7" t="str">
        <f>'Respuestas de formulario 1'!B1035</f>
        <v>Perez Dopazo</v>
      </c>
      <c r="C1035" s="7" t="str">
        <f>'Respuestas de formulario 1'!C1035</f>
        <v>Martha Viviana</v>
      </c>
      <c r="D1035" s="7" t="str">
        <f>'Respuestas de formulario 1'!D1035</f>
        <v>Mpdopazo@hotmail.com</v>
      </c>
      <c r="E1035" s="20">
        <f>'Respuestas de formulario 1'!E1035</f>
        <v>25914</v>
      </c>
      <c r="F1035" s="7">
        <f>'Respuestas de formulario 1'!F1035</f>
        <v>23821145</v>
      </c>
      <c r="G1035" s="7" t="str">
        <f>IFERROR(__xludf.DUMMYFUNCTION("IF('Respuestas de formulario 1'!G1035="""","""",IF(LEFT(REGEXREPLACE(TO_TEXT('Respuestas de formulario 1'!G1035),""[^0-9]"",""""),2)=""54"",""+""&amp;REGEXREPLACE(TO_TEXT('Respuestas de formulario 1'!G1035),""[^0-9]"",""""),""+54""&amp;REGEXREPLACE(TO_TEXT('Respu"&amp;"estas de formulario 1'!G1035),""[^0-9]"","""")))"),"+543513193958")</f>
        <v>+543513193958</v>
      </c>
      <c r="H1035" s="7">
        <f>'Respuestas de formulario 1'!S1035</f>
        <v>2025</v>
      </c>
      <c r="I1035" s="7" t="str">
        <f>IFERROR(__xludf.DUMMYFUNCTION("IF('Respuestas de formulario 1'!I1035="""","""",TO_TEXT('Respuestas de formulario 1'!I1035))"),"Obra social")</f>
        <v>Obra social</v>
      </c>
      <c r="J1035" s="7" t="str">
        <f>IFERROR(__xludf.DUMMYFUNCTION("IF('Respuestas de formulario 1'!J1035&lt;&gt;"""",UPPER(TRIM(TO_TEXT('Respuestas de formulario 1'!J1035))),IF('Respuestas de formulario 1'!O1035&lt;&gt;"""",UPPER(TRIM(TO_TEXT('Respuestas de formulario 1'!O1035))),""""))"),"CPCE")</f>
        <v>CPCE</v>
      </c>
      <c r="K1035" s="7" t="str">
        <f>IFERROR(__xludf.DUMMYFUNCTION("IF('Respuestas de formulario 1'!K1035="""","""",TO_TEXT('Respuestas de formulario 1'!K1035))"),"No")</f>
        <v>No</v>
      </c>
      <c r="L1035" s="7" t="str">
        <f>IFERROR(__xludf.DUMMYFUNCTION("IF('Respuestas de formulario 1'!L1035="""","""",TO_TEXT('Respuestas de formulario 1'!L1035))"),"")</f>
        <v/>
      </c>
      <c r="M1035" s="7" t="str">
        <f>IFERROR(__xludf.DUMMYFUNCTION("IF('Respuestas de formulario 1'!M1035="""","""",TO_TEXT('Respuestas de formulario 1'!M1035))"),"")</f>
        <v/>
      </c>
      <c r="N1035" s="7">
        <f t="shared" si="1"/>
        <v>2025</v>
      </c>
      <c r="O1035" s="7" t="str">
        <f t="shared" si="2"/>
        <v>junio</v>
      </c>
      <c r="P1035" s="7" t="s">
        <v>6216</v>
      </c>
    </row>
    <row r="1036">
      <c r="A1036" s="19">
        <f>'Respuestas de formulario 1'!A1036</f>
        <v>45825.76052</v>
      </c>
      <c r="B1036" s="7" t="str">
        <f>'Respuestas de formulario 1'!B1036</f>
        <v>Buffa</v>
      </c>
      <c r="C1036" s="7" t="str">
        <f>'Respuestas de formulario 1'!C1036</f>
        <v>Luis</v>
      </c>
      <c r="D1036" s="7" t="str">
        <f>'Respuestas de formulario 1'!D1036</f>
        <v>luisbuffa6@gmail.com </v>
      </c>
      <c r="E1036" s="20">
        <f>'Respuestas de formulario 1'!E1036</f>
        <v>26269</v>
      </c>
      <c r="F1036" s="7">
        <f>'Respuestas de formulario 1'!F1036</f>
        <v>23440418</v>
      </c>
      <c r="G1036" s="7" t="str">
        <f>IFERROR(__xludf.DUMMYFUNCTION("IF('Respuestas de formulario 1'!G1036="""","""",IF(LEFT(REGEXREPLACE(TO_TEXT('Respuestas de formulario 1'!G1036),""[^0-9]"",""""),2)=""54"",""+""&amp;REGEXREPLACE(TO_TEXT('Respuestas de formulario 1'!G1036),""[^0-9]"",""""),""+54""&amp;REGEXREPLACE(TO_TEXT('Respu"&amp;"estas de formulario 1'!G1036),""[^0-9]"","""")))"),"+543513718449")</f>
        <v>+543513718449</v>
      </c>
      <c r="H1036" s="7">
        <f>'Respuestas de formulario 1'!S1036</f>
        <v>2025</v>
      </c>
      <c r="I1036" s="7" t="str">
        <f>IFERROR(__xludf.DUMMYFUNCTION("IF('Respuestas de formulario 1'!I1036="""","""",TO_TEXT('Respuestas de formulario 1'!I1036))"),"Obra social")</f>
        <v>Obra social</v>
      </c>
      <c r="J1036" s="7" t="str">
        <f>IFERROR(__xludf.DUMMYFUNCTION("IF('Respuestas de formulario 1'!J1036&lt;&gt;"""",UPPER(TRIM(TO_TEXT('Respuestas de formulario 1'!J1036))),IF('Respuestas de formulario 1'!O1036&lt;&gt;"""",UPPER(TRIM(TO_TEXT('Respuestas de formulario 1'!O1036))),""""))"),"PREVENCIÓN")</f>
        <v>PREVENCIÓN</v>
      </c>
      <c r="K1036" s="7" t="str">
        <f>IFERROR(__xludf.DUMMYFUNCTION("IF('Respuestas de formulario 1'!K1036="""","""",TO_TEXT('Respuestas de formulario 1'!K1036))"),"No")</f>
        <v>No</v>
      </c>
      <c r="L1036" s="7" t="str">
        <f>IFERROR(__xludf.DUMMYFUNCTION("IF('Respuestas de formulario 1'!L1036="""","""",TO_TEXT('Respuestas de formulario 1'!L1036))"),"")</f>
        <v/>
      </c>
      <c r="M1036" s="7" t="str">
        <f>IFERROR(__xludf.DUMMYFUNCTION("IF('Respuestas de formulario 1'!M1036="""","""",TO_TEXT('Respuestas de formulario 1'!M1036))"),"")</f>
        <v/>
      </c>
      <c r="N1036" s="7">
        <f t="shared" si="1"/>
        <v>2025</v>
      </c>
      <c r="O1036" s="7" t="str">
        <f t="shared" si="2"/>
        <v>junio</v>
      </c>
      <c r="P1036" s="7" t="s">
        <v>6218</v>
      </c>
    </row>
    <row r="1037">
      <c r="A1037" s="19">
        <f>'Respuestas de formulario 1'!A1037</f>
        <v>45825.79551</v>
      </c>
      <c r="B1037" s="7" t="str">
        <f>'Respuestas de formulario 1'!B1037</f>
        <v>Pedacchia</v>
      </c>
      <c r="C1037" s="7" t="str">
        <f>'Respuestas de formulario 1'!C1037</f>
        <v>Agustin</v>
      </c>
      <c r="D1037" s="7" t="str">
        <f>'Respuestas de formulario 1'!D1037</f>
        <v>Agustinpedacchia@gmail.com</v>
      </c>
      <c r="E1037" s="20">
        <f>'Respuestas de formulario 1'!E1037</f>
        <v>30961</v>
      </c>
      <c r="F1037" s="7">
        <f>'Respuestas de formulario 1'!F1037</f>
        <v>31057241</v>
      </c>
      <c r="G1037" s="7" t="str">
        <f>IFERROR(__xludf.DUMMYFUNCTION("IF('Respuestas de formulario 1'!G1037="""","""",IF(LEFT(REGEXREPLACE(TO_TEXT('Respuestas de formulario 1'!G1037),""[^0-9]"",""""),2)=""54"",""+""&amp;REGEXREPLACE(TO_TEXT('Respuestas de formulario 1'!G1037),""[^0-9]"",""""),""+54""&amp;REGEXREPLACE(TO_TEXT('Respu"&amp;"estas de formulario 1'!G1037),""[^0-9]"","""")))"),"+543513899462")</f>
        <v>+543513899462</v>
      </c>
      <c r="H1037" s="7">
        <f>'Respuestas de formulario 1'!S1037</f>
        <v>2025</v>
      </c>
      <c r="I1037" s="7" t="str">
        <f>IFERROR(__xludf.DUMMYFUNCTION("IF('Respuestas de formulario 1'!I1037="""","""",TO_TEXT('Respuestas de formulario 1'!I1037))"),"Obra social")</f>
        <v>Obra social</v>
      </c>
      <c r="J1037" s="7" t="str">
        <f>IFERROR(__xludf.DUMMYFUNCTION("IF('Respuestas de formulario 1'!J1037&lt;&gt;"""",UPPER(TRIM(TO_TEXT('Respuestas de formulario 1'!J1037))),IF('Respuestas de formulario 1'!O1037&lt;&gt;"""",UPPER(TRIM(TO_TEXT('Respuestas de formulario 1'!O1037))),""""))"),"APROSS")</f>
        <v>APROSS</v>
      </c>
      <c r="K1037" s="7" t="str">
        <f>IFERROR(__xludf.DUMMYFUNCTION("IF('Respuestas de formulario 1'!K1037="""","""",TO_TEXT('Respuestas de formulario 1'!K1037))"),"Si")</f>
        <v>Si</v>
      </c>
      <c r="L1037" s="7" t="str">
        <f>IFERROR(__xludf.DUMMYFUNCTION("IF('Respuestas de formulario 1'!L1037="""","""",TO_TEXT('Respuestas de formulario 1'!L1037))"),"Padel+Gimnasio+Futbol")</f>
        <v>Padel+Gimnasio+Futbol</v>
      </c>
      <c r="M1037" s="7" t="str">
        <f>IFERROR(__xludf.DUMMYFUNCTION("IF('Respuestas de formulario 1'!M1037="""","""",TO_TEXT('Respuestas de formulario 1'!M1037))"),"3 a 5 veces por semana")</f>
        <v>3 a 5 veces por semana</v>
      </c>
      <c r="N1037" s="7">
        <f t="shared" si="1"/>
        <v>2025</v>
      </c>
      <c r="O1037" s="7" t="str">
        <f t="shared" si="2"/>
        <v>junio</v>
      </c>
      <c r="P1037" s="7" t="s">
        <v>6220</v>
      </c>
    </row>
    <row r="1038">
      <c r="A1038" s="19">
        <f>'Respuestas de formulario 1'!A1038</f>
        <v>45825.79901</v>
      </c>
      <c r="B1038" s="7" t="str">
        <f>'Respuestas de formulario 1'!B1038</f>
        <v>Ferrari</v>
      </c>
      <c r="C1038" s="7" t="str">
        <f>'Respuestas de formulario 1'!C1038</f>
        <v>Nora</v>
      </c>
      <c r="D1038" s="7" t="str">
        <f>'Respuestas de formulario 1'!D1038</f>
        <v/>
      </c>
      <c r="E1038" s="20">
        <f>'Respuestas de formulario 1'!E1038</f>
        <v>18917</v>
      </c>
      <c r="F1038" s="7">
        <f>'Respuestas de formulario 1'!F1038</f>
        <v>10366321</v>
      </c>
      <c r="G1038" s="7" t="str">
        <f>IFERROR(__xludf.DUMMYFUNCTION("IF('Respuestas de formulario 1'!G1038="""","""",IF(LEFT(REGEXREPLACE(TO_TEXT('Respuestas de formulario 1'!G1038),""[^0-9]"",""""),2)=""54"",""+""&amp;REGEXREPLACE(TO_TEXT('Respuestas de formulario 1'!G1038),""[^0-9]"",""""),""+54""&amp;REGEXREPLACE(TO_TEXT('Respu"&amp;"estas de formulario 1'!G1038),""[^0-9]"","""")))"),"+543513858331")</f>
        <v>+543513858331</v>
      </c>
      <c r="H1038" s="7">
        <f>'Respuestas de formulario 1'!S1038</f>
        <v>2025</v>
      </c>
      <c r="I1038" s="7" t="str">
        <f>IFERROR(__xludf.DUMMYFUNCTION("IF('Respuestas de formulario 1'!I1038="""","""",TO_TEXT('Respuestas de formulario 1'!I1038))"),"Obra social")</f>
        <v>Obra social</v>
      </c>
      <c r="J1038" s="7" t="str">
        <f>IFERROR(__xludf.DUMMYFUNCTION("IF('Respuestas de formulario 1'!J1038&lt;&gt;"""",UPPER(TRIM(TO_TEXT('Respuestas de formulario 1'!J1038))),IF('Respuestas de formulario 1'!O1038&lt;&gt;"""",UPPER(TRIM(TO_TEXT('Respuestas de formulario 1'!O1038))),""""))"),"DASPU")</f>
        <v>DASPU</v>
      </c>
      <c r="K1038" s="7" t="str">
        <f>IFERROR(__xludf.DUMMYFUNCTION("IF('Respuestas de formulario 1'!K1038="""","""",TO_TEXT('Respuestas de formulario 1'!K1038))"),"Si")</f>
        <v>Si</v>
      </c>
      <c r="L1038" s="7" t="str">
        <f>IFERROR(__xludf.DUMMYFUNCTION("IF('Respuestas de formulario 1'!L1038="""","""",TO_TEXT('Respuestas de formulario 1'!L1038))"),"Gimnasio")</f>
        <v>Gimnasio</v>
      </c>
      <c r="M1038" s="7" t="str">
        <f>IFERROR(__xludf.DUMMYFUNCTION("IF('Respuestas de formulario 1'!M1038="""","""",TO_TEXT('Respuestas de formulario 1'!M1038))"),"3 a 5 veces por semana")</f>
        <v>3 a 5 veces por semana</v>
      </c>
      <c r="N1038" s="7">
        <f t="shared" si="1"/>
        <v>2025</v>
      </c>
      <c r="O1038" s="7" t="str">
        <f t="shared" si="2"/>
        <v>junio</v>
      </c>
      <c r="P1038" s="7" t="s">
        <v>6222</v>
      </c>
    </row>
    <row r="1039">
      <c r="A1039" s="19">
        <f>'Respuestas de formulario 1'!A1039</f>
        <v>45825.87777</v>
      </c>
      <c r="B1039" s="7" t="str">
        <f>'Respuestas de formulario 1'!B1039</f>
        <v>Ugolino </v>
      </c>
      <c r="C1039" s="7" t="str">
        <f>'Respuestas de formulario 1'!C1039</f>
        <v>Matias</v>
      </c>
      <c r="D1039" s="7" t="str">
        <f>'Respuestas de formulario 1'!D1039</f>
        <v>pituugolino96@gmail.com</v>
      </c>
      <c r="E1039" s="20">
        <f>'Respuestas de formulario 1'!E1039</f>
        <v>39552</v>
      </c>
      <c r="F1039" s="7">
        <f>'Respuestas de formulario 1'!F1039</f>
        <v>48125548</v>
      </c>
      <c r="G1039" s="7" t="str">
        <f>IFERROR(__xludf.DUMMYFUNCTION("IF('Respuestas de formulario 1'!G1039="""","""",IF(LEFT(REGEXREPLACE(TO_TEXT('Respuestas de formulario 1'!G1039),""[^0-9]"",""""),2)=""54"",""+""&amp;REGEXREPLACE(TO_TEXT('Respuestas de formulario 1'!G1039),""[^0-9]"",""""),""+54""&amp;REGEXREPLACE(TO_TEXT('Respu"&amp;"estas de formulario 1'!G1039),""[^0-9]"","""")))"),"+543518614022")</f>
        <v>+543518614022</v>
      </c>
      <c r="H1039" s="7">
        <f>'Respuestas de formulario 1'!S1039</f>
        <v>2025</v>
      </c>
      <c r="I1039" s="7" t="str">
        <f>IFERROR(__xludf.DUMMYFUNCTION("IF('Respuestas de formulario 1'!I1039="""","""",TO_TEXT('Respuestas de formulario 1'!I1039))"),"Obra social")</f>
        <v>Obra social</v>
      </c>
      <c r="J1039" s="7" t="str">
        <f>IFERROR(__xludf.DUMMYFUNCTION("IF('Respuestas de formulario 1'!J1039&lt;&gt;"""",UPPER(TRIM(TO_TEXT('Respuestas de formulario 1'!J1039))),IF('Respuestas de formulario 1'!O1039&lt;&gt;"""",UPPER(TRIM(TO_TEXT('Respuestas de formulario 1'!O1039))),""""))"),"APROSS")</f>
        <v>APROSS</v>
      </c>
      <c r="K1039" s="7" t="str">
        <f>IFERROR(__xludf.DUMMYFUNCTION("IF('Respuestas de formulario 1'!K1039="""","""",TO_TEXT('Respuestas de formulario 1'!K1039))"),"Si")</f>
        <v>Si</v>
      </c>
      <c r="L1039" s="7" t="str">
        <f>IFERROR(__xludf.DUMMYFUNCTION("IF('Respuestas de formulario 1'!L1039="""","""",TO_TEXT('Respuestas de formulario 1'!L1039))"),"Fútbol")</f>
        <v>Fútbol</v>
      </c>
      <c r="M1039" s="7" t="str">
        <f>IFERROR(__xludf.DUMMYFUNCTION("IF('Respuestas de formulario 1'!M1039="""","""",TO_TEXT('Respuestas de formulario 1'!M1039))"),"3 a 5 veces por semana")</f>
        <v>3 a 5 veces por semana</v>
      </c>
      <c r="N1039" s="7">
        <f t="shared" si="1"/>
        <v>2025</v>
      </c>
      <c r="O1039" s="7" t="str">
        <f t="shared" si="2"/>
        <v>junio</v>
      </c>
      <c r="P1039" s="7" t="s">
        <v>6224</v>
      </c>
    </row>
    <row r="1040">
      <c r="A1040" s="19">
        <f>'Respuestas de formulario 1'!A1040</f>
        <v>45826.70837</v>
      </c>
      <c r="B1040" s="7" t="str">
        <f>'Respuestas de formulario 1'!B1040</f>
        <v>Alvarez</v>
      </c>
      <c r="C1040" s="7" t="str">
        <f>'Respuestas de formulario 1'!C1040</f>
        <v>Daniel</v>
      </c>
      <c r="D1040" s="7" t="str">
        <f>'Respuestas de formulario 1'!D1040</f>
        <v/>
      </c>
      <c r="E1040" s="20">
        <f>'Respuestas de formulario 1'!E1040</f>
        <v>29849</v>
      </c>
      <c r="F1040" s="7">
        <f>'Respuestas de formulario 1'!F1040</f>
        <v>29136424</v>
      </c>
      <c r="G1040" s="7" t="str">
        <f>IFERROR(__xludf.DUMMYFUNCTION("IF('Respuestas de formulario 1'!G1040="""","""",IF(LEFT(REGEXREPLACE(TO_TEXT('Respuestas de formulario 1'!G1040),""[^0-9]"",""""),2)=""54"",""+""&amp;REGEXREPLACE(TO_TEXT('Respuestas de formulario 1'!G1040),""[^0-9]"",""""),""+54""&amp;REGEXREPLACE(TO_TEXT('Respu"&amp;"estas de formulario 1'!G1040),""[^0-9]"","""")))"),"+543513044767")</f>
        <v>+543513044767</v>
      </c>
      <c r="H1040" s="7">
        <f>'Respuestas de formulario 1'!S1040</f>
        <v>2025</v>
      </c>
      <c r="I1040" s="7" t="str">
        <f>IFERROR(__xludf.DUMMYFUNCTION("IF('Respuestas de formulario 1'!I1040="""","""",TO_TEXT('Respuestas de formulario 1'!I1040))"),"Particular")</f>
        <v>Particular</v>
      </c>
      <c r="J1040" s="7" t="str">
        <f>IFERROR(__xludf.DUMMYFUNCTION("IF('Respuestas de formulario 1'!J1040&lt;&gt;"""",UPPER(TRIM(TO_TEXT('Respuestas de formulario 1'!J1040))),IF('Respuestas de formulario 1'!O1040&lt;&gt;"""",UPPER(TRIM(TO_TEXT('Respuestas de formulario 1'!O1040))),""""))"),"")</f>
        <v/>
      </c>
      <c r="K1040" s="7" t="str">
        <f>IFERROR(__xludf.DUMMYFUNCTION("IF('Respuestas de formulario 1'!K1040="""","""",TO_TEXT('Respuestas de formulario 1'!K1040))"),"Si")</f>
        <v>Si</v>
      </c>
      <c r="L1040" s="7" t="str">
        <f>IFERROR(__xludf.DUMMYFUNCTION("IF('Respuestas de formulario 1'!L1040="""","""",TO_TEXT('Respuestas de formulario 1'!L1040))"),"Gimnasio")</f>
        <v>Gimnasio</v>
      </c>
      <c r="M1040" s="7" t="str">
        <f>IFERROR(__xludf.DUMMYFUNCTION("IF('Respuestas de formulario 1'!M1040="""","""",TO_TEXT('Respuestas de formulario 1'!M1040))"),"3 a 5 veces por semana")</f>
        <v>3 a 5 veces por semana</v>
      </c>
      <c r="N1040" s="7">
        <f t="shared" si="1"/>
        <v>2025</v>
      </c>
      <c r="O1040" s="7" t="str">
        <f t="shared" si="2"/>
        <v>junio</v>
      </c>
      <c r="P1040" s="7" t="s">
        <v>6226</v>
      </c>
    </row>
    <row r="1041">
      <c r="A1041" s="19">
        <f>'Respuestas de formulario 1'!A1041</f>
        <v>45826.72621</v>
      </c>
      <c r="B1041" s="7" t="str">
        <f>'Respuestas de formulario 1'!B1041</f>
        <v>ZAFE</v>
      </c>
      <c r="C1041" s="7" t="str">
        <f>'Respuestas de formulario 1'!C1041</f>
        <v>Jorge</v>
      </c>
      <c r="D1041" s="7" t="str">
        <f>'Respuestas de formulario 1'!D1041</f>
        <v/>
      </c>
      <c r="E1041" s="20">
        <f>'Respuestas de formulario 1'!E1041</f>
        <v>25124</v>
      </c>
      <c r="F1041" s="7">
        <f>'Respuestas de formulario 1'!F1041</f>
        <v>20588227</v>
      </c>
      <c r="G1041" s="7" t="str">
        <f>IFERROR(__xludf.DUMMYFUNCTION("IF('Respuestas de formulario 1'!G1041="""","""",IF(LEFT(REGEXREPLACE(TO_TEXT('Respuestas de formulario 1'!G1041),""[^0-9]"",""""),2)=""54"",""+""&amp;REGEXREPLACE(TO_TEXT('Respuestas de formulario 1'!G1041),""[^0-9]"",""""),""+54""&amp;REGEXREPLACE(TO_TEXT('Respu"&amp;"estas de formulario 1'!G1041),""[^0-9]"","""")))"),"+543512024181")</f>
        <v>+543512024181</v>
      </c>
      <c r="H1041" s="7">
        <f>'Respuestas de formulario 1'!S1041</f>
        <v>2025</v>
      </c>
      <c r="I1041" s="7" t="str">
        <f>IFERROR(__xludf.DUMMYFUNCTION("IF('Respuestas de formulario 1'!I1041="""","""",TO_TEXT('Respuestas de formulario 1'!I1041))"),"Obra social")</f>
        <v>Obra social</v>
      </c>
      <c r="J1041" s="7" t="str">
        <f>IFERROR(__xludf.DUMMYFUNCTION("IF('Respuestas de formulario 1'!J1041&lt;&gt;"""",UPPER(TRIM(TO_TEXT('Respuestas de formulario 1'!J1041))),IF('Respuestas de formulario 1'!O1041&lt;&gt;"""",UPPER(TRIM(TO_TEXT('Respuestas de formulario 1'!O1041))),""""))"),"APROSS")</f>
        <v>APROSS</v>
      </c>
      <c r="K1041" s="7" t="str">
        <f>IFERROR(__xludf.DUMMYFUNCTION("IF('Respuestas de formulario 1'!K1041="""","""",TO_TEXT('Respuestas de formulario 1'!K1041))"),"Si")</f>
        <v>Si</v>
      </c>
      <c r="L1041" s="7" t="str">
        <f>IFERROR(__xludf.DUMMYFUNCTION("IF('Respuestas de formulario 1'!L1041="""","""",TO_TEXT('Respuestas de formulario 1'!L1041))"),"Gimnasio")</f>
        <v>Gimnasio</v>
      </c>
      <c r="M1041" s="7" t="str">
        <f>IFERROR(__xludf.DUMMYFUNCTION("IF('Respuestas de formulario 1'!M1041="""","""",TO_TEXT('Respuestas de formulario 1'!M1041))"),"3 a 5 veces por semana")</f>
        <v>3 a 5 veces por semana</v>
      </c>
      <c r="N1041" s="7">
        <f t="shared" si="1"/>
        <v>2025</v>
      </c>
      <c r="O1041" s="7" t="str">
        <f t="shared" si="2"/>
        <v>junio</v>
      </c>
      <c r="P1041" s="7" t="s">
        <v>6228</v>
      </c>
    </row>
    <row r="1042">
      <c r="A1042" s="19">
        <f>'Respuestas de formulario 1'!A1042</f>
        <v>45826.79296</v>
      </c>
      <c r="B1042" s="7" t="str">
        <f>'Respuestas de formulario 1'!B1042</f>
        <v>Sabor</v>
      </c>
      <c r="C1042" s="7" t="str">
        <f>'Respuestas de formulario 1'!C1042</f>
        <v>Segundo</v>
      </c>
      <c r="D1042" s="7" t="str">
        <f>'Respuestas de formulario 1'!D1042</f>
        <v/>
      </c>
      <c r="E1042" s="20">
        <f>'Respuestas de formulario 1'!E1042</f>
        <v>37679</v>
      </c>
      <c r="F1042" s="7">
        <f>'Respuestas de formulario 1'!F1042</f>
        <v>44657361</v>
      </c>
      <c r="G1042" s="7" t="str">
        <f>IFERROR(__xludf.DUMMYFUNCTION("IF('Respuestas de formulario 1'!G1042="""","""",IF(LEFT(REGEXREPLACE(TO_TEXT('Respuestas de formulario 1'!G1042),""[^0-9]"",""""),2)=""54"",""+""&amp;REGEXREPLACE(TO_TEXT('Respuestas de formulario 1'!G1042),""[^0-9]"",""""),""+54""&amp;REGEXREPLACE(TO_TEXT('Respu"&amp;"estas de formulario 1'!G1042),""[^0-9]"","""")))"),"+543512552702")</f>
        <v>+543512552702</v>
      </c>
      <c r="H1042" s="7">
        <f>'Respuestas de formulario 1'!S1042</f>
        <v>2025</v>
      </c>
      <c r="I1042" s="7" t="str">
        <f>IFERROR(__xludf.DUMMYFUNCTION("IF('Respuestas de formulario 1'!I1042="""","""",TO_TEXT('Respuestas de formulario 1'!I1042))"),"Particular")</f>
        <v>Particular</v>
      </c>
      <c r="J1042" s="7" t="str">
        <f>IFERROR(__xludf.DUMMYFUNCTION("IF('Respuestas de formulario 1'!J1042&lt;&gt;"""",UPPER(TRIM(TO_TEXT('Respuestas de formulario 1'!J1042))),IF('Respuestas de formulario 1'!O1042&lt;&gt;"""",UPPER(TRIM(TO_TEXT('Respuestas de formulario 1'!O1042))),""""))"),"")</f>
        <v/>
      </c>
      <c r="K1042" s="7" t="str">
        <f>IFERROR(__xludf.DUMMYFUNCTION("IF('Respuestas de formulario 1'!K1042="""","""",TO_TEXT('Respuestas de formulario 1'!K1042))"),"Si")</f>
        <v>Si</v>
      </c>
      <c r="L1042" s="7" t="str">
        <f>IFERROR(__xludf.DUMMYFUNCTION("IF('Respuestas de formulario 1'!L1042="""","""",TO_TEXT('Respuestas de formulario 1'!L1042))"),"Rugby")</f>
        <v>Rugby</v>
      </c>
      <c r="M1042" s="7" t="str">
        <f>IFERROR(__xludf.DUMMYFUNCTION("IF('Respuestas de formulario 1'!M1042="""","""",TO_TEXT('Respuestas de formulario 1'!M1042))"),"3 a 5 veces por semana")</f>
        <v>3 a 5 veces por semana</v>
      </c>
      <c r="N1042" s="7">
        <f t="shared" si="1"/>
        <v>2025</v>
      </c>
      <c r="O1042" s="7" t="str">
        <f t="shared" si="2"/>
        <v>junio</v>
      </c>
      <c r="P1042" s="7" t="s">
        <v>6230</v>
      </c>
    </row>
    <row r="1043">
      <c r="A1043" s="19">
        <f>'Respuestas de formulario 1'!A1043</f>
        <v>45826.80817</v>
      </c>
      <c r="B1043" s="7" t="str">
        <f>'Respuestas de formulario 1'!B1043</f>
        <v>Merlo</v>
      </c>
      <c r="C1043" s="7" t="str">
        <f>'Respuestas de formulario 1'!C1043</f>
        <v>David maximiliano </v>
      </c>
      <c r="D1043" s="7" t="str">
        <f>'Respuestas de formulario 1'!D1043</f>
        <v>davidmerlo_1991@hotmail.com</v>
      </c>
      <c r="E1043" s="20">
        <f>'Respuestas de formulario 1'!E1043</f>
        <v>33418</v>
      </c>
      <c r="F1043" s="7">
        <f>'Respuestas de formulario 1'!F1043</f>
        <v>35966293</v>
      </c>
      <c r="G1043" s="7" t="str">
        <f>IFERROR(__xludf.DUMMYFUNCTION("IF('Respuestas de formulario 1'!G1043="""","""",IF(LEFT(REGEXREPLACE(TO_TEXT('Respuestas de formulario 1'!G1043),""[^0-9]"",""""),2)=""54"",""+""&amp;REGEXREPLACE(TO_TEXT('Respuestas de formulario 1'!G1043),""[^0-9]"",""""),""+54""&amp;REGEXREPLACE(TO_TEXT('Respu"&amp;"estas de formulario 1'!G1043),""[^0-9]"","""")))"),"+543516478748")</f>
        <v>+543516478748</v>
      </c>
      <c r="H1043" s="7">
        <f>'Respuestas de formulario 1'!S1043</f>
        <v>2025</v>
      </c>
      <c r="I1043" s="7" t="str">
        <f>IFERROR(__xludf.DUMMYFUNCTION("IF('Respuestas de formulario 1'!I1043="""","""",TO_TEXT('Respuestas de formulario 1'!I1043))"),"Particular")</f>
        <v>Particular</v>
      </c>
      <c r="J1043" s="7" t="str">
        <f>IFERROR(__xludf.DUMMYFUNCTION("IF('Respuestas de formulario 1'!J1043&lt;&gt;"""",UPPER(TRIM(TO_TEXT('Respuestas de formulario 1'!J1043))),IF('Respuestas de formulario 1'!O1043&lt;&gt;"""",UPPER(TRIM(TO_TEXT('Respuestas de formulario 1'!O1043))),""""))"),"")</f>
        <v/>
      </c>
      <c r="K1043" s="7" t="str">
        <f>IFERROR(__xludf.DUMMYFUNCTION("IF('Respuestas de formulario 1'!K1043="""","""",TO_TEXT('Respuestas de formulario 1'!K1043))"),"Si")</f>
        <v>Si</v>
      </c>
      <c r="L1043" s="7" t="str">
        <f>IFERROR(__xludf.DUMMYFUNCTION("IF('Respuestas de formulario 1'!L1043="""","""",TO_TEXT('Respuestas de formulario 1'!L1043))"),"Fútbol")</f>
        <v>Fútbol</v>
      </c>
      <c r="M1043" s="7" t="str">
        <f>IFERROR(__xludf.DUMMYFUNCTION("IF('Respuestas de formulario 1'!M1043="""","""",TO_TEXT('Respuestas de formulario 1'!M1043))"),"1 a 2 veces por semana")</f>
        <v>1 a 2 veces por semana</v>
      </c>
      <c r="N1043" s="7">
        <f t="shared" si="1"/>
        <v>2025</v>
      </c>
      <c r="O1043" s="7" t="str">
        <f t="shared" si="2"/>
        <v>junio</v>
      </c>
      <c r="P1043" s="7" t="s">
        <v>6232</v>
      </c>
    </row>
    <row r="1044">
      <c r="A1044" s="19">
        <f>'Respuestas de formulario 1'!A1044</f>
        <v>45826.89521</v>
      </c>
      <c r="B1044" s="7" t="str">
        <f>'Respuestas de formulario 1'!B1044</f>
        <v>Tejeda</v>
      </c>
      <c r="C1044" s="7" t="str">
        <f>'Respuestas de formulario 1'!C1044</f>
        <v>Mariana Belen</v>
      </c>
      <c r="D1044" s="7" t="str">
        <f>'Respuestas de formulario 1'!D1044</f>
        <v>mar.belen2017@gmail.com</v>
      </c>
      <c r="E1044" s="20">
        <f>'Respuestas de formulario 1'!E1044</f>
        <v>28983</v>
      </c>
      <c r="F1044" s="7">
        <f>'Respuestas de formulario 1'!F1044</f>
        <v>27248614</v>
      </c>
      <c r="G1044" s="7" t="str">
        <f>IFERROR(__xludf.DUMMYFUNCTION("IF('Respuestas de formulario 1'!G1044="""","""",IF(LEFT(REGEXREPLACE(TO_TEXT('Respuestas de formulario 1'!G1044),""[^0-9]"",""""),2)=""54"",""+""&amp;REGEXREPLACE(TO_TEXT('Respuestas de formulario 1'!G1044),""[^0-9]"",""""),""+54""&amp;REGEXREPLACE(TO_TEXT('Respu"&amp;"estas de formulario 1'!G1044),""[^0-9]"","""")))"),"+543512189365")</f>
        <v>+543512189365</v>
      </c>
      <c r="H1044" s="7">
        <f>'Respuestas de formulario 1'!S1044</f>
        <v>2025</v>
      </c>
      <c r="I1044" s="7" t="str">
        <f>IFERROR(__xludf.DUMMYFUNCTION("IF('Respuestas de formulario 1'!I1044="""","""",TO_TEXT('Respuestas de formulario 1'!I1044))"),"Particular")</f>
        <v>Particular</v>
      </c>
      <c r="J1044" s="7" t="str">
        <f>IFERROR(__xludf.DUMMYFUNCTION("IF('Respuestas de formulario 1'!J1044&lt;&gt;"""",UPPER(TRIM(TO_TEXT('Respuestas de formulario 1'!J1044))),IF('Respuestas de formulario 1'!O1044&lt;&gt;"""",UPPER(TRIM(TO_TEXT('Respuestas de formulario 1'!O1044))),""""))"),"")</f>
        <v/>
      </c>
      <c r="K1044" s="7" t="str">
        <f>IFERROR(__xludf.DUMMYFUNCTION("IF('Respuestas de formulario 1'!K1044="""","""",TO_TEXT('Respuestas de formulario 1'!K1044))"),"No")</f>
        <v>No</v>
      </c>
      <c r="L1044" s="7" t="str">
        <f>IFERROR(__xludf.DUMMYFUNCTION("IF('Respuestas de formulario 1'!L1044="""","""",TO_TEXT('Respuestas de formulario 1'!L1044))"),"")</f>
        <v/>
      </c>
      <c r="M1044" s="7" t="str">
        <f>IFERROR(__xludf.DUMMYFUNCTION("IF('Respuestas de formulario 1'!M1044="""","""",TO_TEXT('Respuestas de formulario 1'!M1044))"),"")</f>
        <v/>
      </c>
      <c r="N1044" s="7">
        <f t="shared" si="1"/>
        <v>2025</v>
      </c>
      <c r="O1044" s="7" t="str">
        <f t="shared" si="2"/>
        <v>junio</v>
      </c>
      <c r="P1044" s="7" t="s">
        <v>6234</v>
      </c>
    </row>
    <row r="1045">
      <c r="A1045" s="19">
        <f>'Respuestas de formulario 1'!A1045</f>
        <v>45831.68341</v>
      </c>
      <c r="B1045" s="7" t="str">
        <f>'Respuestas de formulario 1'!B1045</f>
        <v>Riego</v>
      </c>
      <c r="C1045" s="7" t="str">
        <f>'Respuestas de formulario 1'!C1045</f>
        <v>Gonzalo</v>
      </c>
      <c r="D1045" s="7" t="str">
        <f>'Respuestas de formulario 1'!D1045</f>
        <v>riego.gonzalo.a@gmail.com</v>
      </c>
      <c r="E1045" s="20">
        <f>'Respuestas de formulario 1'!E1045</f>
        <v>37679</v>
      </c>
      <c r="F1045" s="7">
        <f>'Respuestas de formulario 1'!F1045</f>
        <v>44694487</v>
      </c>
      <c r="G1045" s="7" t="str">
        <f>IFERROR(__xludf.DUMMYFUNCTION("IF('Respuestas de formulario 1'!G1045="""","""",IF(LEFT(REGEXREPLACE(TO_TEXT('Respuestas de formulario 1'!G1045),""[^0-9]"",""""),2)=""54"",""+""&amp;REGEXREPLACE(TO_TEXT('Respuestas de formulario 1'!G1045),""[^0-9]"",""""),""+54""&amp;REGEXREPLACE(TO_TEXT('Respu"&amp;"estas de formulario 1'!G1045),""[^0-9]"","""")))"),"+543512167989")</f>
        <v>+543512167989</v>
      </c>
      <c r="H1045" s="7">
        <f>'Respuestas de formulario 1'!S1045</f>
        <v>2025</v>
      </c>
      <c r="I1045" s="7" t="str">
        <f>IFERROR(__xludf.DUMMYFUNCTION("IF('Respuestas de formulario 1'!I1045="""","""",TO_TEXT('Respuestas de formulario 1'!I1045))"),"Particular")</f>
        <v>Particular</v>
      </c>
      <c r="J1045" s="7" t="str">
        <f>IFERROR(__xludf.DUMMYFUNCTION("IF('Respuestas de formulario 1'!J1045&lt;&gt;"""",UPPER(TRIM(TO_TEXT('Respuestas de formulario 1'!J1045))),IF('Respuestas de formulario 1'!O1045&lt;&gt;"""",UPPER(TRIM(TO_TEXT('Respuestas de formulario 1'!O1045))),""""))"),"")</f>
        <v/>
      </c>
      <c r="K1045" s="7" t="str">
        <f>IFERROR(__xludf.DUMMYFUNCTION("IF('Respuestas de formulario 1'!K1045="""","""",TO_TEXT('Respuestas de formulario 1'!K1045))"),"Si")</f>
        <v>Si</v>
      </c>
      <c r="L1045" s="7" t="str">
        <f>IFERROR(__xludf.DUMMYFUNCTION("IF('Respuestas de formulario 1'!L1045="""","""",TO_TEXT('Respuestas de formulario 1'!L1045))"),"Kick boxing y Gimnasio")</f>
        <v>Kick boxing y Gimnasio</v>
      </c>
      <c r="M1045" s="7" t="str">
        <f>IFERROR(__xludf.DUMMYFUNCTION("IF('Respuestas de formulario 1'!M1045="""","""",TO_TEXT('Respuestas de formulario 1'!M1045))"),"3 a 5 veces por semana")</f>
        <v>3 a 5 veces por semana</v>
      </c>
      <c r="N1045" s="7">
        <f t="shared" si="1"/>
        <v>2025</v>
      </c>
      <c r="O1045" s="7" t="str">
        <f t="shared" si="2"/>
        <v>junio</v>
      </c>
      <c r="P1045" s="7" t="s">
        <v>6236</v>
      </c>
    </row>
    <row r="1046">
      <c r="A1046" s="19">
        <f>'Respuestas de formulario 1'!A1046</f>
        <v>45831.8944</v>
      </c>
      <c r="B1046" s="7" t="str">
        <f>'Respuestas de formulario 1'!B1046</f>
        <v>Cruzado</v>
      </c>
      <c r="C1046" s="7" t="str">
        <f>'Respuestas de formulario 1'!C1046</f>
        <v>Lucas</v>
      </c>
      <c r="D1046" s="7" t="str">
        <f>'Respuestas de formulario 1'!D1046</f>
        <v>Lucascruzado@hotmail.com</v>
      </c>
      <c r="E1046" s="20">
        <f>'Respuestas de formulario 1'!E1046</f>
        <v>29751</v>
      </c>
      <c r="F1046" s="7">
        <f>'Respuestas de formulario 1'!F1046</f>
        <v>28850370</v>
      </c>
      <c r="G1046" s="7" t="str">
        <f>IFERROR(__xludf.DUMMYFUNCTION("IF('Respuestas de formulario 1'!G1046="""","""",IF(LEFT(REGEXREPLACE(TO_TEXT('Respuestas de formulario 1'!G1046),""[^0-9]"",""""),2)=""54"",""+""&amp;REGEXREPLACE(TO_TEXT('Respuestas de formulario 1'!G1046),""[^0-9]"",""""),""+54""&amp;REGEXREPLACE(TO_TEXT('Respu"&amp;"estas de formulario 1'!G1046),""[^0-9]"","""")))"),"+543515954286")</f>
        <v>+543515954286</v>
      </c>
      <c r="H1046" s="7">
        <f>'Respuestas de formulario 1'!S1046</f>
        <v>2025</v>
      </c>
      <c r="I1046" s="7" t="str">
        <f>IFERROR(__xludf.DUMMYFUNCTION("IF('Respuestas de formulario 1'!I1046="""","""",TO_TEXT('Respuestas de formulario 1'!I1046))"),"Particular")</f>
        <v>Particular</v>
      </c>
      <c r="J1046" s="7" t="str">
        <f>IFERROR(__xludf.DUMMYFUNCTION("IF('Respuestas de formulario 1'!J1046&lt;&gt;"""",UPPER(TRIM(TO_TEXT('Respuestas de formulario 1'!J1046))),IF('Respuestas de formulario 1'!O1046&lt;&gt;"""",UPPER(TRIM(TO_TEXT('Respuestas de formulario 1'!O1046))),""""))"),"")</f>
        <v/>
      </c>
      <c r="K1046" s="7" t="str">
        <f>IFERROR(__xludf.DUMMYFUNCTION("IF('Respuestas de formulario 1'!K1046="""","""",TO_TEXT('Respuestas de formulario 1'!K1046))"),"Si")</f>
        <v>Si</v>
      </c>
      <c r="L1046" s="7" t="str">
        <f>IFERROR(__xludf.DUMMYFUNCTION("IF('Respuestas de formulario 1'!L1046="""","""",TO_TEXT('Respuestas de formulario 1'!L1046))"),"Gimnasio")</f>
        <v>Gimnasio</v>
      </c>
      <c r="M1046" s="7" t="str">
        <f>IFERROR(__xludf.DUMMYFUNCTION("IF('Respuestas de formulario 1'!M1046="""","""",TO_TEXT('Respuestas de formulario 1'!M1046))"),"3 a 5 veces por semana")</f>
        <v>3 a 5 veces por semana</v>
      </c>
      <c r="N1046" s="7">
        <f t="shared" si="1"/>
        <v>2025</v>
      </c>
      <c r="O1046" s="7" t="str">
        <f t="shared" si="2"/>
        <v>junio</v>
      </c>
      <c r="P1046" s="7" t="s">
        <v>6238</v>
      </c>
    </row>
    <row r="1047">
      <c r="A1047" s="19">
        <f>'Respuestas de formulario 1'!A1047</f>
        <v>45832.45292</v>
      </c>
      <c r="B1047" s="7" t="str">
        <f>'Respuestas de formulario 1'!B1047</f>
        <v>Lungaro</v>
      </c>
      <c r="C1047" s="7" t="str">
        <f>'Respuestas de formulario 1'!C1047</f>
        <v>Maria Elizabeth</v>
      </c>
      <c r="D1047" s="7" t="str">
        <f>'Respuestas de formulario 1'!D1047</f>
        <v>marylungaro52@gmail.com</v>
      </c>
      <c r="E1047" s="20">
        <f>'Respuestas de formulario 1'!E1047</f>
        <v>19028</v>
      </c>
      <c r="F1047" s="7">
        <f>'Respuestas de formulario 1'!F1047</f>
        <v>10174976</v>
      </c>
      <c r="G1047" s="7" t="str">
        <f>IFERROR(__xludf.DUMMYFUNCTION("IF('Respuestas de formulario 1'!G1047="""","""",IF(LEFT(REGEXREPLACE(TO_TEXT('Respuestas de formulario 1'!G1047),""[^0-9]"",""""),2)=""54"",""+""&amp;REGEXREPLACE(TO_TEXT('Respuestas de formulario 1'!G1047),""[^0-9]"",""""),""+54""&amp;REGEXREPLACE(TO_TEXT('Respu"&amp;"estas de formulario 1'!G1047),""[^0-9]"","""")))"),"+543516874000")</f>
        <v>+543516874000</v>
      </c>
      <c r="H1047" s="7">
        <f>'Respuestas de formulario 1'!S1047</f>
        <v>2025</v>
      </c>
      <c r="I1047" s="7" t="str">
        <f>IFERROR(__xludf.DUMMYFUNCTION("IF('Respuestas de formulario 1'!I1047="""","""",TO_TEXT('Respuestas de formulario 1'!I1047))"),"Particular")</f>
        <v>Particular</v>
      </c>
      <c r="J1047" s="7" t="str">
        <f>IFERROR(__xludf.DUMMYFUNCTION("IF('Respuestas de formulario 1'!J1047&lt;&gt;"""",UPPER(TRIM(TO_TEXT('Respuestas de formulario 1'!J1047))),IF('Respuestas de formulario 1'!O1047&lt;&gt;"""",UPPER(TRIM(TO_TEXT('Respuestas de formulario 1'!O1047))),""""))"),"")</f>
        <v/>
      </c>
      <c r="K1047" s="7" t="str">
        <f>IFERROR(__xludf.DUMMYFUNCTION("IF('Respuestas de formulario 1'!K1047="""","""",TO_TEXT('Respuestas de formulario 1'!K1047))"),"No")</f>
        <v>No</v>
      </c>
      <c r="L1047" s="7" t="str">
        <f>IFERROR(__xludf.DUMMYFUNCTION("IF('Respuestas de formulario 1'!L1047="""","""",TO_TEXT('Respuestas de formulario 1'!L1047))"),"")</f>
        <v/>
      </c>
      <c r="M1047" s="7" t="str">
        <f>IFERROR(__xludf.DUMMYFUNCTION("IF('Respuestas de formulario 1'!M1047="""","""",TO_TEXT('Respuestas de formulario 1'!M1047))"),"")</f>
        <v/>
      </c>
      <c r="N1047" s="7">
        <f t="shared" si="1"/>
        <v>2025</v>
      </c>
      <c r="O1047" s="7" t="str">
        <f t="shared" si="2"/>
        <v>junio</v>
      </c>
      <c r="P1047" s="7" t="s">
        <v>6240</v>
      </c>
    </row>
    <row r="1048">
      <c r="A1048" s="19">
        <f>'Respuestas de formulario 1'!A1048</f>
        <v>45832.49292</v>
      </c>
      <c r="B1048" s="7" t="str">
        <f>'Respuestas de formulario 1'!B1048</f>
        <v>LAUENSTEIN</v>
      </c>
      <c r="C1048" s="7" t="str">
        <f>'Respuestas de formulario 1'!C1048</f>
        <v>Mariel</v>
      </c>
      <c r="D1048" s="7" t="str">
        <f>'Respuestas de formulario 1'!D1048</f>
        <v/>
      </c>
      <c r="E1048" s="20">
        <f>'Respuestas de formulario 1'!E1048</f>
        <v>16140</v>
      </c>
      <c r="F1048" s="7">
        <f>'Respuestas de formulario 1'!F1048</f>
        <v>4855352</v>
      </c>
      <c r="G1048" s="7" t="str">
        <f>IFERROR(__xludf.DUMMYFUNCTION("IF('Respuestas de formulario 1'!G1048="""","""",IF(LEFT(REGEXREPLACE(TO_TEXT('Respuestas de formulario 1'!G1048),""[^0-9]"",""""),2)=""54"",""+""&amp;REGEXREPLACE(TO_TEXT('Respuestas de formulario 1'!G1048),""[^0-9]"",""""),""+54""&amp;REGEXREPLACE(TO_TEXT('Respu"&amp;"estas de formulario 1'!G1048),""[^0-9]"","""")))"),"+543513549222")</f>
        <v>+543513549222</v>
      </c>
      <c r="H1048" s="7">
        <f>'Respuestas de formulario 1'!S1048</f>
        <v>2025</v>
      </c>
      <c r="I1048" s="7" t="str">
        <f>IFERROR(__xludf.DUMMYFUNCTION("IF('Respuestas de formulario 1'!I1048="""","""",TO_TEXT('Respuestas de formulario 1'!I1048))"),"Obra social")</f>
        <v>Obra social</v>
      </c>
      <c r="J1048" s="7" t="str">
        <f>IFERROR(__xludf.DUMMYFUNCTION("IF('Respuestas de formulario 1'!J1048&lt;&gt;"""",UPPER(TRIM(TO_TEXT('Respuestas de formulario 1'!J1048))),IF('Respuestas de formulario 1'!O1048&lt;&gt;"""",UPPER(TRIM(TO_TEXT('Respuestas de formulario 1'!O1048))),""""))"),"APROSS")</f>
        <v>APROSS</v>
      </c>
      <c r="K1048" s="7" t="str">
        <f>IFERROR(__xludf.DUMMYFUNCTION("IF('Respuestas de formulario 1'!K1048="""","""",TO_TEXT('Respuestas de formulario 1'!K1048))"),"No")</f>
        <v>No</v>
      </c>
      <c r="L1048" s="7" t="str">
        <f>IFERROR(__xludf.DUMMYFUNCTION("IF('Respuestas de formulario 1'!L1048="""","""",TO_TEXT('Respuestas de formulario 1'!L1048))"),"")</f>
        <v/>
      </c>
      <c r="M1048" s="7" t="str">
        <f>IFERROR(__xludf.DUMMYFUNCTION("IF('Respuestas de formulario 1'!M1048="""","""",TO_TEXT('Respuestas de formulario 1'!M1048))"),"")</f>
        <v/>
      </c>
      <c r="N1048" s="7">
        <f t="shared" si="1"/>
        <v>2025</v>
      </c>
      <c r="O1048" s="7" t="str">
        <f t="shared" si="2"/>
        <v>junio</v>
      </c>
      <c r="P1048" s="7" t="s">
        <v>6242</v>
      </c>
    </row>
    <row r="1049">
      <c r="A1049" s="19">
        <f>'Respuestas de formulario 1'!A1049</f>
        <v>45832.78053</v>
      </c>
      <c r="B1049" s="7" t="str">
        <f>'Respuestas de formulario 1'!B1049</f>
        <v>Bas</v>
      </c>
      <c r="C1049" s="7" t="str">
        <f>'Respuestas de formulario 1'!C1049</f>
        <v>Maria paula </v>
      </c>
      <c r="D1049" s="7" t="str">
        <f>'Respuestas de formulario 1'!D1049</f>
        <v/>
      </c>
      <c r="E1049" s="20">
        <f>'Respuestas de formulario 1'!E1049</f>
        <v>31533</v>
      </c>
      <c r="F1049" s="7">
        <f>'Respuestas de formulario 1'!F1049</f>
        <v>32313606</v>
      </c>
      <c r="G1049" s="7" t="str">
        <f>IFERROR(__xludf.DUMMYFUNCTION("IF('Respuestas de formulario 1'!G1049="""","""",IF(LEFT(REGEXREPLACE(TO_TEXT('Respuestas de formulario 1'!G1049),""[^0-9]"",""""),2)=""54"",""+""&amp;REGEXREPLACE(TO_TEXT('Respuestas de formulario 1'!G1049),""[^0-9]"",""""),""+54""&amp;REGEXREPLACE(TO_TEXT('Respu"&amp;"estas de formulario 1'!G1049),""[^0-9]"","""")))"),"+543516537121")</f>
        <v>+543516537121</v>
      </c>
      <c r="H1049" s="7">
        <f>'Respuestas de formulario 1'!S1049</f>
        <v>2025</v>
      </c>
      <c r="I1049" s="7" t="str">
        <f>IFERROR(__xludf.DUMMYFUNCTION("IF('Respuestas de formulario 1'!I1049="""","""",TO_TEXT('Respuestas de formulario 1'!I1049))"),"Particular")</f>
        <v>Particular</v>
      </c>
      <c r="J1049" s="7" t="str">
        <f>IFERROR(__xludf.DUMMYFUNCTION("IF('Respuestas de formulario 1'!J1049&lt;&gt;"""",UPPER(TRIM(TO_TEXT('Respuestas de formulario 1'!J1049))),IF('Respuestas de formulario 1'!O1049&lt;&gt;"""",UPPER(TRIM(TO_TEXT('Respuestas de formulario 1'!O1049))),""""))"),"")</f>
        <v/>
      </c>
      <c r="K1049" s="7" t="str">
        <f>IFERROR(__xludf.DUMMYFUNCTION("IF('Respuestas de formulario 1'!K1049="""","""",TO_TEXT('Respuestas de formulario 1'!K1049))"),"Si")</f>
        <v>Si</v>
      </c>
      <c r="L1049" s="7" t="str">
        <f>IFERROR(__xludf.DUMMYFUNCTION("IF('Respuestas de formulario 1'!L1049="""","""",TO_TEXT('Respuestas de formulario 1'!L1049))"),"Gimnasio")</f>
        <v>Gimnasio</v>
      </c>
      <c r="M1049" s="7" t="str">
        <f>IFERROR(__xludf.DUMMYFUNCTION("IF('Respuestas de formulario 1'!M1049="""","""",TO_TEXT('Respuestas de formulario 1'!M1049))"),"3 a 5 veces por semana")</f>
        <v>3 a 5 veces por semana</v>
      </c>
      <c r="N1049" s="7">
        <f t="shared" si="1"/>
        <v>2025</v>
      </c>
      <c r="O1049" s="7" t="str">
        <f t="shared" si="2"/>
        <v>junio</v>
      </c>
      <c r="P1049" s="7" t="s">
        <v>6244</v>
      </c>
    </row>
    <row r="1050">
      <c r="A1050" s="19">
        <f>'Respuestas de formulario 1'!A1050</f>
        <v>45832.79682</v>
      </c>
      <c r="B1050" s="7" t="str">
        <f>'Respuestas de formulario 1'!B1050</f>
        <v>TORRES </v>
      </c>
      <c r="C1050" s="7" t="str">
        <f>'Respuestas de formulario 1'!C1050</f>
        <v>Facundo </v>
      </c>
      <c r="D1050" s="7" t="str">
        <f>'Respuestas de formulario 1'!D1050</f>
        <v>facu.cordobalt@gmail.com</v>
      </c>
      <c r="E1050" s="20">
        <f>'Respuestas de formulario 1'!E1050</f>
        <v>37174</v>
      </c>
      <c r="F1050" s="7">
        <f>'Respuestas de formulario 1'!F1050</f>
        <v>43694644</v>
      </c>
      <c r="G1050" s="7" t="str">
        <f>IFERROR(__xludf.DUMMYFUNCTION("IF('Respuestas de formulario 1'!G1050="""","""",IF(LEFT(REGEXREPLACE(TO_TEXT('Respuestas de formulario 1'!G1050),""[^0-9]"",""""),2)=""54"",""+""&amp;REGEXREPLACE(TO_TEXT('Respuestas de formulario 1'!G1050),""[^0-9]"",""""),""+54""&amp;REGEXREPLACE(TO_TEXT('Respu"&amp;"estas de formulario 1'!G1050),""[^0-9]"","""")))"),"+543512075558")</f>
        <v>+543512075558</v>
      </c>
      <c r="H1050" s="7">
        <f>'Respuestas de formulario 1'!S1050</f>
        <v>2025</v>
      </c>
      <c r="I1050" s="7" t="str">
        <f>IFERROR(__xludf.DUMMYFUNCTION("IF('Respuestas de formulario 1'!I1050="""","""",TO_TEXT('Respuestas de formulario 1'!I1050))"),"Obra social")</f>
        <v>Obra social</v>
      </c>
      <c r="J1050" s="7" t="str">
        <f>IFERROR(__xludf.DUMMYFUNCTION("IF('Respuestas de formulario 1'!J1050&lt;&gt;"""",UPPER(TRIM(TO_TEXT('Respuestas de formulario 1'!J1050))),IF('Respuestas de formulario 1'!O1050&lt;&gt;"""",UPPER(TRIM(TO_TEXT('Respuestas de formulario 1'!O1050))),""""))"),"PREVENCIÓN")</f>
        <v>PREVENCIÓN</v>
      </c>
      <c r="K1050" s="7" t="str">
        <f>IFERROR(__xludf.DUMMYFUNCTION("IF('Respuestas de formulario 1'!K1050="""","""",TO_TEXT('Respuestas de formulario 1'!K1050))"),"Si")</f>
        <v>Si</v>
      </c>
      <c r="L1050" s="7" t="str">
        <f>IFERROR(__xludf.DUMMYFUNCTION("IF('Respuestas de formulario 1'!L1050="""","""",TO_TEXT('Respuestas de formulario 1'!L1050))"),"Básquet")</f>
        <v>Básquet</v>
      </c>
      <c r="M1050" s="7" t="str">
        <f>IFERROR(__xludf.DUMMYFUNCTION("IF('Respuestas de formulario 1'!M1050="""","""",TO_TEXT('Respuestas de formulario 1'!M1050))"),"6 a 7 veces por semana")</f>
        <v>6 a 7 veces por semana</v>
      </c>
      <c r="N1050" s="7">
        <f t="shared" si="1"/>
        <v>2025</v>
      </c>
      <c r="O1050" s="7" t="str">
        <f t="shared" si="2"/>
        <v>junio</v>
      </c>
      <c r="P1050" s="7" t="s">
        <v>6246</v>
      </c>
    </row>
    <row r="1051">
      <c r="A1051" s="19">
        <f>'Respuestas de formulario 1'!A1051</f>
        <v>45833.58598</v>
      </c>
      <c r="B1051" s="7" t="str">
        <f>'Respuestas de formulario 1'!B1051</f>
        <v>Bruno</v>
      </c>
      <c r="C1051" s="7" t="str">
        <f>'Respuestas de formulario 1'!C1051</f>
        <v>Gerardo </v>
      </c>
      <c r="D1051" s="7" t="str">
        <f>'Respuestas de formulario 1'!D1051</f>
        <v>gera620@hotmail.com</v>
      </c>
      <c r="E1051" s="20">
        <f>'Respuestas de formulario 1'!E1051</f>
        <v>29402</v>
      </c>
      <c r="F1051" s="7">
        <f>'Respuestas de formulario 1'!F1051</f>
        <v>27869017</v>
      </c>
      <c r="G1051" s="7" t="str">
        <f>IFERROR(__xludf.DUMMYFUNCTION("IF('Respuestas de formulario 1'!G1051="""","""",IF(LEFT(REGEXREPLACE(TO_TEXT('Respuestas de formulario 1'!G1051),""[^0-9]"",""""),2)=""54"",""+""&amp;REGEXREPLACE(TO_TEXT('Respuestas de formulario 1'!G1051),""[^0-9]"",""""),""+54""&amp;REGEXREPLACE(TO_TEXT('Respu"&amp;"estas de formulario 1'!G1051),""[^0-9]"","""")))"),"+543517071234")</f>
        <v>+543517071234</v>
      </c>
      <c r="H1051" s="7">
        <f>'Respuestas de formulario 1'!S1051</f>
        <v>2025</v>
      </c>
      <c r="I1051" s="7" t="str">
        <f>IFERROR(__xludf.DUMMYFUNCTION("IF('Respuestas de formulario 1'!I1051="""","""",TO_TEXT('Respuestas de formulario 1'!I1051))"),"Particular")</f>
        <v>Particular</v>
      </c>
      <c r="J1051" s="7" t="str">
        <f>IFERROR(__xludf.DUMMYFUNCTION("IF('Respuestas de formulario 1'!J1051&lt;&gt;"""",UPPER(TRIM(TO_TEXT('Respuestas de formulario 1'!J1051))),IF('Respuestas de formulario 1'!O1051&lt;&gt;"""",UPPER(TRIM(TO_TEXT('Respuestas de formulario 1'!O1051))),""""))"),"")</f>
        <v/>
      </c>
      <c r="K1051" s="7" t="str">
        <f>IFERROR(__xludf.DUMMYFUNCTION("IF('Respuestas de formulario 1'!K1051="""","""",TO_TEXT('Respuestas de formulario 1'!K1051))"),"Si")</f>
        <v>Si</v>
      </c>
      <c r="L1051" s="7" t="str">
        <f>IFERROR(__xludf.DUMMYFUNCTION("IF('Respuestas de formulario 1'!L1051="""","""",TO_TEXT('Respuestas de formulario 1'!L1051))"),"Funcional ")</f>
        <v>Funcional </v>
      </c>
      <c r="M1051" s="7" t="str">
        <f>IFERROR(__xludf.DUMMYFUNCTION("IF('Respuestas de formulario 1'!M1051="""","""",TO_TEXT('Respuestas de formulario 1'!M1051))"),"1 a 2 veces por semana")</f>
        <v>1 a 2 veces por semana</v>
      </c>
      <c r="N1051" s="7">
        <f t="shared" si="1"/>
        <v>2025</v>
      </c>
      <c r="O1051" s="7" t="str">
        <f t="shared" si="2"/>
        <v>junio</v>
      </c>
      <c r="P1051" s="7" t="s">
        <v>6248</v>
      </c>
    </row>
    <row r="1052">
      <c r="A1052" s="19">
        <f>'Respuestas de formulario 1'!A1052</f>
        <v>45833.68842</v>
      </c>
      <c r="B1052" s="7" t="str">
        <f>'Respuestas de formulario 1'!B1052</f>
        <v>Romero</v>
      </c>
      <c r="C1052" s="7" t="str">
        <f>'Respuestas de formulario 1'!C1052</f>
        <v>Emmanuel</v>
      </c>
      <c r="D1052" s="7" t="str">
        <f>'Respuestas de formulario 1'!D1052</f>
        <v>ema_1311@hotmail.com</v>
      </c>
      <c r="E1052" s="20">
        <f>'Respuestas de formulario 1'!E1052</f>
        <v>33508</v>
      </c>
      <c r="F1052" s="7">
        <f>'Respuestas de formulario 1'!F1052</f>
        <v>36126517</v>
      </c>
      <c r="G1052" s="7" t="str">
        <f>IFERROR(__xludf.DUMMYFUNCTION("IF('Respuestas de formulario 1'!G1052="""","""",IF(LEFT(REGEXREPLACE(TO_TEXT('Respuestas de formulario 1'!G1052),""[^0-9]"",""""),2)=""54"",""+""&amp;REGEXREPLACE(TO_TEXT('Respuestas de formulario 1'!G1052),""[^0-9]"",""""),""+54""&amp;REGEXREPLACE(TO_TEXT('Respu"&amp;"estas de formulario 1'!G1052),""[^0-9]"","""")))"),"+543517561771")</f>
        <v>+543517561771</v>
      </c>
      <c r="H1052" s="7">
        <f>'Respuestas de formulario 1'!S1052</f>
        <v>2025</v>
      </c>
      <c r="I1052" s="7" t="str">
        <f>IFERROR(__xludf.DUMMYFUNCTION("IF('Respuestas de formulario 1'!I1052="""","""",TO_TEXT('Respuestas de formulario 1'!I1052))"),"Obra social")</f>
        <v>Obra social</v>
      </c>
      <c r="J1052" s="7" t="str">
        <f>IFERROR(__xludf.DUMMYFUNCTION("IF('Respuestas de formulario 1'!J1052&lt;&gt;"""",UPPER(TRIM(TO_TEXT('Respuestas de formulario 1'!J1052))),IF('Respuestas de formulario 1'!O1052&lt;&gt;"""",UPPER(TRIM(TO_TEXT('Respuestas de formulario 1'!O1052))),""""))"),"SWISS MEDICAL")</f>
        <v>SWISS MEDICAL</v>
      </c>
      <c r="K1052" s="7" t="str">
        <f>IFERROR(__xludf.DUMMYFUNCTION("IF('Respuestas de formulario 1'!K1052="""","""",TO_TEXT('Respuestas de formulario 1'!K1052))"),"Si")</f>
        <v>Si</v>
      </c>
      <c r="L1052" s="7" t="str">
        <f>IFERROR(__xludf.DUMMYFUNCTION("IF('Respuestas de formulario 1'!L1052="""","""",TO_TEXT('Respuestas de formulario 1'!L1052))"),"Gimnasio")</f>
        <v>Gimnasio</v>
      </c>
      <c r="M1052" s="7" t="str">
        <f>IFERROR(__xludf.DUMMYFUNCTION("IF('Respuestas de formulario 1'!M1052="""","""",TO_TEXT('Respuestas de formulario 1'!M1052))"),"3 a 5 veces por semana")</f>
        <v>3 a 5 veces por semana</v>
      </c>
      <c r="N1052" s="7">
        <f t="shared" si="1"/>
        <v>2025</v>
      </c>
      <c r="O1052" s="7" t="str">
        <f t="shared" si="2"/>
        <v>junio</v>
      </c>
      <c r="P1052" s="7" t="s">
        <v>6250</v>
      </c>
    </row>
    <row r="1053">
      <c r="A1053" s="19">
        <f>'Respuestas de formulario 1'!A1053</f>
        <v>45834.73418</v>
      </c>
      <c r="B1053" s="7" t="str">
        <f>'Respuestas de formulario 1'!B1053</f>
        <v>Marquez Ochoa</v>
      </c>
      <c r="C1053" s="7" t="str">
        <f>'Respuestas de formulario 1'!C1053</f>
        <v>Maria Paz</v>
      </c>
      <c r="D1053" s="7" t="str">
        <f>'Respuestas de formulario 1'!D1053</f>
        <v>ceciliaalejandraochoa@gmail.com</v>
      </c>
      <c r="E1053" s="20">
        <f>'Respuestas de formulario 1'!E1053</f>
        <v>40557</v>
      </c>
      <c r="F1053" s="7">
        <f>'Respuestas de formulario 1'!F1053</f>
        <v>50696438</v>
      </c>
      <c r="G1053" s="7" t="str">
        <f>IFERROR(__xludf.DUMMYFUNCTION("IF('Respuestas de formulario 1'!G1053="""","""",IF(LEFT(REGEXREPLACE(TO_TEXT('Respuestas de formulario 1'!G1053),""[^0-9]"",""""),2)=""54"",""+""&amp;REGEXREPLACE(TO_TEXT('Respuestas de formulario 1'!G1053),""[^0-9]"",""""),""+54""&amp;REGEXREPLACE(TO_TEXT('Respu"&amp;"estas de formulario 1'!G1053),""[^0-9]"","""")))"),"+543516590333")</f>
        <v>+543516590333</v>
      </c>
      <c r="H1053" s="7">
        <f>'Respuestas de formulario 1'!S1053</f>
        <v>2025</v>
      </c>
      <c r="I1053" s="7" t="str">
        <f>IFERROR(__xludf.DUMMYFUNCTION("IF('Respuestas de formulario 1'!I1053="""","""",TO_TEXT('Respuestas de formulario 1'!I1053))"),"Obra social")</f>
        <v>Obra social</v>
      </c>
      <c r="J1053" s="7" t="str">
        <f>IFERROR(__xludf.DUMMYFUNCTION("IF('Respuestas de formulario 1'!J1053&lt;&gt;"""",UPPER(TRIM(TO_TEXT('Respuestas de formulario 1'!J1053))),IF('Respuestas de formulario 1'!O1053&lt;&gt;"""",UPPER(TRIM(TO_TEXT('Respuestas de formulario 1'!O1053))),""""))"),"APROSS")</f>
        <v>APROSS</v>
      </c>
      <c r="K1053" s="7" t="str">
        <f>IFERROR(__xludf.DUMMYFUNCTION("IF('Respuestas de formulario 1'!K1053="""","""",TO_TEXT('Respuestas de formulario 1'!K1053))"),"Si")</f>
        <v>Si</v>
      </c>
      <c r="L1053" s="7" t="str">
        <f>IFERROR(__xludf.DUMMYFUNCTION("IF('Respuestas de formulario 1'!L1053="""","""",TO_TEXT('Respuestas de formulario 1'!L1053))"),"Hockey")</f>
        <v>Hockey</v>
      </c>
      <c r="M1053" s="7" t="str">
        <f>IFERROR(__xludf.DUMMYFUNCTION("IF('Respuestas de formulario 1'!M1053="""","""",TO_TEXT('Respuestas de formulario 1'!M1053))"),"3 a 5 veces por semana")</f>
        <v>3 a 5 veces por semana</v>
      </c>
      <c r="N1053" s="7">
        <f t="shared" si="1"/>
        <v>2025</v>
      </c>
      <c r="O1053" s="7" t="str">
        <f t="shared" si="2"/>
        <v>junio</v>
      </c>
      <c r="P1053" s="7" t="s">
        <v>6252</v>
      </c>
    </row>
    <row r="1054">
      <c r="A1054" s="19">
        <f>'Respuestas de formulario 1'!A1054</f>
        <v>45834.84735</v>
      </c>
      <c r="B1054" s="7" t="str">
        <f>'Respuestas de formulario 1'!B1054</f>
        <v>Argañaraz </v>
      </c>
      <c r="C1054" s="7" t="str">
        <f>'Respuestas de formulario 1'!C1054</f>
        <v>Benjamin</v>
      </c>
      <c r="D1054" s="7" t="str">
        <f>'Respuestas de formulario 1'!D1054</f>
        <v>ccllaauuddiioo1976@gmail.com</v>
      </c>
      <c r="E1054" s="20">
        <f>'Respuestas de formulario 1'!E1054</f>
        <v>38340</v>
      </c>
      <c r="F1054" s="7">
        <f>'Respuestas de formulario 1'!F1054</f>
        <v>45695835</v>
      </c>
      <c r="G1054" s="7" t="str">
        <f>IFERROR(__xludf.DUMMYFUNCTION("IF('Respuestas de formulario 1'!G1054="""","""",IF(LEFT(REGEXREPLACE(TO_TEXT('Respuestas de formulario 1'!G1054),""[^0-9]"",""""),2)=""54"",""+""&amp;REGEXREPLACE(TO_TEXT('Respuestas de formulario 1'!G1054),""[^0-9]"",""""),""+54""&amp;REGEXREPLACE(TO_TEXT('Respu"&amp;"estas de formulario 1'!G1054),""[^0-9]"","""")))"),"+543513439427")</f>
        <v>+543513439427</v>
      </c>
      <c r="H1054" s="7">
        <f>'Respuestas de formulario 1'!S1054</f>
        <v>2025</v>
      </c>
      <c r="I1054" s="7" t="str">
        <f>IFERROR(__xludf.DUMMYFUNCTION("IF('Respuestas de formulario 1'!I1054="""","""",TO_TEXT('Respuestas de formulario 1'!I1054))"),"Particular")</f>
        <v>Particular</v>
      </c>
      <c r="J1054" s="7" t="str">
        <f>IFERROR(__xludf.DUMMYFUNCTION("IF('Respuestas de formulario 1'!J1054&lt;&gt;"""",UPPER(TRIM(TO_TEXT('Respuestas de formulario 1'!J1054))),IF('Respuestas de formulario 1'!O1054&lt;&gt;"""",UPPER(TRIM(TO_TEXT('Respuestas de formulario 1'!O1054))),""""))"),"")</f>
        <v/>
      </c>
      <c r="K1054" s="7" t="str">
        <f>IFERROR(__xludf.DUMMYFUNCTION("IF('Respuestas de formulario 1'!K1054="""","""",TO_TEXT('Respuestas de formulario 1'!K1054))"),"Si")</f>
        <v>Si</v>
      </c>
      <c r="L1054" s="7" t="str">
        <f>IFERROR(__xludf.DUMMYFUNCTION("IF('Respuestas de formulario 1'!L1054="""","""",TO_TEXT('Respuestas de formulario 1'!L1054))"),"Gimnasio")</f>
        <v>Gimnasio</v>
      </c>
      <c r="M1054" s="7" t="str">
        <f>IFERROR(__xludf.DUMMYFUNCTION("IF('Respuestas de formulario 1'!M1054="""","""",TO_TEXT('Respuestas de formulario 1'!M1054))"),"3 a 5 veces por semana")</f>
        <v>3 a 5 veces por semana</v>
      </c>
      <c r="N1054" s="7">
        <f t="shared" si="1"/>
        <v>2025</v>
      </c>
      <c r="O1054" s="7" t="str">
        <f t="shared" si="2"/>
        <v>junio</v>
      </c>
      <c r="P1054" s="7" t="s">
        <v>6254</v>
      </c>
    </row>
    <row r="1055">
      <c r="A1055" s="19">
        <f>'Respuestas de formulario 1'!A1055</f>
        <v>45835.80665</v>
      </c>
      <c r="B1055" s="7" t="str">
        <f>'Respuestas de formulario 1'!B1055</f>
        <v>Argañaraz</v>
      </c>
      <c r="C1055" s="7" t="str">
        <f>'Respuestas de formulario 1'!C1055</f>
        <v>Benjamín</v>
      </c>
      <c r="D1055" s="7" t="str">
        <f>'Respuestas de formulario 1'!D1055</f>
        <v>Ccllaauuddiioo1976@gmail.com</v>
      </c>
      <c r="E1055" s="20">
        <f>'Respuestas de formulario 1'!E1055</f>
        <v>38340</v>
      </c>
      <c r="F1055" s="7">
        <f>'Respuestas de formulario 1'!F1055</f>
        <v>45695835</v>
      </c>
      <c r="G1055" s="7" t="str">
        <f>IFERROR(__xludf.DUMMYFUNCTION("IF('Respuestas de formulario 1'!G1055="""","""",IF(LEFT(REGEXREPLACE(TO_TEXT('Respuestas de formulario 1'!G1055),""[^0-9]"",""""),2)=""54"",""+""&amp;REGEXREPLACE(TO_TEXT('Respuestas de formulario 1'!G1055),""[^0-9]"",""""),""+54""&amp;REGEXREPLACE(TO_TEXT('Respu"&amp;"estas de formulario 1'!G1055),""[^0-9]"","""")))"),"+543513439427")</f>
        <v>+543513439427</v>
      </c>
      <c r="H1055" s="7">
        <f>'Respuestas de formulario 1'!S1055</f>
        <v>2025</v>
      </c>
      <c r="I1055" s="7" t="str">
        <f>IFERROR(__xludf.DUMMYFUNCTION("IF('Respuestas de formulario 1'!I1055="""","""",TO_TEXT('Respuestas de formulario 1'!I1055))"),"Particular")</f>
        <v>Particular</v>
      </c>
      <c r="J1055" s="7" t="str">
        <f>IFERROR(__xludf.DUMMYFUNCTION("IF('Respuestas de formulario 1'!J1055&lt;&gt;"""",UPPER(TRIM(TO_TEXT('Respuestas de formulario 1'!J1055))),IF('Respuestas de formulario 1'!O1055&lt;&gt;"""",UPPER(TRIM(TO_TEXT('Respuestas de formulario 1'!O1055))),""""))"),"")</f>
        <v/>
      </c>
      <c r="K1055" s="7" t="str">
        <f>IFERROR(__xludf.DUMMYFUNCTION("IF('Respuestas de formulario 1'!K1055="""","""",TO_TEXT('Respuestas de formulario 1'!K1055))"),"Si")</f>
        <v>Si</v>
      </c>
      <c r="L1055" s="7" t="str">
        <f>IFERROR(__xludf.DUMMYFUNCTION("IF('Respuestas de formulario 1'!L1055="""","""",TO_TEXT('Respuestas de formulario 1'!L1055))"),"Gimnasio")</f>
        <v>Gimnasio</v>
      </c>
      <c r="M1055" s="7" t="str">
        <f>IFERROR(__xludf.DUMMYFUNCTION("IF('Respuestas de formulario 1'!M1055="""","""",TO_TEXT('Respuestas de formulario 1'!M1055))"),"3 a 5 veces por semana")</f>
        <v>3 a 5 veces por semana</v>
      </c>
      <c r="N1055" s="7">
        <f t="shared" si="1"/>
        <v>2025</v>
      </c>
      <c r="O1055" s="7" t="str">
        <f t="shared" si="2"/>
        <v>junio</v>
      </c>
      <c r="P1055" s="7" t="s">
        <v>6256</v>
      </c>
    </row>
    <row r="1056">
      <c r="A1056" s="19">
        <f>'Respuestas de formulario 1'!A1056</f>
        <v>45837.52186</v>
      </c>
      <c r="B1056" s="7" t="str">
        <f>'Respuestas de formulario 1'!B1056</f>
        <v>Tesan</v>
      </c>
      <c r="C1056" s="7" t="str">
        <f>'Respuestas de formulario 1'!C1056</f>
        <v>Leonardo</v>
      </c>
      <c r="D1056" s="7" t="str">
        <f>'Respuestas de formulario 1'!D1056</f>
        <v>leonardojtesan@hotmail.com</v>
      </c>
      <c r="E1056" s="20">
        <f>'Respuestas de formulario 1'!E1056</f>
        <v>36183</v>
      </c>
      <c r="F1056" s="7">
        <f>'Respuestas de formulario 1'!F1056</f>
        <v>41736005</v>
      </c>
      <c r="G1056" s="7" t="str">
        <f>IFERROR(__xludf.DUMMYFUNCTION("IF('Respuestas de formulario 1'!G1056="""","""",IF(LEFT(REGEXREPLACE(TO_TEXT('Respuestas de formulario 1'!G1056),""[^0-9]"",""""),2)=""54"",""+""&amp;REGEXREPLACE(TO_TEXT('Respuestas de formulario 1'!G1056),""[^0-9]"",""""),""+54""&amp;REGEXREPLACE(TO_TEXT('Respu"&amp;"estas de formulario 1'!G1056),""[^0-9]"","""")))"),"+543512106456")</f>
        <v>+543512106456</v>
      </c>
      <c r="H1056" s="7">
        <f>'Respuestas de formulario 1'!S1056</f>
        <v>2025</v>
      </c>
      <c r="I1056" s="7" t="str">
        <f>IFERROR(__xludf.DUMMYFUNCTION("IF('Respuestas de formulario 1'!I1056="""","""",TO_TEXT('Respuestas de formulario 1'!I1056))"),"Particular")</f>
        <v>Particular</v>
      </c>
      <c r="J1056" s="7" t="str">
        <f>IFERROR(__xludf.DUMMYFUNCTION("IF('Respuestas de formulario 1'!J1056&lt;&gt;"""",UPPER(TRIM(TO_TEXT('Respuestas de formulario 1'!J1056))),IF('Respuestas de formulario 1'!O1056&lt;&gt;"""",UPPER(TRIM(TO_TEXT('Respuestas de formulario 1'!O1056))),""""))"),"")</f>
        <v/>
      </c>
      <c r="K1056" s="7" t="str">
        <f>IFERROR(__xludf.DUMMYFUNCTION("IF('Respuestas de formulario 1'!K1056="""","""",TO_TEXT('Respuestas de formulario 1'!K1056))"),"Si")</f>
        <v>Si</v>
      </c>
      <c r="L1056" s="7" t="str">
        <f>IFERROR(__xludf.DUMMYFUNCTION("IF('Respuestas de formulario 1'!L1056="""","""",TO_TEXT('Respuestas de formulario 1'!L1056))"),"Gimnasio")</f>
        <v>Gimnasio</v>
      </c>
      <c r="M1056" s="7" t="str">
        <f>IFERROR(__xludf.DUMMYFUNCTION("IF('Respuestas de formulario 1'!M1056="""","""",TO_TEXT('Respuestas de formulario 1'!M1056))"),"3 a 5 veces por semana")</f>
        <v>3 a 5 veces por semana</v>
      </c>
      <c r="N1056" s="7">
        <f t="shared" si="1"/>
        <v>2025</v>
      </c>
      <c r="O1056" s="7" t="str">
        <f t="shared" si="2"/>
        <v>junio</v>
      </c>
      <c r="P1056" s="7" t="s">
        <v>6257</v>
      </c>
    </row>
    <row r="1057">
      <c r="A1057" s="19">
        <f>'Respuestas de formulario 1'!A1057</f>
        <v>45838.44534</v>
      </c>
      <c r="B1057" s="7" t="str">
        <f>'Respuestas de formulario 1'!B1057</f>
        <v>Cordoba </v>
      </c>
      <c r="C1057" s="7" t="str">
        <f>'Respuestas de formulario 1'!C1057</f>
        <v>Edith Maria </v>
      </c>
      <c r="D1057" s="7" t="str">
        <f>'Respuestas de formulario 1'!D1057</f>
        <v>edithcordobacontadora@hotmail.com</v>
      </c>
      <c r="E1057" s="20">
        <f>'Respuestas de formulario 1'!E1057</f>
        <v>21537</v>
      </c>
      <c r="F1057" s="7">
        <f>'Respuestas de formulario 1'!F1057</f>
        <v>12994392</v>
      </c>
      <c r="G1057" s="7" t="str">
        <f>IFERROR(__xludf.DUMMYFUNCTION("IF('Respuestas de formulario 1'!G1057="""","""",IF(LEFT(REGEXREPLACE(TO_TEXT('Respuestas de formulario 1'!G1057),""[^0-9]"",""""),2)=""54"",""+""&amp;REGEXREPLACE(TO_TEXT('Respuestas de formulario 1'!G1057),""[^0-9]"",""""),""+54""&amp;REGEXREPLACE(TO_TEXT('Respu"&amp;"estas de formulario 1'!G1057),""[^0-9]"","""")))"),"+543515379208")</f>
        <v>+543515379208</v>
      </c>
      <c r="H1057" s="7">
        <f>'Respuestas de formulario 1'!S1057</f>
        <v>2025</v>
      </c>
      <c r="I1057" s="7" t="str">
        <f>IFERROR(__xludf.DUMMYFUNCTION("IF('Respuestas de formulario 1'!I1057="""","""",TO_TEXT('Respuestas de formulario 1'!I1057))"),"Particular")</f>
        <v>Particular</v>
      </c>
      <c r="J1057" s="7" t="str">
        <f>IFERROR(__xludf.DUMMYFUNCTION("IF('Respuestas de formulario 1'!J1057&lt;&gt;"""",UPPER(TRIM(TO_TEXT('Respuestas de formulario 1'!J1057))),IF('Respuestas de formulario 1'!O1057&lt;&gt;"""",UPPER(TRIM(TO_TEXT('Respuestas de formulario 1'!O1057))),""""))"),"")</f>
        <v/>
      </c>
      <c r="K1057" s="7" t="str">
        <f>IFERROR(__xludf.DUMMYFUNCTION("IF('Respuestas de formulario 1'!K1057="""","""",TO_TEXT('Respuestas de formulario 1'!K1057))"),"Si")</f>
        <v>Si</v>
      </c>
      <c r="L1057" s="7" t="str">
        <f>IFERROR(__xludf.DUMMYFUNCTION("IF('Respuestas de formulario 1'!L1057="""","""",TO_TEXT('Respuestas de formulario 1'!L1057))"),"Gimnasio")</f>
        <v>Gimnasio</v>
      </c>
      <c r="M1057" s="7" t="str">
        <f>IFERROR(__xludf.DUMMYFUNCTION("IF('Respuestas de formulario 1'!M1057="""","""",TO_TEXT('Respuestas de formulario 1'!M1057))"),"1 a 2 veces por semana")</f>
        <v>1 a 2 veces por semana</v>
      </c>
      <c r="N1057" s="7">
        <f t="shared" si="1"/>
        <v>2025</v>
      </c>
      <c r="O1057" s="7" t="str">
        <f t="shared" si="2"/>
        <v>junio</v>
      </c>
      <c r="P1057" s="7" t="s">
        <v>6259</v>
      </c>
    </row>
    <row r="1058">
      <c r="A1058" s="19">
        <f>'Respuestas de formulario 1'!A1058</f>
        <v>45838.63706</v>
      </c>
      <c r="B1058" s="7" t="str">
        <f>'Respuestas de formulario 1'!B1058</f>
        <v>Ferrari</v>
      </c>
      <c r="C1058" s="7" t="str">
        <f>'Respuestas de formulario 1'!C1058</f>
        <v>Hector</v>
      </c>
      <c r="D1058" s="7" t="str">
        <f>'Respuestas de formulario 1'!D1058</f>
        <v/>
      </c>
      <c r="E1058" s="20">
        <f>'Respuestas de formulario 1'!E1058</f>
        <v>18292</v>
      </c>
      <c r="F1058" s="7">
        <f>'Respuestas de formulario 1'!F1058</f>
        <v>8313363</v>
      </c>
      <c r="G1058" s="7" t="str">
        <f>IFERROR(__xludf.DUMMYFUNCTION("IF('Respuestas de formulario 1'!G1058="""","""",IF(LEFT(REGEXREPLACE(TO_TEXT('Respuestas de formulario 1'!G1058),""[^0-9]"",""""),2)=""54"",""+""&amp;REGEXREPLACE(TO_TEXT('Respuestas de formulario 1'!G1058),""[^0-9]"",""""),""+54""&amp;REGEXREPLACE(TO_TEXT('Respu"&amp;"estas de formulario 1'!G1058),""[^0-9]"","""")))"),"+543515925145")</f>
        <v>+543515925145</v>
      </c>
      <c r="H1058" s="7">
        <f>'Respuestas de formulario 1'!S1058</f>
        <v>2025</v>
      </c>
      <c r="I1058" s="7" t="str">
        <f>IFERROR(__xludf.DUMMYFUNCTION("IF('Respuestas de formulario 1'!I1058="""","""",TO_TEXT('Respuestas de formulario 1'!I1058))"),"Particular")</f>
        <v>Particular</v>
      </c>
      <c r="J1058" s="7" t="str">
        <f>IFERROR(__xludf.DUMMYFUNCTION("IF('Respuestas de formulario 1'!J1058&lt;&gt;"""",UPPER(TRIM(TO_TEXT('Respuestas de formulario 1'!J1058))),IF('Respuestas de formulario 1'!O1058&lt;&gt;"""",UPPER(TRIM(TO_TEXT('Respuestas de formulario 1'!O1058))),""""))"),"")</f>
        <v/>
      </c>
      <c r="K1058" s="7" t="str">
        <f>IFERROR(__xludf.DUMMYFUNCTION("IF('Respuestas de formulario 1'!K1058="""","""",TO_TEXT('Respuestas de formulario 1'!K1058))"),"No")</f>
        <v>No</v>
      </c>
      <c r="L1058" s="7" t="str">
        <f>IFERROR(__xludf.DUMMYFUNCTION("IF('Respuestas de formulario 1'!L1058="""","""",TO_TEXT('Respuestas de formulario 1'!L1058))"),"")</f>
        <v/>
      </c>
      <c r="M1058" s="7" t="str">
        <f>IFERROR(__xludf.DUMMYFUNCTION("IF('Respuestas de formulario 1'!M1058="""","""",TO_TEXT('Respuestas de formulario 1'!M1058))"),"")</f>
        <v/>
      </c>
      <c r="N1058" s="7">
        <f t="shared" si="1"/>
        <v>2025</v>
      </c>
      <c r="O1058" s="7" t="str">
        <f t="shared" si="2"/>
        <v>junio</v>
      </c>
      <c r="P1058" s="7" t="s">
        <v>6261</v>
      </c>
    </row>
    <row r="1059">
      <c r="A1059" s="19">
        <f>'Respuestas de formulario 1'!A1059</f>
        <v>45838.6689</v>
      </c>
      <c r="B1059" s="7" t="str">
        <f>'Respuestas de formulario 1'!B1059</f>
        <v>Buschiazzo Perez </v>
      </c>
      <c r="C1059" s="7" t="str">
        <f>'Respuestas de formulario 1'!C1059</f>
        <v>Luana</v>
      </c>
      <c r="D1059" s="7" t="str">
        <f>'Respuestas de formulario 1'!D1059</f>
        <v>suenoseperez@hotmail.com.ar</v>
      </c>
      <c r="E1059" s="20">
        <f>'Respuestas de formulario 1'!E1059</f>
        <v>40560</v>
      </c>
      <c r="F1059" s="7">
        <f>'Respuestas de formulario 1'!F1059</f>
        <v>50628844</v>
      </c>
      <c r="G1059" s="7" t="str">
        <f>IFERROR(__xludf.DUMMYFUNCTION("IF('Respuestas de formulario 1'!G1059="""","""",IF(LEFT(REGEXREPLACE(TO_TEXT('Respuestas de formulario 1'!G1059),""[^0-9]"",""""),2)=""54"",""+""&amp;REGEXREPLACE(TO_TEXT('Respuestas de formulario 1'!G1059),""[^0-9]"",""""),""+54""&amp;REGEXREPLACE(TO_TEXT('Respu"&amp;"estas de formulario 1'!G1059),""[^0-9]"","""")))"),"+543516473050")</f>
        <v>+543516473050</v>
      </c>
      <c r="H1059" s="7">
        <f>'Respuestas de formulario 1'!S1059</f>
        <v>2025</v>
      </c>
      <c r="I1059" s="7" t="str">
        <f>IFERROR(__xludf.DUMMYFUNCTION("IF('Respuestas de formulario 1'!I1059="""","""",TO_TEXT('Respuestas de formulario 1'!I1059))"),"Obra social")</f>
        <v>Obra social</v>
      </c>
      <c r="J1059" s="7" t="str">
        <f>IFERROR(__xludf.DUMMYFUNCTION("IF('Respuestas de formulario 1'!J1059&lt;&gt;"""",UPPER(TRIM(TO_TEXT('Respuestas de formulario 1'!J1059))),IF('Respuestas de formulario 1'!O1059&lt;&gt;"""",UPPER(TRIM(TO_TEXT('Respuestas de formulario 1'!O1059))),""""))"),"PREVENCIÓN")</f>
        <v>PREVENCIÓN</v>
      </c>
      <c r="K1059" s="7" t="str">
        <f>IFERROR(__xludf.DUMMYFUNCTION("IF('Respuestas de formulario 1'!K1059="""","""",TO_TEXT('Respuestas de formulario 1'!K1059))"),"Si")</f>
        <v>Si</v>
      </c>
      <c r="L1059" s="7" t="str">
        <f>IFERROR(__xludf.DUMMYFUNCTION("IF('Respuestas de formulario 1'!L1059="""","""",TO_TEXT('Respuestas de formulario 1'!L1059))"),"Hockey y danza jazz")</f>
        <v>Hockey y danza jazz</v>
      </c>
      <c r="M1059" s="7" t="str">
        <f>IFERROR(__xludf.DUMMYFUNCTION("IF('Respuestas de formulario 1'!M1059="""","""",TO_TEXT('Respuestas de formulario 1'!M1059))"),"3 a 5 veces por semana")</f>
        <v>3 a 5 veces por semana</v>
      </c>
      <c r="N1059" s="7">
        <f t="shared" si="1"/>
        <v>2025</v>
      </c>
      <c r="O1059" s="7" t="str">
        <f t="shared" si="2"/>
        <v>junio</v>
      </c>
      <c r="P1059" s="7" t="s">
        <v>6263</v>
      </c>
    </row>
    <row r="1060">
      <c r="A1060" s="19">
        <f>'Respuestas de formulario 1'!A1060</f>
        <v>45838.67087</v>
      </c>
      <c r="B1060" s="7" t="str">
        <f>'Respuestas de formulario 1'!B1060</f>
        <v>Buschiazzo Perez</v>
      </c>
      <c r="C1060" s="7" t="str">
        <f>'Respuestas de formulario 1'!C1060</f>
        <v>Luana</v>
      </c>
      <c r="D1060" s="7" t="str">
        <f>'Respuestas de formulario 1'!D1060</f>
        <v>suenoseperez@hotmail.com.ar</v>
      </c>
      <c r="E1060" s="20">
        <f>'Respuestas de formulario 1'!E1060</f>
        <v>40560</v>
      </c>
      <c r="F1060" s="7">
        <f>'Respuestas de formulario 1'!F1060</f>
        <v>50628843</v>
      </c>
      <c r="G1060" s="7" t="str">
        <f>IFERROR(__xludf.DUMMYFUNCTION("IF('Respuestas de formulario 1'!G1060="""","""",IF(LEFT(REGEXREPLACE(TO_TEXT('Respuestas de formulario 1'!G1060),""[^0-9]"",""""),2)=""54"",""+""&amp;REGEXREPLACE(TO_TEXT('Respuestas de formulario 1'!G1060),""[^0-9]"",""""),""+54""&amp;REGEXREPLACE(TO_TEXT('Respu"&amp;"estas de formulario 1'!G1060),""[^0-9]"","""")))"),"+543516473050")</f>
        <v>+543516473050</v>
      </c>
      <c r="H1060" s="7">
        <f>'Respuestas de formulario 1'!S1060</f>
        <v>2025</v>
      </c>
      <c r="I1060" s="7" t="str">
        <f>IFERROR(__xludf.DUMMYFUNCTION("IF('Respuestas de formulario 1'!I1060="""","""",TO_TEXT('Respuestas de formulario 1'!I1060))"),"Obra social")</f>
        <v>Obra social</v>
      </c>
      <c r="J1060" s="7" t="str">
        <f>IFERROR(__xludf.DUMMYFUNCTION("IF('Respuestas de formulario 1'!J1060&lt;&gt;"""",UPPER(TRIM(TO_TEXT('Respuestas de formulario 1'!J1060))),IF('Respuestas de formulario 1'!O1060&lt;&gt;"""",UPPER(TRIM(TO_TEXT('Respuestas de formulario 1'!O1060))),""""))"),"PREVENCIÓN")</f>
        <v>PREVENCIÓN</v>
      </c>
      <c r="K1060" s="7" t="str">
        <f>IFERROR(__xludf.DUMMYFUNCTION("IF('Respuestas de formulario 1'!K1060="""","""",TO_TEXT('Respuestas de formulario 1'!K1060))"),"Si")</f>
        <v>Si</v>
      </c>
      <c r="L1060" s="7" t="str">
        <f>IFERROR(__xludf.DUMMYFUNCTION("IF('Respuestas de formulario 1'!L1060="""","""",TO_TEXT('Respuestas de formulario 1'!L1060))"),"Hockey y danza Jazz")</f>
        <v>Hockey y danza Jazz</v>
      </c>
      <c r="M1060" s="7" t="str">
        <f>IFERROR(__xludf.DUMMYFUNCTION("IF('Respuestas de formulario 1'!M1060="""","""",TO_TEXT('Respuestas de formulario 1'!M1060))"),"3 a 5 veces por semana")</f>
        <v>3 a 5 veces por semana</v>
      </c>
      <c r="N1060" s="7">
        <f t="shared" si="1"/>
        <v>2025</v>
      </c>
      <c r="O1060" s="7" t="str">
        <f t="shared" si="2"/>
        <v>junio</v>
      </c>
      <c r="P1060" s="7" t="s">
        <v>6265</v>
      </c>
    </row>
    <row r="1061">
      <c r="A1061" s="19">
        <f>'Respuestas de formulario 1'!A1061</f>
        <v>45839.39768</v>
      </c>
      <c r="B1061" s="7" t="str">
        <f>'Respuestas de formulario 1'!B1061</f>
        <v>Paula </v>
      </c>
      <c r="C1061" s="7" t="str">
        <f>'Respuestas de formulario 1'!C1061</f>
        <v>Balian </v>
      </c>
      <c r="D1061" s="7" t="str">
        <f>'Respuestas de formulario 1'!D1061</f>
        <v>Paula_balian@hotmail.com</v>
      </c>
      <c r="E1061" s="20">
        <f>'Respuestas de formulario 1'!E1061</f>
        <v>36682</v>
      </c>
      <c r="F1061" s="7">
        <f>'Respuestas de formulario 1'!F1061</f>
        <v>42476477</v>
      </c>
      <c r="G1061" s="7" t="str">
        <f>IFERROR(__xludf.DUMMYFUNCTION("IF('Respuestas de formulario 1'!G1061="""","""",IF(LEFT(REGEXREPLACE(TO_TEXT('Respuestas de formulario 1'!G1061),""[^0-9]"",""""),2)=""54"",""+""&amp;REGEXREPLACE(TO_TEXT('Respuestas de formulario 1'!G1061),""[^0-9]"",""""),""+54""&amp;REGEXREPLACE(TO_TEXT('Respu"&amp;"estas de formulario 1'!G1061),""[^0-9]"","""")))"),"+543513865653")</f>
        <v>+543513865653</v>
      </c>
      <c r="H1061" s="7">
        <f>'Respuestas de formulario 1'!S1061</f>
        <v>2025</v>
      </c>
      <c r="I1061" s="7" t="str">
        <f>IFERROR(__xludf.DUMMYFUNCTION("IF('Respuestas de formulario 1'!I1061="""","""",TO_TEXT('Respuestas de formulario 1'!I1061))"),"Obra social")</f>
        <v>Obra social</v>
      </c>
      <c r="J1061" s="7" t="str">
        <f>IFERROR(__xludf.DUMMYFUNCTION("IF('Respuestas de formulario 1'!J1061&lt;&gt;"""",UPPER(TRIM(TO_TEXT('Respuestas de formulario 1'!J1061))),IF('Respuestas de formulario 1'!O1061&lt;&gt;"""",UPPER(TRIM(TO_TEXT('Respuestas de formulario 1'!O1061))),""""))"),"REINTEGRO OSDE")</f>
        <v>REINTEGRO OSDE</v>
      </c>
      <c r="K1061" s="7" t="str">
        <f>IFERROR(__xludf.DUMMYFUNCTION("IF('Respuestas de formulario 1'!K1061="""","""",TO_TEXT('Respuestas de formulario 1'!K1061))"),"Si")</f>
        <v>Si</v>
      </c>
      <c r="L1061" s="7" t="str">
        <f>IFERROR(__xludf.DUMMYFUNCTION("IF('Respuestas de formulario 1'!L1061="""","""",TO_TEXT('Respuestas de formulario 1'!L1061))"),"Gimnasio")</f>
        <v>Gimnasio</v>
      </c>
      <c r="M1061" s="7" t="str">
        <f>IFERROR(__xludf.DUMMYFUNCTION("IF('Respuestas de formulario 1'!M1061="""","""",TO_TEXT('Respuestas de formulario 1'!M1061))"),"3 a 5 veces por semana")</f>
        <v>3 a 5 veces por semana</v>
      </c>
      <c r="N1061" s="7">
        <f t="shared" si="1"/>
        <v>2025</v>
      </c>
      <c r="O1061" s="7" t="str">
        <f t="shared" si="2"/>
        <v>julio</v>
      </c>
      <c r="P1061" s="7" t="s">
        <v>6266</v>
      </c>
    </row>
    <row r="1062">
      <c r="A1062" s="19">
        <f>'Respuestas de formulario 1'!A1062</f>
        <v>45840.74175</v>
      </c>
      <c r="B1062" s="7" t="str">
        <f>'Respuestas de formulario 1'!B1062</f>
        <v>Cordoba</v>
      </c>
      <c r="C1062" s="7" t="str">
        <f>'Respuestas de formulario 1'!C1062</f>
        <v>Edith Maria Laura</v>
      </c>
      <c r="D1062" s="7" t="str">
        <f>'Respuestas de formulario 1'!D1062</f>
        <v/>
      </c>
      <c r="E1062" s="20">
        <f>'Respuestas de formulario 1'!E1062</f>
        <v>21537</v>
      </c>
      <c r="F1062" s="7">
        <f>'Respuestas de formulario 1'!F1062</f>
        <v>12994393</v>
      </c>
      <c r="G1062" s="7" t="str">
        <f>IFERROR(__xludf.DUMMYFUNCTION("IF('Respuestas de formulario 1'!G1062="""","""",IF(LEFT(REGEXREPLACE(TO_TEXT('Respuestas de formulario 1'!G1062),""[^0-9]"",""""),2)=""54"",""+""&amp;REGEXREPLACE(TO_TEXT('Respuestas de formulario 1'!G1062),""[^0-9]"",""""),""+54""&amp;REGEXREPLACE(TO_TEXT('Respu"&amp;"estas de formulario 1'!G1062),""[^0-9]"","""")))"),"+543515379208")</f>
        <v>+543515379208</v>
      </c>
      <c r="H1062" s="7">
        <f>'Respuestas de formulario 1'!S1062</f>
        <v>2025</v>
      </c>
      <c r="I1062" s="7" t="str">
        <f>IFERROR(__xludf.DUMMYFUNCTION("IF('Respuestas de formulario 1'!I1062="""","""",TO_TEXT('Respuestas de formulario 1'!I1062))"),"Particular")</f>
        <v>Particular</v>
      </c>
      <c r="J1062" s="7" t="str">
        <f>IFERROR(__xludf.DUMMYFUNCTION("IF('Respuestas de formulario 1'!J1062&lt;&gt;"""",UPPER(TRIM(TO_TEXT('Respuestas de formulario 1'!J1062))),IF('Respuestas de formulario 1'!O1062&lt;&gt;"""",UPPER(TRIM(TO_TEXT('Respuestas de formulario 1'!O1062))),""""))"),"")</f>
        <v/>
      </c>
      <c r="K1062" s="7" t="str">
        <f>IFERROR(__xludf.DUMMYFUNCTION("IF('Respuestas de formulario 1'!K1062="""","""",TO_TEXT('Respuestas de formulario 1'!K1062))"),"Si")</f>
        <v>Si</v>
      </c>
      <c r="L1062" s="7" t="str">
        <f>IFERROR(__xludf.DUMMYFUNCTION("IF('Respuestas de formulario 1'!L1062="""","""",TO_TEXT('Respuestas de formulario 1'!L1062))"),"Bicicleta Fija")</f>
        <v>Bicicleta Fija</v>
      </c>
      <c r="M1062" s="7" t="str">
        <f>IFERROR(__xludf.DUMMYFUNCTION("IF('Respuestas de formulario 1'!M1062="""","""",TO_TEXT('Respuestas de formulario 1'!M1062))"),"1 a 2 veces por semana")</f>
        <v>1 a 2 veces por semana</v>
      </c>
      <c r="N1062" s="7">
        <f t="shared" si="1"/>
        <v>2025</v>
      </c>
      <c r="O1062" s="7" t="str">
        <f t="shared" si="2"/>
        <v>julio</v>
      </c>
      <c r="P1062" s="7" t="s">
        <v>6268</v>
      </c>
    </row>
    <row r="1063">
      <c r="A1063" s="19">
        <f>'Respuestas de formulario 1'!A1063</f>
        <v>45840.75087</v>
      </c>
      <c r="B1063" s="7" t="str">
        <f>'Respuestas de formulario 1'!B1063</f>
        <v>Pardo</v>
      </c>
      <c r="C1063" s="7" t="str">
        <f>'Respuestas de formulario 1'!C1063</f>
        <v>Elias Agustin</v>
      </c>
      <c r="D1063" s="7" t="str">
        <f>'Respuestas de formulario 1'!D1063</f>
        <v>aguspardo@gmail.com</v>
      </c>
      <c r="E1063" s="20">
        <f>'Respuestas de formulario 1'!E1063</f>
        <v>34670</v>
      </c>
      <c r="F1063" s="7">
        <f>'Respuestas de formulario 1'!F1063</f>
        <v>38644510</v>
      </c>
      <c r="G1063" s="7" t="str">
        <f>IFERROR(__xludf.DUMMYFUNCTION("IF('Respuestas de formulario 1'!G1063="""","""",IF(LEFT(REGEXREPLACE(TO_TEXT('Respuestas de formulario 1'!G1063),""[^0-9]"",""""),2)=""54"",""+""&amp;REGEXREPLACE(TO_TEXT('Respuestas de formulario 1'!G1063),""[^0-9]"",""""),""+54""&amp;REGEXREPLACE(TO_TEXT('Respu"&amp;"estas de formulario 1'!G1063),""[^0-9]"","""")))"),"+543512103737")</f>
        <v>+543512103737</v>
      </c>
      <c r="H1063" s="7">
        <f>'Respuestas de formulario 1'!S1063</f>
        <v>2025</v>
      </c>
      <c r="I1063" s="7" t="str">
        <f>IFERROR(__xludf.DUMMYFUNCTION("IF('Respuestas de formulario 1'!I1063="""","""",TO_TEXT('Respuestas de formulario 1'!I1063))"),"Particular")</f>
        <v>Particular</v>
      </c>
      <c r="J1063" s="7" t="str">
        <f>IFERROR(__xludf.DUMMYFUNCTION("IF('Respuestas de formulario 1'!J1063&lt;&gt;"""",UPPER(TRIM(TO_TEXT('Respuestas de formulario 1'!J1063))),IF('Respuestas de formulario 1'!O1063&lt;&gt;"""",UPPER(TRIM(TO_TEXT('Respuestas de formulario 1'!O1063))),""""))"),"")</f>
        <v/>
      </c>
      <c r="K1063" s="7" t="str">
        <f>IFERROR(__xludf.DUMMYFUNCTION("IF('Respuestas de formulario 1'!K1063="""","""",TO_TEXT('Respuestas de formulario 1'!K1063))"),"Si")</f>
        <v>Si</v>
      </c>
      <c r="L1063" s="7" t="str">
        <f>IFERROR(__xludf.DUMMYFUNCTION("IF('Respuestas de formulario 1'!L1063="""","""",TO_TEXT('Respuestas de formulario 1'!L1063))"),"Fútbol")</f>
        <v>Fútbol</v>
      </c>
      <c r="M1063" s="7" t="str">
        <f>IFERROR(__xludf.DUMMYFUNCTION("IF('Respuestas de formulario 1'!M1063="""","""",TO_TEXT('Respuestas de formulario 1'!M1063))"),"3 a 5 veces por semana")</f>
        <v>3 a 5 veces por semana</v>
      </c>
      <c r="N1063" s="7">
        <f t="shared" si="1"/>
        <v>2025</v>
      </c>
      <c r="O1063" s="7" t="str">
        <f t="shared" si="2"/>
        <v>julio</v>
      </c>
      <c r="P1063" s="7" t="s">
        <v>6269</v>
      </c>
    </row>
    <row r="1064">
      <c r="A1064" s="19">
        <f>'Respuestas de formulario 1'!A1064</f>
        <v>45841.65582</v>
      </c>
      <c r="B1064" s="7" t="str">
        <f>'Respuestas de formulario 1'!B1064</f>
        <v>Delgado</v>
      </c>
      <c r="C1064" s="7" t="str">
        <f>'Respuestas de formulario 1'!C1064</f>
        <v>Graciela </v>
      </c>
      <c r="D1064" s="7" t="str">
        <f>'Respuestas de formulario 1'!D1064</f>
        <v>Gracielatdelgado@gmail.com</v>
      </c>
      <c r="E1064" s="20">
        <f>'Respuestas de formulario 1'!E1064</f>
        <v>17443</v>
      </c>
      <c r="F1064" s="7">
        <f>'Respuestas de formulario 1'!F1064</f>
        <v>5636832</v>
      </c>
      <c r="G1064" s="7" t="str">
        <f>IFERROR(__xludf.DUMMYFUNCTION("IF('Respuestas de formulario 1'!G1064="""","""",IF(LEFT(REGEXREPLACE(TO_TEXT('Respuestas de formulario 1'!G1064),""[^0-9]"",""""),2)=""54"",""+""&amp;REGEXREPLACE(TO_TEXT('Respuestas de formulario 1'!G1064),""[^0-9]"",""""),""+54""&amp;REGEXREPLACE(TO_TEXT('Respu"&amp;"estas de formulario 1'!G1064),""[^0-9]"","""")))"),"+543518684692")</f>
        <v>+543518684692</v>
      </c>
      <c r="H1064" s="7">
        <f>'Respuestas de formulario 1'!S1064</f>
        <v>2025</v>
      </c>
      <c r="I1064" s="7" t="str">
        <f>IFERROR(__xludf.DUMMYFUNCTION("IF('Respuestas de formulario 1'!I1064="""","""",TO_TEXT('Respuestas de formulario 1'!I1064))"),"Particular")</f>
        <v>Particular</v>
      </c>
      <c r="J1064" s="7" t="str">
        <f>IFERROR(__xludf.DUMMYFUNCTION("IF('Respuestas de formulario 1'!J1064&lt;&gt;"""",UPPER(TRIM(TO_TEXT('Respuestas de formulario 1'!J1064))),IF('Respuestas de formulario 1'!O1064&lt;&gt;"""",UPPER(TRIM(TO_TEXT('Respuestas de formulario 1'!O1064))),""""))"),"")</f>
        <v/>
      </c>
      <c r="K1064" s="7" t="str">
        <f>IFERROR(__xludf.DUMMYFUNCTION("IF('Respuestas de formulario 1'!K1064="""","""",TO_TEXT('Respuestas de formulario 1'!K1064))"),"No")</f>
        <v>No</v>
      </c>
      <c r="L1064" s="7" t="str">
        <f>IFERROR(__xludf.DUMMYFUNCTION("IF('Respuestas de formulario 1'!L1064="""","""",TO_TEXT('Respuestas de formulario 1'!L1064))"),"")</f>
        <v/>
      </c>
      <c r="M1064" s="7" t="str">
        <f>IFERROR(__xludf.DUMMYFUNCTION("IF('Respuestas de formulario 1'!M1064="""","""",TO_TEXT('Respuestas de formulario 1'!M1064))"),"")</f>
        <v/>
      </c>
      <c r="N1064" s="7">
        <f t="shared" si="1"/>
        <v>2025</v>
      </c>
      <c r="O1064" s="7" t="str">
        <f t="shared" si="2"/>
        <v>julio</v>
      </c>
      <c r="P1064" s="7" t="s">
        <v>6271</v>
      </c>
    </row>
    <row r="1065">
      <c r="A1065" s="19">
        <f>'Respuestas de formulario 1'!A1065</f>
        <v>45841.69985</v>
      </c>
      <c r="B1065" s="7" t="str">
        <f>'Respuestas de formulario 1'!B1065</f>
        <v>Batalla</v>
      </c>
      <c r="C1065" s="7" t="str">
        <f>'Respuestas de formulario 1'!C1065</f>
        <v>Rosa Ramona</v>
      </c>
      <c r="D1065" s="7" t="str">
        <f>'Respuestas de formulario 1'!D1065</f>
        <v/>
      </c>
      <c r="E1065" s="20">
        <f>'Respuestas de formulario 1'!E1065</f>
        <v>20693</v>
      </c>
      <c r="F1065" s="7">
        <f>'Respuestas de formulario 1'!F1065</f>
        <v>12653896</v>
      </c>
      <c r="G1065" s="7" t="str">
        <f>IFERROR(__xludf.DUMMYFUNCTION("IF('Respuestas de formulario 1'!G1065="""","""",IF(LEFT(REGEXREPLACE(TO_TEXT('Respuestas de formulario 1'!G1065),""[^0-9]"",""""),2)=""54"",""+""&amp;REGEXREPLACE(TO_TEXT('Respuestas de formulario 1'!G1065),""[^0-9]"",""""),""+54""&amp;REGEXREPLACE(TO_TEXT('Respu"&amp;"estas de formulario 1'!G1065),""[^0-9]"","""")))"),"+543517055178")</f>
        <v>+543517055178</v>
      </c>
      <c r="H1065" s="7">
        <f>'Respuestas de formulario 1'!S1065</f>
        <v>2025</v>
      </c>
      <c r="I1065" s="7" t="str">
        <f>IFERROR(__xludf.DUMMYFUNCTION("IF('Respuestas de formulario 1'!I1065="""","""",TO_TEXT('Respuestas de formulario 1'!I1065))"),"Particular")</f>
        <v>Particular</v>
      </c>
      <c r="J1065" s="7" t="str">
        <f>IFERROR(__xludf.DUMMYFUNCTION("IF('Respuestas de formulario 1'!J1065&lt;&gt;"""",UPPER(TRIM(TO_TEXT('Respuestas de formulario 1'!J1065))),IF('Respuestas de formulario 1'!O1065&lt;&gt;"""",UPPER(TRIM(TO_TEXT('Respuestas de formulario 1'!O1065))),""""))"),"")</f>
        <v/>
      </c>
      <c r="K1065" s="7" t="str">
        <f>IFERROR(__xludf.DUMMYFUNCTION("IF('Respuestas de formulario 1'!K1065="""","""",TO_TEXT('Respuestas de formulario 1'!K1065))"),"No")</f>
        <v>No</v>
      </c>
      <c r="L1065" s="7" t="str">
        <f>IFERROR(__xludf.DUMMYFUNCTION("IF('Respuestas de formulario 1'!L1065="""","""",TO_TEXT('Respuestas de formulario 1'!L1065))"),"")</f>
        <v/>
      </c>
      <c r="M1065" s="7" t="str">
        <f>IFERROR(__xludf.DUMMYFUNCTION("IF('Respuestas de formulario 1'!M1065="""","""",TO_TEXT('Respuestas de formulario 1'!M1065))"),"")</f>
        <v/>
      </c>
      <c r="N1065" s="7">
        <f t="shared" si="1"/>
        <v>2025</v>
      </c>
      <c r="O1065" s="7" t="str">
        <f t="shared" si="2"/>
        <v>julio</v>
      </c>
      <c r="P1065" s="7" t="s">
        <v>6273</v>
      </c>
    </row>
    <row r="1066">
      <c r="A1066" s="19">
        <f>'Respuestas de formulario 1'!A1066</f>
        <v>45842.47247</v>
      </c>
      <c r="B1066" s="7" t="str">
        <f>'Respuestas de formulario 1'!B1066</f>
        <v>Míguez</v>
      </c>
      <c r="C1066" s="7" t="str">
        <f>'Respuestas de formulario 1'!C1066</f>
        <v>Nora Élida</v>
      </c>
      <c r="D1066" s="7" t="str">
        <f>'Respuestas de formulario 1'!D1066</f>
        <v>migueznora@gmail.com</v>
      </c>
      <c r="E1066" s="20">
        <f>'Respuestas de formulario 1'!E1066</f>
        <v>22300</v>
      </c>
      <c r="F1066" s="7">
        <f>'Respuestas de formulario 1'!F1066</f>
        <v>14537887</v>
      </c>
      <c r="G1066" s="7" t="str">
        <f>IFERROR(__xludf.DUMMYFUNCTION("IF('Respuestas de formulario 1'!G1066="""","""",IF(LEFT(REGEXREPLACE(TO_TEXT('Respuestas de formulario 1'!G1066),""[^0-9]"",""""),2)=""54"",""+""&amp;REGEXREPLACE(TO_TEXT('Respuestas de formulario 1'!G1066),""[^0-9]"",""""),""+54""&amp;REGEXREPLACE(TO_TEXT('Respu"&amp;"estas de formulario 1'!G1066),""[^0-9]"","""")))"),"+543517645107")</f>
        <v>+543517645107</v>
      </c>
      <c r="H1066" s="7">
        <f>'Respuestas de formulario 1'!S1066</f>
        <v>2025</v>
      </c>
      <c r="I1066" s="7" t="str">
        <f>IFERROR(__xludf.DUMMYFUNCTION("IF('Respuestas de formulario 1'!I1066="""","""",TO_TEXT('Respuestas de formulario 1'!I1066))"),"Obra social")</f>
        <v>Obra social</v>
      </c>
      <c r="J1066" s="7" t="str">
        <f>IFERROR(__xludf.DUMMYFUNCTION("IF('Respuestas de formulario 1'!J1066&lt;&gt;"""",UPPER(TRIM(TO_TEXT('Respuestas de formulario 1'!J1066))),IF('Respuestas de formulario 1'!O1066&lt;&gt;"""",UPPER(TRIM(TO_TEXT('Respuestas de formulario 1'!O1066))),""""))"),"APROSS")</f>
        <v>APROSS</v>
      </c>
      <c r="K1066" s="7" t="str">
        <f>IFERROR(__xludf.DUMMYFUNCTION("IF('Respuestas de formulario 1'!K1066="""","""",TO_TEXT('Respuestas de formulario 1'!K1066))"),"Si")</f>
        <v>Si</v>
      </c>
      <c r="L1066" s="7" t="str">
        <f>IFERROR(__xludf.DUMMYFUNCTION("IF('Respuestas de formulario 1'!L1066="""","""",TO_TEXT('Respuestas de formulario 1'!L1066))"),"Gimnasio")</f>
        <v>Gimnasio</v>
      </c>
      <c r="M1066" s="7" t="str">
        <f>IFERROR(__xludf.DUMMYFUNCTION("IF('Respuestas de formulario 1'!M1066="""","""",TO_TEXT('Respuestas de formulario 1'!M1066))"),"1 a 2 veces por semana")</f>
        <v>1 a 2 veces por semana</v>
      </c>
      <c r="N1066" s="7">
        <f t="shared" si="1"/>
        <v>2025</v>
      </c>
      <c r="O1066" s="7" t="str">
        <f t="shared" si="2"/>
        <v>julio</v>
      </c>
      <c r="P1066" s="7" t="s">
        <v>6275</v>
      </c>
    </row>
    <row r="1067">
      <c r="A1067" s="19">
        <f>'Respuestas de formulario 1'!A1067</f>
        <v>45842.7499</v>
      </c>
      <c r="B1067" s="7" t="str">
        <f>'Respuestas de formulario 1'!B1067</f>
        <v>Walker</v>
      </c>
      <c r="C1067" s="7" t="str">
        <f>'Respuestas de formulario 1'!C1067</f>
        <v>Raul</v>
      </c>
      <c r="D1067" s="7" t="str">
        <f>'Respuestas de formulario 1'!D1067</f>
        <v>walker_raul@hotmail.com</v>
      </c>
      <c r="E1067" s="20">
        <f>'Respuestas de formulario 1'!E1067</f>
        <v>22253</v>
      </c>
      <c r="F1067" s="7">
        <f>'Respuestas de formulario 1'!F1067</f>
        <v>14022167</v>
      </c>
      <c r="G1067" s="7" t="str">
        <f>IFERROR(__xludf.DUMMYFUNCTION("IF('Respuestas de formulario 1'!G1067="""","""",IF(LEFT(REGEXREPLACE(TO_TEXT('Respuestas de formulario 1'!G1067),""[^0-9]"",""""),2)=""54"",""+""&amp;REGEXREPLACE(TO_TEXT('Respuestas de formulario 1'!G1067),""[^0-9]"",""""),""+54""&amp;REGEXREPLACE(TO_TEXT('Respu"&amp;"estas de formulario 1'!G1067),""[^0-9]"","""")))"),"+543516809560")</f>
        <v>+543516809560</v>
      </c>
      <c r="H1067" s="7">
        <f>'Respuestas de formulario 1'!S1067</f>
        <v>2025</v>
      </c>
      <c r="I1067" s="7" t="str">
        <f>IFERROR(__xludf.DUMMYFUNCTION("IF('Respuestas de formulario 1'!I1067="""","""",TO_TEXT('Respuestas de formulario 1'!I1067))"),"Particular")</f>
        <v>Particular</v>
      </c>
      <c r="J1067" s="7" t="str">
        <f>IFERROR(__xludf.DUMMYFUNCTION("IF('Respuestas de formulario 1'!J1067&lt;&gt;"""",UPPER(TRIM(TO_TEXT('Respuestas de formulario 1'!J1067))),IF('Respuestas de formulario 1'!O1067&lt;&gt;"""",UPPER(TRIM(TO_TEXT('Respuestas de formulario 1'!O1067))),""""))"),"")</f>
        <v/>
      </c>
      <c r="K1067" s="7" t="str">
        <f>IFERROR(__xludf.DUMMYFUNCTION("IF('Respuestas de formulario 1'!K1067="""","""",TO_TEXT('Respuestas de formulario 1'!K1067))"),"No")</f>
        <v>No</v>
      </c>
      <c r="L1067" s="7" t="str">
        <f>IFERROR(__xludf.DUMMYFUNCTION("IF('Respuestas de formulario 1'!L1067="""","""",TO_TEXT('Respuestas de formulario 1'!L1067))"),"")</f>
        <v/>
      </c>
      <c r="M1067" s="7" t="str">
        <f>IFERROR(__xludf.DUMMYFUNCTION("IF('Respuestas de formulario 1'!M1067="""","""",TO_TEXT('Respuestas de formulario 1'!M1067))"),"")</f>
        <v/>
      </c>
      <c r="N1067" s="7">
        <f t="shared" si="1"/>
        <v>2025</v>
      </c>
      <c r="O1067" s="7" t="str">
        <f t="shared" si="2"/>
        <v>julio</v>
      </c>
      <c r="P1067" s="7" t="s">
        <v>6277</v>
      </c>
    </row>
    <row r="1068">
      <c r="A1068" s="19">
        <f>'Respuestas de formulario 1'!A1068</f>
        <v>45842.94598</v>
      </c>
      <c r="B1068" s="7" t="str">
        <f>'Respuestas de formulario 1'!B1068</f>
        <v>Pelliza </v>
      </c>
      <c r="C1068" s="7" t="str">
        <f>'Respuestas de formulario 1'!C1068</f>
        <v>Romina Paola </v>
      </c>
      <c r="D1068" s="7" t="str">
        <f>'Respuestas de formulario 1'!D1068</f>
        <v>azulpiaciro@gmail.com</v>
      </c>
      <c r="E1068" s="20">
        <f>'Respuestas de formulario 1'!E1068</f>
        <v>46019</v>
      </c>
      <c r="F1068" s="7">
        <f>'Respuestas de formulario 1'!F1068</f>
        <v>31220148</v>
      </c>
      <c r="G1068" s="7" t="str">
        <f>IFERROR(__xludf.DUMMYFUNCTION("IF('Respuestas de formulario 1'!G1068="""","""",IF(LEFT(REGEXREPLACE(TO_TEXT('Respuestas de formulario 1'!G1068),""[^0-9]"",""""),2)=""54"",""+""&amp;REGEXREPLACE(TO_TEXT('Respuestas de formulario 1'!G1068),""[^0-9]"",""""),""+54""&amp;REGEXREPLACE(TO_TEXT('Respu"&amp;"estas de formulario 1'!G1068),""[^0-9]"","""")))"),"+543518061792")</f>
        <v>+543518061792</v>
      </c>
      <c r="H1068" s="7">
        <f>'Respuestas de formulario 1'!S1068</f>
        <v>2025</v>
      </c>
      <c r="I1068" s="7" t="str">
        <f>IFERROR(__xludf.DUMMYFUNCTION("IF('Respuestas de formulario 1'!I1068="""","""",TO_TEXT('Respuestas de formulario 1'!I1068))"),"Particular")</f>
        <v>Particular</v>
      </c>
      <c r="J1068" s="7" t="str">
        <f>IFERROR(__xludf.DUMMYFUNCTION("IF('Respuestas de formulario 1'!J1068&lt;&gt;"""",UPPER(TRIM(TO_TEXT('Respuestas de formulario 1'!J1068))),IF('Respuestas de formulario 1'!O1068&lt;&gt;"""",UPPER(TRIM(TO_TEXT('Respuestas de formulario 1'!O1068))),""""))"),"")</f>
        <v/>
      </c>
      <c r="K1068" s="7" t="str">
        <f>IFERROR(__xludf.DUMMYFUNCTION("IF('Respuestas de formulario 1'!K1068="""","""",TO_TEXT('Respuestas de formulario 1'!K1068))"),"No")</f>
        <v>No</v>
      </c>
      <c r="L1068" s="7" t="str">
        <f>IFERROR(__xludf.DUMMYFUNCTION("IF('Respuestas de formulario 1'!L1068="""","""",TO_TEXT('Respuestas de formulario 1'!L1068))"),"")</f>
        <v/>
      </c>
      <c r="M1068" s="7" t="str">
        <f>IFERROR(__xludf.DUMMYFUNCTION("IF('Respuestas de formulario 1'!M1068="""","""",TO_TEXT('Respuestas de formulario 1'!M1068))"),"")</f>
        <v/>
      </c>
      <c r="N1068" s="7">
        <f t="shared" si="1"/>
        <v>2025</v>
      </c>
      <c r="O1068" s="7" t="str">
        <f t="shared" si="2"/>
        <v>julio</v>
      </c>
      <c r="P1068" s="7" t="s">
        <v>6279</v>
      </c>
    </row>
    <row r="1069">
      <c r="A1069" s="19">
        <f>'Respuestas de formulario 1'!A1069</f>
        <v>45845.46785</v>
      </c>
      <c r="B1069" s="7" t="str">
        <f>'Respuestas de formulario 1'!B1069</f>
        <v>LOPEZ</v>
      </c>
      <c r="C1069" s="7" t="str">
        <f>'Respuestas de formulario 1'!C1069</f>
        <v>Facundo</v>
      </c>
      <c r="D1069" s="7" t="str">
        <f>'Respuestas de formulario 1'!D1069</f>
        <v>lsegundo419@gmail.com</v>
      </c>
      <c r="E1069" s="20">
        <f>'Respuestas de formulario 1'!E1069</f>
        <v>33072</v>
      </c>
      <c r="F1069" s="7">
        <f>'Respuestas de formulario 1'!F1069</f>
        <v>35260241</v>
      </c>
      <c r="G1069" s="7" t="str">
        <f>IFERROR(__xludf.DUMMYFUNCTION("IF('Respuestas de formulario 1'!G1069="""","""",IF(LEFT(REGEXREPLACE(TO_TEXT('Respuestas de formulario 1'!G1069),""[^0-9]"",""""),2)=""54"",""+""&amp;REGEXREPLACE(TO_TEXT('Respuestas de formulario 1'!G1069),""[^0-9]"",""""),""+54""&amp;REGEXREPLACE(TO_TEXT('Respu"&amp;"estas de formulario 1'!G1069),""[^0-9]"","""")))"),"+543543604496")</f>
        <v>+543543604496</v>
      </c>
      <c r="H1069" s="7">
        <f>'Respuestas de formulario 1'!S1069</f>
        <v>2025</v>
      </c>
      <c r="I1069" s="7" t="str">
        <f>IFERROR(__xludf.DUMMYFUNCTION("IF('Respuestas de formulario 1'!I1069="""","""",TO_TEXT('Respuestas de formulario 1'!I1069))"),"Particular")</f>
        <v>Particular</v>
      </c>
      <c r="J1069" s="7" t="str">
        <f>IFERROR(__xludf.DUMMYFUNCTION("IF('Respuestas de formulario 1'!J1069&lt;&gt;"""",UPPER(TRIM(TO_TEXT('Respuestas de formulario 1'!J1069))),IF('Respuestas de formulario 1'!O1069&lt;&gt;"""",UPPER(TRIM(TO_TEXT('Respuestas de formulario 1'!O1069))),""""))"),"")</f>
        <v/>
      </c>
      <c r="K1069" s="7" t="str">
        <f>IFERROR(__xludf.DUMMYFUNCTION("IF('Respuestas de formulario 1'!K1069="""","""",TO_TEXT('Respuestas de formulario 1'!K1069))"),"Si")</f>
        <v>Si</v>
      </c>
      <c r="L1069" s="7" t="str">
        <f>IFERROR(__xludf.DUMMYFUNCTION("IF('Respuestas de formulario 1'!L1069="""","""",TO_TEXT('Respuestas de formulario 1'!L1069))"),"Fútbol")</f>
        <v>Fútbol</v>
      </c>
      <c r="M1069" s="7" t="str">
        <f>IFERROR(__xludf.DUMMYFUNCTION("IF('Respuestas de formulario 1'!M1069="""","""",TO_TEXT('Respuestas de formulario 1'!M1069))"),"3 a 5 veces por semana")</f>
        <v>3 a 5 veces por semana</v>
      </c>
      <c r="N1069" s="7">
        <f t="shared" si="1"/>
        <v>2025</v>
      </c>
      <c r="O1069" s="7" t="str">
        <f t="shared" si="2"/>
        <v>julio</v>
      </c>
      <c r="P1069" s="7" t="s">
        <v>6281</v>
      </c>
    </row>
    <row r="1070">
      <c r="A1070" s="19">
        <f>'Respuestas de formulario 1'!A1070</f>
        <v>45845.7354</v>
      </c>
      <c r="B1070" s="7" t="str">
        <f>'Respuestas de formulario 1'!B1070</f>
        <v>Tapia</v>
      </c>
      <c r="C1070" s="7" t="str">
        <f>'Respuestas de formulario 1'!C1070</f>
        <v>Martin</v>
      </c>
      <c r="D1070" s="7" t="str">
        <f>'Respuestas de formulario 1'!D1070</f>
        <v>makwiecien@gmail.com</v>
      </c>
      <c r="E1070" s="20">
        <f>'Respuestas de formulario 1'!E1070</f>
        <v>29669</v>
      </c>
      <c r="F1070" s="7">
        <f>'Respuestas de formulario 1'!F1070</f>
        <v>28654815</v>
      </c>
      <c r="G1070" s="7" t="str">
        <f>IFERROR(__xludf.DUMMYFUNCTION("IF('Respuestas de formulario 1'!G1070="""","""",IF(LEFT(REGEXREPLACE(TO_TEXT('Respuestas de formulario 1'!G1070),""[^0-9]"",""""),2)=""54"",""+""&amp;REGEXREPLACE(TO_TEXT('Respuestas de formulario 1'!G1070),""[^0-9]"",""""),""+54""&amp;REGEXREPLACE(TO_TEXT('Respu"&amp;"estas de formulario 1'!G1070),""[^0-9]"","""")))"),"+543512331985")</f>
        <v>+543512331985</v>
      </c>
      <c r="H1070" s="7">
        <f>'Respuestas de formulario 1'!S1070</f>
        <v>2025</v>
      </c>
      <c r="I1070" s="7" t="str">
        <f>IFERROR(__xludf.DUMMYFUNCTION("IF('Respuestas de formulario 1'!I1070="""","""",TO_TEXT('Respuestas de formulario 1'!I1070))"),"Obra social")</f>
        <v>Obra social</v>
      </c>
      <c r="J1070" s="7" t="str">
        <f>IFERROR(__xludf.DUMMYFUNCTION("IF('Respuestas de formulario 1'!J1070&lt;&gt;"""",UPPER(TRIM(TO_TEXT('Respuestas de formulario 1'!J1070))),IF('Respuestas de formulario 1'!O1070&lt;&gt;"""",UPPER(TRIM(TO_TEXT('Respuestas de formulario 1'!O1070))),""""))"),"DASPU")</f>
        <v>DASPU</v>
      </c>
      <c r="K1070" s="7" t="str">
        <f>IFERROR(__xludf.DUMMYFUNCTION("IF('Respuestas de formulario 1'!K1070="""","""",TO_TEXT('Respuestas de formulario 1'!K1070))"),"No")</f>
        <v>No</v>
      </c>
      <c r="L1070" s="7" t="str">
        <f>IFERROR(__xludf.DUMMYFUNCTION("IF('Respuestas de formulario 1'!L1070="""","""",TO_TEXT('Respuestas de formulario 1'!L1070))"),"")</f>
        <v/>
      </c>
      <c r="M1070" s="7" t="str">
        <f>IFERROR(__xludf.DUMMYFUNCTION("IF('Respuestas de formulario 1'!M1070="""","""",TO_TEXT('Respuestas de formulario 1'!M1070))"),"")</f>
        <v/>
      </c>
      <c r="N1070" s="7">
        <f t="shared" si="1"/>
        <v>2025</v>
      </c>
      <c r="O1070" s="7" t="str">
        <f t="shared" si="2"/>
        <v>julio</v>
      </c>
      <c r="P1070" s="7" t="s">
        <v>6283</v>
      </c>
    </row>
    <row r="1071">
      <c r="A1071" s="19">
        <f>'Respuestas de formulario 1'!A1071</f>
        <v>45845.74468</v>
      </c>
      <c r="B1071" s="7" t="str">
        <f>'Respuestas de formulario 1'!B1071</f>
        <v>Lauricella </v>
      </c>
      <c r="C1071" s="7" t="str">
        <f>'Respuestas de formulario 1'!C1071</f>
        <v>Nahuel</v>
      </c>
      <c r="D1071" s="7" t="str">
        <f>'Respuestas de formulario 1'!D1071</f>
        <v>soynahuel95@gmail.com</v>
      </c>
      <c r="E1071" s="20">
        <f>'Respuestas de formulario 1'!E1071</f>
        <v>35037</v>
      </c>
      <c r="F1071" s="7">
        <f>'Respuestas de formulario 1'!F1071</f>
        <v>39421781</v>
      </c>
      <c r="G1071" s="7" t="str">
        <f>IFERROR(__xludf.DUMMYFUNCTION("IF('Respuestas de formulario 1'!G1071="""","""",IF(LEFT(REGEXREPLACE(TO_TEXT('Respuestas de formulario 1'!G1071),""[^0-9]"",""""),2)=""54"",""+""&amp;REGEXREPLACE(TO_TEXT('Respuestas de formulario 1'!G1071),""[^0-9]"",""""),""+54""&amp;REGEXREPLACE(TO_TEXT('Respu"&amp;"estas de formulario 1'!G1071),""[^0-9]"","""")))"),"+543518089176")</f>
        <v>+543518089176</v>
      </c>
      <c r="H1071" s="7">
        <f>'Respuestas de formulario 1'!S1071</f>
        <v>2025</v>
      </c>
      <c r="I1071" s="7" t="str">
        <f>IFERROR(__xludf.DUMMYFUNCTION("IF('Respuestas de formulario 1'!I1071="""","""",TO_TEXT('Respuestas de formulario 1'!I1071))"),"Particular")</f>
        <v>Particular</v>
      </c>
      <c r="J1071" s="7" t="str">
        <f>IFERROR(__xludf.DUMMYFUNCTION("IF('Respuestas de formulario 1'!J1071&lt;&gt;"""",UPPER(TRIM(TO_TEXT('Respuestas de formulario 1'!J1071))),IF('Respuestas de formulario 1'!O1071&lt;&gt;"""",UPPER(TRIM(TO_TEXT('Respuestas de formulario 1'!O1071))),""""))"),"")</f>
        <v/>
      </c>
      <c r="K1071" s="7" t="str">
        <f>IFERROR(__xludf.DUMMYFUNCTION("IF('Respuestas de formulario 1'!K1071="""","""",TO_TEXT('Respuestas de formulario 1'!K1071))"),"Si")</f>
        <v>Si</v>
      </c>
      <c r="L1071" s="7" t="str">
        <f>IFERROR(__xludf.DUMMYFUNCTION("IF('Respuestas de formulario 1'!L1071="""","""",TO_TEXT('Respuestas de formulario 1'!L1071))"),"Fútbol")</f>
        <v>Fútbol</v>
      </c>
      <c r="M1071" s="7" t="str">
        <f>IFERROR(__xludf.DUMMYFUNCTION("IF('Respuestas de formulario 1'!M1071="""","""",TO_TEXT('Respuestas de formulario 1'!M1071))"),"1 a 2 veces por semana")</f>
        <v>1 a 2 veces por semana</v>
      </c>
      <c r="N1071" s="7">
        <f t="shared" si="1"/>
        <v>2025</v>
      </c>
      <c r="O1071" s="7" t="str">
        <f t="shared" si="2"/>
        <v>julio</v>
      </c>
      <c r="P1071" s="7" t="s">
        <v>6285</v>
      </c>
    </row>
    <row r="1072">
      <c r="A1072" s="19">
        <f>'Respuestas de formulario 1'!A1072</f>
        <v>45845.82467</v>
      </c>
      <c r="B1072" s="7" t="str">
        <f>'Respuestas de formulario 1'!B1072</f>
        <v>CHEJOSKI</v>
      </c>
      <c r="C1072" s="7" t="str">
        <f>'Respuestas de formulario 1'!C1072</f>
        <v>Marcos</v>
      </c>
      <c r="D1072" s="7" t="str">
        <f>'Respuestas de formulario 1'!D1072</f>
        <v>marcoschejoski99@gmail.com</v>
      </c>
      <c r="E1072" s="20">
        <f>'Respuestas de formulario 1'!E1072</f>
        <v>36330</v>
      </c>
      <c r="F1072" s="7">
        <f>'Respuestas de formulario 1'!F1072</f>
        <v>41963258</v>
      </c>
      <c r="G1072" s="7" t="str">
        <f>IFERROR(__xludf.DUMMYFUNCTION("IF('Respuestas de formulario 1'!G1072="""","""",IF(LEFT(REGEXREPLACE(TO_TEXT('Respuestas de formulario 1'!G1072),""[^0-9]"",""""),2)=""54"",""+""&amp;REGEXREPLACE(TO_TEXT('Respuestas de formulario 1'!G1072),""[^0-9]"",""""),""+54""&amp;REGEXREPLACE(TO_TEXT('Respu"&amp;"estas de formulario 1'!G1072),""[^0-9]"","""")))"),"+543512955749")</f>
        <v>+543512955749</v>
      </c>
      <c r="H1072" s="7">
        <f>'Respuestas de formulario 1'!S1072</f>
        <v>2025</v>
      </c>
      <c r="I1072" s="7" t="str">
        <f>IFERROR(__xludf.DUMMYFUNCTION("IF('Respuestas de formulario 1'!I1072="""","""",TO_TEXT('Respuestas de formulario 1'!I1072))"),"Obra social")</f>
        <v>Obra social</v>
      </c>
      <c r="J1072" s="7" t="str">
        <f>IFERROR(__xludf.DUMMYFUNCTION("IF('Respuestas de formulario 1'!J1072&lt;&gt;"""",UPPER(TRIM(TO_TEXT('Respuestas de formulario 1'!J1072))),IF('Respuestas de formulario 1'!O1072&lt;&gt;"""",UPPER(TRIM(TO_TEXT('Respuestas de formulario 1'!O1072))),""""))"),"PREVENCIÓN")</f>
        <v>PREVENCIÓN</v>
      </c>
      <c r="K1072" s="7" t="str">
        <f>IFERROR(__xludf.DUMMYFUNCTION("IF('Respuestas de formulario 1'!K1072="""","""",TO_TEXT('Respuestas de formulario 1'!K1072))"),"Si")</f>
        <v>Si</v>
      </c>
      <c r="L1072" s="7" t="str">
        <f>IFERROR(__xludf.DUMMYFUNCTION("IF('Respuestas de formulario 1'!L1072="""","""",TO_TEXT('Respuestas de formulario 1'!L1072))"),"Gimnasio + Futbol")</f>
        <v>Gimnasio + Futbol</v>
      </c>
      <c r="M1072" s="7" t="str">
        <f>IFERROR(__xludf.DUMMYFUNCTION("IF('Respuestas de formulario 1'!M1072="""","""",TO_TEXT('Respuestas de formulario 1'!M1072))"),"3 a 5 veces por semana")</f>
        <v>3 a 5 veces por semana</v>
      </c>
      <c r="N1072" s="7">
        <f t="shared" si="1"/>
        <v>2025</v>
      </c>
      <c r="O1072" s="7" t="str">
        <f t="shared" si="2"/>
        <v>julio</v>
      </c>
      <c r="P1072" s="7" t="s">
        <v>6287</v>
      </c>
    </row>
    <row r="1073">
      <c r="A1073" s="19">
        <f>'Respuestas de formulario 1'!A1073</f>
        <v>45846.45565</v>
      </c>
      <c r="B1073" s="7" t="str">
        <f>'Respuestas de formulario 1'!B1073</f>
        <v>Richard</v>
      </c>
      <c r="C1073" s="7" t="str">
        <f>'Respuestas de formulario 1'!C1073</f>
        <v>Franco</v>
      </c>
      <c r="D1073" s="7" t="str">
        <f>'Respuestas de formulario 1'!D1073</f>
        <v>francorichardtt@gmail.com</v>
      </c>
      <c r="E1073" s="20">
        <f>'Respuestas de formulario 1'!E1073</f>
        <v>37441</v>
      </c>
      <c r="F1073" s="7">
        <f>'Respuestas de formulario 1'!F1073</f>
        <v>44192782</v>
      </c>
      <c r="G1073" s="7" t="str">
        <f>IFERROR(__xludf.DUMMYFUNCTION("IF('Respuestas de formulario 1'!G1073="""","""",IF(LEFT(REGEXREPLACE(TO_TEXT('Respuestas de formulario 1'!G1073),""[^0-9]"",""""),2)=""54"",""+""&amp;REGEXREPLACE(TO_TEXT('Respuestas de formulario 1'!G1073),""[^0-9]"",""""),""+54""&amp;REGEXREPLACE(TO_TEXT('Respu"&amp;"estas de formulario 1'!G1073),""[^0-9]"","""")))"),"+543518072002")</f>
        <v>+543518072002</v>
      </c>
      <c r="H1073" s="7">
        <f>'Respuestas de formulario 1'!S1073</f>
        <v>2025</v>
      </c>
      <c r="I1073" s="7" t="str">
        <f>IFERROR(__xludf.DUMMYFUNCTION("IF('Respuestas de formulario 1'!I1073="""","""",TO_TEXT('Respuestas de formulario 1'!I1073))"),"Obra social")</f>
        <v>Obra social</v>
      </c>
      <c r="J1073" s="7" t="str">
        <f>IFERROR(__xludf.DUMMYFUNCTION("IF('Respuestas de formulario 1'!J1073&lt;&gt;"""",UPPER(TRIM(TO_TEXT('Respuestas de formulario 1'!J1073))),IF('Respuestas de formulario 1'!O1073&lt;&gt;"""",UPPER(TRIM(TO_TEXT('Respuestas de formulario 1'!O1073))),""""))"),"SWISS MEDICAL")</f>
        <v>SWISS MEDICAL</v>
      </c>
      <c r="K1073" s="7" t="str">
        <f>IFERROR(__xludf.DUMMYFUNCTION("IF('Respuestas de formulario 1'!K1073="""","""",TO_TEXT('Respuestas de formulario 1'!K1073))"),"Si")</f>
        <v>Si</v>
      </c>
      <c r="L1073" s="7" t="str">
        <f>IFERROR(__xludf.DUMMYFUNCTION("IF('Respuestas de formulario 1'!L1073="""","""",TO_TEXT('Respuestas de formulario 1'!L1073))"),"Gimnasio")</f>
        <v>Gimnasio</v>
      </c>
      <c r="M1073" s="7" t="str">
        <f>IFERROR(__xludf.DUMMYFUNCTION("IF('Respuestas de formulario 1'!M1073="""","""",TO_TEXT('Respuestas de formulario 1'!M1073))"),"1 a 2 veces por semana")</f>
        <v>1 a 2 veces por semana</v>
      </c>
      <c r="N1073" s="7">
        <f t="shared" si="1"/>
        <v>2025</v>
      </c>
      <c r="O1073" s="7" t="str">
        <f t="shared" si="2"/>
        <v>julio</v>
      </c>
      <c r="P1073" s="7" t="s">
        <v>6289</v>
      </c>
    </row>
    <row r="1074">
      <c r="A1074" s="19">
        <f>'Respuestas de formulario 1'!A1074</f>
        <v>45846.72664</v>
      </c>
      <c r="B1074" s="7" t="str">
        <f>'Respuestas de formulario 1'!B1074</f>
        <v>Pelaez</v>
      </c>
      <c r="C1074" s="7" t="str">
        <f>'Respuestas de formulario 1'!C1074</f>
        <v>Jose Luis</v>
      </c>
      <c r="D1074" s="7" t="str">
        <f>'Respuestas de formulario 1'!D1074</f>
        <v/>
      </c>
      <c r="E1074" s="20">
        <f>'Respuestas de formulario 1'!E1074</f>
        <v>22379</v>
      </c>
      <c r="F1074" s="7">
        <f>'Respuestas de formulario 1'!F1074</f>
        <v>14475885</v>
      </c>
      <c r="G1074" s="7" t="str">
        <f>IFERROR(__xludf.DUMMYFUNCTION("IF('Respuestas de formulario 1'!G1074="""","""",IF(LEFT(REGEXREPLACE(TO_TEXT('Respuestas de formulario 1'!G1074),""[^0-9]"",""""),2)=""54"",""+""&amp;REGEXREPLACE(TO_TEXT('Respuestas de formulario 1'!G1074),""[^0-9]"",""""),""+54""&amp;REGEXREPLACE(TO_TEXT('Respu"&amp;"estas de formulario 1'!G1074),""[^0-9]"","""")))"),"+543515904535")</f>
        <v>+543515904535</v>
      </c>
      <c r="H1074" s="7">
        <f>'Respuestas de formulario 1'!S1074</f>
        <v>2025</v>
      </c>
      <c r="I1074" s="7" t="str">
        <f>IFERROR(__xludf.DUMMYFUNCTION("IF('Respuestas de formulario 1'!I1074="""","""",TO_TEXT('Respuestas de formulario 1'!I1074))"),"Obra social")</f>
        <v>Obra social</v>
      </c>
      <c r="J1074" s="7" t="str">
        <f>IFERROR(__xludf.DUMMYFUNCTION("IF('Respuestas de formulario 1'!J1074&lt;&gt;"""",UPPER(TRIM(TO_TEXT('Respuestas de formulario 1'!J1074))),IF('Respuestas de formulario 1'!O1074&lt;&gt;"""",UPPER(TRIM(TO_TEXT('Respuestas de formulario 1'!O1074))),""""))"),"APROSS")</f>
        <v>APROSS</v>
      </c>
      <c r="K1074" s="7" t="str">
        <f>IFERROR(__xludf.DUMMYFUNCTION("IF('Respuestas de formulario 1'!K1074="""","""",TO_TEXT('Respuestas de formulario 1'!K1074))"),"Si")</f>
        <v>Si</v>
      </c>
      <c r="L1074" s="7" t="str">
        <f>IFERROR(__xludf.DUMMYFUNCTION("IF('Respuestas de formulario 1'!L1074="""","""",TO_TEXT('Respuestas de formulario 1'!L1074))"),"")</f>
        <v/>
      </c>
      <c r="M1074" s="7" t="str">
        <f>IFERROR(__xludf.DUMMYFUNCTION("IF('Respuestas de formulario 1'!M1074="""","""",TO_TEXT('Respuestas de formulario 1'!M1074))"),"1 a 2 veces por semana")</f>
        <v>1 a 2 veces por semana</v>
      </c>
      <c r="N1074" s="7">
        <f t="shared" si="1"/>
        <v>2025</v>
      </c>
      <c r="O1074" s="7" t="str">
        <f t="shared" si="2"/>
        <v>julio</v>
      </c>
      <c r="P1074" s="7" t="s">
        <v>6291</v>
      </c>
    </row>
    <row r="1075">
      <c r="A1075" s="19">
        <f>'Respuestas de formulario 1'!A1075</f>
        <v>45848.58038</v>
      </c>
      <c r="B1075" s="7" t="str">
        <f>'Respuestas de formulario 1'!B1075</f>
        <v>Dominguez</v>
      </c>
      <c r="C1075" s="7" t="str">
        <f>'Respuestas de formulario 1'!C1075</f>
        <v>Rocio</v>
      </c>
      <c r="D1075" s="7" t="str">
        <f>'Respuestas de formulario 1'!D1075</f>
        <v>rociodominguez03@hotmail.com</v>
      </c>
      <c r="E1075" s="20">
        <f>'Respuestas de formulario 1'!E1075</f>
        <v>32660</v>
      </c>
      <c r="F1075" s="7">
        <f>'Respuestas de formulario 1'!F1075</f>
        <v>33881303</v>
      </c>
      <c r="G1075" s="7" t="str">
        <f>IFERROR(__xludf.DUMMYFUNCTION("IF('Respuestas de formulario 1'!G1075="""","""",IF(LEFT(REGEXREPLACE(TO_TEXT('Respuestas de formulario 1'!G1075),""[^0-9]"",""""),2)=""54"",""+""&amp;REGEXREPLACE(TO_TEXT('Respuestas de formulario 1'!G1075),""[^0-9]"",""""),""+54""&amp;REGEXREPLACE(TO_TEXT('Respu"&amp;"estas de formulario 1'!G1075),""[^0-9]"","""")))"),"+543518043069")</f>
        <v>+543518043069</v>
      </c>
      <c r="H1075" s="7">
        <f>'Respuestas de formulario 1'!S1075</f>
        <v>2025</v>
      </c>
      <c r="I1075" s="7" t="str">
        <f>IFERROR(__xludf.DUMMYFUNCTION("IF('Respuestas de formulario 1'!I1075="""","""",TO_TEXT('Respuestas de formulario 1'!I1075))"),"Particular")</f>
        <v>Particular</v>
      </c>
      <c r="J1075" s="7" t="str">
        <f>IFERROR(__xludf.DUMMYFUNCTION("IF('Respuestas de formulario 1'!J1075&lt;&gt;"""",UPPER(TRIM(TO_TEXT('Respuestas de formulario 1'!J1075))),IF('Respuestas de formulario 1'!O1075&lt;&gt;"""",UPPER(TRIM(TO_TEXT('Respuestas de formulario 1'!O1075))),""""))"),"")</f>
        <v/>
      </c>
      <c r="K1075" s="7" t="str">
        <f>IFERROR(__xludf.DUMMYFUNCTION("IF('Respuestas de formulario 1'!K1075="""","""",TO_TEXT('Respuestas de formulario 1'!K1075))"),"No")</f>
        <v>No</v>
      </c>
      <c r="L1075" s="7" t="str">
        <f>IFERROR(__xludf.DUMMYFUNCTION("IF('Respuestas de formulario 1'!L1075="""","""",TO_TEXT('Respuestas de formulario 1'!L1075))"),"")</f>
        <v/>
      </c>
      <c r="M1075" s="7" t="str">
        <f>IFERROR(__xludf.DUMMYFUNCTION("IF('Respuestas de formulario 1'!M1075="""","""",TO_TEXT('Respuestas de formulario 1'!M1075))"),"")</f>
        <v/>
      </c>
      <c r="N1075" s="7">
        <f t="shared" si="1"/>
        <v>2025</v>
      </c>
      <c r="O1075" s="7" t="str">
        <f t="shared" si="2"/>
        <v>julio</v>
      </c>
      <c r="P1075" s="7" t="s">
        <v>6293</v>
      </c>
    </row>
    <row r="1076">
      <c r="A1076" s="19">
        <f>'Respuestas de formulario 1'!A1076</f>
        <v>45848.76064</v>
      </c>
      <c r="B1076" s="7" t="str">
        <f>'Respuestas de formulario 1'!B1076</f>
        <v>Sanchez</v>
      </c>
      <c r="C1076" s="7" t="str">
        <f>'Respuestas de formulario 1'!C1076</f>
        <v>Veronica</v>
      </c>
      <c r="D1076" s="7" t="str">
        <f>'Respuestas de formulario 1'!D1076</f>
        <v>vero_sanchez@outlook.com</v>
      </c>
      <c r="E1076" s="20">
        <f>'Respuestas de formulario 1'!E1076</f>
        <v>27995</v>
      </c>
      <c r="F1076" s="7">
        <f>'Respuestas de formulario 1'!F1076</f>
        <v>25246922</v>
      </c>
      <c r="G1076" s="7" t="str">
        <f>IFERROR(__xludf.DUMMYFUNCTION("IF('Respuestas de formulario 1'!G1076="""","""",IF(LEFT(REGEXREPLACE(TO_TEXT('Respuestas de formulario 1'!G1076),""[^0-9]"",""""),2)=""54"",""+""&amp;REGEXREPLACE(TO_TEXT('Respuestas de formulario 1'!G1076),""[^0-9]"",""""),""+54""&amp;REGEXREPLACE(TO_TEXT('Respu"&amp;"estas de formulario 1'!G1076),""[^0-9]"","""")))"),"+543515995995")</f>
        <v>+543515995995</v>
      </c>
      <c r="H1076" s="7">
        <f>'Respuestas de formulario 1'!S1076</f>
        <v>2025</v>
      </c>
      <c r="I1076" s="7" t="str">
        <f>IFERROR(__xludf.DUMMYFUNCTION("IF('Respuestas de formulario 1'!I1076="""","""",TO_TEXT('Respuestas de formulario 1'!I1076))"),"Particular")</f>
        <v>Particular</v>
      </c>
      <c r="J1076" s="7" t="str">
        <f>IFERROR(__xludf.DUMMYFUNCTION("IF('Respuestas de formulario 1'!J1076&lt;&gt;"""",UPPER(TRIM(TO_TEXT('Respuestas de formulario 1'!J1076))),IF('Respuestas de formulario 1'!O1076&lt;&gt;"""",UPPER(TRIM(TO_TEXT('Respuestas de formulario 1'!O1076))),""""))"),"")</f>
        <v/>
      </c>
      <c r="K1076" s="7" t="str">
        <f>IFERROR(__xludf.DUMMYFUNCTION("IF('Respuestas de formulario 1'!K1076="""","""",TO_TEXT('Respuestas de formulario 1'!K1076))"),"Si")</f>
        <v>Si</v>
      </c>
      <c r="L1076" s="7" t="str">
        <f>IFERROR(__xludf.DUMMYFUNCTION("IF('Respuestas de formulario 1'!L1076="""","""",TO_TEXT('Respuestas de formulario 1'!L1076))"),"Squash")</f>
        <v>Squash</v>
      </c>
      <c r="M1076" s="7" t="str">
        <f>IFERROR(__xludf.DUMMYFUNCTION("IF('Respuestas de formulario 1'!M1076="""","""",TO_TEXT('Respuestas de formulario 1'!M1076))"),"3 a 5 veces por semana")</f>
        <v>3 a 5 veces por semana</v>
      </c>
      <c r="N1076" s="7">
        <f t="shared" si="1"/>
        <v>2025</v>
      </c>
      <c r="O1076" s="7" t="str">
        <f t="shared" si="2"/>
        <v>julio</v>
      </c>
      <c r="P1076" s="7" t="s">
        <v>6295</v>
      </c>
    </row>
    <row r="1077">
      <c r="A1077" s="19">
        <f>'Respuestas de formulario 1'!A1077</f>
        <v>45849.72504</v>
      </c>
      <c r="B1077" s="7" t="str">
        <f>'Respuestas de formulario 1'!B1077</f>
        <v>Almada</v>
      </c>
      <c r="C1077" s="7" t="str">
        <f>'Respuestas de formulario 1'!C1077</f>
        <v>Hugo</v>
      </c>
      <c r="D1077" s="7" t="str">
        <f>'Respuestas de formulario 1'!D1077</f>
        <v>hugo_almada@yahoo.com.ar</v>
      </c>
      <c r="E1077" s="20">
        <f>'Respuestas de formulario 1'!E1077</f>
        <v>25864</v>
      </c>
      <c r="F1077" s="7">
        <f>'Respuestas de formulario 1'!F1077</f>
        <v>21901133</v>
      </c>
      <c r="G1077" s="7" t="str">
        <f>IFERROR(__xludf.DUMMYFUNCTION("IF('Respuestas de formulario 1'!G1077="""","""",IF(LEFT(REGEXREPLACE(TO_TEXT('Respuestas de formulario 1'!G1077),""[^0-9]"",""""),2)=""54"",""+""&amp;REGEXREPLACE(TO_TEXT('Respuestas de formulario 1'!G1077),""[^0-9]"",""""),""+54""&amp;REGEXREPLACE(TO_TEXT('Respu"&amp;"estas de formulario 1'!G1077),""[^0-9]"","""")))"),"+543515641264")</f>
        <v>+543515641264</v>
      </c>
      <c r="H1077" s="7">
        <f>'Respuestas de formulario 1'!S1077</f>
        <v>2025</v>
      </c>
      <c r="I1077" s="7" t="str">
        <f>IFERROR(__xludf.DUMMYFUNCTION("IF('Respuestas de formulario 1'!I1077="""","""",TO_TEXT('Respuestas de formulario 1'!I1077))"),"Obra social")</f>
        <v>Obra social</v>
      </c>
      <c r="J1077" s="7" t="str">
        <f>IFERROR(__xludf.DUMMYFUNCTION("IF('Respuestas de formulario 1'!J1077&lt;&gt;"""",UPPER(TRIM(TO_TEXT('Respuestas de formulario 1'!J1077))),IF('Respuestas de formulario 1'!O1077&lt;&gt;"""",UPPER(TRIM(TO_TEXT('Respuestas de formulario 1'!O1077))),""""))"),"APROSS")</f>
        <v>APROSS</v>
      </c>
      <c r="K1077" s="7" t="str">
        <f>IFERROR(__xludf.DUMMYFUNCTION("IF('Respuestas de formulario 1'!K1077="""","""",TO_TEXT('Respuestas de formulario 1'!K1077))"),"Si")</f>
        <v>Si</v>
      </c>
      <c r="L1077" s="7" t="str">
        <f>IFERROR(__xludf.DUMMYFUNCTION("IF('Respuestas de formulario 1'!L1077="""","""",TO_TEXT('Respuestas de formulario 1'!L1077))"),"Fútbol")</f>
        <v>Fútbol</v>
      </c>
      <c r="M1077" s="7" t="str">
        <f>IFERROR(__xludf.DUMMYFUNCTION("IF('Respuestas de formulario 1'!M1077="""","""",TO_TEXT('Respuestas de formulario 1'!M1077))"),"1 a 2 veces por semana")</f>
        <v>1 a 2 veces por semana</v>
      </c>
      <c r="N1077" s="7">
        <f t="shared" si="1"/>
        <v>2025</v>
      </c>
      <c r="O1077" s="7" t="str">
        <f t="shared" si="2"/>
        <v>julio</v>
      </c>
      <c r="P1077" s="7" t="s">
        <v>6297</v>
      </c>
    </row>
    <row r="1078">
      <c r="A1078" s="19">
        <f>'Respuestas de formulario 1'!A1078</f>
        <v>45852.43265</v>
      </c>
      <c r="B1078" s="7" t="str">
        <f>'Respuestas de formulario 1'!B1078</f>
        <v>Celi</v>
      </c>
      <c r="C1078" s="7" t="str">
        <f>'Respuestas de formulario 1'!C1078</f>
        <v>Abril</v>
      </c>
      <c r="D1078" s="7" t="str">
        <f>'Respuestas de formulario 1'!D1078</f>
        <v>roxanasilva@live.com</v>
      </c>
      <c r="E1078" s="20">
        <f>'Respuestas de formulario 1'!E1078</f>
        <v>40466</v>
      </c>
      <c r="F1078" s="7">
        <f>'Respuestas de formulario 1'!F1078</f>
        <v>50936127</v>
      </c>
      <c r="G1078" s="7" t="str">
        <f>IFERROR(__xludf.DUMMYFUNCTION("IF('Respuestas de formulario 1'!G1078="""","""",IF(LEFT(REGEXREPLACE(TO_TEXT('Respuestas de formulario 1'!G1078),""[^0-9]"",""""),2)=""54"",""+""&amp;REGEXREPLACE(TO_TEXT('Respuestas de formulario 1'!G1078),""[^0-9]"",""""),""+54""&amp;REGEXREPLACE(TO_TEXT('Respu"&amp;"estas de formulario 1'!G1078),""[^0-9]"","""")))"),"+543516978553")</f>
        <v>+543516978553</v>
      </c>
      <c r="H1078" s="7">
        <f>'Respuestas de formulario 1'!S1078</f>
        <v>2025</v>
      </c>
      <c r="I1078" s="7" t="str">
        <f>IFERROR(__xludf.DUMMYFUNCTION("IF('Respuestas de formulario 1'!I1078="""","""",TO_TEXT('Respuestas de formulario 1'!I1078))"),"Particular")</f>
        <v>Particular</v>
      </c>
      <c r="J1078" s="7" t="str">
        <f>IFERROR(__xludf.DUMMYFUNCTION("IF('Respuestas de formulario 1'!J1078&lt;&gt;"""",UPPER(TRIM(TO_TEXT('Respuestas de formulario 1'!J1078))),IF('Respuestas de formulario 1'!O1078&lt;&gt;"""",UPPER(TRIM(TO_TEXT('Respuestas de formulario 1'!O1078))),""""))"),"")</f>
        <v/>
      </c>
      <c r="K1078" s="7" t="str">
        <f>IFERROR(__xludf.DUMMYFUNCTION("IF('Respuestas de formulario 1'!K1078="""","""",TO_TEXT('Respuestas de formulario 1'!K1078))"),"Si")</f>
        <v>Si</v>
      </c>
      <c r="L1078" s="7" t="str">
        <f>IFERROR(__xludf.DUMMYFUNCTION("IF('Respuestas de formulario 1'!L1078="""","""",TO_TEXT('Respuestas de formulario 1'!L1078))"),"Acrobacias en telas")</f>
        <v>Acrobacias en telas</v>
      </c>
      <c r="M1078" s="7" t="str">
        <f>IFERROR(__xludf.DUMMYFUNCTION("IF('Respuestas de formulario 1'!M1078="""","""",TO_TEXT('Respuestas de formulario 1'!M1078))"),"3 a 5 veces por semana")</f>
        <v>3 a 5 veces por semana</v>
      </c>
      <c r="N1078" s="7">
        <f t="shared" si="1"/>
        <v>2025</v>
      </c>
      <c r="O1078" s="7" t="str">
        <f t="shared" si="2"/>
        <v>julio</v>
      </c>
      <c r="P1078" s="7" t="s">
        <v>6299</v>
      </c>
    </row>
    <row r="1079">
      <c r="A1079" s="19">
        <f>'Respuestas de formulario 1'!A1079</f>
        <v>45852.45076</v>
      </c>
      <c r="B1079" s="7" t="str">
        <f>'Respuestas de formulario 1'!B1079</f>
        <v>Mazzola</v>
      </c>
      <c r="C1079" s="7" t="str">
        <f>'Respuestas de formulario 1'!C1079</f>
        <v>Agustina</v>
      </c>
      <c r="D1079" s="7" t="str">
        <f>'Respuestas de formulario 1'!D1079</f>
        <v>asmazzola@gmail.com</v>
      </c>
      <c r="E1079" s="20">
        <f>'Respuestas de formulario 1'!E1079</f>
        <v>33916</v>
      </c>
      <c r="F1079" s="7">
        <f>'Respuestas de formulario 1'!F1079</f>
        <v>36621337</v>
      </c>
      <c r="G1079" s="7" t="str">
        <f>IFERROR(__xludf.DUMMYFUNCTION("IF('Respuestas de formulario 1'!G1079="""","""",IF(LEFT(REGEXREPLACE(TO_TEXT('Respuestas de formulario 1'!G1079),""[^0-9]"",""""),2)=""54"",""+""&amp;REGEXREPLACE(TO_TEXT('Respuestas de formulario 1'!G1079),""[^0-9]"",""""),""+54""&amp;REGEXREPLACE(TO_TEXT('Respu"&amp;"estas de formulario 1'!G1079),""[^0-9]"","""")))"),"+543518014372")</f>
        <v>+543518014372</v>
      </c>
      <c r="H1079" s="7">
        <f>'Respuestas de formulario 1'!S1079</f>
        <v>2025</v>
      </c>
      <c r="I1079" s="7" t="str">
        <f>IFERROR(__xludf.DUMMYFUNCTION("IF('Respuestas de formulario 1'!I1079="""","""",TO_TEXT('Respuestas de formulario 1'!I1079))"),"Particular")</f>
        <v>Particular</v>
      </c>
      <c r="J1079" s="7" t="str">
        <f>IFERROR(__xludf.DUMMYFUNCTION("IF('Respuestas de formulario 1'!J1079&lt;&gt;"""",UPPER(TRIM(TO_TEXT('Respuestas de formulario 1'!J1079))),IF('Respuestas de formulario 1'!O1079&lt;&gt;"""",UPPER(TRIM(TO_TEXT('Respuestas de formulario 1'!O1079))),""""))"),"")</f>
        <v/>
      </c>
      <c r="K1079" s="7" t="str">
        <f>IFERROR(__xludf.DUMMYFUNCTION("IF('Respuestas de formulario 1'!K1079="""","""",TO_TEXT('Respuestas de formulario 1'!K1079))"),"No")</f>
        <v>No</v>
      </c>
      <c r="L1079" s="7" t="str">
        <f>IFERROR(__xludf.DUMMYFUNCTION("IF('Respuestas de formulario 1'!L1079="""","""",TO_TEXT('Respuestas de formulario 1'!L1079))"),"")</f>
        <v/>
      </c>
      <c r="M1079" s="7" t="str">
        <f>IFERROR(__xludf.DUMMYFUNCTION("IF('Respuestas de formulario 1'!M1079="""","""",TO_TEXT('Respuestas de formulario 1'!M1079))"),"")</f>
        <v/>
      </c>
      <c r="N1079" s="7">
        <f t="shared" si="1"/>
        <v>2025</v>
      </c>
      <c r="O1079" s="7" t="str">
        <f t="shared" si="2"/>
        <v>julio</v>
      </c>
      <c r="P1079" s="7" t="s">
        <v>6301</v>
      </c>
    </row>
    <row r="1080">
      <c r="A1080" s="19">
        <f>'Respuestas de formulario 1'!A1080</f>
        <v>45852.72018</v>
      </c>
      <c r="B1080" s="7" t="str">
        <f>'Respuestas de formulario 1'!B1080</f>
        <v>Ledesma</v>
      </c>
      <c r="C1080" s="7" t="str">
        <f>'Respuestas de formulario 1'!C1080</f>
        <v>Gladys Viviana</v>
      </c>
      <c r="D1080" s="7" t="str">
        <f>'Respuestas de formulario 1'!D1080</f>
        <v>cesarcastro013@gmail.com</v>
      </c>
      <c r="E1080" s="20">
        <f>'Respuestas de formulario 1'!E1080</f>
        <v>21606</v>
      </c>
      <c r="F1080" s="21">
        <f>'Respuestas de formulario 1'!F1080</f>
        <v>12994536</v>
      </c>
      <c r="G1080" s="7" t="str">
        <f>IFERROR(__xludf.DUMMYFUNCTION("IF('Respuestas de formulario 1'!G1080="""","""",IF(LEFT(REGEXREPLACE(TO_TEXT('Respuestas de formulario 1'!G1080),""[^0-9]"",""""),2)=""54"",""+""&amp;REGEXREPLACE(TO_TEXT('Respuestas de formulario 1'!G1080),""[^0-9]"",""""),""+54""&amp;REGEXREPLACE(TO_TEXT('Respu"&amp;"estas de formulario 1'!G1080),""[^0-9]"","""")))"),"+543513020827")</f>
        <v>+543513020827</v>
      </c>
      <c r="H1080" s="7">
        <f>'Respuestas de formulario 1'!S1080</f>
        <v>2025</v>
      </c>
      <c r="I1080" s="7" t="str">
        <f>IFERROR(__xludf.DUMMYFUNCTION("IF('Respuestas de formulario 1'!I1080="""","""",TO_TEXT('Respuestas de formulario 1'!I1080))"),"Particular")</f>
        <v>Particular</v>
      </c>
      <c r="J1080" s="7" t="str">
        <f>IFERROR(__xludf.DUMMYFUNCTION("IF('Respuestas de formulario 1'!J1080&lt;&gt;"""",UPPER(TRIM(TO_TEXT('Respuestas de formulario 1'!J1080))),IF('Respuestas de formulario 1'!O1080&lt;&gt;"""",UPPER(TRIM(TO_TEXT('Respuestas de formulario 1'!O1080))),""""))"),"")</f>
        <v/>
      </c>
      <c r="K1080" s="7" t="str">
        <f>IFERROR(__xludf.DUMMYFUNCTION("IF('Respuestas de formulario 1'!K1080="""","""",TO_TEXT('Respuestas de formulario 1'!K1080))"),"No")</f>
        <v>No</v>
      </c>
      <c r="L1080" s="7" t="str">
        <f>IFERROR(__xludf.DUMMYFUNCTION("IF('Respuestas de formulario 1'!L1080="""","""",TO_TEXT('Respuestas de formulario 1'!L1080))"),"")</f>
        <v/>
      </c>
      <c r="M1080" s="7" t="str">
        <f>IFERROR(__xludf.DUMMYFUNCTION("IF('Respuestas de formulario 1'!M1080="""","""",TO_TEXT('Respuestas de formulario 1'!M1080))"),"")</f>
        <v/>
      </c>
      <c r="N1080" s="7">
        <f t="shared" si="1"/>
        <v>2025</v>
      </c>
      <c r="O1080" s="7" t="str">
        <f t="shared" si="2"/>
        <v>julio</v>
      </c>
      <c r="P1080" s="7" t="s">
        <v>6303</v>
      </c>
    </row>
    <row r="1081">
      <c r="A1081" s="19">
        <f>'Respuestas de formulario 1'!A1081</f>
        <v>45853.55004</v>
      </c>
      <c r="B1081" s="7" t="str">
        <f>'Respuestas de formulario 1'!B1081</f>
        <v>Cortez</v>
      </c>
      <c r="C1081" s="7" t="str">
        <f>'Respuestas de formulario 1'!C1081</f>
        <v>Eliana Noelia</v>
      </c>
      <c r="D1081" s="7" t="str">
        <f>'Respuestas de formulario 1'!D1081</f>
        <v>facubritos2015@gmail.com</v>
      </c>
      <c r="E1081" s="20">
        <f>'Respuestas de formulario 1'!E1081</f>
        <v>34579</v>
      </c>
      <c r="F1081" s="7">
        <f>'Respuestas de formulario 1'!F1081</f>
        <v>38410499</v>
      </c>
      <c r="G1081" s="7" t="str">
        <f>IFERROR(__xludf.DUMMYFUNCTION("IF('Respuestas de formulario 1'!G1081="""","""",IF(LEFT(REGEXREPLACE(TO_TEXT('Respuestas de formulario 1'!G1081),""[^0-9]"",""""),2)=""54"",""+""&amp;REGEXREPLACE(TO_TEXT('Respuestas de formulario 1'!G1081),""[^0-9]"",""""),""+54""&amp;REGEXREPLACE(TO_TEXT('Respu"&amp;"estas de formulario 1'!G1081),""[^0-9]"","""")))"),"+543516593570")</f>
        <v>+543516593570</v>
      </c>
      <c r="H1081" s="7">
        <f>'Respuestas de formulario 1'!S1081</f>
        <v>2025</v>
      </c>
      <c r="I1081" s="7" t="str">
        <f>IFERROR(__xludf.DUMMYFUNCTION("IF('Respuestas de formulario 1'!I1081="""","""",TO_TEXT('Respuestas de formulario 1'!I1081))"),"Obra social")</f>
        <v>Obra social</v>
      </c>
      <c r="J1081" s="7" t="str">
        <f>IFERROR(__xludf.DUMMYFUNCTION("IF('Respuestas de formulario 1'!J1081&lt;&gt;"""",UPPER(TRIM(TO_TEXT('Respuestas de formulario 1'!J1081))),IF('Respuestas de formulario 1'!O1081&lt;&gt;"""",UPPER(TRIM(TO_TEXT('Respuestas de formulario 1'!O1081))),""""))"),"PREVENCIÓN")</f>
        <v>PREVENCIÓN</v>
      </c>
      <c r="K1081" s="7" t="str">
        <f>IFERROR(__xludf.DUMMYFUNCTION("IF('Respuestas de formulario 1'!K1081="""","""",TO_TEXT('Respuestas de formulario 1'!K1081))"),"No")</f>
        <v>No</v>
      </c>
      <c r="L1081" s="7" t="str">
        <f>IFERROR(__xludf.DUMMYFUNCTION("IF('Respuestas de formulario 1'!L1081="""","""",TO_TEXT('Respuestas de formulario 1'!L1081))"),"")</f>
        <v/>
      </c>
      <c r="M1081" s="7" t="str">
        <f>IFERROR(__xludf.DUMMYFUNCTION("IF('Respuestas de formulario 1'!M1081="""","""",TO_TEXT('Respuestas de formulario 1'!M1081))"),"")</f>
        <v/>
      </c>
      <c r="N1081" s="7">
        <f t="shared" si="1"/>
        <v>2025</v>
      </c>
      <c r="O1081" s="7" t="str">
        <f t="shared" si="2"/>
        <v>julio</v>
      </c>
      <c r="P1081" s="7" t="s">
        <v>6305</v>
      </c>
    </row>
    <row r="1082">
      <c r="A1082" s="19">
        <f>'Respuestas de formulario 1'!A1082</f>
        <v>45853.79486</v>
      </c>
      <c r="B1082" s="7" t="str">
        <f>'Respuestas de formulario 1'!B1082</f>
        <v>Huespe </v>
      </c>
      <c r="C1082" s="7" t="str">
        <f>'Respuestas de formulario 1'!C1082</f>
        <v>Sofia</v>
      </c>
      <c r="D1082" s="7" t="str">
        <f>'Respuestas de formulario 1'!D1082</f>
        <v>Sofihuespe@hotmail.com</v>
      </c>
      <c r="E1082" s="20">
        <f>'Respuestas de formulario 1'!E1082</f>
        <v>33761</v>
      </c>
      <c r="F1082" s="7">
        <f>'Respuestas de formulario 1'!F1082</f>
        <v>36354585</v>
      </c>
      <c r="G1082" s="7" t="str">
        <f>IFERROR(__xludf.DUMMYFUNCTION("IF('Respuestas de formulario 1'!G1082="""","""",IF(LEFT(REGEXREPLACE(TO_TEXT('Respuestas de formulario 1'!G1082),""[^0-9]"",""""),2)=""54"",""+""&amp;REGEXREPLACE(TO_TEXT('Respuestas de formulario 1'!G1082),""[^0-9]"",""""),""+54""&amp;REGEXREPLACE(TO_TEXT('Respu"&amp;"estas de formulario 1'!G1082),""[^0-9]"","""")))"),"+543512003727")</f>
        <v>+543512003727</v>
      </c>
      <c r="H1082" s="7">
        <f>'Respuestas de formulario 1'!S1082</f>
        <v>2025</v>
      </c>
      <c r="I1082" s="7" t="str">
        <f>IFERROR(__xludf.DUMMYFUNCTION("IF('Respuestas de formulario 1'!I1082="""","""",TO_TEXT('Respuestas de formulario 1'!I1082))"),"Particular")</f>
        <v>Particular</v>
      </c>
      <c r="J1082" s="7" t="str">
        <f>IFERROR(__xludf.DUMMYFUNCTION("IF('Respuestas de formulario 1'!J1082&lt;&gt;"""",UPPER(TRIM(TO_TEXT('Respuestas de formulario 1'!J1082))),IF('Respuestas de formulario 1'!O1082&lt;&gt;"""",UPPER(TRIM(TO_TEXT('Respuestas de formulario 1'!O1082))),""""))"),"")</f>
        <v/>
      </c>
      <c r="K1082" s="7" t="str">
        <f>IFERROR(__xludf.DUMMYFUNCTION("IF('Respuestas de formulario 1'!K1082="""","""",TO_TEXT('Respuestas de formulario 1'!K1082))"),"Si")</f>
        <v>Si</v>
      </c>
      <c r="L1082" s="7" t="str">
        <f>IFERROR(__xludf.DUMMYFUNCTION("IF('Respuestas de formulario 1'!L1082="""","""",TO_TEXT('Respuestas de formulario 1'!L1082))"),"Pádel / gym")</f>
        <v>Pádel / gym</v>
      </c>
      <c r="M1082" s="7" t="str">
        <f>IFERROR(__xludf.DUMMYFUNCTION("IF('Respuestas de formulario 1'!M1082="""","""",TO_TEXT('Respuestas de formulario 1'!M1082))"),"6 a 7 veces por semana")</f>
        <v>6 a 7 veces por semana</v>
      </c>
      <c r="N1082" s="7">
        <f t="shared" si="1"/>
        <v>2025</v>
      </c>
      <c r="O1082" s="7" t="str">
        <f t="shared" si="2"/>
        <v>julio</v>
      </c>
      <c r="P1082" s="7" t="s">
        <v>6307</v>
      </c>
    </row>
    <row r="1083">
      <c r="A1083" s="19">
        <f>'Respuestas de formulario 1'!A1083</f>
        <v>45853.81099</v>
      </c>
      <c r="B1083" s="7" t="str">
        <f>'Respuestas de formulario 1'!B1083</f>
        <v>Arrietto</v>
      </c>
      <c r="C1083" s="7" t="str">
        <f>'Respuestas de formulario 1'!C1083</f>
        <v>Gabriela </v>
      </c>
      <c r="D1083" s="7" t="str">
        <f>'Respuestas de formulario 1'!D1083</f>
        <v>gabyarrietto67@gmail.com</v>
      </c>
      <c r="E1083" s="20">
        <f>'Respuestas de formulario 1'!E1083</f>
        <v>-669255</v>
      </c>
      <c r="F1083" s="7">
        <f>'Respuestas de formulario 1'!F1083</f>
        <v>18555778</v>
      </c>
      <c r="G1083" s="7" t="str">
        <f>IFERROR(__xludf.DUMMYFUNCTION("IF('Respuestas de formulario 1'!G1083="""","""",IF(LEFT(REGEXREPLACE(TO_TEXT('Respuestas de formulario 1'!G1083),""[^0-9]"",""""),2)=""54"",""+""&amp;REGEXREPLACE(TO_TEXT('Respuestas de formulario 1'!G1083),""[^0-9]"",""""),""+54""&amp;REGEXREPLACE(TO_TEXT('Respu"&amp;"estas de formulario 1'!G1083),""[^0-9]"","""")))"),"+543513621455")</f>
        <v>+543513621455</v>
      </c>
      <c r="H1083" s="7">
        <f>'Respuestas de formulario 1'!S1083</f>
        <v>2025</v>
      </c>
      <c r="I1083" s="7" t="str">
        <f>IFERROR(__xludf.DUMMYFUNCTION("IF('Respuestas de formulario 1'!I1083="""","""",TO_TEXT('Respuestas de formulario 1'!I1083))"),"Obra social")</f>
        <v>Obra social</v>
      </c>
      <c r="J1083" s="7" t="str">
        <f>IFERROR(__xludf.DUMMYFUNCTION("IF('Respuestas de formulario 1'!J1083&lt;&gt;"""",UPPER(TRIM(TO_TEXT('Respuestas de formulario 1'!J1083))),IF('Respuestas de formulario 1'!O1083&lt;&gt;"""",UPPER(TRIM(TO_TEXT('Respuestas de formulario 1'!O1083))),""""))"),"APROSS")</f>
        <v>APROSS</v>
      </c>
      <c r="K1083" s="7" t="str">
        <f>IFERROR(__xludf.DUMMYFUNCTION("IF('Respuestas de formulario 1'!K1083="""","""",TO_TEXT('Respuestas de formulario 1'!K1083))"),"Si")</f>
        <v>Si</v>
      </c>
      <c r="L1083" s="7" t="str">
        <f>IFERROR(__xludf.DUMMYFUNCTION("IF('Respuestas de formulario 1'!L1083="""","""",TO_TEXT('Respuestas de formulario 1'!L1083))"),"Running")</f>
        <v>Running</v>
      </c>
      <c r="M1083" s="7" t="str">
        <f>IFERROR(__xludf.DUMMYFUNCTION("IF('Respuestas de formulario 1'!M1083="""","""",TO_TEXT('Respuestas de formulario 1'!M1083))"),"1 a 2 veces por semana")</f>
        <v>1 a 2 veces por semana</v>
      </c>
      <c r="N1083" s="7">
        <f t="shared" si="1"/>
        <v>2025</v>
      </c>
      <c r="O1083" s="7" t="str">
        <f t="shared" si="2"/>
        <v>julio</v>
      </c>
      <c r="P1083" s="7" t="s">
        <v>6309</v>
      </c>
    </row>
    <row r="1084">
      <c r="A1084" s="19">
        <f>'Respuestas de formulario 1'!A1084</f>
        <v>45853.9024</v>
      </c>
      <c r="B1084" s="7" t="str">
        <f>'Respuestas de formulario 1'!B1084</f>
        <v>Casamayor</v>
      </c>
      <c r="C1084" s="7" t="str">
        <f>'Respuestas de formulario 1'!C1084</f>
        <v>Matias</v>
      </c>
      <c r="D1084" s="7" t="str">
        <f>'Respuestas de formulario 1'!D1084</f>
        <v>Matiascasamayor62@gmail.com</v>
      </c>
      <c r="E1084" s="20">
        <f>'Respuestas de formulario 1'!E1084</f>
        <v>37005</v>
      </c>
      <c r="F1084" s="7">
        <f>'Respuestas de formulario 1'!F1084</f>
        <v>43215499</v>
      </c>
      <c r="G1084" s="7" t="str">
        <f>IFERROR(__xludf.DUMMYFUNCTION("IF('Respuestas de formulario 1'!G1084="""","""",IF(LEFT(REGEXREPLACE(TO_TEXT('Respuestas de formulario 1'!G1084),""[^0-9]"",""""),2)=""54"",""+""&amp;REGEXREPLACE(TO_TEXT('Respuestas de formulario 1'!G1084),""[^0-9]"",""""),""+54""&amp;REGEXREPLACE(TO_TEXT('Respu"&amp;"estas de formulario 1'!G1084),""[^0-9]"","""")))"),"+543512026168")</f>
        <v>+543512026168</v>
      </c>
      <c r="H1084" s="7">
        <f>'Respuestas de formulario 1'!S1084</f>
        <v>2025</v>
      </c>
      <c r="I1084" s="7" t="str">
        <f>IFERROR(__xludf.DUMMYFUNCTION("IF('Respuestas de formulario 1'!I1084="""","""",TO_TEXT('Respuestas de formulario 1'!I1084))"),"Particular")</f>
        <v>Particular</v>
      </c>
      <c r="J1084" s="7" t="str">
        <f>IFERROR(__xludf.DUMMYFUNCTION("IF('Respuestas de formulario 1'!J1084&lt;&gt;"""",UPPER(TRIM(TO_TEXT('Respuestas de formulario 1'!J1084))),IF('Respuestas de formulario 1'!O1084&lt;&gt;"""",UPPER(TRIM(TO_TEXT('Respuestas de formulario 1'!O1084))),""""))"),"")</f>
        <v/>
      </c>
      <c r="K1084" s="7" t="str">
        <f>IFERROR(__xludf.DUMMYFUNCTION("IF('Respuestas de formulario 1'!K1084="""","""",TO_TEXT('Respuestas de formulario 1'!K1084))"),"Si")</f>
        <v>Si</v>
      </c>
      <c r="L1084" s="7" t="str">
        <f>IFERROR(__xludf.DUMMYFUNCTION("IF('Respuestas de formulario 1'!L1084="""","""",TO_TEXT('Respuestas de formulario 1'!L1084))"),"Gimnasio")</f>
        <v>Gimnasio</v>
      </c>
      <c r="M1084" s="7" t="str">
        <f>IFERROR(__xludf.DUMMYFUNCTION("IF('Respuestas de formulario 1'!M1084="""","""",TO_TEXT('Respuestas de formulario 1'!M1084))"),"3 a 5 veces por semana")</f>
        <v>3 a 5 veces por semana</v>
      </c>
      <c r="N1084" s="7">
        <f t="shared" si="1"/>
        <v>2025</v>
      </c>
      <c r="O1084" s="7" t="str">
        <f t="shared" si="2"/>
        <v>julio</v>
      </c>
      <c r="P1084" s="7" t="s">
        <v>6311</v>
      </c>
    </row>
    <row r="1085">
      <c r="A1085" s="19">
        <f>'Respuestas de formulario 1'!A1085</f>
        <v>45854.48212</v>
      </c>
      <c r="B1085" s="7" t="str">
        <f>'Respuestas de formulario 1'!B1085</f>
        <v>Iturri</v>
      </c>
      <c r="C1085" s="7" t="str">
        <f>'Respuestas de formulario 1'!C1085</f>
        <v>Juan Pablo </v>
      </c>
      <c r="D1085" s="7" t="str">
        <f>'Respuestas de formulario 1'!D1085</f>
        <v>jpablo.iturri@gmail.com</v>
      </c>
      <c r="E1085" s="20">
        <f>'Respuestas de formulario 1'!E1085</f>
        <v>33095</v>
      </c>
      <c r="F1085" s="7">
        <f>'Respuestas de formulario 1'!F1085</f>
        <v>35360179</v>
      </c>
      <c r="G1085" s="7" t="str">
        <f>IFERROR(__xludf.DUMMYFUNCTION("IF('Respuestas de formulario 1'!G1085="""","""",IF(LEFT(REGEXREPLACE(TO_TEXT('Respuestas de formulario 1'!G1085),""[^0-9]"",""""),2)=""54"",""+""&amp;REGEXREPLACE(TO_TEXT('Respuestas de formulario 1'!G1085),""[^0-9]"",""""),""+54""&amp;REGEXREPLACE(TO_TEXT('Respu"&amp;"estas de formulario 1'!G1085),""[^0-9]"","""")))"),"+543517558813")</f>
        <v>+543517558813</v>
      </c>
      <c r="H1085" s="7">
        <f>'Respuestas de formulario 1'!S1085</f>
        <v>2025</v>
      </c>
      <c r="I1085" s="7" t="str">
        <f>IFERROR(__xludf.DUMMYFUNCTION("IF('Respuestas de formulario 1'!I1085="""","""",TO_TEXT('Respuestas de formulario 1'!I1085))"),"Particular")</f>
        <v>Particular</v>
      </c>
      <c r="J1085" s="7" t="str">
        <f>IFERROR(__xludf.DUMMYFUNCTION("IF('Respuestas de formulario 1'!J1085&lt;&gt;"""",UPPER(TRIM(TO_TEXT('Respuestas de formulario 1'!J1085))),IF('Respuestas de formulario 1'!O1085&lt;&gt;"""",UPPER(TRIM(TO_TEXT('Respuestas de formulario 1'!O1085))),""""))"),"")</f>
        <v/>
      </c>
      <c r="K1085" s="7" t="str">
        <f>IFERROR(__xludf.DUMMYFUNCTION("IF('Respuestas de formulario 1'!K1085="""","""",TO_TEXT('Respuestas de formulario 1'!K1085))"),"No")</f>
        <v>No</v>
      </c>
      <c r="L1085" s="7" t="str">
        <f>IFERROR(__xludf.DUMMYFUNCTION("IF('Respuestas de formulario 1'!L1085="""","""",TO_TEXT('Respuestas de formulario 1'!L1085))"),"")</f>
        <v/>
      </c>
      <c r="M1085" s="7" t="str">
        <f>IFERROR(__xludf.DUMMYFUNCTION("IF('Respuestas de formulario 1'!M1085="""","""",TO_TEXT('Respuestas de formulario 1'!M1085))"),"")</f>
        <v/>
      </c>
      <c r="N1085" s="7">
        <f t="shared" si="1"/>
        <v>2025</v>
      </c>
      <c r="O1085" s="7" t="str">
        <f t="shared" si="2"/>
        <v>julio</v>
      </c>
      <c r="P1085" s="7" t="s">
        <v>6313</v>
      </c>
    </row>
    <row r="1086">
      <c r="A1086" s="19">
        <f>'Respuestas de formulario 1'!A1086</f>
        <v>45854.53715</v>
      </c>
      <c r="B1086" s="7" t="str">
        <f>'Respuestas de formulario 1'!B1086</f>
        <v>Montesco</v>
      </c>
      <c r="C1086" s="7" t="str">
        <f>'Respuestas de formulario 1'!C1086</f>
        <v>Pablo bruno</v>
      </c>
      <c r="D1086" s="7" t="str">
        <f>'Respuestas de formulario 1'!D1086</f>
        <v>Pini57@gmail.com</v>
      </c>
      <c r="E1086" s="20">
        <f>'Respuestas de formulario 1'!E1086</f>
        <v>31797</v>
      </c>
      <c r="F1086" s="7">
        <f>'Respuestas de formulario 1'!F1086</f>
        <v>32682667</v>
      </c>
      <c r="G1086" s="7" t="str">
        <f>IFERROR(__xludf.DUMMYFUNCTION("IF('Respuestas de formulario 1'!G1086="""","""",IF(LEFT(REGEXREPLACE(TO_TEXT('Respuestas de formulario 1'!G1086),""[^0-9]"",""""),2)=""54"",""+""&amp;REGEXREPLACE(TO_TEXT('Respuestas de formulario 1'!G1086),""[^0-9]"",""""),""+54""&amp;REGEXREPLACE(TO_TEXT('Respu"&amp;"estas de formulario 1'!G1086),""[^0-9]"","""")))"),"+543516888999")</f>
        <v>+543516888999</v>
      </c>
      <c r="H1086" s="7">
        <f>'Respuestas de formulario 1'!S1086</f>
        <v>2025</v>
      </c>
      <c r="I1086" s="7" t="str">
        <f>IFERROR(__xludf.DUMMYFUNCTION("IF('Respuestas de formulario 1'!I1086="""","""",TO_TEXT('Respuestas de formulario 1'!I1086))"),"Obra social")</f>
        <v>Obra social</v>
      </c>
      <c r="J1086" s="7" t="str">
        <f>IFERROR(__xludf.DUMMYFUNCTION("IF('Respuestas de formulario 1'!J1086&lt;&gt;"""",UPPER(TRIM(TO_TEXT('Respuestas de formulario 1'!J1086))),IF('Respuestas de formulario 1'!O1086&lt;&gt;"""",UPPER(TRIM(TO_TEXT('Respuestas de formulario 1'!O1086))),""""))"),"APROSS")</f>
        <v>APROSS</v>
      </c>
      <c r="K1086" s="7" t="str">
        <f>IFERROR(__xludf.DUMMYFUNCTION("IF('Respuestas de formulario 1'!K1086="""","""",TO_TEXT('Respuestas de formulario 1'!K1086))"),"Si")</f>
        <v>Si</v>
      </c>
      <c r="L1086" s="7" t="str">
        <f>IFERROR(__xludf.DUMMYFUNCTION("IF('Respuestas de formulario 1'!L1086="""","""",TO_TEXT('Respuestas de formulario 1'!L1086))"),"Fútbol")</f>
        <v>Fútbol</v>
      </c>
      <c r="M1086" s="7" t="str">
        <f>IFERROR(__xludf.DUMMYFUNCTION("IF('Respuestas de formulario 1'!M1086="""","""",TO_TEXT('Respuestas de formulario 1'!M1086))"),"1 a 2 veces por semana")</f>
        <v>1 a 2 veces por semana</v>
      </c>
      <c r="N1086" s="7">
        <f t="shared" si="1"/>
        <v>2025</v>
      </c>
      <c r="O1086" s="7" t="str">
        <f t="shared" si="2"/>
        <v>julio</v>
      </c>
      <c r="P1086" s="7" t="s">
        <v>6315</v>
      </c>
    </row>
    <row r="1087">
      <c r="A1087" s="19">
        <f>'Respuestas de formulario 1'!A1087</f>
        <v>45854.66721</v>
      </c>
      <c r="B1087" s="7" t="str">
        <f>'Respuestas de formulario 1'!B1087</f>
        <v>Balbiano</v>
      </c>
      <c r="C1087" s="7" t="str">
        <f>'Respuestas de formulario 1'!C1087</f>
        <v>Javier</v>
      </c>
      <c r="D1087" s="7" t="str">
        <f>'Respuestas de formulario 1'!D1087</f>
        <v>javibalbiano@gmail.com</v>
      </c>
      <c r="E1087" s="20">
        <f>'Respuestas de formulario 1'!E1087</f>
        <v>36726</v>
      </c>
      <c r="F1087" s="7">
        <f>'Respuestas de formulario 1'!F1087</f>
        <v>50331205</v>
      </c>
      <c r="G1087" s="7" t="str">
        <f>IFERROR(__xludf.DUMMYFUNCTION("IF('Respuestas de formulario 1'!G1087="""","""",IF(LEFT(REGEXREPLACE(TO_TEXT('Respuestas de formulario 1'!G1087),""[^0-9]"",""""),2)=""54"",""+""&amp;REGEXREPLACE(TO_TEXT('Respuestas de formulario 1'!G1087),""[^0-9]"",""""),""+54""&amp;REGEXREPLACE(TO_TEXT('Respu"&amp;"estas de formulario 1'!G1087),""[^0-9]"","""")))"),"+543516884309")</f>
        <v>+543516884309</v>
      </c>
      <c r="H1087" s="7">
        <f>'Respuestas de formulario 1'!S1087</f>
        <v>2025</v>
      </c>
      <c r="I1087" s="7" t="str">
        <f>IFERROR(__xludf.DUMMYFUNCTION("IF('Respuestas de formulario 1'!I1087="""","""",TO_TEXT('Respuestas de formulario 1'!I1087))"),"Particular")</f>
        <v>Particular</v>
      </c>
      <c r="J1087" s="7" t="str">
        <f>IFERROR(__xludf.DUMMYFUNCTION("IF('Respuestas de formulario 1'!J1087&lt;&gt;"""",UPPER(TRIM(TO_TEXT('Respuestas de formulario 1'!J1087))),IF('Respuestas de formulario 1'!O1087&lt;&gt;"""",UPPER(TRIM(TO_TEXT('Respuestas de formulario 1'!O1087))),""""))"),"")</f>
        <v/>
      </c>
      <c r="K1087" s="7" t="str">
        <f>IFERROR(__xludf.DUMMYFUNCTION("IF('Respuestas de formulario 1'!K1087="""","""",TO_TEXT('Respuestas de formulario 1'!K1087))"),"Si")</f>
        <v>Si</v>
      </c>
      <c r="L1087" s="7" t="str">
        <f>IFERROR(__xludf.DUMMYFUNCTION("IF('Respuestas de formulario 1'!L1087="""","""",TO_TEXT('Respuestas de formulario 1'!L1087))"),"Básquet")</f>
        <v>Básquet</v>
      </c>
      <c r="M1087" s="7" t="str">
        <f>IFERROR(__xludf.DUMMYFUNCTION("IF('Respuestas de formulario 1'!M1087="""","""",TO_TEXT('Respuestas de formulario 1'!M1087))"),"3 a 5 veces por semana")</f>
        <v>3 a 5 veces por semana</v>
      </c>
      <c r="N1087" s="7">
        <f t="shared" si="1"/>
        <v>2025</v>
      </c>
      <c r="O1087" s="7" t="str">
        <f t="shared" si="2"/>
        <v>julio</v>
      </c>
      <c r="P1087" s="7" t="s">
        <v>6317</v>
      </c>
    </row>
    <row r="1088">
      <c r="A1088" s="19">
        <f>'Respuestas de formulario 1'!A1088</f>
        <v>45854.72465</v>
      </c>
      <c r="B1088" s="7" t="str">
        <f>'Respuestas de formulario 1'!B1088</f>
        <v>Diez</v>
      </c>
      <c r="C1088" s="7" t="str">
        <f>'Respuestas de formulario 1'!C1088</f>
        <v>Pedro</v>
      </c>
      <c r="D1088" s="7" t="str">
        <f>'Respuestas de formulario 1'!D1088</f>
        <v>pedrodiezcuenca01@gmail.com</v>
      </c>
      <c r="E1088" s="20">
        <f>'Respuestas de formulario 1'!E1088</f>
        <v>45724</v>
      </c>
      <c r="F1088" s="7">
        <f>'Respuestas de formulario 1'!F1088</f>
        <v>43271033</v>
      </c>
      <c r="G1088" s="7" t="str">
        <f>IFERROR(__xludf.DUMMYFUNCTION("IF('Respuestas de formulario 1'!G1088="""","""",IF(LEFT(REGEXREPLACE(TO_TEXT('Respuestas de formulario 1'!G1088),""[^0-9]"",""""),2)=""54"",""+""&amp;REGEXREPLACE(TO_TEXT('Respuestas de formulario 1'!G1088),""[^0-9]"",""""),""+54""&amp;REGEXREPLACE(TO_TEXT('Respu"&amp;"estas de formulario 1'!G1088),""[^0-9]"","""")))"),"+543516433132")</f>
        <v>+543516433132</v>
      </c>
      <c r="H1088" s="7">
        <f>'Respuestas de formulario 1'!S1088</f>
        <v>2025</v>
      </c>
      <c r="I1088" s="7" t="str">
        <f>IFERROR(__xludf.DUMMYFUNCTION("IF('Respuestas de formulario 1'!I1088="""","""",TO_TEXT('Respuestas de formulario 1'!I1088))"),"Obra social")</f>
        <v>Obra social</v>
      </c>
      <c r="J1088" s="7" t="str">
        <f>IFERROR(__xludf.DUMMYFUNCTION("IF('Respuestas de formulario 1'!J1088&lt;&gt;"""",UPPER(TRIM(TO_TEXT('Respuestas de formulario 1'!J1088))),IF('Respuestas de formulario 1'!O1088&lt;&gt;"""",UPPER(TRIM(TO_TEXT('Respuestas de formulario 1'!O1088))),""""))"),"SWISS MEDICAL")</f>
        <v>SWISS MEDICAL</v>
      </c>
      <c r="K1088" s="7" t="str">
        <f>IFERROR(__xludf.DUMMYFUNCTION("IF('Respuestas de formulario 1'!K1088="""","""",TO_TEXT('Respuestas de formulario 1'!K1088))"),"Si")</f>
        <v>Si</v>
      </c>
      <c r="L1088" s="7" t="str">
        <f>IFERROR(__xludf.DUMMYFUNCTION("IF('Respuestas de formulario 1'!L1088="""","""",TO_TEXT('Respuestas de formulario 1'!L1088))"),"Rugby")</f>
        <v>Rugby</v>
      </c>
      <c r="M1088" s="7" t="str">
        <f>IFERROR(__xludf.DUMMYFUNCTION("IF('Respuestas de formulario 1'!M1088="""","""",TO_TEXT('Respuestas de formulario 1'!M1088))"),"1 a 2 veces por semana")</f>
        <v>1 a 2 veces por semana</v>
      </c>
      <c r="N1088" s="7">
        <f t="shared" si="1"/>
        <v>2025</v>
      </c>
      <c r="O1088" s="7" t="str">
        <f t="shared" si="2"/>
        <v>julio</v>
      </c>
      <c r="P1088" s="7" t="s">
        <v>6319</v>
      </c>
    </row>
    <row r="1089">
      <c r="A1089" s="19">
        <f>'Respuestas de formulario 1'!A1089</f>
        <v>45854.74201</v>
      </c>
      <c r="B1089" s="7" t="str">
        <f>'Respuestas de formulario 1'!B1089</f>
        <v>Novillo</v>
      </c>
      <c r="C1089" s="7" t="str">
        <f>'Respuestas de formulario 1'!C1089</f>
        <v>Cristobal</v>
      </c>
      <c r="D1089" s="7" t="str">
        <f>'Respuestas de formulario 1'!D1089</f>
        <v/>
      </c>
      <c r="E1089" s="20">
        <f>'Respuestas de formulario 1'!E1089</f>
        <v>36992</v>
      </c>
      <c r="F1089" s="7">
        <f>'Respuestas de formulario 1'!F1089</f>
        <v>43369610</v>
      </c>
      <c r="G1089" s="7" t="str">
        <f>IFERROR(__xludf.DUMMYFUNCTION("IF('Respuestas de formulario 1'!G1089="""","""",IF(LEFT(REGEXREPLACE(TO_TEXT('Respuestas de formulario 1'!G1089),""[^0-9]"",""""),2)=""54"",""+""&amp;REGEXREPLACE(TO_TEXT('Respuestas de formulario 1'!G1089),""[^0-9]"",""""),""+54""&amp;REGEXREPLACE(TO_TEXT('Respu"&amp;"estas de formulario 1'!G1089),""[^0-9]"","""")))"),"+543512543464")</f>
        <v>+543512543464</v>
      </c>
      <c r="H1089" s="7">
        <f>'Respuestas de formulario 1'!S1089</f>
        <v>2025</v>
      </c>
      <c r="I1089" s="7" t="str">
        <f>IFERROR(__xludf.DUMMYFUNCTION("IF('Respuestas de formulario 1'!I1089="""","""",TO_TEXT('Respuestas de formulario 1'!I1089))"),"Particular")</f>
        <v>Particular</v>
      </c>
      <c r="J1089" s="7" t="str">
        <f>IFERROR(__xludf.DUMMYFUNCTION("IF('Respuestas de formulario 1'!J1089&lt;&gt;"""",UPPER(TRIM(TO_TEXT('Respuestas de formulario 1'!J1089))),IF('Respuestas de formulario 1'!O1089&lt;&gt;"""",UPPER(TRIM(TO_TEXT('Respuestas de formulario 1'!O1089))),""""))"),"")</f>
        <v/>
      </c>
      <c r="K1089" s="7" t="str">
        <f>IFERROR(__xludf.DUMMYFUNCTION("IF('Respuestas de formulario 1'!K1089="""","""",TO_TEXT('Respuestas de formulario 1'!K1089))"),"Si")</f>
        <v>Si</v>
      </c>
      <c r="L1089" s="7" t="str">
        <f>IFERROR(__xludf.DUMMYFUNCTION("IF('Respuestas de formulario 1'!L1089="""","""",TO_TEXT('Respuestas de formulario 1'!L1089))"),"Rugby")</f>
        <v>Rugby</v>
      </c>
      <c r="M1089" s="7" t="str">
        <f>IFERROR(__xludf.DUMMYFUNCTION("IF('Respuestas de formulario 1'!M1089="""","""",TO_TEXT('Respuestas de formulario 1'!M1089))"),"3 a 5 veces por semana")</f>
        <v>3 a 5 veces por semana</v>
      </c>
      <c r="N1089" s="7">
        <f t="shared" si="1"/>
        <v>2025</v>
      </c>
      <c r="O1089" s="7" t="str">
        <f t="shared" si="2"/>
        <v>julio</v>
      </c>
      <c r="P1089" s="7" t="s">
        <v>5802</v>
      </c>
    </row>
    <row r="1090">
      <c r="A1090" s="19">
        <f>'Respuestas de formulario 1'!A1090</f>
        <v>45854.74664</v>
      </c>
      <c r="B1090" s="7" t="str">
        <f>'Respuestas de formulario 1'!B1090</f>
        <v>Huespe</v>
      </c>
      <c r="C1090" s="7" t="str">
        <f>'Respuestas de formulario 1'!C1090</f>
        <v>Sofía</v>
      </c>
      <c r="D1090" s="7" t="str">
        <f>'Respuestas de formulario 1'!D1090</f>
        <v/>
      </c>
      <c r="E1090" s="20">
        <f>'Respuestas de formulario 1'!E1090</f>
        <v>33761</v>
      </c>
      <c r="F1090" s="7">
        <f>'Respuestas de formulario 1'!F1090</f>
        <v>36354585</v>
      </c>
      <c r="G1090" s="7" t="str">
        <f>IFERROR(__xludf.DUMMYFUNCTION("IF('Respuestas de formulario 1'!G1090="""","""",IF(LEFT(REGEXREPLACE(TO_TEXT('Respuestas de formulario 1'!G1090),""[^0-9]"",""""),2)=""54"",""+""&amp;REGEXREPLACE(TO_TEXT('Respuestas de formulario 1'!G1090),""[^0-9]"",""""),""+54""&amp;REGEXREPLACE(TO_TEXT('Respu"&amp;"estas de formulario 1'!G1090),""[^0-9]"","""")))"),"+543512003727")</f>
        <v>+543512003727</v>
      </c>
      <c r="H1090" s="7">
        <f>'Respuestas de formulario 1'!S1090</f>
        <v>2025</v>
      </c>
      <c r="I1090" s="7" t="str">
        <f>IFERROR(__xludf.DUMMYFUNCTION("IF('Respuestas de formulario 1'!I1090="""","""",TO_TEXT('Respuestas de formulario 1'!I1090))"),"Particular")</f>
        <v>Particular</v>
      </c>
      <c r="J1090" s="7" t="str">
        <f>IFERROR(__xludf.DUMMYFUNCTION("IF('Respuestas de formulario 1'!J1090&lt;&gt;"""",UPPER(TRIM(TO_TEXT('Respuestas de formulario 1'!J1090))),IF('Respuestas de formulario 1'!O1090&lt;&gt;"""",UPPER(TRIM(TO_TEXT('Respuestas de formulario 1'!O1090))),""""))"),"")</f>
        <v/>
      </c>
      <c r="K1090" s="7" t="str">
        <f>IFERROR(__xludf.DUMMYFUNCTION("IF('Respuestas de formulario 1'!K1090="""","""",TO_TEXT('Respuestas de formulario 1'!K1090))"),"Si")</f>
        <v>Si</v>
      </c>
      <c r="L1090" s="7" t="str">
        <f>IFERROR(__xludf.DUMMYFUNCTION("IF('Respuestas de formulario 1'!L1090="""","""",TO_TEXT('Respuestas de formulario 1'!L1090))"),"Padel")</f>
        <v>Padel</v>
      </c>
      <c r="M1090" s="7" t="str">
        <f>IFERROR(__xludf.DUMMYFUNCTION("IF('Respuestas de formulario 1'!M1090="""","""",TO_TEXT('Respuestas de formulario 1'!M1090))"),"3 a 5 veces por semana")</f>
        <v>3 a 5 veces por semana</v>
      </c>
      <c r="N1090" s="7">
        <f t="shared" si="1"/>
        <v>2025</v>
      </c>
      <c r="O1090" s="7" t="str">
        <f t="shared" si="2"/>
        <v>julio</v>
      </c>
      <c r="P1090" s="7" t="s">
        <v>6321</v>
      </c>
    </row>
    <row r="1091">
      <c r="A1091" s="19">
        <f>'Respuestas de formulario 1'!A1091</f>
        <v>45855.58263</v>
      </c>
      <c r="B1091" s="7" t="str">
        <f>'Respuestas de formulario 1'!B1091</f>
        <v>Tissot</v>
      </c>
      <c r="C1091" s="7" t="str">
        <f>'Respuestas de formulario 1'!C1091</f>
        <v>Gaston</v>
      </c>
      <c r="D1091" s="7" t="str">
        <f>'Respuestas de formulario 1'!D1091</f>
        <v>gastontissot1@gmail.com</v>
      </c>
      <c r="E1091" s="20">
        <f>'Respuestas de formulario 1'!E1091</f>
        <v>28127</v>
      </c>
      <c r="F1091" s="7">
        <f>'Respuestas de formulario 1'!F1091</f>
        <v>25717110</v>
      </c>
      <c r="G1091" s="7" t="str">
        <f>IFERROR(__xludf.DUMMYFUNCTION("IF('Respuestas de formulario 1'!G1091="""","""",IF(LEFT(REGEXREPLACE(TO_TEXT('Respuestas de formulario 1'!G1091),""[^0-9]"",""""),2)=""54"",""+""&amp;REGEXREPLACE(TO_TEXT('Respuestas de formulario 1'!G1091),""[^0-9]"",""""),""+54""&amp;REGEXREPLACE(TO_TEXT('Respu"&amp;"estas de formulario 1'!G1091),""[^0-9]"","""")))"),"+543513461244")</f>
        <v>+543513461244</v>
      </c>
      <c r="H1091" s="7">
        <f>'Respuestas de formulario 1'!S1091</f>
        <v>2025</v>
      </c>
      <c r="I1091" s="7" t="str">
        <f>IFERROR(__xludf.DUMMYFUNCTION("IF('Respuestas de formulario 1'!I1091="""","""",TO_TEXT('Respuestas de formulario 1'!I1091))"),"Obra social")</f>
        <v>Obra social</v>
      </c>
      <c r="J1091" s="7" t="str">
        <f>IFERROR(__xludf.DUMMYFUNCTION("IF('Respuestas de formulario 1'!J1091&lt;&gt;"""",UPPER(TRIM(TO_TEXT('Respuestas de formulario 1'!J1091))),IF('Respuestas de formulario 1'!O1091&lt;&gt;"""",UPPER(TRIM(TO_TEXT('Respuestas de formulario 1'!O1091))),""""))"),"AVALIAN")</f>
        <v>AVALIAN</v>
      </c>
      <c r="K1091" s="7" t="str">
        <f>IFERROR(__xludf.DUMMYFUNCTION("IF('Respuestas de formulario 1'!K1091="""","""",TO_TEXT('Respuestas de formulario 1'!K1091))"),"No")</f>
        <v>No</v>
      </c>
      <c r="L1091" s="7" t="str">
        <f>IFERROR(__xludf.DUMMYFUNCTION("IF('Respuestas de formulario 1'!L1091="""","""",TO_TEXT('Respuestas de formulario 1'!L1091))"),"")</f>
        <v/>
      </c>
      <c r="M1091" s="7" t="str">
        <f>IFERROR(__xludf.DUMMYFUNCTION("IF('Respuestas de formulario 1'!M1091="""","""",TO_TEXT('Respuestas de formulario 1'!M1091))"),"")</f>
        <v/>
      </c>
      <c r="N1091" s="7">
        <f t="shared" si="1"/>
        <v>2025</v>
      </c>
      <c r="O1091" s="7" t="str">
        <f t="shared" si="2"/>
        <v>julio</v>
      </c>
      <c r="P1091" s="7" t="s">
        <v>6322</v>
      </c>
    </row>
    <row r="1092">
      <c r="A1092" s="19">
        <f>'Respuestas de formulario 1'!A1092</f>
        <v>45855.66436</v>
      </c>
      <c r="B1092" s="7" t="str">
        <f>'Respuestas de formulario 1'!B1092</f>
        <v>Perez</v>
      </c>
      <c r="C1092" s="7" t="str">
        <f>'Respuestas de formulario 1'!C1092</f>
        <v>Nicolas</v>
      </c>
      <c r="D1092" s="7" t="str">
        <f>'Respuestas de formulario 1'!D1092</f>
        <v/>
      </c>
      <c r="E1092" s="20">
        <f>'Respuestas de formulario 1'!E1092</f>
        <v>40053</v>
      </c>
      <c r="F1092" s="7">
        <f>'Respuestas de formulario 1'!F1092</f>
        <v>49497991</v>
      </c>
      <c r="G1092" s="7" t="str">
        <f>IFERROR(__xludf.DUMMYFUNCTION("IF('Respuestas de formulario 1'!G1092="""","""",IF(LEFT(REGEXREPLACE(TO_TEXT('Respuestas de formulario 1'!G1092),""[^0-9]"",""""),2)=""54"",""+""&amp;REGEXREPLACE(TO_TEXT('Respuestas de formulario 1'!G1092),""[^0-9]"",""""),""+54""&amp;REGEXREPLACE(TO_TEXT('Respu"&amp;"estas de formulario 1'!G1092),""[^0-9]"","""")))"),"+543512434092")</f>
        <v>+543512434092</v>
      </c>
      <c r="H1092" s="7">
        <f>'Respuestas de formulario 1'!S1092</f>
        <v>2025</v>
      </c>
      <c r="I1092" s="7" t="str">
        <f>IFERROR(__xludf.DUMMYFUNCTION("IF('Respuestas de formulario 1'!I1092="""","""",TO_TEXT('Respuestas de formulario 1'!I1092))"),"Particular")</f>
        <v>Particular</v>
      </c>
      <c r="J1092" s="7" t="str">
        <f>IFERROR(__xludf.DUMMYFUNCTION("IF('Respuestas de formulario 1'!J1092&lt;&gt;"""",UPPER(TRIM(TO_TEXT('Respuestas de formulario 1'!J1092))),IF('Respuestas de formulario 1'!O1092&lt;&gt;"""",UPPER(TRIM(TO_TEXT('Respuestas de formulario 1'!O1092))),""""))"),"")</f>
        <v/>
      </c>
      <c r="K1092" s="7" t="str">
        <f>IFERROR(__xludf.DUMMYFUNCTION("IF('Respuestas de formulario 1'!K1092="""","""",TO_TEXT('Respuestas de formulario 1'!K1092))"),"Si")</f>
        <v>Si</v>
      </c>
      <c r="L1092" s="7" t="str">
        <f>IFERROR(__xludf.DUMMYFUNCTION("IF('Respuestas de formulario 1'!L1092="""","""",TO_TEXT('Respuestas de formulario 1'!L1092))"),"Fútbol")</f>
        <v>Fútbol</v>
      </c>
      <c r="M1092" s="7" t="str">
        <f>IFERROR(__xludf.DUMMYFUNCTION("IF('Respuestas de formulario 1'!M1092="""","""",TO_TEXT('Respuestas de formulario 1'!M1092))"),"3 a 5 veces por semana")</f>
        <v>3 a 5 veces por semana</v>
      </c>
      <c r="N1092" s="7">
        <f t="shared" si="1"/>
        <v>2025</v>
      </c>
      <c r="O1092" s="7" t="str">
        <f t="shared" si="2"/>
        <v>julio</v>
      </c>
      <c r="P1092" s="7" t="s">
        <v>6324</v>
      </c>
    </row>
    <row r="1093">
      <c r="A1093" s="19">
        <f>'Respuestas de formulario 1'!A1093</f>
        <v>45855.7805</v>
      </c>
      <c r="B1093" s="7" t="str">
        <f>'Respuestas de formulario 1'!B1093</f>
        <v>TISSOT</v>
      </c>
      <c r="C1093" s="7" t="str">
        <f>'Respuestas de formulario 1'!C1093</f>
        <v>GASTON</v>
      </c>
      <c r="D1093" s="7" t="str">
        <f>'Respuestas de formulario 1'!D1093</f>
        <v/>
      </c>
      <c r="E1093" s="20">
        <f>'Respuestas de formulario 1'!E1093</f>
        <v>28127</v>
      </c>
      <c r="F1093" s="7">
        <f>'Respuestas de formulario 1'!F1093</f>
        <v>25717110</v>
      </c>
      <c r="G1093" s="7" t="str">
        <f>IFERROR(__xludf.DUMMYFUNCTION("IF('Respuestas de formulario 1'!G1093="""","""",IF(LEFT(REGEXREPLACE(TO_TEXT('Respuestas de formulario 1'!G1093),""[^0-9]"",""""),2)=""54"",""+""&amp;REGEXREPLACE(TO_TEXT('Respuestas de formulario 1'!G1093),""[^0-9]"",""""),""+54""&amp;REGEXREPLACE(TO_TEXT('Respu"&amp;"estas de formulario 1'!G1093),""[^0-9]"","""")))"),"+543513461244")</f>
        <v>+543513461244</v>
      </c>
      <c r="H1093" s="7">
        <f>'Respuestas de formulario 1'!S1093</f>
        <v>2025</v>
      </c>
      <c r="I1093" s="7" t="str">
        <f>IFERROR(__xludf.DUMMYFUNCTION("IF('Respuestas de formulario 1'!I1093="""","""",TO_TEXT('Respuestas de formulario 1'!I1093))"),"Obra social")</f>
        <v>Obra social</v>
      </c>
      <c r="J1093" s="7" t="str">
        <f>IFERROR(__xludf.DUMMYFUNCTION("IF('Respuestas de formulario 1'!J1093&lt;&gt;"""",UPPER(TRIM(TO_TEXT('Respuestas de formulario 1'!J1093))),IF('Respuestas de formulario 1'!O1093&lt;&gt;"""",UPPER(TRIM(TO_TEXT('Respuestas de formulario 1'!O1093))),""""))"),"AVALIAN")</f>
        <v>AVALIAN</v>
      </c>
      <c r="K1093" s="7" t="str">
        <f>IFERROR(__xludf.DUMMYFUNCTION("IF('Respuestas de formulario 1'!K1093="""","""",TO_TEXT('Respuestas de formulario 1'!K1093))"),"Si")</f>
        <v>Si</v>
      </c>
      <c r="L1093" s="7" t="str">
        <f>IFERROR(__xludf.DUMMYFUNCTION("IF('Respuestas de formulario 1'!L1093="""","""",TO_TEXT('Respuestas de formulario 1'!L1093))"),"Padel")</f>
        <v>Padel</v>
      </c>
      <c r="M1093" s="7" t="str">
        <f>IFERROR(__xludf.DUMMYFUNCTION("IF('Respuestas de formulario 1'!M1093="""","""",TO_TEXT('Respuestas de formulario 1'!M1093))"),"3 a 5 veces por semana")</f>
        <v>3 a 5 veces por semana</v>
      </c>
      <c r="N1093" s="7">
        <f t="shared" si="1"/>
        <v>2025</v>
      </c>
      <c r="O1093" s="7" t="str">
        <f t="shared" si="2"/>
        <v>julio</v>
      </c>
      <c r="P1093" s="7" t="s">
        <v>6326</v>
      </c>
    </row>
    <row r="1094">
      <c r="A1094" s="19">
        <f>'Respuestas de formulario 1'!A1094</f>
        <v>45856.41207</v>
      </c>
      <c r="B1094" s="7" t="str">
        <f>'Respuestas de formulario 1'!B1094</f>
        <v>Lopez</v>
      </c>
      <c r="C1094" s="7" t="str">
        <f>'Respuestas de formulario 1'!C1094</f>
        <v>Fernando</v>
      </c>
      <c r="D1094" s="7" t="str">
        <f>'Respuestas de formulario 1'!D1094</f>
        <v>ferlopeziacc@gmail.com</v>
      </c>
      <c r="E1094" s="20">
        <f>'Respuestas de formulario 1'!E1094</f>
        <v>31010</v>
      </c>
      <c r="F1094" s="7">
        <f>'Respuestas de formulario 1'!F1094</f>
        <v>31219942</v>
      </c>
      <c r="G1094" s="7" t="str">
        <f>IFERROR(__xludf.DUMMYFUNCTION("IF('Respuestas de formulario 1'!G1094="""","""",IF(LEFT(REGEXREPLACE(TO_TEXT('Respuestas de formulario 1'!G1094),""[^0-9]"",""""),2)=""54"",""+""&amp;REGEXREPLACE(TO_TEXT('Respuestas de formulario 1'!G1094),""[^0-9]"",""""),""+54""&amp;REGEXREPLACE(TO_TEXT('Respu"&amp;"estas de formulario 1'!G1094),""[^0-9]"","""")))"),"+543512043501")</f>
        <v>+543512043501</v>
      </c>
      <c r="H1094" s="7">
        <f>'Respuestas de formulario 1'!S1094</f>
        <v>2025</v>
      </c>
      <c r="I1094" s="7" t="str">
        <f>IFERROR(__xludf.DUMMYFUNCTION("IF('Respuestas de formulario 1'!I1094="""","""",TO_TEXT('Respuestas de formulario 1'!I1094))"),"Obra social")</f>
        <v>Obra social</v>
      </c>
      <c r="J1094" s="7" t="str">
        <f>IFERROR(__xludf.DUMMYFUNCTION("IF('Respuestas de formulario 1'!J1094&lt;&gt;"""",UPPER(TRIM(TO_TEXT('Respuestas de formulario 1'!J1094))),IF('Respuestas de formulario 1'!O1094&lt;&gt;"""",UPPER(TRIM(TO_TEXT('Respuestas de formulario 1'!O1094))),""""))"),"PREVENCIÓN")</f>
        <v>PREVENCIÓN</v>
      </c>
      <c r="K1094" s="7" t="str">
        <f>IFERROR(__xludf.DUMMYFUNCTION("IF('Respuestas de formulario 1'!K1094="""","""",TO_TEXT('Respuestas de formulario 1'!K1094))"),"No")</f>
        <v>No</v>
      </c>
      <c r="L1094" s="7" t="str">
        <f>IFERROR(__xludf.DUMMYFUNCTION("IF('Respuestas de formulario 1'!L1094="""","""",TO_TEXT('Respuestas de formulario 1'!L1094))"),"")</f>
        <v/>
      </c>
      <c r="M1094" s="7" t="str">
        <f>IFERROR(__xludf.DUMMYFUNCTION("IF('Respuestas de formulario 1'!M1094="""","""",TO_TEXT('Respuestas de formulario 1'!M1094))"),"")</f>
        <v/>
      </c>
      <c r="N1094" s="7">
        <f t="shared" si="1"/>
        <v>2025</v>
      </c>
      <c r="O1094" s="7" t="str">
        <f t="shared" si="2"/>
        <v>julio</v>
      </c>
      <c r="P1094" s="7" t="s">
        <v>6327</v>
      </c>
    </row>
    <row r="1095">
      <c r="A1095" s="19">
        <f>'Respuestas de formulario 1'!A1095</f>
        <v>45859.75678</v>
      </c>
      <c r="B1095" s="7" t="str">
        <f>'Respuestas de formulario 1'!B1095</f>
        <v>Molina</v>
      </c>
      <c r="C1095" s="7" t="str">
        <f>'Respuestas de formulario 1'!C1095</f>
        <v>MATIAS</v>
      </c>
      <c r="D1095" s="7" t="str">
        <f>'Respuestas de formulario 1'!D1095</f>
        <v>matiasmolina18@hotmail.com</v>
      </c>
      <c r="E1095" s="20">
        <f>'Respuestas de formulario 1'!E1095</f>
        <v>31037</v>
      </c>
      <c r="F1095" s="7">
        <f>'Respuestas de formulario 1'!F1095</f>
        <v>31248064</v>
      </c>
      <c r="G1095" s="7" t="str">
        <f>IFERROR(__xludf.DUMMYFUNCTION("IF('Respuestas de formulario 1'!G1095="""","""",IF(LEFT(REGEXREPLACE(TO_TEXT('Respuestas de formulario 1'!G1095),""[^0-9]"",""""),2)=""54"",""+""&amp;REGEXREPLACE(TO_TEXT('Respuestas de formulario 1'!G1095),""[^0-9]"",""""),""+54""&amp;REGEXREPLACE(TO_TEXT('Respu"&amp;"estas de formulario 1'!G1095),""[^0-9]"","""")))"),"+543571561064")</f>
        <v>+543571561064</v>
      </c>
      <c r="H1095" s="7">
        <f>'Respuestas de formulario 1'!S1095</f>
        <v>2025</v>
      </c>
      <c r="I1095" s="7" t="str">
        <f>IFERROR(__xludf.DUMMYFUNCTION("IF('Respuestas de formulario 1'!I1095="""","""",TO_TEXT('Respuestas de formulario 1'!I1095))"),"Obra social")</f>
        <v>Obra social</v>
      </c>
      <c r="J1095" s="7" t="str">
        <f>IFERROR(__xludf.DUMMYFUNCTION("IF('Respuestas de formulario 1'!J1095&lt;&gt;"""",UPPER(TRIM(TO_TEXT('Respuestas de formulario 1'!J1095))),IF('Respuestas de formulario 1'!O1095&lt;&gt;"""",UPPER(TRIM(TO_TEXT('Respuestas de formulario 1'!O1095))),""""))"),"PREVENCIÓN")</f>
        <v>PREVENCIÓN</v>
      </c>
      <c r="K1095" s="7" t="str">
        <f>IFERROR(__xludf.DUMMYFUNCTION("IF('Respuestas de formulario 1'!K1095="""","""",TO_TEXT('Respuestas de formulario 1'!K1095))"),"Si")</f>
        <v>Si</v>
      </c>
      <c r="L1095" s="7" t="str">
        <f>IFERROR(__xludf.DUMMYFUNCTION("IF('Respuestas de formulario 1'!L1095="""","""",TO_TEXT('Respuestas de formulario 1'!L1095))"),"Voley")</f>
        <v>Voley</v>
      </c>
      <c r="M1095" s="7" t="str">
        <f>IFERROR(__xludf.DUMMYFUNCTION("IF('Respuestas de formulario 1'!M1095="""","""",TO_TEXT('Respuestas de formulario 1'!M1095))"),"1 a 2 veces por semana")</f>
        <v>1 a 2 veces por semana</v>
      </c>
      <c r="N1095" s="7">
        <f t="shared" si="1"/>
        <v>2025</v>
      </c>
      <c r="O1095" s="7" t="str">
        <f t="shared" si="2"/>
        <v>julio</v>
      </c>
      <c r="P1095" s="7" t="s">
        <v>6329</v>
      </c>
    </row>
    <row r="1096">
      <c r="A1096" s="19">
        <f>'Respuestas de formulario 1'!A1096</f>
        <v>45859.77779</v>
      </c>
      <c r="B1096" s="7" t="str">
        <f>'Respuestas de formulario 1'!B1096</f>
        <v>Moreno</v>
      </c>
      <c r="C1096" s="7" t="str">
        <f>'Respuestas de formulario 1'!C1096</f>
        <v>Andrea</v>
      </c>
      <c r="D1096" s="7" t="str">
        <f>'Respuestas de formulario 1'!D1096</f>
        <v/>
      </c>
      <c r="E1096" s="20">
        <f>'Respuestas de formulario 1'!E1096</f>
        <v>31173</v>
      </c>
      <c r="F1096" s="7">
        <f>'Respuestas de formulario 1'!F1096</f>
        <v>34694478</v>
      </c>
      <c r="G1096" s="7" t="str">
        <f>IFERROR(__xludf.DUMMYFUNCTION("IF('Respuestas de formulario 1'!G1096="""","""",IF(LEFT(REGEXREPLACE(TO_TEXT('Respuestas de formulario 1'!G1096),""[^0-9]"",""""),2)=""54"",""+""&amp;REGEXREPLACE(TO_TEXT('Respuestas de formulario 1'!G1096),""[^0-9]"",""""),""+54""&amp;REGEXREPLACE(TO_TEXT('Respu"&amp;"estas de formulario 1'!G1096),""[^0-9]"","""")))"),"+543543415153")</f>
        <v>+543543415153</v>
      </c>
      <c r="H1096" s="7">
        <f>'Respuestas de formulario 1'!S1096</f>
        <v>2025</v>
      </c>
      <c r="I1096" s="7" t="str">
        <f>IFERROR(__xludf.DUMMYFUNCTION("IF('Respuestas de formulario 1'!I1096="""","""",TO_TEXT('Respuestas de formulario 1'!I1096))"),"Particular")</f>
        <v>Particular</v>
      </c>
      <c r="J1096" s="7" t="str">
        <f>IFERROR(__xludf.DUMMYFUNCTION("IF('Respuestas de formulario 1'!J1096&lt;&gt;"""",UPPER(TRIM(TO_TEXT('Respuestas de formulario 1'!J1096))),IF('Respuestas de formulario 1'!O1096&lt;&gt;"""",UPPER(TRIM(TO_TEXT('Respuestas de formulario 1'!O1096))),""""))"),"")</f>
        <v/>
      </c>
      <c r="K1096" s="7" t="str">
        <f>IFERROR(__xludf.DUMMYFUNCTION("IF('Respuestas de formulario 1'!K1096="""","""",TO_TEXT('Respuestas de formulario 1'!K1096))"),"No")</f>
        <v>No</v>
      </c>
      <c r="L1096" s="7" t="str">
        <f>IFERROR(__xludf.DUMMYFUNCTION("IF('Respuestas de formulario 1'!L1096="""","""",TO_TEXT('Respuestas de formulario 1'!L1096))"),"")</f>
        <v/>
      </c>
      <c r="M1096" s="7" t="str">
        <f>IFERROR(__xludf.DUMMYFUNCTION("IF('Respuestas de formulario 1'!M1096="""","""",TO_TEXT('Respuestas de formulario 1'!M1096))"),"")</f>
        <v/>
      </c>
      <c r="N1096" s="7">
        <f t="shared" si="1"/>
        <v>2025</v>
      </c>
      <c r="O1096" s="7" t="str">
        <f t="shared" si="2"/>
        <v>julio</v>
      </c>
      <c r="P1096" s="7" t="s">
        <v>6331</v>
      </c>
    </row>
    <row r="1097">
      <c r="A1097" s="19">
        <f>'Respuestas de formulario 1'!A1097</f>
        <v>45860.48286</v>
      </c>
      <c r="B1097" s="7" t="str">
        <f>'Respuestas de formulario 1'!B1097</f>
        <v>Segovia</v>
      </c>
      <c r="C1097" s="7" t="str">
        <f>'Respuestas de formulario 1'!C1097</f>
        <v>Ceclilia</v>
      </c>
      <c r="D1097" s="7" t="str">
        <f>'Respuestas de formulario 1'!D1097</f>
        <v>Ceci_hahn@hotmail.com</v>
      </c>
      <c r="E1097" s="20">
        <f>'Respuestas de formulario 1'!E1097</f>
        <v>27998</v>
      </c>
      <c r="F1097" s="7">
        <f>'Respuestas de formulario 1'!F1097</f>
        <v>25457310</v>
      </c>
      <c r="G1097" s="7" t="str">
        <f>IFERROR(__xludf.DUMMYFUNCTION("IF('Respuestas de formulario 1'!G1097="""","""",IF(LEFT(REGEXREPLACE(TO_TEXT('Respuestas de formulario 1'!G1097),""[^0-9]"",""""),2)=""54"",""+""&amp;REGEXREPLACE(TO_TEXT('Respuestas de formulario 1'!G1097),""[^0-9]"",""""),""+54""&amp;REGEXREPLACE(TO_TEXT('Respu"&amp;"estas de formulario 1'!G1097),""[^0-9]"","""")))"),"+543513934702")</f>
        <v>+543513934702</v>
      </c>
      <c r="H1097" s="7">
        <f>'Respuestas de formulario 1'!S1097</f>
        <v>2025</v>
      </c>
      <c r="I1097" s="7" t="str">
        <f>IFERROR(__xludf.DUMMYFUNCTION("IF('Respuestas de formulario 1'!I1097="""","""",TO_TEXT('Respuestas de formulario 1'!I1097))"),"Particular")</f>
        <v>Particular</v>
      </c>
      <c r="J1097" s="7" t="str">
        <f>IFERROR(__xludf.DUMMYFUNCTION("IF('Respuestas de formulario 1'!J1097&lt;&gt;"""",UPPER(TRIM(TO_TEXT('Respuestas de formulario 1'!J1097))),IF('Respuestas de formulario 1'!O1097&lt;&gt;"""",UPPER(TRIM(TO_TEXT('Respuestas de formulario 1'!O1097))),""""))"),"")</f>
        <v/>
      </c>
      <c r="K1097" s="7" t="str">
        <f>IFERROR(__xludf.DUMMYFUNCTION("IF('Respuestas de formulario 1'!K1097="""","""",TO_TEXT('Respuestas de formulario 1'!K1097))"),"Si")</f>
        <v>Si</v>
      </c>
      <c r="L1097" s="7" t="str">
        <f>IFERROR(__xludf.DUMMYFUNCTION("IF('Respuestas de formulario 1'!L1097="""","""",TO_TEXT('Respuestas de formulario 1'!L1097))"),"Gimnasio")</f>
        <v>Gimnasio</v>
      </c>
      <c r="M1097" s="7" t="str">
        <f>IFERROR(__xludf.DUMMYFUNCTION("IF('Respuestas de formulario 1'!M1097="""","""",TO_TEXT('Respuestas de formulario 1'!M1097))"),"1 a 2 veces por semana")</f>
        <v>1 a 2 veces por semana</v>
      </c>
      <c r="N1097" s="7">
        <f t="shared" si="1"/>
        <v>2025</v>
      </c>
      <c r="O1097" s="7" t="str">
        <f t="shared" si="2"/>
        <v>julio</v>
      </c>
      <c r="P1097" s="7" t="s">
        <v>6333</v>
      </c>
    </row>
    <row r="1098">
      <c r="A1098" s="19">
        <f>'Respuestas de formulario 1'!A1098</f>
        <v>45860.66487</v>
      </c>
      <c r="B1098" s="7" t="str">
        <f>'Respuestas de formulario 1'!B1098</f>
        <v>FIGLIOLIA</v>
      </c>
      <c r="C1098" s="7" t="str">
        <f>'Respuestas de formulario 1'!C1098</f>
        <v>Alejandro</v>
      </c>
      <c r="D1098" s="7" t="str">
        <f>'Respuestas de formulario 1'!D1098</f>
        <v>Alejandrolucasfigliolia@gmail.com</v>
      </c>
      <c r="E1098" s="20">
        <f>'Respuestas de formulario 1'!E1098</f>
        <v>45846</v>
      </c>
      <c r="F1098" s="7">
        <f>'Respuestas de formulario 1'!F1098</f>
        <v>17384023</v>
      </c>
      <c r="G1098" s="7" t="str">
        <f>IFERROR(__xludf.DUMMYFUNCTION("IF('Respuestas de formulario 1'!G1098="""","""",IF(LEFT(REGEXREPLACE(TO_TEXT('Respuestas de formulario 1'!G1098),""[^0-9]"",""""),2)=""54"",""+""&amp;REGEXREPLACE(TO_TEXT('Respuestas de formulario 1'!G1098),""[^0-9]"",""""),""+54""&amp;REGEXREPLACE(TO_TEXT('Respu"&amp;"estas de formulario 1'!G1098),""[^0-9]"","""")))"),"+543513840039")</f>
        <v>+543513840039</v>
      </c>
      <c r="H1098" s="7">
        <f>'Respuestas de formulario 1'!S1098</f>
        <v>2025</v>
      </c>
      <c r="I1098" s="7" t="str">
        <f>IFERROR(__xludf.DUMMYFUNCTION("IF('Respuestas de formulario 1'!I1098="""","""",TO_TEXT('Respuestas de formulario 1'!I1098))"),"Obra social")</f>
        <v>Obra social</v>
      </c>
      <c r="J1098" s="7" t="str">
        <f>IFERROR(__xludf.DUMMYFUNCTION("IF('Respuestas de formulario 1'!J1098&lt;&gt;"""",UPPER(TRIM(TO_TEXT('Respuestas de formulario 1'!J1098))),IF('Respuestas de formulario 1'!O1098&lt;&gt;"""",UPPER(TRIM(TO_TEXT('Respuestas de formulario 1'!O1098))),""""))"),"MEDIFE")</f>
        <v>MEDIFE</v>
      </c>
      <c r="K1098" s="7" t="str">
        <f>IFERROR(__xludf.DUMMYFUNCTION("IF('Respuestas de formulario 1'!K1098="""","""",TO_TEXT('Respuestas de formulario 1'!K1098))"),"")</f>
        <v/>
      </c>
      <c r="L1098" s="7" t="str">
        <f>IFERROR(__xludf.DUMMYFUNCTION("IF('Respuestas de formulario 1'!L1098="""","""",TO_TEXT('Respuestas de formulario 1'!L1098))"),"Truco")</f>
        <v>Truco</v>
      </c>
      <c r="M1098" s="7" t="str">
        <f>IFERROR(__xludf.DUMMYFUNCTION("IF('Respuestas de formulario 1'!M1098="""","""",TO_TEXT('Respuestas de formulario 1'!M1098))"),"3 a 5 veces por semana")</f>
        <v>3 a 5 veces por semana</v>
      </c>
      <c r="N1098" s="7">
        <f t="shared" si="1"/>
        <v>2025</v>
      </c>
      <c r="O1098" s="7" t="str">
        <f t="shared" si="2"/>
        <v>julio</v>
      </c>
      <c r="P1098" s="7" t="s">
        <v>6335</v>
      </c>
    </row>
    <row r="1099">
      <c r="A1099" s="19">
        <f>'Respuestas de formulario 1'!A1099</f>
        <v>45860.79663</v>
      </c>
      <c r="B1099" s="7" t="str">
        <f>'Respuestas de formulario 1'!B1099</f>
        <v>Perea</v>
      </c>
      <c r="C1099" s="7" t="str">
        <f>'Respuestas de formulario 1'!C1099</f>
        <v>Gabriela</v>
      </c>
      <c r="D1099" s="7" t="str">
        <f>'Respuestas de formulario 1'!D1099</f>
        <v/>
      </c>
      <c r="E1099" s="20">
        <f>'Respuestas de formulario 1'!E1099</f>
        <v>24106</v>
      </c>
      <c r="F1099" s="7">
        <f>'Respuestas de formulario 1'!F1099</f>
        <v>17627422</v>
      </c>
      <c r="G1099" s="7" t="str">
        <f>IFERROR(__xludf.DUMMYFUNCTION("IF('Respuestas de formulario 1'!G1099="""","""",IF(LEFT(REGEXREPLACE(TO_TEXT('Respuestas de formulario 1'!G1099),""[^0-9]"",""""),2)=""54"",""+""&amp;REGEXREPLACE(TO_TEXT('Respuestas de formulario 1'!G1099),""[^0-9]"",""""),""+54""&amp;REGEXREPLACE(TO_TEXT('Respu"&amp;"estas de formulario 1'!G1099),""[^0-9]"","""")))"),"+543512400920")</f>
        <v>+543512400920</v>
      </c>
      <c r="H1099" s="7">
        <f>'Respuestas de formulario 1'!S1099</f>
        <v>2025</v>
      </c>
      <c r="I1099" s="7" t="str">
        <f>IFERROR(__xludf.DUMMYFUNCTION("IF('Respuestas de formulario 1'!I1099="""","""",TO_TEXT('Respuestas de formulario 1'!I1099))"),"Particular")</f>
        <v>Particular</v>
      </c>
      <c r="J1099" s="7" t="str">
        <f>IFERROR(__xludf.DUMMYFUNCTION("IF('Respuestas de formulario 1'!J1099&lt;&gt;"""",UPPER(TRIM(TO_TEXT('Respuestas de formulario 1'!J1099))),IF('Respuestas de formulario 1'!O1099&lt;&gt;"""",UPPER(TRIM(TO_TEXT('Respuestas de formulario 1'!O1099))),""""))"),"")</f>
        <v/>
      </c>
      <c r="K1099" s="7" t="str">
        <f>IFERROR(__xludf.DUMMYFUNCTION("IF('Respuestas de formulario 1'!K1099="""","""",TO_TEXT('Respuestas de formulario 1'!K1099))"),"Si")</f>
        <v>Si</v>
      </c>
      <c r="L1099" s="7" t="str">
        <f>IFERROR(__xludf.DUMMYFUNCTION("IF('Respuestas de formulario 1'!L1099="""","""",TO_TEXT('Respuestas de formulario 1'!L1099))"),"Básquet")</f>
        <v>Básquet</v>
      </c>
      <c r="M1099" s="7" t="str">
        <f>IFERROR(__xludf.DUMMYFUNCTION("IF('Respuestas de formulario 1'!M1099="""","""",TO_TEXT('Respuestas de formulario 1'!M1099))"),"3 a 5 veces por semana")</f>
        <v>3 a 5 veces por semana</v>
      </c>
      <c r="N1099" s="7">
        <f t="shared" si="1"/>
        <v>2025</v>
      </c>
      <c r="O1099" s="7" t="str">
        <f t="shared" si="2"/>
        <v>julio</v>
      </c>
      <c r="P1099" s="7" t="s">
        <v>6337</v>
      </c>
    </row>
    <row r="1100">
      <c r="A1100" s="19">
        <f>'Respuestas de formulario 1'!A1100</f>
        <v>45860.80438</v>
      </c>
      <c r="B1100" s="7" t="str">
        <f>'Respuestas de formulario 1'!B1100</f>
        <v>Barrio</v>
      </c>
      <c r="C1100" s="7" t="str">
        <f>'Respuestas de formulario 1'!C1100</f>
        <v>Luis Pablo</v>
      </c>
      <c r="D1100" s="7" t="str">
        <f>'Respuestas de formulario 1'!D1100</f>
        <v>barrio.luispablo@gmail.colm</v>
      </c>
      <c r="E1100" s="20">
        <f>'Respuestas de formulario 1'!E1100</f>
        <v>29176</v>
      </c>
      <c r="F1100" s="7">
        <f>'Respuestas de formulario 1'!F1100</f>
        <v>27656189</v>
      </c>
      <c r="G1100" s="7" t="str">
        <f>IFERROR(__xludf.DUMMYFUNCTION("IF('Respuestas de formulario 1'!G1100="""","""",IF(LEFT(REGEXREPLACE(TO_TEXT('Respuestas de formulario 1'!G1100),""[^0-9]"",""""),2)=""54"",""+""&amp;REGEXREPLACE(TO_TEXT('Respuestas de formulario 1'!G1100),""[^0-9]"",""""),""+54""&amp;REGEXREPLACE(TO_TEXT('Respu"&amp;"estas de formulario 1'!G1100),""[^0-9]"","""")))"),"+543516321800")</f>
        <v>+543516321800</v>
      </c>
      <c r="H1100" s="7">
        <f>'Respuestas de formulario 1'!S1100</f>
        <v>2025</v>
      </c>
      <c r="I1100" s="7" t="str">
        <f>IFERROR(__xludf.DUMMYFUNCTION("IF('Respuestas de formulario 1'!I1100="""","""",TO_TEXT('Respuestas de formulario 1'!I1100))"),"Particular")</f>
        <v>Particular</v>
      </c>
      <c r="J1100" s="7" t="str">
        <f>IFERROR(__xludf.DUMMYFUNCTION("IF('Respuestas de formulario 1'!J1100&lt;&gt;"""",UPPER(TRIM(TO_TEXT('Respuestas de formulario 1'!J1100))),IF('Respuestas de formulario 1'!O1100&lt;&gt;"""",UPPER(TRIM(TO_TEXT('Respuestas de formulario 1'!O1100))),""""))"),"")</f>
        <v/>
      </c>
      <c r="K1100" s="7" t="str">
        <f>IFERROR(__xludf.DUMMYFUNCTION("IF('Respuestas de formulario 1'!K1100="""","""",TO_TEXT('Respuestas de formulario 1'!K1100))"),"Si")</f>
        <v>Si</v>
      </c>
      <c r="L1100" s="7" t="str">
        <f>IFERROR(__xludf.DUMMYFUNCTION("IF('Respuestas de formulario 1'!L1100="""","""",TO_TEXT('Respuestas de formulario 1'!L1100))"),"Fútbol")</f>
        <v>Fútbol</v>
      </c>
      <c r="M1100" s="7" t="str">
        <f>IFERROR(__xludf.DUMMYFUNCTION("IF('Respuestas de formulario 1'!M1100="""","""",TO_TEXT('Respuestas de formulario 1'!M1100))"),"1 a 2 veces por semana")</f>
        <v>1 a 2 veces por semana</v>
      </c>
      <c r="N1100" s="7">
        <f t="shared" si="1"/>
        <v>2025</v>
      </c>
      <c r="O1100" s="7" t="str">
        <f t="shared" si="2"/>
        <v>julio</v>
      </c>
      <c r="P1100" s="7" t="s">
        <v>6339</v>
      </c>
    </row>
    <row r="1101">
      <c r="A1101" s="19">
        <f>'Respuestas de formulario 1'!A1101</f>
        <v>45861.50443</v>
      </c>
      <c r="B1101" s="7" t="str">
        <f>'Respuestas de formulario 1'!B1101</f>
        <v>Guell</v>
      </c>
      <c r="C1101" s="7" t="str">
        <f>'Respuestas de formulario 1'!C1101</f>
        <v>Tomas</v>
      </c>
      <c r="D1101" s="7" t="str">
        <f>'Respuestas de formulario 1'!D1101</f>
        <v/>
      </c>
      <c r="E1101" s="20">
        <f>'Respuestas de formulario 1'!E1101</f>
        <v>38460</v>
      </c>
      <c r="F1101" s="7">
        <f>'Respuestas de formulario 1'!F1101</f>
        <v>46222431</v>
      </c>
      <c r="G1101" s="7" t="str">
        <f>IFERROR(__xludf.DUMMYFUNCTION("IF('Respuestas de formulario 1'!G1101="""","""",IF(LEFT(REGEXREPLACE(TO_TEXT('Respuestas de formulario 1'!G1101),""[^0-9]"",""""),2)=""54"",""+""&amp;REGEXREPLACE(TO_TEXT('Respuestas de formulario 1'!G1101),""[^0-9]"",""""),""+54""&amp;REGEXREPLACE(TO_TEXT('Respu"&amp;"estas de formulario 1'!G1101),""[^0-9]"","""")))"),"+543517057308")</f>
        <v>+543517057308</v>
      </c>
      <c r="H1101" s="7">
        <f>'Respuestas de formulario 1'!S1101</f>
        <v>2025</v>
      </c>
      <c r="I1101" s="7" t="str">
        <f>IFERROR(__xludf.DUMMYFUNCTION("IF('Respuestas de formulario 1'!I1101="""","""",TO_TEXT('Respuestas de formulario 1'!I1101))"),"Particular")</f>
        <v>Particular</v>
      </c>
      <c r="J1101" s="7" t="str">
        <f>IFERROR(__xludf.DUMMYFUNCTION("IF('Respuestas de formulario 1'!J1101&lt;&gt;"""",UPPER(TRIM(TO_TEXT('Respuestas de formulario 1'!J1101))),IF('Respuestas de formulario 1'!O1101&lt;&gt;"""",UPPER(TRIM(TO_TEXT('Respuestas de formulario 1'!O1101))),""""))"),"")</f>
        <v/>
      </c>
      <c r="K1101" s="7" t="str">
        <f>IFERROR(__xludf.DUMMYFUNCTION("IF('Respuestas de formulario 1'!K1101="""","""",TO_TEXT('Respuestas de formulario 1'!K1101))"),"Si")</f>
        <v>Si</v>
      </c>
      <c r="L1101" s="7" t="str">
        <f>IFERROR(__xludf.DUMMYFUNCTION("IF('Respuestas de formulario 1'!L1101="""","""",TO_TEXT('Respuestas de formulario 1'!L1101))"),"Gimnasio")</f>
        <v>Gimnasio</v>
      </c>
      <c r="M1101" s="7" t="str">
        <f>IFERROR(__xludf.DUMMYFUNCTION("IF('Respuestas de formulario 1'!M1101="""","""",TO_TEXT('Respuestas de formulario 1'!M1101))"),"1 a 2 veces por semana")</f>
        <v>1 a 2 veces por semana</v>
      </c>
      <c r="N1101" s="7">
        <f t="shared" si="1"/>
        <v>2025</v>
      </c>
      <c r="O1101" s="7" t="str">
        <f t="shared" si="2"/>
        <v>julio</v>
      </c>
      <c r="P1101" s="7" t="s">
        <v>6341</v>
      </c>
    </row>
    <row r="1102">
      <c r="A1102" s="19">
        <f>'Respuestas de formulario 1'!A1102</f>
        <v>45861.50932</v>
      </c>
      <c r="B1102" s="7" t="str">
        <f>'Respuestas de formulario 1'!B1102</f>
        <v>Reyes </v>
      </c>
      <c r="C1102" s="7" t="str">
        <f>'Respuestas de formulario 1'!C1102</f>
        <v>Juan Jorge</v>
      </c>
      <c r="D1102" s="7" t="str">
        <f>'Respuestas de formulario 1'!D1102</f>
        <v/>
      </c>
      <c r="E1102" s="20">
        <f>'Respuestas de formulario 1'!E1102</f>
        <v>18989</v>
      </c>
      <c r="F1102" s="7">
        <f>'Respuestas de formulario 1'!F1102</f>
        <v>10204252</v>
      </c>
      <c r="G1102" s="7" t="str">
        <f>IFERROR(__xludf.DUMMYFUNCTION("IF('Respuestas de formulario 1'!G1102="""","""",IF(LEFT(REGEXREPLACE(TO_TEXT('Respuestas de formulario 1'!G1102),""[^0-9]"",""""),2)=""54"",""+""&amp;REGEXREPLACE(TO_TEXT('Respuestas de formulario 1'!G1102),""[^0-9]"",""""),""+54""&amp;REGEXREPLACE(TO_TEXT('Respu"&amp;"estas de formulario 1'!G1102),""[^0-9]"","""")))"),"+543512521684")</f>
        <v>+543512521684</v>
      </c>
      <c r="H1102" s="7">
        <f>'Respuestas de formulario 1'!S1102</f>
        <v>2025</v>
      </c>
      <c r="I1102" s="7" t="str">
        <f>IFERROR(__xludf.DUMMYFUNCTION("IF('Respuestas de formulario 1'!I1102="""","""",TO_TEXT('Respuestas de formulario 1'!I1102))"),"Particular")</f>
        <v>Particular</v>
      </c>
      <c r="J1102" s="7" t="str">
        <f>IFERROR(__xludf.DUMMYFUNCTION("IF('Respuestas de formulario 1'!J1102&lt;&gt;"""",UPPER(TRIM(TO_TEXT('Respuestas de formulario 1'!J1102))),IF('Respuestas de formulario 1'!O1102&lt;&gt;"""",UPPER(TRIM(TO_TEXT('Respuestas de formulario 1'!O1102))),""""))"),"")</f>
        <v/>
      </c>
      <c r="K1102" s="7" t="str">
        <f>IFERROR(__xludf.DUMMYFUNCTION("IF('Respuestas de formulario 1'!K1102="""","""",TO_TEXT('Respuestas de formulario 1'!K1102))"),"Si")</f>
        <v>Si</v>
      </c>
      <c r="L1102" s="7" t="str">
        <f>IFERROR(__xludf.DUMMYFUNCTION("IF('Respuestas de formulario 1'!L1102="""","""",TO_TEXT('Respuestas de formulario 1'!L1102))"),"caminata")</f>
        <v>caminata</v>
      </c>
      <c r="M1102" s="7" t="str">
        <f>IFERROR(__xludf.DUMMYFUNCTION("IF('Respuestas de formulario 1'!M1102="""","""",TO_TEXT('Respuestas de formulario 1'!M1102))"),"3 a 5 veces por semana")</f>
        <v>3 a 5 veces por semana</v>
      </c>
      <c r="N1102" s="7">
        <f t="shared" si="1"/>
        <v>2025</v>
      </c>
      <c r="O1102" s="7" t="str">
        <f t="shared" si="2"/>
        <v>julio</v>
      </c>
      <c r="P1102" s="7" t="s">
        <v>6343</v>
      </c>
    </row>
    <row r="1103">
      <c r="A1103" s="19">
        <f>'Respuestas de formulario 1'!A1103</f>
        <v>45861.80218</v>
      </c>
      <c r="B1103" s="7" t="str">
        <f>'Respuestas de formulario 1'!B1103</f>
        <v>Lanfranchi</v>
      </c>
      <c r="C1103" s="7" t="str">
        <f>'Respuestas de formulario 1'!C1103</f>
        <v>Micaela Gisel</v>
      </c>
      <c r="D1103" s="7" t="str">
        <f>'Respuestas de formulario 1'!D1103</f>
        <v>micalanfranchi@gmail.com</v>
      </c>
      <c r="E1103" s="20">
        <f>'Respuestas de formulario 1'!E1103</f>
        <v>34360</v>
      </c>
      <c r="F1103" s="7">
        <f>'Respuestas de formulario 1'!F1103</f>
        <v>38002106</v>
      </c>
      <c r="G1103" s="7" t="str">
        <f>IFERROR(__xludf.DUMMYFUNCTION("IF('Respuestas de formulario 1'!G1103="""","""",IF(LEFT(REGEXREPLACE(TO_TEXT('Respuestas de formulario 1'!G1103),""[^0-9]"",""""),2)=""54"",""+""&amp;REGEXREPLACE(TO_TEXT('Respuestas de formulario 1'!G1103),""[^0-9]"",""""),""+54""&amp;REGEXREPLACE(TO_TEXT('Respu"&amp;"estas de formulario 1'!G1103),""[^0-9]"","""")))"),"+543517645188")</f>
        <v>+543517645188</v>
      </c>
      <c r="H1103" s="7">
        <f>'Respuestas de formulario 1'!S1103</f>
        <v>2025</v>
      </c>
      <c r="I1103" s="7" t="str">
        <f>IFERROR(__xludf.DUMMYFUNCTION("IF('Respuestas de formulario 1'!I1103="""","""",TO_TEXT('Respuestas de formulario 1'!I1103))"),"Particular")</f>
        <v>Particular</v>
      </c>
      <c r="J1103" s="7" t="str">
        <f>IFERROR(__xludf.DUMMYFUNCTION("IF('Respuestas de formulario 1'!J1103&lt;&gt;"""",UPPER(TRIM(TO_TEXT('Respuestas de formulario 1'!J1103))),IF('Respuestas de formulario 1'!O1103&lt;&gt;"""",UPPER(TRIM(TO_TEXT('Respuestas de formulario 1'!O1103))),""""))"),"")</f>
        <v/>
      </c>
      <c r="K1103" s="7" t="str">
        <f>IFERROR(__xludf.DUMMYFUNCTION("IF('Respuestas de formulario 1'!K1103="""","""",TO_TEXT('Respuestas de formulario 1'!K1103))"),"Si")</f>
        <v>Si</v>
      </c>
      <c r="L1103" s="7" t="str">
        <f>IFERROR(__xludf.DUMMYFUNCTION("IF('Respuestas de formulario 1'!L1103="""","""",TO_TEXT('Respuestas de formulario 1'!L1103))"),"Fútbol")</f>
        <v>Fútbol</v>
      </c>
      <c r="M1103" s="7" t="str">
        <f>IFERROR(__xludf.DUMMYFUNCTION("IF('Respuestas de formulario 1'!M1103="""","""",TO_TEXT('Respuestas de formulario 1'!M1103))"),"1 a 2 veces por semana")</f>
        <v>1 a 2 veces por semana</v>
      </c>
      <c r="N1103" s="7">
        <f t="shared" si="1"/>
        <v>2025</v>
      </c>
      <c r="O1103" s="7" t="str">
        <f t="shared" si="2"/>
        <v>julio</v>
      </c>
      <c r="P1103" s="7" t="s">
        <v>6345</v>
      </c>
    </row>
    <row r="1104">
      <c r="A1104" s="19">
        <f>'Respuestas de formulario 1'!A1104</f>
        <v>45861.83034</v>
      </c>
      <c r="B1104" s="7" t="str">
        <f>'Respuestas de formulario 1'!B1104</f>
        <v>Nuccetelli Nieto </v>
      </c>
      <c r="C1104" s="7" t="str">
        <f>'Respuestas de formulario 1'!C1104</f>
        <v>Simón </v>
      </c>
      <c r="D1104" s="7" t="str">
        <f>'Respuestas de formulario 1'!D1104</f>
        <v>fedenuche@gmail.com</v>
      </c>
      <c r="E1104" s="20">
        <f>'Respuestas de formulario 1'!E1104</f>
        <v>42229</v>
      </c>
      <c r="F1104" s="7">
        <f>'Respuestas de formulario 1'!F1104</f>
        <v>53735763</v>
      </c>
      <c r="G1104" s="7" t="str">
        <f>IFERROR(__xludf.DUMMYFUNCTION("IF('Respuestas de formulario 1'!G1104="""","""",IF(LEFT(REGEXREPLACE(TO_TEXT('Respuestas de formulario 1'!G1104),""[^0-9]"",""""),2)=""54"",""+""&amp;REGEXREPLACE(TO_TEXT('Respuestas de formulario 1'!G1104),""[^0-9]"",""""),""+54""&amp;REGEXREPLACE(TO_TEXT('Respu"&amp;"estas de formulario 1'!G1104),""[^0-9]"","""")))"),"+543512378483")</f>
        <v>+543512378483</v>
      </c>
      <c r="H1104" s="7">
        <f>'Respuestas de formulario 1'!S1104</f>
        <v>2025</v>
      </c>
      <c r="I1104" s="7" t="str">
        <f>IFERROR(__xludf.DUMMYFUNCTION("IF('Respuestas de formulario 1'!I1104="""","""",TO_TEXT('Respuestas de formulario 1'!I1104))"),"Obra social")</f>
        <v>Obra social</v>
      </c>
      <c r="J1104" s="7" t="str">
        <f>IFERROR(__xludf.DUMMYFUNCTION("IF('Respuestas de formulario 1'!J1104&lt;&gt;"""",UPPER(TRIM(TO_TEXT('Respuestas de formulario 1'!J1104))),IF('Respuestas de formulario 1'!O1104&lt;&gt;"""",UPPER(TRIM(TO_TEXT('Respuestas de formulario 1'!O1104))),""""))"),"DASPU")</f>
        <v>DASPU</v>
      </c>
      <c r="K1104" s="7" t="str">
        <f>IFERROR(__xludf.DUMMYFUNCTION("IF('Respuestas de formulario 1'!K1104="""","""",TO_TEXT('Respuestas de formulario 1'!K1104))"),"Si")</f>
        <v>Si</v>
      </c>
      <c r="L1104" s="7" t="str">
        <f>IFERROR(__xludf.DUMMYFUNCTION("IF('Respuestas de formulario 1'!L1104="""","""",TO_TEXT('Respuestas de formulario 1'!L1104))"),"Fútbol")</f>
        <v>Fútbol</v>
      </c>
      <c r="M1104" s="7" t="str">
        <f>IFERROR(__xludf.DUMMYFUNCTION("IF('Respuestas de formulario 1'!M1104="""","""",TO_TEXT('Respuestas de formulario 1'!M1104))"),"3 a 5 veces por semana")</f>
        <v>3 a 5 veces por semana</v>
      </c>
      <c r="N1104" s="7">
        <f t="shared" si="1"/>
        <v>2025</v>
      </c>
      <c r="O1104" s="7" t="str">
        <f t="shared" si="2"/>
        <v>julio</v>
      </c>
      <c r="P1104" s="7" t="s">
        <v>6347</v>
      </c>
    </row>
    <row r="1105">
      <c r="A1105" s="19">
        <f>'Respuestas de formulario 1'!A1105</f>
        <v>45862.59126</v>
      </c>
      <c r="B1105" s="7" t="str">
        <f>'Respuestas de formulario 1'!B1105</f>
        <v>Tavella</v>
      </c>
      <c r="C1105" s="7" t="str">
        <f>'Respuestas de formulario 1'!C1105</f>
        <v>Marina</v>
      </c>
      <c r="D1105" s="7" t="str">
        <f>'Respuestas de formulario 1'!D1105</f>
        <v>mmtavella@gmail.com</v>
      </c>
      <c r="E1105" s="20">
        <f>'Respuestas de formulario 1'!E1105</f>
        <v>29361</v>
      </c>
      <c r="F1105" s="7">
        <f>'Respuestas de formulario 1'!F1105</f>
        <v>28041783</v>
      </c>
      <c r="G1105" s="7" t="str">
        <f>IFERROR(__xludf.DUMMYFUNCTION("IF('Respuestas de formulario 1'!G1105="""","""",IF(LEFT(REGEXREPLACE(TO_TEXT('Respuestas de formulario 1'!G1105),""[^0-9]"",""""),2)=""54"",""+""&amp;REGEXREPLACE(TO_TEXT('Respuestas de formulario 1'!G1105),""[^0-9]"",""""),""+54""&amp;REGEXREPLACE(TO_TEXT('Respu"&amp;"estas de formulario 1'!G1105),""[^0-9]"","""")))"),"+543515110589")</f>
        <v>+543515110589</v>
      </c>
      <c r="H1105" s="7">
        <f>'Respuestas de formulario 1'!S1105</f>
        <v>2025</v>
      </c>
      <c r="I1105" s="7" t="str">
        <f>IFERROR(__xludf.DUMMYFUNCTION("IF('Respuestas de formulario 1'!I1105="""","""",TO_TEXT('Respuestas de formulario 1'!I1105))"),"Particular")</f>
        <v>Particular</v>
      </c>
      <c r="J1105" s="7" t="str">
        <f>IFERROR(__xludf.DUMMYFUNCTION("IF('Respuestas de formulario 1'!J1105&lt;&gt;"""",UPPER(TRIM(TO_TEXT('Respuestas de formulario 1'!J1105))),IF('Respuestas de formulario 1'!O1105&lt;&gt;"""",UPPER(TRIM(TO_TEXT('Respuestas de formulario 1'!O1105))),""""))"),"")</f>
        <v/>
      </c>
      <c r="K1105" s="7" t="str">
        <f>IFERROR(__xludf.DUMMYFUNCTION("IF('Respuestas de formulario 1'!K1105="""","""",TO_TEXT('Respuestas de formulario 1'!K1105))"),"Si")</f>
        <v>Si</v>
      </c>
      <c r="L1105" s="7" t="str">
        <f>IFERROR(__xludf.DUMMYFUNCTION("IF('Respuestas de formulario 1'!L1105="""","""",TO_TEXT('Respuestas de formulario 1'!L1105))"),"Gimnasio")</f>
        <v>Gimnasio</v>
      </c>
      <c r="M1105" s="7" t="str">
        <f>IFERROR(__xludf.DUMMYFUNCTION("IF('Respuestas de formulario 1'!M1105="""","""",TO_TEXT('Respuestas de formulario 1'!M1105))"),"1 a 2 veces por semana")</f>
        <v>1 a 2 veces por semana</v>
      </c>
      <c r="N1105" s="7">
        <f t="shared" si="1"/>
        <v>2025</v>
      </c>
      <c r="O1105" s="7" t="str">
        <f t="shared" si="2"/>
        <v>julio</v>
      </c>
      <c r="P1105" s="7" t="s">
        <v>6348</v>
      </c>
    </row>
    <row r="1106">
      <c r="A1106" s="19">
        <f>'Respuestas de formulario 1'!A1106</f>
        <v>45862.72927</v>
      </c>
      <c r="B1106" s="7" t="str">
        <f>'Respuestas de formulario 1'!B1106</f>
        <v>Corbella</v>
      </c>
      <c r="C1106" s="7" t="str">
        <f>'Respuestas de formulario 1'!C1106</f>
        <v>Graciela</v>
      </c>
      <c r="D1106" s="7" t="str">
        <f>'Respuestas de formulario 1'!D1106</f>
        <v>gracorbella@hotmail.com</v>
      </c>
      <c r="E1106" s="20">
        <f>'Respuestas de formulario 1'!E1106</f>
        <v>-671818</v>
      </c>
      <c r="F1106" s="7">
        <f>'Respuestas de formulario 1'!F1106</f>
        <v>14154508</v>
      </c>
      <c r="G1106" s="7" t="str">
        <f>IFERROR(__xludf.DUMMYFUNCTION("IF('Respuestas de formulario 1'!G1106="""","""",IF(LEFT(REGEXREPLACE(TO_TEXT('Respuestas de formulario 1'!G1106),""[^0-9]"",""""),2)=""54"",""+""&amp;REGEXREPLACE(TO_TEXT('Respuestas de formulario 1'!G1106),""[^0-9]"",""""),""+54""&amp;REGEXREPLACE(TO_TEXT('Respu"&amp;"estas de formulario 1'!G1106),""[^0-9]"","""")))"),"+543513135683")</f>
        <v>+543513135683</v>
      </c>
      <c r="H1106" s="7">
        <f>'Respuestas de formulario 1'!S1106</f>
        <v>2025</v>
      </c>
      <c r="I1106" s="7" t="str">
        <f>IFERROR(__xludf.DUMMYFUNCTION("IF('Respuestas de formulario 1'!I1106="""","""",TO_TEXT('Respuestas de formulario 1'!I1106))"),"Obra social")</f>
        <v>Obra social</v>
      </c>
      <c r="J1106" s="7" t="str">
        <f>IFERROR(__xludf.DUMMYFUNCTION("IF('Respuestas de formulario 1'!J1106&lt;&gt;"""",UPPER(TRIM(TO_TEXT('Respuestas de formulario 1'!J1106))),IF('Respuestas de formulario 1'!O1106&lt;&gt;"""",UPPER(TRIM(TO_TEXT('Respuestas de formulario 1'!O1106))),""""))"),"CIENCIAS ECONOMICAS")</f>
        <v>CIENCIAS ECONOMICAS</v>
      </c>
      <c r="K1106" s="7" t="str">
        <f>IFERROR(__xludf.DUMMYFUNCTION("IF('Respuestas de formulario 1'!K1106="""","""",TO_TEXT('Respuestas de formulario 1'!K1106))"),"Si")</f>
        <v>Si</v>
      </c>
      <c r="L1106" s="7" t="str">
        <f>IFERROR(__xludf.DUMMYFUNCTION("IF('Respuestas de formulario 1'!L1106="""","""",TO_TEXT('Respuestas de formulario 1'!L1106))"),"Baile")</f>
        <v>Baile</v>
      </c>
      <c r="M1106" s="7" t="str">
        <f>IFERROR(__xludf.DUMMYFUNCTION("IF('Respuestas de formulario 1'!M1106="""","""",TO_TEXT('Respuestas de formulario 1'!M1106))"),"1 a 2 veces por semana")</f>
        <v>1 a 2 veces por semana</v>
      </c>
      <c r="N1106" s="7">
        <f t="shared" si="1"/>
        <v>2025</v>
      </c>
      <c r="O1106" s="7" t="str">
        <f t="shared" si="2"/>
        <v>julio</v>
      </c>
      <c r="P1106" s="7" t="s">
        <v>6350</v>
      </c>
    </row>
    <row r="1107">
      <c r="A1107" s="19">
        <f>'Respuestas de formulario 1'!A1107</f>
        <v>45862.73311</v>
      </c>
      <c r="B1107" s="7" t="str">
        <f>'Respuestas de formulario 1'!B1107</f>
        <v>Ruibal</v>
      </c>
      <c r="C1107" s="7" t="str">
        <f>'Respuestas de formulario 1'!C1107</f>
        <v>Oscar</v>
      </c>
      <c r="D1107" s="7" t="str">
        <f>'Respuestas de formulario 1'!D1107</f>
        <v>oruibal@uepc.org.ar</v>
      </c>
      <c r="E1107" s="20">
        <f>'Respuestas de formulario 1'!E1107</f>
        <v>20348</v>
      </c>
      <c r="F1107" s="7">
        <f>'Respuestas de formulario 1'!F1107</f>
        <v>11974933</v>
      </c>
      <c r="G1107" s="7" t="str">
        <f>IFERROR(__xludf.DUMMYFUNCTION("IF('Respuestas de formulario 1'!G1107="""","""",IF(LEFT(REGEXREPLACE(TO_TEXT('Respuestas de formulario 1'!G1107),""[^0-9]"",""""),2)=""54"",""+""&amp;REGEXREPLACE(TO_TEXT('Respuestas de formulario 1'!G1107),""[^0-9]"",""""),""+54""&amp;REGEXREPLACE(TO_TEXT('Respu"&amp;"estas de formulario 1'!G1107),""[^0-9]"","""")))"),"+543515451065")</f>
        <v>+543515451065</v>
      </c>
      <c r="H1107" s="7">
        <f>'Respuestas de formulario 1'!S1107</f>
        <v>2025</v>
      </c>
      <c r="I1107" s="7" t="str">
        <f>IFERROR(__xludf.DUMMYFUNCTION("IF('Respuestas de formulario 1'!I1107="""","""",TO_TEXT('Respuestas de formulario 1'!I1107))"),"Obra social")</f>
        <v>Obra social</v>
      </c>
      <c r="J1107" s="7" t="str">
        <f>IFERROR(__xludf.DUMMYFUNCTION("IF('Respuestas de formulario 1'!J1107&lt;&gt;"""",UPPER(TRIM(TO_TEXT('Respuestas de formulario 1'!J1107))),IF('Respuestas de formulario 1'!O1107&lt;&gt;"""",UPPER(TRIM(TO_TEXT('Respuestas de formulario 1'!O1107))),""""))"),"APROSS")</f>
        <v>APROSS</v>
      </c>
      <c r="K1107" s="7" t="str">
        <f>IFERROR(__xludf.DUMMYFUNCTION("IF('Respuestas de formulario 1'!K1107="""","""",TO_TEXT('Respuestas de formulario 1'!K1107))"),"No")</f>
        <v>No</v>
      </c>
      <c r="L1107" s="7" t="str">
        <f>IFERROR(__xludf.DUMMYFUNCTION("IF('Respuestas de formulario 1'!L1107="""","""",TO_TEXT('Respuestas de formulario 1'!L1107))"),"")</f>
        <v/>
      </c>
      <c r="M1107" s="7" t="str">
        <f>IFERROR(__xludf.DUMMYFUNCTION("IF('Respuestas de formulario 1'!M1107="""","""",TO_TEXT('Respuestas de formulario 1'!M1107))"),"")</f>
        <v/>
      </c>
      <c r="N1107" s="7">
        <f t="shared" si="1"/>
        <v>2025</v>
      </c>
      <c r="O1107" s="7" t="str">
        <f t="shared" si="2"/>
        <v>julio</v>
      </c>
      <c r="P1107" s="7" t="s">
        <v>6352</v>
      </c>
    </row>
    <row r="1108">
      <c r="A1108" s="19">
        <f>'Respuestas de formulario 1'!A1108</f>
        <v>45862.78235</v>
      </c>
      <c r="B1108" s="7" t="str">
        <f>'Respuestas de formulario 1'!B1108</f>
        <v>Pereyra</v>
      </c>
      <c r="C1108" s="7" t="str">
        <f>'Respuestas de formulario 1'!C1108</f>
        <v>Laura Susana </v>
      </c>
      <c r="D1108" s="7" t="str">
        <f>'Respuestas de formulario 1'!D1108</f>
        <v>laurapereyra5@gmail.com</v>
      </c>
      <c r="E1108" s="20">
        <f>'Respuestas de formulario 1'!E1108</f>
        <v>30801</v>
      </c>
      <c r="F1108" s="7">
        <f>'Respuestas de formulario 1'!F1108</f>
        <v>30552150</v>
      </c>
      <c r="G1108" s="7" t="str">
        <f>IFERROR(__xludf.DUMMYFUNCTION("IF('Respuestas de formulario 1'!G1108="""","""",IF(LEFT(REGEXREPLACE(TO_TEXT('Respuestas de formulario 1'!G1108),""[^0-9]"",""""),2)=""54"",""+""&amp;REGEXREPLACE(TO_TEXT('Respuestas de formulario 1'!G1108),""[^0-9]"",""""),""+54""&amp;REGEXREPLACE(TO_TEXT('Respu"&amp;"estas de formulario 1'!G1108),""[^0-9]"","""")))"),"+543512390336")</f>
        <v>+543512390336</v>
      </c>
      <c r="H1108" s="7">
        <f>'Respuestas de formulario 1'!S1108</f>
        <v>2025</v>
      </c>
      <c r="I1108" s="7" t="str">
        <f>IFERROR(__xludf.DUMMYFUNCTION("IF('Respuestas de formulario 1'!I1108="""","""",TO_TEXT('Respuestas de formulario 1'!I1108))"),"Particular")</f>
        <v>Particular</v>
      </c>
      <c r="J1108" s="7" t="str">
        <f>IFERROR(__xludf.DUMMYFUNCTION("IF('Respuestas de formulario 1'!J1108&lt;&gt;"""",UPPER(TRIM(TO_TEXT('Respuestas de formulario 1'!J1108))),IF('Respuestas de formulario 1'!O1108&lt;&gt;"""",UPPER(TRIM(TO_TEXT('Respuestas de formulario 1'!O1108))),""""))"),"")</f>
        <v/>
      </c>
      <c r="K1108" s="7" t="str">
        <f>IFERROR(__xludf.DUMMYFUNCTION("IF('Respuestas de formulario 1'!K1108="""","""",TO_TEXT('Respuestas de formulario 1'!K1108))"),"Si")</f>
        <v>Si</v>
      </c>
      <c r="L1108" s="7" t="str">
        <f>IFERROR(__xludf.DUMMYFUNCTION("IF('Respuestas de formulario 1'!L1108="""","""",TO_TEXT('Respuestas de formulario 1'!L1108))"),"Running")</f>
        <v>Running</v>
      </c>
      <c r="M1108" s="7" t="str">
        <f>IFERROR(__xludf.DUMMYFUNCTION("IF('Respuestas de formulario 1'!M1108="""","""",TO_TEXT('Respuestas de formulario 1'!M1108))"),"3 a 5 veces por semana")</f>
        <v>3 a 5 veces por semana</v>
      </c>
      <c r="N1108" s="7">
        <f t="shared" si="1"/>
        <v>2025</v>
      </c>
      <c r="O1108" s="7" t="str">
        <f t="shared" si="2"/>
        <v>julio</v>
      </c>
      <c r="P1108" s="7" t="s">
        <v>6354</v>
      </c>
    </row>
    <row r="1109">
      <c r="A1109" s="19">
        <f>'Respuestas de formulario 1'!A1109</f>
        <v>45863.74733</v>
      </c>
      <c r="B1109" s="7" t="str">
        <f>'Respuestas de formulario 1'!B1109</f>
        <v>Calderon</v>
      </c>
      <c r="C1109" s="7" t="str">
        <f>'Respuestas de formulario 1'!C1109</f>
        <v>Diana Marcela</v>
      </c>
      <c r="D1109" s="7" t="str">
        <f>'Respuestas de formulario 1'!D1109</f>
        <v>calderon.marcela8@gmail.com</v>
      </c>
      <c r="E1109" s="20">
        <f>'Respuestas de formulario 1'!E1109</f>
        <v>24390</v>
      </c>
      <c r="F1109" s="7">
        <f>'Respuestas de formulario 1'!F1109</f>
        <v>17822869</v>
      </c>
      <c r="G1109" s="7" t="str">
        <f>IFERROR(__xludf.DUMMYFUNCTION("IF('Respuestas de formulario 1'!G1109="""","""",IF(LEFT(REGEXREPLACE(TO_TEXT('Respuestas de formulario 1'!G1109),""[^0-9]"",""""),2)=""54"",""+""&amp;REGEXREPLACE(TO_TEXT('Respuestas de formulario 1'!G1109),""[^0-9]"",""""),""+54""&amp;REGEXREPLACE(TO_TEXT('Respu"&amp;"estas de formulario 1'!G1109),""[^0-9]"","""")))"),"+543515123931")</f>
        <v>+543515123931</v>
      </c>
      <c r="H1109" s="7">
        <f>'Respuestas de formulario 1'!S1109</f>
        <v>2025</v>
      </c>
      <c r="I1109" s="7" t="str">
        <f>IFERROR(__xludf.DUMMYFUNCTION("IF('Respuestas de formulario 1'!I1109="""","""",TO_TEXT('Respuestas de formulario 1'!I1109))"),"Obra social")</f>
        <v>Obra social</v>
      </c>
      <c r="J1109" s="7" t="str">
        <f>IFERROR(__xludf.DUMMYFUNCTION("IF('Respuestas de formulario 1'!J1109&lt;&gt;"""",UPPER(TRIM(TO_TEXT('Respuestas de formulario 1'!J1109))),IF('Respuestas de formulario 1'!O1109&lt;&gt;"""",UPPER(TRIM(TO_TEXT('Respuestas de formulario 1'!O1109))),""""))"),"APROSS")</f>
        <v>APROSS</v>
      </c>
      <c r="K1109" s="7" t="str">
        <f>IFERROR(__xludf.DUMMYFUNCTION("IF('Respuestas de formulario 1'!K1109="""","""",TO_TEXT('Respuestas de formulario 1'!K1109))"),"No")</f>
        <v>No</v>
      </c>
      <c r="L1109" s="7" t="str">
        <f>IFERROR(__xludf.DUMMYFUNCTION("IF('Respuestas de formulario 1'!L1109="""","""",TO_TEXT('Respuestas de formulario 1'!L1109))"),"")</f>
        <v/>
      </c>
      <c r="M1109" s="7" t="str">
        <f>IFERROR(__xludf.DUMMYFUNCTION("IF('Respuestas de formulario 1'!M1109="""","""",TO_TEXT('Respuestas de formulario 1'!M1109))"),"")</f>
        <v/>
      </c>
      <c r="N1109" s="7">
        <f t="shared" si="1"/>
        <v>2025</v>
      </c>
      <c r="O1109" s="7" t="str">
        <f t="shared" si="2"/>
        <v>julio</v>
      </c>
      <c r="P1109" s="7" t="s">
        <v>6356</v>
      </c>
    </row>
    <row r="1110">
      <c r="A1110" s="19">
        <f>'Respuestas de formulario 1'!A1110</f>
        <v>45863.75198</v>
      </c>
      <c r="B1110" s="7" t="str">
        <f>'Respuestas de formulario 1'!B1110</f>
        <v>andrada</v>
      </c>
      <c r="C1110" s="7" t="str">
        <f>'Respuestas de formulario 1'!C1110</f>
        <v>Jonathan david</v>
      </c>
      <c r="D1110" s="7" t="str">
        <f>'Respuestas de formulario 1'!D1110</f>
        <v/>
      </c>
      <c r="E1110" s="20">
        <f>'Respuestas de formulario 1'!E1110</f>
        <v>45857</v>
      </c>
      <c r="F1110" s="7">
        <f>'Respuestas de formulario 1'!F1110</f>
        <v>34767741</v>
      </c>
      <c r="G1110" s="7" t="str">
        <f>IFERROR(__xludf.DUMMYFUNCTION("IF('Respuestas de formulario 1'!G1110="""","""",IF(LEFT(REGEXREPLACE(TO_TEXT('Respuestas de formulario 1'!G1110),""[^0-9]"",""""),2)=""54"",""+""&amp;REGEXREPLACE(TO_TEXT('Respuestas de formulario 1'!G1110),""[^0-9]"",""""),""+54""&amp;REGEXREPLACE(TO_TEXT('Respu"&amp;"estas de formulario 1'!G1110),""[^0-9]"","""")))"),"+543517615305")</f>
        <v>+543517615305</v>
      </c>
      <c r="H1110" s="7">
        <f>'Respuestas de formulario 1'!S1110</f>
        <v>2025</v>
      </c>
      <c r="I1110" s="7" t="str">
        <f>IFERROR(__xludf.DUMMYFUNCTION("IF('Respuestas de formulario 1'!I1110="""","""",TO_TEXT('Respuestas de formulario 1'!I1110))"),"Particular")</f>
        <v>Particular</v>
      </c>
      <c r="J1110" s="7" t="str">
        <f>IFERROR(__xludf.DUMMYFUNCTION("IF('Respuestas de formulario 1'!J1110&lt;&gt;"""",UPPER(TRIM(TO_TEXT('Respuestas de formulario 1'!J1110))),IF('Respuestas de formulario 1'!O1110&lt;&gt;"""",UPPER(TRIM(TO_TEXT('Respuestas de formulario 1'!O1110))),""""))"),"")</f>
        <v/>
      </c>
      <c r="K1110" s="7" t="str">
        <f>IFERROR(__xludf.DUMMYFUNCTION("IF('Respuestas de formulario 1'!K1110="""","""",TO_TEXT('Respuestas de formulario 1'!K1110))"),"Si")</f>
        <v>Si</v>
      </c>
      <c r="L1110" s="7" t="str">
        <f>IFERROR(__xludf.DUMMYFUNCTION("IF('Respuestas de formulario 1'!L1110="""","""",TO_TEXT('Respuestas de formulario 1'!L1110))"),"Fútbol")</f>
        <v>Fútbol</v>
      </c>
      <c r="M1110" s="7" t="str">
        <f>IFERROR(__xludf.DUMMYFUNCTION("IF('Respuestas de formulario 1'!M1110="""","""",TO_TEXT('Respuestas de formulario 1'!M1110))"),"1 a 2 veces por semana")</f>
        <v>1 a 2 veces por semana</v>
      </c>
      <c r="N1110" s="7">
        <f t="shared" si="1"/>
        <v>2025</v>
      </c>
      <c r="O1110" s="7" t="str">
        <f t="shared" si="2"/>
        <v>julio</v>
      </c>
      <c r="P1110" s="7" t="s">
        <v>6358</v>
      </c>
    </row>
    <row r="1111">
      <c r="A1111" s="19">
        <f>'Respuestas de formulario 1'!A1111</f>
        <v>45866.71818</v>
      </c>
      <c r="B1111" s="7" t="str">
        <f>'Respuestas de formulario 1'!B1111</f>
        <v>NIBEYRO</v>
      </c>
      <c r="C1111" s="7" t="str">
        <f>'Respuestas de formulario 1'!C1111</f>
        <v>Ariadna</v>
      </c>
      <c r="D1111" s="7" t="str">
        <f>'Respuestas de formulario 1'!D1111</f>
        <v>nibeyroa@gmail.com</v>
      </c>
      <c r="E1111" s="20">
        <f>'Respuestas de formulario 1'!E1111</f>
        <v>30988</v>
      </c>
      <c r="F1111" s="7">
        <f>'Respuestas de formulario 1'!F1111</f>
        <v>31218229</v>
      </c>
      <c r="G1111" s="7" t="str">
        <f>IFERROR(__xludf.DUMMYFUNCTION("IF('Respuestas de formulario 1'!G1111="""","""",IF(LEFT(REGEXREPLACE(TO_TEXT('Respuestas de formulario 1'!G1111),""[^0-9]"",""""),2)=""54"",""+""&amp;REGEXREPLACE(TO_TEXT('Respuestas de formulario 1'!G1111),""[^0-9]"",""""),""+54""&amp;REGEXREPLACE(TO_TEXT('Respu"&amp;"estas de formulario 1'!G1111),""[^0-9]"","""")))"),"+543516275885")</f>
        <v>+543516275885</v>
      </c>
      <c r="H1111" s="7">
        <f>'Respuestas de formulario 1'!S1111</f>
        <v>2025</v>
      </c>
      <c r="I1111" s="7" t="str">
        <f>IFERROR(__xludf.DUMMYFUNCTION("IF('Respuestas de formulario 1'!I1111="""","""",TO_TEXT('Respuestas de formulario 1'!I1111))"),"Obra social")</f>
        <v>Obra social</v>
      </c>
      <c r="J1111" s="7" t="str">
        <f>IFERROR(__xludf.DUMMYFUNCTION("IF('Respuestas de formulario 1'!J1111&lt;&gt;"""",UPPER(TRIM(TO_TEXT('Respuestas de formulario 1'!J1111))),IF('Respuestas de formulario 1'!O1111&lt;&gt;"""",UPPER(TRIM(TO_TEXT('Respuestas de formulario 1'!O1111))),""""))"),"DASUTEN")</f>
        <v>DASUTEN</v>
      </c>
      <c r="K1111" s="7" t="str">
        <f>IFERROR(__xludf.DUMMYFUNCTION("IF('Respuestas de formulario 1'!K1111="""","""",TO_TEXT('Respuestas de formulario 1'!K1111))"),"Si")</f>
        <v>Si</v>
      </c>
      <c r="L1111" s="7" t="str">
        <f>IFERROR(__xludf.DUMMYFUNCTION("IF('Respuestas de formulario 1'!L1111="""","""",TO_TEXT('Respuestas de formulario 1'!L1111))"),"Gimnasio")</f>
        <v>Gimnasio</v>
      </c>
      <c r="M1111" s="7" t="str">
        <f>IFERROR(__xludf.DUMMYFUNCTION("IF('Respuestas de formulario 1'!M1111="""","""",TO_TEXT('Respuestas de formulario 1'!M1111))"),"6 a 7 veces por semana")</f>
        <v>6 a 7 veces por semana</v>
      </c>
      <c r="N1111" s="7">
        <f t="shared" si="1"/>
        <v>2025</v>
      </c>
      <c r="O1111" s="7" t="str">
        <f t="shared" si="2"/>
        <v>julio</v>
      </c>
      <c r="P1111" s="7" t="s">
        <v>6360</v>
      </c>
    </row>
    <row r="1112">
      <c r="A1112" s="19">
        <f>'Respuestas de formulario 1'!A1112</f>
        <v>45866.78815</v>
      </c>
      <c r="B1112" s="7" t="str">
        <f>'Respuestas de formulario 1'!B1112</f>
        <v>Ramis</v>
      </c>
      <c r="C1112" s="7" t="str">
        <f>'Respuestas de formulario 1'!C1112</f>
        <v>Lucas</v>
      </c>
      <c r="D1112" s="7" t="str">
        <f>'Respuestas de formulario 1'!D1112</f>
        <v>lucasramis28@gmail.com</v>
      </c>
      <c r="E1112" s="20">
        <f>'Respuestas de formulario 1'!E1112</f>
        <v>32927</v>
      </c>
      <c r="F1112" s="7">
        <f>'Respuestas de formulario 1'!F1112</f>
        <v>34380348</v>
      </c>
      <c r="G1112" s="7" t="str">
        <f>IFERROR(__xludf.DUMMYFUNCTION("IF('Respuestas de formulario 1'!G1112="""","""",IF(LEFT(REGEXREPLACE(TO_TEXT('Respuestas de formulario 1'!G1112),""[^0-9]"",""""),2)=""54"",""+""&amp;REGEXREPLACE(TO_TEXT('Respuestas de formulario 1'!G1112),""[^0-9]"",""""),""+54""&amp;REGEXREPLACE(TO_TEXT('Respu"&amp;"estas de formulario 1'!G1112),""[^0-9]"","""")))"),"+543517023460")</f>
        <v>+543517023460</v>
      </c>
      <c r="H1112" s="7">
        <f>'Respuestas de formulario 1'!S1112</f>
        <v>2025</v>
      </c>
      <c r="I1112" s="7" t="str">
        <f>IFERROR(__xludf.DUMMYFUNCTION("IF('Respuestas de formulario 1'!I1112="""","""",TO_TEXT('Respuestas de formulario 1'!I1112))"),"Obra social")</f>
        <v>Obra social</v>
      </c>
      <c r="J1112" s="7" t="str">
        <f>IFERROR(__xludf.DUMMYFUNCTION("IF('Respuestas de formulario 1'!J1112&lt;&gt;"""",UPPER(TRIM(TO_TEXT('Respuestas de formulario 1'!J1112))),IF('Respuestas de formulario 1'!O1112&lt;&gt;"""",UPPER(TRIM(TO_TEXT('Respuestas de formulario 1'!O1112))),""""))"),"APROSS")</f>
        <v>APROSS</v>
      </c>
      <c r="K1112" s="7" t="str">
        <f>IFERROR(__xludf.DUMMYFUNCTION("IF('Respuestas de formulario 1'!K1112="""","""",TO_TEXT('Respuestas de formulario 1'!K1112))"),"Si")</f>
        <v>Si</v>
      </c>
      <c r="L1112" s="7" t="str">
        <f>IFERROR(__xludf.DUMMYFUNCTION("IF('Respuestas de formulario 1'!L1112="""","""",TO_TEXT('Respuestas de formulario 1'!L1112))"),"Gimnasio")</f>
        <v>Gimnasio</v>
      </c>
      <c r="M1112" s="7" t="str">
        <f>IFERROR(__xludf.DUMMYFUNCTION("IF('Respuestas de formulario 1'!M1112="""","""",TO_TEXT('Respuestas de formulario 1'!M1112))"),"6 a 7 veces por semana")</f>
        <v>6 a 7 veces por semana</v>
      </c>
      <c r="N1112" s="7">
        <f t="shared" si="1"/>
        <v>2025</v>
      </c>
      <c r="O1112" s="7" t="str">
        <f t="shared" si="2"/>
        <v>julio</v>
      </c>
      <c r="P1112" s="7" t="s">
        <v>6362</v>
      </c>
    </row>
    <row r="1113">
      <c r="A1113" s="19">
        <f>'Respuestas de formulario 1'!A1113</f>
        <v>45866.78892</v>
      </c>
      <c r="B1113" s="7" t="str">
        <f>'Respuestas de formulario 1'!B1113</f>
        <v>Santa</v>
      </c>
      <c r="C1113" s="7" t="str">
        <f>'Respuestas de formulario 1'!C1113</f>
        <v>Jose Alfredo</v>
      </c>
      <c r="D1113" s="7" t="str">
        <f>'Respuestas de formulario 1'!D1113</f>
        <v/>
      </c>
      <c r="E1113" s="20">
        <f>'Respuestas de formulario 1'!E1113</f>
        <v>18866</v>
      </c>
      <c r="F1113" s="7">
        <f>'Respuestas de formulario 1'!F1113</f>
        <v>10048434</v>
      </c>
      <c r="G1113" s="7" t="str">
        <f>IFERROR(__xludf.DUMMYFUNCTION("IF('Respuestas de formulario 1'!G1113="""","""",IF(LEFT(REGEXREPLACE(TO_TEXT('Respuestas de formulario 1'!G1113),""[^0-9]"",""""),2)=""54"",""+""&amp;REGEXREPLACE(TO_TEXT('Respuestas de formulario 1'!G1113),""[^0-9]"",""""),""+54""&amp;REGEXREPLACE(TO_TEXT('Respu"&amp;"estas de formulario 1'!G1113),""[^0-9]"","""")))"),"+543516518474")</f>
        <v>+543516518474</v>
      </c>
      <c r="H1113" s="7">
        <f>'Respuestas de formulario 1'!S1113</f>
        <v>2025</v>
      </c>
      <c r="I1113" s="7" t="str">
        <f>IFERROR(__xludf.DUMMYFUNCTION("IF('Respuestas de formulario 1'!I1113="""","""",TO_TEXT('Respuestas de formulario 1'!I1113))"),"Particular")</f>
        <v>Particular</v>
      </c>
      <c r="J1113" s="7" t="str">
        <f>IFERROR(__xludf.DUMMYFUNCTION("IF('Respuestas de formulario 1'!J1113&lt;&gt;"""",UPPER(TRIM(TO_TEXT('Respuestas de formulario 1'!J1113))),IF('Respuestas de formulario 1'!O1113&lt;&gt;"""",UPPER(TRIM(TO_TEXT('Respuestas de formulario 1'!O1113))),""""))"),"")</f>
        <v/>
      </c>
      <c r="K1113" s="7" t="str">
        <f>IFERROR(__xludf.DUMMYFUNCTION("IF('Respuestas de formulario 1'!K1113="""","""",TO_TEXT('Respuestas de formulario 1'!K1113))"),"Si")</f>
        <v>Si</v>
      </c>
      <c r="L1113" s="7" t="str">
        <f>IFERROR(__xludf.DUMMYFUNCTION("IF('Respuestas de formulario 1'!L1113="""","""",TO_TEXT('Respuestas de formulario 1'!L1113))"),"Fútbol")</f>
        <v>Fútbol</v>
      </c>
      <c r="M1113" s="7" t="str">
        <f>IFERROR(__xludf.DUMMYFUNCTION("IF('Respuestas de formulario 1'!M1113="""","""",TO_TEXT('Respuestas de formulario 1'!M1113))"),"1 a 2 veces por semana")</f>
        <v>1 a 2 veces por semana</v>
      </c>
      <c r="N1113" s="7">
        <f t="shared" si="1"/>
        <v>2025</v>
      </c>
      <c r="O1113" s="7" t="str">
        <f t="shared" si="2"/>
        <v>julio</v>
      </c>
      <c r="P1113" s="7" t="s">
        <v>6364</v>
      </c>
    </row>
    <row r="1114">
      <c r="A1114" s="19">
        <f>'Respuestas de formulario 1'!A1114</f>
        <v>45866.80248</v>
      </c>
      <c r="B1114" s="7" t="str">
        <f>'Respuestas de formulario 1'!B1114</f>
        <v>Mamar</v>
      </c>
      <c r="C1114" s="7" t="str">
        <f>'Respuestas de formulario 1'!C1114</f>
        <v>Agostina</v>
      </c>
      <c r="D1114" s="7" t="str">
        <f>'Respuestas de formulario 1'!D1114</f>
        <v/>
      </c>
      <c r="E1114" s="20">
        <f>'Respuestas de formulario 1'!E1114</f>
        <v>40294</v>
      </c>
      <c r="F1114" s="7">
        <f>'Respuestas de formulario 1'!F1114</f>
        <v>50328304</v>
      </c>
      <c r="G1114" s="7" t="str">
        <f>IFERROR(__xludf.DUMMYFUNCTION("IF('Respuestas de formulario 1'!G1114="""","""",IF(LEFT(REGEXREPLACE(TO_TEXT('Respuestas de formulario 1'!G1114),""[^0-9]"",""""),2)=""54"",""+""&amp;REGEXREPLACE(TO_TEXT('Respuestas de formulario 1'!G1114),""[^0-9]"",""""),""+54""&amp;REGEXREPLACE(TO_TEXT('Respu"&amp;"estas de formulario 1'!G1114),""[^0-9]"","""")))"),"+543513485501")</f>
        <v>+543513485501</v>
      </c>
      <c r="H1114" s="7">
        <f>'Respuestas de formulario 1'!S1114</f>
        <v>2025</v>
      </c>
      <c r="I1114" s="7" t="str">
        <f>IFERROR(__xludf.DUMMYFUNCTION("IF('Respuestas de formulario 1'!I1114="""","""",TO_TEXT('Respuestas de formulario 1'!I1114))"),"Particular")</f>
        <v>Particular</v>
      </c>
      <c r="J1114" s="7" t="str">
        <f>IFERROR(__xludf.DUMMYFUNCTION("IF('Respuestas de formulario 1'!J1114&lt;&gt;"""",UPPER(TRIM(TO_TEXT('Respuestas de formulario 1'!J1114))),IF('Respuestas de formulario 1'!O1114&lt;&gt;"""",UPPER(TRIM(TO_TEXT('Respuestas de formulario 1'!O1114))),""""))"),"")</f>
        <v/>
      </c>
      <c r="K1114" s="7" t="str">
        <f>IFERROR(__xludf.DUMMYFUNCTION("IF('Respuestas de formulario 1'!K1114="""","""",TO_TEXT('Respuestas de formulario 1'!K1114))"),"Si")</f>
        <v>Si</v>
      </c>
      <c r="L1114" s="7" t="str">
        <f>IFERROR(__xludf.DUMMYFUNCTION("IF('Respuestas de formulario 1'!L1114="""","""",TO_TEXT('Respuestas de formulario 1'!L1114))"),"Gimnasia Artistica")</f>
        <v>Gimnasia Artistica</v>
      </c>
      <c r="M1114" s="7" t="str">
        <f>IFERROR(__xludf.DUMMYFUNCTION("IF('Respuestas de formulario 1'!M1114="""","""",TO_TEXT('Respuestas de formulario 1'!M1114))"),"3 a 5 veces por semana")</f>
        <v>3 a 5 veces por semana</v>
      </c>
      <c r="N1114" s="7">
        <f t="shared" si="1"/>
        <v>2025</v>
      </c>
      <c r="O1114" s="7" t="str">
        <f t="shared" si="2"/>
        <v>julio</v>
      </c>
      <c r="P1114" s="7" t="s">
        <v>6366</v>
      </c>
    </row>
    <row r="1115">
      <c r="A1115" s="19">
        <f>'Respuestas de formulario 1'!A1115</f>
        <v>45867.79342</v>
      </c>
      <c r="B1115" s="7" t="str">
        <f>'Respuestas de formulario 1'!B1115</f>
        <v>BALDUCCI </v>
      </c>
      <c r="C1115" s="7" t="str">
        <f>'Respuestas de formulario 1'!C1115</f>
        <v>SALVADOR</v>
      </c>
      <c r="D1115" s="7" t="str">
        <f>'Respuestas de formulario 1'!D1115</f>
        <v>cariviglione12@gmail.com</v>
      </c>
      <c r="E1115" s="20">
        <f>'Respuestas de formulario 1'!E1115</f>
        <v>41225</v>
      </c>
      <c r="F1115" s="7">
        <f>'Respuestas de formulario 1'!F1115</f>
        <v>52806562</v>
      </c>
      <c r="G1115" s="7" t="str">
        <f>IFERROR(__xludf.DUMMYFUNCTION("IF('Respuestas de formulario 1'!G1115="""","""",IF(LEFT(REGEXREPLACE(TO_TEXT('Respuestas de formulario 1'!G1115),""[^0-9]"",""""),2)=""54"",""+""&amp;REGEXREPLACE(TO_TEXT('Respuestas de formulario 1'!G1115),""[^0-9]"",""""),""+54""&amp;REGEXREPLACE(TO_TEXT('Respu"&amp;"estas de formulario 1'!G1115),""[^0-9]"","""")))"),"+543515554505")</f>
        <v>+543515554505</v>
      </c>
      <c r="H1115" s="7">
        <f>'Respuestas de formulario 1'!S1115</f>
        <v>2025</v>
      </c>
      <c r="I1115" s="7" t="str">
        <f>IFERROR(__xludf.DUMMYFUNCTION("IF('Respuestas de formulario 1'!I1115="""","""",TO_TEXT('Respuestas de formulario 1'!I1115))"),"Obra social")</f>
        <v>Obra social</v>
      </c>
      <c r="J1115" s="7" t="str">
        <f>IFERROR(__xludf.DUMMYFUNCTION("IF('Respuestas de formulario 1'!J1115&lt;&gt;"""",UPPER(TRIM(TO_TEXT('Respuestas de formulario 1'!J1115))),IF('Respuestas de formulario 1'!O1115&lt;&gt;"""",UPPER(TRIM(TO_TEXT('Respuestas de formulario 1'!O1115))),""""))"),"DASPU")</f>
        <v>DASPU</v>
      </c>
      <c r="K1115" s="7" t="str">
        <f>IFERROR(__xludf.DUMMYFUNCTION("IF('Respuestas de formulario 1'!K1115="""","""",TO_TEXT('Respuestas de formulario 1'!K1115))"),"Si")</f>
        <v>Si</v>
      </c>
      <c r="L1115" s="7" t="str">
        <f>IFERROR(__xludf.DUMMYFUNCTION("IF('Respuestas de formulario 1'!L1115="""","""",TO_TEXT('Respuestas de formulario 1'!L1115))"),"Fútbol")</f>
        <v>Fútbol</v>
      </c>
      <c r="M1115" s="7" t="str">
        <f>IFERROR(__xludf.DUMMYFUNCTION("IF('Respuestas de formulario 1'!M1115="""","""",TO_TEXT('Respuestas de formulario 1'!M1115))"),"3 a 5 veces por semana")</f>
        <v>3 a 5 veces por semana</v>
      </c>
      <c r="N1115" s="7">
        <f t="shared" si="1"/>
        <v>2025</v>
      </c>
      <c r="O1115" s="7" t="str">
        <f t="shared" si="2"/>
        <v>julio</v>
      </c>
      <c r="P1115" s="7" t="s">
        <v>6368</v>
      </c>
    </row>
    <row r="1116">
      <c r="A1116" s="19">
        <f>'Respuestas de formulario 1'!A1116</f>
        <v>45867.79348</v>
      </c>
      <c r="B1116" s="7" t="str">
        <f>'Respuestas de formulario 1'!B1116</f>
        <v>Zogbi</v>
      </c>
      <c r="C1116" s="7" t="str">
        <f>'Respuestas de formulario 1'!C1116</f>
        <v>Santiago Tomas</v>
      </c>
      <c r="D1116" s="7" t="str">
        <f>'Respuestas de formulario 1'!D1116</f>
        <v/>
      </c>
      <c r="E1116" s="20">
        <f>'Respuestas de formulario 1'!E1116</f>
        <v>35899</v>
      </c>
      <c r="F1116" s="7">
        <f>'Respuestas de formulario 1'!F1116</f>
        <v>41115028</v>
      </c>
      <c r="G1116" s="7" t="str">
        <f>IFERROR(__xludf.DUMMYFUNCTION("IF('Respuestas de formulario 1'!G1116="""","""",IF(LEFT(REGEXREPLACE(TO_TEXT('Respuestas de formulario 1'!G1116),""[^0-9]"",""""),2)=""54"",""+""&amp;REGEXREPLACE(TO_TEXT('Respuestas de formulario 1'!G1116),""[^0-9]"",""""),""+54""&amp;REGEXREPLACE(TO_TEXT('Respu"&amp;"estas de formulario 1'!G1116),""[^0-9]"","""")))"),"+543513434424")</f>
        <v>+543513434424</v>
      </c>
      <c r="H1116" s="7">
        <f>'Respuestas de formulario 1'!S1116</f>
        <v>2025</v>
      </c>
      <c r="I1116" s="7" t="str">
        <f>IFERROR(__xludf.DUMMYFUNCTION("IF('Respuestas de formulario 1'!I1116="""","""",TO_TEXT('Respuestas de formulario 1'!I1116))"),"Particular")</f>
        <v>Particular</v>
      </c>
      <c r="J1116" s="7" t="str">
        <f>IFERROR(__xludf.DUMMYFUNCTION("IF('Respuestas de formulario 1'!J1116&lt;&gt;"""",UPPER(TRIM(TO_TEXT('Respuestas de formulario 1'!J1116))),IF('Respuestas de formulario 1'!O1116&lt;&gt;"""",UPPER(TRIM(TO_TEXT('Respuestas de formulario 1'!O1116))),""""))"),"")</f>
        <v/>
      </c>
      <c r="K1116" s="7" t="str">
        <f>IFERROR(__xludf.DUMMYFUNCTION("IF('Respuestas de formulario 1'!K1116="""","""",TO_TEXT('Respuestas de formulario 1'!K1116))"),"Si")</f>
        <v>Si</v>
      </c>
      <c r="L1116" s="7" t="str">
        <f>IFERROR(__xludf.DUMMYFUNCTION("IF('Respuestas de formulario 1'!L1116="""","""",TO_TEXT('Respuestas de formulario 1'!L1116))"),"Fútbol")</f>
        <v>Fútbol</v>
      </c>
      <c r="M1116" s="7" t="str">
        <f>IFERROR(__xludf.DUMMYFUNCTION("IF('Respuestas de formulario 1'!M1116="""","""",TO_TEXT('Respuestas de formulario 1'!M1116))"),"3 a 5 veces por semana")</f>
        <v>3 a 5 veces por semana</v>
      </c>
      <c r="N1116" s="7">
        <f t="shared" si="1"/>
        <v>2025</v>
      </c>
      <c r="O1116" s="7" t="str">
        <f t="shared" si="2"/>
        <v>julio</v>
      </c>
      <c r="P1116" s="7" t="s">
        <v>5579</v>
      </c>
    </row>
    <row r="1117">
      <c r="A1117" s="19">
        <f>'Respuestas de formulario 1'!A1117</f>
        <v>45868.37228</v>
      </c>
      <c r="B1117" s="7" t="str">
        <f>'Respuestas de formulario 1'!B1117</f>
        <v>Alonso</v>
      </c>
      <c r="C1117" s="7" t="str">
        <f>'Respuestas de formulario 1'!C1117</f>
        <v>Julieta</v>
      </c>
      <c r="D1117" s="7" t="str">
        <f>'Respuestas de formulario 1'!D1117</f>
        <v>julietalonso@gmail.com</v>
      </c>
      <c r="E1117" s="20">
        <f>'Respuestas de formulario 1'!E1117</f>
        <v>28997</v>
      </c>
      <c r="F1117" s="7">
        <f>'Respuestas de formulario 1'!F1117</f>
        <v>27316683</v>
      </c>
      <c r="G1117" s="7" t="str">
        <f>IFERROR(__xludf.DUMMYFUNCTION("IF('Respuestas de formulario 1'!G1117="""","""",IF(LEFT(REGEXREPLACE(TO_TEXT('Respuestas de formulario 1'!G1117),""[^0-9]"",""""),2)=""54"",""+""&amp;REGEXREPLACE(TO_TEXT('Respuestas de formulario 1'!G1117),""[^0-9]"",""""),""+54""&amp;REGEXREPLACE(TO_TEXT('Respu"&amp;"estas de formulario 1'!G1117),""[^0-9]"","""")))"),"+543516806868")</f>
        <v>+543516806868</v>
      </c>
      <c r="H1117" s="7">
        <f>'Respuestas de formulario 1'!S1117</f>
        <v>2025</v>
      </c>
      <c r="I1117" s="7" t="str">
        <f>IFERROR(__xludf.DUMMYFUNCTION("IF('Respuestas de formulario 1'!I1117="""","""",TO_TEXT('Respuestas de formulario 1'!I1117))"),"Particular")</f>
        <v>Particular</v>
      </c>
      <c r="J1117" s="7" t="str">
        <f>IFERROR(__xludf.DUMMYFUNCTION("IF('Respuestas de formulario 1'!J1117&lt;&gt;"""",UPPER(TRIM(TO_TEXT('Respuestas de formulario 1'!J1117))),IF('Respuestas de formulario 1'!O1117&lt;&gt;"""",UPPER(TRIM(TO_TEXT('Respuestas de formulario 1'!O1117))),""""))"),"")</f>
        <v/>
      </c>
      <c r="K1117" s="7" t="str">
        <f>IFERROR(__xludf.DUMMYFUNCTION("IF('Respuestas de formulario 1'!K1117="""","""",TO_TEXT('Respuestas de formulario 1'!K1117))"),"Si")</f>
        <v>Si</v>
      </c>
      <c r="L1117" s="7" t="str">
        <f>IFERROR(__xludf.DUMMYFUNCTION("IF('Respuestas de formulario 1'!L1117="""","""",TO_TEXT('Respuestas de formulario 1'!L1117))"),"Running")</f>
        <v>Running</v>
      </c>
      <c r="M1117" s="7" t="str">
        <f>IFERROR(__xludf.DUMMYFUNCTION("IF('Respuestas de formulario 1'!M1117="""","""",TO_TEXT('Respuestas de formulario 1'!M1117))"),"3 a 5 veces por semana")</f>
        <v>3 a 5 veces por semana</v>
      </c>
      <c r="N1117" s="7">
        <f t="shared" si="1"/>
        <v>2025</v>
      </c>
      <c r="O1117" s="7" t="str">
        <f t="shared" si="2"/>
        <v>julio</v>
      </c>
      <c r="P1117" s="7" t="s">
        <v>6370</v>
      </c>
    </row>
    <row r="1118">
      <c r="A1118" s="19">
        <f>'Respuestas de formulario 1'!A1118</f>
        <v>45868.49438</v>
      </c>
      <c r="B1118" s="7" t="str">
        <f>'Respuestas de formulario 1'!B1118</f>
        <v>Vega</v>
      </c>
      <c r="C1118" s="7" t="str">
        <f>'Respuestas de formulario 1'!C1118</f>
        <v>Laura carina</v>
      </c>
      <c r="D1118" s="7" t="str">
        <f>'Respuestas de formulario 1'!D1118</f>
        <v>lacarivega@gmail.com</v>
      </c>
      <c r="E1118" s="20">
        <f>'Respuestas de formulario 1'!E1118</f>
        <v>26279</v>
      </c>
      <c r="F1118" s="7">
        <f>'Respuestas de formulario 1'!F1118</f>
        <v>21941124</v>
      </c>
      <c r="G1118" s="7" t="str">
        <f>IFERROR(__xludf.DUMMYFUNCTION("IF('Respuestas de formulario 1'!G1118="""","""",IF(LEFT(REGEXREPLACE(TO_TEXT('Respuestas de formulario 1'!G1118),""[^0-9]"",""""),2)=""54"",""+""&amp;REGEXREPLACE(TO_TEXT('Respuestas de formulario 1'!G1118),""[^0-9]"",""""),""+54""&amp;REGEXREPLACE(TO_TEXT('Respu"&amp;"estas de formulario 1'!G1118),""[^0-9]"","""")))"),"+543515528039")</f>
        <v>+543515528039</v>
      </c>
      <c r="H1118" s="7">
        <f>'Respuestas de formulario 1'!S1118</f>
        <v>2025</v>
      </c>
      <c r="I1118" s="7" t="str">
        <f>IFERROR(__xludf.DUMMYFUNCTION("IF('Respuestas de formulario 1'!I1118="""","""",TO_TEXT('Respuestas de formulario 1'!I1118))"),"Obra social")</f>
        <v>Obra social</v>
      </c>
      <c r="J1118" s="7" t="str">
        <f>IFERROR(__xludf.DUMMYFUNCTION("IF('Respuestas de formulario 1'!J1118&lt;&gt;"""",UPPER(TRIM(TO_TEXT('Respuestas de formulario 1'!J1118))),IF('Respuestas de formulario 1'!O1118&lt;&gt;"""",UPPER(TRIM(TO_TEXT('Respuestas de formulario 1'!O1118))),""""))"),"APROSS")</f>
        <v>APROSS</v>
      </c>
      <c r="K1118" s="7" t="str">
        <f>IFERROR(__xludf.DUMMYFUNCTION("IF('Respuestas de formulario 1'!K1118="""","""",TO_TEXT('Respuestas de formulario 1'!K1118))"),"No")</f>
        <v>No</v>
      </c>
      <c r="L1118" s="7" t="str">
        <f>IFERROR(__xludf.DUMMYFUNCTION("IF('Respuestas de formulario 1'!L1118="""","""",TO_TEXT('Respuestas de formulario 1'!L1118))"),"")</f>
        <v/>
      </c>
      <c r="M1118" s="7" t="str">
        <f>IFERROR(__xludf.DUMMYFUNCTION("IF('Respuestas de formulario 1'!M1118="""","""",TO_TEXT('Respuestas de formulario 1'!M1118))"),"")</f>
        <v/>
      </c>
      <c r="N1118" s="7">
        <f t="shared" si="1"/>
        <v>2025</v>
      </c>
      <c r="O1118" s="7" t="str">
        <f t="shared" si="2"/>
        <v>julio</v>
      </c>
      <c r="P1118" s="7" t="s">
        <v>6372</v>
      </c>
    </row>
    <row r="1119">
      <c r="A1119" s="19">
        <f>'Respuestas de formulario 1'!A1119</f>
        <v>45868.49785</v>
      </c>
      <c r="B1119" s="7" t="str">
        <f>'Respuestas de formulario 1'!B1119</f>
        <v>Cordeiro</v>
      </c>
      <c r="C1119" s="7" t="str">
        <f>'Respuestas de formulario 1'!C1119</f>
        <v>Julieta </v>
      </c>
      <c r="D1119" s="7" t="str">
        <f>'Respuestas de formulario 1'!D1119</f>
        <v>julietacordeiro01@gmail.com</v>
      </c>
      <c r="E1119" s="20">
        <f>'Respuestas de formulario 1'!E1119</f>
        <v>29826</v>
      </c>
      <c r="F1119" s="7">
        <f>'Respuestas de formulario 1'!F1119</f>
        <v>29029689</v>
      </c>
      <c r="G1119" s="7" t="str">
        <f>IFERROR(__xludf.DUMMYFUNCTION("IF('Respuestas de formulario 1'!G1119="""","""",IF(LEFT(REGEXREPLACE(TO_TEXT('Respuestas de formulario 1'!G1119),""[^0-9]"",""""),2)=""54"",""+""&amp;REGEXREPLACE(TO_TEXT('Respuestas de formulario 1'!G1119),""[^0-9]"",""""),""+54""&amp;REGEXREPLACE(TO_TEXT('Respu"&amp;"estas de formulario 1'!G1119),""[^0-9]"","""")))"),"+543517132653")</f>
        <v>+543517132653</v>
      </c>
      <c r="H1119" s="7">
        <f>'Respuestas de formulario 1'!S1119</f>
        <v>2025</v>
      </c>
      <c r="I1119" s="7" t="str">
        <f>IFERROR(__xludf.DUMMYFUNCTION("IF('Respuestas de formulario 1'!I1119="""","""",TO_TEXT('Respuestas de formulario 1'!I1119))"),"Obra social")</f>
        <v>Obra social</v>
      </c>
      <c r="J1119" s="7" t="str">
        <f>IFERROR(__xludf.DUMMYFUNCTION("IF('Respuestas de formulario 1'!J1119&lt;&gt;"""",UPPER(TRIM(TO_TEXT('Respuestas de formulario 1'!J1119))),IF('Respuestas de formulario 1'!O1119&lt;&gt;"""",UPPER(TRIM(TO_TEXT('Respuestas de formulario 1'!O1119))),""""))"),"PREVENCIÓN")</f>
        <v>PREVENCIÓN</v>
      </c>
      <c r="K1119" s="7" t="str">
        <f>IFERROR(__xludf.DUMMYFUNCTION("IF('Respuestas de formulario 1'!K1119="""","""",TO_TEXT('Respuestas de formulario 1'!K1119))"),"Si")</f>
        <v>Si</v>
      </c>
      <c r="L1119" s="7" t="str">
        <f>IFERROR(__xludf.DUMMYFUNCTION("IF('Respuestas de formulario 1'!L1119="""","""",TO_TEXT('Respuestas de formulario 1'!L1119))"),"Gimnasio")</f>
        <v>Gimnasio</v>
      </c>
      <c r="M1119" s="7" t="str">
        <f>IFERROR(__xludf.DUMMYFUNCTION("IF('Respuestas de formulario 1'!M1119="""","""",TO_TEXT('Respuestas de formulario 1'!M1119))"),"3 a 5 veces por semana")</f>
        <v>3 a 5 veces por semana</v>
      </c>
      <c r="N1119" s="7">
        <f t="shared" si="1"/>
        <v>2025</v>
      </c>
      <c r="O1119" s="7" t="str">
        <f t="shared" si="2"/>
        <v>julio</v>
      </c>
      <c r="P1119" s="7" t="s">
        <v>6374</v>
      </c>
    </row>
    <row r="1120">
      <c r="A1120" s="19">
        <f>'Respuestas de formulario 1'!A1120</f>
        <v>45868.66347</v>
      </c>
      <c r="B1120" s="7" t="str">
        <f>'Respuestas de formulario 1'!B1120</f>
        <v>Márquez </v>
      </c>
      <c r="C1120" s="7" t="str">
        <f>'Respuestas de formulario 1'!C1120</f>
        <v>Natalia</v>
      </c>
      <c r="D1120" s="7" t="str">
        <f>'Respuestas de formulario 1'!D1120</f>
        <v>Marqueznatalia141@gmail.com</v>
      </c>
      <c r="E1120" s="20">
        <f>'Respuestas de formulario 1'!E1120</f>
        <v>-684651</v>
      </c>
      <c r="F1120" s="7">
        <f>'Respuestas de formulario 1'!F1120</f>
        <v>28851649</v>
      </c>
      <c r="G1120" s="7" t="str">
        <f>IFERROR(__xludf.DUMMYFUNCTION("IF('Respuestas de formulario 1'!G1120="""","""",IF(LEFT(REGEXREPLACE(TO_TEXT('Respuestas de formulario 1'!G1120),""[^0-9]"",""""),2)=""54"",""+""&amp;REGEXREPLACE(TO_TEXT('Respuestas de formulario 1'!G1120),""[^0-9]"",""""),""+54""&amp;REGEXREPLACE(TO_TEXT('Respu"&amp;"estas de formulario 1'!G1120),""[^0-9]"","""")))"),"+543516330031")</f>
        <v>+543516330031</v>
      </c>
      <c r="H1120" s="7">
        <f>'Respuestas de formulario 1'!S1120</f>
        <v>2025</v>
      </c>
      <c r="I1120" s="7" t="str">
        <f>IFERROR(__xludf.DUMMYFUNCTION("IF('Respuestas de formulario 1'!I1120="""","""",TO_TEXT('Respuestas de formulario 1'!I1120))"),"Particular")</f>
        <v>Particular</v>
      </c>
      <c r="J1120" s="7" t="str">
        <f>IFERROR(__xludf.DUMMYFUNCTION("IF('Respuestas de formulario 1'!J1120&lt;&gt;"""",UPPER(TRIM(TO_TEXT('Respuestas de formulario 1'!J1120))),IF('Respuestas de formulario 1'!O1120&lt;&gt;"""",UPPER(TRIM(TO_TEXT('Respuestas de formulario 1'!O1120))),""""))"),"")</f>
        <v/>
      </c>
      <c r="K1120" s="7" t="str">
        <f>IFERROR(__xludf.DUMMYFUNCTION("IF('Respuestas de formulario 1'!K1120="""","""",TO_TEXT('Respuestas de formulario 1'!K1120))"),"Si")</f>
        <v>Si</v>
      </c>
      <c r="L1120" s="7" t="str">
        <f>IFERROR(__xludf.DUMMYFUNCTION("IF('Respuestas de formulario 1'!L1120="""","""",TO_TEXT('Respuestas de formulario 1'!L1120))"),"Gimnasio")</f>
        <v>Gimnasio</v>
      </c>
      <c r="M1120" s="7" t="str">
        <f>IFERROR(__xludf.DUMMYFUNCTION("IF('Respuestas de formulario 1'!M1120="""","""",TO_TEXT('Respuestas de formulario 1'!M1120))"),"3 a 5 veces por semana")</f>
        <v>3 a 5 veces por semana</v>
      </c>
      <c r="N1120" s="7">
        <f t="shared" si="1"/>
        <v>2025</v>
      </c>
      <c r="O1120" s="7" t="str">
        <f t="shared" si="2"/>
        <v>julio</v>
      </c>
      <c r="P1120" s="7" t="s">
        <v>6376</v>
      </c>
    </row>
    <row r="1121">
      <c r="A1121" s="19">
        <f>'Respuestas de formulario 1'!A1121</f>
        <v>45868.73536</v>
      </c>
      <c r="B1121" s="7" t="str">
        <f>'Respuestas de formulario 1'!B1121</f>
        <v>Londero </v>
      </c>
      <c r="C1121" s="7" t="str">
        <f>'Respuestas de formulario 1'!C1121</f>
        <v>Lucas</v>
      </c>
      <c r="D1121" s="7" t="str">
        <f>'Respuestas de formulario 1'!D1121</f>
        <v>lucaslondero368@gmail.com</v>
      </c>
      <c r="E1121" s="20">
        <f>'Respuestas de formulario 1'!E1121</f>
        <v>32766</v>
      </c>
      <c r="F1121" s="7">
        <f>'Respuestas de formulario 1'!F1121</f>
        <v>34686243</v>
      </c>
      <c r="G1121" s="7" t="str">
        <f>IFERROR(__xludf.DUMMYFUNCTION("IF('Respuestas de formulario 1'!G1121="""","""",IF(LEFT(REGEXREPLACE(TO_TEXT('Respuestas de formulario 1'!G1121),""[^0-9]"",""""),2)=""54"",""+""&amp;REGEXREPLACE(TO_TEXT('Respuestas de formulario 1'!G1121),""[^0-9]"",""""),""+54""&amp;REGEXREPLACE(TO_TEXT('Respu"&amp;"estas de formulario 1'!G1121),""[^0-9]"","""")))"),"+543532588660")</f>
        <v>+543532588660</v>
      </c>
      <c r="H1121" s="7">
        <f>'Respuestas de formulario 1'!S1121</f>
        <v>2025</v>
      </c>
      <c r="I1121" s="7" t="str">
        <f>IFERROR(__xludf.DUMMYFUNCTION("IF('Respuestas de formulario 1'!I1121="""","""",TO_TEXT('Respuestas de formulario 1'!I1121))"),"Obra social")</f>
        <v>Obra social</v>
      </c>
      <c r="J1121" s="7" t="str">
        <f>IFERROR(__xludf.DUMMYFUNCTION("IF('Respuestas de formulario 1'!J1121&lt;&gt;"""",UPPER(TRIM(TO_TEXT('Respuestas de formulario 1'!J1121))),IF('Respuestas de formulario 1'!O1121&lt;&gt;"""",UPPER(TRIM(TO_TEXT('Respuestas de formulario 1'!O1121))),""""))"),"PREVENCIÓN")</f>
        <v>PREVENCIÓN</v>
      </c>
      <c r="K1121" s="7" t="str">
        <f>IFERROR(__xludf.DUMMYFUNCTION("IF('Respuestas de formulario 1'!K1121="""","""",TO_TEXT('Respuestas de formulario 1'!K1121))"),"Si")</f>
        <v>Si</v>
      </c>
      <c r="L1121" s="7" t="str">
        <f>IFERROR(__xludf.DUMMYFUNCTION("IF('Respuestas de formulario 1'!L1121="""","""",TO_TEXT('Respuestas de formulario 1'!L1121))"),"Gimnasio")</f>
        <v>Gimnasio</v>
      </c>
      <c r="M1121" s="7" t="str">
        <f>IFERROR(__xludf.DUMMYFUNCTION("IF('Respuestas de formulario 1'!M1121="""","""",TO_TEXT('Respuestas de formulario 1'!M1121))"),"3 a 5 veces por semana")</f>
        <v>3 a 5 veces por semana</v>
      </c>
      <c r="N1121" s="7">
        <f t="shared" si="1"/>
        <v>2025</v>
      </c>
      <c r="O1121" s="7" t="str">
        <f t="shared" si="2"/>
        <v>julio</v>
      </c>
      <c r="P1121" s="7" t="s">
        <v>6378</v>
      </c>
    </row>
    <row r="1122">
      <c r="A1122" s="19">
        <f>'Respuestas de formulario 1'!A1122</f>
        <v>45868.75803</v>
      </c>
      <c r="B1122" s="7" t="str">
        <f>'Respuestas de formulario 1'!B1122</f>
        <v>Bazán</v>
      </c>
      <c r="C1122" s="7" t="str">
        <f>'Respuestas de formulario 1'!C1122</f>
        <v>Valentina </v>
      </c>
      <c r="D1122" s="7" t="str">
        <f>'Respuestas de formulario 1'!D1122</f>
        <v>Valentinabazzan25@gmail.com</v>
      </c>
      <c r="E1122" s="20">
        <f>'Respuestas de formulario 1'!E1122</f>
        <v>33659</v>
      </c>
      <c r="F1122" s="7">
        <f>'Respuestas de formulario 1'!F1122</f>
        <v>36227730</v>
      </c>
      <c r="G1122" s="7" t="str">
        <f>IFERROR(__xludf.DUMMYFUNCTION("IF('Respuestas de formulario 1'!G1122="""","""",IF(LEFT(REGEXREPLACE(TO_TEXT('Respuestas de formulario 1'!G1122),""[^0-9]"",""""),2)=""54"",""+""&amp;REGEXREPLACE(TO_TEXT('Respuestas de formulario 1'!G1122),""[^0-9]"",""""),""+54""&amp;REGEXREPLACE(TO_TEXT('Respu"&amp;"estas de formulario 1'!G1122),""[^0-9]"","""")))"),"+543516256793")</f>
        <v>+543516256793</v>
      </c>
      <c r="H1122" s="7">
        <f>'Respuestas de formulario 1'!S1122</f>
        <v>2025</v>
      </c>
      <c r="I1122" s="7" t="str">
        <f>IFERROR(__xludf.DUMMYFUNCTION("IF('Respuestas de formulario 1'!I1122="""","""",TO_TEXT('Respuestas de formulario 1'!I1122))"),"Obra social")</f>
        <v>Obra social</v>
      </c>
      <c r="J1122" s="7" t="str">
        <f>IFERROR(__xludf.DUMMYFUNCTION("IF('Respuestas de formulario 1'!J1122&lt;&gt;"""",UPPER(TRIM(TO_TEXT('Respuestas de formulario 1'!J1122))),IF('Respuestas de formulario 1'!O1122&lt;&gt;"""",UPPER(TRIM(TO_TEXT('Respuestas de formulario 1'!O1122))),""""))"),"AVALIAN")</f>
        <v>AVALIAN</v>
      </c>
      <c r="K1122" s="7" t="str">
        <f>IFERROR(__xludf.DUMMYFUNCTION("IF('Respuestas de formulario 1'!K1122="""","""",TO_TEXT('Respuestas de formulario 1'!K1122))"),"Si")</f>
        <v>Si</v>
      </c>
      <c r="L1122" s="7" t="str">
        <f>IFERROR(__xludf.DUMMYFUNCTION("IF('Respuestas de formulario 1'!L1122="""","""",TO_TEXT('Respuestas de formulario 1'!L1122))"),"Gimnasio")</f>
        <v>Gimnasio</v>
      </c>
      <c r="M1122" s="7" t="str">
        <f>IFERROR(__xludf.DUMMYFUNCTION("IF('Respuestas de formulario 1'!M1122="""","""",TO_TEXT('Respuestas de formulario 1'!M1122))"),"3 a 5 veces por semana")</f>
        <v>3 a 5 veces por semana</v>
      </c>
      <c r="N1122" s="7">
        <f t="shared" si="1"/>
        <v>2025</v>
      </c>
      <c r="O1122" s="7" t="str">
        <f t="shared" si="2"/>
        <v>julio</v>
      </c>
      <c r="P1122" s="7" t="s">
        <v>6380</v>
      </c>
    </row>
    <row r="1123">
      <c r="A1123" s="19">
        <f>'Respuestas de formulario 1'!A1123</f>
        <v>45868.76749</v>
      </c>
      <c r="B1123" s="7" t="str">
        <f>'Respuestas de formulario 1'!B1123</f>
        <v>Cecato</v>
      </c>
      <c r="C1123" s="7" t="str">
        <f>'Respuestas de formulario 1'!C1123</f>
        <v>Lautaro</v>
      </c>
      <c r="D1123" s="7" t="str">
        <f>'Respuestas de formulario 1'!D1123</f>
        <v>lautaro.cecato@gmail.com</v>
      </c>
      <c r="E1123" s="20">
        <f>'Respuestas de formulario 1'!E1123</f>
        <v>36341</v>
      </c>
      <c r="F1123" s="7">
        <f>'Respuestas de formulario 1'!F1123</f>
        <v>41962895</v>
      </c>
      <c r="G1123" s="7" t="str">
        <f>IFERROR(__xludf.DUMMYFUNCTION("IF('Respuestas de formulario 1'!G1123="""","""",IF(LEFT(REGEXREPLACE(TO_TEXT('Respuestas de formulario 1'!G1123),""[^0-9]"",""""),2)=""54"",""+""&amp;REGEXREPLACE(TO_TEXT('Respuestas de formulario 1'!G1123),""[^0-9]"",""""),""+54""&amp;REGEXREPLACE(TO_TEXT('Respu"&amp;"estas de formulario 1'!G1123),""[^0-9]"","""")))"),"+543512324773")</f>
        <v>+543512324773</v>
      </c>
      <c r="H1123" s="7">
        <f>'Respuestas de formulario 1'!S1123</f>
        <v>2025</v>
      </c>
      <c r="I1123" s="7" t="str">
        <f>IFERROR(__xludf.DUMMYFUNCTION("IF('Respuestas de formulario 1'!I1123="""","""",TO_TEXT('Respuestas de formulario 1'!I1123))"),"Obra social")</f>
        <v>Obra social</v>
      </c>
      <c r="J1123" s="7" t="str">
        <f>IFERROR(__xludf.DUMMYFUNCTION("IF('Respuestas de formulario 1'!J1123&lt;&gt;"""",UPPER(TRIM(TO_TEXT('Respuestas de formulario 1'!J1123))),IF('Respuestas de formulario 1'!O1123&lt;&gt;"""",UPPER(TRIM(TO_TEXT('Respuestas de formulario 1'!O1123))),""""))"),"SWISS MEDICAL")</f>
        <v>SWISS MEDICAL</v>
      </c>
      <c r="K1123" s="7" t="str">
        <f>IFERROR(__xludf.DUMMYFUNCTION("IF('Respuestas de formulario 1'!K1123="""","""",TO_TEXT('Respuestas de formulario 1'!K1123))"),"Si")</f>
        <v>Si</v>
      </c>
      <c r="L1123" s="7" t="str">
        <f>IFERROR(__xludf.DUMMYFUNCTION("IF('Respuestas de formulario 1'!L1123="""","""",TO_TEXT('Respuestas de formulario 1'!L1123))"),"Gimnasio")</f>
        <v>Gimnasio</v>
      </c>
      <c r="M1123" s="7" t="str">
        <f>IFERROR(__xludf.DUMMYFUNCTION("IF('Respuestas de formulario 1'!M1123="""","""",TO_TEXT('Respuestas de formulario 1'!M1123))"),"3 a 5 veces por semana")</f>
        <v>3 a 5 veces por semana</v>
      </c>
      <c r="N1123" s="7">
        <f t="shared" si="1"/>
        <v>2025</v>
      </c>
      <c r="O1123" s="7" t="str">
        <f t="shared" si="2"/>
        <v>julio</v>
      </c>
      <c r="P1123" s="7" t="s">
        <v>6382</v>
      </c>
    </row>
    <row r="1124">
      <c r="A1124" s="19">
        <f>'Respuestas de formulario 1'!A1124</f>
        <v>45869.47738</v>
      </c>
      <c r="B1124" s="7" t="str">
        <f>'Respuestas de formulario 1'!B1124</f>
        <v>Palavecino</v>
      </c>
      <c r="C1124" s="7" t="str">
        <f>'Respuestas de formulario 1'!C1124</f>
        <v>Santiago</v>
      </c>
      <c r="D1124" s="7" t="str">
        <f>'Respuestas de formulario 1'!D1124</f>
        <v>santiagopalavecino2@gmail.com</v>
      </c>
      <c r="E1124" s="20">
        <f>'Respuestas de formulario 1'!E1124</f>
        <v>33974</v>
      </c>
      <c r="F1124" s="7">
        <f>'Respuestas de formulario 1'!F1124</f>
        <v>37135043</v>
      </c>
      <c r="G1124" s="7" t="str">
        <f>IFERROR(__xludf.DUMMYFUNCTION("IF('Respuestas de formulario 1'!G1124="""","""",IF(LEFT(REGEXREPLACE(TO_TEXT('Respuestas de formulario 1'!G1124),""[^0-9]"",""""),2)=""54"",""+""&amp;REGEXREPLACE(TO_TEXT('Respuestas de formulario 1'!G1124),""[^0-9]"",""""),""+54""&amp;REGEXREPLACE(TO_TEXT('Respu"&amp;"estas de formulario 1'!G1124),""[^0-9]"","""")))"),"+543512418607")</f>
        <v>+543512418607</v>
      </c>
      <c r="H1124" s="7">
        <f>'Respuestas de formulario 1'!S1124</f>
        <v>2025</v>
      </c>
      <c r="I1124" s="7" t="str">
        <f>IFERROR(__xludf.DUMMYFUNCTION("IF('Respuestas de formulario 1'!I1124="""","""",TO_TEXT('Respuestas de formulario 1'!I1124))"),"Obra social")</f>
        <v>Obra social</v>
      </c>
      <c r="J1124" s="7" t="str">
        <f>IFERROR(__xludf.DUMMYFUNCTION("IF('Respuestas de formulario 1'!J1124&lt;&gt;"""",UPPER(TRIM(TO_TEXT('Respuestas de formulario 1'!J1124))),IF('Respuestas de formulario 1'!O1124&lt;&gt;"""",UPPER(TRIM(TO_TEXT('Respuestas de formulario 1'!O1124))),""""))"),"PREVENCIÓN")</f>
        <v>PREVENCIÓN</v>
      </c>
      <c r="K1124" s="7" t="str">
        <f>IFERROR(__xludf.DUMMYFUNCTION("IF('Respuestas de formulario 1'!K1124="""","""",TO_TEXT('Respuestas de formulario 1'!K1124))"),"Si")</f>
        <v>Si</v>
      </c>
      <c r="L1124" s="7" t="str">
        <f>IFERROR(__xludf.DUMMYFUNCTION("IF('Respuestas de formulario 1'!L1124="""","""",TO_TEXT('Respuestas de formulario 1'!L1124))"),"Acroyoga")</f>
        <v>Acroyoga</v>
      </c>
      <c r="M1124" s="7" t="str">
        <f>IFERROR(__xludf.DUMMYFUNCTION("IF('Respuestas de formulario 1'!M1124="""","""",TO_TEXT('Respuestas de formulario 1'!M1124))"),"3 a 5 veces por semana")</f>
        <v>3 a 5 veces por semana</v>
      </c>
      <c r="N1124" s="7">
        <f t="shared" si="1"/>
        <v>2025</v>
      </c>
      <c r="O1124" s="7" t="str">
        <f t="shared" si="2"/>
        <v>julio</v>
      </c>
      <c r="P1124" s="7" t="s">
        <v>6384</v>
      </c>
    </row>
    <row r="1125">
      <c r="A1125" s="19">
        <f>'Respuestas de formulario 1'!A1125</f>
        <v>45869.73988</v>
      </c>
      <c r="B1125" s="7" t="str">
        <f>'Respuestas de formulario 1'!B1125</f>
        <v>Palavecino</v>
      </c>
      <c r="C1125" s="7" t="str">
        <f>'Respuestas de formulario 1'!C1125</f>
        <v>Paula</v>
      </c>
      <c r="D1125" s="7" t="str">
        <f>'Respuestas de formulario 1'!D1125</f>
        <v/>
      </c>
      <c r="E1125" s="20">
        <f>'Respuestas de formulario 1'!E1125</f>
        <v>33365</v>
      </c>
      <c r="F1125" s="7">
        <f>'Respuestas de formulario 1'!F1125</f>
        <v>35580097</v>
      </c>
      <c r="G1125" s="7" t="str">
        <f>IFERROR(__xludf.DUMMYFUNCTION("IF('Respuestas de formulario 1'!G1125="""","""",IF(LEFT(REGEXREPLACE(TO_TEXT('Respuestas de formulario 1'!G1125),""[^0-9]"",""""),2)=""54"",""+""&amp;REGEXREPLACE(TO_TEXT('Respuestas de formulario 1'!G1125),""[^0-9]"",""""),""+54""&amp;REGEXREPLACE(TO_TEXT('Respu"&amp;"estas de formulario 1'!G1125),""[^0-9]"","""")))"),"+543515102898")</f>
        <v>+543515102898</v>
      </c>
      <c r="H1125" s="7">
        <f>'Respuestas de formulario 1'!S1125</f>
        <v>2025</v>
      </c>
      <c r="I1125" s="7" t="str">
        <f>IFERROR(__xludf.DUMMYFUNCTION("IF('Respuestas de formulario 1'!I1125="""","""",TO_TEXT('Respuestas de formulario 1'!I1125))"),"Particular")</f>
        <v>Particular</v>
      </c>
      <c r="J1125" s="7" t="str">
        <f>IFERROR(__xludf.DUMMYFUNCTION("IF('Respuestas de formulario 1'!J1125&lt;&gt;"""",UPPER(TRIM(TO_TEXT('Respuestas de formulario 1'!J1125))),IF('Respuestas de formulario 1'!O1125&lt;&gt;"""",UPPER(TRIM(TO_TEXT('Respuestas de formulario 1'!O1125))),""""))"),"")</f>
        <v/>
      </c>
      <c r="K1125" s="7" t="str">
        <f>IFERROR(__xludf.DUMMYFUNCTION("IF('Respuestas de formulario 1'!K1125="""","""",TO_TEXT('Respuestas de formulario 1'!K1125))"),"Si")</f>
        <v>Si</v>
      </c>
      <c r="L1125" s="7" t="str">
        <f>IFERROR(__xludf.DUMMYFUNCTION("IF('Respuestas de formulario 1'!L1125="""","""",TO_TEXT('Respuestas de formulario 1'!L1125))"),"Gimnasio")</f>
        <v>Gimnasio</v>
      </c>
      <c r="M1125" s="7" t="str">
        <f>IFERROR(__xludf.DUMMYFUNCTION("IF('Respuestas de formulario 1'!M1125="""","""",TO_TEXT('Respuestas de formulario 1'!M1125))"),"3 a 5 veces por semana")</f>
        <v>3 a 5 veces por semana</v>
      </c>
      <c r="N1125" s="7">
        <f t="shared" si="1"/>
        <v>2025</v>
      </c>
      <c r="O1125" s="7" t="str">
        <f t="shared" si="2"/>
        <v>julio</v>
      </c>
      <c r="P1125" s="7" t="s">
        <v>6386</v>
      </c>
    </row>
    <row r="1126">
      <c r="A1126" s="19">
        <f>'Respuestas de formulario 1'!A1126</f>
        <v>45870.72891</v>
      </c>
      <c r="B1126" s="7" t="str">
        <f>'Respuestas de formulario 1'!B1126</f>
        <v>Barrionuevo</v>
      </c>
      <c r="C1126" s="7" t="str">
        <f>'Respuestas de formulario 1'!C1126</f>
        <v>Yamila</v>
      </c>
      <c r="D1126" s="7" t="str">
        <f>'Respuestas de formulario 1'!D1126</f>
        <v/>
      </c>
      <c r="E1126" s="20">
        <f>'Respuestas de formulario 1'!E1126</f>
        <v>29319</v>
      </c>
      <c r="F1126" s="7">
        <f>'Respuestas de formulario 1'!F1126</f>
        <v>27959578</v>
      </c>
      <c r="G1126" s="7" t="str">
        <f>IFERROR(__xludf.DUMMYFUNCTION("IF('Respuestas de formulario 1'!G1126="""","""",IF(LEFT(REGEXREPLACE(TO_TEXT('Respuestas de formulario 1'!G1126),""[^0-9]"",""""),2)=""54"",""+""&amp;REGEXREPLACE(TO_TEXT('Respuestas de formulario 1'!G1126),""[^0-9]"",""""),""+54""&amp;REGEXREPLACE(TO_TEXT('Respu"&amp;"estas de formulario 1'!G1126),""[^0-9]"","""")))"),"+543512368541")</f>
        <v>+543512368541</v>
      </c>
      <c r="H1126" s="7">
        <f>'Respuestas de formulario 1'!S1126</f>
        <v>2025</v>
      </c>
      <c r="I1126" s="7" t="str">
        <f>IFERROR(__xludf.DUMMYFUNCTION("IF('Respuestas de formulario 1'!I1126="""","""",TO_TEXT('Respuestas de formulario 1'!I1126))"),"Particular")</f>
        <v>Particular</v>
      </c>
      <c r="J1126" s="7" t="str">
        <f>IFERROR(__xludf.DUMMYFUNCTION("IF('Respuestas de formulario 1'!J1126&lt;&gt;"""",UPPER(TRIM(TO_TEXT('Respuestas de formulario 1'!J1126))),IF('Respuestas de formulario 1'!O1126&lt;&gt;"""",UPPER(TRIM(TO_TEXT('Respuestas de formulario 1'!O1126))),""""))"),"")</f>
        <v/>
      </c>
      <c r="K1126" s="7" t="str">
        <f>IFERROR(__xludf.DUMMYFUNCTION("IF('Respuestas de formulario 1'!K1126="""","""",TO_TEXT('Respuestas de formulario 1'!K1126))"),"Si")</f>
        <v>Si</v>
      </c>
      <c r="L1126" s="7" t="str">
        <f>IFERROR(__xludf.DUMMYFUNCTION("IF('Respuestas de formulario 1'!L1126="""","""",TO_TEXT('Respuestas de formulario 1'!L1126))"),"jockey")</f>
        <v>jockey</v>
      </c>
      <c r="M1126" s="7" t="str">
        <f>IFERROR(__xludf.DUMMYFUNCTION("IF('Respuestas de formulario 1'!M1126="""","""",TO_TEXT('Respuestas de formulario 1'!M1126))"),"3 a 5 veces por semana")</f>
        <v>3 a 5 veces por semana</v>
      </c>
      <c r="N1126" s="7">
        <f t="shared" si="1"/>
        <v>2025</v>
      </c>
      <c r="O1126" s="7" t="str">
        <f t="shared" si="2"/>
        <v>agosto</v>
      </c>
      <c r="P1126" s="7" t="s">
        <v>6388</v>
      </c>
    </row>
    <row r="1127">
      <c r="A1127" s="19">
        <f>'Respuestas de formulario 1'!A1127</f>
        <v>45870.79488</v>
      </c>
      <c r="B1127" s="7" t="str">
        <f>'Respuestas de formulario 1'!B1127</f>
        <v>TORRI</v>
      </c>
      <c r="C1127" s="7" t="str">
        <f>'Respuestas de formulario 1'!C1127</f>
        <v>Ruben Daniel</v>
      </c>
      <c r="D1127" s="7" t="str">
        <f>'Respuestas de formulario 1'!D1127</f>
        <v/>
      </c>
      <c r="E1127" s="20">
        <f>'Respuestas de formulario 1'!E1127</f>
        <v>20616</v>
      </c>
      <c r="F1127" s="7">
        <f>'Respuestas de formulario 1'!F1127</f>
        <v>12564936</v>
      </c>
      <c r="G1127" s="7" t="str">
        <f>IFERROR(__xludf.DUMMYFUNCTION("IF('Respuestas de formulario 1'!G1127="""","""",IF(LEFT(REGEXREPLACE(TO_TEXT('Respuestas de formulario 1'!G1127),""[^0-9]"",""""),2)=""54"",""+""&amp;REGEXREPLACE(TO_TEXT('Respuestas de formulario 1'!G1127),""[^0-9]"",""""),""+54""&amp;REGEXREPLACE(TO_TEXT('Respu"&amp;"estas de formulario 1'!G1127),""[^0-9]"","""")))"),"+543517046599")</f>
        <v>+543517046599</v>
      </c>
      <c r="H1127" s="7">
        <f>'Respuestas de formulario 1'!S1127</f>
        <v>2025</v>
      </c>
      <c r="I1127" s="7" t="str">
        <f>IFERROR(__xludf.DUMMYFUNCTION("IF('Respuestas de formulario 1'!I1127="""","""",TO_TEXT('Respuestas de formulario 1'!I1127))"),"Obra social")</f>
        <v>Obra social</v>
      </c>
      <c r="J1127" s="7" t="str">
        <f>IFERROR(__xludf.DUMMYFUNCTION("IF('Respuestas de formulario 1'!J1127&lt;&gt;"""",UPPER(TRIM(TO_TEXT('Respuestas de formulario 1'!J1127))),IF('Respuestas de formulario 1'!O1127&lt;&gt;"""",UPPER(TRIM(TO_TEXT('Respuestas de formulario 1'!O1127))),""""))"),"MEDIFE")</f>
        <v>MEDIFE</v>
      </c>
      <c r="K1127" s="7" t="str">
        <f>IFERROR(__xludf.DUMMYFUNCTION("IF('Respuestas de formulario 1'!K1127="""","""",TO_TEXT('Respuestas de formulario 1'!K1127))"),"No")</f>
        <v>No</v>
      </c>
      <c r="L1127" s="7" t="str">
        <f>IFERROR(__xludf.DUMMYFUNCTION("IF('Respuestas de formulario 1'!L1127="""","""",TO_TEXT('Respuestas de formulario 1'!L1127))"),"")</f>
        <v/>
      </c>
      <c r="M1127" s="7" t="str">
        <f>IFERROR(__xludf.DUMMYFUNCTION("IF('Respuestas de formulario 1'!M1127="""","""",TO_TEXT('Respuestas de formulario 1'!M1127))"),"")</f>
        <v/>
      </c>
      <c r="N1127" s="7">
        <f t="shared" si="1"/>
        <v>2025</v>
      </c>
      <c r="O1127" s="7" t="str">
        <f t="shared" si="2"/>
        <v>agosto</v>
      </c>
      <c r="P1127" s="7" t="s">
        <v>6390</v>
      </c>
    </row>
    <row r="1128">
      <c r="A1128" s="19">
        <f>'Respuestas de formulario 1'!A1128</f>
        <v>45873.67645</v>
      </c>
      <c r="B1128" s="7" t="str">
        <f>'Respuestas de formulario 1'!B1128</f>
        <v>Martínez </v>
      </c>
      <c r="C1128" s="7" t="str">
        <f>'Respuestas de formulario 1'!C1128</f>
        <v>Jessica Gabriela </v>
      </c>
      <c r="D1128" s="7" t="str">
        <f>'Respuestas de formulario 1'!D1128</f>
        <v>jessicamartinez527@gmail.com</v>
      </c>
      <c r="E1128" s="20">
        <f>'Respuestas de formulario 1'!E1128</f>
        <v>28418</v>
      </c>
      <c r="F1128" s="7">
        <f>'Respuestas de formulario 1'!F1128</f>
        <v>26151729</v>
      </c>
      <c r="G1128" s="7" t="str">
        <f>IFERROR(__xludf.DUMMYFUNCTION("IF('Respuestas de formulario 1'!G1128="""","""",IF(LEFT(REGEXREPLACE(TO_TEXT('Respuestas de formulario 1'!G1128),""[^0-9]"",""""),2)=""54"",""+""&amp;REGEXREPLACE(TO_TEXT('Respuestas de formulario 1'!G1128),""[^0-9]"",""""),""+54""&amp;REGEXREPLACE(TO_TEXT('Respu"&amp;"estas de formulario 1'!G1128),""[^0-9]"","""")))"),"+543512172560")</f>
        <v>+543512172560</v>
      </c>
      <c r="H1128" s="7">
        <f>'Respuestas de formulario 1'!S1128</f>
        <v>2025</v>
      </c>
      <c r="I1128" s="7" t="str">
        <f>IFERROR(__xludf.DUMMYFUNCTION("IF('Respuestas de formulario 1'!I1128="""","""",TO_TEXT('Respuestas de formulario 1'!I1128))"),"Obra social")</f>
        <v>Obra social</v>
      </c>
      <c r="J1128" s="7" t="str">
        <f>IFERROR(__xludf.DUMMYFUNCTION("IF('Respuestas de formulario 1'!J1128&lt;&gt;"""",UPPER(TRIM(TO_TEXT('Respuestas de formulario 1'!J1128))),IF('Respuestas de formulario 1'!O1128&lt;&gt;"""",UPPER(TRIM(TO_TEXT('Respuestas de formulario 1'!O1128))),""""))"),"BOREAL PLAN MAGNUM")</f>
        <v>BOREAL PLAN MAGNUM</v>
      </c>
      <c r="K1128" s="7" t="str">
        <f>IFERROR(__xludf.DUMMYFUNCTION("IF('Respuestas de formulario 1'!K1128="""","""",TO_TEXT('Respuestas de formulario 1'!K1128))"),"Si")</f>
        <v>Si</v>
      </c>
      <c r="L1128" s="7" t="str">
        <f>IFERROR(__xludf.DUMMYFUNCTION("IF('Respuestas de formulario 1'!L1128="""","""",TO_TEXT('Respuestas de formulario 1'!L1128))"),"Gimnasio")</f>
        <v>Gimnasio</v>
      </c>
      <c r="M1128" s="7" t="str">
        <f>IFERROR(__xludf.DUMMYFUNCTION("IF('Respuestas de formulario 1'!M1128="""","""",TO_TEXT('Respuestas de formulario 1'!M1128))"),"3 a 5 veces por semana")</f>
        <v>3 a 5 veces por semana</v>
      </c>
      <c r="N1128" s="7">
        <f t="shared" si="1"/>
        <v>2025</v>
      </c>
      <c r="O1128" s="7" t="str">
        <f t="shared" si="2"/>
        <v>agosto</v>
      </c>
      <c r="P1128" s="7" t="s">
        <v>6392</v>
      </c>
    </row>
    <row r="1129">
      <c r="A1129" s="19">
        <f>'Respuestas de formulario 1'!A1129</f>
        <v>45873.68039</v>
      </c>
      <c r="B1129" s="7" t="str">
        <f>'Respuestas de formulario 1'!B1129</f>
        <v>DIAZ </v>
      </c>
      <c r="C1129" s="7" t="str">
        <f>'Respuestas de formulario 1'!C1129</f>
        <v>ROLANDO</v>
      </c>
      <c r="D1129" s="7" t="str">
        <f>'Respuestas de formulario 1'!D1129</f>
        <v>Plantinesdiaz@gmail.com</v>
      </c>
      <c r="E1129" s="20">
        <f>'Respuestas de formulario 1'!E1129</f>
        <v>21252</v>
      </c>
      <c r="F1129" s="7">
        <f>'Respuestas de formulario 1'!F1129</f>
        <v>12157653</v>
      </c>
      <c r="G1129" s="7" t="str">
        <f>IFERROR(__xludf.DUMMYFUNCTION("IF('Respuestas de formulario 1'!G1129="""","""",IF(LEFT(REGEXREPLACE(TO_TEXT('Respuestas de formulario 1'!G1129),""[^0-9]"",""""),2)=""54"",""+""&amp;REGEXREPLACE(TO_TEXT('Respuestas de formulario 1'!G1129),""[^0-9]"",""""),""+54""&amp;REGEXREPLACE(TO_TEXT('Respu"&amp;"estas de formulario 1'!G1129),""[^0-9]"","""")))"),"+543515080648")</f>
        <v>+543515080648</v>
      </c>
      <c r="H1129" s="7">
        <f>'Respuestas de formulario 1'!S1129</f>
        <v>2025</v>
      </c>
      <c r="I1129" s="7" t="str">
        <f>IFERROR(__xludf.DUMMYFUNCTION("IF('Respuestas de formulario 1'!I1129="""","""",TO_TEXT('Respuestas de formulario 1'!I1129))"),"Particular")</f>
        <v>Particular</v>
      </c>
      <c r="J1129" s="7" t="str">
        <f>IFERROR(__xludf.DUMMYFUNCTION("IF('Respuestas de formulario 1'!J1129&lt;&gt;"""",UPPER(TRIM(TO_TEXT('Respuestas de formulario 1'!J1129))),IF('Respuestas de formulario 1'!O1129&lt;&gt;"""",UPPER(TRIM(TO_TEXT('Respuestas de formulario 1'!O1129))),""""))"),"")</f>
        <v/>
      </c>
      <c r="K1129" s="7" t="str">
        <f>IFERROR(__xludf.DUMMYFUNCTION("IF('Respuestas de formulario 1'!K1129="""","""",TO_TEXT('Respuestas de formulario 1'!K1129))"),"Si")</f>
        <v>Si</v>
      </c>
      <c r="L1129" s="7" t="str">
        <f>IFERROR(__xludf.DUMMYFUNCTION("IF('Respuestas de formulario 1'!L1129="""","""",TO_TEXT('Respuestas de formulario 1'!L1129))"),"caminata ")</f>
        <v>caminata </v>
      </c>
      <c r="M1129" s="7" t="str">
        <f>IFERROR(__xludf.DUMMYFUNCTION("IF('Respuestas de formulario 1'!M1129="""","""",TO_TEXT('Respuestas de formulario 1'!M1129))"),"6 a 7 veces por semana")</f>
        <v>6 a 7 veces por semana</v>
      </c>
      <c r="N1129" s="7">
        <f t="shared" si="1"/>
        <v>2025</v>
      </c>
      <c r="O1129" s="7" t="str">
        <f t="shared" si="2"/>
        <v>agosto</v>
      </c>
      <c r="P1129" s="7" t="s">
        <v>6394</v>
      </c>
    </row>
    <row r="1130">
      <c r="A1130" s="19">
        <f>'Respuestas de formulario 1'!A1130</f>
        <v>45873.78139</v>
      </c>
      <c r="B1130" s="7" t="str">
        <f>'Respuestas de formulario 1'!B1130</f>
        <v>QUEVEDO</v>
      </c>
      <c r="C1130" s="7" t="str">
        <f>'Respuestas de formulario 1'!C1130</f>
        <v>Nelson Damian </v>
      </c>
      <c r="D1130" s="7" t="str">
        <f>'Respuestas de formulario 1'!D1130</f>
        <v>nelsondamianquevedo@gmail.com</v>
      </c>
      <c r="E1130" s="20">
        <f>'Respuestas de formulario 1'!E1130</f>
        <v>30677</v>
      </c>
      <c r="F1130" s="7">
        <f>'Respuestas de formulario 1'!F1130</f>
        <v>30659367</v>
      </c>
      <c r="G1130" s="7" t="str">
        <f>IFERROR(__xludf.DUMMYFUNCTION("IF('Respuestas de formulario 1'!G1130="""","""",IF(LEFT(REGEXREPLACE(TO_TEXT('Respuestas de formulario 1'!G1130),""[^0-9]"",""""),2)=""54"",""+""&amp;REGEXREPLACE(TO_TEXT('Respuestas de formulario 1'!G1130),""[^0-9]"",""""),""+54""&amp;REGEXREPLACE(TO_TEXT('Respu"&amp;"estas de formulario 1'!G1130),""[^0-9]"","""")))"),"+543517360809")</f>
        <v>+543517360809</v>
      </c>
      <c r="H1130" s="7">
        <f>'Respuestas de formulario 1'!S1130</f>
        <v>2025</v>
      </c>
      <c r="I1130" s="7" t="str">
        <f>IFERROR(__xludf.DUMMYFUNCTION("IF('Respuestas de formulario 1'!I1130="""","""",TO_TEXT('Respuestas de formulario 1'!I1130))"),"Obra social")</f>
        <v>Obra social</v>
      </c>
      <c r="J1130" s="7" t="str">
        <f>IFERROR(__xludf.DUMMYFUNCTION("IF('Respuestas de formulario 1'!J1130&lt;&gt;"""",UPPER(TRIM(TO_TEXT('Respuestas de formulario 1'!J1130))),IF('Respuestas de formulario 1'!O1130&lt;&gt;"""",UPPER(TRIM(TO_TEXT('Respuestas de formulario 1'!O1130))),""""))"),"APROSS")</f>
        <v>APROSS</v>
      </c>
      <c r="K1130" s="7" t="str">
        <f>IFERROR(__xludf.DUMMYFUNCTION("IF('Respuestas de formulario 1'!K1130="""","""",TO_TEXT('Respuestas de formulario 1'!K1130))"),"Si")</f>
        <v>Si</v>
      </c>
      <c r="L1130" s="7" t="str">
        <f>IFERROR(__xludf.DUMMYFUNCTION("IF('Respuestas de formulario 1'!L1130="""","""",TO_TEXT('Respuestas de formulario 1'!L1130))"),"Fútbol")</f>
        <v>Fútbol</v>
      </c>
      <c r="M1130" s="7" t="str">
        <f>IFERROR(__xludf.DUMMYFUNCTION("IF('Respuestas de formulario 1'!M1130="""","""",TO_TEXT('Respuestas de formulario 1'!M1130))"),"3 a 5 veces por semana")</f>
        <v>3 a 5 veces por semana</v>
      </c>
      <c r="N1130" s="7">
        <f t="shared" si="1"/>
        <v>2025</v>
      </c>
      <c r="O1130" s="7" t="str">
        <f t="shared" si="2"/>
        <v>agosto</v>
      </c>
      <c r="P1130" s="7" t="s">
        <v>6396</v>
      </c>
    </row>
    <row r="1131">
      <c r="A1131" s="19">
        <f>'Respuestas de formulario 1'!A1131</f>
        <v>45873.85135</v>
      </c>
      <c r="B1131" s="7" t="str">
        <f>'Respuestas de formulario 1'!B1131</f>
        <v>Arguello</v>
      </c>
      <c r="C1131" s="7" t="str">
        <f>'Respuestas de formulario 1'!C1131</f>
        <v>Dario</v>
      </c>
      <c r="D1131" s="7" t="str">
        <f>'Respuestas de formulario 1'!D1131</f>
        <v>arguellodario244@gmail.com</v>
      </c>
      <c r="E1131" s="20">
        <f>'Respuestas de formulario 1'!E1131</f>
        <v>29498</v>
      </c>
      <c r="F1131" s="7">
        <f>'Respuestas de formulario 1'!F1131</f>
        <v>28344467</v>
      </c>
      <c r="G1131" s="7" t="str">
        <f>IFERROR(__xludf.DUMMYFUNCTION("IF('Respuestas de formulario 1'!G1131="""","""",IF(LEFT(REGEXREPLACE(TO_TEXT('Respuestas de formulario 1'!G1131),""[^0-9]"",""""),2)=""54"",""+""&amp;REGEXREPLACE(TO_TEXT('Respuestas de formulario 1'!G1131),""[^0-9]"",""""),""+54""&amp;REGEXREPLACE(TO_TEXT('Respu"&amp;"estas de formulario 1'!G1131),""[^0-9]"","""")))"),"+543515418058")</f>
        <v>+543515418058</v>
      </c>
      <c r="H1131" s="7">
        <f>'Respuestas de formulario 1'!S1131</f>
        <v>2025</v>
      </c>
      <c r="I1131" s="7" t="str">
        <f>IFERROR(__xludf.DUMMYFUNCTION("IF('Respuestas de formulario 1'!I1131="""","""",TO_TEXT('Respuestas de formulario 1'!I1131))"),"Obra social")</f>
        <v>Obra social</v>
      </c>
      <c r="J1131" s="7" t="str">
        <f>IFERROR(__xludf.DUMMYFUNCTION("IF('Respuestas de formulario 1'!J1131&lt;&gt;"""",UPPER(TRIM(TO_TEXT('Respuestas de formulario 1'!J1131))),IF('Respuestas de formulario 1'!O1131&lt;&gt;"""",UPPER(TRIM(TO_TEXT('Respuestas de formulario 1'!O1131))),""""))"),"APROSS")</f>
        <v>APROSS</v>
      </c>
      <c r="K1131" s="7" t="str">
        <f>IFERROR(__xludf.DUMMYFUNCTION("IF('Respuestas de formulario 1'!K1131="""","""",TO_TEXT('Respuestas de formulario 1'!K1131))"),"Si")</f>
        <v>Si</v>
      </c>
      <c r="L1131" s="7" t="str">
        <f>IFERROR(__xludf.DUMMYFUNCTION("IF('Respuestas de formulario 1'!L1131="""","""",TO_TEXT('Respuestas de formulario 1'!L1131))"),"Fútbol")</f>
        <v>Fútbol</v>
      </c>
      <c r="M1131" s="7" t="str">
        <f>IFERROR(__xludf.DUMMYFUNCTION("IF('Respuestas de formulario 1'!M1131="""","""",TO_TEXT('Respuestas de formulario 1'!M1131))"),"1 a 2 veces por semana")</f>
        <v>1 a 2 veces por semana</v>
      </c>
      <c r="N1131" s="7">
        <f t="shared" si="1"/>
        <v>2025</v>
      </c>
      <c r="O1131" s="7" t="str">
        <f t="shared" si="2"/>
        <v>agosto</v>
      </c>
      <c r="P1131" s="7" t="s">
        <v>6398</v>
      </c>
    </row>
    <row r="1132">
      <c r="A1132" s="19">
        <f>'Respuestas de formulario 1'!A1132</f>
        <v>45873.86236</v>
      </c>
      <c r="B1132" s="7" t="str">
        <f>'Respuestas de formulario 1'!B1132</f>
        <v>Robles</v>
      </c>
      <c r="C1132" s="7" t="str">
        <f>'Respuestas de formulario 1'!C1132</f>
        <v>Nicolas </v>
      </c>
      <c r="D1132" s="7" t="str">
        <f>'Respuestas de formulario 1'!D1132</f>
        <v>roblesnico@hotmail.com</v>
      </c>
      <c r="E1132" s="20">
        <f>'Respuestas de formulario 1'!E1132</f>
        <v>29956</v>
      </c>
      <c r="F1132" s="7">
        <f>'Respuestas de formulario 1'!F1132</f>
        <v>29202573</v>
      </c>
      <c r="G1132" s="7" t="str">
        <f>IFERROR(__xludf.DUMMYFUNCTION("IF('Respuestas de formulario 1'!G1132="""","""",IF(LEFT(REGEXREPLACE(TO_TEXT('Respuestas de formulario 1'!G1132),""[^0-9]"",""""),2)=""54"",""+""&amp;REGEXREPLACE(TO_TEXT('Respuestas de formulario 1'!G1132),""[^0-9]"",""""),""+54""&amp;REGEXREPLACE(TO_TEXT('Respu"&amp;"estas de formulario 1'!G1132),""[^0-9]"","""")))"),"+543513997447")</f>
        <v>+543513997447</v>
      </c>
      <c r="H1132" s="7">
        <f>'Respuestas de formulario 1'!S1132</f>
        <v>2025</v>
      </c>
      <c r="I1132" s="7" t="str">
        <f>IFERROR(__xludf.DUMMYFUNCTION("IF('Respuestas de formulario 1'!I1132="""","""",TO_TEXT('Respuestas de formulario 1'!I1132))"),"Particular")</f>
        <v>Particular</v>
      </c>
      <c r="J1132" s="7" t="str">
        <f>IFERROR(__xludf.DUMMYFUNCTION("IF('Respuestas de formulario 1'!J1132&lt;&gt;"""",UPPER(TRIM(TO_TEXT('Respuestas de formulario 1'!J1132))),IF('Respuestas de formulario 1'!O1132&lt;&gt;"""",UPPER(TRIM(TO_TEXT('Respuestas de formulario 1'!O1132))),""""))"),"")</f>
        <v/>
      </c>
      <c r="K1132" s="7" t="str">
        <f>IFERROR(__xludf.DUMMYFUNCTION("IF('Respuestas de formulario 1'!K1132="""","""",TO_TEXT('Respuestas de formulario 1'!K1132))"),"Si")</f>
        <v>Si</v>
      </c>
      <c r="L1132" s="7" t="str">
        <f>IFERROR(__xludf.DUMMYFUNCTION("IF('Respuestas de formulario 1'!L1132="""","""",TO_TEXT('Respuestas de formulario 1'!L1132))"),"Gimnasio")</f>
        <v>Gimnasio</v>
      </c>
      <c r="M1132" s="7" t="str">
        <f>IFERROR(__xludf.DUMMYFUNCTION("IF('Respuestas de formulario 1'!M1132="""","""",TO_TEXT('Respuestas de formulario 1'!M1132))"),"3 a 5 veces por semana")</f>
        <v>3 a 5 veces por semana</v>
      </c>
      <c r="N1132" s="7">
        <f t="shared" si="1"/>
        <v>2025</v>
      </c>
      <c r="O1132" s="7" t="str">
        <f t="shared" si="2"/>
        <v>agosto</v>
      </c>
      <c r="P1132" s="7" t="s">
        <v>6400</v>
      </c>
    </row>
    <row r="1133">
      <c r="A1133" s="19">
        <f>'Respuestas de formulario 1'!A1133</f>
        <v>45874.74606</v>
      </c>
      <c r="B1133" s="7" t="str">
        <f>'Respuestas de formulario 1'!B1133</f>
        <v>Irastorza</v>
      </c>
      <c r="C1133" s="7" t="str">
        <f>'Respuestas de formulario 1'!C1133</f>
        <v>Ricardo</v>
      </c>
      <c r="D1133" s="7" t="str">
        <f>'Respuestas de formulario 1'!D1133</f>
        <v>ricardoirastorza@yahoo.com.ar</v>
      </c>
      <c r="E1133" s="20">
        <f>'Respuestas de formulario 1'!E1133</f>
        <v>18488</v>
      </c>
      <c r="F1133" s="7">
        <f>'Respuestas de formulario 1'!F1133</f>
        <v>8401410</v>
      </c>
      <c r="G1133" s="7" t="str">
        <f>IFERROR(__xludf.DUMMYFUNCTION("IF('Respuestas de formulario 1'!G1133="""","""",IF(LEFT(REGEXREPLACE(TO_TEXT('Respuestas de formulario 1'!G1133),""[^0-9]"",""""),2)=""54"",""+""&amp;REGEXREPLACE(TO_TEXT('Respuestas de formulario 1'!G1133),""[^0-9]"",""""),""+54""&amp;REGEXREPLACE(TO_TEXT('Respu"&amp;"estas de formulario 1'!G1133),""[^0-9]"","""")))"),"+543516184010")</f>
        <v>+543516184010</v>
      </c>
      <c r="H1133" s="7">
        <f>'Respuestas de formulario 1'!S1133</f>
        <v>2025</v>
      </c>
      <c r="I1133" s="7" t="str">
        <f>IFERROR(__xludf.DUMMYFUNCTION("IF('Respuestas de formulario 1'!I1133="""","""",TO_TEXT('Respuestas de formulario 1'!I1133))"),"Obra social")</f>
        <v>Obra social</v>
      </c>
      <c r="J1133" s="7" t="str">
        <f>IFERROR(__xludf.DUMMYFUNCTION("IF('Respuestas de formulario 1'!J1133&lt;&gt;"""",UPPER(TRIM(TO_TEXT('Respuestas de formulario 1'!J1133))),IF('Respuestas de formulario 1'!O1133&lt;&gt;"""",UPPER(TRIM(TO_TEXT('Respuestas de formulario 1'!O1133))),""""))"),"DASPU")</f>
        <v>DASPU</v>
      </c>
      <c r="K1133" s="7" t="str">
        <f>IFERROR(__xludf.DUMMYFUNCTION("IF('Respuestas de formulario 1'!K1133="""","""",TO_TEXT('Respuestas de formulario 1'!K1133))"),"Si")</f>
        <v>Si</v>
      </c>
      <c r="L1133" s="7" t="str">
        <f>IFERROR(__xludf.DUMMYFUNCTION("IF('Respuestas de formulario 1'!L1133="""","""",TO_TEXT('Respuestas de formulario 1'!L1133))"),"Running")</f>
        <v>Running</v>
      </c>
      <c r="M1133" s="7" t="str">
        <f>IFERROR(__xludf.DUMMYFUNCTION("IF('Respuestas de formulario 1'!M1133="""","""",TO_TEXT('Respuestas de formulario 1'!M1133))"),"3 a 5 veces por semana")</f>
        <v>3 a 5 veces por semana</v>
      </c>
      <c r="N1133" s="7">
        <f t="shared" si="1"/>
        <v>2025</v>
      </c>
      <c r="O1133" s="7" t="str">
        <f t="shared" si="2"/>
        <v>agosto</v>
      </c>
      <c r="P1133" s="7" t="s">
        <v>6402</v>
      </c>
    </row>
    <row r="1134">
      <c r="A1134" s="19">
        <f>'Respuestas de formulario 1'!A1134</f>
        <v>45874.79534</v>
      </c>
      <c r="B1134" s="7" t="str">
        <f>'Respuestas de formulario 1'!B1134</f>
        <v>MARTINEZ</v>
      </c>
      <c r="C1134" s="7" t="str">
        <f>'Respuestas de formulario 1'!C1134</f>
        <v>Jessica </v>
      </c>
      <c r="D1134" s="7" t="str">
        <f>'Respuestas de formulario 1'!D1134</f>
        <v>jessicamartinez527@gmail.com</v>
      </c>
      <c r="E1134" s="20">
        <f>'Respuestas de formulario 1'!E1134</f>
        <v>28418</v>
      </c>
      <c r="F1134" s="7">
        <f>'Respuestas de formulario 1'!F1134</f>
        <v>26151729</v>
      </c>
      <c r="G1134" s="7" t="str">
        <f>IFERROR(__xludf.DUMMYFUNCTION("IF('Respuestas de formulario 1'!G1134="""","""",IF(LEFT(REGEXREPLACE(TO_TEXT('Respuestas de formulario 1'!G1134),""[^0-9]"",""""),2)=""54"",""+""&amp;REGEXREPLACE(TO_TEXT('Respuestas de formulario 1'!G1134),""[^0-9]"",""""),""+54""&amp;REGEXREPLACE(TO_TEXT('Respu"&amp;"estas de formulario 1'!G1134),""[^0-9]"","""")))"),"+543512172560")</f>
        <v>+543512172560</v>
      </c>
      <c r="H1134" s="7">
        <f>'Respuestas de formulario 1'!S1134</f>
        <v>2025</v>
      </c>
      <c r="I1134" s="7" t="str">
        <f>IFERROR(__xludf.DUMMYFUNCTION("IF('Respuestas de formulario 1'!I1134="""","""",TO_TEXT('Respuestas de formulario 1'!I1134))"),"Obra social")</f>
        <v>Obra social</v>
      </c>
      <c r="J1134" s="7" t="str">
        <f>IFERROR(__xludf.DUMMYFUNCTION("IF('Respuestas de formulario 1'!J1134&lt;&gt;"""",UPPER(TRIM(TO_TEXT('Respuestas de formulario 1'!J1134))),IF('Respuestas de formulario 1'!O1134&lt;&gt;"""",UPPER(TRIM(TO_TEXT('Respuestas de formulario 1'!O1134))),""""))"),"BOREAL")</f>
        <v>BOREAL</v>
      </c>
      <c r="K1134" s="7" t="str">
        <f>IFERROR(__xludf.DUMMYFUNCTION("IF('Respuestas de formulario 1'!K1134="""","""",TO_TEXT('Respuestas de formulario 1'!K1134))"),"Si")</f>
        <v>Si</v>
      </c>
      <c r="L1134" s="7" t="str">
        <f>IFERROR(__xludf.DUMMYFUNCTION("IF('Respuestas de formulario 1'!L1134="""","""",TO_TEXT('Respuestas de formulario 1'!L1134))"),"Clases de funcional ")</f>
        <v>Clases de funcional </v>
      </c>
      <c r="M1134" s="7" t="str">
        <f>IFERROR(__xludf.DUMMYFUNCTION("IF('Respuestas de formulario 1'!M1134="""","""",TO_TEXT('Respuestas de formulario 1'!M1134))"),"3 a 5 veces por semana")</f>
        <v>3 a 5 veces por semana</v>
      </c>
      <c r="N1134" s="7">
        <f t="shared" si="1"/>
        <v>2025</v>
      </c>
      <c r="O1134" s="7" t="str">
        <f t="shared" si="2"/>
        <v>agosto</v>
      </c>
      <c r="P1134" s="7" t="s">
        <v>6404</v>
      </c>
    </row>
    <row r="1135">
      <c r="A1135" s="19">
        <f>'Respuestas de formulario 1'!A1135</f>
        <v>45874.80213</v>
      </c>
      <c r="B1135" s="7" t="str">
        <f>'Respuestas de formulario 1'!B1135</f>
        <v>Amuchastegui</v>
      </c>
      <c r="C1135" s="7" t="str">
        <f>'Respuestas de formulario 1'!C1135</f>
        <v>Beatriz Liliana</v>
      </c>
      <c r="D1135" s="7" t="str">
        <f>'Respuestas de formulario 1'!D1135</f>
        <v>bealil_08@hotmail.com</v>
      </c>
      <c r="E1135" s="20">
        <f>'Respuestas de formulario 1'!E1135</f>
        <v>19467</v>
      </c>
      <c r="F1135" s="7">
        <f>'Respuestas de formulario 1'!F1135</f>
        <v>11050438</v>
      </c>
      <c r="G1135" s="7" t="str">
        <f>IFERROR(__xludf.DUMMYFUNCTION("IF('Respuestas de formulario 1'!G1135="""","""",IF(LEFT(REGEXREPLACE(TO_TEXT('Respuestas de formulario 1'!G1135),""[^0-9]"",""""),2)=""54"",""+""&amp;REGEXREPLACE(TO_TEXT('Respuestas de formulario 1'!G1135),""[^0-9]"",""""),""+54""&amp;REGEXREPLACE(TO_TEXT('Respu"&amp;"estas de formulario 1'!G1135),""[^0-9]"","""")))"),"+543513468046")</f>
        <v>+543513468046</v>
      </c>
      <c r="H1135" s="7">
        <f>'Respuestas de formulario 1'!S1135</f>
        <v>2025</v>
      </c>
      <c r="I1135" s="7" t="str">
        <f>IFERROR(__xludf.DUMMYFUNCTION("IF('Respuestas de formulario 1'!I1135="""","""",TO_TEXT('Respuestas de formulario 1'!I1135))"),"Particular")</f>
        <v>Particular</v>
      </c>
      <c r="J1135" s="7" t="str">
        <f>IFERROR(__xludf.DUMMYFUNCTION("IF('Respuestas de formulario 1'!J1135&lt;&gt;"""",UPPER(TRIM(TO_TEXT('Respuestas de formulario 1'!J1135))),IF('Respuestas de formulario 1'!O1135&lt;&gt;"""",UPPER(TRIM(TO_TEXT('Respuestas de formulario 1'!O1135))),""""))"),"")</f>
        <v/>
      </c>
      <c r="K1135" s="7" t="str">
        <f>IFERROR(__xludf.DUMMYFUNCTION("IF('Respuestas de formulario 1'!K1135="""","""",TO_TEXT('Respuestas de formulario 1'!K1135))"),"No")</f>
        <v>No</v>
      </c>
      <c r="L1135" s="7" t="str">
        <f>IFERROR(__xludf.DUMMYFUNCTION("IF('Respuestas de formulario 1'!L1135="""","""",TO_TEXT('Respuestas de formulario 1'!L1135))"),"")</f>
        <v/>
      </c>
      <c r="M1135" s="7" t="str">
        <f>IFERROR(__xludf.DUMMYFUNCTION("IF('Respuestas de formulario 1'!M1135="""","""",TO_TEXT('Respuestas de formulario 1'!M1135))"),"")</f>
        <v/>
      </c>
      <c r="N1135" s="7">
        <f t="shared" si="1"/>
        <v>2025</v>
      </c>
      <c r="O1135" s="7" t="str">
        <f t="shared" si="2"/>
        <v>agosto</v>
      </c>
      <c r="P1135" s="7" t="s">
        <v>6405</v>
      </c>
    </row>
    <row r="1136">
      <c r="A1136" s="19">
        <f>'Respuestas de formulario 1'!A1136</f>
        <v>45875.78796</v>
      </c>
      <c r="B1136" s="7" t="str">
        <f>'Respuestas de formulario 1'!B1136</f>
        <v>Orcetti</v>
      </c>
      <c r="C1136" s="7" t="str">
        <f>'Respuestas de formulario 1'!C1136</f>
        <v>Federico</v>
      </c>
      <c r="D1136" s="7" t="str">
        <f>'Respuestas de formulario 1'!D1136</f>
        <v>fedeorcetti@hotmail.com</v>
      </c>
      <c r="E1136" s="20">
        <f>'Respuestas de formulario 1'!E1136</f>
        <v>33458</v>
      </c>
      <c r="F1136" s="7">
        <f>'Respuestas de formulario 1'!F1136</f>
        <v>36446865</v>
      </c>
      <c r="G1136" s="7" t="str">
        <f>IFERROR(__xludf.DUMMYFUNCTION("IF('Respuestas de formulario 1'!G1136="""","""",IF(LEFT(REGEXREPLACE(TO_TEXT('Respuestas de formulario 1'!G1136),""[^0-9]"",""""),2)=""54"",""+""&amp;REGEXREPLACE(TO_TEXT('Respuestas de formulario 1'!G1136),""[^0-9]"",""""),""+54""&amp;REGEXREPLACE(TO_TEXT('Respu"&amp;"estas de formulario 1'!G1136),""[^0-9]"","""")))"),"+543514590300")</f>
        <v>+543514590300</v>
      </c>
      <c r="H1136" s="7">
        <f>'Respuestas de formulario 1'!S1136</f>
        <v>2025</v>
      </c>
      <c r="I1136" s="7" t="str">
        <f>IFERROR(__xludf.DUMMYFUNCTION("IF('Respuestas de formulario 1'!I1136="""","""",TO_TEXT('Respuestas de formulario 1'!I1136))"),"Particular")</f>
        <v>Particular</v>
      </c>
      <c r="J1136" s="7" t="str">
        <f>IFERROR(__xludf.DUMMYFUNCTION("IF('Respuestas de formulario 1'!J1136&lt;&gt;"""",UPPER(TRIM(TO_TEXT('Respuestas de formulario 1'!J1136))),IF('Respuestas de formulario 1'!O1136&lt;&gt;"""",UPPER(TRIM(TO_TEXT('Respuestas de formulario 1'!O1136))),""""))"),"")</f>
        <v/>
      </c>
      <c r="K1136" s="7" t="str">
        <f>IFERROR(__xludf.DUMMYFUNCTION("IF('Respuestas de formulario 1'!K1136="""","""",TO_TEXT('Respuestas de formulario 1'!K1136))"),"No")</f>
        <v>No</v>
      </c>
      <c r="L1136" s="7" t="str">
        <f>IFERROR(__xludf.DUMMYFUNCTION("IF('Respuestas de formulario 1'!L1136="""","""",TO_TEXT('Respuestas de formulario 1'!L1136))"),"")</f>
        <v/>
      </c>
      <c r="M1136" s="7" t="str">
        <f>IFERROR(__xludf.DUMMYFUNCTION("IF('Respuestas de formulario 1'!M1136="""","""",TO_TEXT('Respuestas de formulario 1'!M1136))"),"")</f>
        <v/>
      </c>
      <c r="N1136" s="7">
        <f t="shared" si="1"/>
        <v>2025</v>
      </c>
      <c r="O1136" s="7" t="str">
        <f t="shared" si="2"/>
        <v>agosto</v>
      </c>
      <c r="P1136" s="7" t="s">
        <v>6407</v>
      </c>
    </row>
    <row r="1137">
      <c r="A1137" s="19">
        <f>'Respuestas de formulario 1'!A1137</f>
        <v>45875.8516</v>
      </c>
      <c r="B1137" s="7" t="str">
        <f>'Respuestas de formulario 1'!B1137</f>
        <v>Barbero</v>
      </c>
      <c r="C1137" s="7" t="str">
        <f>'Respuestas de formulario 1'!C1137</f>
        <v>Edgardo Ruben</v>
      </c>
      <c r="D1137" s="7" t="str">
        <f>'Respuestas de formulario 1'!D1137</f>
        <v>barberoedgardo1@gmail.com</v>
      </c>
      <c r="E1137" s="20">
        <f>'Respuestas de formulario 1'!E1137</f>
        <v>24984</v>
      </c>
      <c r="F1137" s="7">
        <f>'Respuestas de formulario 1'!F1137</f>
        <v>20143045</v>
      </c>
      <c r="G1137" s="7" t="str">
        <f>IFERROR(__xludf.DUMMYFUNCTION("IF('Respuestas de formulario 1'!G1137="""","""",IF(LEFT(REGEXREPLACE(TO_TEXT('Respuestas de formulario 1'!G1137),""[^0-9]"",""""),2)=""54"",""+""&amp;REGEXREPLACE(TO_TEXT('Respuestas de formulario 1'!G1137),""[^0-9]"",""""),""+54""&amp;REGEXREPLACE(TO_TEXT('Respu"&amp;"estas de formulario 1'!G1137),""[^0-9]"","""")))"),"+543513458582")</f>
        <v>+543513458582</v>
      </c>
      <c r="H1137" s="7">
        <f>'Respuestas de formulario 1'!S1137</f>
        <v>2025</v>
      </c>
      <c r="I1137" s="7" t="str">
        <f>IFERROR(__xludf.DUMMYFUNCTION("IF('Respuestas de formulario 1'!I1137="""","""",TO_TEXT('Respuestas de formulario 1'!I1137))"),"Particular")</f>
        <v>Particular</v>
      </c>
      <c r="J1137" s="7" t="str">
        <f>IFERROR(__xludf.DUMMYFUNCTION("IF('Respuestas de formulario 1'!J1137&lt;&gt;"""",UPPER(TRIM(TO_TEXT('Respuestas de formulario 1'!J1137))),IF('Respuestas de formulario 1'!O1137&lt;&gt;"""",UPPER(TRIM(TO_TEXT('Respuestas de formulario 1'!O1137))),""""))"),"")</f>
        <v/>
      </c>
      <c r="K1137" s="7" t="str">
        <f>IFERROR(__xludf.DUMMYFUNCTION("IF('Respuestas de formulario 1'!K1137="""","""",TO_TEXT('Respuestas de formulario 1'!K1137))"),"No")</f>
        <v>No</v>
      </c>
      <c r="L1137" s="7" t="str">
        <f>IFERROR(__xludf.DUMMYFUNCTION("IF('Respuestas de formulario 1'!L1137="""","""",TO_TEXT('Respuestas de formulario 1'!L1137))"),"")</f>
        <v/>
      </c>
      <c r="M1137" s="7" t="str">
        <f>IFERROR(__xludf.DUMMYFUNCTION("IF('Respuestas de formulario 1'!M1137="""","""",TO_TEXT('Respuestas de formulario 1'!M1137))"),"")</f>
        <v/>
      </c>
      <c r="N1137" s="7">
        <f t="shared" si="1"/>
        <v>2025</v>
      </c>
      <c r="O1137" s="7" t="str">
        <f t="shared" si="2"/>
        <v>agosto</v>
      </c>
      <c r="P1137" s="7" t="s">
        <v>6409</v>
      </c>
    </row>
    <row r="1138">
      <c r="A1138" s="19">
        <f>'Respuestas de formulario 1'!A1138</f>
        <v>45876.67017</v>
      </c>
      <c r="B1138" s="7" t="str">
        <f>'Respuestas de formulario 1'!B1138</f>
        <v>Perez</v>
      </c>
      <c r="C1138" s="7" t="str">
        <f>'Respuestas de formulario 1'!C1138</f>
        <v>Gonzalo</v>
      </c>
      <c r="D1138" s="7" t="str">
        <f>'Respuestas de formulario 1'!D1138</f>
        <v>gonzaloperezcba@gmail.com</v>
      </c>
      <c r="E1138" s="20">
        <f>'Respuestas de formulario 1'!E1138</f>
        <v>36021</v>
      </c>
      <c r="F1138" s="7">
        <f>'Respuestas de formulario 1'!F1138</f>
        <v>41158650</v>
      </c>
      <c r="G1138" s="7" t="str">
        <f>IFERROR(__xludf.DUMMYFUNCTION("IF('Respuestas de formulario 1'!G1138="""","""",IF(LEFT(REGEXREPLACE(TO_TEXT('Respuestas de formulario 1'!G1138),""[^0-9]"",""""),2)=""54"",""+""&amp;REGEXREPLACE(TO_TEXT('Respuestas de formulario 1'!G1138),""[^0-9]"",""""),""+54""&amp;REGEXREPLACE(TO_TEXT('Respu"&amp;"estas de formulario 1'!G1138),""[^0-9]"","""")))"),"+543513848874")</f>
        <v>+543513848874</v>
      </c>
      <c r="H1138" s="7">
        <f>'Respuestas de formulario 1'!S1138</f>
        <v>2025</v>
      </c>
      <c r="I1138" s="7" t="str">
        <f>IFERROR(__xludf.DUMMYFUNCTION("IF('Respuestas de formulario 1'!I1138="""","""",TO_TEXT('Respuestas de formulario 1'!I1138))"),"Particular")</f>
        <v>Particular</v>
      </c>
      <c r="J1138" s="7" t="str">
        <f>IFERROR(__xludf.DUMMYFUNCTION("IF('Respuestas de formulario 1'!J1138&lt;&gt;"""",UPPER(TRIM(TO_TEXT('Respuestas de formulario 1'!J1138))),IF('Respuestas de formulario 1'!O1138&lt;&gt;"""",UPPER(TRIM(TO_TEXT('Respuestas de formulario 1'!O1138))),""""))"),"")</f>
        <v/>
      </c>
      <c r="K1138" s="7" t="str">
        <f>IFERROR(__xludf.DUMMYFUNCTION("IF('Respuestas de formulario 1'!K1138="""","""",TO_TEXT('Respuestas de formulario 1'!K1138))"),"Si")</f>
        <v>Si</v>
      </c>
      <c r="L1138" s="7" t="str">
        <f>IFERROR(__xludf.DUMMYFUNCTION("IF('Respuestas de formulario 1'!L1138="""","""",TO_TEXT('Respuestas de formulario 1'!L1138))"),"Running")</f>
        <v>Running</v>
      </c>
      <c r="M1138" s="7" t="str">
        <f>IFERROR(__xludf.DUMMYFUNCTION("IF('Respuestas de formulario 1'!M1138="""","""",TO_TEXT('Respuestas de formulario 1'!M1138))"),"3 a 5 veces por semana")</f>
        <v>3 a 5 veces por semana</v>
      </c>
      <c r="N1138" s="7">
        <f t="shared" si="1"/>
        <v>2025</v>
      </c>
      <c r="O1138" s="7" t="str">
        <f t="shared" si="2"/>
        <v>agosto</v>
      </c>
      <c r="P1138" s="7" t="s">
        <v>6411</v>
      </c>
    </row>
    <row r="1139">
      <c r="A1139" s="19">
        <f>'Respuestas de formulario 1'!A1139</f>
        <v>45876.67375</v>
      </c>
      <c r="B1139" s="7" t="str">
        <f>'Respuestas de formulario 1'!B1139</f>
        <v>NIZA</v>
      </c>
      <c r="C1139" s="7" t="str">
        <f>'Respuestas de formulario 1'!C1139</f>
        <v>Blanca </v>
      </c>
      <c r="D1139" s="7" t="str">
        <f>'Respuestas de formulario 1'!D1139</f>
        <v>blancaniza61@gmail.com</v>
      </c>
      <c r="E1139" s="20">
        <f>'Respuestas de formulario 1'!E1139</f>
        <v>22469</v>
      </c>
      <c r="F1139" s="7">
        <f>'Respuestas de formulario 1'!F1139</f>
        <v>14838527</v>
      </c>
      <c r="G1139" s="7" t="str">
        <f>IFERROR(__xludf.DUMMYFUNCTION("IF('Respuestas de formulario 1'!G1139="""","""",IF(LEFT(REGEXREPLACE(TO_TEXT('Respuestas de formulario 1'!G1139),""[^0-9]"",""""),2)=""54"",""+""&amp;REGEXREPLACE(TO_TEXT('Respuestas de formulario 1'!G1139),""[^0-9]"",""""),""+54""&amp;REGEXREPLACE(TO_TEXT('Respu"&amp;"estas de formulario 1'!G1139),""[^0-9]"","""")))"),"+543512210129")</f>
        <v>+543512210129</v>
      </c>
      <c r="H1139" s="7">
        <f>'Respuestas de formulario 1'!S1139</f>
        <v>2025</v>
      </c>
      <c r="I1139" s="7" t="str">
        <f>IFERROR(__xludf.DUMMYFUNCTION("IF('Respuestas de formulario 1'!I1139="""","""",TO_TEXT('Respuestas de formulario 1'!I1139))"),"Obra social")</f>
        <v>Obra social</v>
      </c>
      <c r="J1139" s="7" t="str">
        <f>IFERROR(__xludf.DUMMYFUNCTION("IF('Respuestas de formulario 1'!J1139&lt;&gt;"""",UPPER(TRIM(TO_TEXT('Respuestas de formulario 1'!J1139))),IF('Respuestas de formulario 1'!O1139&lt;&gt;"""",UPPER(TRIM(TO_TEXT('Respuestas de formulario 1'!O1139))),""""))"),"APROSS")</f>
        <v>APROSS</v>
      </c>
      <c r="K1139" s="7" t="str">
        <f>IFERROR(__xludf.DUMMYFUNCTION("IF('Respuestas de formulario 1'!K1139="""","""",TO_TEXT('Respuestas de formulario 1'!K1139))"),"Si")</f>
        <v>Si</v>
      </c>
      <c r="L1139" s="7" t="str">
        <f>IFERROR(__xludf.DUMMYFUNCTION("IF('Respuestas de formulario 1'!L1139="""","""",TO_TEXT('Respuestas de formulario 1'!L1139))"),"pilates")</f>
        <v>pilates</v>
      </c>
      <c r="M1139" s="7" t="str">
        <f>IFERROR(__xludf.DUMMYFUNCTION("IF('Respuestas de formulario 1'!M1139="""","""",TO_TEXT('Respuestas de formulario 1'!M1139))"),"3 a 5 veces por semana")</f>
        <v>3 a 5 veces por semana</v>
      </c>
      <c r="N1139" s="7">
        <f t="shared" si="1"/>
        <v>2025</v>
      </c>
      <c r="O1139" s="7" t="str">
        <f t="shared" si="2"/>
        <v>agosto</v>
      </c>
      <c r="P1139" s="7" t="s">
        <v>6413</v>
      </c>
    </row>
    <row r="1140">
      <c r="A1140" s="19">
        <f>'Respuestas de formulario 1'!A1140</f>
        <v>45876.79802</v>
      </c>
      <c r="B1140" s="7" t="str">
        <f>'Respuestas de formulario 1'!B1140</f>
        <v>Giannoboli</v>
      </c>
      <c r="C1140" s="7" t="str">
        <f>'Respuestas de formulario 1'!C1140</f>
        <v>Lucas Victorio</v>
      </c>
      <c r="D1140" s="7" t="str">
        <f>'Respuestas de formulario 1'!D1140</f>
        <v>lucasgiannoboli@gmail.com</v>
      </c>
      <c r="E1140" s="20">
        <f>'Respuestas de formulario 1'!E1140</f>
        <v>28307</v>
      </c>
      <c r="F1140" s="7">
        <f>'Respuestas de formulario 1'!F1140</f>
        <v>25093649</v>
      </c>
      <c r="G1140" s="7" t="str">
        <f>IFERROR(__xludf.DUMMYFUNCTION("IF('Respuestas de formulario 1'!G1140="""","""",IF(LEFT(REGEXREPLACE(TO_TEXT('Respuestas de formulario 1'!G1140),""[^0-9]"",""""),2)=""54"",""+""&amp;REGEXREPLACE(TO_TEXT('Respuestas de formulario 1'!G1140),""[^0-9]"",""""),""+54""&amp;REGEXREPLACE(TO_TEXT('Respu"&amp;"estas de formulario 1'!G1140),""[^0-9]"","""")))"),"+543518054744")</f>
        <v>+543518054744</v>
      </c>
      <c r="H1140" s="7">
        <f>'Respuestas de formulario 1'!S1140</f>
        <v>2025</v>
      </c>
      <c r="I1140" s="7" t="str">
        <f>IFERROR(__xludf.DUMMYFUNCTION("IF('Respuestas de formulario 1'!I1140="""","""",TO_TEXT('Respuestas de formulario 1'!I1140))"),"Obra social")</f>
        <v>Obra social</v>
      </c>
      <c r="J1140" s="7" t="str">
        <f>IFERROR(__xludf.DUMMYFUNCTION("IF('Respuestas de formulario 1'!J1140&lt;&gt;"""",UPPER(TRIM(TO_TEXT('Respuestas de formulario 1'!J1140))),IF('Respuestas de formulario 1'!O1140&lt;&gt;"""",UPPER(TRIM(TO_TEXT('Respuestas de formulario 1'!O1140))),""""))"),"DASPU")</f>
        <v>DASPU</v>
      </c>
      <c r="K1140" s="7" t="str">
        <f>IFERROR(__xludf.DUMMYFUNCTION("IF('Respuestas de formulario 1'!K1140="""","""",TO_TEXT('Respuestas de formulario 1'!K1140))"),"No")</f>
        <v>No</v>
      </c>
      <c r="L1140" s="7" t="str">
        <f>IFERROR(__xludf.DUMMYFUNCTION("IF('Respuestas de formulario 1'!L1140="""","""",TO_TEXT('Respuestas de formulario 1'!L1140))"),"")</f>
        <v/>
      </c>
      <c r="M1140" s="7" t="str">
        <f>IFERROR(__xludf.DUMMYFUNCTION("IF('Respuestas de formulario 1'!M1140="""","""",TO_TEXT('Respuestas de formulario 1'!M1140))"),"")</f>
        <v/>
      </c>
      <c r="N1140" s="7">
        <f t="shared" si="1"/>
        <v>2025</v>
      </c>
      <c r="O1140" s="7" t="str">
        <f t="shared" si="2"/>
        <v>agosto</v>
      </c>
      <c r="P1140" s="7" t="s">
        <v>6415</v>
      </c>
    </row>
    <row r="1141">
      <c r="A1141" s="19">
        <f>'Respuestas de formulario 1'!A1141</f>
        <v>45876.80384</v>
      </c>
      <c r="B1141" s="7" t="str">
        <f>'Respuestas de formulario 1'!B1141</f>
        <v>Cooper</v>
      </c>
      <c r="C1141" s="7" t="str">
        <f>'Respuestas de formulario 1'!C1141</f>
        <v>Pedro</v>
      </c>
      <c r="D1141" s="7" t="str">
        <f>'Respuestas de formulario 1'!D1141</f>
        <v>pedrocooper99@gmail.com</v>
      </c>
      <c r="E1141" s="20">
        <f>'Respuestas de formulario 1'!E1141</f>
        <v>36461</v>
      </c>
      <c r="F1141" s="7">
        <f>'Respuestas de formulario 1'!F1141</f>
        <v>42185297</v>
      </c>
      <c r="G1141" s="7" t="str">
        <f>IFERROR(__xludf.DUMMYFUNCTION("IF('Respuestas de formulario 1'!G1141="""","""",IF(LEFT(REGEXREPLACE(TO_TEXT('Respuestas de formulario 1'!G1141),""[^0-9]"",""""),2)=""54"",""+""&amp;REGEXREPLACE(TO_TEXT('Respuestas de formulario 1'!G1141),""[^0-9]"",""""),""+54""&amp;REGEXREPLACE(TO_TEXT('Respu"&amp;"estas de formulario 1'!G1141),""[^0-9]"","""")))"),"+543516230530")</f>
        <v>+543516230530</v>
      </c>
      <c r="H1141" s="7">
        <f>'Respuestas de formulario 1'!S1141</f>
        <v>2025</v>
      </c>
      <c r="I1141" s="7" t="str">
        <f>IFERROR(__xludf.DUMMYFUNCTION("IF('Respuestas de formulario 1'!I1141="""","""",TO_TEXT('Respuestas de formulario 1'!I1141))"),"Obra social")</f>
        <v>Obra social</v>
      </c>
      <c r="J1141" s="7" t="str">
        <f>IFERROR(__xludf.DUMMYFUNCTION("IF('Respuestas de formulario 1'!J1141&lt;&gt;"""",UPPER(TRIM(TO_TEXT('Respuestas de formulario 1'!J1141))),IF('Respuestas de formulario 1'!O1141&lt;&gt;"""",UPPER(TRIM(TO_TEXT('Respuestas de formulario 1'!O1141))),""""))"),"SANCOR")</f>
        <v>SANCOR</v>
      </c>
      <c r="K1141" s="7" t="str">
        <f>IFERROR(__xludf.DUMMYFUNCTION("IF('Respuestas de formulario 1'!K1141="""","""",TO_TEXT('Respuestas de formulario 1'!K1141))"),"Si")</f>
        <v>Si</v>
      </c>
      <c r="L1141" s="7" t="str">
        <f>IFERROR(__xludf.DUMMYFUNCTION("IF('Respuestas de formulario 1'!L1141="""","""",TO_TEXT('Respuestas de formulario 1'!L1141))"),"Gimnasio")</f>
        <v>Gimnasio</v>
      </c>
      <c r="M1141" s="7" t="str">
        <f>IFERROR(__xludf.DUMMYFUNCTION("IF('Respuestas de formulario 1'!M1141="""","""",TO_TEXT('Respuestas de formulario 1'!M1141))"),"3 a 5 veces por semana")</f>
        <v>3 a 5 veces por semana</v>
      </c>
      <c r="N1141" s="7">
        <f t="shared" si="1"/>
        <v>2025</v>
      </c>
      <c r="O1141" s="7" t="str">
        <f t="shared" si="2"/>
        <v>agosto</v>
      </c>
      <c r="P1141" s="7" t="s">
        <v>6417</v>
      </c>
    </row>
    <row r="1142">
      <c r="A1142" s="19">
        <f>'Respuestas de formulario 1'!A1142</f>
        <v>45876.82238</v>
      </c>
      <c r="B1142" s="7" t="str">
        <f>'Respuestas de formulario 1'!B1142</f>
        <v>Correa Volpara</v>
      </c>
      <c r="C1142" s="7" t="str">
        <f>'Respuestas de formulario 1'!C1142</f>
        <v>Juan</v>
      </c>
      <c r="D1142" s="7" t="str">
        <f>'Respuestas de formulario 1'!D1142</f>
        <v>jlvolpara@gmail.com</v>
      </c>
      <c r="E1142" s="20">
        <f>'Respuestas de formulario 1'!E1142</f>
        <v>32585</v>
      </c>
      <c r="F1142" s="7">
        <f>'Respuestas de formulario 1'!F1142</f>
        <v>34290449</v>
      </c>
      <c r="G1142" s="7" t="str">
        <f>IFERROR(__xludf.DUMMYFUNCTION("IF('Respuestas de formulario 1'!G1142="""","""",IF(LEFT(REGEXREPLACE(TO_TEXT('Respuestas de formulario 1'!G1142),""[^0-9]"",""""),2)=""54"",""+""&amp;REGEXREPLACE(TO_TEXT('Respuestas de formulario 1'!G1142),""[^0-9]"",""""),""+54""&amp;REGEXREPLACE(TO_TEXT('Respu"&amp;"estas de formulario 1'!G1142),""[^0-9]"","""")))"),"+543515900811")</f>
        <v>+543515900811</v>
      </c>
      <c r="H1142" s="7">
        <f>'Respuestas de formulario 1'!S1142</f>
        <v>2025</v>
      </c>
      <c r="I1142" s="7" t="str">
        <f>IFERROR(__xludf.DUMMYFUNCTION("IF('Respuestas de formulario 1'!I1142="""","""",TO_TEXT('Respuestas de formulario 1'!I1142))"),"Particular")</f>
        <v>Particular</v>
      </c>
      <c r="J1142" s="7" t="str">
        <f>IFERROR(__xludf.DUMMYFUNCTION("IF('Respuestas de formulario 1'!J1142&lt;&gt;"""",UPPER(TRIM(TO_TEXT('Respuestas de formulario 1'!J1142))),IF('Respuestas de formulario 1'!O1142&lt;&gt;"""",UPPER(TRIM(TO_TEXT('Respuestas de formulario 1'!O1142))),""""))"),"")</f>
        <v/>
      </c>
      <c r="K1142" s="7" t="str">
        <f>IFERROR(__xludf.DUMMYFUNCTION("IF('Respuestas de formulario 1'!K1142="""","""",TO_TEXT('Respuestas de formulario 1'!K1142))"),"Si")</f>
        <v>Si</v>
      </c>
      <c r="L1142" s="7" t="str">
        <f>IFERROR(__xludf.DUMMYFUNCTION("IF('Respuestas de formulario 1'!L1142="""","""",TO_TEXT('Respuestas de formulario 1'!L1142))"),"Padel ")</f>
        <v>Padel </v>
      </c>
      <c r="M1142" s="7" t="str">
        <f>IFERROR(__xludf.DUMMYFUNCTION("IF('Respuestas de formulario 1'!M1142="""","""",TO_TEXT('Respuestas de formulario 1'!M1142))"),"3 a 5 veces por semana")</f>
        <v>3 a 5 veces por semana</v>
      </c>
      <c r="N1142" s="7">
        <f t="shared" si="1"/>
        <v>2025</v>
      </c>
      <c r="O1142" s="7" t="str">
        <f t="shared" si="2"/>
        <v>agosto</v>
      </c>
      <c r="P1142" s="7" t="s">
        <v>6419</v>
      </c>
    </row>
    <row r="1143">
      <c r="A1143" s="19">
        <f>'Respuestas de formulario 1'!A1143</f>
        <v>45877.71223</v>
      </c>
      <c r="B1143" s="7" t="str">
        <f>'Respuestas de formulario 1'!B1143</f>
        <v>Herrera</v>
      </c>
      <c r="C1143" s="7" t="str">
        <f>'Respuestas de formulario 1'!C1143</f>
        <v>Patricia del Valle</v>
      </c>
      <c r="D1143" s="7" t="str">
        <f>'Respuestas de formulario 1'!D1143</f>
        <v>patriciaherrerrareal@gmail.com</v>
      </c>
      <c r="E1143" s="20">
        <f>'Respuestas de formulario 1'!E1143</f>
        <v>21901</v>
      </c>
      <c r="F1143" s="7">
        <f>'Respuestas de formulario 1'!F1143</f>
        <v>13964067</v>
      </c>
      <c r="G1143" s="7" t="str">
        <f>IFERROR(__xludf.DUMMYFUNCTION("IF('Respuestas de formulario 1'!G1143="""","""",IF(LEFT(REGEXREPLACE(TO_TEXT('Respuestas de formulario 1'!G1143),""[^0-9]"",""""),2)=""54"",""+""&amp;REGEXREPLACE(TO_TEXT('Respuestas de formulario 1'!G1143),""[^0-9]"",""""),""+54""&amp;REGEXREPLACE(TO_TEXT('Respu"&amp;"estas de formulario 1'!G1143),""[^0-9]"","""")))"),"+543516354614")</f>
        <v>+543516354614</v>
      </c>
      <c r="H1143" s="7">
        <f>'Respuestas de formulario 1'!S1143</f>
        <v>2025</v>
      </c>
      <c r="I1143" s="7" t="str">
        <f>IFERROR(__xludf.DUMMYFUNCTION("IF('Respuestas de formulario 1'!I1143="""","""",TO_TEXT('Respuestas de formulario 1'!I1143))"),"Particular")</f>
        <v>Particular</v>
      </c>
      <c r="J1143" s="7" t="str">
        <f>IFERROR(__xludf.DUMMYFUNCTION("IF('Respuestas de formulario 1'!J1143&lt;&gt;"""",UPPER(TRIM(TO_TEXT('Respuestas de formulario 1'!J1143))),IF('Respuestas de formulario 1'!O1143&lt;&gt;"""",UPPER(TRIM(TO_TEXT('Respuestas de formulario 1'!O1143))),""""))"),"")</f>
        <v/>
      </c>
      <c r="K1143" s="7" t="str">
        <f>IFERROR(__xludf.DUMMYFUNCTION("IF('Respuestas de formulario 1'!K1143="""","""",TO_TEXT('Respuestas de formulario 1'!K1143))"),"No")</f>
        <v>No</v>
      </c>
      <c r="L1143" s="7" t="str">
        <f>IFERROR(__xludf.DUMMYFUNCTION("IF('Respuestas de formulario 1'!L1143="""","""",TO_TEXT('Respuestas de formulario 1'!L1143))"),"")</f>
        <v/>
      </c>
      <c r="M1143" s="7" t="str">
        <f>IFERROR(__xludf.DUMMYFUNCTION("IF('Respuestas de formulario 1'!M1143="""","""",TO_TEXT('Respuestas de formulario 1'!M1143))"),"")</f>
        <v/>
      </c>
      <c r="N1143" s="7">
        <f t="shared" si="1"/>
        <v>2025</v>
      </c>
      <c r="O1143" s="7" t="str">
        <f t="shared" si="2"/>
        <v>agosto</v>
      </c>
      <c r="P1143" s="7" t="s">
        <v>6421</v>
      </c>
    </row>
    <row r="1144">
      <c r="A1144" s="19">
        <f>'Respuestas de formulario 1'!A1144</f>
        <v>45877.71996</v>
      </c>
      <c r="B1144" s="7" t="str">
        <f>'Respuestas de formulario 1'!B1144</f>
        <v>Olivera </v>
      </c>
      <c r="C1144" s="7" t="str">
        <f>'Respuestas de formulario 1'!C1144</f>
        <v>Agustin</v>
      </c>
      <c r="D1144" s="7" t="str">
        <f>'Respuestas de formulario 1'!D1144</f>
        <v>agustinolivera5000@gmail.com</v>
      </c>
      <c r="E1144" s="20">
        <f>'Respuestas de formulario 1'!E1144</f>
        <v>38554</v>
      </c>
      <c r="F1144" s="7">
        <f>'Respuestas de formulario 1'!F1144</f>
        <v>46223505</v>
      </c>
      <c r="G1144" s="7" t="str">
        <f>IFERROR(__xludf.DUMMYFUNCTION("IF('Respuestas de formulario 1'!G1144="""","""",IF(LEFT(REGEXREPLACE(TO_TEXT('Respuestas de formulario 1'!G1144),""[^0-9]"",""""),2)=""54"",""+""&amp;REGEXREPLACE(TO_TEXT('Respuestas de formulario 1'!G1144),""[^0-9]"",""""),""+54""&amp;REGEXREPLACE(TO_TEXT('Respu"&amp;"estas de formulario 1'!G1144),""[^0-9]"","""")))"),"+543513249591")</f>
        <v>+543513249591</v>
      </c>
      <c r="H1144" s="7">
        <f>'Respuestas de formulario 1'!S1144</f>
        <v>2025</v>
      </c>
      <c r="I1144" s="7" t="str">
        <f>IFERROR(__xludf.DUMMYFUNCTION("IF('Respuestas de formulario 1'!I1144="""","""",TO_TEXT('Respuestas de formulario 1'!I1144))"),"Obra social")</f>
        <v>Obra social</v>
      </c>
      <c r="J1144" s="7" t="str">
        <f>IFERROR(__xludf.DUMMYFUNCTION("IF('Respuestas de formulario 1'!J1144&lt;&gt;"""",UPPER(TRIM(TO_TEXT('Respuestas de formulario 1'!J1144))),IF('Respuestas de formulario 1'!O1144&lt;&gt;"""",UPPER(TRIM(TO_TEXT('Respuestas de formulario 1'!O1144))),""""))"),"MEDIFE")</f>
        <v>MEDIFE</v>
      </c>
      <c r="K1144" s="7" t="str">
        <f>IFERROR(__xludf.DUMMYFUNCTION("IF('Respuestas de formulario 1'!K1144="""","""",TO_TEXT('Respuestas de formulario 1'!K1144))"),"Si")</f>
        <v>Si</v>
      </c>
      <c r="L1144" s="7" t="str">
        <f>IFERROR(__xludf.DUMMYFUNCTION("IF('Respuestas de formulario 1'!L1144="""","""",TO_TEXT('Respuestas de formulario 1'!L1144))"),"gimnasio + futbol")</f>
        <v>gimnasio + futbol</v>
      </c>
      <c r="M1144" s="7" t="str">
        <f>IFERROR(__xludf.DUMMYFUNCTION("IF('Respuestas de formulario 1'!M1144="""","""",TO_TEXT('Respuestas de formulario 1'!M1144))"),"3 a 5 veces por semana")</f>
        <v>3 a 5 veces por semana</v>
      </c>
      <c r="N1144" s="7">
        <f t="shared" si="1"/>
        <v>2025</v>
      </c>
      <c r="O1144" s="7" t="str">
        <f t="shared" si="2"/>
        <v>agosto</v>
      </c>
      <c r="P1144" s="7" t="s">
        <v>6423</v>
      </c>
    </row>
    <row r="1145">
      <c r="A1145" s="19">
        <f>'Respuestas de formulario 1'!A1145</f>
        <v>45877.72731</v>
      </c>
      <c r="B1145" s="7" t="str">
        <f>'Respuestas de formulario 1'!B1145</f>
        <v>Rojas</v>
      </c>
      <c r="C1145" s="7" t="str">
        <f>'Respuestas de formulario 1'!C1145</f>
        <v>Ricardo</v>
      </c>
      <c r="D1145" s="7" t="str">
        <f>'Respuestas de formulario 1'!D1145</f>
        <v>ricardojoserojas1969@gmail.com</v>
      </c>
      <c r="E1145" s="20">
        <f>'Respuestas de formulario 1'!E1145</f>
        <v>25209</v>
      </c>
      <c r="F1145" s="7">
        <f>'Respuestas de formulario 1'!F1145</f>
        <v>20755543</v>
      </c>
      <c r="G1145" s="7" t="str">
        <f>IFERROR(__xludf.DUMMYFUNCTION("IF('Respuestas de formulario 1'!G1145="""","""",IF(LEFT(REGEXREPLACE(TO_TEXT('Respuestas de formulario 1'!G1145),""[^0-9]"",""""),2)=""54"",""+""&amp;REGEXREPLACE(TO_TEXT('Respuestas de formulario 1'!G1145),""[^0-9]"",""""),""+54""&amp;REGEXREPLACE(TO_TEXT('Respu"&amp;"estas de formulario 1'!G1145),""[^0-9]"","""")))"),"+543516791675")</f>
        <v>+543516791675</v>
      </c>
      <c r="H1145" s="7">
        <f>'Respuestas de formulario 1'!S1145</f>
        <v>2025</v>
      </c>
      <c r="I1145" s="7" t="str">
        <f>IFERROR(__xludf.DUMMYFUNCTION("IF('Respuestas de formulario 1'!I1145="""","""",TO_TEXT('Respuestas de formulario 1'!I1145))"),"Obra social")</f>
        <v>Obra social</v>
      </c>
      <c r="J1145" s="7" t="str">
        <f>IFERROR(__xludf.DUMMYFUNCTION("IF('Respuestas de formulario 1'!J1145&lt;&gt;"""",UPPER(TRIM(TO_TEXT('Respuestas de formulario 1'!J1145))),IF('Respuestas de formulario 1'!O1145&lt;&gt;"""",UPPER(TRIM(TO_TEXT('Respuestas de formulario 1'!O1145))),""""))"),"APROSS")</f>
        <v>APROSS</v>
      </c>
      <c r="K1145" s="7" t="str">
        <f>IFERROR(__xludf.DUMMYFUNCTION("IF('Respuestas de formulario 1'!K1145="""","""",TO_TEXT('Respuestas de formulario 1'!K1145))"),"Si")</f>
        <v>Si</v>
      </c>
      <c r="L1145" s="7" t="str">
        <f>IFERROR(__xludf.DUMMYFUNCTION("IF('Respuestas de formulario 1'!L1145="""","""",TO_TEXT('Respuestas de formulario 1'!L1145))"),"Fútbol")</f>
        <v>Fútbol</v>
      </c>
      <c r="M1145" s="7" t="str">
        <f>IFERROR(__xludf.DUMMYFUNCTION("IF('Respuestas de formulario 1'!M1145="""","""",TO_TEXT('Respuestas de formulario 1'!M1145))"),"1 a 2 veces por semana")</f>
        <v>1 a 2 veces por semana</v>
      </c>
      <c r="N1145" s="7">
        <f t="shared" si="1"/>
        <v>2025</v>
      </c>
      <c r="O1145" s="7" t="str">
        <f t="shared" si="2"/>
        <v>agosto</v>
      </c>
      <c r="P1145" s="7" t="s">
        <v>6425</v>
      </c>
    </row>
    <row r="1146">
      <c r="A1146" s="19">
        <f>'Respuestas de formulario 1'!A1146</f>
        <v>45877.73942</v>
      </c>
      <c r="B1146" s="7" t="str">
        <f>'Respuestas de formulario 1'!B1146</f>
        <v>Paya</v>
      </c>
      <c r="C1146" s="7" t="str">
        <f>'Respuestas de formulario 1'!C1146</f>
        <v>Leonardo </v>
      </c>
      <c r="D1146" s="7" t="str">
        <f>'Respuestas de formulario 1'!D1146</f>
        <v>Payaleonardo@gmail.com</v>
      </c>
      <c r="E1146" s="20">
        <f>'Respuestas de formulario 1'!E1146</f>
        <v>31926</v>
      </c>
      <c r="F1146" s="7">
        <f>'Respuestas de formulario 1'!F1146</f>
        <v>33030440</v>
      </c>
      <c r="G1146" s="7" t="str">
        <f>IFERROR(__xludf.DUMMYFUNCTION("IF('Respuestas de formulario 1'!G1146="""","""",IF(LEFT(REGEXREPLACE(TO_TEXT('Respuestas de formulario 1'!G1146),""[^0-9]"",""""),2)=""54"",""+""&amp;REGEXREPLACE(TO_TEXT('Respuestas de formulario 1'!G1146),""[^0-9]"",""""),""+54""&amp;REGEXREPLACE(TO_TEXT('Respu"&amp;"estas de formulario 1'!G1146),""[^0-9]"","""")))"),"+543516362929")</f>
        <v>+543516362929</v>
      </c>
      <c r="H1146" s="7">
        <f>'Respuestas de formulario 1'!S1146</f>
        <v>2025</v>
      </c>
      <c r="I1146" s="7" t="str">
        <f>IFERROR(__xludf.DUMMYFUNCTION("IF('Respuestas de formulario 1'!I1146="""","""",TO_TEXT('Respuestas de formulario 1'!I1146))"),"Obra social")</f>
        <v>Obra social</v>
      </c>
      <c r="J1146" s="7" t="str">
        <f>IFERROR(__xludf.DUMMYFUNCTION("IF('Respuestas de formulario 1'!J1146&lt;&gt;"""",UPPER(TRIM(TO_TEXT('Respuestas de formulario 1'!J1146))),IF('Respuestas de formulario 1'!O1146&lt;&gt;"""",UPPER(TRIM(TO_TEXT('Respuestas de formulario 1'!O1146))),""""))"),"SANCOR")</f>
        <v>SANCOR</v>
      </c>
      <c r="K1146" s="7" t="str">
        <f>IFERROR(__xludf.DUMMYFUNCTION("IF('Respuestas de formulario 1'!K1146="""","""",TO_TEXT('Respuestas de formulario 1'!K1146))"),"Si")</f>
        <v>Si</v>
      </c>
      <c r="L1146" s="7" t="str">
        <f>IFERROR(__xludf.DUMMYFUNCTION("IF('Respuestas de formulario 1'!L1146="""","""",TO_TEXT('Respuestas de formulario 1'!L1146))"),"Básquet")</f>
        <v>Básquet</v>
      </c>
      <c r="M1146" s="7" t="str">
        <f>IFERROR(__xludf.DUMMYFUNCTION("IF('Respuestas de formulario 1'!M1146="""","""",TO_TEXT('Respuestas de formulario 1'!M1146))"),"1 a 2 veces por semana")</f>
        <v>1 a 2 veces por semana</v>
      </c>
      <c r="N1146" s="7">
        <f t="shared" si="1"/>
        <v>2025</v>
      </c>
      <c r="O1146" s="7" t="str">
        <f t="shared" si="2"/>
        <v>agosto</v>
      </c>
      <c r="P1146" s="7" t="s">
        <v>6427</v>
      </c>
    </row>
    <row r="1147">
      <c r="A1147" s="19">
        <f>'Respuestas de formulario 1'!A1147</f>
        <v>45877.80666</v>
      </c>
      <c r="B1147" s="7" t="str">
        <f>'Respuestas de formulario 1'!B1147</f>
        <v>Barzola</v>
      </c>
      <c r="C1147" s="7" t="str">
        <f>'Respuestas de formulario 1'!C1147</f>
        <v>Jose</v>
      </c>
      <c r="D1147" s="7" t="str">
        <f>'Respuestas de formulario 1'!D1147</f>
        <v>jose10u@hotmail.com</v>
      </c>
      <c r="E1147" s="20">
        <f>'Respuestas de formulario 1'!E1147</f>
        <v>30791</v>
      </c>
      <c r="F1147" s="7">
        <f>'Respuestas de formulario 1'!F1147</f>
        <v>30926418</v>
      </c>
      <c r="G1147" s="7" t="str">
        <f>IFERROR(__xludf.DUMMYFUNCTION("IF('Respuestas de formulario 1'!G1147="""","""",IF(LEFT(REGEXREPLACE(TO_TEXT('Respuestas de formulario 1'!G1147),""[^0-9]"",""""),2)=""54"",""+""&amp;REGEXREPLACE(TO_TEXT('Respuestas de formulario 1'!G1147),""[^0-9]"",""""),""+54""&amp;REGEXREPLACE(TO_TEXT('Respu"&amp;"estas de formulario 1'!G1147),""[^0-9]"","""")))"),"+543513954237")</f>
        <v>+543513954237</v>
      </c>
      <c r="H1147" s="7">
        <f>'Respuestas de formulario 1'!S1147</f>
        <v>2025</v>
      </c>
      <c r="I1147" s="7" t="str">
        <f>IFERROR(__xludf.DUMMYFUNCTION("IF('Respuestas de formulario 1'!I1147="""","""",TO_TEXT('Respuestas de formulario 1'!I1147))"),"Obra social")</f>
        <v>Obra social</v>
      </c>
      <c r="J1147" s="7" t="str">
        <f>IFERROR(__xludf.DUMMYFUNCTION("IF('Respuestas de formulario 1'!J1147&lt;&gt;"""",UPPER(TRIM(TO_TEXT('Respuestas de formulario 1'!J1147))),IF('Respuestas de formulario 1'!O1147&lt;&gt;"""",UPPER(TRIM(TO_TEXT('Respuestas de formulario 1'!O1147))),""""))"),"DASPU")</f>
        <v>DASPU</v>
      </c>
      <c r="K1147" s="7" t="str">
        <f>IFERROR(__xludf.DUMMYFUNCTION("IF('Respuestas de formulario 1'!K1147="""","""",TO_TEXT('Respuestas de formulario 1'!K1147))"),"Si")</f>
        <v>Si</v>
      </c>
      <c r="L1147" s="7" t="str">
        <f>IFERROR(__xludf.DUMMYFUNCTION("IF('Respuestas de formulario 1'!L1147="""","""",TO_TEXT('Respuestas de formulario 1'!L1147))"),"Gimnasio")</f>
        <v>Gimnasio</v>
      </c>
      <c r="M1147" s="7" t="str">
        <f>IFERROR(__xludf.DUMMYFUNCTION("IF('Respuestas de formulario 1'!M1147="""","""",TO_TEXT('Respuestas de formulario 1'!M1147))"),"3 a 5 veces por semana")</f>
        <v>3 a 5 veces por semana</v>
      </c>
      <c r="N1147" s="7">
        <f t="shared" si="1"/>
        <v>2025</v>
      </c>
      <c r="O1147" s="7" t="str">
        <f t="shared" si="2"/>
        <v>agosto</v>
      </c>
      <c r="P1147" s="7" t="s">
        <v>6429</v>
      </c>
    </row>
    <row r="1148">
      <c r="A1148" s="19">
        <f>'Respuestas de formulario 1'!A1148</f>
        <v>45878.98925</v>
      </c>
      <c r="B1148" s="7" t="str">
        <f>'Respuestas de formulario 1'!B1148</f>
        <v>Font </v>
      </c>
      <c r="C1148" s="7" t="str">
        <f>'Respuestas de formulario 1'!C1148</f>
        <v>Natalia Soledad </v>
      </c>
      <c r="D1148" s="7" t="str">
        <f>'Respuestas de formulario 1'!D1148</f>
        <v>Natalia.font@unc.edu.ar</v>
      </c>
      <c r="E1148" s="20">
        <f>'Respuestas de formulario 1'!E1148</f>
        <v>28863</v>
      </c>
      <c r="F1148" s="7">
        <f>'Respuestas de formulario 1'!F1148</f>
        <v>26759903</v>
      </c>
      <c r="G1148" s="7" t="str">
        <f>IFERROR(__xludf.DUMMYFUNCTION("IF('Respuestas de formulario 1'!G1148="""","""",IF(LEFT(REGEXREPLACE(TO_TEXT('Respuestas de formulario 1'!G1148),""[^0-9]"",""""),2)=""54"",""+""&amp;REGEXREPLACE(TO_TEXT('Respuestas de formulario 1'!G1148),""[^0-9]"",""""),""+54""&amp;REGEXREPLACE(TO_TEXT('Respu"&amp;"estas de formulario 1'!G1148),""[^0-9]"","""")))"),"+543515646569")</f>
        <v>+543515646569</v>
      </c>
      <c r="H1148" s="7">
        <f>'Respuestas de formulario 1'!S1148</f>
        <v>2025</v>
      </c>
      <c r="I1148" s="7" t="str">
        <f>IFERROR(__xludf.DUMMYFUNCTION("IF('Respuestas de formulario 1'!I1148="""","""",TO_TEXT('Respuestas de formulario 1'!I1148))"),"Particular")</f>
        <v>Particular</v>
      </c>
      <c r="J1148" s="7" t="str">
        <f>IFERROR(__xludf.DUMMYFUNCTION("IF('Respuestas de formulario 1'!J1148&lt;&gt;"""",UPPER(TRIM(TO_TEXT('Respuestas de formulario 1'!J1148))),IF('Respuestas de formulario 1'!O1148&lt;&gt;"""",UPPER(TRIM(TO_TEXT('Respuestas de formulario 1'!O1148))),""""))"),"")</f>
        <v/>
      </c>
      <c r="K1148" s="7" t="str">
        <f>IFERROR(__xludf.DUMMYFUNCTION("IF('Respuestas de formulario 1'!K1148="""","""",TO_TEXT('Respuestas de formulario 1'!K1148))"),"Si")</f>
        <v>Si</v>
      </c>
      <c r="L1148" s="7" t="str">
        <f>IFERROR(__xludf.DUMMYFUNCTION("IF('Respuestas de formulario 1'!L1148="""","""",TO_TEXT('Respuestas de formulario 1'!L1148))"),"Fútbol")</f>
        <v>Fútbol</v>
      </c>
      <c r="M1148" s="7" t="str">
        <f>IFERROR(__xludf.DUMMYFUNCTION("IF('Respuestas de formulario 1'!M1148="""","""",TO_TEXT('Respuestas de formulario 1'!M1148))"),"3 a 5 veces por semana")</f>
        <v>3 a 5 veces por semana</v>
      </c>
      <c r="N1148" s="7">
        <f t="shared" si="1"/>
        <v>2025</v>
      </c>
      <c r="O1148" s="7" t="str">
        <f t="shared" si="2"/>
        <v>agosto</v>
      </c>
      <c r="P1148" s="7" t="s">
        <v>6431</v>
      </c>
    </row>
    <row r="1149">
      <c r="A1149" s="19">
        <f>'Respuestas de formulario 1'!A1149</f>
        <v>45880.52969</v>
      </c>
      <c r="B1149" s="7" t="str">
        <f>'Respuestas de formulario 1'!B1149</f>
        <v>Martin</v>
      </c>
      <c r="C1149" s="7" t="str">
        <f>'Respuestas de formulario 1'!C1149</f>
        <v>Nahir</v>
      </c>
      <c r="D1149" s="7" t="str">
        <f>'Respuestas de formulario 1'!D1149</f>
        <v>nahirmartin@hotmail.com</v>
      </c>
      <c r="E1149" s="20">
        <f>'Respuestas de formulario 1'!E1149</f>
        <v>36912</v>
      </c>
      <c r="F1149" s="7">
        <f>'Respuestas de formulario 1'!F1149</f>
        <v>43091264</v>
      </c>
      <c r="G1149" s="7" t="str">
        <f>IFERROR(__xludf.DUMMYFUNCTION("IF('Respuestas de formulario 1'!G1149="""","""",IF(LEFT(REGEXREPLACE(TO_TEXT('Respuestas de formulario 1'!G1149),""[^0-9]"",""""),2)=""54"",""+""&amp;REGEXREPLACE(TO_TEXT('Respuestas de formulario 1'!G1149),""[^0-9]"",""""),""+54""&amp;REGEXREPLACE(TO_TEXT('Respu"&amp;"estas de formulario 1'!G1149),""[^0-9]"","""")))"),"+542923433600")</f>
        <v>+542923433600</v>
      </c>
      <c r="H1149" s="7">
        <f>'Respuestas de formulario 1'!S1149</f>
        <v>2025</v>
      </c>
      <c r="I1149" s="7" t="str">
        <f>IFERROR(__xludf.DUMMYFUNCTION("IF('Respuestas de formulario 1'!I1149="""","""",TO_TEXT('Respuestas de formulario 1'!I1149))"),"Obra social")</f>
        <v>Obra social</v>
      </c>
      <c r="J1149" s="7" t="str">
        <f>IFERROR(__xludf.DUMMYFUNCTION("IF('Respuestas de formulario 1'!J1149&lt;&gt;"""",UPPER(TRIM(TO_TEXT('Respuestas de formulario 1'!J1149))),IF('Respuestas de formulario 1'!O1149&lt;&gt;"""",UPPER(TRIM(TO_TEXT('Respuestas de formulario 1'!O1149))),""""))"),"MEDIFE")</f>
        <v>MEDIFE</v>
      </c>
      <c r="K1149" s="7" t="str">
        <f>IFERROR(__xludf.DUMMYFUNCTION("IF('Respuestas de formulario 1'!K1149="""","""",TO_TEXT('Respuestas de formulario 1'!K1149))"),"Si")</f>
        <v>Si</v>
      </c>
      <c r="L1149" s="7" t="str">
        <f>IFERROR(__xludf.DUMMYFUNCTION("IF('Respuestas de formulario 1'!L1149="""","""",TO_TEXT('Respuestas de formulario 1'!L1149))"),"Gimnasio")</f>
        <v>Gimnasio</v>
      </c>
      <c r="M1149" s="7" t="str">
        <f>IFERROR(__xludf.DUMMYFUNCTION("IF('Respuestas de formulario 1'!M1149="""","""",TO_TEXT('Respuestas de formulario 1'!M1149))"),"3 a 5 veces por semana")</f>
        <v>3 a 5 veces por semana</v>
      </c>
      <c r="N1149" s="7">
        <f t="shared" si="1"/>
        <v>2025</v>
      </c>
      <c r="O1149" s="7" t="str">
        <f t="shared" si="2"/>
        <v>agosto</v>
      </c>
      <c r="P1149" s="7" t="s">
        <v>6433</v>
      </c>
    </row>
    <row r="1150">
      <c r="A1150" s="19">
        <f>'Respuestas de formulario 1'!A1150</f>
        <v>45880.55638</v>
      </c>
      <c r="B1150" s="7" t="str">
        <f>'Respuestas de formulario 1'!B1150</f>
        <v>Casas</v>
      </c>
      <c r="C1150" s="7" t="str">
        <f>'Respuestas de formulario 1'!C1150</f>
        <v>Matias nahuel</v>
      </c>
      <c r="D1150" s="7" t="str">
        <f>'Respuestas de formulario 1'!D1150</f>
        <v>casasmatias327@gmail.com</v>
      </c>
      <c r="E1150" s="20">
        <f>'Respuestas de formulario 1'!E1150</f>
        <v>36174</v>
      </c>
      <c r="F1150" s="7">
        <f>'Respuestas de formulario 1'!F1150</f>
        <v>42213451</v>
      </c>
      <c r="G1150" s="7" t="str">
        <f>IFERROR(__xludf.DUMMYFUNCTION("IF('Respuestas de formulario 1'!G1150="""","""",IF(LEFT(REGEXREPLACE(TO_TEXT('Respuestas de formulario 1'!G1150),""[^0-9]"",""""),2)=""54"",""+""&amp;REGEXREPLACE(TO_TEXT('Respuestas de formulario 1'!G1150),""[^0-9]"",""""),""+54""&amp;REGEXREPLACE(TO_TEXT('Respu"&amp;"estas de formulario 1'!G1150),""[^0-9]"","""")))"),"+543517651646")</f>
        <v>+543517651646</v>
      </c>
      <c r="H1150" s="7">
        <f>'Respuestas de formulario 1'!S1150</f>
        <v>2025</v>
      </c>
      <c r="I1150" s="7" t="str">
        <f>IFERROR(__xludf.DUMMYFUNCTION("IF('Respuestas de formulario 1'!I1150="""","""",TO_TEXT('Respuestas de formulario 1'!I1150))"),"Particular")</f>
        <v>Particular</v>
      </c>
      <c r="J1150" s="7" t="str">
        <f>IFERROR(__xludf.DUMMYFUNCTION("IF('Respuestas de formulario 1'!J1150&lt;&gt;"""",UPPER(TRIM(TO_TEXT('Respuestas de formulario 1'!J1150))),IF('Respuestas de formulario 1'!O1150&lt;&gt;"""",UPPER(TRIM(TO_TEXT('Respuestas de formulario 1'!O1150))),""""))"),"")</f>
        <v/>
      </c>
      <c r="K1150" s="7" t="str">
        <f>IFERROR(__xludf.DUMMYFUNCTION("IF('Respuestas de formulario 1'!K1150="""","""",TO_TEXT('Respuestas de formulario 1'!K1150))"),"Si")</f>
        <v>Si</v>
      </c>
      <c r="L1150" s="7" t="str">
        <f>IFERROR(__xludf.DUMMYFUNCTION("IF('Respuestas de formulario 1'!L1150="""","""",TO_TEXT('Respuestas de formulario 1'!L1150))"),"Fútbol")</f>
        <v>Fútbol</v>
      </c>
      <c r="M1150" s="7" t="str">
        <f>IFERROR(__xludf.DUMMYFUNCTION("IF('Respuestas de formulario 1'!M1150="""","""",TO_TEXT('Respuestas de formulario 1'!M1150))"),"3 a 5 veces por semana")</f>
        <v>3 a 5 veces por semana</v>
      </c>
      <c r="N1150" s="7">
        <f t="shared" si="1"/>
        <v>2025</v>
      </c>
      <c r="O1150" s="7" t="str">
        <f t="shared" si="2"/>
        <v>agosto</v>
      </c>
      <c r="P1150" s="7" t="s">
        <v>6435</v>
      </c>
    </row>
    <row r="1151">
      <c r="A1151" s="19">
        <f>'Respuestas de formulario 1'!A1151</f>
        <v>45881.48115</v>
      </c>
      <c r="B1151" s="7" t="str">
        <f>'Respuestas de formulario 1'!B1151</f>
        <v>moreno fassone</v>
      </c>
      <c r="C1151" s="7" t="str">
        <f>'Respuestas de formulario 1'!C1151</f>
        <v>catalina</v>
      </c>
      <c r="D1151" s="7" t="str">
        <f>'Respuestas de formulario 1'!D1151</f>
        <v>fassonecatalina@gmail.com</v>
      </c>
      <c r="E1151" s="20">
        <f>'Respuestas de formulario 1'!E1151</f>
        <v>39142</v>
      </c>
      <c r="F1151" s="7">
        <f>'Respuestas de formulario 1'!F1151</f>
        <v>47665073</v>
      </c>
      <c r="G1151" s="7" t="str">
        <f>IFERROR(__xludf.DUMMYFUNCTION("IF('Respuestas de formulario 1'!G1151="""","""",IF(LEFT(REGEXREPLACE(TO_TEXT('Respuestas de formulario 1'!G1151),""[^0-9]"",""""),2)=""54"",""+""&amp;REGEXREPLACE(TO_TEXT('Respuestas de formulario 1'!G1151),""[^0-9]"",""""),""+54""&amp;REGEXREPLACE(TO_TEXT('Respu"&amp;"estas de formulario 1'!G1151),""[^0-9]"","""")))"),"+543512376802")</f>
        <v>+543512376802</v>
      </c>
      <c r="H1151" s="7">
        <f>'Respuestas de formulario 1'!S1151</f>
        <v>2025</v>
      </c>
      <c r="I1151" s="7" t="str">
        <f>IFERROR(__xludf.DUMMYFUNCTION("IF('Respuestas de formulario 1'!I1151="""","""",TO_TEXT('Respuestas de formulario 1'!I1151))"),"Obra social")</f>
        <v>Obra social</v>
      </c>
      <c r="J1151" s="7" t="str">
        <f>IFERROR(__xludf.DUMMYFUNCTION("IF('Respuestas de formulario 1'!J1151&lt;&gt;"""",UPPER(TRIM(TO_TEXT('Respuestas de formulario 1'!J1151))),IF('Respuestas de formulario 1'!O1151&lt;&gt;"""",UPPER(TRIM(TO_TEXT('Respuestas de formulario 1'!O1151))),""""))"),"APM")</f>
        <v>APM</v>
      </c>
      <c r="K1151" s="7" t="str">
        <f>IFERROR(__xludf.DUMMYFUNCTION("IF('Respuestas de formulario 1'!K1151="""","""",TO_TEXT('Respuestas de formulario 1'!K1151))"),"Si")</f>
        <v>Si</v>
      </c>
      <c r="L1151" s="7" t="str">
        <f>IFERROR(__xludf.DUMMYFUNCTION("IF('Respuestas de formulario 1'!L1151="""","""",TO_TEXT('Respuestas de formulario 1'!L1151))"),"Fútbol")</f>
        <v>Fútbol</v>
      </c>
      <c r="M1151" s="7" t="str">
        <f>IFERROR(__xludf.DUMMYFUNCTION("IF('Respuestas de formulario 1'!M1151="""","""",TO_TEXT('Respuestas de formulario 1'!M1151))"),"3 a 5 veces por semana")</f>
        <v>3 a 5 veces por semana</v>
      </c>
      <c r="N1151" s="7">
        <f t="shared" si="1"/>
        <v>2025</v>
      </c>
      <c r="O1151" s="7" t="str">
        <f t="shared" si="2"/>
        <v>agosto</v>
      </c>
      <c r="P1151" s="7" t="s">
        <v>6437</v>
      </c>
    </row>
    <row r="1152">
      <c r="A1152" s="19">
        <f>'Respuestas de formulario 1'!A1152</f>
        <v>45882.46049</v>
      </c>
      <c r="B1152" s="7" t="str">
        <f>'Respuestas de formulario 1'!B1152</f>
        <v>Ramirez</v>
      </c>
      <c r="C1152" s="7" t="str">
        <f>'Respuestas de formulario 1'!C1152</f>
        <v>Paulina</v>
      </c>
      <c r="D1152" s="7" t="str">
        <f>'Respuestas de formulario 1'!D1152</f>
        <v>nicolas_jd_ramirez@hotmail.com</v>
      </c>
      <c r="E1152" s="20">
        <f>'Respuestas de formulario 1'!E1152</f>
        <v>39155</v>
      </c>
      <c r="F1152" s="7">
        <f>'Respuestas de formulario 1'!F1152</f>
        <v>47662786</v>
      </c>
      <c r="G1152" s="7" t="str">
        <f>IFERROR(__xludf.DUMMYFUNCTION("IF('Respuestas de formulario 1'!G1152="""","""",IF(LEFT(REGEXREPLACE(TO_TEXT('Respuestas de formulario 1'!G1152),""[^0-9]"",""""),2)=""54"",""+""&amp;REGEXREPLACE(TO_TEXT('Respuestas de formulario 1'!G1152),""[^0-9]"",""""),""+54""&amp;REGEXREPLACE(TO_TEXT('Respu"&amp;"estas de formulario 1'!G1152),""[^0-9]"","""")))"),"+543515387560")</f>
        <v>+543515387560</v>
      </c>
      <c r="H1152" s="7">
        <f>'Respuestas de formulario 1'!S1152</f>
        <v>2025</v>
      </c>
      <c r="I1152" s="7" t="str">
        <f>IFERROR(__xludf.DUMMYFUNCTION("IF('Respuestas de formulario 1'!I1152="""","""",TO_TEXT('Respuestas de formulario 1'!I1152))"),"Obra social")</f>
        <v>Obra social</v>
      </c>
      <c r="J1152" s="7" t="str">
        <f>IFERROR(__xludf.DUMMYFUNCTION("IF('Respuestas de formulario 1'!J1152&lt;&gt;"""",UPPER(TRIM(TO_TEXT('Respuestas de formulario 1'!J1152))),IF('Respuestas de formulario 1'!O1152&lt;&gt;"""",UPPER(TRIM(TO_TEXT('Respuestas de formulario 1'!O1152))),""""))"),"SANCOR")</f>
        <v>SANCOR</v>
      </c>
      <c r="K1152" s="7" t="str">
        <f>IFERROR(__xludf.DUMMYFUNCTION("IF('Respuestas de formulario 1'!K1152="""","""",TO_TEXT('Respuestas de formulario 1'!K1152))"),"Si")</f>
        <v>Si</v>
      </c>
      <c r="L1152" s="7" t="str">
        <f>IFERROR(__xludf.DUMMYFUNCTION("IF('Respuestas de formulario 1'!L1152="""","""",TO_TEXT('Respuestas de formulario 1'!L1152))"),"Hockey")</f>
        <v>Hockey</v>
      </c>
      <c r="M1152" s="7" t="str">
        <f>IFERROR(__xludf.DUMMYFUNCTION("IF('Respuestas de formulario 1'!M1152="""","""",TO_TEXT('Respuestas de formulario 1'!M1152))"),"1 a 2 veces por semana")</f>
        <v>1 a 2 veces por semana</v>
      </c>
      <c r="N1152" s="7">
        <f t="shared" si="1"/>
        <v>2025</v>
      </c>
      <c r="O1152" s="7" t="str">
        <f t="shared" si="2"/>
        <v>agosto</v>
      </c>
      <c r="P1152" s="7" t="s">
        <v>6439</v>
      </c>
    </row>
    <row r="1153">
      <c r="A1153" s="19">
        <f>'Respuestas de formulario 1'!A1153</f>
        <v>45882.71906</v>
      </c>
      <c r="B1153" s="7" t="str">
        <f>'Respuestas de formulario 1'!B1153</f>
        <v>Valdiviezo </v>
      </c>
      <c r="C1153" s="7" t="str">
        <f>'Respuestas de formulario 1'!C1153</f>
        <v>Valentino </v>
      </c>
      <c r="D1153" s="7" t="str">
        <f>'Respuestas de formulario 1'!D1153</f>
        <v>valenvaldi18@gmail.com</v>
      </c>
      <c r="E1153" s="20">
        <f>'Respuestas de formulario 1'!E1153</f>
        <v>38512</v>
      </c>
      <c r="F1153" s="7">
        <f>'Respuestas de formulario 1'!F1153</f>
        <v>46452357</v>
      </c>
      <c r="G1153" s="7" t="str">
        <f>IFERROR(__xludf.DUMMYFUNCTION("IF('Respuestas de formulario 1'!G1153="""","""",IF(LEFT(REGEXREPLACE(TO_TEXT('Respuestas de formulario 1'!G1153),""[^0-9]"",""""),2)=""54"",""+""&amp;REGEXREPLACE(TO_TEXT('Respuestas de formulario 1'!G1153),""[^0-9]"",""""),""+54""&amp;REGEXREPLACE(TO_TEXT('Respu"&amp;"estas de formulario 1'!G1153),""[^0-9]"","""")))"),"+543513852736")</f>
        <v>+543513852736</v>
      </c>
      <c r="H1153" s="7">
        <f>'Respuestas de formulario 1'!S1153</f>
        <v>2025</v>
      </c>
      <c r="I1153" s="7" t="str">
        <f>IFERROR(__xludf.DUMMYFUNCTION("IF('Respuestas de formulario 1'!I1153="""","""",TO_TEXT('Respuestas de formulario 1'!I1153))"),"Obra social")</f>
        <v>Obra social</v>
      </c>
      <c r="J1153" s="7" t="str">
        <f>IFERROR(__xludf.DUMMYFUNCTION("IF('Respuestas de formulario 1'!J1153&lt;&gt;"""",UPPER(TRIM(TO_TEXT('Respuestas de formulario 1'!J1153))),IF('Respuestas de formulario 1'!O1153&lt;&gt;"""",UPPER(TRIM(TO_TEXT('Respuestas de formulario 1'!O1153))),""""))"),"MEDIFE")</f>
        <v>MEDIFE</v>
      </c>
      <c r="K1153" s="7" t="str">
        <f>IFERROR(__xludf.DUMMYFUNCTION("IF('Respuestas de formulario 1'!K1153="""","""",TO_TEXT('Respuestas de formulario 1'!K1153))"),"Si")</f>
        <v>Si</v>
      </c>
      <c r="L1153" s="7" t="str">
        <f>IFERROR(__xludf.DUMMYFUNCTION("IF('Respuestas de formulario 1'!L1153="""","""",TO_TEXT('Respuestas de formulario 1'!L1153))"),"padel y gimnasio ")</f>
        <v>padel y gimnasio </v>
      </c>
      <c r="M1153" s="7" t="str">
        <f>IFERROR(__xludf.DUMMYFUNCTION("IF('Respuestas de formulario 1'!M1153="""","""",TO_TEXT('Respuestas de formulario 1'!M1153))"),"3 a 5 veces por semana")</f>
        <v>3 a 5 veces por semana</v>
      </c>
      <c r="N1153" s="7">
        <f t="shared" si="1"/>
        <v>2025</v>
      </c>
      <c r="O1153" s="7" t="str">
        <f t="shared" si="2"/>
        <v>agosto</v>
      </c>
      <c r="P1153" s="7" t="s">
        <v>6441</v>
      </c>
    </row>
    <row r="1154">
      <c r="A1154" s="19">
        <f>'Respuestas de formulario 1'!A1154</f>
        <v>45882.75937</v>
      </c>
      <c r="B1154" s="7" t="str">
        <f>'Respuestas de formulario 1'!B1154</f>
        <v>Crozzol</v>
      </c>
      <c r="C1154" s="7" t="str">
        <f>'Respuestas de formulario 1'!C1154</f>
        <v>Bautista</v>
      </c>
      <c r="D1154" s="7" t="str">
        <f>'Respuestas de formulario 1'!D1154</f>
        <v>-</v>
      </c>
      <c r="E1154" s="20">
        <f>'Respuestas de formulario 1'!E1154</f>
        <v>40375</v>
      </c>
      <c r="F1154" s="7">
        <f>'Respuestas de formulario 1'!F1154</f>
        <v>50418869</v>
      </c>
      <c r="G1154" s="7" t="str">
        <f>IFERROR(__xludf.DUMMYFUNCTION("IF('Respuestas de formulario 1'!G1154="""","""",IF(LEFT(REGEXREPLACE(TO_TEXT('Respuestas de formulario 1'!G1154),""[^0-9]"",""""),2)=""54"",""+""&amp;REGEXREPLACE(TO_TEXT('Respuestas de formulario 1'!G1154),""[^0-9]"",""""),""+54""&amp;REGEXREPLACE(TO_TEXT('Respu"&amp;"estas de formulario 1'!G1154),""[^0-9]"","""")))"),"+543515914335")</f>
        <v>+543515914335</v>
      </c>
      <c r="H1154" s="7">
        <f>'Respuestas de formulario 1'!S1154</f>
        <v>2025</v>
      </c>
      <c r="I1154" s="7" t="str">
        <f>IFERROR(__xludf.DUMMYFUNCTION("IF('Respuestas de formulario 1'!I1154="""","""",TO_TEXT('Respuestas de formulario 1'!I1154))"),"Obra social")</f>
        <v>Obra social</v>
      </c>
      <c r="J1154" s="7" t="str">
        <f>IFERROR(__xludf.DUMMYFUNCTION("IF('Respuestas de formulario 1'!J1154&lt;&gt;"""",UPPER(TRIM(TO_TEXT('Respuestas de formulario 1'!J1154))),IF('Respuestas de formulario 1'!O1154&lt;&gt;"""",UPPER(TRIM(TO_TEXT('Respuestas de formulario 1'!O1154))),""""))"),"CPCE")</f>
        <v>CPCE</v>
      </c>
      <c r="K1154" s="7" t="str">
        <f>IFERROR(__xludf.DUMMYFUNCTION("IF('Respuestas de formulario 1'!K1154="""","""",TO_TEXT('Respuestas de formulario 1'!K1154))"),"Si")</f>
        <v>Si</v>
      </c>
      <c r="L1154" s="7" t="str">
        <f>IFERROR(__xludf.DUMMYFUNCTION("IF('Respuestas de formulario 1'!L1154="""","""",TO_TEXT('Respuestas de formulario 1'!L1154))"),"Fútbol")</f>
        <v>Fútbol</v>
      </c>
      <c r="M1154" s="7" t="str">
        <f>IFERROR(__xludf.DUMMYFUNCTION("IF('Respuestas de formulario 1'!M1154="""","""",TO_TEXT('Respuestas de formulario 1'!M1154))"),"3 a 5 veces por semana")</f>
        <v>3 a 5 veces por semana</v>
      </c>
      <c r="N1154" s="7">
        <f t="shared" si="1"/>
        <v>2025</v>
      </c>
      <c r="O1154" s="7" t="str">
        <f t="shared" si="2"/>
        <v>agosto</v>
      </c>
      <c r="P1154" s="7" t="s">
        <v>6443</v>
      </c>
    </row>
    <row r="1155">
      <c r="A1155" s="19">
        <f>'Respuestas de formulario 1'!A1155</f>
        <v>45882.77116</v>
      </c>
      <c r="B1155" s="7" t="str">
        <f>'Respuestas de formulario 1'!B1155</f>
        <v>Kohon</v>
      </c>
      <c r="C1155" s="7" t="str">
        <f>'Respuestas de formulario 1'!C1155</f>
        <v>Carlos</v>
      </c>
      <c r="D1155" s="7" t="str">
        <f>'Respuestas de formulario 1'!D1155</f>
        <v>carlosdanielkohon@gmail.com</v>
      </c>
      <c r="E1155" s="20">
        <f>'Respuestas de formulario 1'!E1155</f>
        <v>22074</v>
      </c>
      <c r="F1155" s="7">
        <f>'Respuestas de formulario 1'!F1155</f>
        <v>13967270</v>
      </c>
      <c r="G1155" s="7" t="str">
        <f>IFERROR(__xludf.DUMMYFUNCTION("IF('Respuestas de formulario 1'!G1155="""","""",IF(LEFT(REGEXREPLACE(TO_TEXT('Respuestas de formulario 1'!G1155),""[^0-9]"",""""),2)=""54"",""+""&amp;REGEXREPLACE(TO_TEXT('Respuestas de formulario 1'!G1155),""[^0-9]"",""""),""+54""&amp;REGEXREPLACE(TO_TEXT('Respu"&amp;"estas de formulario 1'!G1155),""[^0-9]"","""")))"),"+543455440734")</f>
        <v>+543455440734</v>
      </c>
      <c r="H1155" s="7">
        <f>'Respuestas de formulario 1'!S1155</f>
        <v>2025</v>
      </c>
      <c r="I1155" s="7" t="str">
        <f>IFERROR(__xludf.DUMMYFUNCTION("IF('Respuestas de formulario 1'!I1155="""","""",TO_TEXT('Respuestas de formulario 1'!I1155))"),"Particular")</f>
        <v>Particular</v>
      </c>
      <c r="J1155" s="7" t="str">
        <f>IFERROR(__xludf.DUMMYFUNCTION("IF('Respuestas de formulario 1'!J1155&lt;&gt;"""",UPPER(TRIM(TO_TEXT('Respuestas de formulario 1'!J1155))),IF('Respuestas de formulario 1'!O1155&lt;&gt;"""",UPPER(TRIM(TO_TEXT('Respuestas de formulario 1'!O1155))),""""))"),"")</f>
        <v/>
      </c>
      <c r="K1155" s="7" t="str">
        <f>IFERROR(__xludf.DUMMYFUNCTION("IF('Respuestas de formulario 1'!K1155="""","""",TO_TEXT('Respuestas de formulario 1'!K1155))"),"Si")</f>
        <v>Si</v>
      </c>
      <c r="L1155" s="7" t="str">
        <f>IFERROR(__xludf.DUMMYFUNCTION("IF('Respuestas de formulario 1'!L1155="""","""",TO_TEXT('Respuestas de formulario 1'!L1155))"),"Trabajo como ing agronomo")</f>
        <v>Trabajo como ing agronomo</v>
      </c>
      <c r="M1155" s="7" t="str">
        <f>IFERROR(__xludf.DUMMYFUNCTION("IF('Respuestas de formulario 1'!M1155="""","""",TO_TEXT('Respuestas de formulario 1'!M1155))"),"3 a 5 veces por semana")</f>
        <v>3 a 5 veces por semana</v>
      </c>
      <c r="N1155" s="7">
        <f t="shared" si="1"/>
        <v>2025</v>
      </c>
      <c r="O1155" s="7" t="str">
        <f t="shared" si="2"/>
        <v>agosto</v>
      </c>
      <c r="P1155" s="7" t="s">
        <v>6445</v>
      </c>
    </row>
    <row r="1156">
      <c r="A1156" s="19">
        <f>'Respuestas de formulario 1'!A1156</f>
        <v>45882.79676</v>
      </c>
      <c r="B1156" s="7" t="str">
        <f>'Respuestas de formulario 1'!B1156</f>
        <v>Bustamante </v>
      </c>
      <c r="C1156" s="7" t="str">
        <f>'Respuestas de formulario 1'!C1156</f>
        <v>Ana</v>
      </c>
      <c r="D1156" s="7" t="str">
        <f>'Respuestas de formulario 1'!D1156</f>
        <v>anitalbustamante@gmail.com</v>
      </c>
      <c r="E1156" s="20">
        <f>'Respuestas de formulario 1'!E1156</f>
        <v>30116</v>
      </c>
      <c r="F1156" s="7">
        <f>'Respuestas de formulario 1'!F1156</f>
        <v>29477698</v>
      </c>
      <c r="G1156" s="7" t="str">
        <f>IFERROR(__xludf.DUMMYFUNCTION("IF('Respuestas de formulario 1'!G1156="""","""",IF(LEFT(REGEXREPLACE(TO_TEXT('Respuestas de formulario 1'!G1156),""[^0-9]"",""""),2)=""54"",""+""&amp;REGEXREPLACE(TO_TEXT('Respuestas de formulario 1'!G1156),""[^0-9]"",""""),""+54""&amp;REGEXREPLACE(TO_TEXT('Respu"&amp;"estas de formulario 1'!G1156),""[^0-9]"","""")))"),"+543515051516")</f>
        <v>+543515051516</v>
      </c>
      <c r="H1156" s="7">
        <f>'Respuestas de formulario 1'!S1156</f>
        <v>2025</v>
      </c>
      <c r="I1156" s="7" t="str">
        <f>IFERROR(__xludf.DUMMYFUNCTION("IF('Respuestas de formulario 1'!I1156="""","""",TO_TEXT('Respuestas de formulario 1'!I1156))"),"Obra social")</f>
        <v>Obra social</v>
      </c>
      <c r="J1156" s="7" t="str">
        <f>IFERROR(__xludf.DUMMYFUNCTION("IF('Respuestas de formulario 1'!J1156&lt;&gt;"""",UPPER(TRIM(TO_TEXT('Respuestas de formulario 1'!J1156))),IF('Respuestas de formulario 1'!O1156&lt;&gt;"""",UPPER(TRIM(TO_TEXT('Respuestas de formulario 1'!O1156))),""""))"),"SANCOR")</f>
        <v>SANCOR</v>
      </c>
      <c r="K1156" s="7" t="str">
        <f>IFERROR(__xludf.DUMMYFUNCTION("IF('Respuestas de formulario 1'!K1156="""","""",TO_TEXT('Respuestas de formulario 1'!K1156))"),"Si")</f>
        <v>Si</v>
      </c>
      <c r="L1156" s="7" t="str">
        <f>IFERROR(__xludf.DUMMYFUNCTION("IF('Respuestas de formulario 1'!L1156="""","""",TO_TEXT('Respuestas de formulario 1'!L1156))"),"Gimnasio")</f>
        <v>Gimnasio</v>
      </c>
      <c r="M1156" s="7" t="str">
        <f>IFERROR(__xludf.DUMMYFUNCTION("IF('Respuestas de formulario 1'!M1156="""","""",TO_TEXT('Respuestas de formulario 1'!M1156))"),"3 a 5 veces por semana")</f>
        <v>3 a 5 veces por semana</v>
      </c>
      <c r="N1156" s="7">
        <f t="shared" si="1"/>
        <v>2025</v>
      </c>
      <c r="O1156" s="7" t="str">
        <f t="shared" si="2"/>
        <v>agosto</v>
      </c>
      <c r="P1156" s="7" t="s">
        <v>6447</v>
      </c>
    </row>
    <row r="1157">
      <c r="A1157" s="19">
        <f>'Respuestas de formulario 1'!A1157</f>
        <v>45882.83274</v>
      </c>
      <c r="B1157" s="7" t="str">
        <f>'Respuestas de formulario 1'!B1157</f>
        <v>Vendramini </v>
      </c>
      <c r="C1157" s="7" t="str">
        <f>'Respuestas de formulario 1'!C1157</f>
        <v>Mauro </v>
      </c>
      <c r="D1157" s="7" t="str">
        <f>'Respuestas de formulario 1'!D1157</f>
        <v/>
      </c>
      <c r="E1157" s="20">
        <f>'Respuestas de formulario 1'!E1157</f>
        <v>-664802</v>
      </c>
      <c r="F1157" s="7">
        <f>'Respuestas de formulario 1'!F1157</f>
        <v>27655278</v>
      </c>
      <c r="G1157" s="7" t="str">
        <f>IFERROR(__xludf.DUMMYFUNCTION("IF('Respuestas de formulario 1'!G1157="""","""",IF(LEFT(REGEXREPLACE(TO_TEXT('Respuestas de formulario 1'!G1157),""[^0-9]"",""""),2)=""54"",""+""&amp;REGEXREPLACE(TO_TEXT('Respuestas de formulario 1'!G1157),""[^0-9]"",""""),""+54""&amp;REGEXREPLACE(TO_TEXT('Respu"&amp;"estas de formulario 1'!G1157),""[^0-9]"","""")))"),"+543518727668")</f>
        <v>+543518727668</v>
      </c>
      <c r="H1157" s="7">
        <f>'Respuestas de formulario 1'!S1157</f>
        <v>2025</v>
      </c>
      <c r="I1157" s="7" t="str">
        <f>IFERROR(__xludf.DUMMYFUNCTION("IF('Respuestas de formulario 1'!I1157="""","""",TO_TEXT('Respuestas de formulario 1'!I1157))"),"Obra social")</f>
        <v>Obra social</v>
      </c>
      <c r="J1157" s="7" t="str">
        <f>IFERROR(__xludf.DUMMYFUNCTION("IF('Respuestas de formulario 1'!J1157&lt;&gt;"""",UPPER(TRIM(TO_TEXT('Respuestas de formulario 1'!J1157))),IF('Respuestas de formulario 1'!O1157&lt;&gt;"""",UPPER(TRIM(TO_TEXT('Respuestas de formulario 1'!O1157))),""""))"),"DASPU")</f>
        <v>DASPU</v>
      </c>
      <c r="K1157" s="7" t="str">
        <f>IFERROR(__xludf.DUMMYFUNCTION("IF('Respuestas de formulario 1'!K1157="""","""",TO_TEXT('Respuestas de formulario 1'!K1157))"),"Si")</f>
        <v>Si</v>
      </c>
      <c r="L1157" s="7" t="str">
        <f>IFERROR(__xludf.DUMMYFUNCTION("IF('Respuestas de formulario 1'!L1157="""","""",TO_TEXT('Respuestas de formulario 1'!L1157))"),"")</f>
        <v/>
      </c>
      <c r="M1157" s="7" t="str">
        <f>IFERROR(__xludf.DUMMYFUNCTION("IF('Respuestas de formulario 1'!M1157="""","""",TO_TEXT('Respuestas de formulario 1'!M1157))"),"3 a 5 veces por semana")</f>
        <v>3 a 5 veces por semana</v>
      </c>
      <c r="N1157" s="7">
        <f t="shared" si="1"/>
        <v>2025</v>
      </c>
      <c r="O1157" s="7" t="str">
        <f t="shared" si="2"/>
        <v>agosto</v>
      </c>
      <c r="P1157" s="7" t="s">
        <v>6449</v>
      </c>
    </row>
    <row r="1158">
      <c r="A1158" s="19">
        <f>'Respuestas de formulario 1'!A1158</f>
        <v>45883.4632</v>
      </c>
      <c r="B1158" s="7" t="str">
        <f>'Respuestas de formulario 1'!B1158</f>
        <v>Rodriguez</v>
      </c>
      <c r="C1158" s="7" t="str">
        <f>'Respuestas de formulario 1'!C1158</f>
        <v>Pablo</v>
      </c>
      <c r="D1158" s="7" t="str">
        <f>'Respuestas de formulario 1'!D1158</f>
        <v>pablorodriguezbris@gmail.com</v>
      </c>
      <c r="E1158" s="20">
        <f>'Respuestas de formulario 1'!E1158</f>
        <v>26225</v>
      </c>
      <c r="F1158" s="7">
        <f>'Respuestas de formulario 1'!F1158</f>
        <v>22374254</v>
      </c>
      <c r="G1158" s="7" t="str">
        <f>IFERROR(__xludf.DUMMYFUNCTION("IF('Respuestas de formulario 1'!G1158="""","""",IF(LEFT(REGEXREPLACE(TO_TEXT('Respuestas de formulario 1'!G1158),""[^0-9]"",""""),2)=""54"",""+""&amp;REGEXREPLACE(TO_TEXT('Respuestas de formulario 1'!G1158),""[^0-9]"",""""),""+54""&amp;REGEXREPLACE(TO_TEXT('Respu"&amp;"estas de formulario 1'!G1158),""[^0-9]"","""")))"),"+543513560032")</f>
        <v>+543513560032</v>
      </c>
      <c r="H1158" s="7">
        <f>'Respuestas de formulario 1'!S1158</f>
        <v>2025</v>
      </c>
      <c r="I1158" s="7" t="str">
        <f>IFERROR(__xludf.DUMMYFUNCTION("IF('Respuestas de formulario 1'!I1158="""","""",TO_TEXT('Respuestas de formulario 1'!I1158))"),"Obra social")</f>
        <v>Obra social</v>
      </c>
      <c r="J1158" s="7" t="str">
        <f>IFERROR(__xludf.DUMMYFUNCTION("IF('Respuestas de formulario 1'!J1158&lt;&gt;"""",UPPER(TRIM(TO_TEXT('Respuestas de formulario 1'!J1158))),IF('Respuestas de formulario 1'!O1158&lt;&gt;"""",UPPER(TRIM(TO_TEXT('Respuestas de formulario 1'!O1158))),""""))"),"PREVENCIÓN")</f>
        <v>PREVENCIÓN</v>
      </c>
      <c r="K1158" s="7" t="str">
        <f>IFERROR(__xludf.DUMMYFUNCTION("IF('Respuestas de formulario 1'!K1158="""","""",TO_TEXT('Respuestas de formulario 1'!K1158))"),"Si")</f>
        <v>Si</v>
      </c>
      <c r="L1158" s="7" t="str">
        <f>IFERROR(__xludf.DUMMYFUNCTION("IF('Respuestas de formulario 1'!L1158="""","""",TO_TEXT('Respuestas de formulario 1'!L1158))"),"Gimnasio")</f>
        <v>Gimnasio</v>
      </c>
      <c r="M1158" s="7" t="str">
        <f>IFERROR(__xludf.DUMMYFUNCTION("IF('Respuestas de formulario 1'!M1158="""","""",TO_TEXT('Respuestas de formulario 1'!M1158))"),"1 a 2 veces por semana")</f>
        <v>1 a 2 veces por semana</v>
      </c>
      <c r="N1158" s="7">
        <f t="shared" si="1"/>
        <v>2025</v>
      </c>
      <c r="O1158" s="7" t="str">
        <f t="shared" si="2"/>
        <v>agosto</v>
      </c>
      <c r="P1158" s="7" t="s">
        <v>6451</v>
      </c>
    </row>
    <row r="1159">
      <c r="A1159" s="19">
        <f>'Respuestas de formulario 1'!A1159</f>
        <v>45883.54223</v>
      </c>
      <c r="B1159" s="7" t="str">
        <f>'Respuestas de formulario 1'!B1159</f>
        <v>Bagnasco</v>
      </c>
      <c r="C1159" s="7" t="str">
        <f>'Respuestas de formulario 1'!C1159</f>
        <v>Mercedes </v>
      </c>
      <c r="D1159" s="7" t="str">
        <f>'Respuestas de formulario 1'!D1159</f>
        <v>mercedesbagnasco@gmail.com</v>
      </c>
      <c r="E1159" s="20">
        <f>'Respuestas de formulario 1'!E1159</f>
        <v>19831</v>
      </c>
      <c r="F1159" s="7">
        <f>'Respuestas de formulario 1'!F1159</f>
        <v>11034416</v>
      </c>
      <c r="G1159" s="7" t="str">
        <f>IFERROR(__xludf.DUMMYFUNCTION("IF('Respuestas de formulario 1'!G1159="""","""",IF(LEFT(REGEXREPLACE(TO_TEXT('Respuestas de formulario 1'!G1159),""[^0-9]"",""""),2)=""54"",""+""&amp;REGEXREPLACE(TO_TEXT('Respuestas de formulario 1'!G1159),""[^0-9]"",""""),""+54""&amp;REGEXREPLACE(TO_TEXT('Respu"&amp;"estas de formulario 1'!G1159),""[^0-9]"","""")))"),"+543513119100")</f>
        <v>+543513119100</v>
      </c>
      <c r="H1159" s="7">
        <f>'Respuestas de formulario 1'!S1159</f>
        <v>2025</v>
      </c>
      <c r="I1159" s="7" t="str">
        <f>IFERROR(__xludf.DUMMYFUNCTION("IF('Respuestas de formulario 1'!I1159="""","""",TO_TEXT('Respuestas de formulario 1'!I1159))"),"Particular")</f>
        <v>Particular</v>
      </c>
      <c r="J1159" s="7" t="str">
        <f>IFERROR(__xludf.DUMMYFUNCTION("IF('Respuestas de formulario 1'!J1159&lt;&gt;"""",UPPER(TRIM(TO_TEXT('Respuestas de formulario 1'!J1159))),IF('Respuestas de formulario 1'!O1159&lt;&gt;"""",UPPER(TRIM(TO_TEXT('Respuestas de formulario 1'!O1159))),""""))"),"")</f>
        <v/>
      </c>
      <c r="K1159" s="7" t="str">
        <f>IFERROR(__xludf.DUMMYFUNCTION("IF('Respuestas de formulario 1'!K1159="""","""",TO_TEXT('Respuestas de formulario 1'!K1159))"),"No")</f>
        <v>No</v>
      </c>
      <c r="L1159" s="7" t="str">
        <f>IFERROR(__xludf.DUMMYFUNCTION("IF('Respuestas de formulario 1'!L1159="""","""",TO_TEXT('Respuestas de formulario 1'!L1159))"),"")</f>
        <v/>
      </c>
      <c r="M1159" s="7" t="str">
        <f>IFERROR(__xludf.DUMMYFUNCTION("IF('Respuestas de formulario 1'!M1159="""","""",TO_TEXT('Respuestas de formulario 1'!M1159))"),"")</f>
        <v/>
      </c>
      <c r="N1159" s="7">
        <f t="shared" si="1"/>
        <v>2025</v>
      </c>
      <c r="O1159" s="7" t="str">
        <f t="shared" si="2"/>
        <v>agosto</v>
      </c>
      <c r="P1159" s="7" t="s">
        <v>6453</v>
      </c>
    </row>
    <row r="1160">
      <c r="A1160" s="19">
        <f>'Respuestas de formulario 1'!A1160</f>
        <v>45883.83272</v>
      </c>
      <c r="B1160" s="7" t="str">
        <f>'Respuestas de formulario 1'!B1160</f>
        <v>Ibarra</v>
      </c>
      <c r="C1160" s="7" t="str">
        <f>'Respuestas de formulario 1'!C1160</f>
        <v>Agustín </v>
      </c>
      <c r="D1160" s="7" t="str">
        <f>'Respuestas de formulario 1'!D1160</f>
        <v>agusibarra000@gmail.com</v>
      </c>
      <c r="E1160" s="20">
        <f>'Respuestas de formulario 1'!E1160</f>
        <v>36547</v>
      </c>
      <c r="F1160" s="7">
        <f>'Respuestas de formulario 1'!F1160</f>
        <v>45347230</v>
      </c>
      <c r="G1160" s="7" t="str">
        <f>IFERROR(__xludf.DUMMYFUNCTION("IF('Respuestas de formulario 1'!G1160="""","""",IF(LEFT(REGEXREPLACE(TO_TEXT('Respuestas de formulario 1'!G1160),""[^0-9]"",""""),2)=""54"",""+""&amp;REGEXREPLACE(TO_TEXT('Respuestas de formulario 1'!G1160),""[^0-9]"",""""),""+54""&amp;REGEXREPLACE(TO_TEXT('Respu"&amp;"estas de formulario 1'!G1160),""[^0-9]"","""")))"),"+543512444364")</f>
        <v>+543512444364</v>
      </c>
      <c r="H1160" s="7">
        <f>'Respuestas de formulario 1'!S1160</f>
        <v>2025</v>
      </c>
      <c r="I1160" s="7" t="str">
        <f>IFERROR(__xludf.DUMMYFUNCTION("IF('Respuestas de formulario 1'!I1160="""","""",TO_TEXT('Respuestas de formulario 1'!I1160))"),"Particular")</f>
        <v>Particular</v>
      </c>
      <c r="J1160" s="7" t="str">
        <f>IFERROR(__xludf.DUMMYFUNCTION("IF('Respuestas de formulario 1'!J1160&lt;&gt;"""",UPPER(TRIM(TO_TEXT('Respuestas de formulario 1'!J1160))),IF('Respuestas de formulario 1'!O1160&lt;&gt;"""",UPPER(TRIM(TO_TEXT('Respuestas de formulario 1'!O1160))),""""))"),"")</f>
        <v/>
      </c>
      <c r="K1160" s="7" t="str">
        <f>IFERROR(__xludf.DUMMYFUNCTION("IF('Respuestas de formulario 1'!K1160="""","""",TO_TEXT('Respuestas de formulario 1'!K1160))"),"Si")</f>
        <v>Si</v>
      </c>
      <c r="L1160" s="7" t="str">
        <f>IFERROR(__xludf.DUMMYFUNCTION("IF('Respuestas de formulario 1'!L1160="""","""",TO_TEXT('Respuestas de formulario 1'!L1160))"),"Gimnasio, fútbol y boxeo ")</f>
        <v>Gimnasio, fútbol y boxeo </v>
      </c>
      <c r="M1160" s="7" t="str">
        <f>IFERROR(__xludf.DUMMYFUNCTION("IF('Respuestas de formulario 1'!M1160="""","""",TO_TEXT('Respuestas de formulario 1'!M1160))"),"3 a 5 veces por semana")</f>
        <v>3 a 5 veces por semana</v>
      </c>
      <c r="N1160" s="7">
        <f t="shared" si="1"/>
        <v>2025</v>
      </c>
      <c r="O1160" s="7" t="str">
        <f t="shared" si="2"/>
        <v>agosto</v>
      </c>
      <c r="P1160" s="7" t="s">
        <v>6455</v>
      </c>
    </row>
    <row r="1161">
      <c r="A1161" s="19">
        <f>'Respuestas de formulario 1'!A1161</f>
        <v>45884.67237</v>
      </c>
      <c r="B1161" s="7" t="str">
        <f>'Respuestas de formulario 1'!B1161</f>
        <v>Sesma</v>
      </c>
      <c r="C1161" s="7" t="str">
        <f>'Respuestas de formulario 1'!C1161</f>
        <v>Amelia</v>
      </c>
      <c r="D1161" s="7" t="str">
        <f>'Respuestas de formulario 1'!D1161</f>
        <v>sesmamyriam@hotmail.com</v>
      </c>
      <c r="E1161" s="20">
        <f>'Respuestas de formulario 1'!E1161</f>
        <v>45899</v>
      </c>
      <c r="F1161" s="7">
        <f>'Respuestas de formulario 1'!F1161</f>
        <v>6029900</v>
      </c>
      <c r="G1161" s="7" t="str">
        <f>IFERROR(__xludf.DUMMYFUNCTION("IF('Respuestas de formulario 1'!G1161="""","""",IF(LEFT(REGEXREPLACE(TO_TEXT('Respuestas de formulario 1'!G1161),""[^0-9]"",""""),2)=""54"",""+""&amp;REGEXREPLACE(TO_TEXT('Respuestas de formulario 1'!G1161),""[^0-9]"",""""),""+54""&amp;REGEXREPLACE(TO_TEXT('Respu"&amp;"estas de formulario 1'!G1161),""[^0-9]"","""")))"),"+543518094444")</f>
        <v>+543518094444</v>
      </c>
      <c r="H1161" s="7">
        <f>'Respuestas de formulario 1'!S1161</f>
        <v>2025</v>
      </c>
      <c r="I1161" s="7" t="str">
        <f>IFERROR(__xludf.DUMMYFUNCTION("IF('Respuestas de formulario 1'!I1161="""","""",TO_TEXT('Respuestas de formulario 1'!I1161))"),"Particular")</f>
        <v>Particular</v>
      </c>
      <c r="J1161" s="7" t="str">
        <f>IFERROR(__xludf.DUMMYFUNCTION("IF('Respuestas de formulario 1'!J1161&lt;&gt;"""",UPPER(TRIM(TO_TEXT('Respuestas de formulario 1'!J1161))),IF('Respuestas de formulario 1'!O1161&lt;&gt;"""",UPPER(TRIM(TO_TEXT('Respuestas de formulario 1'!O1161))),""""))"),"")</f>
        <v/>
      </c>
      <c r="K1161" s="7" t="str">
        <f>IFERROR(__xludf.DUMMYFUNCTION("IF('Respuestas de formulario 1'!K1161="""","""",TO_TEXT('Respuestas de formulario 1'!K1161))"),"Si")</f>
        <v>Si</v>
      </c>
      <c r="L1161" s="7" t="str">
        <f>IFERROR(__xludf.DUMMYFUNCTION("IF('Respuestas de formulario 1'!L1161="""","""",TO_TEXT('Respuestas de formulario 1'!L1161))"),"Pilates, caminar")</f>
        <v>Pilates, caminar</v>
      </c>
      <c r="M1161" s="7" t="str">
        <f>IFERROR(__xludf.DUMMYFUNCTION("IF('Respuestas de formulario 1'!M1161="""","""",TO_TEXT('Respuestas de formulario 1'!M1161))"),"1 a 2 veces por semana")</f>
        <v>1 a 2 veces por semana</v>
      </c>
      <c r="N1161" s="7">
        <f t="shared" si="1"/>
        <v>2025</v>
      </c>
      <c r="O1161" s="7" t="str">
        <f t="shared" si="2"/>
        <v>agosto</v>
      </c>
      <c r="P1161" s="7" t="s">
        <v>6457</v>
      </c>
    </row>
    <row r="1162">
      <c r="A1162" s="19">
        <f>'Respuestas de formulario 1'!A1162</f>
        <v>45887.80779</v>
      </c>
      <c r="B1162" s="7" t="str">
        <f>'Respuestas de formulario 1'!B1162</f>
        <v>de Ipola </v>
      </c>
      <c r="C1162" s="7" t="str">
        <f>'Respuestas de formulario 1'!C1162</f>
        <v>Matías </v>
      </c>
      <c r="D1162" s="7" t="str">
        <f>'Respuestas de formulario 1'!D1162</f>
        <v>matiasdeipola@gmail.com</v>
      </c>
      <c r="E1162" s="20">
        <f>'Respuestas de formulario 1'!E1162</f>
        <v>38803</v>
      </c>
      <c r="F1162" s="7">
        <f>'Respuestas de formulario 1'!F1162</f>
        <v>46507913</v>
      </c>
      <c r="G1162" s="7" t="str">
        <f>IFERROR(__xludf.DUMMYFUNCTION("IF('Respuestas de formulario 1'!G1162="""","""",IF(LEFT(REGEXREPLACE(TO_TEXT('Respuestas de formulario 1'!G1162),""[^0-9]"",""""),2)=""54"",""+""&amp;REGEXREPLACE(TO_TEXT('Respuestas de formulario 1'!G1162),""[^0-9]"",""""),""+54""&amp;REGEXREPLACE(TO_TEXT('Respu"&amp;"estas de formulario 1'!G1162),""[^0-9]"","""")))"),"+543516328707")</f>
        <v>+543516328707</v>
      </c>
      <c r="H1162" s="7">
        <f>'Respuestas de formulario 1'!S1162</f>
        <v>2025</v>
      </c>
      <c r="I1162" s="7" t="str">
        <f>IFERROR(__xludf.DUMMYFUNCTION("IF('Respuestas de formulario 1'!I1162="""","""",TO_TEXT('Respuestas de formulario 1'!I1162))"),"Particular")</f>
        <v>Particular</v>
      </c>
      <c r="J1162" s="7" t="str">
        <f>IFERROR(__xludf.DUMMYFUNCTION("IF('Respuestas de formulario 1'!J1162&lt;&gt;"""",UPPER(TRIM(TO_TEXT('Respuestas de formulario 1'!J1162))),IF('Respuestas de formulario 1'!O1162&lt;&gt;"""",UPPER(TRIM(TO_TEXT('Respuestas de formulario 1'!O1162))),""""))"),"")</f>
        <v/>
      </c>
      <c r="K1162" s="7" t="str">
        <f>IFERROR(__xludf.DUMMYFUNCTION("IF('Respuestas de formulario 1'!K1162="""","""",TO_TEXT('Respuestas de formulario 1'!K1162))"),"Si")</f>
        <v>Si</v>
      </c>
      <c r="L1162" s="7" t="str">
        <f>IFERROR(__xludf.DUMMYFUNCTION("IF('Respuestas de formulario 1'!L1162="""","""",TO_TEXT('Respuestas de formulario 1'!L1162))"),"Atletismo en pista")</f>
        <v>Atletismo en pista</v>
      </c>
      <c r="M1162" s="7" t="str">
        <f>IFERROR(__xludf.DUMMYFUNCTION("IF('Respuestas de formulario 1'!M1162="""","""",TO_TEXT('Respuestas de formulario 1'!M1162))"),"6 a 7 veces por semana")</f>
        <v>6 a 7 veces por semana</v>
      </c>
      <c r="N1162" s="7">
        <f t="shared" si="1"/>
        <v>2025</v>
      </c>
      <c r="O1162" s="7" t="str">
        <f t="shared" si="2"/>
        <v>agosto</v>
      </c>
      <c r="P1162" s="7" t="s">
        <v>6459</v>
      </c>
    </row>
    <row r="1163">
      <c r="A1163" s="19">
        <f>'Respuestas de formulario 1'!A1163</f>
        <v>45887.89474</v>
      </c>
      <c r="B1163" s="7" t="str">
        <f>'Respuestas de formulario 1'!B1163</f>
        <v>BERETTA </v>
      </c>
      <c r="C1163" s="7" t="str">
        <f>'Respuestas de formulario 1'!C1163</f>
        <v>Vanesa </v>
      </c>
      <c r="D1163" s="7" t="str">
        <f>'Respuestas de formulario 1'!D1163</f>
        <v>vanberetta@hotmail.com</v>
      </c>
      <c r="E1163" s="20">
        <f>'Respuestas de formulario 1'!E1163</f>
        <v>28800</v>
      </c>
      <c r="F1163" s="7">
        <f>'Respuestas de formulario 1'!F1163</f>
        <v>26759497</v>
      </c>
      <c r="G1163" s="7" t="str">
        <f>IFERROR(__xludf.DUMMYFUNCTION("IF('Respuestas de formulario 1'!G1163="""","""",IF(LEFT(REGEXREPLACE(TO_TEXT('Respuestas de formulario 1'!G1163),""[^0-9]"",""""),2)=""54"",""+""&amp;REGEXREPLACE(TO_TEXT('Respuestas de formulario 1'!G1163),""[^0-9]"",""""),""+54""&amp;REGEXREPLACE(TO_TEXT('Respu"&amp;"estas de formulario 1'!G1163),""[^0-9]"","""")))"),"+543516139244")</f>
        <v>+543516139244</v>
      </c>
      <c r="H1163" s="7">
        <f>'Respuestas de formulario 1'!S1163</f>
        <v>2025</v>
      </c>
      <c r="I1163" s="7" t="str">
        <f>IFERROR(__xludf.DUMMYFUNCTION("IF('Respuestas de formulario 1'!I1163="""","""",TO_TEXT('Respuestas de formulario 1'!I1163))"),"Particular")</f>
        <v>Particular</v>
      </c>
      <c r="J1163" s="7" t="str">
        <f>IFERROR(__xludf.DUMMYFUNCTION("IF('Respuestas de formulario 1'!J1163&lt;&gt;"""",UPPER(TRIM(TO_TEXT('Respuestas de formulario 1'!J1163))),IF('Respuestas de formulario 1'!O1163&lt;&gt;"""",UPPER(TRIM(TO_TEXT('Respuestas de formulario 1'!O1163))),""""))"),"")</f>
        <v/>
      </c>
      <c r="K1163" s="7" t="str">
        <f>IFERROR(__xludf.DUMMYFUNCTION("IF('Respuestas de formulario 1'!K1163="""","""",TO_TEXT('Respuestas de formulario 1'!K1163))"),"Si")</f>
        <v>Si</v>
      </c>
      <c r="L1163" s="7" t="str">
        <f>IFERROR(__xludf.DUMMYFUNCTION("IF('Respuestas de formulario 1'!L1163="""","""",TO_TEXT('Respuestas de formulario 1'!L1163))"),"Atletismo ")</f>
        <v>Atletismo </v>
      </c>
      <c r="M1163" s="7" t="str">
        <f>IFERROR(__xludf.DUMMYFUNCTION("IF('Respuestas de formulario 1'!M1163="""","""",TO_TEXT('Respuestas de formulario 1'!M1163))"),"6 a 7 veces por semana")</f>
        <v>6 a 7 veces por semana</v>
      </c>
      <c r="N1163" s="7">
        <f t="shared" si="1"/>
        <v>2025</v>
      </c>
      <c r="O1163" s="7" t="str">
        <f t="shared" si="2"/>
        <v>agosto</v>
      </c>
      <c r="P1163" s="7" t="s">
        <v>6461</v>
      </c>
    </row>
    <row r="1164">
      <c r="A1164" s="19">
        <f>'Respuestas de formulario 1'!A1164</f>
        <v>45888.45314</v>
      </c>
      <c r="B1164" s="7" t="str">
        <f>'Respuestas de formulario 1'!B1164</f>
        <v>Albarracin </v>
      </c>
      <c r="C1164" s="7" t="str">
        <f>'Respuestas de formulario 1'!C1164</f>
        <v>Abril </v>
      </c>
      <c r="D1164" s="7" t="str">
        <f>'Respuestas de formulario 1'!D1164</f>
        <v>abarracinabril.12@gmail.com </v>
      </c>
      <c r="E1164" s="20">
        <f>'Respuestas de formulario 1'!E1164</f>
        <v>38855</v>
      </c>
      <c r="F1164" s="7">
        <f>'Respuestas de formulario 1'!F1164</f>
        <v>46586539</v>
      </c>
      <c r="G1164" s="7" t="str">
        <f>IFERROR(__xludf.DUMMYFUNCTION("IF('Respuestas de formulario 1'!G1164="""","""",IF(LEFT(REGEXREPLACE(TO_TEXT('Respuestas de formulario 1'!G1164),""[^0-9]"",""""),2)=""54"",""+""&amp;REGEXREPLACE(TO_TEXT('Respuestas de formulario 1'!G1164),""[^0-9]"",""""),""+54""&amp;REGEXREPLACE(TO_TEXT('Respu"&amp;"estas de formulario 1'!G1164),""[^0-9]"","""")))"),"+543512304722")</f>
        <v>+543512304722</v>
      </c>
      <c r="H1164" s="7">
        <f>'Respuestas de formulario 1'!S1164</f>
        <v>2025</v>
      </c>
      <c r="I1164" s="7" t="str">
        <f>IFERROR(__xludf.DUMMYFUNCTION("IF('Respuestas de formulario 1'!I1164="""","""",TO_TEXT('Respuestas de formulario 1'!I1164))"),"Obra social")</f>
        <v>Obra social</v>
      </c>
      <c r="J1164" s="7" t="str">
        <f>IFERROR(__xludf.DUMMYFUNCTION("IF('Respuestas de formulario 1'!J1164&lt;&gt;"""",UPPER(TRIM(TO_TEXT('Respuestas de formulario 1'!J1164))),IF('Respuestas de formulario 1'!O1164&lt;&gt;"""",UPPER(TRIM(TO_TEXT('Respuestas de formulario 1'!O1164))),""""))"),"BOREAL PLAN MAGNUM")</f>
        <v>BOREAL PLAN MAGNUM</v>
      </c>
      <c r="K1164" s="7" t="str">
        <f>IFERROR(__xludf.DUMMYFUNCTION("IF('Respuestas de formulario 1'!K1164="""","""",TO_TEXT('Respuestas de formulario 1'!K1164))"),"No")</f>
        <v>No</v>
      </c>
      <c r="L1164" s="7" t="str">
        <f>IFERROR(__xludf.DUMMYFUNCTION("IF('Respuestas de formulario 1'!L1164="""","""",TO_TEXT('Respuestas de formulario 1'!L1164))"),"")</f>
        <v/>
      </c>
      <c r="M1164" s="7" t="str">
        <f>IFERROR(__xludf.DUMMYFUNCTION("IF('Respuestas de formulario 1'!M1164="""","""",TO_TEXT('Respuestas de formulario 1'!M1164))"),"")</f>
        <v/>
      </c>
      <c r="N1164" s="7">
        <f t="shared" si="1"/>
        <v>2025</v>
      </c>
      <c r="O1164" s="7" t="str">
        <f t="shared" si="2"/>
        <v>agosto</v>
      </c>
      <c r="P1164" s="7" t="s">
        <v>6463</v>
      </c>
    </row>
    <row r="1165">
      <c r="A1165" s="19">
        <f>'Respuestas de formulario 1'!A1165</f>
        <v>45888.83253</v>
      </c>
      <c r="B1165" s="7" t="str">
        <f>'Respuestas de formulario 1'!B1165</f>
        <v>pignata</v>
      </c>
      <c r="C1165" s="7" t="str">
        <f>'Respuestas de formulario 1'!C1165</f>
        <v>franco</v>
      </c>
      <c r="D1165" s="7" t="str">
        <f>'Respuestas de formulario 1'!D1165</f>
        <v>francopignata1@gmail.com</v>
      </c>
      <c r="E1165" s="20">
        <f>'Respuestas de formulario 1'!E1165</f>
        <v>29724</v>
      </c>
      <c r="F1165" s="7">
        <f>'Respuestas de formulario 1'!F1165</f>
        <v>28849291</v>
      </c>
      <c r="G1165" s="7" t="str">
        <f>IFERROR(__xludf.DUMMYFUNCTION("IF('Respuestas de formulario 1'!G1165="""","""",IF(LEFT(REGEXREPLACE(TO_TEXT('Respuestas de formulario 1'!G1165),""[^0-9]"",""""),2)=""54"",""+""&amp;REGEXREPLACE(TO_TEXT('Respuestas de formulario 1'!G1165),""[^0-9]"",""""),""+54""&amp;REGEXREPLACE(TO_TEXT('Respu"&amp;"estas de formulario 1'!G1165),""[^0-9]"","""")))"),"+543515938082")</f>
        <v>+543515938082</v>
      </c>
      <c r="H1165" s="7">
        <f>'Respuestas de formulario 1'!S1165</f>
        <v>2025</v>
      </c>
      <c r="I1165" s="7" t="str">
        <f>IFERROR(__xludf.DUMMYFUNCTION("IF('Respuestas de formulario 1'!I1165="""","""",TO_TEXT('Respuestas de formulario 1'!I1165))"),"Obra social")</f>
        <v>Obra social</v>
      </c>
      <c r="J1165" s="7" t="str">
        <f>IFERROR(__xludf.DUMMYFUNCTION("IF('Respuestas de formulario 1'!J1165&lt;&gt;"""",UPPER(TRIM(TO_TEXT('Respuestas de formulario 1'!J1165))),IF('Respuestas de formulario 1'!O1165&lt;&gt;"""",UPPER(TRIM(TO_TEXT('Respuestas de formulario 1'!O1165))),""""))"),"")</f>
        <v/>
      </c>
      <c r="K1165" s="7" t="str">
        <f>IFERROR(__xludf.DUMMYFUNCTION("IF('Respuestas de formulario 1'!K1165="""","""",TO_TEXT('Respuestas de formulario 1'!K1165))"),"Si")</f>
        <v>Si</v>
      </c>
      <c r="L1165" s="7" t="str">
        <f>IFERROR(__xludf.DUMMYFUNCTION("IF('Respuestas de formulario 1'!L1165="""","""",TO_TEXT('Respuestas de formulario 1'!L1165))"),"Fútbol")</f>
        <v>Fútbol</v>
      </c>
      <c r="M1165" s="7" t="str">
        <f>IFERROR(__xludf.DUMMYFUNCTION("IF('Respuestas de formulario 1'!M1165="""","""",TO_TEXT('Respuestas de formulario 1'!M1165))"),"1 a 2 veces por semana")</f>
        <v>1 a 2 veces por semana</v>
      </c>
      <c r="N1165" s="7">
        <f t="shared" si="1"/>
        <v>2025</v>
      </c>
      <c r="O1165" s="7" t="str">
        <f t="shared" si="2"/>
        <v>agosto</v>
      </c>
      <c r="P1165" s="7" t="s">
        <v>6465</v>
      </c>
    </row>
    <row r="1166">
      <c r="A1166" s="19">
        <f>'Respuestas de formulario 1'!A1166</f>
        <v>45889.39277</v>
      </c>
      <c r="B1166" s="7" t="str">
        <f>'Respuestas de formulario 1'!B1166</f>
        <v>Spaccesi</v>
      </c>
      <c r="C1166" s="7" t="str">
        <f>'Respuestas de formulario 1'!C1166</f>
        <v>Virginia</v>
      </c>
      <c r="D1166" s="23" t="str">
        <f>'Respuestas de formulario 1'!D1166</f>
        <v>virginiaspaccesi@hotmail.com</v>
      </c>
      <c r="E1166" s="20">
        <f>'Respuestas de formulario 1'!E1166</f>
        <v>28432</v>
      </c>
      <c r="F1166" s="7">
        <f>'Respuestas de formulario 1'!F1166</f>
        <v>26178799</v>
      </c>
      <c r="G1166" s="7" t="str">
        <f>IFERROR(__xludf.DUMMYFUNCTION("IF('Respuestas de formulario 1'!G1166="""","""",IF(LEFT(REGEXREPLACE(TO_TEXT('Respuestas de formulario 1'!G1166),""[^0-9]"",""""),2)=""54"",""+""&amp;REGEXREPLACE(TO_TEXT('Respuestas de formulario 1'!G1166),""[^0-9]"",""""),""+54""&amp;REGEXREPLACE(TO_TEXT('Respu"&amp;"estas de formulario 1'!G1166),""[^0-9]"","""")))"),"+54351156152843")</f>
        <v>+54351156152843</v>
      </c>
      <c r="H1166" s="7">
        <f>'Respuestas de formulario 1'!S1166</f>
        <v>2025</v>
      </c>
      <c r="I1166" s="7" t="str">
        <f>IFERROR(__xludf.DUMMYFUNCTION("IF('Respuestas de formulario 1'!I1166="""","""",TO_TEXT('Respuestas de formulario 1'!I1166))"),"Obra social")</f>
        <v>Obra social</v>
      </c>
      <c r="J1166" s="7" t="str">
        <f>IFERROR(__xludf.DUMMYFUNCTION("IF('Respuestas de formulario 1'!J1166&lt;&gt;"""",UPPER(TRIM(TO_TEXT('Respuestas de formulario 1'!J1166))),IF('Respuestas de formulario 1'!O1166&lt;&gt;"""",UPPER(TRIM(TO_TEXT('Respuestas de formulario 1'!O1166))),""""))"),"APROSS")</f>
        <v>APROSS</v>
      </c>
      <c r="K1166" s="7" t="str">
        <f>IFERROR(__xludf.DUMMYFUNCTION("IF('Respuestas de formulario 1'!K1166="""","""",TO_TEXT('Respuestas de formulario 1'!K1166))"),"Si")</f>
        <v>Si</v>
      </c>
      <c r="L1166" s="7" t="str">
        <f>IFERROR(__xludf.DUMMYFUNCTION("IF('Respuestas de formulario 1'!L1166="""","""",TO_TEXT('Respuestas de formulario 1'!L1166))"),"Gimnasio")</f>
        <v>Gimnasio</v>
      </c>
      <c r="M1166" s="7" t="str">
        <f>IFERROR(__xludf.DUMMYFUNCTION("IF('Respuestas de formulario 1'!M1166="""","""",TO_TEXT('Respuestas de formulario 1'!M1166))"),"3 a 5 veces por semana")</f>
        <v>3 a 5 veces por semana</v>
      </c>
      <c r="N1166" s="7">
        <f t="shared" si="1"/>
        <v>2025</v>
      </c>
      <c r="O1166" s="7" t="str">
        <f t="shared" si="2"/>
        <v>agosto</v>
      </c>
      <c r="P1166" s="7" t="s">
        <v>6467</v>
      </c>
    </row>
    <row r="1167">
      <c r="A1167" s="19">
        <f>'Respuestas de formulario 1'!A1167</f>
        <v>45890.38107</v>
      </c>
      <c r="B1167" s="7" t="str">
        <f>'Respuestas de formulario 1'!B1167</f>
        <v>Volmaro</v>
      </c>
      <c r="C1167" s="7" t="str">
        <f>'Respuestas de formulario 1'!C1167</f>
        <v>Lucas</v>
      </c>
      <c r="D1167" s="7" t="str">
        <f>'Respuestas de formulario 1'!D1167</f>
        <v>lucas.volmaro@gmail.com</v>
      </c>
      <c r="E1167" s="20">
        <f>'Respuestas de formulario 1'!E1167</f>
        <v>45890</v>
      </c>
      <c r="F1167" s="7">
        <f>'Respuestas de formulario 1'!F1167</f>
        <v>36372550</v>
      </c>
      <c r="G1167" s="7" t="str">
        <f>IFERROR(__xludf.DUMMYFUNCTION("IF('Respuestas de formulario 1'!G1167="""","""",IF(LEFT(REGEXREPLACE(TO_TEXT('Respuestas de formulario 1'!G1167),""[^0-9]"",""""),2)=""54"",""+""&amp;REGEXREPLACE(TO_TEXT('Respuestas de formulario 1'!G1167),""[^0-9]"",""""),""+54""&amp;REGEXREPLACE(TO_TEXT('Respu"&amp;"estas de formulario 1'!G1167),""[^0-9]"","""")))"),"+543535634687")</f>
        <v>+543535634687</v>
      </c>
      <c r="H1167" s="7">
        <f>'Respuestas de formulario 1'!S1167</f>
        <v>2025</v>
      </c>
      <c r="I1167" s="7" t="str">
        <f>IFERROR(__xludf.DUMMYFUNCTION("IF('Respuestas de formulario 1'!I1167="""","""",TO_TEXT('Respuestas de formulario 1'!I1167))"),"Particular")</f>
        <v>Particular</v>
      </c>
      <c r="J1167" s="7" t="str">
        <f>IFERROR(__xludf.DUMMYFUNCTION("IF('Respuestas de formulario 1'!J1167&lt;&gt;"""",UPPER(TRIM(TO_TEXT('Respuestas de formulario 1'!J1167))),IF('Respuestas de formulario 1'!O1167&lt;&gt;"""",UPPER(TRIM(TO_TEXT('Respuestas de formulario 1'!O1167))),""""))"),"")</f>
        <v/>
      </c>
      <c r="K1167" s="7" t="str">
        <f>IFERROR(__xludf.DUMMYFUNCTION("IF('Respuestas de formulario 1'!K1167="""","""",TO_TEXT('Respuestas de formulario 1'!K1167))"),"Si")</f>
        <v>Si</v>
      </c>
      <c r="L1167" s="7" t="str">
        <f>IFERROR(__xludf.DUMMYFUNCTION("IF('Respuestas de formulario 1'!L1167="""","""",TO_TEXT('Respuestas de formulario 1'!L1167))"),"Fútbol")</f>
        <v>Fútbol</v>
      </c>
      <c r="M1167" s="7" t="str">
        <f>IFERROR(__xludf.DUMMYFUNCTION("IF('Respuestas de formulario 1'!M1167="""","""",TO_TEXT('Respuestas de formulario 1'!M1167))"),"1 a 2 veces por semana")</f>
        <v>1 a 2 veces por semana</v>
      </c>
      <c r="N1167" s="7">
        <f t="shared" si="1"/>
        <v>2025</v>
      </c>
      <c r="O1167" s="7" t="str">
        <f t="shared" si="2"/>
        <v>agosto</v>
      </c>
      <c r="P1167" s="7" t="s">
        <v>6469</v>
      </c>
    </row>
    <row r="1168">
      <c r="A1168" s="19">
        <f>'Respuestas de formulario 1'!A1168</f>
        <v>45890.46332</v>
      </c>
      <c r="B1168" s="7" t="str">
        <f>'Respuestas de formulario 1'!B1168</f>
        <v>Bazan</v>
      </c>
      <c r="C1168" s="7" t="str">
        <f>'Respuestas de formulario 1'!C1168</f>
        <v>Pablo </v>
      </c>
      <c r="D1168" s="7" t="str">
        <f>'Respuestas de formulario 1'!D1168</f>
        <v>pablosebabazan@gmail.com</v>
      </c>
      <c r="E1168" s="20">
        <f>'Respuestas de formulario 1'!E1168</f>
        <v>31175</v>
      </c>
      <c r="F1168" s="7">
        <f>'Respuestas de formulario 1'!F1168</f>
        <v>31558578</v>
      </c>
      <c r="G1168" s="7" t="str">
        <f>IFERROR(__xludf.DUMMYFUNCTION("IF('Respuestas de formulario 1'!G1168="""","""",IF(LEFT(REGEXREPLACE(TO_TEXT('Respuestas de formulario 1'!G1168),""[^0-9]"",""""),2)=""54"",""+""&amp;REGEXREPLACE(TO_TEXT('Respuestas de formulario 1'!G1168),""[^0-9]"",""""),""+54""&amp;REGEXREPLACE(TO_TEXT('Respu"&amp;"estas de formulario 1'!G1168),""[^0-9]"","""")))"),"+543512422189")</f>
        <v>+543512422189</v>
      </c>
      <c r="H1168" s="7">
        <f>'Respuestas de formulario 1'!S1168</f>
        <v>2025</v>
      </c>
      <c r="I1168" s="7" t="str">
        <f>IFERROR(__xludf.DUMMYFUNCTION("IF('Respuestas de formulario 1'!I1168="""","""",TO_TEXT('Respuestas de formulario 1'!I1168))"),"Obra social")</f>
        <v>Obra social</v>
      </c>
      <c r="J1168" s="7" t="str">
        <f>IFERROR(__xludf.DUMMYFUNCTION("IF('Respuestas de formulario 1'!J1168&lt;&gt;"""",UPPER(TRIM(TO_TEXT('Respuestas de formulario 1'!J1168))),IF('Respuestas de formulario 1'!O1168&lt;&gt;"""",UPPER(TRIM(TO_TEXT('Respuestas de formulario 1'!O1168))),""""))"),"APROSS")</f>
        <v>APROSS</v>
      </c>
      <c r="K1168" s="7" t="str">
        <f>IFERROR(__xludf.DUMMYFUNCTION("IF('Respuestas de formulario 1'!K1168="""","""",TO_TEXT('Respuestas de formulario 1'!K1168))"),"Si")</f>
        <v>Si</v>
      </c>
      <c r="L1168" s="7" t="str">
        <f>IFERROR(__xludf.DUMMYFUNCTION("IF('Respuestas de formulario 1'!L1168="""","""",TO_TEXT('Respuestas de formulario 1'!L1168))"),"Karate")</f>
        <v>Karate</v>
      </c>
      <c r="M1168" s="7" t="str">
        <f>IFERROR(__xludf.DUMMYFUNCTION("IF('Respuestas de formulario 1'!M1168="""","""",TO_TEXT('Respuestas de formulario 1'!M1168))"),"3 a 5 veces por semana")</f>
        <v>3 a 5 veces por semana</v>
      </c>
      <c r="N1168" s="7">
        <f t="shared" si="1"/>
        <v>2025</v>
      </c>
      <c r="O1168" s="7" t="str">
        <f t="shared" si="2"/>
        <v>agosto</v>
      </c>
      <c r="P1168" s="7" t="s">
        <v>6471</v>
      </c>
    </row>
    <row r="1169">
      <c r="A1169" s="19">
        <f>'Respuestas de formulario 1'!A1169</f>
        <v>45890.47981</v>
      </c>
      <c r="B1169" s="7" t="str">
        <f>'Respuestas de formulario 1'!B1169</f>
        <v>Gerasimchuk </v>
      </c>
      <c r="C1169" s="7" t="str">
        <f>'Respuestas de formulario 1'!C1169</f>
        <v>Ana Milena </v>
      </c>
      <c r="D1169" s="7" t="str">
        <f>'Respuestas de formulario 1'!D1169</f>
        <v>Silviaelenacuna@gmail.com</v>
      </c>
      <c r="E1169" s="20">
        <f>'Respuestas de formulario 1'!E1169</f>
        <v>40939</v>
      </c>
      <c r="F1169" s="7">
        <f>'Respuestas de formulario 1'!F1169</f>
        <v>52051647</v>
      </c>
      <c r="G1169" s="7" t="str">
        <f>IFERROR(__xludf.DUMMYFUNCTION("IF('Respuestas de formulario 1'!G1169="""","""",IF(LEFT(REGEXREPLACE(TO_TEXT('Respuestas de formulario 1'!G1169),""[^0-9]"",""""),2)=""54"",""+""&amp;REGEXREPLACE(TO_TEXT('Respuestas de formulario 1'!G1169),""[^0-9]"",""""),""+54""&amp;REGEXREPLACE(TO_TEXT('Respu"&amp;"estas de formulario 1'!G1169),""[^0-9]"","""")))"),"+543512174808")</f>
        <v>+543512174808</v>
      </c>
      <c r="H1169" s="7">
        <f>'Respuestas de formulario 1'!S1169</f>
        <v>2025</v>
      </c>
      <c r="I1169" s="7" t="str">
        <f>IFERROR(__xludf.DUMMYFUNCTION("IF('Respuestas de formulario 1'!I1169="""","""",TO_TEXT('Respuestas de formulario 1'!I1169))"),"Particular")</f>
        <v>Particular</v>
      </c>
      <c r="J1169" s="7" t="str">
        <f>IFERROR(__xludf.DUMMYFUNCTION("IF('Respuestas de formulario 1'!J1169&lt;&gt;"""",UPPER(TRIM(TO_TEXT('Respuestas de formulario 1'!J1169))),IF('Respuestas de formulario 1'!O1169&lt;&gt;"""",UPPER(TRIM(TO_TEXT('Respuestas de formulario 1'!O1169))),""""))"),"")</f>
        <v/>
      </c>
      <c r="K1169" s="7" t="str">
        <f>IFERROR(__xludf.DUMMYFUNCTION("IF('Respuestas de formulario 1'!K1169="""","""",TO_TEXT('Respuestas de formulario 1'!K1169))"),"Si")</f>
        <v>Si</v>
      </c>
      <c r="L1169" s="7" t="str">
        <f>IFERROR(__xludf.DUMMYFUNCTION("IF('Respuestas de formulario 1'!L1169="""","""",TO_TEXT('Respuestas de formulario 1'!L1169))"),"Baile")</f>
        <v>Baile</v>
      </c>
      <c r="M1169" s="7" t="str">
        <f>IFERROR(__xludf.DUMMYFUNCTION("IF('Respuestas de formulario 1'!M1169="""","""",TO_TEXT('Respuestas de formulario 1'!M1169))"),"1 a 2 veces por semana")</f>
        <v>1 a 2 veces por semana</v>
      </c>
      <c r="N1169" s="7">
        <f t="shared" si="1"/>
        <v>2025</v>
      </c>
      <c r="O1169" s="7" t="str">
        <f t="shared" si="2"/>
        <v>agosto</v>
      </c>
      <c r="P1169" s="7" t="s">
        <v>6473</v>
      </c>
    </row>
    <row r="1170">
      <c r="A1170" s="19">
        <f>'Respuestas de formulario 1'!A1170</f>
        <v>45890.61411</v>
      </c>
      <c r="B1170" s="7" t="str">
        <f>'Respuestas de formulario 1'!B1170</f>
        <v>Lanfranchi </v>
      </c>
      <c r="C1170" s="7" t="str">
        <f>'Respuestas de formulario 1'!C1170</f>
        <v>Micaela Gisel</v>
      </c>
      <c r="D1170" s="7" t="str">
        <f>'Respuestas de formulario 1'!D1170</f>
        <v>Micalanfranchi@gmail.com</v>
      </c>
      <c r="E1170" s="20">
        <f>'Respuestas de formulario 1'!E1170</f>
        <v>34360</v>
      </c>
      <c r="F1170" s="7">
        <f>'Respuestas de formulario 1'!F1170</f>
        <v>38002106</v>
      </c>
      <c r="G1170" s="7" t="str">
        <f>IFERROR(__xludf.DUMMYFUNCTION("IF('Respuestas de formulario 1'!G1170="""","""",IF(LEFT(REGEXREPLACE(TO_TEXT('Respuestas de formulario 1'!G1170),""[^0-9]"",""""),2)=""54"",""+""&amp;REGEXREPLACE(TO_TEXT('Respuestas de formulario 1'!G1170),""[^0-9]"",""""),""+54""&amp;REGEXREPLACE(TO_TEXT('Respu"&amp;"estas de formulario 1'!G1170),""[^0-9]"","""")))"),"+543517645188")</f>
        <v>+543517645188</v>
      </c>
      <c r="H1170" s="7">
        <f>'Respuestas de formulario 1'!S1170</f>
        <v>2025</v>
      </c>
      <c r="I1170" s="7" t="str">
        <f>IFERROR(__xludf.DUMMYFUNCTION("IF('Respuestas de formulario 1'!I1170="""","""",TO_TEXT('Respuestas de formulario 1'!I1170))"),"Particular")</f>
        <v>Particular</v>
      </c>
      <c r="J1170" s="7" t="str">
        <f>IFERROR(__xludf.DUMMYFUNCTION("IF('Respuestas de formulario 1'!J1170&lt;&gt;"""",UPPER(TRIM(TO_TEXT('Respuestas de formulario 1'!J1170))),IF('Respuestas de formulario 1'!O1170&lt;&gt;"""",UPPER(TRIM(TO_TEXT('Respuestas de formulario 1'!O1170))),""""))"),"")</f>
        <v/>
      </c>
      <c r="K1170" s="7" t="str">
        <f>IFERROR(__xludf.DUMMYFUNCTION("IF('Respuestas de formulario 1'!K1170="""","""",TO_TEXT('Respuestas de formulario 1'!K1170))"),"Si")</f>
        <v>Si</v>
      </c>
      <c r="L1170" s="7" t="str">
        <f>IFERROR(__xludf.DUMMYFUNCTION("IF('Respuestas de formulario 1'!L1170="""","""",TO_TEXT('Respuestas de formulario 1'!L1170))"),"Fútbol")</f>
        <v>Fútbol</v>
      </c>
      <c r="M1170" s="7" t="str">
        <f>IFERROR(__xludf.DUMMYFUNCTION("IF('Respuestas de formulario 1'!M1170="""","""",TO_TEXT('Respuestas de formulario 1'!M1170))"),"3 a 5 veces por semana")</f>
        <v>3 a 5 veces por semana</v>
      </c>
      <c r="N1170" s="7">
        <f t="shared" si="1"/>
        <v>2025</v>
      </c>
      <c r="O1170" s="7" t="str">
        <f t="shared" si="2"/>
        <v>agosto</v>
      </c>
      <c r="P1170" s="7" t="s">
        <v>6475</v>
      </c>
    </row>
    <row r="1171">
      <c r="A1171" s="19">
        <f>'Respuestas de formulario 1'!A1171</f>
        <v>45891.48679</v>
      </c>
      <c r="B1171" s="7" t="str">
        <f>'Respuestas de formulario 1'!B1171</f>
        <v>Bustamante</v>
      </c>
      <c r="C1171" s="7" t="str">
        <f>'Respuestas de formulario 1'!C1171</f>
        <v>Santiago</v>
      </c>
      <c r="D1171" s="7" t="str">
        <f>'Respuestas de formulario 1'!D1171</f>
        <v>santi.bustamante.1995@hotmail.com</v>
      </c>
      <c r="E1171" s="20">
        <f>'Respuestas de formulario 1'!E1171</f>
        <v>35062</v>
      </c>
      <c r="F1171" s="7">
        <f>'Respuestas de formulario 1'!F1171</f>
        <v>39305549</v>
      </c>
      <c r="G1171" s="7" t="str">
        <f>IFERROR(__xludf.DUMMYFUNCTION("IF('Respuestas de formulario 1'!G1171="""","""",IF(LEFT(REGEXREPLACE(TO_TEXT('Respuestas de formulario 1'!G1171),""[^0-9]"",""""),2)=""54"",""+""&amp;REGEXREPLACE(TO_TEXT('Respuestas de formulario 1'!G1171),""[^0-9]"",""""),""+54""&amp;REGEXREPLACE(TO_TEXT('Respu"&amp;"estas de formulario 1'!G1171),""[^0-9]"","""")))"),"+543513569284")</f>
        <v>+543513569284</v>
      </c>
      <c r="H1171" s="7">
        <f>'Respuestas de formulario 1'!S1171</f>
        <v>2025</v>
      </c>
      <c r="I1171" s="7" t="str">
        <f>IFERROR(__xludf.DUMMYFUNCTION("IF('Respuestas de formulario 1'!I1171="""","""",TO_TEXT('Respuestas de formulario 1'!I1171))"),"Obra social")</f>
        <v>Obra social</v>
      </c>
      <c r="J1171" s="7" t="str">
        <f>IFERROR(__xludf.DUMMYFUNCTION("IF('Respuestas de formulario 1'!J1171&lt;&gt;"""",UPPER(TRIM(TO_TEXT('Respuestas de formulario 1'!J1171))),IF('Respuestas de formulario 1'!O1171&lt;&gt;"""",UPPER(TRIM(TO_TEXT('Respuestas de formulario 1'!O1171))),""""))"),"AVALIAN")</f>
        <v>AVALIAN</v>
      </c>
      <c r="K1171" s="7" t="str">
        <f>IFERROR(__xludf.DUMMYFUNCTION("IF('Respuestas de formulario 1'!K1171="""","""",TO_TEXT('Respuestas de formulario 1'!K1171))"),"Si")</f>
        <v>Si</v>
      </c>
      <c r="L1171" s="7" t="str">
        <f>IFERROR(__xludf.DUMMYFUNCTION("IF('Respuestas de formulario 1'!L1171="""","""",TO_TEXT('Respuestas de formulario 1'!L1171))"),"Gimnasio")</f>
        <v>Gimnasio</v>
      </c>
      <c r="M1171" s="7" t="str">
        <f>IFERROR(__xludf.DUMMYFUNCTION("IF('Respuestas de formulario 1'!M1171="""","""",TO_TEXT('Respuestas de formulario 1'!M1171))"),"3 a 5 veces por semana")</f>
        <v>3 a 5 veces por semana</v>
      </c>
      <c r="N1171" s="7">
        <f t="shared" si="1"/>
        <v>2025</v>
      </c>
      <c r="O1171" s="7" t="str">
        <f t="shared" si="2"/>
        <v>agosto</v>
      </c>
      <c r="P1171" s="7" t="s">
        <v>6476</v>
      </c>
    </row>
    <row r="1172">
      <c r="A1172" s="19">
        <f>'Respuestas de formulario 1'!A1172</f>
        <v>45891.74871</v>
      </c>
      <c r="B1172" s="7" t="str">
        <f>'Respuestas de formulario 1'!B1172</f>
        <v>Arletti</v>
      </c>
      <c r="C1172" s="7" t="str">
        <f>'Respuestas de formulario 1'!C1172</f>
        <v>Agustin</v>
      </c>
      <c r="D1172" s="7" t="str">
        <f>'Respuestas de formulario 1'!D1172</f>
        <v>agustinarletti2004@gmail.com</v>
      </c>
      <c r="E1172" s="20">
        <f>'Respuestas de formulario 1'!E1172</f>
        <v>38203</v>
      </c>
      <c r="F1172" s="7">
        <f>'Respuestas de formulario 1'!F1172</f>
        <v>45792693</v>
      </c>
      <c r="G1172" s="7" t="str">
        <f>IFERROR(__xludf.DUMMYFUNCTION("IF('Respuestas de formulario 1'!G1172="""","""",IF(LEFT(REGEXREPLACE(TO_TEXT('Respuestas de formulario 1'!G1172),""[^0-9]"",""""),2)=""54"",""+""&amp;REGEXREPLACE(TO_TEXT('Respuestas de formulario 1'!G1172),""[^0-9]"",""""),""+54""&amp;REGEXREPLACE(TO_TEXT('Respu"&amp;"estas de formulario 1'!G1172),""[^0-9]"","""")))"),"+542966702231")</f>
        <v>+542966702231</v>
      </c>
      <c r="H1172" s="7">
        <f>'Respuestas de formulario 1'!S1172</f>
        <v>2025</v>
      </c>
      <c r="I1172" s="7" t="str">
        <f>IFERROR(__xludf.DUMMYFUNCTION("IF('Respuestas de formulario 1'!I1172="""","""",TO_TEXT('Respuestas de formulario 1'!I1172))"),"Particular")</f>
        <v>Particular</v>
      </c>
      <c r="J1172" s="7" t="str">
        <f>IFERROR(__xludf.DUMMYFUNCTION("IF('Respuestas de formulario 1'!J1172&lt;&gt;"""",UPPER(TRIM(TO_TEXT('Respuestas de formulario 1'!J1172))),IF('Respuestas de formulario 1'!O1172&lt;&gt;"""",UPPER(TRIM(TO_TEXT('Respuestas de formulario 1'!O1172))),""""))"),"")</f>
        <v/>
      </c>
      <c r="K1172" s="7" t="str">
        <f>IFERROR(__xludf.DUMMYFUNCTION("IF('Respuestas de formulario 1'!K1172="""","""",TO_TEXT('Respuestas de formulario 1'!K1172))"),"Si")</f>
        <v>Si</v>
      </c>
      <c r="L1172" s="7" t="str">
        <f>IFERROR(__xludf.DUMMYFUNCTION("IF('Respuestas de formulario 1'!L1172="""","""",TO_TEXT('Respuestas de formulario 1'!L1172))"),"Básquet")</f>
        <v>Básquet</v>
      </c>
      <c r="M1172" s="7" t="str">
        <f>IFERROR(__xludf.DUMMYFUNCTION("IF('Respuestas de formulario 1'!M1172="""","""",TO_TEXT('Respuestas de formulario 1'!M1172))"),"6 a 7 veces por semana")</f>
        <v>6 a 7 veces por semana</v>
      </c>
      <c r="N1172" s="7">
        <f t="shared" si="1"/>
        <v>2025</v>
      </c>
      <c r="O1172" s="7" t="str">
        <f t="shared" si="2"/>
        <v>agosto</v>
      </c>
      <c r="P1172" s="7" t="s">
        <v>6478</v>
      </c>
    </row>
    <row r="1173">
      <c r="A1173" s="19">
        <f>'Respuestas de formulario 1'!A1173</f>
        <v>45893.86682</v>
      </c>
      <c r="B1173" s="7" t="str">
        <f>'Respuestas de formulario 1'!B1173</f>
        <v>Leyes</v>
      </c>
      <c r="C1173" s="7" t="str">
        <f>'Respuestas de formulario 1'!C1173</f>
        <v>Fabian</v>
      </c>
      <c r="D1173" s="7" t="str">
        <f>'Respuestas de formulario 1'!D1173</f>
        <v/>
      </c>
      <c r="E1173" s="20">
        <f>'Respuestas de formulario 1'!E1173</f>
        <v>26419</v>
      </c>
      <c r="F1173" s="7">
        <f>'Respuestas de formulario 1'!F1173</f>
        <v>21999687</v>
      </c>
      <c r="G1173" s="7" t="str">
        <f>IFERROR(__xludf.DUMMYFUNCTION("IF('Respuestas de formulario 1'!G1173="""","""",IF(LEFT(REGEXREPLACE(TO_TEXT('Respuestas de formulario 1'!G1173),""[^0-9]"",""""),2)=""54"",""+""&amp;REGEXREPLACE(TO_TEXT('Respuestas de formulario 1'!G1173),""[^0-9]"",""""),""+54""&amp;REGEXREPLACE(TO_TEXT('Respu"&amp;"estas de formulario 1'!G1173),""[^0-9]"","""")))"),"+543512461707")</f>
        <v>+543512461707</v>
      </c>
      <c r="H1173" s="7">
        <f>'Respuestas de formulario 1'!S1173</f>
        <v>2025</v>
      </c>
      <c r="I1173" s="7" t="str">
        <f>IFERROR(__xludf.DUMMYFUNCTION("IF('Respuestas de formulario 1'!I1173="""","""",TO_TEXT('Respuestas de formulario 1'!I1173))"),"Particular")</f>
        <v>Particular</v>
      </c>
      <c r="J1173" s="7" t="str">
        <f>IFERROR(__xludf.DUMMYFUNCTION("IF('Respuestas de formulario 1'!J1173&lt;&gt;"""",UPPER(TRIM(TO_TEXT('Respuestas de formulario 1'!J1173))),IF('Respuestas de formulario 1'!O1173&lt;&gt;"""",UPPER(TRIM(TO_TEXT('Respuestas de formulario 1'!O1173))),""""))"),"")</f>
        <v/>
      </c>
      <c r="K1173" s="7" t="str">
        <f>IFERROR(__xludf.DUMMYFUNCTION("IF('Respuestas de formulario 1'!K1173="""","""",TO_TEXT('Respuestas de formulario 1'!K1173))"),"Si")</f>
        <v>Si</v>
      </c>
      <c r="L1173" s="7" t="str">
        <f>IFERROR(__xludf.DUMMYFUNCTION("IF('Respuestas de formulario 1'!L1173="""","""",TO_TEXT('Respuestas de formulario 1'!L1173))"),"Gimnasio")</f>
        <v>Gimnasio</v>
      </c>
      <c r="M1173" s="7" t="str">
        <f>IFERROR(__xludf.DUMMYFUNCTION("IF('Respuestas de formulario 1'!M1173="""","""",TO_TEXT('Respuestas de formulario 1'!M1173))"),"3 a 5 veces por semana")</f>
        <v>3 a 5 veces por semana</v>
      </c>
      <c r="N1173" s="7">
        <f t="shared" si="1"/>
        <v>2025</v>
      </c>
      <c r="O1173" s="7" t="str">
        <f t="shared" si="2"/>
        <v>agosto</v>
      </c>
      <c r="P1173" s="7" t="s">
        <v>6480</v>
      </c>
    </row>
    <row r="1174">
      <c r="A1174" s="19">
        <f>'Respuestas de formulario 1'!A1174</f>
        <v>45894.38286</v>
      </c>
      <c r="B1174" s="7" t="str">
        <f>'Respuestas de formulario 1'!B1174</f>
        <v>GARBIGLIA</v>
      </c>
      <c r="C1174" s="7" t="str">
        <f>'Respuestas de formulario 1'!C1174</f>
        <v>Lucas Sebastian</v>
      </c>
      <c r="D1174" s="7" t="str">
        <f>'Respuestas de formulario 1'!D1174</f>
        <v>lucasgarbiglia@hotmail.com</v>
      </c>
      <c r="E1174" s="20">
        <f>'Respuestas de formulario 1'!E1174</f>
        <v>29851</v>
      </c>
      <c r="F1174" s="7">
        <f>'Respuestas de formulario 1'!F1174</f>
        <v>29063127</v>
      </c>
      <c r="G1174" s="7" t="str">
        <f>IFERROR(__xludf.DUMMYFUNCTION("IF('Respuestas de formulario 1'!G1174="""","""",IF(LEFT(REGEXREPLACE(TO_TEXT('Respuestas de formulario 1'!G1174),""[^0-9]"",""""),2)=""54"",""+""&amp;REGEXREPLACE(TO_TEXT('Respuestas de formulario 1'!G1174),""[^0-9]"",""""),""+54""&amp;REGEXREPLACE(TO_TEXT('Respu"&amp;"estas de formulario 1'!G1174),""[^0-9]"","""")))"),"+543516279043")</f>
        <v>+543516279043</v>
      </c>
      <c r="H1174" s="7">
        <f>'Respuestas de formulario 1'!S1174</f>
        <v>2025</v>
      </c>
      <c r="I1174" s="7" t="str">
        <f>IFERROR(__xludf.DUMMYFUNCTION("IF('Respuestas de formulario 1'!I1174="""","""",TO_TEXT('Respuestas de formulario 1'!I1174))"),"Obra social")</f>
        <v>Obra social</v>
      </c>
      <c r="J1174" s="7" t="str">
        <f>IFERROR(__xludf.DUMMYFUNCTION("IF('Respuestas de formulario 1'!J1174&lt;&gt;"""",UPPER(TRIM(TO_TEXT('Respuestas de formulario 1'!J1174))),IF('Respuestas de formulario 1'!O1174&lt;&gt;"""",UPPER(TRIM(TO_TEXT('Respuestas de formulario 1'!O1174))),""""))"),"PREVENCIÓN")</f>
        <v>PREVENCIÓN</v>
      </c>
      <c r="K1174" s="7" t="str">
        <f>IFERROR(__xludf.DUMMYFUNCTION("IF('Respuestas de formulario 1'!K1174="""","""",TO_TEXT('Respuestas de formulario 1'!K1174))"),"Si")</f>
        <v>Si</v>
      </c>
      <c r="L1174" s="7" t="str">
        <f>IFERROR(__xludf.DUMMYFUNCTION("IF('Respuestas de formulario 1'!L1174="""","""",TO_TEXT('Respuestas de formulario 1'!L1174))"),"Gimnasio")</f>
        <v>Gimnasio</v>
      </c>
      <c r="M1174" s="7" t="str">
        <f>IFERROR(__xludf.DUMMYFUNCTION("IF('Respuestas de formulario 1'!M1174="""","""",TO_TEXT('Respuestas de formulario 1'!M1174))"),"3 a 5 veces por semana")</f>
        <v>3 a 5 veces por semana</v>
      </c>
      <c r="N1174" s="7">
        <f t="shared" si="1"/>
        <v>2025</v>
      </c>
      <c r="O1174" s="7" t="str">
        <f t="shared" si="2"/>
        <v>agosto</v>
      </c>
      <c r="P1174" s="7" t="s">
        <v>6482</v>
      </c>
    </row>
    <row r="1175">
      <c r="A1175" s="19">
        <f>'Respuestas de formulario 1'!A1175</f>
        <v>45894.47342</v>
      </c>
      <c r="B1175" s="7" t="str">
        <f>'Respuestas de formulario 1'!B1175</f>
        <v>Santamaria</v>
      </c>
      <c r="C1175" s="7" t="str">
        <f>'Respuestas de formulario 1'!C1175</f>
        <v>Ana Laura </v>
      </c>
      <c r="D1175" s="7" t="str">
        <f>'Respuestas de formulario 1'!D1175</f>
        <v>Anixsantamaria@gmail.com </v>
      </c>
      <c r="E1175" s="20">
        <f>'Respuestas de formulario 1'!E1175</f>
        <v>37398</v>
      </c>
      <c r="F1175" s="7">
        <f>'Respuestas de formulario 1'!F1175</f>
        <v>44191890</v>
      </c>
      <c r="G1175" s="7" t="str">
        <f>IFERROR(__xludf.DUMMYFUNCTION("IF('Respuestas de formulario 1'!G1175="""","""",IF(LEFT(REGEXREPLACE(TO_TEXT('Respuestas de formulario 1'!G1175),""[^0-9]"",""""),2)=""54"",""+""&amp;REGEXREPLACE(TO_TEXT('Respuestas de formulario 1'!G1175),""[^0-9]"",""""),""+54""&amp;REGEXREPLACE(TO_TEXT('Respu"&amp;"estas de formulario 1'!G1175),""[^0-9]"","""")))"),"+543515314409")</f>
        <v>+543515314409</v>
      </c>
      <c r="H1175" s="7">
        <f>'Respuestas de formulario 1'!S1175</f>
        <v>2025</v>
      </c>
      <c r="I1175" s="7" t="str">
        <f>IFERROR(__xludf.DUMMYFUNCTION("IF('Respuestas de formulario 1'!I1175="""","""",TO_TEXT('Respuestas de formulario 1'!I1175))"),"Obra social")</f>
        <v>Obra social</v>
      </c>
      <c r="J1175" s="7" t="str">
        <f>IFERROR(__xludf.DUMMYFUNCTION("IF('Respuestas de formulario 1'!J1175&lt;&gt;"""",UPPER(TRIM(TO_TEXT('Respuestas de formulario 1'!J1175))),IF('Respuestas de formulario 1'!O1175&lt;&gt;"""",UPPER(TRIM(TO_TEXT('Respuestas de formulario 1'!O1175))),""""))"),"APROSS")</f>
        <v>APROSS</v>
      </c>
      <c r="K1175" s="7" t="str">
        <f>IFERROR(__xludf.DUMMYFUNCTION("IF('Respuestas de formulario 1'!K1175="""","""",TO_TEXT('Respuestas de formulario 1'!K1175))"),"Si")</f>
        <v>Si</v>
      </c>
      <c r="L1175" s="7" t="str">
        <f>IFERROR(__xludf.DUMMYFUNCTION("IF('Respuestas de formulario 1'!L1175="""","""",TO_TEXT('Respuestas de formulario 1'!L1175))"),"Notación _Gimnasio ")</f>
        <v>Notación _Gimnasio </v>
      </c>
      <c r="M1175" s="7" t="str">
        <f>IFERROR(__xludf.DUMMYFUNCTION("IF('Respuestas de formulario 1'!M1175="""","""",TO_TEXT('Respuestas de formulario 1'!M1175))"),"3 a 5 veces por semana")</f>
        <v>3 a 5 veces por semana</v>
      </c>
      <c r="N1175" s="7">
        <f t="shared" si="1"/>
        <v>2025</v>
      </c>
      <c r="O1175" s="7" t="str">
        <f t="shared" si="2"/>
        <v>agosto</v>
      </c>
      <c r="P1175" s="7" t="s">
        <v>6484</v>
      </c>
    </row>
    <row r="1176">
      <c r="A1176" s="19">
        <f>'Respuestas de formulario 1'!A1176</f>
        <v>45894.50326</v>
      </c>
      <c r="B1176" s="7" t="str">
        <f>'Respuestas de formulario 1'!B1176</f>
        <v>Gomez</v>
      </c>
      <c r="C1176" s="7" t="str">
        <f>'Respuestas de formulario 1'!C1176</f>
        <v>Gladys </v>
      </c>
      <c r="D1176" s="7" t="str">
        <f>'Respuestas de formulario 1'!D1176</f>
        <v>glagysherminiagomez@gmail.com</v>
      </c>
      <c r="E1176" s="20">
        <f>'Respuestas de formulario 1'!E1176</f>
        <v>20020</v>
      </c>
      <c r="F1176" s="7">
        <f>'Respuestas de formulario 1'!F1176</f>
        <v>11195653</v>
      </c>
      <c r="G1176" s="7" t="str">
        <f>IFERROR(__xludf.DUMMYFUNCTION("IF('Respuestas de formulario 1'!G1176="""","""",IF(LEFT(REGEXREPLACE(TO_TEXT('Respuestas de formulario 1'!G1176),""[^0-9]"",""""),2)=""54"",""+""&amp;REGEXREPLACE(TO_TEXT('Respuestas de formulario 1'!G1176),""[^0-9]"",""""),""+54""&amp;REGEXREPLACE(TO_TEXT('Respu"&amp;"estas de formulario 1'!G1176),""[^0-9]"","""")))"),"+543516825284")</f>
        <v>+543516825284</v>
      </c>
      <c r="H1176" s="7">
        <f>'Respuestas de formulario 1'!S1176</f>
        <v>2025</v>
      </c>
      <c r="I1176" s="7" t="str">
        <f>IFERROR(__xludf.DUMMYFUNCTION("IF('Respuestas de formulario 1'!I1176="""","""",TO_TEXT('Respuestas de formulario 1'!I1176))"),"Obra social")</f>
        <v>Obra social</v>
      </c>
      <c r="J1176" s="7" t="str">
        <f>IFERROR(__xludf.DUMMYFUNCTION("IF('Respuestas de formulario 1'!J1176&lt;&gt;"""",UPPER(TRIM(TO_TEXT('Respuestas de formulario 1'!J1176))),IF('Respuestas de formulario 1'!O1176&lt;&gt;"""",UPPER(TRIM(TO_TEXT('Respuestas de formulario 1'!O1176))),""""))"),"APROSS")</f>
        <v>APROSS</v>
      </c>
      <c r="K1176" s="7" t="str">
        <f>IFERROR(__xludf.DUMMYFUNCTION("IF('Respuestas de formulario 1'!K1176="""","""",TO_TEXT('Respuestas de formulario 1'!K1176))"),"No")</f>
        <v>No</v>
      </c>
      <c r="L1176" s="7" t="str">
        <f>IFERROR(__xludf.DUMMYFUNCTION("IF('Respuestas de formulario 1'!L1176="""","""",TO_TEXT('Respuestas de formulario 1'!L1176))"),"")</f>
        <v/>
      </c>
      <c r="M1176" s="7" t="str">
        <f>IFERROR(__xludf.DUMMYFUNCTION("IF('Respuestas de formulario 1'!M1176="""","""",TO_TEXT('Respuestas de formulario 1'!M1176))"),"")</f>
        <v/>
      </c>
      <c r="N1176" s="7">
        <f t="shared" si="1"/>
        <v>2025</v>
      </c>
      <c r="O1176" s="7" t="str">
        <f t="shared" si="2"/>
        <v>agosto</v>
      </c>
      <c r="P1176" s="7" t="s">
        <v>6486</v>
      </c>
    </row>
    <row r="1177">
      <c r="A1177" s="19">
        <f>'Respuestas de formulario 1'!A1177</f>
        <v>45894.55519</v>
      </c>
      <c r="B1177" s="7" t="str">
        <f>'Respuestas de formulario 1'!B1177</f>
        <v>Matejcic</v>
      </c>
      <c r="C1177" s="7" t="str">
        <f>'Respuestas de formulario 1'!C1177</f>
        <v>Alejandro</v>
      </c>
      <c r="D1177" s="7" t="str">
        <f>'Respuestas de formulario 1'!D1177</f>
        <v>Alematejcic@yahoo.com.ar</v>
      </c>
      <c r="E1177" s="20">
        <f>'Respuestas de formulario 1'!E1177</f>
        <v>29447</v>
      </c>
      <c r="F1177" s="7">
        <f>'Respuestas de formulario 1'!F1177</f>
        <v>28272373</v>
      </c>
      <c r="G1177" s="7" t="str">
        <f>IFERROR(__xludf.DUMMYFUNCTION("IF('Respuestas de formulario 1'!G1177="""","""",IF(LEFT(REGEXREPLACE(TO_TEXT('Respuestas de formulario 1'!G1177),""[^0-9]"",""""),2)=""54"",""+""&amp;REGEXREPLACE(TO_TEXT('Respuestas de formulario 1'!G1177),""[^0-9]"",""""),""+54""&amp;REGEXREPLACE(TO_TEXT('Respu"&amp;"estas de formulario 1'!G1177),""[^0-9]"","""")))"),"+543512030983")</f>
        <v>+543512030983</v>
      </c>
      <c r="H1177" s="7">
        <f>'Respuestas de formulario 1'!S1177</f>
        <v>2025</v>
      </c>
      <c r="I1177" s="7" t="str">
        <f>IFERROR(__xludf.DUMMYFUNCTION("IF('Respuestas de formulario 1'!I1177="""","""",TO_TEXT('Respuestas de formulario 1'!I1177))"),"Particular")</f>
        <v>Particular</v>
      </c>
      <c r="J1177" s="7" t="str">
        <f>IFERROR(__xludf.DUMMYFUNCTION("IF('Respuestas de formulario 1'!J1177&lt;&gt;"""",UPPER(TRIM(TO_TEXT('Respuestas de formulario 1'!J1177))),IF('Respuestas de formulario 1'!O1177&lt;&gt;"""",UPPER(TRIM(TO_TEXT('Respuestas de formulario 1'!O1177))),""""))"),"")</f>
        <v/>
      </c>
      <c r="K1177" s="7" t="str">
        <f>IFERROR(__xludf.DUMMYFUNCTION("IF('Respuestas de formulario 1'!K1177="""","""",TO_TEXT('Respuestas de formulario 1'!K1177))"),"Si")</f>
        <v>Si</v>
      </c>
      <c r="L1177" s="7" t="str">
        <f>IFERROR(__xludf.DUMMYFUNCTION("IF('Respuestas de formulario 1'!L1177="""","""",TO_TEXT('Respuestas de formulario 1'!L1177))"),"Gimnasio")</f>
        <v>Gimnasio</v>
      </c>
      <c r="M1177" s="7" t="str">
        <f>IFERROR(__xludf.DUMMYFUNCTION("IF('Respuestas de formulario 1'!M1177="""","""",TO_TEXT('Respuestas de formulario 1'!M1177))"),"3 a 5 veces por semana")</f>
        <v>3 a 5 veces por semana</v>
      </c>
      <c r="N1177" s="7">
        <f t="shared" si="1"/>
        <v>2025</v>
      </c>
      <c r="O1177" s="7" t="str">
        <f t="shared" si="2"/>
        <v>agosto</v>
      </c>
      <c r="P1177" s="7" t="s">
        <v>6488</v>
      </c>
    </row>
    <row r="1178">
      <c r="A1178" s="19">
        <f>'Respuestas de formulario 1'!A1178</f>
        <v>45894.85984</v>
      </c>
      <c r="B1178" s="7" t="str">
        <f>'Respuestas de formulario 1'!B1178</f>
        <v>Barbero Gatica</v>
      </c>
      <c r="C1178" s="7" t="str">
        <f>'Respuestas de formulario 1'!C1178</f>
        <v>Bautista</v>
      </c>
      <c r="D1178" s="7" t="str">
        <f>'Respuestas de formulario 1'!D1178</f>
        <v>barberogaticabautista@gmail.com</v>
      </c>
      <c r="E1178" s="20">
        <f>'Respuestas de formulario 1'!E1178</f>
        <v>39045</v>
      </c>
      <c r="F1178" s="7">
        <f>'Respuestas de formulario 1'!F1178</f>
        <v>47351636</v>
      </c>
      <c r="G1178" s="7" t="str">
        <f>IFERROR(__xludf.DUMMYFUNCTION("IF('Respuestas de formulario 1'!G1178="""","""",IF(LEFT(REGEXREPLACE(TO_TEXT('Respuestas de formulario 1'!G1178),""[^0-9]"",""""),2)=""54"",""+""&amp;REGEXREPLACE(TO_TEXT('Respuestas de formulario 1'!G1178),""[^0-9]"",""""),""+54""&amp;REGEXREPLACE(TO_TEXT('Respu"&amp;"estas de formulario 1'!G1178),""[^0-9]"","""")))"),"+543515306105")</f>
        <v>+543515306105</v>
      </c>
      <c r="H1178" s="7">
        <f>'Respuestas de formulario 1'!S1178</f>
        <v>2025</v>
      </c>
      <c r="I1178" s="7" t="str">
        <f>IFERROR(__xludf.DUMMYFUNCTION("IF('Respuestas de formulario 1'!I1178="""","""",TO_TEXT('Respuestas de formulario 1'!I1178))"),"Obra social")</f>
        <v>Obra social</v>
      </c>
      <c r="J1178" s="7" t="str">
        <f>IFERROR(__xludf.DUMMYFUNCTION("IF('Respuestas de formulario 1'!J1178&lt;&gt;"""",UPPER(TRIM(TO_TEXT('Respuestas de formulario 1'!J1178))),IF('Respuestas de formulario 1'!O1178&lt;&gt;"""",UPPER(TRIM(TO_TEXT('Respuestas de formulario 1'!O1178))),""""))"),"APROSS")</f>
        <v>APROSS</v>
      </c>
      <c r="K1178" s="7" t="str">
        <f>IFERROR(__xludf.DUMMYFUNCTION("IF('Respuestas de formulario 1'!K1178="""","""",TO_TEXT('Respuestas de formulario 1'!K1178))"),"Si")</f>
        <v>Si</v>
      </c>
      <c r="L1178" s="7" t="str">
        <f>IFERROR(__xludf.DUMMYFUNCTION("IF('Respuestas de formulario 1'!L1178="""","""",TO_TEXT('Respuestas de formulario 1'!L1178))"),"Voley")</f>
        <v>Voley</v>
      </c>
      <c r="M1178" s="7" t="str">
        <f>IFERROR(__xludf.DUMMYFUNCTION("IF('Respuestas de formulario 1'!M1178="""","""",TO_TEXT('Respuestas de formulario 1'!M1178))"),"3 a 5 veces por semana")</f>
        <v>3 a 5 veces por semana</v>
      </c>
      <c r="N1178" s="7">
        <f t="shared" si="1"/>
        <v>2025</v>
      </c>
      <c r="O1178" s="7" t="str">
        <f t="shared" si="2"/>
        <v>agosto</v>
      </c>
      <c r="P1178" s="7" t="s">
        <v>4601</v>
      </c>
    </row>
    <row r="1179">
      <c r="A1179" s="19">
        <f>'Respuestas de formulario 1'!A1179</f>
        <v>45894.88507</v>
      </c>
      <c r="B1179" s="7" t="str">
        <f>'Respuestas de formulario 1'!B1179</f>
        <v>Mammana</v>
      </c>
      <c r="C1179" s="7" t="str">
        <f>'Respuestas de formulario 1'!C1179</f>
        <v>Alejandro</v>
      </c>
      <c r="D1179" s="7" t="str">
        <f>'Respuestas de formulario 1'!D1179</f>
        <v>amammana31@gmail.com</v>
      </c>
      <c r="E1179" s="20">
        <f>'Respuestas de formulario 1'!E1179</f>
        <v>35354</v>
      </c>
      <c r="F1179" s="7">
        <f>'Respuestas de formulario 1'!F1179</f>
        <v>39693559</v>
      </c>
      <c r="G1179" s="7" t="str">
        <f>IFERROR(__xludf.DUMMYFUNCTION("IF('Respuestas de formulario 1'!G1179="""","""",IF(LEFT(REGEXREPLACE(TO_TEXT('Respuestas de formulario 1'!G1179),""[^0-9]"",""""),2)=""54"",""+""&amp;REGEXREPLACE(TO_TEXT('Respuestas de formulario 1'!G1179),""[^0-9]"",""""),""+54""&amp;REGEXREPLACE(TO_TEXT('Respu"&amp;"estas de formulario 1'!G1179),""[^0-9]"","""")))"),"+543513061167")</f>
        <v>+543513061167</v>
      </c>
      <c r="H1179" s="7">
        <f>'Respuestas de formulario 1'!S1179</f>
        <v>2025</v>
      </c>
      <c r="I1179" s="7" t="str">
        <f>IFERROR(__xludf.DUMMYFUNCTION("IF('Respuestas de formulario 1'!I1179="""","""",TO_TEXT('Respuestas de formulario 1'!I1179))"),"Obra social")</f>
        <v>Obra social</v>
      </c>
      <c r="J1179" s="7" t="str">
        <f>IFERROR(__xludf.DUMMYFUNCTION("IF('Respuestas de formulario 1'!J1179&lt;&gt;"""",UPPER(TRIM(TO_TEXT('Respuestas de formulario 1'!J1179))),IF('Respuestas de formulario 1'!O1179&lt;&gt;"""",UPPER(TRIM(TO_TEXT('Respuestas de formulario 1'!O1179))),""""))"),"PREVENCIÓN")</f>
        <v>PREVENCIÓN</v>
      </c>
      <c r="K1179" s="7" t="str">
        <f>IFERROR(__xludf.DUMMYFUNCTION("IF('Respuestas de formulario 1'!K1179="""","""",TO_TEXT('Respuestas de formulario 1'!K1179))"),"Si")</f>
        <v>Si</v>
      </c>
      <c r="L1179" s="7" t="str">
        <f>IFERROR(__xludf.DUMMYFUNCTION("IF('Respuestas de formulario 1'!L1179="""","""",TO_TEXT('Respuestas de formulario 1'!L1179))"),"Gimnasio")</f>
        <v>Gimnasio</v>
      </c>
      <c r="M1179" s="7" t="str">
        <f>IFERROR(__xludf.DUMMYFUNCTION("IF('Respuestas de formulario 1'!M1179="""","""",TO_TEXT('Respuestas de formulario 1'!M1179))"),"3 a 5 veces por semana")</f>
        <v>3 a 5 veces por semana</v>
      </c>
      <c r="N1179" s="7">
        <f t="shared" si="1"/>
        <v>2025</v>
      </c>
      <c r="O1179" s="7" t="str">
        <f t="shared" si="2"/>
        <v>agosto</v>
      </c>
      <c r="P1179" s="7" t="s">
        <v>6490</v>
      </c>
    </row>
    <row r="1180">
      <c r="A1180" s="19">
        <f>'Respuestas de formulario 1'!A1180</f>
        <v>45895.38964</v>
      </c>
      <c r="B1180" s="7" t="str">
        <f>'Respuestas de formulario 1'!B1180</f>
        <v>BALEIRON</v>
      </c>
      <c r="C1180" s="7" t="str">
        <f>'Respuestas de formulario 1'!C1180</f>
        <v>SERGIO RAÚL</v>
      </c>
      <c r="D1180" s="7" t="str">
        <f>'Respuestas de formulario 1'!D1180</f>
        <v>arq_baleiron@hotmail.com</v>
      </c>
      <c r="E1180" s="20">
        <f>'Respuestas de formulario 1'!E1180</f>
        <v>22469</v>
      </c>
      <c r="F1180" s="7">
        <f>'Respuestas de formulario 1'!F1180</f>
        <v>14799053</v>
      </c>
      <c r="G1180" s="7" t="str">
        <f>IFERROR(__xludf.DUMMYFUNCTION("IF('Respuestas de formulario 1'!G1180="""","""",IF(LEFT(REGEXREPLACE(TO_TEXT('Respuestas de formulario 1'!G1180),""[^0-9]"",""""),2)=""54"",""+""&amp;REGEXREPLACE(TO_TEXT('Respuestas de formulario 1'!G1180),""[^0-9]"",""""),""+54""&amp;REGEXREPLACE(TO_TEXT('Respu"&amp;"estas de formulario 1'!G1180),""[^0-9]"","""")))"),"+543515207437")</f>
        <v>+543515207437</v>
      </c>
      <c r="H1180" s="7">
        <f>'Respuestas de formulario 1'!S1180</f>
        <v>2025</v>
      </c>
      <c r="I1180" s="7" t="str">
        <f>IFERROR(__xludf.DUMMYFUNCTION("IF('Respuestas de formulario 1'!I1180="""","""",TO_TEXT('Respuestas de formulario 1'!I1180))"),"Particular")</f>
        <v>Particular</v>
      </c>
      <c r="J1180" s="7" t="str">
        <f>IFERROR(__xludf.DUMMYFUNCTION("IF('Respuestas de formulario 1'!J1180&lt;&gt;"""",UPPER(TRIM(TO_TEXT('Respuestas de formulario 1'!J1180))),IF('Respuestas de formulario 1'!O1180&lt;&gt;"""",UPPER(TRIM(TO_TEXT('Respuestas de formulario 1'!O1180))),""""))"),"")</f>
        <v/>
      </c>
      <c r="K1180" s="7" t="str">
        <f>IFERROR(__xludf.DUMMYFUNCTION("IF('Respuestas de formulario 1'!K1180="""","""",TO_TEXT('Respuestas de formulario 1'!K1180))"),"No")</f>
        <v>No</v>
      </c>
      <c r="L1180" s="7" t="str">
        <f>IFERROR(__xludf.DUMMYFUNCTION("IF('Respuestas de formulario 1'!L1180="""","""",TO_TEXT('Respuestas de formulario 1'!L1180))"),"")</f>
        <v/>
      </c>
      <c r="M1180" s="7" t="str">
        <f>IFERROR(__xludf.DUMMYFUNCTION("IF('Respuestas de formulario 1'!M1180="""","""",TO_TEXT('Respuestas de formulario 1'!M1180))"),"")</f>
        <v/>
      </c>
      <c r="N1180" s="7">
        <f t="shared" si="1"/>
        <v>2025</v>
      </c>
      <c r="O1180" s="7" t="str">
        <f t="shared" si="2"/>
        <v>agosto</v>
      </c>
      <c r="P1180" s="7" t="s">
        <v>6492</v>
      </c>
    </row>
    <row r="1181">
      <c r="A1181" s="19">
        <f>'Respuestas de formulario 1'!A1181</f>
        <v>45895.42392</v>
      </c>
      <c r="B1181" s="7" t="str">
        <f>'Respuestas de formulario 1'!B1181</f>
        <v>Carpetta</v>
      </c>
      <c r="C1181" s="7" t="str">
        <f>'Respuestas de formulario 1'!C1181</f>
        <v>Tomas</v>
      </c>
      <c r="D1181" s="7" t="str">
        <f>'Respuestas de formulario 1'!D1181</f>
        <v/>
      </c>
      <c r="E1181" s="20">
        <f>'Respuestas de formulario 1'!E1181</f>
        <v>39379</v>
      </c>
      <c r="F1181" s="7">
        <f>'Respuestas de formulario 1'!F1181</f>
        <v>47819429</v>
      </c>
      <c r="G1181" s="7" t="str">
        <f>IFERROR(__xludf.DUMMYFUNCTION("IF('Respuestas de formulario 1'!G1181="""","""",IF(LEFT(REGEXREPLACE(TO_TEXT('Respuestas de formulario 1'!G1181),""[^0-9]"",""""),2)=""54"",""+""&amp;REGEXREPLACE(TO_TEXT('Respuestas de formulario 1'!G1181),""[^0-9]"",""""),""+54""&amp;REGEXREPLACE(TO_TEXT('Respu"&amp;"estas de formulario 1'!G1181),""[^0-9]"","""")))"),"+543513251811")</f>
        <v>+543513251811</v>
      </c>
      <c r="H1181" s="7">
        <f>'Respuestas de formulario 1'!S1181</f>
        <v>2025</v>
      </c>
      <c r="I1181" s="7" t="str">
        <f>IFERROR(__xludf.DUMMYFUNCTION("IF('Respuestas de formulario 1'!I1181="""","""",TO_TEXT('Respuestas de formulario 1'!I1181))"),"Particular")</f>
        <v>Particular</v>
      </c>
      <c r="J1181" s="7" t="str">
        <f>IFERROR(__xludf.DUMMYFUNCTION("IF('Respuestas de formulario 1'!J1181&lt;&gt;"""",UPPER(TRIM(TO_TEXT('Respuestas de formulario 1'!J1181))),IF('Respuestas de formulario 1'!O1181&lt;&gt;"""",UPPER(TRIM(TO_TEXT('Respuestas de formulario 1'!O1181))),""""))"),"")</f>
        <v/>
      </c>
      <c r="K1181" s="7" t="str">
        <f>IFERROR(__xludf.DUMMYFUNCTION("IF('Respuestas de formulario 1'!K1181="""","""",TO_TEXT('Respuestas de formulario 1'!K1181))"),"Si")</f>
        <v>Si</v>
      </c>
      <c r="L1181" s="7" t="str">
        <f>IFERROR(__xludf.DUMMYFUNCTION("IF('Respuestas de formulario 1'!L1181="""","""",TO_TEXT('Respuestas de formulario 1'!L1181))"),"")</f>
        <v/>
      </c>
      <c r="M1181" s="7" t="str">
        <f>IFERROR(__xludf.DUMMYFUNCTION("IF('Respuestas de formulario 1'!M1181="""","""",TO_TEXT('Respuestas de formulario 1'!M1181))"),"3 a 5 veces por semana")</f>
        <v>3 a 5 veces por semana</v>
      </c>
      <c r="N1181" s="7">
        <f t="shared" si="1"/>
        <v>2025</v>
      </c>
      <c r="O1181" s="7" t="str">
        <f t="shared" si="2"/>
        <v>agosto</v>
      </c>
      <c r="P1181" s="7" t="s">
        <v>6494</v>
      </c>
    </row>
    <row r="1182">
      <c r="A1182" s="19">
        <f>'Respuestas de formulario 1'!A1182</f>
        <v>45895.42521</v>
      </c>
      <c r="B1182" s="7" t="str">
        <f>'Respuestas de formulario 1'!B1182</f>
        <v>Reginatto </v>
      </c>
      <c r="C1182" s="7" t="str">
        <f>'Respuestas de formulario 1'!C1182</f>
        <v>Patricia</v>
      </c>
      <c r="D1182" s="7" t="str">
        <f>'Respuestas de formulario 1'!D1182</f>
        <v>cvirgolini@gmail.com</v>
      </c>
      <c r="E1182" s="20">
        <f>'Respuestas de formulario 1'!E1182</f>
        <v>22497</v>
      </c>
      <c r="F1182" s="7">
        <f>'Respuestas de formulario 1'!F1182</f>
        <v>14579275</v>
      </c>
      <c r="G1182" s="7" t="str">
        <f>IFERROR(__xludf.DUMMYFUNCTION("IF('Respuestas de formulario 1'!G1182="""","""",IF(LEFT(REGEXREPLACE(TO_TEXT('Respuestas de formulario 1'!G1182),""[^0-9]"",""""),2)=""54"",""+""&amp;REGEXREPLACE(TO_TEXT('Respuestas de formulario 1'!G1182),""[^0-9]"",""""),""+54""&amp;REGEXREPLACE(TO_TEXT('Respu"&amp;"estas de formulario 1'!G1182),""[^0-9]"","""")))"),"+543513101052")</f>
        <v>+543513101052</v>
      </c>
      <c r="H1182" s="7">
        <f>'Respuestas de formulario 1'!S1182</f>
        <v>2025</v>
      </c>
      <c r="I1182" s="7" t="str">
        <f>IFERROR(__xludf.DUMMYFUNCTION("IF('Respuestas de formulario 1'!I1182="""","""",TO_TEXT('Respuestas de formulario 1'!I1182))"),"Obra social")</f>
        <v>Obra social</v>
      </c>
      <c r="J1182" s="7" t="str">
        <f>IFERROR(__xludf.DUMMYFUNCTION("IF('Respuestas de formulario 1'!J1182&lt;&gt;"""",UPPER(TRIM(TO_TEXT('Respuestas de formulario 1'!J1182))),IF('Respuestas de formulario 1'!O1182&lt;&gt;"""",UPPER(TRIM(TO_TEXT('Respuestas de formulario 1'!O1182))),""""))"),"APROSS")</f>
        <v>APROSS</v>
      </c>
      <c r="K1182" s="7" t="str">
        <f>IFERROR(__xludf.DUMMYFUNCTION("IF('Respuestas de formulario 1'!K1182="""","""",TO_TEXT('Respuestas de formulario 1'!K1182))"),"No")</f>
        <v>No</v>
      </c>
      <c r="L1182" s="7" t="str">
        <f>IFERROR(__xludf.DUMMYFUNCTION("IF('Respuestas de formulario 1'!L1182="""","""",TO_TEXT('Respuestas de formulario 1'!L1182))"),"")</f>
        <v/>
      </c>
      <c r="M1182" s="7" t="str">
        <f>IFERROR(__xludf.DUMMYFUNCTION("IF('Respuestas de formulario 1'!M1182="""","""",TO_TEXT('Respuestas de formulario 1'!M1182))"),"")</f>
        <v/>
      </c>
      <c r="N1182" s="7">
        <f t="shared" si="1"/>
        <v>2025</v>
      </c>
      <c r="O1182" s="7" t="str">
        <f t="shared" si="2"/>
        <v>agosto</v>
      </c>
      <c r="P1182" s="7" t="s">
        <v>6496</v>
      </c>
    </row>
    <row r="1183">
      <c r="A1183" s="19">
        <f>'Respuestas de formulario 1'!A1183</f>
        <v>45895.45617</v>
      </c>
      <c r="B1183" s="7" t="str">
        <f>'Respuestas de formulario 1'!B1183</f>
        <v>Sommo</v>
      </c>
      <c r="C1183" s="7" t="str">
        <f>'Respuestas de formulario 1'!C1183</f>
        <v>Cristina</v>
      </c>
      <c r="D1183" s="7" t="str">
        <f>'Respuestas de formulario 1'!D1183</f>
        <v/>
      </c>
      <c r="E1183" s="20">
        <f>'Respuestas de formulario 1'!E1183</f>
        <v>19214</v>
      </c>
      <c r="F1183" s="7">
        <f>'Respuestas de formulario 1'!F1183</f>
        <v>10446554</v>
      </c>
      <c r="G1183" s="7" t="str">
        <f>IFERROR(__xludf.DUMMYFUNCTION("IF('Respuestas de formulario 1'!G1183="""","""",IF(LEFT(REGEXREPLACE(TO_TEXT('Respuestas de formulario 1'!G1183),""[^0-9]"",""""),2)=""54"",""+""&amp;REGEXREPLACE(TO_TEXT('Respuestas de formulario 1'!G1183),""[^0-9]"",""""),""+54""&amp;REGEXREPLACE(TO_TEXT('Respu"&amp;"estas de formulario 1'!G1183),""[^0-9]"","""")))"),"+543512070993")</f>
        <v>+543512070993</v>
      </c>
      <c r="H1183" s="7">
        <f>'Respuestas de formulario 1'!S1183</f>
        <v>2025</v>
      </c>
      <c r="I1183" s="7" t="str">
        <f>IFERROR(__xludf.DUMMYFUNCTION("IF('Respuestas de formulario 1'!I1183="""","""",TO_TEXT('Respuestas de formulario 1'!I1183))"),"Particular")</f>
        <v>Particular</v>
      </c>
      <c r="J1183" s="7" t="str">
        <f>IFERROR(__xludf.DUMMYFUNCTION("IF('Respuestas de formulario 1'!J1183&lt;&gt;"""",UPPER(TRIM(TO_TEXT('Respuestas de formulario 1'!J1183))),IF('Respuestas de formulario 1'!O1183&lt;&gt;"""",UPPER(TRIM(TO_TEXT('Respuestas de formulario 1'!O1183))),""""))"),"")</f>
        <v/>
      </c>
      <c r="K1183" s="7" t="str">
        <f>IFERROR(__xludf.DUMMYFUNCTION("IF('Respuestas de formulario 1'!K1183="""","""",TO_TEXT('Respuestas de formulario 1'!K1183))"),"Si")</f>
        <v>Si</v>
      </c>
      <c r="L1183" s="7" t="str">
        <f>IFERROR(__xludf.DUMMYFUNCTION("IF('Respuestas de formulario 1'!L1183="""","""",TO_TEXT('Respuestas de formulario 1'!L1183))"),"Running")</f>
        <v>Running</v>
      </c>
      <c r="M1183" s="7" t="str">
        <f>IFERROR(__xludf.DUMMYFUNCTION("IF('Respuestas de formulario 1'!M1183="""","""",TO_TEXT('Respuestas de formulario 1'!M1183))"),"3 a 5 veces por semana")</f>
        <v>3 a 5 veces por semana</v>
      </c>
      <c r="N1183" s="7">
        <f t="shared" si="1"/>
        <v>2025</v>
      </c>
      <c r="O1183" s="7" t="str">
        <f t="shared" si="2"/>
        <v>agosto</v>
      </c>
      <c r="P1183" s="7" t="s">
        <v>6498</v>
      </c>
    </row>
    <row r="1184">
      <c r="A1184" s="19">
        <f>'Respuestas de formulario 1'!A1184</f>
        <v>45895.45979</v>
      </c>
      <c r="B1184" s="7" t="str">
        <f>'Respuestas de formulario 1'!B1184</f>
        <v>Fraile</v>
      </c>
      <c r="C1184" s="7" t="str">
        <f>'Respuestas de formulario 1'!C1184</f>
        <v>Lourdes</v>
      </c>
      <c r="D1184" s="7" t="str">
        <f>'Respuestas de formulario 1'!D1184</f>
        <v>Millanelcbacapital@gmail.com</v>
      </c>
      <c r="E1184" s="20">
        <f>'Respuestas de formulario 1'!E1184</f>
        <v>25955</v>
      </c>
      <c r="F1184" s="7">
        <f>'Respuestas de formulario 1'!F1184</f>
        <v>94184532</v>
      </c>
      <c r="G1184" s="7" t="str">
        <f>IFERROR(__xludf.DUMMYFUNCTION("IF('Respuestas de formulario 1'!G1184="""","""",IF(LEFT(REGEXREPLACE(TO_TEXT('Respuestas de formulario 1'!G1184),""[^0-9]"",""""),2)=""54"",""+""&amp;REGEXREPLACE(TO_TEXT('Respuestas de formulario 1'!G1184),""[^0-9]"",""""),""+54""&amp;REGEXREPLACE(TO_TEXT('Respu"&amp;"estas de formulario 1'!G1184),""[^0-9]"","""")))"),"+543513412093")</f>
        <v>+543513412093</v>
      </c>
      <c r="H1184" s="7">
        <f>'Respuestas de formulario 1'!S1184</f>
        <v>2025</v>
      </c>
      <c r="I1184" s="7" t="str">
        <f>IFERROR(__xludf.DUMMYFUNCTION("IF('Respuestas de formulario 1'!I1184="""","""",TO_TEXT('Respuestas de formulario 1'!I1184))"),"Particular")</f>
        <v>Particular</v>
      </c>
      <c r="J1184" s="7" t="str">
        <f>IFERROR(__xludf.DUMMYFUNCTION("IF('Respuestas de formulario 1'!J1184&lt;&gt;"""",UPPER(TRIM(TO_TEXT('Respuestas de formulario 1'!J1184))),IF('Respuestas de formulario 1'!O1184&lt;&gt;"""",UPPER(TRIM(TO_TEXT('Respuestas de formulario 1'!O1184))),""""))"),"")</f>
        <v/>
      </c>
      <c r="K1184" s="7" t="str">
        <f>IFERROR(__xludf.DUMMYFUNCTION("IF('Respuestas de formulario 1'!K1184="""","""",TO_TEXT('Respuestas de formulario 1'!K1184))"),"Si")</f>
        <v>Si</v>
      </c>
      <c r="L1184" s="7" t="str">
        <f>IFERROR(__xludf.DUMMYFUNCTION("IF('Respuestas de formulario 1'!L1184="""","""",TO_TEXT('Respuestas de formulario 1'!L1184))"),"Gimnasio")</f>
        <v>Gimnasio</v>
      </c>
      <c r="M1184" s="7" t="str">
        <f>IFERROR(__xludf.DUMMYFUNCTION("IF('Respuestas de formulario 1'!M1184="""","""",TO_TEXT('Respuestas de formulario 1'!M1184))"),"3 a 5 veces por semana")</f>
        <v>3 a 5 veces por semana</v>
      </c>
      <c r="N1184" s="7">
        <f t="shared" si="1"/>
        <v>2025</v>
      </c>
      <c r="O1184" s="7" t="str">
        <f t="shared" si="2"/>
        <v>agosto</v>
      </c>
      <c r="P1184" s="7" t="s">
        <v>6500</v>
      </c>
    </row>
    <row r="1185">
      <c r="A1185" s="19">
        <f>'Respuestas de formulario 1'!A1185</f>
        <v>45895.46584</v>
      </c>
      <c r="B1185" s="7" t="str">
        <f>'Respuestas de formulario 1'!B1185</f>
        <v>Reginatto </v>
      </c>
      <c r="C1185" s="7" t="str">
        <f>'Respuestas de formulario 1'!C1185</f>
        <v>Patricia Beatriz </v>
      </c>
      <c r="D1185" s="7" t="str">
        <f>'Respuestas de formulario 1'!D1185</f>
        <v>cvirgolini@gmail.com</v>
      </c>
      <c r="E1185" s="20">
        <f>'Respuestas de formulario 1'!E1185</f>
        <v>22497</v>
      </c>
      <c r="F1185" s="7">
        <f>'Respuestas de formulario 1'!F1185</f>
        <v>14579175</v>
      </c>
      <c r="G1185" s="7" t="str">
        <f>IFERROR(__xludf.DUMMYFUNCTION("IF('Respuestas de formulario 1'!G1185="""","""",IF(LEFT(REGEXREPLACE(TO_TEXT('Respuestas de formulario 1'!G1185),""[^0-9]"",""""),2)=""54"",""+""&amp;REGEXREPLACE(TO_TEXT('Respuestas de formulario 1'!G1185),""[^0-9]"",""""),""+54""&amp;REGEXREPLACE(TO_TEXT('Respu"&amp;"estas de formulario 1'!G1185),""[^0-9]"","""")))"),"+543513101052")</f>
        <v>+543513101052</v>
      </c>
      <c r="H1185" s="7">
        <f>'Respuestas de formulario 1'!S1185</f>
        <v>2025</v>
      </c>
      <c r="I1185" s="7" t="str">
        <f>IFERROR(__xludf.DUMMYFUNCTION("IF('Respuestas de formulario 1'!I1185="""","""",TO_TEXT('Respuestas de formulario 1'!I1185))"),"Obra social")</f>
        <v>Obra social</v>
      </c>
      <c r="J1185" s="7" t="str">
        <f>IFERROR(__xludf.DUMMYFUNCTION("IF('Respuestas de formulario 1'!J1185&lt;&gt;"""",UPPER(TRIM(TO_TEXT('Respuestas de formulario 1'!J1185))),IF('Respuestas de formulario 1'!O1185&lt;&gt;"""",UPPER(TRIM(TO_TEXT('Respuestas de formulario 1'!O1185))),""""))"),"APROSS")</f>
        <v>APROSS</v>
      </c>
      <c r="K1185" s="7" t="str">
        <f>IFERROR(__xludf.DUMMYFUNCTION("IF('Respuestas de formulario 1'!K1185="""","""",TO_TEXT('Respuestas de formulario 1'!K1185))"),"No")</f>
        <v>No</v>
      </c>
      <c r="L1185" s="7" t="str">
        <f>IFERROR(__xludf.DUMMYFUNCTION("IF('Respuestas de formulario 1'!L1185="""","""",TO_TEXT('Respuestas de formulario 1'!L1185))"),"")</f>
        <v/>
      </c>
      <c r="M1185" s="7" t="str">
        <f>IFERROR(__xludf.DUMMYFUNCTION("IF('Respuestas de formulario 1'!M1185="""","""",TO_TEXT('Respuestas de formulario 1'!M1185))"),"")</f>
        <v/>
      </c>
      <c r="N1185" s="7">
        <f t="shared" si="1"/>
        <v>2025</v>
      </c>
      <c r="O1185" s="7" t="str">
        <f t="shared" si="2"/>
        <v>agosto</v>
      </c>
      <c r="P1185" s="7" t="s">
        <v>6502</v>
      </c>
    </row>
    <row r="1186">
      <c r="A1186" s="19">
        <f>'Respuestas de formulario 1'!A1186</f>
        <v>45895.53047</v>
      </c>
      <c r="B1186" s="7" t="str">
        <f>'Respuestas de formulario 1'!B1186</f>
        <v>Ferreyra</v>
      </c>
      <c r="C1186" s="7" t="str">
        <f>'Respuestas de formulario 1'!C1186</f>
        <v>Mariano</v>
      </c>
      <c r="D1186" s="7" t="str">
        <f>'Respuestas de formulario 1'!D1186</f>
        <v>ferreyramg131@gmail.com</v>
      </c>
      <c r="E1186" s="20">
        <f>'Respuestas de formulario 1'!E1186</f>
        <v>30299</v>
      </c>
      <c r="F1186" s="7">
        <f>'Respuestas de formulario 1'!F1186</f>
        <v>29585978</v>
      </c>
      <c r="G1186" s="7" t="str">
        <f>IFERROR(__xludf.DUMMYFUNCTION("IF('Respuestas de formulario 1'!G1186="""","""",IF(LEFT(REGEXREPLACE(TO_TEXT('Respuestas de formulario 1'!G1186),""[^0-9]"",""""),2)=""54"",""+""&amp;REGEXREPLACE(TO_TEXT('Respuestas de formulario 1'!G1186),""[^0-9]"",""""),""+54""&amp;REGEXREPLACE(TO_TEXT('Respu"&amp;"estas de formulario 1'!G1186),""[^0-9]"","""")))"),"+543512250662")</f>
        <v>+543512250662</v>
      </c>
      <c r="H1186" s="7">
        <f>'Respuestas de formulario 1'!S1186</f>
        <v>2025</v>
      </c>
      <c r="I1186" s="7" t="str">
        <f>IFERROR(__xludf.DUMMYFUNCTION("IF('Respuestas de formulario 1'!I1186="""","""",TO_TEXT('Respuestas de formulario 1'!I1186))"),"Obra social")</f>
        <v>Obra social</v>
      </c>
      <c r="J1186" s="7" t="str">
        <f>IFERROR(__xludf.DUMMYFUNCTION("IF('Respuestas de formulario 1'!J1186&lt;&gt;"""",UPPER(TRIM(TO_TEXT('Respuestas de formulario 1'!J1186))),IF('Respuestas de formulario 1'!O1186&lt;&gt;"""",UPPER(TRIM(TO_TEXT('Respuestas de formulario 1'!O1186))),""""))"),"PREVENCIÓN")</f>
        <v>PREVENCIÓN</v>
      </c>
      <c r="K1186" s="7" t="str">
        <f>IFERROR(__xludf.DUMMYFUNCTION("IF('Respuestas de formulario 1'!K1186="""","""",TO_TEXT('Respuestas de formulario 1'!K1186))"),"Si")</f>
        <v>Si</v>
      </c>
      <c r="L1186" s="7" t="str">
        <f>IFERROR(__xludf.DUMMYFUNCTION("IF('Respuestas de formulario 1'!L1186="""","""",TO_TEXT('Respuestas de formulario 1'!L1186))"),"Fútbol")</f>
        <v>Fútbol</v>
      </c>
      <c r="M1186" s="7" t="str">
        <f>IFERROR(__xludf.DUMMYFUNCTION("IF('Respuestas de formulario 1'!M1186="""","""",TO_TEXT('Respuestas de formulario 1'!M1186))"),"3 a 5 veces por semana")</f>
        <v>3 a 5 veces por semana</v>
      </c>
      <c r="N1186" s="7">
        <f t="shared" si="1"/>
        <v>2025</v>
      </c>
      <c r="O1186" s="7" t="str">
        <f t="shared" si="2"/>
        <v>agosto</v>
      </c>
      <c r="P1186" s="7" t="s">
        <v>6503</v>
      </c>
    </row>
    <row r="1187">
      <c r="A1187" s="19">
        <f>'Respuestas de formulario 1'!A1187</f>
        <v>45895.57001</v>
      </c>
      <c r="B1187" s="7" t="str">
        <f>'Respuestas de formulario 1'!B1187</f>
        <v>capretta</v>
      </c>
      <c r="C1187" s="7" t="str">
        <f>'Respuestas de formulario 1'!C1187</f>
        <v>tomas</v>
      </c>
      <c r="D1187" s="7" t="str">
        <f>'Respuestas de formulario 1'!D1187</f>
        <v>tomascapretta1@gmail.com</v>
      </c>
      <c r="E1187" s="20">
        <f>'Respuestas de formulario 1'!E1187</f>
        <v>39379</v>
      </c>
      <c r="F1187" s="7">
        <f>'Respuestas de formulario 1'!F1187</f>
        <v>47819429</v>
      </c>
      <c r="G1187" s="7" t="str">
        <f>IFERROR(__xludf.DUMMYFUNCTION("IF('Respuestas de formulario 1'!G1187="""","""",IF(LEFT(REGEXREPLACE(TO_TEXT('Respuestas de formulario 1'!G1187),""[^0-9]"",""""),2)=""54"",""+""&amp;REGEXREPLACE(TO_TEXT('Respuestas de formulario 1'!G1187),""[^0-9]"",""""),""+54""&amp;REGEXREPLACE(TO_TEXT('Respu"&amp;"estas de formulario 1'!G1187),""[^0-9]"","""")))"),"+543513251811")</f>
        <v>+543513251811</v>
      </c>
      <c r="H1187" s="7">
        <f>'Respuestas de formulario 1'!S1187</f>
        <v>2025</v>
      </c>
      <c r="I1187" s="7" t="str">
        <f>IFERROR(__xludf.DUMMYFUNCTION("IF('Respuestas de formulario 1'!I1187="""","""",TO_TEXT('Respuestas de formulario 1'!I1187))"),"Particular")</f>
        <v>Particular</v>
      </c>
      <c r="J1187" s="7" t="str">
        <f>IFERROR(__xludf.DUMMYFUNCTION("IF('Respuestas de formulario 1'!J1187&lt;&gt;"""",UPPER(TRIM(TO_TEXT('Respuestas de formulario 1'!J1187))),IF('Respuestas de formulario 1'!O1187&lt;&gt;"""",UPPER(TRIM(TO_TEXT('Respuestas de formulario 1'!O1187))),""""))"),"")</f>
        <v/>
      </c>
      <c r="K1187" s="7" t="str">
        <f>IFERROR(__xludf.DUMMYFUNCTION("IF('Respuestas de formulario 1'!K1187="""","""",TO_TEXT('Respuestas de formulario 1'!K1187))"),"Si")</f>
        <v>Si</v>
      </c>
      <c r="L1187" s="7" t="str">
        <f>IFERROR(__xludf.DUMMYFUNCTION("IF('Respuestas de formulario 1'!L1187="""","""",TO_TEXT('Respuestas de formulario 1'!L1187))"),"Básquet")</f>
        <v>Básquet</v>
      </c>
      <c r="M1187" s="7" t="str">
        <f>IFERROR(__xludf.DUMMYFUNCTION("IF('Respuestas de formulario 1'!M1187="""","""",TO_TEXT('Respuestas de formulario 1'!M1187))"),"3 a 5 veces por semana")</f>
        <v>3 a 5 veces por semana</v>
      </c>
      <c r="N1187" s="7">
        <f t="shared" si="1"/>
        <v>2025</v>
      </c>
      <c r="O1187" s="7" t="str">
        <f t="shared" si="2"/>
        <v>agosto</v>
      </c>
      <c r="P1187" s="7" t="s">
        <v>6505</v>
      </c>
    </row>
    <row r="1188">
      <c r="A1188" s="19">
        <f>'Respuestas de formulario 1'!A1188</f>
        <v>45895.63133</v>
      </c>
      <c r="B1188" s="7" t="str">
        <f>'Respuestas de formulario 1'!B1188</f>
        <v>MARIONI</v>
      </c>
      <c r="C1188" s="7" t="str">
        <f>'Respuestas de formulario 1'!C1188</f>
        <v>Sergio </v>
      </c>
      <c r="D1188" s="7" t="str">
        <f>'Respuestas de formulario 1'!D1188</f>
        <v>distribuidoramonse@hotmail.com.ar</v>
      </c>
      <c r="E1188" s="20">
        <f>'Respuestas de formulario 1'!E1188</f>
        <v>22717</v>
      </c>
      <c r="F1188" s="7">
        <f>'Respuestas de formulario 1'!F1188</f>
        <v>14839545</v>
      </c>
      <c r="G1188" s="7" t="str">
        <f>IFERROR(__xludf.DUMMYFUNCTION("IF('Respuestas de formulario 1'!G1188="""","""",IF(LEFT(REGEXREPLACE(TO_TEXT('Respuestas de formulario 1'!G1188),""[^0-9]"",""""),2)=""54"",""+""&amp;REGEXREPLACE(TO_TEXT('Respuestas de formulario 1'!G1188),""[^0-9]"",""""),""+54""&amp;REGEXREPLACE(TO_TEXT('Respu"&amp;"estas de formulario 1'!G1188),""[^0-9]"","""")))"),"+543516164441")</f>
        <v>+543516164441</v>
      </c>
      <c r="H1188" s="7">
        <f>'Respuestas de formulario 1'!S1188</f>
        <v>2025</v>
      </c>
      <c r="I1188" s="7" t="str">
        <f>IFERROR(__xludf.DUMMYFUNCTION("IF('Respuestas de formulario 1'!I1188="""","""",TO_TEXT('Respuestas de formulario 1'!I1188))"),"Particular")</f>
        <v>Particular</v>
      </c>
      <c r="J1188" s="7" t="str">
        <f>IFERROR(__xludf.DUMMYFUNCTION("IF('Respuestas de formulario 1'!J1188&lt;&gt;"""",UPPER(TRIM(TO_TEXT('Respuestas de formulario 1'!J1188))),IF('Respuestas de formulario 1'!O1188&lt;&gt;"""",UPPER(TRIM(TO_TEXT('Respuestas de formulario 1'!O1188))),""""))"),"")</f>
        <v/>
      </c>
      <c r="K1188" s="7" t="str">
        <f>IFERROR(__xludf.DUMMYFUNCTION("IF('Respuestas de formulario 1'!K1188="""","""",TO_TEXT('Respuestas de formulario 1'!K1188))"),"Si")</f>
        <v>Si</v>
      </c>
      <c r="L1188" s="7" t="str">
        <f>IFERROR(__xludf.DUMMYFUNCTION("IF('Respuestas de formulario 1'!L1188="""","""",TO_TEXT('Respuestas de formulario 1'!L1188))"),"Gimnasio")</f>
        <v>Gimnasio</v>
      </c>
      <c r="M1188" s="7" t="str">
        <f>IFERROR(__xludf.DUMMYFUNCTION("IF('Respuestas de formulario 1'!M1188="""","""",TO_TEXT('Respuestas de formulario 1'!M1188))"),"3 a 5 veces por semana")</f>
        <v>3 a 5 veces por semana</v>
      </c>
      <c r="N1188" s="7">
        <f t="shared" si="1"/>
        <v>2025</v>
      </c>
      <c r="O1188" s="7" t="str">
        <f t="shared" si="2"/>
        <v>agosto</v>
      </c>
      <c r="P1188" s="7" t="s">
        <v>6506</v>
      </c>
    </row>
    <row r="1189">
      <c r="A1189" s="19">
        <f>'Respuestas de formulario 1'!A1189</f>
        <v>45896.45191</v>
      </c>
      <c r="B1189" s="7" t="str">
        <f>'Respuestas de formulario 1'!B1189</f>
        <v>Guillen</v>
      </c>
      <c r="C1189" s="7" t="str">
        <f>'Respuestas de formulario 1'!C1189</f>
        <v>Maria de los Angeles </v>
      </c>
      <c r="D1189" s="7" t="str">
        <f>'Respuestas de formulario 1'!D1189</f>
        <v>ma.guillen.1711@gmail.com</v>
      </c>
      <c r="E1189" s="20">
        <f>'Respuestas de formulario 1'!E1189</f>
        <v>30637</v>
      </c>
      <c r="F1189" s="7">
        <f>'Respuestas de formulario 1'!F1189</f>
        <v>30657396</v>
      </c>
      <c r="G1189" s="7" t="str">
        <f>IFERROR(__xludf.DUMMYFUNCTION("IF('Respuestas de formulario 1'!G1189="""","""",IF(LEFT(REGEXREPLACE(TO_TEXT('Respuestas de formulario 1'!G1189),""[^0-9]"",""""),2)=""54"",""+""&amp;REGEXREPLACE(TO_TEXT('Respuestas de formulario 1'!G1189),""[^0-9]"",""""),""+54""&amp;REGEXREPLACE(TO_TEXT('Respu"&amp;"estas de formulario 1'!G1189),""[^0-9]"","""")))"),"+543513831711")</f>
        <v>+543513831711</v>
      </c>
      <c r="H1189" s="7">
        <f>'Respuestas de formulario 1'!S1189</f>
        <v>2025</v>
      </c>
      <c r="I1189" s="7" t="str">
        <f>IFERROR(__xludf.DUMMYFUNCTION("IF('Respuestas de formulario 1'!I1189="""","""",TO_TEXT('Respuestas de formulario 1'!I1189))"),"Particular")</f>
        <v>Particular</v>
      </c>
      <c r="J1189" s="7" t="str">
        <f>IFERROR(__xludf.DUMMYFUNCTION("IF('Respuestas de formulario 1'!J1189&lt;&gt;"""",UPPER(TRIM(TO_TEXT('Respuestas de formulario 1'!J1189))),IF('Respuestas de formulario 1'!O1189&lt;&gt;"""",UPPER(TRIM(TO_TEXT('Respuestas de formulario 1'!O1189))),""""))"),"")</f>
        <v/>
      </c>
      <c r="K1189" s="7" t="str">
        <f>IFERROR(__xludf.DUMMYFUNCTION("IF('Respuestas de formulario 1'!K1189="""","""",TO_TEXT('Respuestas de formulario 1'!K1189))"),"No")</f>
        <v>No</v>
      </c>
      <c r="L1189" s="7" t="str">
        <f>IFERROR(__xludf.DUMMYFUNCTION("IF('Respuestas de formulario 1'!L1189="""","""",TO_TEXT('Respuestas de formulario 1'!L1189))"),"")</f>
        <v/>
      </c>
      <c r="M1189" s="7" t="str">
        <f>IFERROR(__xludf.DUMMYFUNCTION("IF('Respuestas de formulario 1'!M1189="""","""",TO_TEXT('Respuestas de formulario 1'!M1189))"),"")</f>
        <v/>
      </c>
      <c r="N1189" s="7">
        <f t="shared" si="1"/>
        <v>2025</v>
      </c>
      <c r="O1189" s="7" t="str">
        <f t="shared" si="2"/>
        <v>agosto</v>
      </c>
      <c r="P1189" s="7" t="s">
        <v>6508</v>
      </c>
    </row>
    <row r="1190">
      <c r="A1190" s="19">
        <f>'Respuestas de formulario 1'!A1190</f>
        <v>45896.51124</v>
      </c>
      <c r="B1190" s="7" t="str">
        <f>'Respuestas de formulario 1'!B1190</f>
        <v>PORPORATO</v>
      </c>
      <c r="C1190" s="7" t="str">
        <f>'Respuestas de formulario 1'!C1190</f>
        <v>Raquel</v>
      </c>
      <c r="D1190" s="7" t="str">
        <f>'Respuestas de formulario 1'!D1190</f>
        <v>raporpo@hotmail.com</v>
      </c>
      <c r="E1190" s="20">
        <f>'Respuestas de formulario 1'!E1190</f>
        <v>20277</v>
      </c>
      <c r="F1190" s="7">
        <f>'Respuestas de formulario 1'!F1190</f>
        <v>11767424</v>
      </c>
      <c r="G1190" s="7" t="str">
        <f>IFERROR(__xludf.DUMMYFUNCTION("IF('Respuestas de formulario 1'!G1190="""","""",IF(LEFT(REGEXREPLACE(TO_TEXT('Respuestas de formulario 1'!G1190),""[^0-9]"",""""),2)=""54"",""+""&amp;REGEXREPLACE(TO_TEXT('Respuestas de formulario 1'!G1190),""[^0-9]"",""""),""+54""&amp;REGEXREPLACE(TO_TEXT('Respu"&amp;"estas de formulario 1'!G1190),""[^0-9]"","""")))"),"+543512082578")</f>
        <v>+543512082578</v>
      </c>
      <c r="H1190" s="7">
        <f>'Respuestas de formulario 1'!S1190</f>
        <v>2025</v>
      </c>
      <c r="I1190" s="7" t="str">
        <f>IFERROR(__xludf.DUMMYFUNCTION("IF('Respuestas de formulario 1'!I1190="""","""",TO_TEXT('Respuestas de formulario 1'!I1190))"),"Particular")</f>
        <v>Particular</v>
      </c>
      <c r="J1190" s="7" t="str">
        <f>IFERROR(__xludf.DUMMYFUNCTION("IF('Respuestas de formulario 1'!J1190&lt;&gt;"""",UPPER(TRIM(TO_TEXT('Respuestas de formulario 1'!J1190))),IF('Respuestas de formulario 1'!O1190&lt;&gt;"""",UPPER(TRIM(TO_TEXT('Respuestas de formulario 1'!O1190))),""""))"),"")</f>
        <v/>
      </c>
      <c r="K1190" s="7" t="str">
        <f>IFERROR(__xludf.DUMMYFUNCTION("IF('Respuestas de formulario 1'!K1190="""","""",TO_TEXT('Respuestas de formulario 1'!K1190))"),"Si")</f>
        <v>Si</v>
      </c>
      <c r="L1190" s="7" t="str">
        <f>IFERROR(__xludf.DUMMYFUNCTION("IF('Respuestas de formulario 1'!L1190="""","""",TO_TEXT('Respuestas de formulario 1'!L1190))"),"Gimnasio")</f>
        <v>Gimnasio</v>
      </c>
      <c r="M1190" s="7" t="str">
        <f>IFERROR(__xludf.DUMMYFUNCTION("IF('Respuestas de formulario 1'!M1190="""","""",TO_TEXT('Respuestas de formulario 1'!M1190))"),"1 a 2 veces por semana")</f>
        <v>1 a 2 veces por semana</v>
      </c>
      <c r="N1190" s="7">
        <f t="shared" si="1"/>
        <v>2025</v>
      </c>
      <c r="O1190" s="7" t="str">
        <f t="shared" si="2"/>
        <v>agosto</v>
      </c>
      <c r="P1190" s="7" t="s">
        <v>6510</v>
      </c>
    </row>
    <row r="1191">
      <c r="A1191" s="19">
        <f>'Respuestas de formulario 1'!A1191</f>
        <v>45896.67932</v>
      </c>
      <c r="B1191" s="7" t="str">
        <f>'Respuestas de formulario 1'!B1191</f>
        <v>Scalzadona </v>
      </c>
      <c r="C1191" s="7" t="str">
        <f>'Respuestas de formulario 1'!C1191</f>
        <v>Julieta </v>
      </c>
      <c r="D1191" s="7" t="str">
        <f>'Respuestas de formulario 1'!D1191</f>
        <v>julietascalzadona@gmail.com</v>
      </c>
      <c r="E1191" s="20">
        <f>'Respuestas de formulario 1'!E1191</f>
        <v>38233</v>
      </c>
      <c r="F1191" s="7">
        <f>'Respuestas de formulario 1'!F1191</f>
        <v>45594379</v>
      </c>
      <c r="G1191" s="7" t="str">
        <f>IFERROR(__xludf.DUMMYFUNCTION("IF('Respuestas de formulario 1'!G1191="""","""",IF(LEFT(REGEXREPLACE(TO_TEXT('Respuestas de formulario 1'!G1191),""[^0-9]"",""""),2)=""54"",""+""&amp;REGEXREPLACE(TO_TEXT('Respuestas de formulario 1'!G1191),""[^0-9]"",""""),""+54""&amp;REGEXREPLACE(TO_TEXT('Respu"&amp;"estas de formulario 1'!G1191),""[^0-9]"","""")))"),"+543512348045")</f>
        <v>+543512348045</v>
      </c>
      <c r="H1191" s="7">
        <f>'Respuestas de formulario 1'!S1191</f>
        <v>2025</v>
      </c>
      <c r="I1191" s="7" t="str">
        <f>IFERROR(__xludf.DUMMYFUNCTION("IF('Respuestas de formulario 1'!I1191="""","""",TO_TEXT('Respuestas de formulario 1'!I1191))"),"Obra social")</f>
        <v>Obra social</v>
      </c>
      <c r="J1191" s="7" t="str">
        <f>IFERROR(__xludf.DUMMYFUNCTION("IF('Respuestas de formulario 1'!J1191&lt;&gt;"""",UPPER(TRIM(TO_TEXT('Respuestas de formulario 1'!J1191))),IF('Respuestas de formulario 1'!O1191&lt;&gt;"""",UPPER(TRIM(TO_TEXT('Respuestas de formulario 1'!O1191))),""""))"),"SWISS MEDICAL")</f>
        <v>SWISS MEDICAL</v>
      </c>
      <c r="K1191" s="7" t="str">
        <f>IFERROR(__xludf.DUMMYFUNCTION("IF('Respuestas de formulario 1'!K1191="""","""",TO_TEXT('Respuestas de formulario 1'!K1191))"),"No")</f>
        <v>No</v>
      </c>
      <c r="L1191" s="7" t="str">
        <f>IFERROR(__xludf.DUMMYFUNCTION("IF('Respuestas de formulario 1'!L1191="""","""",TO_TEXT('Respuestas de formulario 1'!L1191))"),"")</f>
        <v/>
      </c>
      <c r="M1191" s="7" t="str">
        <f>IFERROR(__xludf.DUMMYFUNCTION("IF('Respuestas de formulario 1'!M1191="""","""",TO_TEXT('Respuestas de formulario 1'!M1191))"),"")</f>
        <v/>
      </c>
      <c r="N1191" s="7">
        <f t="shared" si="1"/>
        <v>2025</v>
      </c>
      <c r="O1191" s="7" t="str">
        <f t="shared" si="2"/>
        <v>agosto</v>
      </c>
      <c r="P1191" s="7" t="s">
        <v>6512</v>
      </c>
    </row>
    <row r="1192">
      <c r="A1192" s="19">
        <f>'Respuestas de formulario 1'!A1192</f>
        <v>45896.81652</v>
      </c>
      <c r="B1192" s="7" t="str">
        <f>'Respuestas de formulario 1'!B1192</f>
        <v>Soria</v>
      </c>
      <c r="C1192" s="7" t="str">
        <f>'Respuestas de formulario 1'!C1192</f>
        <v>Amparo</v>
      </c>
      <c r="D1192" s="7" t="str">
        <f>'Respuestas de formulario 1'!D1192</f>
        <v>amparosoriamartinez@gmail.com</v>
      </c>
      <c r="E1192" s="20">
        <f>'Respuestas de formulario 1'!E1192</f>
        <v>36609</v>
      </c>
      <c r="F1192" s="7">
        <f>'Respuestas de formulario 1'!F1192</f>
        <v>42439911</v>
      </c>
      <c r="G1192" s="7" t="str">
        <f>IFERROR(__xludf.DUMMYFUNCTION("IF('Respuestas de formulario 1'!G1192="""","""",IF(LEFT(REGEXREPLACE(TO_TEXT('Respuestas de formulario 1'!G1192),""[^0-9]"",""""),2)=""54"",""+""&amp;REGEXREPLACE(TO_TEXT('Respuestas de formulario 1'!G1192),""[^0-9]"",""""),""+54""&amp;REGEXREPLACE(TO_TEXT('Respu"&amp;"estas de formulario 1'!G1192),""[^0-9]"","""")))"),"+543513434808")</f>
        <v>+543513434808</v>
      </c>
      <c r="H1192" s="7">
        <f>'Respuestas de formulario 1'!S1192</f>
        <v>2025</v>
      </c>
      <c r="I1192" s="7" t="str">
        <f>IFERROR(__xludf.DUMMYFUNCTION("IF('Respuestas de formulario 1'!I1192="""","""",TO_TEXT('Respuestas de formulario 1'!I1192))"),"Obra social")</f>
        <v>Obra social</v>
      </c>
      <c r="J1192" s="7" t="str">
        <f>IFERROR(__xludf.DUMMYFUNCTION("IF('Respuestas de formulario 1'!J1192&lt;&gt;"""",UPPER(TRIM(TO_TEXT('Respuestas de formulario 1'!J1192))),IF('Respuestas de formulario 1'!O1192&lt;&gt;"""",UPPER(TRIM(TO_TEXT('Respuestas de formulario 1'!O1192))),""""))"),"PREVENCIÓN")</f>
        <v>PREVENCIÓN</v>
      </c>
      <c r="K1192" s="7" t="str">
        <f>IFERROR(__xludf.DUMMYFUNCTION("IF('Respuestas de formulario 1'!K1192="""","""",TO_TEXT('Respuestas de formulario 1'!K1192))"),"Si")</f>
        <v>Si</v>
      </c>
      <c r="L1192" s="7" t="str">
        <f>IFERROR(__xludf.DUMMYFUNCTION("IF('Respuestas de formulario 1'!L1192="""","""",TO_TEXT('Respuestas de formulario 1'!L1192))"),"trekking,escalo,gimnasio")</f>
        <v>trekking,escalo,gimnasio</v>
      </c>
      <c r="M1192" s="7" t="str">
        <f>IFERROR(__xludf.DUMMYFUNCTION("IF('Respuestas de formulario 1'!M1192="""","""",TO_TEXT('Respuestas de formulario 1'!M1192))"),"3 a 5 veces por semana")</f>
        <v>3 a 5 veces por semana</v>
      </c>
      <c r="N1192" s="7">
        <f t="shared" si="1"/>
        <v>2025</v>
      </c>
      <c r="O1192" s="7" t="str">
        <f t="shared" si="2"/>
        <v>agosto</v>
      </c>
      <c r="P1192" s="7" t="s">
        <v>6514</v>
      </c>
    </row>
    <row r="1193">
      <c r="A1193" s="19">
        <f>'Respuestas de formulario 1'!A1193</f>
        <v>45897.46123</v>
      </c>
      <c r="B1193" s="7" t="str">
        <f>'Respuestas de formulario 1'!B1193</f>
        <v>Contreras</v>
      </c>
      <c r="C1193" s="7" t="str">
        <f>'Respuestas de formulario 1'!C1193</f>
        <v>Valentino </v>
      </c>
      <c r="D1193" s="7" t="str">
        <f>'Respuestas de formulario 1'!D1193</f>
        <v>Valentinocontreras06@gmail.com</v>
      </c>
      <c r="E1193" s="20">
        <f>'Respuestas de formulario 1'!E1193</f>
        <v>38817</v>
      </c>
      <c r="F1193" s="7">
        <f>'Respuestas de formulario 1'!F1193</f>
        <v>46999940</v>
      </c>
      <c r="G1193" s="7" t="str">
        <f>IFERROR(__xludf.DUMMYFUNCTION("IF('Respuestas de formulario 1'!G1193="""","""",IF(LEFT(REGEXREPLACE(TO_TEXT('Respuestas de formulario 1'!G1193),""[^0-9]"",""""),2)=""54"",""+""&amp;REGEXREPLACE(TO_TEXT('Respuestas de formulario 1'!G1193),""[^0-9]"",""""),""+54""&amp;REGEXREPLACE(TO_TEXT('Respu"&amp;"estas de formulario 1'!G1193),""[^0-9]"","""")))"),"+543518638864")</f>
        <v>+543518638864</v>
      </c>
      <c r="H1193" s="7">
        <f>'Respuestas de formulario 1'!S1193</f>
        <v>2025</v>
      </c>
      <c r="I1193" s="7" t="str">
        <f>IFERROR(__xludf.DUMMYFUNCTION("IF('Respuestas de formulario 1'!I1193="""","""",TO_TEXT('Respuestas de formulario 1'!I1193))"),"Particular")</f>
        <v>Particular</v>
      </c>
      <c r="J1193" s="7" t="str">
        <f>IFERROR(__xludf.DUMMYFUNCTION("IF('Respuestas de formulario 1'!J1193&lt;&gt;"""",UPPER(TRIM(TO_TEXT('Respuestas de formulario 1'!J1193))),IF('Respuestas de formulario 1'!O1193&lt;&gt;"""",UPPER(TRIM(TO_TEXT('Respuestas de formulario 1'!O1193))),""""))"),"")</f>
        <v/>
      </c>
      <c r="K1193" s="7" t="str">
        <f>IFERROR(__xludf.DUMMYFUNCTION("IF('Respuestas de formulario 1'!K1193="""","""",TO_TEXT('Respuestas de formulario 1'!K1193))"),"Si")</f>
        <v>Si</v>
      </c>
      <c r="L1193" s="7" t="str">
        <f>IFERROR(__xludf.DUMMYFUNCTION("IF('Respuestas de formulario 1'!L1193="""","""",TO_TEXT('Respuestas de formulario 1'!L1193))"),"Natación ")</f>
        <v>Natación </v>
      </c>
      <c r="M1193" s="7" t="str">
        <f>IFERROR(__xludf.DUMMYFUNCTION("IF('Respuestas de formulario 1'!M1193="""","""",TO_TEXT('Respuestas de formulario 1'!M1193))"),"3 a 5 veces por semana")</f>
        <v>3 a 5 veces por semana</v>
      </c>
      <c r="N1193" s="7">
        <f t="shared" si="1"/>
        <v>2025</v>
      </c>
      <c r="O1193" s="7" t="str">
        <f t="shared" si="2"/>
        <v>agosto</v>
      </c>
      <c r="P1193" s="7" t="s">
        <v>6516</v>
      </c>
    </row>
    <row r="1194">
      <c r="A1194" s="19">
        <f>'Respuestas de formulario 1'!A1194</f>
        <v>45897.52458</v>
      </c>
      <c r="B1194" s="7" t="str">
        <f>'Respuestas de formulario 1'!B1194</f>
        <v>Lombardi </v>
      </c>
      <c r="C1194" s="7" t="str">
        <f>'Respuestas de formulario 1'!C1194</f>
        <v>Diego </v>
      </c>
      <c r="D1194" s="7" t="str">
        <f>'Respuestas de formulario 1'!D1194</f>
        <v>lombardiego.1022@gmail.com</v>
      </c>
      <c r="E1194" s="20">
        <f>'Respuestas de formulario 1'!E1194</f>
        <v>32954</v>
      </c>
      <c r="F1194" s="7">
        <f>'Respuestas de formulario 1'!F1194</f>
        <v>35054826</v>
      </c>
      <c r="G1194" s="7" t="str">
        <f>IFERROR(__xludf.DUMMYFUNCTION("IF('Respuestas de formulario 1'!G1194="""","""",IF(LEFT(REGEXREPLACE(TO_TEXT('Respuestas de formulario 1'!G1194),""[^0-9]"",""""),2)=""54"",""+""&amp;REGEXREPLACE(TO_TEXT('Respuestas de formulario 1'!G1194),""[^0-9]"",""""),""+54""&amp;REGEXREPLACE(TO_TEXT('Respu"&amp;"estas de formulario 1'!G1194),""[^0-9]"","""")))"),"+543516651241")</f>
        <v>+543516651241</v>
      </c>
      <c r="H1194" s="7">
        <f>'Respuestas de formulario 1'!S1194</f>
        <v>2025</v>
      </c>
      <c r="I1194" s="7" t="str">
        <f>IFERROR(__xludf.DUMMYFUNCTION("IF('Respuestas de formulario 1'!I1194="""","""",TO_TEXT('Respuestas de formulario 1'!I1194))"),"Particular")</f>
        <v>Particular</v>
      </c>
      <c r="J1194" s="7" t="str">
        <f>IFERROR(__xludf.DUMMYFUNCTION("IF('Respuestas de formulario 1'!J1194&lt;&gt;"""",UPPER(TRIM(TO_TEXT('Respuestas de formulario 1'!J1194))),IF('Respuestas de formulario 1'!O1194&lt;&gt;"""",UPPER(TRIM(TO_TEXT('Respuestas de formulario 1'!O1194))),""""))"),"")</f>
        <v/>
      </c>
      <c r="K1194" s="7" t="str">
        <f>IFERROR(__xludf.DUMMYFUNCTION("IF('Respuestas de formulario 1'!K1194="""","""",TO_TEXT('Respuestas de formulario 1'!K1194))"),"Si")</f>
        <v>Si</v>
      </c>
      <c r="L1194" s="7" t="str">
        <f>IFERROR(__xludf.DUMMYFUNCTION("IF('Respuestas de formulario 1'!L1194="""","""",TO_TEXT('Respuestas de formulario 1'!L1194))"),"Fútbol")</f>
        <v>Fútbol</v>
      </c>
      <c r="M1194" s="7" t="str">
        <f>IFERROR(__xludf.DUMMYFUNCTION("IF('Respuestas de formulario 1'!M1194="""","""",TO_TEXT('Respuestas de formulario 1'!M1194))"),"3 a 5 veces por semana")</f>
        <v>3 a 5 veces por semana</v>
      </c>
      <c r="N1194" s="7">
        <f t="shared" si="1"/>
        <v>2025</v>
      </c>
      <c r="O1194" s="7" t="str">
        <f t="shared" si="2"/>
        <v>agosto</v>
      </c>
      <c r="P1194" s="7" t="s">
        <v>6517</v>
      </c>
    </row>
    <row r="1195">
      <c r="A1195" s="19">
        <f>'Respuestas de formulario 1'!A1195</f>
        <v>45901.36937</v>
      </c>
      <c r="B1195" s="7" t="str">
        <f>'Respuestas de formulario 1'!B1195</f>
        <v>Pahl</v>
      </c>
      <c r="C1195" s="7" t="str">
        <f>'Respuestas de formulario 1'!C1195</f>
        <v>Ruben</v>
      </c>
      <c r="D1195" s="7" t="str">
        <f>'Respuestas de formulario 1'!D1195</f>
        <v>-</v>
      </c>
      <c r="E1195" s="20">
        <f>'Respuestas de formulario 1'!E1195</f>
        <v>21073</v>
      </c>
      <c r="F1195" s="7">
        <f>'Respuestas de formulario 1'!F1195</f>
        <v>13683210</v>
      </c>
      <c r="G1195" s="7" t="str">
        <f>IFERROR(__xludf.DUMMYFUNCTION("IF('Respuestas de formulario 1'!G1195="""","""",IF(LEFT(REGEXREPLACE(TO_TEXT('Respuestas de formulario 1'!G1195),""[^0-9]"",""""),2)=""54"",""+""&amp;REGEXREPLACE(TO_TEXT('Respuestas de formulario 1'!G1195),""[^0-9]"",""""),""+54""&amp;REGEXREPLACE(TO_TEXT('Respu"&amp;"estas de formulario 1'!G1195),""[^0-9]"","""")))"),"+543516517192")</f>
        <v>+543516517192</v>
      </c>
      <c r="H1195" s="7">
        <f>'Respuestas de formulario 1'!S1195</f>
        <v>2025</v>
      </c>
      <c r="I1195" s="7" t="str">
        <f>IFERROR(__xludf.DUMMYFUNCTION("IF('Respuestas de formulario 1'!I1195="""","""",TO_TEXT('Respuestas de formulario 1'!I1195))"),"Particular")</f>
        <v>Particular</v>
      </c>
      <c r="J1195" s="7" t="str">
        <f>IFERROR(__xludf.DUMMYFUNCTION("IF('Respuestas de formulario 1'!J1195&lt;&gt;"""",UPPER(TRIM(TO_TEXT('Respuestas de formulario 1'!J1195))),IF('Respuestas de formulario 1'!O1195&lt;&gt;"""",UPPER(TRIM(TO_TEXT('Respuestas de formulario 1'!O1195))),""""))"),"")</f>
        <v/>
      </c>
      <c r="K1195" s="7" t="str">
        <f>IFERROR(__xludf.DUMMYFUNCTION("IF('Respuestas de formulario 1'!K1195="""","""",TO_TEXT('Respuestas de formulario 1'!K1195))"),"Si")</f>
        <v>Si</v>
      </c>
      <c r="L1195" s="7" t="str">
        <f>IFERROR(__xludf.DUMMYFUNCTION("IF('Respuestas de formulario 1'!L1195="""","""",TO_TEXT('Respuestas de formulario 1'!L1195))"),"Gimnasio")</f>
        <v>Gimnasio</v>
      </c>
      <c r="M1195" s="7" t="str">
        <f>IFERROR(__xludf.DUMMYFUNCTION("IF('Respuestas de formulario 1'!M1195="""","""",TO_TEXT('Respuestas de formulario 1'!M1195))"),"1 a 2 veces por semana")</f>
        <v>1 a 2 veces por semana</v>
      </c>
      <c r="N1195" s="7">
        <f t="shared" si="1"/>
        <v>2025</v>
      </c>
      <c r="O1195" s="7" t="str">
        <f t="shared" si="2"/>
        <v>septiembre</v>
      </c>
      <c r="P1195" s="7" t="s">
        <v>6519</v>
      </c>
    </row>
    <row r="1196">
      <c r="A1196" s="19">
        <f>'Respuestas de formulario 1'!A1196</f>
        <v>45901.82389</v>
      </c>
      <c r="B1196" s="7" t="str">
        <f>'Respuestas de formulario 1'!B1196</f>
        <v>Mouxaut</v>
      </c>
      <c r="C1196" s="7" t="str">
        <f>'Respuestas de formulario 1'!C1196</f>
        <v>Iñaki</v>
      </c>
      <c r="D1196" s="7" t="str">
        <f>'Respuestas de formulario 1'!D1196</f>
        <v>inakimuxo@gmail.com</v>
      </c>
      <c r="E1196" s="20">
        <f>'Respuestas de formulario 1'!E1196</f>
        <v>35433</v>
      </c>
      <c r="F1196" s="7">
        <f>'Respuestas de formulario 1'!F1196</f>
        <v>40106664</v>
      </c>
      <c r="G1196" s="7" t="str">
        <f>IFERROR(__xludf.DUMMYFUNCTION("IF('Respuestas de formulario 1'!G1196="""","""",IF(LEFT(REGEXREPLACE(TO_TEXT('Respuestas de formulario 1'!G1196),""[^0-9]"",""""),2)=""54"",""+""&amp;REGEXREPLACE(TO_TEXT('Respuestas de formulario 1'!G1196),""[^0-9]"",""""),""+54""&amp;REGEXREPLACE(TO_TEXT('Respu"&amp;"estas de formulario 1'!G1196),""[^0-9]"","""")))"),"+543512359003")</f>
        <v>+543512359003</v>
      </c>
      <c r="H1196" s="7">
        <f>'Respuestas de formulario 1'!S1196</f>
        <v>2025</v>
      </c>
      <c r="I1196" s="7" t="str">
        <f>IFERROR(__xludf.DUMMYFUNCTION("IF('Respuestas de formulario 1'!I1196="""","""",TO_TEXT('Respuestas de formulario 1'!I1196))"),"Obra social")</f>
        <v>Obra social</v>
      </c>
      <c r="J1196" s="7" t="str">
        <f>IFERROR(__xludf.DUMMYFUNCTION("IF('Respuestas de formulario 1'!J1196&lt;&gt;"""",UPPER(TRIM(TO_TEXT('Respuestas de formulario 1'!J1196))),IF('Respuestas de formulario 1'!O1196&lt;&gt;"""",UPPER(TRIM(TO_TEXT('Respuestas de formulario 1'!O1196))),""""))"),"CPCE")</f>
        <v>CPCE</v>
      </c>
      <c r="K1196" s="7" t="str">
        <f>IFERROR(__xludf.DUMMYFUNCTION("IF('Respuestas de formulario 1'!K1196="""","""",TO_TEXT('Respuestas de formulario 1'!K1196))"),"Si")</f>
        <v>Si</v>
      </c>
      <c r="L1196" s="7" t="str">
        <f>IFERROR(__xludf.DUMMYFUNCTION("IF('Respuestas de formulario 1'!L1196="""","""",TO_TEXT('Respuestas de formulario 1'!L1196))"),"Fútbol")</f>
        <v>Fútbol</v>
      </c>
      <c r="M1196" s="7" t="str">
        <f>IFERROR(__xludf.DUMMYFUNCTION("IF('Respuestas de formulario 1'!M1196="""","""",TO_TEXT('Respuestas de formulario 1'!M1196))"),"1 a 2 veces por semana")</f>
        <v>1 a 2 veces por semana</v>
      </c>
      <c r="N1196" s="7">
        <f t="shared" si="1"/>
        <v>2025</v>
      </c>
      <c r="O1196" s="7" t="str">
        <f t="shared" si="2"/>
        <v>septiembre</v>
      </c>
      <c r="P1196" s="7" t="s">
        <v>6521</v>
      </c>
    </row>
    <row r="1197">
      <c r="A1197" s="19">
        <f>'Respuestas de formulario 1'!A1197</f>
        <v>45902.58038</v>
      </c>
      <c r="B1197" s="7" t="str">
        <f>'Respuestas de formulario 1'!B1197</f>
        <v>Blasco</v>
      </c>
      <c r="C1197" s="7" t="str">
        <f>'Respuestas de formulario 1'!C1197</f>
        <v>Omar Fernando</v>
      </c>
      <c r="D1197" s="7" t="str">
        <f>'Respuestas de formulario 1'!D1197</f>
        <v>omarblasco@gmail.com</v>
      </c>
      <c r="E1197" s="20">
        <f>'Respuestas de formulario 1'!E1197</f>
        <v>23927</v>
      </c>
      <c r="F1197" s="7">
        <f>'Respuestas de formulario 1'!F1197</f>
        <v>17157777</v>
      </c>
      <c r="G1197" s="7" t="str">
        <f>IFERROR(__xludf.DUMMYFUNCTION("IF('Respuestas de formulario 1'!G1197="""","""",IF(LEFT(REGEXREPLACE(TO_TEXT('Respuestas de formulario 1'!G1197),""[^0-9]"",""""),2)=""54"",""+""&amp;REGEXREPLACE(TO_TEXT('Respuestas de formulario 1'!G1197),""[^0-9]"",""""),""+54""&amp;REGEXREPLACE(TO_TEXT('Respu"&amp;"estas de formulario 1'!G1197),""[^0-9]"","""")))"),"+543515335683")</f>
        <v>+543515335683</v>
      </c>
      <c r="H1197" s="7">
        <f>'Respuestas de formulario 1'!S1197</f>
        <v>2025</v>
      </c>
      <c r="I1197" s="7" t="str">
        <f>IFERROR(__xludf.DUMMYFUNCTION("IF('Respuestas de formulario 1'!I1197="""","""",TO_TEXT('Respuestas de formulario 1'!I1197))"),"Obra social")</f>
        <v>Obra social</v>
      </c>
      <c r="J1197" s="7" t="str">
        <f>IFERROR(__xludf.DUMMYFUNCTION("IF('Respuestas de formulario 1'!J1197&lt;&gt;"""",UPPER(TRIM(TO_TEXT('Respuestas de formulario 1'!J1197))),IF('Respuestas de formulario 1'!O1197&lt;&gt;"""",UPPER(TRIM(TO_TEXT('Respuestas de formulario 1'!O1197))),""""))"),"APROSS")</f>
        <v>APROSS</v>
      </c>
      <c r="K1197" s="7" t="str">
        <f>IFERROR(__xludf.DUMMYFUNCTION("IF('Respuestas de formulario 1'!K1197="""","""",TO_TEXT('Respuestas de formulario 1'!K1197))"),"No")</f>
        <v>No</v>
      </c>
      <c r="L1197" s="7" t="str">
        <f>IFERROR(__xludf.DUMMYFUNCTION("IF('Respuestas de formulario 1'!L1197="""","""",TO_TEXT('Respuestas de formulario 1'!L1197))"),"")</f>
        <v/>
      </c>
      <c r="M1197" s="7" t="str">
        <f>IFERROR(__xludf.DUMMYFUNCTION("IF('Respuestas de formulario 1'!M1197="""","""",TO_TEXT('Respuestas de formulario 1'!M1197))"),"")</f>
        <v/>
      </c>
      <c r="N1197" s="7">
        <f t="shared" si="1"/>
        <v>2025</v>
      </c>
      <c r="O1197" s="7" t="str">
        <f t="shared" si="2"/>
        <v>septiembre</v>
      </c>
      <c r="P1197" s="7" t="s">
        <v>6523</v>
      </c>
    </row>
    <row r="1198">
      <c r="A1198" s="19">
        <f>'Respuestas de formulario 1'!A1198</f>
        <v>45902.72118</v>
      </c>
      <c r="B1198" s="7" t="str">
        <f>'Respuestas de formulario 1'!B1198</f>
        <v>Aguade </v>
      </c>
      <c r="C1198" s="7" t="str">
        <f>'Respuestas de formulario 1'!C1198</f>
        <v>Cecilia </v>
      </c>
      <c r="D1198" s="7" t="str">
        <f>'Respuestas de formulario 1'!D1198</f>
        <v>aguadececilia@hotmail.com</v>
      </c>
      <c r="E1198" s="20">
        <f>'Respuestas de formulario 1'!E1198</f>
        <v>30151</v>
      </c>
      <c r="F1198" s="7">
        <f>'Respuestas de formulario 1'!F1198</f>
        <v>29606880</v>
      </c>
      <c r="G1198" s="7" t="str">
        <f>IFERROR(__xludf.DUMMYFUNCTION("IF('Respuestas de formulario 1'!G1198="""","""",IF(LEFT(REGEXREPLACE(TO_TEXT('Respuestas de formulario 1'!G1198),""[^0-9]"",""""),2)=""54"",""+""&amp;REGEXREPLACE(TO_TEXT('Respuestas de formulario 1'!G1198),""[^0-9]"",""""),""+54""&amp;REGEXREPLACE(TO_TEXT('Respu"&amp;"estas de formulario 1'!G1198),""[^0-9]"","""")))"),"+543516833779")</f>
        <v>+543516833779</v>
      </c>
      <c r="H1198" s="7">
        <f>'Respuestas de formulario 1'!S1198</f>
        <v>2025</v>
      </c>
      <c r="I1198" s="7" t="str">
        <f>IFERROR(__xludf.DUMMYFUNCTION("IF('Respuestas de formulario 1'!I1198="""","""",TO_TEXT('Respuestas de formulario 1'!I1198))"),"Obra social")</f>
        <v>Obra social</v>
      </c>
      <c r="J1198" s="7" t="str">
        <f>IFERROR(__xludf.DUMMYFUNCTION("IF('Respuestas de formulario 1'!J1198&lt;&gt;"""",UPPER(TRIM(TO_TEXT('Respuestas de formulario 1'!J1198))),IF('Respuestas de formulario 1'!O1198&lt;&gt;"""",UPPER(TRIM(TO_TEXT('Respuestas de formulario 1'!O1198))),""""))"),"MEDIFE PLATA")</f>
        <v>MEDIFE PLATA</v>
      </c>
      <c r="K1198" s="7" t="str">
        <f>IFERROR(__xludf.DUMMYFUNCTION("IF('Respuestas de formulario 1'!K1198="""","""",TO_TEXT('Respuestas de formulario 1'!K1198))"),"Si")</f>
        <v>Si</v>
      </c>
      <c r="L1198" s="7" t="str">
        <f>IFERROR(__xludf.DUMMYFUNCTION("IF('Respuestas de formulario 1'!L1198="""","""",TO_TEXT('Respuestas de formulario 1'!L1198))"),"Gimnasio")</f>
        <v>Gimnasio</v>
      </c>
      <c r="M1198" s="7" t="str">
        <f>IFERROR(__xludf.DUMMYFUNCTION("IF('Respuestas de formulario 1'!M1198="""","""",TO_TEXT('Respuestas de formulario 1'!M1198))"),"3 a 5 veces por semana")</f>
        <v>3 a 5 veces por semana</v>
      </c>
      <c r="N1198" s="7">
        <f t="shared" si="1"/>
        <v>2025</v>
      </c>
      <c r="O1198" s="7" t="str">
        <f t="shared" si="2"/>
        <v>septiembre</v>
      </c>
      <c r="P1198" s="7" t="s">
        <v>6525</v>
      </c>
    </row>
    <row r="1199">
      <c r="A1199" s="19">
        <f>'Respuestas de formulario 1'!A1199</f>
        <v>45902.74919</v>
      </c>
      <c r="B1199" s="7" t="str">
        <f>'Respuestas de formulario 1'!B1199</f>
        <v>Ávila </v>
      </c>
      <c r="C1199" s="7" t="str">
        <f>'Respuestas de formulario 1'!C1199</f>
        <v>Nicolás </v>
      </c>
      <c r="D1199" s="7" t="str">
        <f>'Respuestas de formulario 1'!D1199</f>
        <v>Ale</v>
      </c>
      <c r="E1199" s="20">
        <f>'Respuestas de formulario 1'!E1199</f>
        <v>33719</v>
      </c>
      <c r="F1199" s="7">
        <f>'Respuestas de formulario 1'!F1199</f>
        <v>36234832</v>
      </c>
      <c r="G1199" s="7" t="str">
        <f>IFERROR(__xludf.DUMMYFUNCTION("IF('Respuestas de formulario 1'!G1199="""","""",IF(LEFT(REGEXREPLACE(TO_TEXT('Respuestas de formulario 1'!G1199),""[^0-9]"",""""),2)=""54"",""+""&amp;REGEXREPLACE(TO_TEXT('Respuestas de formulario 1'!G1199),""[^0-9]"",""""),""+54""&amp;REGEXREPLACE(TO_TEXT('Respu"&amp;"estas de formulario 1'!G1199),""[^0-9]"","""")))"),"+543513053233")</f>
        <v>+543513053233</v>
      </c>
      <c r="H1199" s="7">
        <f>'Respuestas de formulario 1'!S1199</f>
        <v>2025</v>
      </c>
      <c r="I1199" s="7" t="str">
        <f>IFERROR(__xludf.DUMMYFUNCTION("IF('Respuestas de formulario 1'!I1199="""","""",TO_TEXT('Respuestas de formulario 1'!I1199))"),"Obra social")</f>
        <v>Obra social</v>
      </c>
      <c r="J1199" s="7" t="str">
        <f>IFERROR(__xludf.DUMMYFUNCTION("IF('Respuestas de formulario 1'!J1199&lt;&gt;"""",UPPER(TRIM(TO_TEXT('Respuestas de formulario 1'!J1199))),IF('Respuestas de formulario 1'!O1199&lt;&gt;"""",UPPER(TRIM(TO_TEXT('Respuestas de formulario 1'!O1199))),""""))"),"SANCOR")</f>
        <v>SANCOR</v>
      </c>
      <c r="K1199" s="7" t="str">
        <f>IFERROR(__xludf.DUMMYFUNCTION("IF('Respuestas de formulario 1'!K1199="""","""",TO_TEXT('Respuestas de formulario 1'!K1199))"),"No")</f>
        <v>No</v>
      </c>
      <c r="L1199" s="7" t="str">
        <f>IFERROR(__xludf.DUMMYFUNCTION("IF('Respuestas de formulario 1'!L1199="""","""",TO_TEXT('Respuestas de formulario 1'!L1199))"),"")</f>
        <v/>
      </c>
      <c r="M1199" s="7" t="str">
        <f>IFERROR(__xludf.DUMMYFUNCTION("IF('Respuestas de formulario 1'!M1199="""","""",TO_TEXT('Respuestas de formulario 1'!M1199))"),"")</f>
        <v/>
      </c>
      <c r="N1199" s="7">
        <f t="shared" si="1"/>
        <v>2025</v>
      </c>
      <c r="O1199" s="7" t="str">
        <f t="shared" si="2"/>
        <v>septiembre</v>
      </c>
      <c r="P1199" s="7" t="s">
        <v>6527</v>
      </c>
    </row>
    <row r="1200">
      <c r="A1200" s="19">
        <f>'Respuestas de formulario 1'!A1200</f>
        <v>45902.85286</v>
      </c>
      <c r="B1200" s="7" t="str">
        <f>'Respuestas de formulario 1'!B1200</f>
        <v>Campos</v>
      </c>
      <c r="C1200" s="7" t="str">
        <f>'Respuestas de formulario 1'!C1200</f>
        <v>Hector</v>
      </c>
      <c r="D1200" s="7" t="str">
        <f>'Respuestas de formulario 1'!D1200</f>
        <v>Miraflor_19@hotmail.com</v>
      </c>
      <c r="E1200" s="20">
        <f>'Respuestas de formulario 1'!E1200</f>
        <v>26783</v>
      </c>
      <c r="F1200" s="7">
        <f>'Respuestas de formulario 1'!F1200</f>
        <v>23125481</v>
      </c>
      <c r="G1200" s="7" t="str">
        <f>IFERROR(__xludf.DUMMYFUNCTION("IF('Respuestas de formulario 1'!G1200="""","""",IF(LEFT(REGEXREPLACE(TO_TEXT('Respuestas de formulario 1'!G1200),""[^0-9]"",""""),2)=""54"",""+""&amp;REGEXREPLACE(TO_TEXT('Respuestas de formulario 1'!G1200),""[^0-9]"",""""),""+54""&amp;REGEXREPLACE(TO_TEXT('Respu"&amp;"estas de formulario 1'!G1200),""[^0-9]"","""")))"),"+543512941027")</f>
        <v>+543512941027</v>
      </c>
      <c r="H1200" s="7">
        <f>'Respuestas de formulario 1'!S1200</f>
        <v>2025</v>
      </c>
      <c r="I1200" s="7" t="str">
        <f>IFERROR(__xludf.DUMMYFUNCTION("IF('Respuestas de formulario 1'!I1200="""","""",TO_TEXT('Respuestas de formulario 1'!I1200))"),"Obra social")</f>
        <v>Obra social</v>
      </c>
      <c r="J1200" s="7" t="str">
        <f>IFERROR(__xludf.DUMMYFUNCTION("IF('Respuestas de formulario 1'!J1200&lt;&gt;"""",UPPER(TRIM(TO_TEXT('Respuestas de formulario 1'!J1200))),IF('Respuestas de formulario 1'!O1200&lt;&gt;"""",UPPER(TRIM(TO_TEXT('Respuestas de formulario 1'!O1200))),""""))"),"SANCOR")</f>
        <v>SANCOR</v>
      </c>
      <c r="K1200" s="7" t="str">
        <f>IFERROR(__xludf.DUMMYFUNCTION("IF('Respuestas de formulario 1'!K1200="""","""",TO_TEXT('Respuestas de formulario 1'!K1200))"),"Si")</f>
        <v>Si</v>
      </c>
      <c r="L1200" s="7" t="str">
        <f>IFERROR(__xludf.DUMMYFUNCTION("IF('Respuestas de formulario 1'!L1200="""","""",TO_TEXT('Respuestas de formulario 1'!L1200))"),"Padel")</f>
        <v>Padel</v>
      </c>
      <c r="M1200" s="7" t="str">
        <f>IFERROR(__xludf.DUMMYFUNCTION("IF('Respuestas de formulario 1'!M1200="""","""",TO_TEXT('Respuestas de formulario 1'!M1200))"),"3 a 5 veces por semana")</f>
        <v>3 a 5 veces por semana</v>
      </c>
      <c r="N1200" s="7">
        <f t="shared" si="1"/>
        <v>2025</v>
      </c>
      <c r="O1200" s="7" t="str">
        <f t="shared" si="2"/>
        <v>septiembre</v>
      </c>
      <c r="P1200" s="7" t="s">
        <v>6529</v>
      </c>
    </row>
    <row r="1201">
      <c r="A1201" s="19">
        <f>'Respuestas de formulario 1'!A1201</f>
        <v>45903.44038</v>
      </c>
      <c r="B1201" s="7" t="str">
        <f>'Respuestas de formulario 1'!B1201</f>
        <v>REINOSO</v>
      </c>
      <c r="C1201" s="7" t="str">
        <f>'Respuestas de formulario 1'!C1201</f>
        <v>Luis Angel </v>
      </c>
      <c r="D1201" s="7" t="str">
        <f>'Respuestas de formulario 1'!D1201</f>
        <v>ce.reynoso@hotmail.com</v>
      </c>
      <c r="E1201" s="20">
        <f>'Respuestas de formulario 1'!E1201</f>
        <v>16598</v>
      </c>
      <c r="F1201" s="7">
        <f>'Respuestas de formulario 1'!F1201</f>
        <v>7983539</v>
      </c>
      <c r="G1201" s="7" t="str">
        <f>IFERROR(__xludf.DUMMYFUNCTION("IF('Respuestas de formulario 1'!G1201="""","""",IF(LEFT(REGEXREPLACE(TO_TEXT('Respuestas de formulario 1'!G1201),""[^0-9]"",""""),2)=""54"",""+""&amp;REGEXREPLACE(TO_TEXT('Respuestas de formulario 1'!G1201),""[^0-9]"",""""),""+54""&amp;REGEXREPLACE(TO_TEXT('Respu"&amp;"estas de formulario 1'!G1201),""[^0-9]"","""")))"),"+543516776797")</f>
        <v>+543516776797</v>
      </c>
      <c r="H1201" s="7">
        <f>'Respuestas de formulario 1'!S1201</f>
        <v>2025</v>
      </c>
      <c r="I1201" s="7" t="str">
        <f>IFERROR(__xludf.DUMMYFUNCTION("IF('Respuestas de formulario 1'!I1201="""","""",TO_TEXT('Respuestas de formulario 1'!I1201))"),"Particular")</f>
        <v>Particular</v>
      </c>
      <c r="J1201" s="7" t="str">
        <f>IFERROR(__xludf.DUMMYFUNCTION("IF('Respuestas de formulario 1'!J1201&lt;&gt;"""",UPPER(TRIM(TO_TEXT('Respuestas de formulario 1'!J1201))),IF('Respuestas de formulario 1'!O1201&lt;&gt;"""",UPPER(TRIM(TO_TEXT('Respuestas de formulario 1'!O1201))),""""))"),"")</f>
        <v/>
      </c>
      <c r="K1201" s="7" t="str">
        <f>IFERROR(__xludf.DUMMYFUNCTION("IF('Respuestas de formulario 1'!K1201="""","""",TO_TEXT('Respuestas de formulario 1'!K1201))"),"No")</f>
        <v>No</v>
      </c>
      <c r="L1201" s="7" t="str">
        <f>IFERROR(__xludf.DUMMYFUNCTION("IF('Respuestas de formulario 1'!L1201="""","""",TO_TEXT('Respuestas de formulario 1'!L1201))"),"")</f>
        <v/>
      </c>
      <c r="M1201" s="7" t="str">
        <f>IFERROR(__xludf.DUMMYFUNCTION("IF('Respuestas de formulario 1'!M1201="""","""",TO_TEXT('Respuestas de formulario 1'!M1201))"),"")</f>
        <v/>
      </c>
      <c r="N1201" s="7">
        <f t="shared" si="1"/>
        <v>2025</v>
      </c>
      <c r="O1201" s="7" t="str">
        <f t="shared" si="2"/>
        <v>septiembre</v>
      </c>
      <c r="P1201" s="7" t="s">
        <v>6531</v>
      </c>
    </row>
    <row r="1202">
      <c r="A1202" s="19">
        <f>'Respuestas de formulario 1'!A1202</f>
        <v>45903.75526</v>
      </c>
      <c r="B1202" s="7" t="str">
        <f>'Respuestas de formulario 1'!B1202</f>
        <v>Colomer</v>
      </c>
      <c r="C1202" s="7" t="str">
        <f>'Respuestas de formulario 1'!C1202</f>
        <v>Javier</v>
      </c>
      <c r="D1202" s="7" t="str">
        <f>'Respuestas de formulario 1'!D1202</f>
        <v>javiercolomer02@gmail.com</v>
      </c>
      <c r="E1202" s="20">
        <f>'Respuestas de formulario 1'!E1202</f>
        <v>37329</v>
      </c>
      <c r="F1202" s="7">
        <f>'Respuestas de formulario 1'!F1202</f>
        <v>43609585</v>
      </c>
      <c r="G1202" s="7" t="str">
        <f>IFERROR(__xludf.DUMMYFUNCTION("IF('Respuestas de formulario 1'!G1202="""","""",IF(LEFT(REGEXREPLACE(TO_TEXT('Respuestas de formulario 1'!G1202),""[^0-9]"",""""),2)=""54"",""+""&amp;REGEXREPLACE(TO_TEXT('Respuestas de formulario 1'!G1202),""[^0-9]"",""""),""+54""&amp;REGEXREPLACE(TO_TEXT('Respu"&amp;"estas de formulario 1'!G1202),""[^0-9]"","""")))"),"+543516658263")</f>
        <v>+543516658263</v>
      </c>
      <c r="H1202" s="7">
        <f>'Respuestas de formulario 1'!S1202</f>
        <v>2025</v>
      </c>
      <c r="I1202" s="7" t="str">
        <f>IFERROR(__xludf.DUMMYFUNCTION("IF('Respuestas de formulario 1'!I1202="""","""",TO_TEXT('Respuestas de formulario 1'!I1202))"),"Obra social")</f>
        <v>Obra social</v>
      </c>
      <c r="J1202" s="7" t="str">
        <f>IFERROR(__xludf.DUMMYFUNCTION("IF('Respuestas de formulario 1'!J1202&lt;&gt;"""",UPPER(TRIM(TO_TEXT('Respuestas de formulario 1'!J1202))),IF('Respuestas de formulario 1'!O1202&lt;&gt;"""",UPPER(TRIM(TO_TEXT('Respuestas de formulario 1'!O1202))),""""))"),"DASPU")</f>
        <v>DASPU</v>
      </c>
      <c r="K1202" s="7" t="str">
        <f>IFERROR(__xludf.DUMMYFUNCTION("IF('Respuestas de formulario 1'!K1202="""","""",TO_TEXT('Respuestas de formulario 1'!K1202))"),"Si")</f>
        <v>Si</v>
      </c>
      <c r="L1202" s="7" t="str">
        <f>IFERROR(__xludf.DUMMYFUNCTION("IF('Respuestas de formulario 1'!L1202="""","""",TO_TEXT('Respuestas de formulario 1'!L1202))"),"Gimnasio")</f>
        <v>Gimnasio</v>
      </c>
      <c r="M1202" s="7" t="str">
        <f>IFERROR(__xludf.DUMMYFUNCTION("IF('Respuestas de formulario 1'!M1202="""","""",TO_TEXT('Respuestas de formulario 1'!M1202))"),"1 a 2 veces por semana")</f>
        <v>1 a 2 veces por semana</v>
      </c>
      <c r="N1202" s="7">
        <f t="shared" si="1"/>
        <v>2025</v>
      </c>
      <c r="O1202" s="7" t="str">
        <f t="shared" si="2"/>
        <v>septiembre</v>
      </c>
      <c r="P1202" s="7" t="s">
        <v>6533</v>
      </c>
    </row>
    <row r="1203">
      <c r="A1203" s="19">
        <f>'Respuestas de formulario 1'!A1203</f>
        <v>45903.77629</v>
      </c>
      <c r="B1203" s="7" t="str">
        <f>'Respuestas de formulario 1'!B1203</f>
        <v>Mercado</v>
      </c>
      <c r="C1203" s="7" t="str">
        <f>'Respuestas de formulario 1'!C1203</f>
        <v>Lucio</v>
      </c>
      <c r="D1203" s="7" t="str">
        <f>'Respuestas de formulario 1'!D1203</f>
        <v/>
      </c>
      <c r="E1203" s="20">
        <f>'Respuestas de formulario 1'!E1203</f>
        <v>41681</v>
      </c>
      <c r="F1203" s="7">
        <f>'Respuestas de formulario 1'!F1203</f>
        <v>53507666</v>
      </c>
      <c r="G1203" s="7" t="str">
        <f>IFERROR(__xludf.DUMMYFUNCTION("IF('Respuestas de formulario 1'!G1203="""","""",IF(LEFT(REGEXREPLACE(TO_TEXT('Respuestas de formulario 1'!G1203),""[^0-9]"",""""),2)=""54"",""+""&amp;REGEXREPLACE(TO_TEXT('Respuestas de formulario 1'!G1203),""[^0-9]"",""""),""+54""&amp;REGEXREPLACE(TO_TEXT('Respu"&amp;"estas de formulario 1'!G1203),""[^0-9]"","""")))"),"+543512278951")</f>
        <v>+543512278951</v>
      </c>
      <c r="H1203" s="7">
        <f>'Respuestas de formulario 1'!S1203</f>
        <v>2025</v>
      </c>
      <c r="I1203" s="7" t="str">
        <f>IFERROR(__xludf.DUMMYFUNCTION("IF('Respuestas de formulario 1'!I1203="""","""",TO_TEXT('Respuestas de formulario 1'!I1203))"),"Obra social")</f>
        <v>Obra social</v>
      </c>
      <c r="J1203" s="7" t="str">
        <f>IFERROR(__xludf.DUMMYFUNCTION("IF('Respuestas de formulario 1'!J1203&lt;&gt;"""",UPPER(TRIM(TO_TEXT('Respuestas de formulario 1'!J1203))),IF('Respuestas de formulario 1'!O1203&lt;&gt;"""",UPPER(TRIM(TO_TEXT('Respuestas de formulario 1'!O1203))),""""))"),"FEDERADA SALUD")</f>
        <v>FEDERADA SALUD</v>
      </c>
      <c r="K1203" s="7" t="str">
        <f>IFERROR(__xludf.DUMMYFUNCTION("IF('Respuestas de formulario 1'!K1203="""","""",TO_TEXT('Respuestas de formulario 1'!K1203))"),"Si")</f>
        <v>Si</v>
      </c>
      <c r="L1203" s="7" t="str">
        <f>IFERROR(__xludf.DUMMYFUNCTION("IF('Respuestas de formulario 1'!L1203="""","""",TO_TEXT('Respuestas de formulario 1'!L1203))"),"Básquet")</f>
        <v>Básquet</v>
      </c>
      <c r="M1203" s="7" t="str">
        <f>IFERROR(__xludf.DUMMYFUNCTION("IF('Respuestas de formulario 1'!M1203="""","""",TO_TEXT('Respuestas de formulario 1'!M1203))"),"1 a 2 veces por semana")</f>
        <v>1 a 2 veces por semana</v>
      </c>
      <c r="N1203" s="7">
        <f t="shared" si="1"/>
        <v>2025</v>
      </c>
      <c r="O1203" s="7" t="str">
        <f t="shared" si="2"/>
        <v>septiembre</v>
      </c>
      <c r="P1203" s="7" t="s">
        <v>6535</v>
      </c>
    </row>
    <row r="1204">
      <c r="A1204" s="19">
        <f>'Respuestas de formulario 1'!A1204</f>
        <v>45903.78842</v>
      </c>
      <c r="B1204" s="7" t="str">
        <f>'Respuestas de formulario 1'!B1204</f>
        <v>ARMOA</v>
      </c>
      <c r="C1204" s="7" t="str">
        <f>'Respuestas de formulario 1'!C1204</f>
        <v>Maria Angeles</v>
      </c>
      <c r="D1204" s="7" t="str">
        <f>'Respuestas de formulario 1'!D1204</f>
        <v>-</v>
      </c>
      <c r="E1204" s="20">
        <f>'Respuestas de formulario 1'!E1204</f>
        <v>30062</v>
      </c>
      <c r="F1204" s="7">
        <f>'Respuestas de formulario 1'!F1204</f>
        <v>29473077</v>
      </c>
      <c r="G1204" s="7" t="str">
        <f>IFERROR(__xludf.DUMMYFUNCTION("IF('Respuestas de formulario 1'!G1204="""","""",IF(LEFT(REGEXREPLACE(TO_TEXT('Respuestas de formulario 1'!G1204),""[^0-9]"",""""),2)=""54"",""+""&amp;REGEXREPLACE(TO_TEXT('Respuestas de formulario 1'!G1204),""[^0-9]"",""""),""+54""&amp;REGEXREPLACE(TO_TEXT('Respu"&amp;"estas de formulario 1'!G1204),""[^0-9]"","""")))"),"+543516654676")</f>
        <v>+543516654676</v>
      </c>
      <c r="H1204" s="7">
        <f>'Respuestas de formulario 1'!S1204</f>
        <v>2025</v>
      </c>
      <c r="I1204" s="7" t="str">
        <f>IFERROR(__xludf.DUMMYFUNCTION("IF('Respuestas de formulario 1'!I1204="""","""",TO_TEXT('Respuestas de formulario 1'!I1204))"),"Particular")</f>
        <v>Particular</v>
      </c>
      <c r="J1204" s="7" t="str">
        <f>IFERROR(__xludf.DUMMYFUNCTION("IF('Respuestas de formulario 1'!J1204&lt;&gt;"""",UPPER(TRIM(TO_TEXT('Respuestas de formulario 1'!J1204))),IF('Respuestas de formulario 1'!O1204&lt;&gt;"""",UPPER(TRIM(TO_TEXT('Respuestas de formulario 1'!O1204))),""""))"),"")</f>
        <v/>
      </c>
      <c r="K1204" s="7" t="str">
        <f>IFERROR(__xludf.DUMMYFUNCTION("IF('Respuestas de formulario 1'!K1204="""","""",TO_TEXT('Respuestas de formulario 1'!K1204))"),"Si")</f>
        <v>Si</v>
      </c>
      <c r="L1204" s="7" t="str">
        <f>IFERROR(__xludf.DUMMYFUNCTION("IF('Respuestas de formulario 1'!L1204="""","""",TO_TEXT('Respuestas de formulario 1'!L1204))"),"Gimnasio")</f>
        <v>Gimnasio</v>
      </c>
      <c r="M1204" s="7" t="str">
        <f>IFERROR(__xludf.DUMMYFUNCTION("IF('Respuestas de formulario 1'!M1204="""","""",TO_TEXT('Respuestas de formulario 1'!M1204))"),"3 a 5 veces por semana")</f>
        <v>3 a 5 veces por semana</v>
      </c>
      <c r="N1204" s="7">
        <f t="shared" si="1"/>
        <v>2025</v>
      </c>
      <c r="O1204" s="7" t="str">
        <f t="shared" si="2"/>
        <v>septiembre</v>
      </c>
      <c r="P1204" s="7" t="s">
        <v>6537</v>
      </c>
    </row>
    <row r="1205">
      <c r="A1205" s="19">
        <f>'Respuestas de formulario 1'!A1205</f>
        <v>45904.47</v>
      </c>
      <c r="B1205" s="7" t="str">
        <f>'Respuestas de formulario 1'!B1205</f>
        <v>Heredia</v>
      </c>
      <c r="C1205" s="7" t="str">
        <f>'Respuestas de formulario 1'!C1205</f>
        <v>Emanuel</v>
      </c>
      <c r="D1205" s="7" t="str">
        <f>'Respuestas de formulario 1'!D1205</f>
        <v>ema_359@hotmail.com</v>
      </c>
      <c r="E1205" s="20">
        <f>'Respuestas de formulario 1'!E1205</f>
        <v>32372</v>
      </c>
      <c r="F1205" s="7">
        <f>'Respuestas de formulario 1'!F1205</f>
        <v>33892103</v>
      </c>
      <c r="G1205" s="7" t="str">
        <f>IFERROR(__xludf.DUMMYFUNCTION("IF('Respuestas de formulario 1'!G1205="""","""",IF(LEFT(REGEXREPLACE(TO_TEXT('Respuestas de formulario 1'!G1205),""[^0-9]"",""""),2)=""54"",""+""&amp;REGEXREPLACE(TO_TEXT('Respuestas de formulario 1'!G1205),""[^0-9]"",""""),""+54""&amp;REGEXREPLACE(TO_TEXT('Respu"&amp;"estas de formulario 1'!G1205),""[^0-9]"","""")))"),"+543512431240")</f>
        <v>+543512431240</v>
      </c>
      <c r="H1205" s="7">
        <f>'Respuestas de formulario 1'!S1205</f>
        <v>2025</v>
      </c>
      <c r="I1205" s="7" t="str">
        <f>IFERROR(__xludf.DUMMYFUNCTION("IF('Respuestas de formulario 1'!I1205="""","""",TO_TEXT('Respuestas de formulario 1'!I1205))"),"Obra social")</f>
        <v>Obra social</v>
      </c>
      <c r="J1205" s="7" t="str">
        <f>IFERROR(__xludf.DUMMYFUNCTION("IF('Respuestas de formulario 1'!J1205&lt;&gt;"""",UPPER(TRIM(TO_TEXT('Respuestas de formulario 1'!J1205))),IF('Respuestas de formulario 1'!O1205&lt;&gt;"""",UPPER(TRIM(TO_TEXT('Respuestas de formulario 1'!O1205))),""""))"),"SWESS MEDICAL")</f>
        <v>SWESS MEDICAL</v>
      </c>
      <c r="K1205" s="7" t="str">
        <f>IFERROR(__xludf.DUMMYFUNCTION("IF('Respuestas de formulario 1'!K1205="""","""",TO_TEXT('Respuestas de formulario 1'!K1205))"),"Si")</f>
        <v>Si</v>
      </c>
      <c r="L1205" s="7" t="str">
        <f>IFERROR(__xludf.DUMMYFUNCTION("IF('Respuestas de formulario 1'!L1205="""","""",TO_TEXT('Respuestas de formulario 1'!L1205))"),"Fútbol")</f>
        <v>Fútbol</v>
      </c>
      <c r="M1205" s="7" t="str">
        <f>IFERROR(__xludf.DUMMYFUNCTION("IF('Respuestas de formulario 1'!M1205="""","""",TO_TEXT('Respuestas de formulario 1'!M1205))"),"3 a 5 veces por semana")</f>
        <v>3 a 5 veces por semana</v>
      </c>
      <c r="N1205" s="7">
        <f t="shared" si="1"/>
        <v>2025</v>
      </c>
      <c r="O1205" s="7" t="str">
        <f t="shared" si="2"/>
        <v>septiembre</v>
      </c>
      <c r="P1205" s="7" t="s">
        <v>6539</v>
      </c>
    </row>
    <row r="1206">
      <c r="A1206" s="19">
        <f>'Respuestas de formulario 1'!A1206</f>
        <v>45904.57704</v>
      </c>
      <c r="B1206" s="7" t="str">
        <f>'Respuestas de formulario 1'!B1206</f>
        <v>Mija</v>
      </c>
      <c r="C1206" s="7" t="str">
        <f>'Respuestas de formulario 1'!C1206</f>
        <v>Matias</v>
      </c>
      <c r="D1206" s="7" t="str">
        <f>'Respuestas de formulario 1'!D1206</f>
        <v>matiasamp1@gmail.com</v>
      </c>
      <c r="E1206" s="20">
        <f>'Respuestas de formulario 1'!E1206</f>
        <v>33774</v>
      </c>
      <c r="F1206" s="7">
        <f>'Respuestas de formulario 1'!F1206</f>
        <v>36355717</v>
      </c>
      <c r="G1206" s="7" t="str">
        <f>IFERROR(__xludf.DUMMYFUNCTION("IF('Respuestas de formulario 1'!G1206="""","""",IF(LEFT(REGEXREPLACE(TO_TEXT('Respuestas de formulario 1'!G1206),""[^0-9]"",""""),2)=""54"",""+""&amp;REGEXREPLACE(TO_TEXT('Respuestas de formulario 1'!G1206),""[^0-9]"",""""),""+54""&amp;REGEXREPLACE(TO_TEXT('Respu"&amp;"estas de formulario 1'!G1206),""[^0-9]"","""")))"),"+543517341697")</f>
        <v>+543517341697</v>
      </c>
      <c r="H1206" s="7">
        <f>'Respuestas de formulario 1'!S1206</f>
        <v>2025</v>
      </c>
      <c r="I1206" s="7" t="str">
        <f>IFERROR(__xludf.DUMMYFUNCTION("IF('Respuestas de formulario 1'!I1206="""","""",TO_TEXT('Respuestas de formulario 1'!I1206))"),"Particular")</f>
        <v>Particular</v>
      </c>
      <c r="J1206" s="7" t="str">
        <f>IFERROR(__xludf.DUMMYFUNCTION("IF('Respuestas de formulario 1'!J1206&lt;&gt;"""",UPPER(TRIM(TO_TEXT('Respuestas de formulario 1'!J1206))),IF('Respuestas de formulario 1'!O1206&lt;&gt;"""",UPPER(TRIM(TO_TEXT('Respuestas de formulario 1'!O1206))),""""))"),"")</f>
        <v/>
      </c>
      <c r="K1206" s="7" t="str">
        <f>IFERROR(__xludf.DUMMYFUNCTION("IF('Respuestas de formulario 1'!K1206="""","""",TO_TEXT('Respuestas de formulario 1'!K1206))"),"Si")</f>
        <v>Si</v>
      </c>
      <c r="L1206" s="7" t="str">
        <f>IFERROR(__xludf.DUMMYFUNCTION("IF('Respuestas de formulario 1'!L1206="""","""",TO_TEXT('Respuestas de formulario 1'!L1206))"),"Padel")</f>
        <v>Padel</v>
      </c>
      <c r="M1206" s="7" t="str">
        <f>IFERROR(__xludf.DUMMYFUNCTION("IF('Respuestas de formulario 1'!M1206="""","""",TO_TEXT('Respuestas de formulario 1'!M1206))"),"3 a 5 veces por semana")</f>
        <v>3 a 5 veces por semana</v>
      </c>
      <c r="N1206" s="7">
        <f t="shared" si="1"/>
        <v>2025</v>
      </c>
      <c r="O1206" s="7" t="str">
        <f t="shared" si="2"/>
        <v>septiembre</v>
      </c>
      <c r="P1206" s="7" t="s">
        <v>6541</v>
      </c>
    </row>
    <row r="1207">
      <c r="A1207" s="19">
        <f>'Respuestas de formulario 1'!A1207</f>
        <v>45905.45304</v>
      </c>
      <c r="B1207" s="7" t="str">
        <f>'Respuestas de formulario 1'!B1207</f>
        <v>Garcia</v>
      </c>
      <c r="C1207" s="7" t="str">
        <f>'Respuestas de formulario 1'!C1207</f>
        <v>Nestor</v>
      </c>
      <c r="D1207" s="7" t="str">
        <f>'Respuestas de formulario 1'!D1207</f>
        <v>ngarcialopez@gmail.com</v>
      </c>
      <c r="E1207" s="20">
        <f>'Respuestas de formulario 1'!E1207</f>
        <v>27967</v>
      </c>
      <c r="F1207" s="7">
        <f>'Respuestas de formulario 1'!F1207</f>
        <v>25434048</v>
      </c>
      <c r="G1207" s="7" t="str">
        <f>IFERROR(__xludf.DUMMYFUNCTION("IF('Respuestas de formulario 1'!G1207="""","""",IF(LEFT(REGEXREPLACE(TO_TEXT('Respuestas de formulario 1'!G1207),""[^0-9]"",""""),2)=""54"",""+""&amp;REGEXREPLACE(TO_TEXT('Respuestas de formulario 1'!G1207),""[^0-9]"",""""),""+54""&amp;REGEXREPLACE(TO_TEXT('Respu"&amp;"estas de formulario 1'!G1207),""[^0-9]"","""")))"),"+543516228374")</f>
        <v>+543516228374</v>
      </c>
      <c r="H1207" s="7">
        <f>'Respuestas de formulario 1'!S1207</f>
        <v>2025</v>
      </c>
      <c r="I1207" s="7" t="str">
        <f>IFERROR(__xludf.DUMMYFUNCTION("IF('Respuestas de formulario 1'!I1207="""","""",TO_TEXT('Respuestas de formulario 1'!I1207))"),"Particular")</f>
        <v>Particular</v>
      </c>
      <c r="J1207" s="7" t="str">
        <f>IFERROR(__xludf.DUMMYFUNCTION("IF('Respuestas de formulario 1'!J1207&lt;&gt;"""",UPPER(TRIM(TO_TEXT('Respuestas de formulario 1'!J1207))),IF('Respuestas de formulario 1'!O1207&lt;&gt;"""",UPPER(TRIM(TO_TEXT('Respuestas de formulario 1'!O1207))),""""))"),"")</f>
        <v/>
      </c>
      <c r="K1207" s="7" t="str">
        <f>IFERROR(__xludf.DUMMYFUNCTION("IF('Respuestas de formulario 1'!K1207="""","""",TO_TEXT('Respuestas de formulario 1'!K1207))"),"Si")</f>
        <v>Si</v>
      </c>
      <c r="L1207" s="7" t="str">
        <f>IFERROR(__xludf.DUMMYFUNCTION("IF('Respuestas de formulario 1'!L1207="""","""",TO_TEXT('Respuestas de formulario 1'!L1207))"),"Gimnasio")</f>
        <v>Gimnasio</v>
      </c>
      <c r="M1207" s="7" t="str">
        <f>IFERROR(__xludf.DUMMYFUNCTION("IF('Respuestas de formulario 1'!M1207="""","""",TO_TEXT('Respuestas de formulario 1'!M1207))"),"3 a 5 veces por semana")</f>
        <v>3 a 5 veces por semana</v>
      </c>
      <c r="N1207" s="7">
        <f t="shared" si="1"/>
        <v>2025</v>
      </c>
      <c r="O1207" s="7" t="str">
        <f t="shared" si="2"/>
        <v>septiembre</v>
      </c>
      <c r="P1207" s="7" t="s">
        <v>6543</v>
      </c>
    </row>
    <row r="1208">
      <c r="A1208" s="19">
        <f>'Respuestas de formulario 1'!A1208</f>
        <v>45905.5076</v>
      </c>
      <c r="B1208" s="7" t="str">
        <f>'Respuestas de formulario 1'!B1208</f>
        <v>YACUZZI</v>
      </c>
      <c r="C1208" s="7" t="str">
        <f>'Respuestas de formulario 1'!C1208</f>
        <v>Florencia </v>
      </c>
      <c r="D1208" s="7" t="str">
        <f>'Respuestas de formulario 1'!D1208</f>
        <v>floor.yacuzzi@hotmail.com</v>
      </c>
      <c r="E1208" s="20">
        <f>'Respuestas de formulario 1'!E1208</f>
        <v>33098</v>
      </c>
      <c r="F1208" s="7">
        <f>'Respuestas de formulario 1'!F1208</f>
        <v>35526454</v>
      </c>
      <c r="G1208" s="7" t="str">
        <f>IFERROR(__xludf.DUMMYFUNCTION("IF('Respuestas de formulario 1'!G1208="""","""",IF(LEFT(REGEXREPLACE(TO_TEXT('Respuestas de formulario 1'!G1208),""[^0-9]"",""""),2)=""54"",""+""&amp;REGEXREPLACE(TO_TEXT('Respuestas de formulario 1'!G1208),""[^0-9]"",""""),""+54""&amp;REGEXREPLACE(TO_TEXT('Respu"&amp;"estas de formulario 1'!G1208),""[^0-9]"","""")))"),"+543516161934")</f>
        <v>+543516161934</v>
      </c>
      <c r="H1208" s="7">
        <f>'Respuestas de formulario 1'!S1208</f>
        <v>2025</v>
      </c>
      <c r="I1208" s="7" t="str">
        <f>IFERROR(__xludf.DUMMYFUNCTION("IF('Respuestas de formulario 1'!I1208="""","""",TO_TEXT('Respuestas de formulario 1'!I1208))"),"Obra social")</f>
        <v>Obra social</v>
      </c>
      <c r="J1208" s="7" t="str">
        <f>IFERROR(__xludf.DUMMYFUNCTION("IF('Respuestas de formulario 1'!J1208&lt;&gt;"""",UPPER(TRIM(TO_TEXT('Respuestas de formulario 1'!J1208))),IF('Respuestas de formulario 1'!O1208&lt;&gt;"""",UPPER(TRIM(TO_TEXT('Respuestas de formulario 1'!O1208))),""""))"),"SWISS MEDICAL")</f>
        <v>SWISS MEDICAL</v>
      </c>
      <c r="K1208" s="7" t="str">
        <f>IFERROR(__xludf.DUMMYFUNCTION("IF('Respuestas de formulario 1'!K1208="""","""",TO_TEXT('Respuestas de formulario 1'!K1208))"),"Si")</f>
        <v>Si</v>
      </c>
      <c r="L1208" s="7" t="str">
        <f>IFERROR(__xludf.DUMMYFUNCTION("IF('Respuestas de formulario 1'!L1208="""","""",TO_TEXT('Respuestas de formulario 1'!L1208))"),"Boxeo ")</f>
        <v>Boxeo </v>
      </c>
      <c r="M1208" s="7" t="str">
        <f>IFERROR(__xludf.DUMMYFUNCTION("IF('Respuestas de formulario 1'!M1208="""","""",TO_TEXT('Respuestas de formulario 1'!M1208))"),"3 a 5 veces por semana")</f>
        <v>3 a 5 veces por semana</v>
      </c>
      <c r="N1208" s="7">
        <f t="shared" si="1"/>
        <v>2025</v>
      </c>
      <c r="O1208" s="7" t="str">
        <f t="shared" si="2"/>
        <v>septiembre</v>
      </c>
      <c r="P1208" s="7" t="s">
        <v>6545</v>
      </c>
    </row>
    <row r="1209">
      <c r="A1209" s="19">
        <f>'Respuestas de formulario 1'!A1209</f>
        <v>45908.45442</v>
      </c>
      <c r="B1209" s="7" t="str">
        <f>'Respuestas de formulario 1'!B1209</f>
        <v>Argañaraz Pons</v>
      </c>
      <c r="C1209" s="7" t="str">
        <f>'Respuestas de formulario 1'!C1209</f>
        <v>Luciano Martín</v>
      </c>
      <c r="D1209" s="7" t="str">
        <f>'Respuestas de formulario 1'!D1209</f>
        <v>luciano.arganaraz4@gmail.com</v>
      </c>
      <c r="E1209" s="20">
        <f>'Respuestas de formulario 1'!E1209</f>
        <v>28782</v>
      </c>
      <c r="F1209" s="7">
        <f>'Respuestas de formulario 1'!F1209</f>
        <v>26904917</v>
      </c>
      <c r="G1209" s="7" t="str">
        <f>IFERROR(__xludf.DUMMYFUNCTION("IF('Respuestas de formulario 1'!G1209="""","""",IF(LEFT(REGEXREPLACE(TO_TEXT('Respuestas de formulario 1'!G1209),""[^0-9]"",""""),2)=""54"",""+""&amp;REGEXREPLACE(TO_TEXT('Respuestas de formulario 1'!G1209),""[^0-9]"",""""),""+54""&amp;REGEXREPLACE(TO_TEXT('Respu"&amp;"estas de formulario 1'!G1209),""[^0-9]"","""")))"),"+543516501002")</f>
        <v>+543516501002</v>
      </c>
      <c r="H1209" s="7">
        <f>'Respuestas de formulario 1'!S1209</f>
        <v>2025</v>
      </c>
      <c r="I1209" s="7" t="str">
        <f>IFERROR(__xludf.DUMMYFUNCTION("IF('Respuestas de formulario 1'!I1209="""","""",TO_TEXT('Respuestas de formulario 1'!I1209))"),"Particular")</f>
        <v>Particular</v>
      </c>
      <c r="J1209" s="7" t="str">
        <f>IFERROR(__xludf.DUMMYFUNCTION("IF('Respuestas de formulario 1'!J1209&lt;&gt;"""",UPPER(TRIM(TO_TEXT('Respuestas de formulario 1'!J1209))),IF('Respuestas de formulario 1'!O1209&lt;&gt;"""",UPPER(TRIM(TO_TEXT('Respuestas de formulario 1'!O1209))),""""))"),"")</f>
        <v/>
      </c>
      <c r="K1209" s="7" t="str">
        <f>IFERROR(__xludf.DUMMYFUNCTION("IF('Respuestas de formulario 1'!K1209="""","""",TO_TEXT('Respuestas de formulario 1'!K1209))"),"Si")</f>
        <v>Si</v>
      </c>
      <c r="L1209" s="7" t="str">
        <f>IFERROR(__xludf.DUMMYFUNCTION("IF('Respuestas de formulario 1'!L1209="""","""",TO_TEXT('Respuestas de formulario 1'!L1209))"),"Padel y caminatas")</f>
        <v>Padel y caminatas</v>
      </c>
      <c r="M1209" s="7" t="str">
        <f>IFERROR(__xludf.DUMMYFUNCTION("IF('Respuestas de formulario 1'!M1209="""","""",TO_TEXT('Respuestas de formulario 1'!M1209))"),"1 a 2 veces por semana")</f>
        <v>1 a 2 veces por semana</v>
      </c>
      <c r="N1209" s="7">
        <f t="shared" si="1"/>
        <v>2025</v>
      </c>
      <c r="O1209" s="7" t="str">
        <f t="shared" si="2"/>
        <v>septiembre</v>
      </c>
      <c r="P1209" s="7" t="s">
        <v>6547</v>
      </c>
    </row>
    <row r="1210">
      <c r="A1210" s="19">
        <f>'Respuestas de formulario 1'!A1210</f>
        <v>45908.83652</v>
      </c>
      <c r="B1210" s="7" t="str">
        <f>'Respuestas de formulario 1'!B1210</f>
        <v>RUFEIL</v>
      </c>
      <c r="C1210" s="7" t="str">
        <f>'Respuestas de formulario 1'!C1210</f>
        <v>EMILIANO JOSE</v>
      </c>
      <c r="D1210" s="7" t="str">
        <f>'Respuestas de formulario 1'!D1210</f>
        <v>emiliano_rufeil@hotmail.com</v>
      </c>
      <c r="E1210" s="20">
        <f>'Respuestas de formulario 1'!E1210</f>
        <v>28905</v>
      </c>
      <c r="F1210" s="7">
        <f>'Respuestas de formulario 1'!F1210</f>
        <v>27079963</v>
      </c>
      <c r="G1210" s="7" t="str">
        <f>IFERROR(__xludf.DUMMYFUNCTION("IF('Respuestas de formulario 1'!G1210="""","""",IF(LEFT(REGEXREPLACE(TO_TEXT('Respuestas de formulario 1'!G1210),""[^0-9]"",""""),2)=""54"",""+""&amp;REGEXREPLACE(TO_TEXT('Respuestas de formulario 1'!G1210),""[^0-9]"",""""),""+54""&amp;REGEXREPLACE(TO_TEXT('Respu"&amp;"estas de formulario 1'!G1210),""[^0-9]"","""")))"),"+543513286687")</f>
        <v>+543513286687</v>
      </c>
      <c r="H1210" s="7">
        <f>'Respuestas de formulario 1'!S1210</f>
        <v>2025</v>
      </c>
      <c r="I1210" s="7" t="str">
        <f>IFERROR(__xludf.DUMMYFUNCTION("IF('Respuestas de formulario 1'!I1210="""","""",TO_TEXT('Respuestas de formulario 1'!I1210))"),"Particular")</f>
        <v>Particular</v>
      </c>
      <c r="J1210" s="7" t="str">
        <f>IFERROR(__xludf.DUMMYFUNCTION("IF('Respuestas de formulario 1'!J1210&lt;&gt;"""",UPPER(TRIM(TO_TEXT('Respuestas de formulario 1'!J1210))),IF('Respuestas de formulario 1'!O1210&lt;&gt;"""",UPPER(TRIM(TO_TEXT('Respuestas de formulario 1'!O1210))),""""))"),"")</f>
        <v/>
      </c>
      <c r="K1210" s="7" t="str">
        <f>IFERROR(__xludf.DUMMYFUNCTION("IF('Respuestas de formulario 1'!K1210="""","""",TO_TEXT('Respuestas de formulario 1'!K1210))"),"Si")</f>
        <v>Si</v>
      </c>
      <c r="L1210" s="7" t="str">
        <f>IFERROR(__xludf.DUMMYFUNCTION("IF('Respuestas de formulario 1'!L1210="""","""",TO_TEXT('Respuestas de formulario 1'!L1210))"),"Fútbol")</f>
        <v>Fútbol</v>
      </c>
      <c r="M1210" s="7" t="str">
        <f>IFERROR(__xludf.DUMMYFUNCTION("IF('Respuestas de formulario 1'!M1210="""","""",TO_TEXT('Respuestas de formulario 1'!M1210))"),"1 a 2 veces por semana")</f>
        <v>1 a 2 veces por semana</v>
      </c>
      <c r="N1210" s="7">
        <f t="shared" si="1"/>
        <v>2025</v>
      </c>
      <c r="O1210" s="7" t="str">
        <f t="shared" si="2"/>
        <v>septiembre</v>
      </c>
      <c r="P1210" s="7" t="s">
        <v>6549</v>
      </c>
    </row>
    <row r="1211">
      <c r="A1211" s="19">
        <f>'Respuestas de formulario 1'!A1211</f>
        <v>45908.87194</v>
      </c>
      <c r="B1211" s="7" t="str">
        <f>'Respuestas de formulario 1'!B1211</f>
        <v>Juarez</v>
      </c>
      <c r="C1211" s="7" t="str">
        <f>'Respuestas de formulario 1'!C1211</f>
        <v>Cristina Noemi </v>
      </c>
      <c r="D1211" s="7" t="str">
        <f>'Respuestas de formulario 1'!D1211</f>
        <v>cristinajuarez12@hotmail.com</v>
      </c>
      <c r="E1211" s="20">
        <f>'Respuestas de formulario 1'!E1211</f>
        <v>22631</v>
      </c>
      <c r="F1211" s="7">
        <f>'Respuestas de formulario 1'!F1211</f>
        <v>14633956</v>
      </c>
      <c r="G1211" s="7" t="str">
        <f>IFERROR(__xludf.DUMMYFUNCTION("IF('Respuestas de formulario 1'!G1211="""","""",IF(LEFT(REGEXREPLACE(TO_TEXT('Respuestas de formulario 1'!G1211),""[^0-9]"",""""),2)=""54"",""+""&amp;REGEXREPLACE(TO_TEXT('Respuestas de formulario 1'!G1211),""[^0-9]"",""""),""+54""&amp;REGEXREPLACE(TO_TEXT('Respu"&amp;"estas de formulario 1'!G1211),""[^0-9]"","""")))"),"+543516961076")</f>
        <v>+543516961076</v>
      </c>
      <c r="H1211" s="7">
        <f>'Respuestas de formulario 1'!S1211</f>
        <v>2025</v>
      </c>
      <c r="I1211" s="7" t="str">
        <f>IFERROR(__xludf.DUMMYFUNCTION("IF('Respuestas de formulario 1'!I1211="""","""",TO_TEXT('Respuestas de formulario 1'!I1211))"),"Obra social")</f>
        <v>Obra social</v>
      </c>
      <c r="J1211" s="7" t="str">
        <f>IFERROR(__xludf.DUMMYFUNCTION("IF('Respuestas de formulario 1'!J1211&lt;&gt;"""",UPPER(TRIM(TO_TEXT('Respuestas de formulario 1'!J1211))),IF('Respuestas de formulario 1'!O1211&lt;&gt;"""",UPPER(TRIM(TO_TEXT('Respuestas de formulario 1'!O1211))),""""))"),"")</f>
        <v/>
      </c>
      <c r="K1211" s="7" t="str">
        <f>IFERROR(__xludf.DUMMYFUNCTION("IF('Respuestas de formulario 1'!K1211="""","""",TO_TEXT('Respuestas de formulario 1'!K1211))"),"Si")</f>
        <v>Si</v>
      </c>
      <c r="L1211" s="7" t="str">
        <f>IFERROR(__xludf.DUMMYFUNCTION("IF('Respuestas de formulario 1'!L1211="""","""",TO_TEXT('Respuestas de formulario 1'!L1211))"),"Gimnasio")</f>
        <v>Gimnasio</v>
      </c>
      <c r="M1211" s="7" t="str">
        <f>IFERROR(__xludf.DUMMYFUNCTION("IF('Respuestas de formulario 1'!M1211="""","""",TO_TEXT('Respuestas de formulario 1'!M1211))"),"1 a 2 veces por semana")</f>
        <v>1 a 2 veces por semana</v>
      </c>
      <c r="N1211" s="7">
        <f t="shared" si="1"/>
        <v>2025</v>
      </c>
      <c r="O1211" s="7" t="str">
        <f t="shared" si="2"/>
        <v>septiembre</v>
      </c>
      <c r="P1211" s="7" t="s">
        <v>6551</v>
      </c>
    </row>
    <row r="1212">
      <c r="A1212" s="19">
        <f>'Respuestas de formulario 1'!A1212</f>
        <v>45908.9201</v>
      </c>
      <c r="B1212" s="7" t="str">
        <f>'Respuestas de formulario 1'!B1212</f>
        <v>Moyano </v>
      </c>
      <c r="C1212" s="7" t="str">
        <f>'Respuestas de formulario 1'!C1212</f>
        <v>Gonzalo </v>
      </c>
      <c r="D1212" s="7" t="str">
        <f>'Respuestas de formulario 1'!D1212</f>
        <v>Gonzamoyano@icloud.com</v>
      </c>
      <c r="E1212" s="20">
        <f>'Respuestas de formulario 1'!E1212</f>
        <v>35096</v>
      </c>
      <c r="F1212" s="7">
        <f>'Respuestas de formulario 1'!F1212</f>
        <v>39494934</v>
      </c>
      <c r="G1212" s="7" t="str">
        <f>IFERROR(__xludf.DUMMYFUNCTION("IF('Respuestas de formulario 1'!G1212="""","""",IF(LEFT(REGEXREPLACE(TO_TEXT('Respuestas de formulario 1'!G1212),""[^0-9]"",""""),2)=""54"",""+""&amp;REGEXREPLACE(TO_TEXT('Respuestas de formulario 1'!G1212),""[^0-9]"",""""),""+54""&amp;REGEXREPLACE(TO_TEXT('Respu"&amp;"estas de formulario 1'!G1212),""[^0-9]"","""")))"),"+543517690758")</f>
        <v>+543517690758</v>
      </c>
      <c r="H1212" s="7">
        <f>'Respuestas de formulario 1'!S1212</f>
        <v>2025</v>
      </c>
      <c r="I1212" s="7" t="str">
        <f>IFERROR(__xludf.DUMMYFUNCTION("IF('Respuestas de formulario 1'!I1212="""","""",TO_TEXT('Respuestas de formulario 1'!I1212))"),"Particular")</f>
        <v>Particular</v>
      </c>
      <c r="J1212" s="7" t="str">
        <f>IFERROR(__xludf.DUMMYFUNCTION("IF('Respuestas de formulario 1'!J1212&lt;&gt;"""",UPPER(TRIM(TO_TEXT('Respuestas de formulario 1'!J1212))),IF('Respuestas de formulario 1'!O1212&lt;&gt;"""",UPPER(TRIM(TO_TEXT('Respuestas de formulario 1'!O1212))),""""))"),"")</f>
        <v/>
      </c>
      <c r="K1212" s="7" t="str">
        <f>IFERROR(__xludf.DUMMYFUNCTION("IF('Respuestas de formulario 1'!K1212="""","""",TO_TEXT('Respuestas de formulario 1'!K1212))"),"Si")</f>
        <v>Si</v>
      </c>
      <c r="L1212" s="7" t="str">
        <f>IFERROR(__xludf.DUMMYFUNCTION("IF('Respuestas de formulario 1'!L1212="""","""",TO_TEXT('Respuestas de formulario 1'!L1212))"),"Fútbol")</f>
        <v>Fútbol</v>
      </c>
      <c r="M1212" s="7" t="str">
        <f>IFERROR(__xludf.DUMMYFUNCTION("IF('Respuestas de formulario 1'!M1212="""","""",TO_TEXT('Respuestas de formulario 1'!M1212))"),"1 a 2 veces por semana")</f>
        <v>1 a 2 veces por semana</v>
      </c>
      <c r="N1212" s="7">
        <f t="shared" si="1"/>
        <v>2025</v>
      </c>
      <c r="O1212" s="7" t="str">
        <f t="shared" si="2"/>
        <v>septiembre</v>
      </c>
      <c r="P1212" s="7" t="s">
        <v>6553</v>
      </c>
    </row>
    <row r="1213">
      <c r="A1213" s="19">
        <f>'Respuestas de formulario 1'!A1213</f>
        <v>45910.4062</v>
      </c>
      <c r="B1213" s="7" t="str">
        <f>'Respuestas de formulario 1'!B1213</f>
        <v>Diaz </v>
      </c>
      <c r="C1213" s="7" t="str">
        <f>'Respuestas de formulario 1'!C1213</f>
        <v>Belén </v>
      </c>
      <c r="D1213" s="7" t="str">
        <f>'Respuestas de formulario 1'!D1213</f>
        <v>beludiaz139@gmail.com</v>
      </c>
      <c r="E1213" s="20">
        <f>'Respuestas de formulario 1'!E1213</f>
        <v>33733</v>
      </c>
      <c r="F1213" s="7">
        <f>'Respuestas de formulario 1'!F1213</f>
        <v>36235982</v>
      </c>
      <c r="G1213" s="7" t="str">
        <f>IFERROR(__xludf.DUMMYFUNCTION("IF('Respuestas de formulario 1'!G1213="""","""",IF(LEFT(REGEXREPLACE(TO_TEXT('Respuestas de formulario 1'!G1213),""[^0-9]"",""""),2)=""54"",""+""&amp;REGEXREPLACE(TO_TEXT('Respuestas de formulario 1'!G1213),""[^0-9]"",""""),""+54""&amp;REGEXREPLACE(TO_TEXT('Respu"&amp;"estas de formulario 1'!G1213),""[^0-9]"","""")))"),"+543513376930")</f>
        <v>+543513376930</v>
      </c>
      <c r="H1213" s="7">
        <f>'Respuestas de formulario 1'!S1213</f>
        <v>2025</v>
      </c>
      <c r="I1213" s="7" t="str">
        <f>IFERROR(__xludf.DUMMYFUNCTION("IF('Respuestas de formulario 1'!I1213="""","""",TO_TEXT('Respuestas de formulario 1'!I1213))"),"Obra social")</f>
        <v>Obra social</v>
      </c>
      <c r="J1213" s="7" t="str">
        <f>IFERROR(__xludf.DUMMYFUNCTION("IF('Respuestas de formulario 1'!J1213&lt;&gt;"""",UPPER(TRIM(TO_TEXT('Respuestas de formulario 1'!J1213))),IF('Respuestas de formulario 1'!O1213&lt;&gt;"""",UPPER(TRIM(TO_TEXT('Respuestas de formulario 1'!O1213))),""""))"),"SWISS MEDICAL")</f>
        <v>SWISS MEDICAL</v>
      </c>
      <c r="K1213" s="7" t="str">
        <f>IFERROR(__xludf.DUMMYFUNCTION("IF('Respuestas de formulario 1'!K1213="""","""",TO_TEXT('Respuestas de formulario 1'!K1213))"),"No")</f>
        <v>No</v>
      </c>
      <c r="L1213" s="7" t="str">
        <f>IFERROR(__xludf.DUMMYFUNCTION("IF('Respuestas de formulario 1'!L1213="""","""",TO_TEXT('Respuestas de formulario 1'!L1213))"),"")</f>
        <v/>
      </c>
      <c r="M1213" s="7" t="str">
        <f>IFERROR(__xludf.DUMMYFUNCTION("IF('Respuestas de formulario 1'!M1213="""","""",TO_TEXT('Respuestas de formulario 1'!M1213))"),"")</f>
        <v/>
      </c>
      <c r="N1213" s="7">
        <f t="shared" si="1"/>
        <v>2025</v>
      </c>
      <c r="O1213" s="7" t="str">
        <f t="shared" si="2"/>
        <v>septiembre</v>
      </c>
      <c r="P1213" s="7" t="s">
        <v>6555</v>
      </c>
    </row>
    <row r="1214">
      <c r="A1214" s="19">
        <f>'Respuestas de formulario 1'!A1214</f>
        <v>45910.46871</v>
      </c>
      <c r="B1214" s="7" t="str">
        <f>'Respuestas de formulario 1'!B1214</f>
        <v>PARTEMI</v>
      </c>
      <c r="C1214" s="7" t="str">
        <f>'Respuestas de formulario 1'!C1214</f>
        <v>Mileva</v>
      </c>
      <c r="D1214" s="7" t="str">
        <f>'Respuestas de formulario 1'!D1214</f>
        <v>ivonplocki@hotmail.com</v>
      </c>
      <c r="E1214" s="20">
        <f>'Respuestas de formulario 1'!E1214</f>
        <v>40094</v>
      </c>
      <c r="F1214" s="7">
        <f>'Respuestas de formulario 1'!F1214</f>
        <v>49587092</v>
      </c>
      <c r="G1214" s="7" t="str">
        <f>IFERROR(__xludf.DUMMYFUNCTION("IF('Respuestas de formulario 1'!G1214="""","""",IF(LEFT(REGEXREPLACE(TO_TEXT('Respuestas de formulario 1'!G1214),""[^0-9]"",""""),2)=""54"",""+""&amp;REGEXREPLACE(TO_TEXT('Respuestas de formulario 1'!G1214),""[^0-9]"",""""),""+54""&amp;REGEXREPLACE(TO_TEXT('Respu"&amp;"estas de formulario 1'!G1214),""[^0-9]"","""")))"),"+543513906121")</f>
        <v>+543513906121</v>
      </c>
      <c r="H1214" s="7">
        <f>'Respuestas de formulario 1'!S1214</f>
        <v>2025</v>
      </c>
      <c r="I1214" s="7" t="str">
        <f>IFERROR(__xludf.DUMMYFUNCTION("IF('Respuestas de formulario 1'!I1214="""","""",TO_TEXT('Respuestas de formulario 1'!I1214))"),"Obra social")</f>
        <v>Obra social</v>
      </c>
      <c r="J1214" s="7" t="str">
        <f>IFERROR(__xludf.DUMMYFUNCTION("IF('Respuestas de formulario 1'!J1214&lt;&gt;"""",UPPER(TRIM(TO_TEXT('Respuestas de formulario 1'!J1214))),IF('Respuestas de formulario 1'!O1214&lt;&gt;"""",UPPER(TRIM(TO_TEXT('Respuestas de formulario 1'!O1214))),""""))"),"OSSEG PLAN INTEGRAL")</f>
        <v>OSSEG PLAN INTEGRAL</v>
      </c>
      <c r="K1214" s="7" t="str">
        <f>IFERROR(__xludf.DUMMYFUNCTION("IF('Respuestas de formulario 1'!K1214="""","""",TO_TEXT('Respuestas de formulario 1'!K1214))"),"Si")</f>
        <v>Si</v>
      </c>
      <c r="L1214" s="7" t="str">
        <f>IFERROR(__xludf.DUMMYFUNCTION("IF('Respuestas de formulario 1'!L1214="""","""",TO_TEXT('Respuestas de formulario 1'!L1214))"),"HOCKEY")</f>
        <v>HOCKEY</v>
      </c>
      <c r="M1214" s="7" t="str">
        <f>IFERROR(__xludf.DUMMYFUNCTION("IF('Respuestas de formulario 1'!M1214="""","""",TO_TEXT('Respuestas de formulario 1'!M1214))"),"3 a 5 veces por semana")</f>
        <v>3 a 5 veces por semana</v>
      </c>
      <c r="N1214" s="7">
        <f t="shared" si="1"/>
        <v>2025</v>
      </c>
      <c r="O1214" s="7" t="str">
        <f t="shared" si="2"/>
        <v>septiembre</v>
      </c>
      <c r="P1214" s="7" t="s">
        <v>6557</v>
      </c>
    </row>
    <row r="1215">
      <c r="A1215" s="19">
        <f>'Respuestas de formulario 1'!A1215</f>
        <v>45910.56513</v>
      </c>
      <c r="B1215" s="7" t="str">
        <f>'Respuestas de formulario 1'!B1215</f>
        <v>Cecconello</v>
      </c>
      <c r="C1215" s="7" t="str">
        <f>'Respuestas de formulario 1'!C1215</f>
        <v>Franco</v>
      </c>
      <c r="D1215" s="7" t="str">
        <f>'Respuestas de formulario 1'!D1215</f>
        <v>francocecconello@hotmail.com</v>
      </c>
      <c r="E1215" s="20">
        <f>'Respuestas de formulario 1'!E1215</f>
        <v>32872</v>
      </c>
      <c r="F1215" s="7">
        <f>'Respuestas de formulario 1'!F1215</f>
        <v>34988214</v>
      </c>
      <c r="G1215" s="7" t="str">
        <f>IFERROR(__xludf.DUMMYFUNCTION("IF('Respuestas de formulario 1'!G1215="""","""",IF(LEFT(REGEXREPLACE(TO_TEXT('Respuestas de formulario 1'!G1215),""[^0-9]"",""""),2)=""54"",""+""&amp;REGEXREPLACE(TO_TEXT('Respuestas de formulario 1'!G1215),""[^0-9]"",""""),""+54""&amp;REGEXREPLACE(TO_TEXT('Respu"&amp;"estas de formulario 1'!G1215),""[^0-9]"","""")))"),"+543516185307")</f>
        <v>+543516185307</v>
      </c>
      <c r="H1215" s="7">
        <f>'Respuestas de formulario 1'!S1215</f>
        <v>2025</v>
      </c>
      <c r="I1215" s="7" t="str">
        <f>IFERROR(__xludf.DUMMYFUNCTION("IF('Respuestas de formulario 1'!I1215="""","""",TO_TEXT('Respuestas de formulario 1'!I1215))"),"Obra social")</f>
        <v>Obra social</v>
      </c>
      <c r="J1215" s="7" t="str">
        <f>IFERROR(__xludf.DUMMYFUNCTION("IF('Respuestas de formulario 1'!J1215&lt;&gt;"""",UPPER(TRIM(TO_TEXT('Respuestas de formulario 1'!J1215))),IF('Respuestas de formulario 1'!O1215&lt;&gt;"""",UPPER(TRIM(TO_TEXT('Respuestas de formulario 1'!O1215))),""""))"),"PREVENCIÓN")</f>
        <v>PREVENCIÓN</v>
      </c>
      <c r="K1215" s="7" t="str">
        <f>IFERROR(__xludf.DUMMYFUNCTION("IF('Respuestas de formulario 1'!K1215="""","""",TO_TEXT('Respuestas de formulario 1'!K1215))"),"Si")</f>
        <v>Si</v>
      </c>
      <c r="L1215" s="7" t="str">
        <f>IFERROR(__xludf.DUMMYFUNCTION("IF('Respuestas de formulario 1'!L1215="""","""",TO_TEXT('Respuestas de formulario 1'!L1215))"),"Tenis")</f>
        <v>Tenis</v>
      </c>
      <c r="M1215" s="7" t="str">
        <f>IFERROR(__xludf.DUMMYFUNCTION("IF('Respuestas de formulario 1'!M1215="""","""",TO_TEXT('Respuestas de formulario 1'!M1215))"),"1 a 2 veces por semana")</f>
        <v>1 a 2 veces por semana</v>
      </c>
      <c r="N1215" s="7">
        <f t="shared" si="1"/>
        <v>2025</v>
      </c>
      <c r="O1215" s="7" t="str">
        <f t="shared" si="2"/>
        <v>septiembre</v>
      </c>
      <c r="P1215" s="7" t="s">
        <v>6559</v>
      </c>
    </row>
    <row r="1216">
      <c r="A1216" s="19">
        <f>'Respuestas de formulario 1'!A1216</f>
        <v>45910.78968</v>
      </c>
      <c r="B1216" s="7" t="str">
        <f>'Respuestas de formulario 1'!B1216</f>
        <v>Monteverde</v>
      </c>
      <c r="C1216" s="7" t="str">
        <f>'Respuestas de formulario 1'!C1216</f>
        <v>Diego</v>
      </c>
      <c r="D1216" s="7" t="str">
        <f>'Respuestas de formulario 1'!D1216</f>
        <v>dmonteverdee@gmail.com</v>
      </c>
      <c r="E1216" s="20">
        <f>'Respuestas de formulario 1'!E1216</f>
        <v>28536</v>
      </c>
      <c r="F1216" s="7">
        <f>'Respuestas de formulario 1'!F1216</f>
        <v>26286571</v>
      </c>
      <c r="G1216" s="7" t="str">
        <f>IFERROR(__xludf.DUMMYFUNCTION("IF('Respuestas de formulario 1'!G1216="""","""",IF(LEFT(REGEXREPLACE(TO_TEXT('Respuestas de formulario 1'!G1216),""[^0-9]"",""""),2)=""54"",""+""&amp;REGEXREPLACE(TO_TEXT('Respuestas de formulario 1'!G1216),""[^0-9]"",""""),""+54""&amp;REGEXREPLACE(TO_TEXT('Respu"&amp;"estas de formulario 1'!G1216),""[^0-9]"","""")))"),"+543518097455")</f>
        <v>+543518097455</v>
      </c>
      <c r="H1216" s="7">
        <f>'Respuestas de formulario 1'!S1216</f>
        <v>2025</v>
      </c>
      <c r="I1216" s="7" t="str">
        <f>IFERROR(__xludf.DUMMYFUNCTION("IF('Respuestas de formulario 1'!I1216="""","""",TO_TEXT('Respuestas de formulario 1'!I1216))"),"Obra social")</f>
        <v>Obra social</v>
      </c>
      <c r="J1216" s="7" t="str">
        <f>IFERROR(__xludf.DUMMYFUNCTION("IF('Respuestas de formulario 1'!J1216&lt;&gt;"""",UPPER(TRIM(TO_TEXT('Respuestas de formulario 1'!J1216))),IF('Respuestas de formulario 1'!O1216&lt;&gt;"""",UPPER(TRIM(TO_TEXT('Respuestas de formulario 1'!O1216))),""""))"),"MEDIFE")</f>
        <v>MEDIFE</v>
      </c>
      <c r="K1216" s="7" t="str">
        <f>IFERROR(__xludf.DUMMYFUNCTION("IF('Respuestas de formulario 1'!K1216="""","""",TO_TEXT('Respuestas de formulario 1'!K1216))"),"Si")</f>
        <v>Si</v>
      </c>
      <c r="L1216" s="7" t="str">
        <f>IFERROR(__xludf.DUMMYFUNCTION("IF('Respuestas de formulario 1'!L1216="""","""",TO_TEXT('Respuestas de formulario 1'!L1216))"),"Gimnasio")</f>
        <v>Gimnasio</v>
      </c>
      <c r="M1216" s="7" t="str">
        <f>IFERROR(__xludf.DUMMYFUNCTION("IF('Respuestas de formulario 1'!M1216="""","""",TO_TEXT('Respuestas de formulario 1'!M1216))"),"1 a 2 veces por semana")</f>
        <v>1 a 2 veces por semana</v>
      </c>
      <c r="N1216" s="7">
        <f t="shared" si="1"/>
        <v>2025</v>
      </c>
      <c r="O1216" s="7" t="str">
        <f t="shared" si="2"/>
        <v>septiembre</v>
      </c>
      <c r="P1216" s="7" t="s">
        <v>6561</v>
      </c>
    </row>
    <row r="1217">
      <c r="A1217" s="19">
        <f>'Respuestas de formulario 1'!A1217</f>
        <v>45910.79231</v>
      </c>
      <c r="B1217" s="7" t="str">
        <f>'Respuestas de formulario 1'!B1217</f>
        <v>Sanchez</v>
      </c>
      <c r="C1217" s="7" t="str">
        <f>'Respuestas de formulario 1'!C1217</f>
        <v>Raul</v>
      </c>
      <c r="D1217" s="7" t="str">
        <f>'Respuestas de formulario 1'!D1217</f>
        <v/>
      </c>
      <c r="E1217" s="20">
        <f>'Respuestas de formulario 1'!E1217</f>
        <v>16472</v>
      </c>
      <c r="F1217" s="7">
        <f>'Respuestas de formulario 1'!F1217</f>
        <v>6696399</v>
      </c>
      <c r="G1217" s="7" t="str">
        <f>IFERROR(__xludf.DUMMYFUNCTION("IF('Respuestas de formulario 1'!G1217="""","""",IF(LEFT(REGEXREPLACE(TO_TEXT('Respuestas de formulario 1'!G1217),""[^0-9]"",""""),2)=""54"",""+""&amp;REGEXREPLACE(TO_TEXT('Respuestas de formulario 1'!G1217),""[^0-9]"",""""),""+54""&amp;REGEXREPLACE(TO_TEXT('Respu"&amp;"estas de formulario 1'!G1217),""[^0-9]"","""")))"),"+543516267403")</f>
        <v>+543516267403</v>
      </c>
      <c r="H1217" s="7">
        <f>'Respuestas de formulario 1'!S1217</f>
        <v>2025</v>
      </c>
      <c r="I1217" s="7" t="str">
        <f>IFERROR(__xludf.DUMMYFUNCTION("IF('Respuestas de formulario 1'!I1217="""","""",TO_TEXT('Respuestas de formulario 1'!I1217))"),"Obra social")</f>
        <v>Obra social</v>
      </c>
      <c r="J1217" s="7" t="str">
        <f>IFERROR(__xludf.DUMMYFUNCTION("IF('Respuestas de formulario 1'!J1217&lt;&gt;"""",UPPER(TRIM(TO_TEXT('Respuestas de formulario 1'!J1217))),IF('Respuestas de formulario 1'!O1217&lt;&gt;"""",UPPER(TRIM(TO_TEXT('Respuestas de formulario 1'!O1217))),""""))"),"APROSS")</f>
        <v>APROSS</v>
      </c>
      <c r="K1217" s="7" t="str">
        <f>IFERROR(__xludf.DUMMYFUNCTION("IF('Respuestas de formulario 1'!K1217="""","""",TO_TEXT('Respuestas de formulario 1'!K1217))"),"Si")</f>
        <v>Si</v>
      </c>
      <c r="L1217" s="7" t="str">
        <f>IFERROR(__xludf.DUMMYFUNCTION("IF('Respuestas de formulario 1'!L1217="""","""",TO_TEXT('Respuestas de formulario 1'!L1217))"),"Natacion")</f>
        <v>Natacion</v>
      </c>
      <c r="M1217" s="7" t="str">
        <f>IFERROR(__xludf.DUMMYFUNCTION("IF('Respuestas de formulario 1'!M1217="""","""",TO_TEXT('Respuestas de formulario 1'!M1217))"),"1 a 2 veces por semana")</f>
        <v>1 a 2 veces por semana</v>
      </c>
      <c r="N1217" s="7">
        <f t="shared" si="1"/>
        <v>2025</v>
      </c>
      <c r="O1217" s="7" t="str">
        <f t="shared" si="2"/>
        <v>septiembre</v>
      </c>
      <c r="P1217" s="7" t="s">
        <v>6563</v>
      </c>
    </row>
    <row r="1218">
      <c r="A1218" s="19">
        <f>'Respuestas de formulario 1'!A1218</f>
        <v>45911.47753</v>
      </c>
      <c r="B1218" s="7" t="str">
        <f>'Respuestas de formulario 1'!B1218</f>
        <v>Calles</v>
      </c>
      <c r="C1218" s="7" t="str">
        <f>'Respuestas de formulario 1'!C1218</f>
        <v>Brenda</v>
      </c>
      <c r="D1218" s="7" t="str">
        <f>'Respuestas de formulario 1'!D1218</f>
        <v>brendacalles@hotmail.com</v>
      </c>
      <c r="E1218" s="20">
        <f>'Respuestas de formulario 1'!E1218</f>
        <v>35090</v>
      </c>
      <c r="F1218" s="7">
        <f>'Respuestas de formulario 1'!F1218</f>
        <v>39445451</v>
      </c>
      <c r="G1218" s="7" t="str">
        <f>IFERROR(__xludf.DUMMYFUNCTION("IF('Respuestas de formulario 1'!G1218="""","""",IF(LEFT(REGEXREPLACE(TO_TEXT('Respuestas de formulario 1'!G1218),""[^0-9]"",""""),2)=""54"",""+""&amp;REGEXREPLACE(TO_TEXT('Respuestas de formulario 1'!G1218),""[^0-9]"",""""),""+54""&amp;REGEXREPLACE(TO_TEXT('Respu"&amp;"estas de formulario 1'!G1218),""[^0-9]"","""")))"),"+543516182735")</f>
        <v>+543516182735</v>
      </c>
      <c r="H1218" s="7">
        <f>'Respuestas de formulario 1'!S1218</f>
        <v>2025</v>
      </c>
      <c r="I1218" s="7" t="str">
        <f>IFERROR(__xludf.DUMMYFUNCTION("IF('Respuestas de formulario 1'!I1218="""","""",TO_TEXT('Respuestas de formulario 1'!I1218))"),"Particular")</f>
        <v>Particular</v>
      </c>
      <c r="J1218" s="7" t="str">
        <f>IFERROR(__xludf.DUMMYFUNCTION("IF('Respuestas de formulario 1'!J1218&lt;&gt;"""",UPPER(TRIM(TO_TEXT('Respuestas de formulario 1'!J1218))),IF('Respuestas de formulario 1'!O1218&lt;&gt;"""",UPPER(TRIM(TO_TEXT('Respuestas de formulario 1'!O1218))),""""))"),"")</f>
        <v/>
      </c>
      <c r="K1218" s="7" t="str">
        <f>IFERROR(__xludf.DUMMYFUNCTION("IF('Respuestas de formulario 1'!K1218="""","""",TO_TEXT('Respuestas de formulario 1'!K1218))"),"Si")</f>
        <v>Si</v>
      </c>
      <c r="L1218" s="7" t="str">
        <f>IFERROR(__xludf.DUMMYFUNCTION("IF('Respuestas de formulario 1'!L1218="""","""",TO_TEXT('Respuestas de formulario 1'!L1218))"),"Gimnasio")</f>
        <v>Gimnasio</v>
      </c>
      <c r="M1218" s="7" t="str">
        <f>IFERROR(__xludf.DUMMYFUNCTION("IF('Respuestas de formulario 1'!M1218="""","""",TO_TEXT('Respuestas de formulario 1'!M1218))"),"3 a 5 veces por semana")</f>
        <v>3 a 5 veces por semana</v>
      </c>
      <c r="N1218" s="7">
        <f t="shared" si="1"/>
        <v>2025</v>
      </c>
      <c r="O1218" s="7" t="str">
        <f t="shared" si="2"/>
        <v>septiembre</v>
      </c>
      <c r="P1218" s="7" t="s">
        <v>6565</v>
      </c>
    </row>
    <row r="1219">
      <c r="A1219" s="19">
        <f>'Respuestas de formulario 1'!A1219</f>
        <v>45911.58304</v>
      </c>
      <c r="B1219" s="7" t="str">
        <f>'Respuestas de formulario 1'!B1219</f>
        <v>Muñoz</v>
      </c>
      <c r="C1219" s="7" t="str">
        <f>'Respuestas de formulario 1'!C1219</f>
        <v>Lara Valentina</v>
      </c>
      <c r="D1219" s="7" t="str">
        <f>'Respuestas de formulario 1'!D1219</f>
        <v>laravalentinamz@gmail.com</v>
      </c>
      <c r="E1219" s="20">
        <f>'Respuestas de formulario 1'!E1219</f>
        <v>37190</v>
      </c>
      <c r="F1219" s="7">
        <f>'Respuestas de formulario 1'!F1219</f>
        <v>43498290</v>
      </c>
      <c r="G1219" s="7" t="str">
        <f>IFERROR(__xludf.DUMMYFUNCTION("IF('Respuestas de formulario 1'!G1219="""","""",IF(LEFT(REGEXREPLACE(TO_TEXT('Respuestas de formulario 1'!G1219),""[^0-9]"",""""),2)=""54"",""+""&amp;REGEXREPLACE(TO_TEXT('Respuestas de formulario 1'!G1219),""[^0-9]"",""""),""+54""&amp;REGEXREPLACE(TO_TEXT('Respu"&amp;"estas de formulario 1'!G1219),""[^0-9]"","""")))"),"+542964542350")</f>
        <v>+542964542350</v>
      </c>
      <c r="H1219" s="7">
        <f>'Respuestas de formulario 1'!S1219</f>
        <v>2025</v>
      </c>
      <c r="I1219" s="7" t="str">
        <f>IFERROR(__xludf.DUMMYFUNCTION("IF('Respuestas de formulario 1'!I1219="""","""",TO_TEXT('Respuestas de formulario 1'!I1219))"),"Obra social")</f>
        <v>Obra social</v>
      </c>
      <c r="J1219" s="7" t="str">
        <f>IFERROR(__xludf.DUMMYFUNCTION("IF('Respuestas de formulario 1'!J1219&lt;&gt;"""",UPPER(TRIM(TO_TEXT('Respuestas de formulario 1'!J1219))),IF('Respuestas de formulario 1'!O1219&lt;&gt;"""",UPPER(TRIM(TO_TEXT('Respuestas de formulario 1'!O1219))),""""))"),"MEDIFE")</f>
        <v>MEDIFE</v>
      </c>
      <c r="K1219" s="7" t="str">
        <f>IFERROR(__xludf.DUMMYFUNCTION("IF('Respuestas de formulario 1'!K1219="""","""",TO_TEXT('Respuestas de formulario 1'!K1219))"),"No")</f>
        <v>No</v>
      </c>
      <c r="L1219" s="7" t="str">
        <f>IFERROR(__xludf.DUMMYFUNCTION("IF('Respuestas de formulario 1'!L1219="""","""",TO_TEXT('Respuestas de formulario 1'!L1219))"),"")</f>
        <v/>
      </c>
      <c r="M1219" s="7" t="str">
        <f>IFERROR(__xludf.DUMMYFUNCTION("IF('Respuestas de formulario 1'!M1219="""","""",TO_TEXT('Respuestas de formulario 1'!M1219))"),"")</f>
        <v/>
      </c>
      <c r="N1219" s="7">
        <f t="shared" si="1"/>
        <v>2025</v>
      </c>
      <c r="O1219" s="7" t="str">
        <f t="shared" si="2"/>
        <v>septiembre</v>
      </c>
      <c r="P1219" s="7" t="s">
        <v>6567</v>
      </c>
    </row>
    <row r="1220">
      <c r="A1220" s="19">
        <f>'Respuestas de formulario 1'!A1220</f>
        <v>45912.70158</v>
      </c>
      <c r="B1220" s="7" t="str">
        <f>'Respuestas de formulario 1'!B1220</f>
        <v>Damino</v>
      </c>
      <c r="C1220" s="7" t="str">
        <f>'Respuestas de formulario 1'!C1220</f>
        <v>Verónica</v>
      </c>
      <c r="D1220" s="7" t="str">
        <f>'Respuestas de formulario 1'!D1220</f>
        <v>mvdamino@gmail.com</v>
      </c>
      <c r="E1220" s="20">
        <f>'Respuestas de formulario 1'!E1220</f>
        <v>30722</v>
      </c>
      <c r="F1220" s="7">
        <f>'Respuestas de formulario 1'!F1220</f>
        <v>30657072</v>
      </c>
      <c r="G1220" s="7" t="str">
        <f>IFERROR(__xludf.DUMMYFUNCTION("IF('Respuestas de formulario 1'!G1220="""","""",IF(LEFT(REGEXREPLACE(TO_TEXT('Respuestas de formulario 1'!G1220),""[^0-9]"",""""),2)=""54"",""+""&amp;REGEXREPLACE(TO_TEXT('Respuestas de formulario 1'!G1220),""[^0-9]"",""""),""+54""&amp;REGEXREPLACE(TO_TEXT('Respu"&amp;"estas de formulario 1'!G1220),""[^0-9]"","""")))"),"+543512329979")</f>
        <v>+543512329979</v>
      </c>
      <c r="H1220" s="7">
        <f>'Respuestas de formulario 1'!S1220</f>
        <v>2025</v>
      </c>
      <c r="I1220" s="7" t="str">
        <f>IFERROR(__xludf.DUMMYFUNCTION("IF('Respuestas de formulario 1'!I1220="""","""",TO_TEXT('Respuestas de formulario 1'!I1220))"),"Obra social")</f>
        <v>Obra social</v>
      </c>
      <c r="J1220" s="7" t="str">
        <f>IFERROR(__xludf.DUMMYFUNCTION("IF('Respuestas de formulario 1'!J1220&lt;&gt;"""",UPPER(TRIM(TO_TEXT('Respuestas de formulario 1'!J1220))),IF('Respuestas de formulario 1'!O1220&lt;&gt;"""",UPPER(TRIM(TO_TEXT('Respuestas de formulario 1'!O1220))),""""))"),"BOREAL")</f>
        <v>BOREAL</v>
      </c>
      <c r="K1220" s="7" t="str">
        <f>IFERROR(__xludf.DUMMYFUNCTION("IF('Respuestas de formulario 1'!K1220="""","""",TO_TEXT('Respuestas de formulario 1'!K1220))"),"Si")</f>
        <v>Si</v>
      </c>
      <c r="L1220" s="7" t="str">
        <f>IFERROR(__xludf.DUMMYFUNCTION("IF('Respuestas de formulario 1'!L1220="""","""",TO_TEXT('Respuestas de formulario 1'!L1220))"),"Caminata, trote y pádel ")</f>
        <v>Caminata, trote y pádel </v>
      </c>
      <c r="M1220" s="7" t="str">
        <f>IFERROR(__xludf.DUMMYFUNCTION("IF('Respuestas de formulario 1'!M1220="""","""",TO_TEXT('Respuestas de formulario 1'!M1220))"),"1 a 2 veces por semana")</f>
        <v>1 a 2 veces por semana</v>
      </c>
      <c r="N1220" s="7">
        <f t="shared" si="1"/>
        <v>2025</v>
      </c>
      <c r="O1220" s="7" t="str">
        <f t="shared" si="2"/>
        <v>septiembre</v>
      </c>
      <c r="P1220" s="7" t="s">
        <v>6569</v>
      </c>
    </row>
    <row r="1221">
      <c r="A1221" s="19">
        <f>'Respuestas de formulario 1'!A1221</f>
        <v>45912.75001</v>
      </c>
      <c r="B1221" s="7" t="str">
        <f>'Respuestas de formulario 1'!B1221</f>
        <v>RASPA </v>
      </c>
      <c r="C1221" s="7" t="str">
        <f>'Respuestas de formulario 1'!C1221</f>
        <v>Teresa</v>
      </c>
      <c r="D1221" s="7" t="str">
        <f>'Respuestas de formulario 1'!D1221</f>
        <v>mtereraspa@gmail.com</v>
      </c>
      <c r="E1221" s="20">
        <f>'Respuestas de formulario 1'!E1221</f>
        <v>19049</v>
      </c>
      <c r="F1221" s="7">
        <f>'Respuestas de formulario 1'!F1221</f>
        <v>10444147</v>
      </c>
      <c r="G1221" s="7" t="str">
        <f>IFERROR(__xludf.DUMMYFUNCTION("IF('Respuestas de formulario 1'!G1221="""","""",IF(LEFT(REGEXREPLACE(TO_TEXT('Respuestas de formulario 1'!G1221),""[^0-9]"",""""),2)=""54"",""+""&amp;REGEXREPLACE(TO_TEXT('Respuestas de formulario 1'!G1221),""[^0-9]"",""""),""+54""&amp;REGEXREPLACE(TO_TEXT('Respu"&amp;"estas de formulario 1'!G1221),""[^0-9]"","""")))"),"+543517069576")</f>
        <v>+543517069576</v>
      </c>
      <c r="H1221" s="7">
        <f>'Respuestas de formulario 1'!S1221</f>
        <v>2025</v>
      </c>
      <c r="I1221" s="7" t="str">
        <f>IFERROR(__xludf.DUMMYFUNCTION("IF('Respuestas de formulario 1'!I1221="""","""",TO_TEXT('Respuestas de formulario 1'!I1221))"),"Particular")</f>
        <v>Particular</v>
      </c>
      <c r="J1221" s="7" t="str">
        <f>IFERROR(__xludf.DUMMYFUNCTION("IF('Respuestas de formulario 1'!J1221&lt;&gt;"""",UPPER(TRIM(TO_TEXT('Respuestas de formulario 1'!J1221))),IF('Respuestas de formulario 1'!O1221&lt;&gt;"""",UPPER(TRIM(TO_TEXT('Respuestas de formulario 1'!O1221))),""""))"),"")</f>
        <v/>
      </c>
      <c r="K1221" s="7" t="str">
        <f>IFERROR(__xludf.DUMMYFUNCTION("IF('Respuestas de formulario 1'!K1221="""","""",TO_TEXT('Respuestas de formulario 1'!K1221))"),"No")</f>
        <v>No</v>
      </c>
      <c r="L1221" s="7" t="str">
        <f>IFERROR(__xludf.DUMMYFUNCTION("IF('Respuestas de formulario 1'!L1221="""","""",TO_TEXT('Respuestas de formulario 1'!L1221))"),"")</f>
        <v/>
      </c>
      <c r="M1221" s="7" t="str">
        <f>IFERROR(__xludf.DUMMYFUNCTION("IF('Respuestas de formulario 1'!M1221="""","""",TO_TEXT('Respuestas de formulario 1'!M1221))"),"")</f>
        <v/>
      </c>
      <c r="N1221" s="7">
        <f t="shared" si="1"/>
        <v>2025</v>
      </c>
      <c r="O1221" s="7" t="str">
        <f t="shared" si="2"/>
        <v>septiembre</v>
      </c>
      <c r="P1221" s="7" t="s">
        <v>6571</v>
      </c>
    </row>
    <row r="1222">
      <c r="A1222" s="19">
        <f>'Respuestas de formulario 1'!A1222</f>
        <v>45912.77288</v>
      </c>
      <c r="B1222" s="7" t="str">
        <f>'Respuestas de formulario 1'!B1222</f>
        <v>Revol</v>
      </c>
      <c r="C1222" s="7" t="str">
        <f>'Respuestas de formulario 1'!C1222</f>
        <v>Eugenia</v>
      </c>
      <c r="D1222" s="7" t="str">
        <f>'Respuestas de formulario 1'!D1222</f>
        <v>euge.revol@outlook.com</v>
      </c>
      <c r="E1222" s="20">
        <f>'Respuestas de formulario 1'!E1222</f>
        <v>31544</v>
      </c>
      <c r="F1222" s="7">
        <f>'Respuestas de formulario 1'!F1222</f>
        <v>32203050</v>
      </c>
      <c r="G1222" s="7" t="str">
        <f>IFERROR(__xludf.DUMMYFUNCTION("IF('Respuestas de formulario 1'!G1222="""","""",IF(LEFT(REGEXREPLACE(TO_TEXT('Respuestas de formulario 1'!G1222),""[^0-9]"",""""),2)=""54"",""+""&amp;REGEXREPLACE(TO_TEXT('Respuestas de formulario 1'!G1222),""[^0-9]"",""""),""+54""&amp;REGEXREPLACE(TO_TEXT('Respu"&amp;"estas de formulario 1'!G1222),""[^0-9]"","""")))"),"+543516323394")</f>
        <v>+543516323394</v>
      </c>
      <c r="H1222" s="7">
        <f>'Respuestas de formulario 1'!S1222</f>
        <v>2025</v>
      </c>
      <c r="I1222" s="7" t="str">
        <f>IFERROR(__xludf.DUMMYFUNCTION("IF('Respuestas de formulario 1'!I1222="""","""",TO_TEXT('Respuestas de formulario 1'!I1222))"),"Particular")</f>
        <v>Particular</v>
      </c>
      <c r="J1222" s="7" t="str">
        <f>IFERROR(__xludf.DUMMYFUNCTION("IF('Respuestas de formulario 1'!J1222&lt;&gt;"""",UPPER(TRIM(TO_TEXT('Respuestas de formulario 1'!J1222))),IF('Respuestas de formulario 1'!O1222&lt;&gt;"""",UPPER(TRIM(TO_TEXT('Respuestas de formulario 1'!O1222))),""""))"),"")</f>
        <v/>
      </c>
      <c r="K1222" s="7" t="str">
        <f>IFERROR(__xludf.DUMMYFUNCTION("IF('Respuestas de formulario 1'!K1222="""","""",TO_TEXT('Respuestas de formulario 1'!K1222))"),"Si")</f>
        <v>Si</v>
      </c>
      <c r="L1222" s="7" t="str">
        <f>IFERROR(__xludf.DUMMYFUNCTION("IF('Respuestas de formulario 1'!L1222="""","""",TO_TEXT('Respuestas de formulario 1'!L1222))"),"Basquet + Musculacion")</f>
        <v>Basquet + Musculacion</v>
      </c>
      <c r="M1222" s="7" t="str">
        <f>IFERROR(__xludf.DUMMYFUNCTION("IF('Respuestas de formulario 1'!M1222="""","""",TO_TEXT('Respuestas de formulario 1'!M1222))"),"3 a 5 veces por semana")</f>
        <v>3 a 5 veces por semana</v>
      </c>
      <c r="N1222" s="7">
        <f t="shared" si="1"/>
        <v>2025</v>
      </c>
      <c r="O1222" s="7" t="str">
        <f t="shared" si="2"/>
        <v>septiembre</v>
      </c>
      <c r="P1222" s="7" t="s">
        <v>6573</v>
      </c>
    </row>
    <row r="1223">
      <c r="A1223" s="19">
        <f>'Respuestas de formulario 1'!A1223</f>
        <v>45913.48572</v>
      </c>
      <c r="B1223" s="7" t="str">
        <f>'Respuestas de formulario 1'!B1223</f>
        <v>Guevara Boros </v>
      </c>
      <c r="C1223" s="7" t="str">
        <f>'Respuestas de formulario 1'!C1223</f>
        <v>Andy Exel </v>
      </c>
      <c r="D1223" s="7" t="str">
        <f>'Respuestas de formulario 1'!D1223</f>
        <v>andyguevarakjt@gmail.com</v>
      </c>
      <c r="E1223" s="20">
        <f>'Respuestas de formulario 1'!E1223</f>
        <v>36286</v>
      </c>
      <c r="F1223" s="7">
        <f>'Respuestas de formulario 1'!F1223</f>
        <v>42384005</v>
      </c>
      <c r="G1223" s="7" t="str">
        <f>IFERROR(__xludf.DUMMYFUNCTION("IF('Respuestas de formulario 1'!G1223="""","""",IF(LEFT(REGEXREPLACE(TO_TEXT('Respuestas de formulario 1'!G1223),""[^0-9]"",""""),2)=""54"",""+""&amp;REGEXREPLACE(TO_TEXT('Respuestas de formulario 1'!G1223),""[^0-9]"",""""),""+54""&amp;REGEXREPLACE(TO_TEXT('Respu"&amp;"estas de formulario 1'!G1223),""[^0-9]"","""")))"),"+543512339765")</f>
        <v>+543512339765</v>
      </c>
      <c r="H1223" s="7">
        <f>'Respuestas de formulario 1'!S1223</f>
        <v>2025</v>
      </c>
      <c r="I1223" s="7" t="str">
        <f>IFERROR(__xludf.DUMMYFUNCTION("IF('Respuestas de formulario 1'!I1223="""","""",TO_TEXT('Respuestas de formulario 1'!I1223))"),"Obra social")</f>
        <v>Obra social</v>
      </c>
      <c r="J1223" s="7" t="str">
        <f>IFERROR(__xludf.DUMMYFUNCTION("IF('Respuestas de formulario 1'!J1223&lt;&gt;"""",UPPER(TRIM(TO_TEXT('Respuestas de formulario 1'!J1223))),IF('Respuestas de formulario 1'!O1223&lt;&gt;"""",UPPER(TRIM(TO_TEXT('Respuestas de formulario 1'!O1223))),""""))"),"APROSS")</f>
        <v>APROSS</v>
      </c>
      <c r="K1223" s="7" t="str">
        <f>IFERROR(__xludf.DUMMYFUNCTION("IF('Respuestas de formulario 1'!K1223="""","""",TO_TEXT('Respuestas de formulario 1'!K1223))"),"Si")</f>
        <v>Si</v>
      </c>
      <c r="L1223" s="7" t="str">
        <f>IFERROR(__xludf.DUMMYFUNCTION("IF('Respuestas de formulario 1'!L1223="""","""",TO_TEXT('Respuestas de formulario 1'!L1223))"),"Ciclismo ")</f>
        <v>Ciclismo </v>
      </c>
      <c r="M1223" s="7" t="str">
        <f>IFERROR(__xludf.DUMMYFUNCTION("IF('Respuestas de formulario 1'!M1223="""","""",TO_TEXT('Respuestas de formulario 1'!M1223))"),"3 a 5 veces por semana")</f>
        <v>3 a 5 veces por semana</v>
      </c>
      <c r="N1223" s="7">
        <f t="shared" si="1"/>
        <v>2025</v>
      </c>
      <c r="O1223" s="7" t="str">
        <f t="shared" si="2"/>
        <v>septiembre</v>
      </c>
      <c r="P1223" s="7" t="s">
        <v>6575</v>
      </c>
    </row>
    <row r="1224">
      <c r="A1224" s="19">
        <f>'Respuestas de formulario 1'!A1224</f>
        <v>45915.39666</v>
      </c>
      <c r="B1224" s="7" t="str">
        <f>'Respuestas de formulario 1'!B1224</f>
        <v>HERNANDEZ MORA</v>
      </c>
      <c r="C1224" s="7" t="str">
        <f>'Respuestas de formulario 1'!C1224</f>
        <v>ASUNCION</v>
      </c>
      <c r="D1224" s="7" t="str">
        <f>'Respuestas de formulario 1'!D1224</f>
        <v>asunfi63@gmail.com</v>
      </c>
      <c r="E1224" s="20">
        <f>'Respuestas de formulario 1'!E1224</f>
        <v>16832</v>
      </c>
      <c r="F1224" s="7">
        <f>'Respuestas de formulario 1'!F1224</f>
        <v>96047108</v>
      </c>
      <c r="G1224" s="7" t="str">
        <f>IFERROR(__xludf.DUMMYFUNCTION("IF('Respuestas de formulario 1'!G1224="""","""",IF(LEFT(REGEXREPLACE(TO_TEXT('Respuestas de formulario 1'!G1224),""[^0-9]"",""""),2)=""54"",""+""&amp;REGEXREPLACE(TO_TEXT('Respuestas de formulario 1'!G1224),""[^0-9]"",""""),""+54""&amp;REGEXREPLACE(TO_TEXT('Respu"&amp;"estas de formulario 1'!G1224),""[^0-9]"","""")))"),"+543516427340")</f>
        <v>+543516427340</v>
      </c>
      <c r="H1224" s="7">
        <f>'Respuestas de formulario 1'!S1224</f>
        <v>2025</v>
      </c>
      <c r="I1224" s="7" t="str">
        <f>IFERROR(__xludf.DUMMYFUNCTION("IF('Respuestas de formulario 1'!I1224="""","""",TO_TEXT('Respuestas de formulario 1'!I1224))"),"Particular")</f>
        <v>Particular</v>
      </c>
      <c r="J1224" s="7" t="str">
        <f>IFERROR(__xludf.DUMMYFUNCTION("IF('Respuestas de formulario 1'!J1224&lt;&gt;"""",UPPER(TRIM(TO_TEXT('Respuestas de formulario 1'!J1224))),IF('Respuestas de formulario 1'!O1224&lt;&gt;"""",UPPER(TRIM(TO_TEXT('Respuestas de formulario 1'!O1224))),""""))"),"")</f>
        <v/>
      </c>
      <c r="K1224" s="7" t="str">
        <f>IFERROR(__xludf.DUMMYFUNCTION("IF('Respuestas de formulario 1'!K1224="""","""",TO_TEXT('Respuestas de formulario 1'!K1224))"),"No")</f>
        <v>No</v>
      </c>
      <c r="L1224" s="7" t="str">
        <f>IFERROR(__xludf.DUMMYFUNCTION("IF('Respuestas de formulario 1'!L1224="""","""",TO_TEXT('Respuestas de formulario 1'!L1224))"),"")</f>
        <v/>
      </c>
      <c r="M1224" s="7" t="str">
        <f>IFERROR(__xludf.DUMMYFUNCTION("IF('Respuestas de formulario 1'!M1224="""","""",TO_TEXT('Respuestas de formulario 1'!M1224))"),"")</f>
        <v/>
      </c>
      <c r="N1224" s="7">
        <f t="shared" si="1"/>
        <v>2025</v>
      </c>
      <c r="O1224" s="7" t="str">
        <f t="shared" si="2"/>
        <v>septiembre</v>
      </c>
      <c r="P1224" s="7" t="s">
        <v>6577</v>
      </c>
    </row>
    <row r="1225">
      <c r="A1225" s="19">
        <f>'Respuestas de formulario 1'!A1225</f>
        <v>45915.78786</v>
      </c>
      <c r="B1225" s="7" t="str">
        <f>'Respuestas de formulario 1'!B1225</f>
        <v>Torres</v>
      </c>
      <c r="C1225" s="7" t="str">
        <f>'Respuestas de formulario 1'!C1225</f>
        <v>Facundo</v>
      </c>
      <c r="D1225" s="7" t="str">
        <f>'Respuestas de formulario 1'!D1225</f>
        <v>facu.torres2609@gmail.com</v>
      </c>
      <c r="E1225" s="20">
        <f>'Respuestas de formulario 1'!E1225</f>
        <v>35334</v>
      </c>
      <c r="F1225" s="7">
        <f>'Respuestas de formulario 1'!F1225</f>
        <v>39622848</v>
      </c>
      <c r="G1225" s="7" t="str">
        <f>IFERROR(__xludf.DUMMYFUNCTION("IF('Respuestas de formulario 1'!G1225="""","""",IF(LEFT(REGEXREPLACE(TO_TEXT('Respuestas de formulario 1'!G1225),""[^0-9]"",""""),2)=""54"",""+""&amp;REGEXREPLACE(TO_TEXT('Respuestas de formulario 1'!G1225),""[^0-9]"",""""),""+54""&amp;REGEXREPLACE(TO_TEXT('Respu"&amp;"estas de formulario 1'!G1225),""[^0-9]"","""")))"),"+543512565503")</f>
        <v>+543512565503</v>
      </c>
      <c r="H1225" s="7">
        <f>'Respuestas de formulario 1'!S1225</f>
        <v>2025</v>
      </c>
      <c r="I1225" s="7" t="str">
        <f>IFERROR(__xludf.DUMMYFUNCTION("IF('Respuestas de formulario 1'!I1225="""","""",TO_TEXT('Respuestas de formulario 1'!I1225))"),"Particular")</f>
        <v>Particular</v>
      </c>
      <c r="J1225" s="7" t="str">
        <f>IFERROR(__xludf.DUMMYFUNCTION("IF('Respuestas de formulario 1'!J1225&lt;&gt;"""",UPPER(TRIM(TO_TEXT('Respuestas de formulario 1'!J1225))),IF('Respuestas de formulario 1'!O1225&lt;&gt;"""",UPPER(TRIM(TO_TEXT('Respuestas de formulario 1'!O1225))),""""))"),"")</f>
        <v/>
      </c>
      <c r="K1225" s="7" t="str">
        <f>IFERROR(__xludf.DUMMYFUNCTION("IF('Respuestas de formulario 1'!K1225="""","""",TO_TEXT('Respuestas de formulario 1'!K1225))"),"Si")</f>
        <v>Si</v>
      </c>
      <c r="L1225" s="7" t="str">
        <f>IFERROR(__xludf.DUMMYFUNCTION("IF('Respuestas de formulario 1'!L1225="""","""",TO_TEXT('Respuestas de formulario 1'!L1225))"),"Gimnasio")</f>
        <v>Gimnasio</v>
      </c>
      <c r="M1225" s="7" t="str">
        <f>IFERROR(__xludf.DUMMYFUNCTION("IF('Respuestas de formulario 1'!M1225="""","""",TO_TEXT('Respuestas de formulario 1'!M1225))"),"3 a 5 veces por semana")</f>
        <v>3 a 5 veces por semana</v>
      </c>
      <c r="N1225" s="7">
        <f t="shared" si="1"/>
        <v>2025</v>
      </c>
      <c r="O1225" s="7" t="str">
        <f t="shared" si="2"/>
        <v>septiembre</v>
      </c>
      <c r="P1225" s="7" t="s">
        <v>6579</v>
      </c>
    </row>
    <row r="1226">
      <c r="A1226" s="19">
        <f>'Respuestas de formulario 1'!A1226</f>
        <v>45915.79544</v>
      </c>
      <c r="B1226" s="7" t="str">
        <f>'Respuestas de formulario 1'!B1226</f>
        <v>Barbero</v>
      </c>
      <c r="C1226" s="7" t="str">
        <f>'Respuestas de formulario 1'!C1226</f>
        <v>Lucrecia</v>
      </c>
      <c r="D1226" s="7" t="str">
        <f>'Respuestas de formulario 1'!D1226</f>
        <v/>
      </c>
      <c r="E1226" s="20">
        <f>'Respuestas de formulario 1'!E1226</f>
        <v>33017</v>
      </c>
      <c r="F1226" s="7">
        <f>'Respuestas de formulario 1'!F1226</f>
        <v>35174172</v>
      </c>
      <c r="G1226" s="7" t="str">
        <f>IFERROR(__xludf.DUMMYFUNCTION("IF('Respuestas de formulario 1'!G1226="""","""",IF(LEFT(REGEXREPLACE(TO_TEXT('Respuestas de formulario 1'!G1226),""[^0-9]"",""""),2)=""54"",""+""&amp;REGEXREPLACE(TO_TEXT('Respuestas de formulario 1'!G1226),""[^0-9]"",""""),""+54""&amp;REGEXREPLACE(TO_TEXT('Respu"&amp;"estas de formulario 1'!G1226),""[^0-9]"","""")))"),"+543534209509")</f>
        <v>+543534209509</v>
      </c>
      <c r="H1226" s="7">
        <f>'Respuestas de formulario 1'!S1226</f>
        <v>2025</v>
      </c>
      <c r="I1226" s="7" t="str">
        <f>IFERROR(__xludf.DUMMYFUNCTION("IF('Respuestas de formulario 1'!I1226="""","""",TO_TEXT('Respuestas de formulario 1'!I1226))"),"Particular")</f>
        <v>Particular</v>
      </c>
      <c r="J1226" s="7" t="str">
        <f>IFERROR(__xludf.DUMMYFUNCTION("IF('Respuestas de formulario 1'!J1226&lt;&gt;"""",UPPER(TRIM(TO_TEXT('Respuestas de formulario 1'!J1226))),IF('Respuestas de formulario 1'!O1226&lt;&gt;"""",UPPER(TRIM(TO_TEXT('Respuestas de formulario 1'!O1226))),""""))"),"")</f>
        <v/>
      </c>
      <c r="K1226" s="7" t="str">
        <f>IFERROR(__xludf.DUMMYFUNCTION("IF('Respuestas de formulario 1'!K1226="""","""",TO_TEXT('Respuestas de formulario 1'!K1226))"),"Si")</f>
        <v>Si</v>
      </c>
      <c r="L1226" s="7" t="str">
        <f>IFERROR(__xludf.DUMMYFUNCTION("IF('Respuestas de formulario 1'!L1226="""","""",TO_TEXT('Respuestas de formulario 1'!L1226))"),"Gimnasio")</f>
        <v>Gimnasio</v>
      </c>
      <c r="M1226" s="7" t="str">
        <f>IFERROR(__xludf.DUMMYFUNCTION("IF('Respuestas de formulario 1'!M1226="""","""",TO_TEXT('Respuestas de formulario 1'!M1226))"),"3 a 5 veces por semana")</f>
        <v>3 a 5 veces por semana</v>
      </c>
      <c r="N1226" s="7">
        <f t="shared" si="1"/>
        <v>2025</v>
      </c>
      <c r="O1226" s="7" t="str">
        <f t="shared" si="2"/>
        <v>septiembre</v>
      </c>
      <c r="P1226" s="7" t="s">
        <v>6581</v>
      </c>
    </row>
    <row r="1227">
      <c r="A1227" s="19">
        <f>'Respuestas de formulario 1'!A1227</f>
        <v>45915.81851</v>
      </c>
      <c r="B1227" s="7" t="str">
        <f>'Respuestas de formulario 1'!B1227</f>
        <v>FERNANDEZ</v>
      </c>
      <c r="C1227" s="7" t="str">
        <f>'Respuestas de formulario 1'!C1227</f>
        <v>GERMAN</v>
      </c>
      <c r="D1227" s="7" t="str">
        <f>'Respuestas de formulario 1'!D1227</f>
        <v>ingfer79@yahoo.com.ar</v>
      </c>
      <c r="E1227" s="20">
        <f>'Respuestas de formulario 1'!E1227</f>
        <v>28968</v>
      </c>
      <c r="F1227" s="7">
        <f>'Respuestas de formulario 1'!F1227</f>
        <v>27247809</v>
      </c>
      <c r="G1227" s="7" t="str">
        <f>IFERROR(__xludf.DUMMYFUNCTION("IF('Respuestas de formulario 1'!G1227="""","""",IF(LEFT(REGEXREPLACE(TO_TEXT('Respuestas de formulario 1'!G1227),""[^0-9]"",""""),2)=""54"",""+""&amp;REGEXREPLACE(TO_TEXT('Respuestas de formulario 1'!G1227),""[^0-9]"",""""),""+54""&amp;REGEXREPLACE(TO_TEXT('Respu"&amp;"estas de formulario 1'!G1227),""[^0-9]"","""")))"),"+543513815231")</f>
        <v>+543513815231</v>
      </c>
      <c r="H1227" s="7">
        <f>'Respuestas de formulario 1'!S1227</f>
        <v>2025</v>
      </c>
      <c r="I1227" s="7" t="str">
        <f>IFERROR(__xludf.DUMMYFUNCTION("IF('Respuestas de formulario 1'!I1227="""","""",TO_TEXT('Respuestas de formulario 1'!I1227))"),"Obra social")</f>
        <v>Obra social</v>
      </c>
      <c r="J1227" s="7" t="str">
        <f>IFERROR(__xludf.DUMMYFUNCTION("IF('Respuestas de formulario 1'!J1227&lt;&gt;"""",UPPER(TRIM(TO_TEXT('Respuestas de formulario 1'!J1227))),IF('Respuestas de formulario 1'!O1227&lt;&gt;"""",UPPER(TRIM(TO_TEXT('Respuestas de formulario 1'!O1227))),""""))"),"APROSS")</f>
        <v>APROSS</v>
      </c>
      <c r="K1227" s="7" t="str">
        <f>IFERROR(__xludf.DUMMYFUNCTION("IF('Respuestas de formulario 1'!K1227="""","""",TO_TEXT('Respuestas de formulario 1'!K1227))"),"Si")</f>
        <v>Si</v>
      </c>
      <c r="L1227" s="7" t="str">
        <f>IFERROR(__xludf.DUMMYFUNCTION("IF('Respuestas de formulario 1'!L1227="""","""",TO_TEXT('Respuestas de formulario 1'!L1227))"),"Fútbol")</f>
        <v>Fútbol</v>
      </c>
      <c r="M1227" s="7" t="str">
        <f>IFERROR(__xludf.DUMMYFUNCTION("IF('Respuestas de formulario 1'!M1227="""","""",TO_TEXT('Respuestas de formulario 1'!M1227))"),"3 a 5 veces por semana")</f>
        <v>3 a 5 veces por semana</v>
      </c>
      <c r="N1227" s="7">
        <f t="shared" si="1"/>
        <v>2025</v>
      </c>
      <c r="O1227" s="7" t="str">
        <f t="shared" si="2"/>
        <v>septiembre</v>
      </c>
      <c r="P1227" s="7" t="s">
        <v>6583</v>
      </c>
    </row>
    <row r="1228">
      <c r="A1228" s="19">
        <f>'Respuestas de formulario 1'!A1228</f>
        <v>45916.43536</v>
      </c>
      <c r="B1228" s="7" t="str">
        <f>'Respuestas de formulario 1'!B1228</f>
        <v>Monetto</v>
      </c>
      <c r="C1228" s="7" t="str">
        <f>'Respuestas de formulario 1'!C1228</f>
        <v>Constanza</v>
      </c>
      <c r="D1228" s="7" t="str">
        <f>'Respuestas de formulario 1'!D1228</f>
        <v>monettoconstanza@gmail.com</v>
      </c>
      <c r="E1228" s="20">
        <f>'Respuestas de formulario 1'!E1228</f>
        <v>31758</v>
      </c>
      <c r="F1228" s="7">
        <f>'Respuestas de formulario 1'!F1228</f>
        <v>32889303</v>
      </c>
      <c r="G1228" s="7" t="str">
        <f>IFERROR(__xludf.DUMMYFUNCTION("IF('Respuestas de formulario 1'!G1228="""","""",IF(LEFT(REGEXREPLACE(TO_TEXT('Respuestas de formulario 1'!G1228),""[^0-9]"",""""),2)=""54"",""+""&amp;REGEXREPLACE(TO_TEXT('Respuestas de formulario 1'!G1228),""[^0-9]"",""""),""+54""&amp;REGEXREPLACE(TO_TEXT('Respu"&amp;"estas de formulario 1'!G1228),""[^0-9]"","""")))"),"+543512274687")</f>
        <v>+543512274687</v>
      </c>
      <c r="H1228" s="7">
        <f>'Respuestas de formulario 1'!S1228</f>
        <v>2025</v>
      </c>
      <c r="I1228" s="7" t="str">
        <f>IFERROR(__xludf.DUMMYFUNCTION("IF('Respuestas de formulario 1'!I1228="""","""",TO_TEXT('Respuestas de formulario 1'!I1228))"),"Obra social")</f>
        <v>Obra social</v>
      </c>
      <c r="J1228" s="7" t="str">
        <f>IFERROR(__xludf.DUMMYFUNCTION("IF('Respuestas de formulario 1'!J1228&lt;&gt;"""",UPPER(TRIM(TO_TEXT('Respuestas de formulario 1'!J1228))),IF('Respuestas de formulario 1'!O1228&lt;&gt;"""",UPPER(TRIM(TO_TEXT('Respuestas de formulario 1'!O1228))),""""))"),"APROSS")</f>
        <v>APROSS</v>
      </c>
      <c r="K1228" s="7" t="str">
        <f>IFERROR(__xludf.DUMMYFUNCTION("IF('Respuestas de formulario 1'!K1228="""","""",TO_TEXT('Respuestas de formulario 1'!K1228))"),"Si")</f>
        <v>Si</v>
      </c>
      <c r="L1228" s="7" t="str">
        <f>IFERROR(__xludf.DUMMYFUNCTION("IF('Respuestas de formulario 1'!L1228="""","""",TO_TEXT('Respuestas de formulario 1'!L1228))"),"Padel")</f>
        <v>Padel</v>
      </c>
      <c r="M1228" s="7" t="str">
        <f>IFERROR(__xludf.DUMMYFUNCTION("IF('Respuestas de formulario 1'!M1228="""","""",TO_TEXT('Respuestas de formulario 1'!M1228))"),"1 a 2 veces por semana")</f>
        <v>1 a 2 veces por semana</v>
      </c>
      <c r="N1228" s="7">
        <f t="shared" si="1"/>
        <v>2025</v>
      </c>
      <c r="O1228" s="7" t="str">
        <f t="shared" si="2"/>
        <v>septiembre</v>
      </c>
      <c r="P1228" s="7" t="s">
        <v>6585</v>
      </c>
    </row>
    <row r="1229">
      <c r="A1229" s="19">
        <f>'Respuestas de formulario 1'!A1229</f>
        <v>45916.43631</v>
      </c>
      <c r="B1229" s="7" t="str">
        <f>'Respuestas de formulario 1'!B1229</f>
        <v>Listoffsky</v>
      </c>
      <c r="C1229" s="7" t="str">
        <f>'Respuestas de formulario 1'!C1229</f>
        <v>Martina</v>
      </c>
      <c r="D1229" s="7" t="str">
        <f>'Respuestas de formulario 1'!D1229</f>
        <v/>
      </c>
      <c r="E1229" s="20">
        <f>'Respuestas de formulario 1'!E1229</f>
        <v>-619254</v>
      </c>
      <c r="F1229" s="7">
        <f>'Respuestas de formulario 1'!F1229</f>
        <v>45693391</v>
      </c>
      <c r="G1229" s="7" t="str">
        <f>IFERROR(__xludf.DUMMYFUNCTION("IF('Respuestas de formulario 1'!G1229="""","""",IF(LEFT(REGEXREPLACE(TO_TEXT('Respuestas de formulario 1'!G1229),""[^0-9]"",""""),2)=""54"",""+""&amp;REGEXREPLACE(TO_TEXT('Respuestas de formulario 1'!G1229),""[^0-9]"",""""),""+54""&amp;REGEXREPLACE(TO_TEXT('Respu"&amp;"estas de formulario 1'!G1229),""[^0-9]"","""")))"),"+543512163888")</f>
        <v>+543512163888</v>
      </c>
      <c r="H1229" s="7">
        <f>'Respuestas de formulario 1'!S1229</f>
        <v>2025</v>
      </c>
      <c r="I1229" s="7" t="str">
        <f>IFERROR(__xludf.DUMMYFUNCTION("IF('Respuestas de formulario 1'!I1229="""","""",TO_TEXT('Respuestas de formulario 1'!I1229))"),"Particular")</f>
        <v>Particular</v>
      </c>
      <c r="J1229" s="7" t="str">
        <f>IFERROR(__xludf.DUMMYFUNCTION("IF('Respuestas de formulario 1'!J1229&lt;&gt;"""",UPPER(TRIM(TO_TEXT('Respuestas de formulario 1'!J1229))),IF('Respuestas de formulario 1'!O1229&lt;&gt;"""",UPPER(TRIM(TO_TEXT('Respuestas de formulario 1'!O1229))),""""))"),"")</f>
        <v/>
      </c>
      <c r="K1229" s="7" t="str">
        <f>IFERROR(__xludf.DUMMYFUNCTION("IF('Respuestas de formulario 1'!K1229="""","""",TO_TEXT('Respuestas de formulario 1'!K1229))"),"Si")</f>
        <v>Si</v>
      </c>
      <c r="L1229" s="7" t="str">
        <f>IFERROR(__xludf.DUMMYFUNCTION("IF('Respuestas de formulario 1'!L1229="""","""",TO_TEXT('Respuestas de formulario 1'!L1229))"),"Gimnasio")</f>
        <v>Gimnasio</v>
      </c>
      <c r="M1229" s="7" t="str">
        <f>IFERROR(__xludf.DUMMYFUNCTION("IF('Respuestas de formulario 1'!M1229="""","""",TO_TEXT('Respuestas de formulario 1'!M1229))"),"1 a 2 veces por semana")</f>
        <v>1 a 2 veces por semana</v>
      </c>
      <c r="N1229" s="7">
        <f t="shared" si="1"/>
        <v>2025</v>
      </c>
      <c r="O1229" s="7" t="str">
        <f t="shared" si="2"/>
        <v>septiembre</v>
      </c>
      <c r="P1229" s="7" t="s">
        <v>6587</v>
      </c>
    </row>
    <row r="1230">
      <c r="A1230" s="19">
        <f>'Respuestas de formulario 1'!A1230</f>
        <v>45918.96567</v>
      </c>
      <c r="B1230" s="7" t="str">
        <f>'Respuestas de formulario 1'!B1230</f>
        <v>Pulitta</v>
      </c>
      <c r="C1230" s="7" t="str">
        <f>'Respuestas de formulario 1'!C1230</f>
        <v>Griselda ivana</v>
      </c>
      <c r="D1230" s="7" t="str">
        <f>'Respuestas de formulario 1'!D1230</f>
        <v>griseldapulitta@gmail.com</v>
      </c>
      <c r="E1230" s="20">
        <f>'Respuestas de formulario 1'!E1230</f>
        <v>28549</v>
      </c>
      <c r="F1230" s="7">
        <f>'Respuestas de formulario 1'!F1230</f>
        <v>26489508</v>
      </c>
      <c r="G1230" s="7" t="str">
        <f>IFERROR(__xludf.DUMMYFUNCTION("IF('Respuestas de formulario 1'!G1230="""","""",IF(LEFT(REGEXREPLACE(TO_TEXT('Respuestas de formulario 1'!G1230),""[^0-9]"",""""),2)=""54"",""+""&amp;REGEXREPLACE(TO_TEXT('Respuestas de formulario 1'!G1230),""[^0-9]"",""""),""+54""&amp;REGEXREPLACE(TO_TEXT('Respu"&amp;"estas de formulario 1'!G1230),""[^0-9]"","""")))"),"+543518639170")</f>
        <v>+543518639170</v>
      </c>
      <c r="H1230" s="7">
        <f>'Respuestas de formulario 1'!S1230</f>
        <v>2025</v>
      </c>
      <c r="I1230" s="7" t="str">
        <f>IFERROR(__xludf.DUMMYFUNCTION("IF('Respuestas de formulario 1'!I1230="""","""",TO_TEXT('Respuestas de formulario 1'!I1230))"),"Obra social")</f>
        <v>Obra social</v>
      </c>
      <c r="J1230" s="7" t="str">
        <f>IFERROR(__xludf.DUMMYFUNCTION("IF('Respuestas de formulario 1'!J1230&lt;&gt;"""",UPPER(TRIM(TO_TEXT('Respuestas de formulario 1'!J1230))),IF('Respuestas de formulario 1'!O1230&lt;&gt;"""",UPPER(TRIM(TO_TEXT('Respuestas de formulario 1'!O1230))),""""))"),"APROSS")</f>
        <v>APROSS</v>
      </c>
      <c r="K1230" s="7" t="str">
        <f>IFERROR(__xludf.DUMMYFUNCTION("IF('Respuestas de formulario 1'!K1230="""","""",TO_TEXT('Respuestas de formulario 1'!K1230))"),"No")</f>
        <v>No</v>
      </c>
      <c r="L1230" s="7" t="str">
        <f>IFERROR(__xludf.DUMMYFUNCTION("IF('Respuestas de formulario 1'!L1230="""","""",TO_TEXT('Respuestas de formulario 1'!L1230))"),"")</f>
        <v/>
      </c>
      <c r="M1230" s="7" t="str">
        <f>IFERROR(__xludf.DUMMYFUNCTION("IF('Respuestas de formulario 1'!M1230="""","""",TO_TEXT('Respuestas de formulario 1'!M1230))"),"")</f>
        <v/>
      </c>
      <c r="N1230" s="7">
        <f t="shared" si="1"/>
        <v>2025</v>
      </c>
      <c r="O1230" s="7" t="str">
        <f t="shared" si="2"/>
        <v>septiembre</v>
      </c>
      <c r="P1230" s="7" t="s">
        <v>6589</v>
      </c>
    </row>
    <row r="1231">
      <c r="A1231" s="19">
        <f>'Respuestas de formulario 1'!A1231</f>
        <v>45919.6618</v>
      </c>
      <c r="B1231" s="7" t="str">
        <f>'Respuestas de formulario 1'!B1231</f>
        <v>Frarcedic</v>
      </c>
      <c r="C1231" s="7" t="str">
        <f>'Respuestas de formulario 1'!C1231</f>
        <v>Octavio</v>
      </c>
      <c r="D1231" s="7" t="str">
        <f>'Respuestas de formulario 1'!D1231</f>
        <v/>
      </c>
      <c r="E1231" s="20">
        <f>'Respuestas de formulario 1'!E1231</f>
        <v>36108</v>
      </c>
      <c r="F1231" s="7">
        <f>'Respuestas de formulario 1'!F1231</f>
        <v>41626215</v>
      </c>
      <c r="G1231" s="7" t="str">
        <f>IFERROR(__xludf.DUMMYFUNCTION("IF('Respuestas de formulario 1'!G1231="""","""",IF(LEFT(REGEXREPLACE(TO_TEXT('Respuestas de formulario 1'!G1231),""[^0-9]"",""""),2)=""54"",""+""&amp;REGEXREPLACE(TO_TEXT('Respuestas de formulario 1'!G1231),""[^0-9]"",""""),""+54""&amp;REGEXREPLACE(TO_TEXT('Respu"&amp;"estas de formulario 1'!G1231),""[^0-9]"","""")))"),"+543543575398")</f>
        <v>+543543575398</v>
      </c>
      <c r="H1231" s="7">
        <f>'Respuestas de formulario 1'!S1231</f>
        <v>2025</v>
      </c>
      <c r="I1231" s="7" t="str">
        <f>IFERROR(__xludf.DUMMYFUNCTION("IF('Respuestas de formulario 1'!I1231="""","""",TO_TEXT('Respuestas de formulario 1'!I1231))"),"Particular")</f>
        <v>Particular</v>
      </c>
      <c r="J1231" s="7" t="str">
        <f>IFERROR(__xludf.DUMMYFUNCTION("IF('Respuestas de formulario 1'!J1231&lt;&gt;"""",UPPER(TRIM(TO_TEXT('Respuestas de formulario 1'!J1231))),IF('Respuestas de formulario 1'!O1231&lt;&gt;"""",UPPER(TRIM(TO_TEXT('Respuestas de formulario 1'!O1231))),""""))"),"")</f>
        <v/>
      </c>
      <c r="K1231" s="7" t="str">
        <f>IFERROR(__xludf.DUMMYFUNCTION("IF('Respuestas de formulario 1'!K1231="""","""",TO_TEXT('Respuestas de formulario 1'!K1231))"),"Si")</f>
        <v>Si</v>
      </c>
      <c r="L1231" s="7" t="str">
        <f>IFERROR(__xludf.DUMMYFUNCTION("IF('Respuestas de formulario 1'!L1231="""","""",TO_TEXT('Respuestas de formulario 1'!L1231))"),"Gimnasio")</f>
        <v>Gimnasio</v>
      </c>
      <c r="M1231" s="7" t="str">
        <f>IFERROR(__xludf.DUMMYFUNCTION("IF('Respuestas de formulario 1'!M1231="""","""",TO_TEXT('Respuestas de formulario 1'!M1231))"),"3 a 5 veces por semana")</f>
        <v>3 a 5 veces por semana</v>
      </c>
      <c r="N1231" s="7">
        <f t="shared" si="1"/>
        <v>2025</v>
      </c>
      <c r="O1231" s="7" t="str">
        <f t="shared" si="2"/>
        <v>septiembre</v>
      </c>
      <c r="P1231" s="7" t="s">
        <v>6591</v>
      </c>
    </row>
    <row r="1232">
      <c r="A1232" s="19">
        <f>'Respuestas de formulario 1'!A1232</f>
        <v>45919.79581</v>
      </c>
      <c r="B1232" s="7" t="str">
        <f>'Respuestas de formulario 1'!B1232</f>
        <v>Cravero </v>
      </c>
      <c r="C1232" s="7" t="str">
        <f>'Respuestas de formulario 1'!C1232</f>
        <v>Atilio </v>
      </c>
      <c r="D1232" s="7" t="str">
        <f>'Respuestas de formulario 1'!D1232</f>
        <v>ATICRAVERO83@GMAIL.COM</v>
      </c>
      <c r="E1232" s="20">
        <f>'Respuestas de formulario 1'!E1232</f>
        <v>30531</v>
      </c>
      <c r="F1232" s="7">
        <f>'Respuestas de formulario 1'!F1232</f>
        <v>30331252</v>
      </c>
      <c r="G1232" s="7" t="str">
        <f>IFERROR(__xludf.DUMMYFUNCTION("IF('Respuestas de formulario 1'!G1232="""","""",IF(LEFT(REGEXREPLACE(TO_TEXT('Respuestas de formulario 1'!G1232),""[^0-9]"",""""),2)=""54"",""+""&amp;REGEXREPLACE(TO_TEXT('Respuestas de formulario 1'!G1232),""[^0-9]"",""""),""+54""&amp;REGEXREPLACE(TO_TEXT('Respu"&amp;"estas de formulario 1'!G1232),""[^0-9]"","""")))"),"+543512178754")</f>
        <v>+543512178754</v>
      </c>
      <c r="H1232" s="7">
        <f>'Respuestas de formulario 1'!S1232</f>
        <v>2025</v>
      </c>
      <c r="I1232" s="7" t="str">
        <f>IFERROR(__xludf.DUMMYFUNCTION("IF('Respuestas de formulario 1'!I1232="""","""",TO_TEXT('Respuestas de formulario 1'!I1232))"),"Obra social")</f>
        <v>Obra social</v>
      </c>
      <c r="J1232" s="7" t="str">
        <f>IFERROR(__xludf.DUMMYFUNCTION("IF('Respuestas de formulario 1'!J1232&lt;&gt;"""",UPPER(TRIM(TO_TEXT('Respuestas de formulario 1'!J1232))),IF('Respuestas de formulario 1'!O1232&lt;&gt;"""",UPPER(TRIM(TO_TEXT('Respuestas de formulario 1'!O1232))),""""))"),"MEDIFE")</f>
        <v>MEDIFE</v>
      </c>
      <c r="K1232" s="7" t="str">
        <f>IFERROR(__xludf.DUMMYFUNCTION("IF('Respuestas de formulario 1'!K1232="""","""",TO_TEXT('Respuestas de formulario 1'!K1232))"),"Si")</f>
        <v>Si</v>
      </c>
      <c r="L1232" s="7" t="str">
        <f>IFERROR(__xludf.DUMMYFUNCTION("IF('Respuestas de formulario 1'!L1232="""","""",TO_TEXT('Respuestas de formulario 1'!L1232))"),"Fútbol")</f>
        <v>Fútbol</v>
      </c>
      <c r="M1232" s="7" t="str">
        <f>IFERROR(__xludf.DUMMYFUNCTION("IF('Respuestas de formulario 1'!M1232="""","""",TO_TEXT('Respuestas de formulario 1'!M1232))"),"1 a 2 veces por semana")</f>
        <v>1 a 2 veces por semana</v>
      </c>
      <c r="N1232" s="7">
        <f t="shared" si="1"/>
        <v>2025</v>
      </c>
      <c r="O1232" s="7" t="str">
        <f t="shared" si="2"/>
        <v>septiembre</v>
      </c>
      <c r="P1232" s="7" t="s">
        <v>6593</v>
      </c>
    </row>
    <row r="1233">
      <c r="A1233" s="19">
        <f>'Respuestas de formulario 1'!A1233</f>
        <v>45923.55037</v>
      </c>
      <c r="B1233" s="7" t="str">
        <f>'Respuestas de formulario 1'!B1233</f>
        <v>Blint</v>
      </c>
      <c r="C1233" s="7" t="str">
        <f>'Respuestas de formulario 1'!C1233</f>
        <v>Igor </v>
      </c>
      <c r="D1233" s="7" t="str">
        <f>'Respuestas de formulario 1'!D1233</f>
        <v>santiagoblint77@gmail.com</v>
      </c>
      <c r="E1233" s="20">
        <f>'Respuestas de formulario 1'!E1233</f>
        <v>41107</v>
      </c>
      <c r="F1233" s="7">
        <f>'Respuestas de formulario 1'!F1233</f>
        <v>52233105</v>
      </c>
      <c r="G1233" s="7" t="str">
        <f>IFERROR(__xludf.DUMMYFUNCTION("IF('Respuestas de formulario 1'!G1233="""","""",IF(LEFT(REGEXREPLACE(TO_TEXT('Respuestas de formulario 1'!G1233),""[^0-9]"",""""),2)=""54"",""+""&amp;REGEXREPLACE(TO_TEXT('Respuestas de formulario 1'!G1233),""[^0-9]"",""""),""+54""&amp;REGEXREPLACE(TO_TEXT('Respu"&amp;"estas de formulario 1'!G1233),""[^0-9]"","""")))"),"+543516974759")</f>
        <v>+543516974759</v>
      </c>
      <c r="H1233" s="7">
        <f>'Respuestas de formulario 1'!S1233</f>
        <v>2025</v>
      </c>
      <c r="I1233" s="7" t="str">
        <f>IFERROR(__xludf.DUMMYFUNCTION("IF('Respuestas de formulario 1'!I1233="""","""",TO_TEXT('Respuestas de formulario 1'!I1233))"),"Obra social")</f>
        <v>Obra social</v>
      </c>
      <c r="J1233" s="7" t="str">
        <f>IFERROR(__xludf.DUMMYFUNCTION("IF('Respuestas de formulario 1'!J1233&lt;&gt;"""",UPPER(TRIM(TO_TEXT('Respuestas de formulario 1'!J1233))),IF('Respuestas de formulario 1'!O1233&lt;&gt;"""",UPPER(TRIM(TO_TEXT('Respuestas de formulario 1'!O1233))),""""))"),"PREVENCIÓN")</f>
        <v>PREVENCIÓN</v>
      </c>
      <c r="K1233" s="7" t="str">
        <f>IFERROR(__xludf.DUMMYFUNCTION("IF('Respuestas de formulario 1'!K1233="""","""",TO_TEXT('Respuestas de formulario 1'!K1233))"),"Si")</f>
        <v>Si</v>
      </c>
      <c r="L1233" s="7" t="str">
        <f>IFERROR(__xludf.DUMMYFUNCTION("IF('Respuestas de formulario 1'!L1233="""","""",TO_TEXT('Respuestas de formulario 1'!L1233))"),"Fútbol")</f>
        <v>Fútbol</v>
      </c>
      <c r="M1233" s="7" t="str">
        <f>IFERROR(__xludf.DUMMYFUNCTION("IF('Respuestas de formulario 1'!M1233="""","""",TO_TEXT('Respuestas de formulario 1'!M1233))"),"3 a 5 veces por semana")</f>
        <v>3 a 5 veces por semana</v>
      </c>
      <c r="N1233" s="7">
        <f t="shared" si="1"/>
        <v>2025</v>
      </c>
      <c r="O1233" s="7" t="str">
        <f t="shared" si="2"/>
        <v>septiembre</v>
      </c>
      <c r="P1233" s="7" t="s">
        <v>6595</v>
      </c>
    </row>
    <row r="1234">
      <c r="A1234" s="19">
        <f>'Respuestas de formulario 1'!A1234</f>
        <v>45924.66856</v>
      </c>
      <c r="B1234" s="7" t="str">
        <f>'Respuestas de formulario 1'!B1234</f>
        <v>delgado</v>
      </c>
      <c r="C1234" s="7" t="str">
        <f>'Respuestas de formulario 1'!C1234</f>
        <v>Santiago </v>
      </c>
      <c r="D1234" s="7" t="str">
        <f>'Respuestas de formulario 1'!D1234</f>
        <v>jakitaontop2007@gamil.com</v>
      </c>
      <c r="E1234" s="20">
        <f>'Respuestas de formulario 1'!E1234</f>
        <v>39382</v>
      </c>
      <c r="F1234" s="7">
        <f>'Respuestas de formulario 1'!F1234</f>
        <v>48074591</v>
      </c>
      <c r="G1234" s="7" t="str">
        <f>IFERROR(__xludf.DUMMYFUNCTION("IF('Respuestas de formulario 1'!G1234="""","""",IF(LEFT(REGEXREPLACE(TO_TEXT('Respuestas de formulario 1'!G1234),""[^0-9]"",""""),2)=""54"",""+""&amp;REGEXREPLACE(TO_TEXT('Respuestas de formulario 1'!G1234),""[^0-9]"",""""),""+54""&amp;REGEXREPLACE(TO_TEXT('Respu"&amp;"estas de formulario 1'!G1234),""[^0-9]"","""")))"),"+543518553356")</f>
        <v>+543518553356</v>
      </c>
      <c r="H1234" s="7">
        <f>'Respuestas de formulario 1'!S1234</f>
        <v>2025</v>
      </c>
      <c r="I1234" s="7" t="str">
        <f>IFERROR(__xludf.DUMMYFUNCTION("IF('Respuestas de formulario 1'!I1234="""","""",TO_TEXT('Respuestas de formulario 1'!I1234))"),"Obra social")</f>
        <v>Obra social</v>
      </c>
      <c r="J1234" s="7" t="str">
        <f>IFERROR(__xludf.DUMMYFUNCTION("IF('Respuestas de formulario 1'!J1234&lt;&gt;"""",UPPER(TRIM(TO_TEXT('Respuestas de formulario 1'!J1234))),IF('Respuestas de formulario 1'!O1234&lt;&gt;"""",UPPER(TRIM(TO_TEXT('Respuestas de formulario 1'!O1234))),""""))"),"PREVENCIÓN")</f>
        <v>PREVENCIÓN</v>
      </c>
      <c r="K1234" s="7" t="str">
        <f>IFERROR(__xludf.DUMMYFUNCTION("IF('Respuestas de formulario 1'!K1234="""","""",TO_TEXT('Respuestas de formulario 1'!K1234))"),"Si")</f>
        <v>Si</v>
      </c>
      <c r="L1234" s="7" t="str">
        <f>IFERROR(__xludf.DUMMYFUNCTION("IF('Respuestas de formulario 1'!L1234="""","""",TO_TEXT('Respuestas de formulario 1'!L1234))"),"Básquet")</f>
        <v>Básquet</v>
      </c>
      <c r="M1234" s="7" t="str">
        <f>IFERROR(__xludf.DUMMYFUNCTION("IF('Respuestas de formulario 1'!M1234="""","""",TO_TEXT('Respuestas de formulario 1'!M1234))"),"6 a 7 veces por semana")</f>
        <v>6 a 7 veces por semana</v>
      </c>
      <c r="N1234" s="7">
        <f t="shared" si="1"/>
        <v>2025</v>
      </c>
      <c r="O1234" s="7" t="str">
        <f t="shared" si="2"/>
        <v>septiembre</v>
      </c>
      <c r="P1234" s="7" t="s">
        <v>6597</v>
      </c>
    </row>
    <row r="1235">
      <c r="A1235" s="19">
        <f>'Respuestas de formulario 1'!A1235</f>
        <v>45924.81353</v>
      </c>
      <c r="B1235" s="7" t="str">
        <f>'Respuestas de formulario 1'!B1235</f>
        <v>Marchetti</v>
      </c>
      <c r="C1235" s="7" t="str">
        <f>'Respuestas de formulario 1'!C1235</f>
        <v>Gloria</v>
      </c>
      <c r="D1235" s="7" t="str">
        <f>'Respuestas de formulario 1'!D1235</f>
        <v/>
      </c>
      <c r="E1235" s="20">
        <f>'Respuestas de formulario 1'!E1235</f>
        <v>18264</v>
      </c>
      <c r="F1235" s="7">
        <f>'Respuestas de formulario 1'!F1235</f>
        <v>6029575</v>
      </c>
      <c r="G1235" s="7" t="str">
        <f>IFERROR(__xludf.DUMMYFUNCTION("IF('Respuestas de formulario 1'!G1235="""","""",IF(LEFT(REGEXREPLACE(TO_TEXT('Respuestas de formulario 1'!G1235),""[^0-9]"",""""),2)=""54"",""+""&amp;REGEXREPLACE(TO_TEXT('Respuestas de formulario 1'!G1235),""[^0-9]"",""""),""+54""&amp;REGEXREPLACE(TO_TEXT('Respu"&amp;"estas de formulario 1'!G1235),""[^0-9]"","""")))"),"+543515645473")</f>
        <v>+543515645473</v>
      </c>
      <c r="H1235" s="7">
        <f>'Respuestas de formulario 1'!S1235</f>
        <v>2025</v>
      </c>
      <c r="I1235" s="7" t="str">
        <f>IFERROR(__xludf.DUMMYFUNCTION("IF('Respuestas de formulario 1'!I1235="""","""",TO_TEXT('Respuestas de formulario 1'!I1235))"),"Obra social")</f>
        <v>Obra social</v>
      </c>
      <c r="J1235" s="7" t="str">
        <f>IFERROR(__xludf.DUMMYFUNCTION("IF('Respuestas de formulario 1'!J1235&lt;&gt;"""",UPPER(TRIM(TO_TEXT('Respuestas de formulario 1'!J1235))),IF('Respuestas de formulario 1'!O1235&lt;&gt;"""",UPPER(TRIM(TO_TEXT('Respuestas de formulario 1'!O1235))),""""))"),"APROSS")</f>
        <v>APROSS</v>
      </c>
      <c r="K1235" s="7" t="str">
        <f>IFERROR(__xludf.DUMMYFUNCTION("IF('Respuestas de formulario 1'!K1235="""","""",TO_TEXT('Respuestas de formulario 1'!K1235))"),"Si")</f>
        <v>Si</v>
      </c>
      <c r="L1235" s="7" t="str">
        <f>IFERROR(__xludf.DUMMYFUNCTION("IF('Respuestas de formulario 1'!L1235="""","""",TO_TEXT('Respuestas de formulario 1'!L1235))"),"Baile")</f>
        <v>Baile</v>
      </c>
      <c r="M1235" s="7" t="str">
        <f>IFERROR(__xludf.DUMMYFUNCTION("IF('Respuestas de formulario 1'!M1235="""","""",TO_TEXT('Respuestas de formulario 1'!M1235))"),"1 a 2 veces por semana")</f>
        <v>1 a 2 veces por semana</v>
      </c>
      <c r="N1235" s="7">
        <f t="shared" si="1"/>
        <v>2025</v>
      </c>
      <c r="O1235" s="7" t="str">
        <f t="shared" si="2"/>
        <v>septiembre</v>
      </c>
      <c r="P1235" s="7" t="s">
        <v>6599</v>
      </c>
    </row>
    <row r="1236">
      <c r="A1236" s="19">
        <f>'Respuestas de formulario 1'!A1236</f>
        <v>45925.46381</v>
      </c>
      <c r="B1236" s="7" t="str">
        <f>'Respuestas de formulario 1'!B1236</f>
        <v>Cabrera </v>
      </c>
      <c r="C1236" s="7" t="str">
        <f>'Respuestas de formulario 1'!C1236</f>
        <v>Claudia </v>
      </c>
      <c r="D1236" s="7" t="str">
        <f>'Respuestas de formulario 1'!D1236</f>
        <v>claudialcabrera@hotmail.com</v>
      </c>
      <c r="E1236" s="20">
        <f>'Respuestas de formulario 1'!E1236</f>
        <v>26217</v>
      </c>
      <c r="F1236" s="7">
        <f>'Respuestas de formulario 1'!F1236</f>
        <v>22372851</v>
      </c>
      <c r="G1236" s="7" t="str">
        <f>IFERROR(__xludf.DUMMYFUNCTION("IF('Respuestas de formulario 1'!G1236="""","""",IF(LEFT(REGEXREPLACE(TO_TEXT('Respuestas de formulario 1'!G1236),""[^0-9]"",""""),2)=""54"",""+""&amp;REGEXREPLACE(TO_TEXT('Respuestas de formulario 1'!G1236),""[^0-9]"",""""),""+54""&amp;REGEXREPLACE(TO_TEXT('Respu"&amp;"estas de formulario 1'!G1236),""[^0-9]"","""")))"),"+543515101501")</f>
        <v>+543515101501</v>
      </c>
      <c r="H1236" s="7">
        <f>'Respuestas de formulario 1'!S1236</f>
        <v>2025</v>
      </c>
      <c r="I1236" s="7" t="str">
        <f>IFERROR(__xludf.DUMMYFUNCTION("IF('Respuestas de formulario 1'!I1236="""","""",TO_TEXT('Respuestas de formulario 1'!I1236))"),"Obra social")</f>
        <v>Obra social</v>
      </c>
      <c r="J1236" s="7" t="str">
        <f>IFERROR(__xludf.DUMMYFUNCTION("IF('Respuestas de formulario 1'!J1236&lt;&gt;"""",UPPER(TRIM(TO_TEXT('Respuestas de formulario 1'!J1236))),IF('Respuestas de formulario 1'!O1236&lt;&gt;"""",UPPER(TRIM(TO_TEXT('Respuestas de formulario 1'!O1236))),""""))"),"DASPU")</f>
        <v>DASPU</v>
      </c>
      <c r="K1236" s="7" t="str">
        <f>IFERROR(__xludf.DUMMYFUNCTION("IF('Respuestas de formulario 1'!K1236="""","""",TO_TEXT('Respuestas de formulario 1'!K1236))"),"Si")</f>
        <v>Si</v>
      </c>
      <c r="L1236" s="7" t="str">
        <f>IFERROR(__xludf.DUMMYFUNCTION("IF('Respuestas de formulario 1'!L1236="""","""",TO_TEXT('Respuestas de formulario 1'!L1236))"),"Ciclismo ")</f>
        <v>Ciclismo </v>
      </c>
      <c r="M1236" s="7" t="str">
        <f>IFERROR(__xludf.DUMMYFUNCTION("IF('Respuestas de formulario 1'!M1236="""","""",TO_TEXT('Respuestas de formulario 1'!M1236))"),"1 a 2 veces por semana")</f>
        <v>1 a 2 veces por semana</v>
      </c>
      <c r="N1236" s="7">
        <f t="shared" si="1"/>
        <v>2025</v>
      </c>
      <c r="O1236" s="7" t="str">
        <f t="shared" si="2"/>
        <v>septiembre</v>
      </c>
      <c r="P1236" s="7" t="s">
        <v>6601</v>
      </c>
    </row>
    <row r="1237">
      <c r="A1237" s="19">
        <f>'Respuestas de formulario 1'!A1237</f>
        <v>45925.71884</v>
      </c>
      <c r="B1237" s="7" t="str">
        <f>'Respuestas de formulario 1'!B1237</f>
        <v>Torres</v>
      </c>
      <c r="C1237" s="7" t="str">
        <f>'Respuestas de formulario 1'!C1237</f>
        <v>Facundo</v>
      </c>
      <c r="D1237" s="7" t="str">
        <f>'Respuestas de formulario 1'!D1237</f>
        <v>facu.torres2609@gmail.com</v>
      </c>
      <c r="E1237" s="20">
        <f>'Respuestas de formulario 1'!E1237</f>
        <v>35334</v>
      </c>
      <c r="F1237" s="7">
        <f>'Respuestas de formulario 1'!F1237</f>
        <v>39622848</v>
      </c>
      <c r="G1237" s="7" t="str">
        <f>IFERROR(__xludf.DUMMYFUNCTION("IF('Respuestas de formulario 1'!G1237="""","""",IF(LEFT(REGEXREPLACE(TO_TEXT('Respuestas de formulario 1'!G1237),""[^0-9]"",""""),2)=""54"",""+""&amp;REGEXREPLACE(TO_TEXT('Respuestas de formulario 1'!G1237),""[^0-9]"",""""),""+54""&amp;REGEXREPLACE(TO_TEXT('Respu"&amp;"estas de formulario 1'!G1237),""[^0-9]"","""")))"),"+543512565503")</f>
        <v>+543512565503</v>
      </c>
      <c r="H1237" s="7">
        <f>'Respuestas de formulario 1'!S1237</f>
        <v>2025</v>
      </c>
      <c r="I1237" s="7" t="str">
        <f>IFERROR(__xludf.DUMMYFUNCTION("IF('Respuestas de formulario 1'!I1237="""","""",TO_TEXT('Respuestas de formulario 1'!I1237))"),"Particular")</f>
        <v>Particular</v>
      </c>
      <c r="J1237" s="7" t="str">
        <f>IFERROR(__xludf.DUMMYFUNCTION("IF('Respuestas de formulario 1'!J1237&lt;&gt;"""",UPPER(TRIM(TO_TEXT('Respuestas de formulario 1'!J1237))),IF('Respuestas de formulario 1'!O1237&lt;&gt;"""",UPPER(TRIM(TO_TEXT('Respuestas de formulario 1'!O1237))),""""))"),"")</f>
        <v/>
      </c>
      <c r="K1237" s="7" t="str">
        <f>IFERROR(__xludf.DUMMYFUNCTION("IF('Respuestas de formulario 1'!K1237="""","""",TO_TEXT('Respuestas de formulario 1'!K1237))"),"Si")</f>
        <v>Si</v>
      </c>
      <c r="L1237" s="7" t="str">
        <f>IFERROR(__xludf.DUMMYFUNCTION("IF('Respuestas de formulario 1'!L1237="""","""",TO_TEXT('Respuestas de formulario 1'!L1237))"),"Gimnasio")</f>
        <v>Gimnasio</v>
      </c>
      <c r="M1237" s="7" t="str">
        <f>IFERROR(__xludf.DUMMYFUNCTION("IF('Respuestas de formulario 1'!M1237="""","""",TO_TEXT('Respuestas de formulario 1'!M1237))"),"3 a 5 veces por semana")</f>
        <v>3 a 5 veces por semana</v>
      </c>
      <c r="N1237" s="7">
        <f t="shared" si="1"/>
        <v>2025</v>
      </c>
      <c r="O1237" s="7" t="str">
        <f t="shared" si="2"/>
        <v>septiembre</v>
      </c>
      <c r="P1237" s="7" t="s">
        <v>6579</v>
      </c>
    </row>
    <row r="1238">
      <c r="A1238" s="19">
        <f>'Respuestas de formulario 1'!A1238</f>
        <v>45925.7515</v>
      </c>
      <c r="B1238" s="7" t="str">
        <f>'Respuestas de formulario 1'!B1238</f>
        <v>Roberto</v>
      </c>
      <c r="C1238" s="7" t="str">
        <f>'Respuestas de formulario 1'!C1238</f>
        <v>Mateo</v>
      </c>
      <c r="D1238" s="7" t="str">
        <f>'Respuestas de formulario 1'!D1238</f>
        <v>M41roberto@mi.unc.edu.ar</v>
      </c>
      <c r="E1238" s="20">
        <f>'Respuestas de formulario 1'!E1238</f>
        <v>38077</v>
      </c>
      <c r="F1238" s="7">
        <f>'Respuestas de formulario 1'!F1238</f>
        <v>45346579</v>
      </c>
      <c r="G1238" s="7" t="str">
        <f>IFERROR(__xludf.DUMMYFUNCTION("IF('Respuestas de formulario 1'!G1238="""","""",IF(LEFT(REGEXREPLACE(TO_TEXT('Respuestas de formulario 1'!G1238),""[^0-9]"",""""),2)=""54"",""+""&amp;REGEXREPLACE(TO_TEXT('Respuestas de formulario 1'!G1238),""[^0-9]"",""""),""+54""&amp;REGEXREPLACE(TO_TEXT('Respu"&amp;"estas de formulario 1'!G1238),""[^0-9]"","""")))"),"+543518087395")</f>
        <v>+543518087395</v>
      </c>
      <c r="H1238" s="7">
        <f>'Respuestas de formulario 1'!S1238</f>
        <v>2025</v>
      </c>
      <c r="I1238" s="7" t="str">
        <f>IFERROR(__xludf.DUMMYFUNCTION("IF('Respuestas de formulario 1'!I1238="""","""",TO_TEXT('Respuestas de formulario 1'!I1238))"),"Obra social")</f>
        <v>Obra social</v>
      </c>
      <c r="J1238" s="7" t="str">
        <f>IFERROR(__xludf.DUMMYFUNCTION("IF('Respuestas de formulario 1'!J1238&lt;&gt;"""",UPPER(TRIM(TO_TEXT('Respuestas de formulario 1'!J1238))),IF('Respuestas de formulario 1'!O1238&lt;&gt;"""",UPPER(TRIM(TO_TEXT('Respuestas de formulario 1'!O1238))),""""))"),"PREVENCIÓN")</f>
        <v>PREVENCIÓN</v>
      </c>
      <c r="K1238" s="7" t="str">
        <f>IFERROR(__xludf.DUMMYFUNCTION("IF('Respuestas de formulario 1'!K1238="""","""",TO_TEXT('Respuestas de formulario 1'!K1238))"),"Si")</f>
        <v>Si</v>
      </c>
      <c r="L1238" s="7" t="str">
        <f>IFERROR(__xludf.DUMMYFUNCTION("IF('Respuestas de formulario 1'!L1238="""","""",TO_TEXT('Respuestas de formulario 1'!L1238))"),"Karate kyokushin contacto completo")</f>
        <v>Karate kyokushin contacto completo</v>
      </c>
      <c r="M1238" s="7" t="str">
        <f>IFERROR(__xludf.DUMMYFUNCTION("IF('Respuestas de formulario 1'!M1238="""","""",TO_TEXT('Respuestas de formulario 1'!M1238))"),"3 a 5 veces por semana")</f>
        <v>3 a 5 veces por semana</v>
      </c>
      <c r="N1238" s="7">
        <f t="shared" si="1"/>
        <v>2025</v>
      </c>
      <c r="O1238" s="7" t="str">
        <f t="shared" si="2"/>
        <v>septiembre</v>
      </c>
      <c r="P1238" s="7" t="s">
        <v>6603</v>
      </c>
    </row>
    <row r="1239">
      <c r="A1239" s="19">
        <f>'Respuestas de formulario 1'!A1239</f>
        <v>45929.45541</v>
      </c>
      <c r="B1239" s="7" t="str">
        <f>'Respuestas de formulario 1'!B1239</f>
        <v>ELENA </v>
      </c>
      <c r="C1239" s="7" t="str">
        <f>'Respuestas de formulario 1'!C1239</f>
        <v>Vanina Fabiola Josefina </v>
      </c>
      <c r="D1239" s="7" t="str">
        <f>'Respuestas de formulario 1'!D1239</f>
        <v>martillera.elena@gmail.com</v>
      </c>
      <c r="E1239" s="20">
        <f>'Respuestas de formulario 1'!E1239</f>
        <v>26313</v>
      </c>
      <c r="F1239" s="7">
        <f>'Respuestas de formulario 1'!F1239</f>
        <v>22562177</v>
      </c>
      <c r="G1239" s="7" t="str">
        <f>IFERROR(__xludf.DUMMYFUNCTION("IF('Respuestas de formulario 1'!G1239="""","""",IF(LEFT(REGEXREPLACE(TO_TEXT('Respuestas de formulario 1'!G1239),""[^0-9]"",""""),2)=""54"",""+""&amp;REGEXREPLACE(TO_TEXT('Respuestas de formulario 1'!G1239),""[^0-9]"",""""),""+54""&amp;REGEXREPLACE(TO_TEXT('Respu"&amp;"estas de formulario 1'!G1239),""[^0-9]"","""")))"),"+543513112121")</f>
        <v>+543513112121</v>
      </c>
      <c r="H1239" s="7">
        <f>'Respuestas de formulario 1'!S1239</f>
        <v>2025</v>
      </c>
      <c r="I1239" s="7" t="str">
        <f>IFERROR(__xludf.DUMMYFUNCTION("IF('Respuestas de formulario 1'!I1239="""","""",TO_TEXT('Respuestas de formulario 1'!I1239))"),"Obra social")</f>
        <v>Obra social</v>
      </c>
      <c r="J1239" s="7" t="str">
        <f>IFERROR(__xludf.DUMMYFUNCTION("IF('Respuestas de formulario 1'!J1239&lt;&gt;"""",UPPER(TRIM(TO_TEXT('Respuestas de formulario 1'!J1239))),IF('Respuestas de formulario 1'!O1239&lt;&gt;"""",UPPER(TRIM(TO_TEXT('Respuestas de formulario 1'!O1239))),""""))"),"APROSS")</f>
        <v>APROSS</v>
      </c>
      <c r="K1239" s="7" t="str">
        <f>IFERROR(__xludf.DUMMYFUNCTION("IF('Respuestas de formulario 1'!K1239="""","""",TO_TEXT('Respuestas de formulario 1'!K1239))"),"No")</f>
        <v>No</v>
      </c>
      <c r="L1239" s="7" t="str">
        <f>IFERROR(__xludf.DUMMYFUNCTION("IF('Respuestas de formulario 1'!L1239="""","""",TO_TEXT('Respuestas de formulario 1'!L1239))"),"")</f>
        <v/>
      </c>
      <c r="M1239" s="7" t="str">
        <f>IFERROR(__xludf.DUMMYFUNCTION("IF('Respuestas de formulario 1'!M1239="""","""",TO_TEXT('Respuestas de formulario 1'!M1239))"),"")</f>
        <v/>
      </c>
      <c r="N1239" s="7">
        <f t="shared" si="1"/>
        <v>2025</v>
      </c>
      <c r="O1239" s="7" t="str">
        <f t="shared" si="2"/>
        <v>septiembre</v>
      </c>
      <c r="P1239" s="7" t="s">
        <v>6605</v>
      </c>
    </row>
    <row r="1240">
      <c r="A1240" s="19">
        <f>'Respuestas de formulario 1'!A1240</f>
        <v>45929.45705</v>
      </c>
      <c r="B1240" s="7" t="str">
        <f>'Respuestas de formulario 1'!B1240</f>
        <v>BECHER  </v>
      </c>
      <c r="C1240" s="7" t="str">
        <f>'Respuestas de formulario 1'!C1240</f>
        <v>Néstor Fabian </v>
      </c>
      <c r="D1240" s="7" t="str">
        <f>'Respuestas de formulario 1'!D1240</f>
        <v>martillera.elena@gmail.com</v>
      </c>
      <c r="E1240" s="20">
        <f>'Respuestas de formulario 1'!E1240</f>
        <v>26112</v>
      </c>
      <c r="F1240" s="7">
        <f>'Respuestas de formulario 1'!F1240</f>
        <v>22101698</v>
      </c>
      <c r="G1240" s="7" t="str">
        <f>IFERROR(__xludf.DUMMYFUNCTION("IF('Respuestas de formulario 1'!G1240="""","""",IF(LEFT(REGEXREPLACE(TO_TEXT('Respuestas de formulario 1'!G1240),""[^0-9]"",""""),2)=""54"",""+""&amp;REGEXREPLACE(TO_TEXT('Respuestas de formulario 1'!G1240),""[^0-9]"",""""),""+54""&amp;REGEXREPLACE(TO_TEXT('Respu"&amp;"estas de formulario 1'!G1240),""[^0-9]"","""")))"),"+543513112222")</f>
        <v>+543513112222</v>
      </c>
      <c r="H1240" s="7">
        <f>'Respuestas de formulario 1'!S1240</f>
        <v>2025</v>
      </c>
      <c r="I1240" s="7" t="str">
        <f>IFERROR(__xludf.DUMMYFUNCTION("IF('Respuestas de formulario 1'!I1240="""","""",TO_TEXT('Respuestas de formulario 1'!I1240))"),"Obra social")</f>
        <v>Obra social</v>
      </c>
      <c r="J1240" s="7" t="str">
        <f>IFERROR(__xludf.DUMMYFUNCTION("IF('Respuestas de formulario 1'!J1240&lt;&gt;"""",UPPER(TRIM(TO_TEXT('Respuestas de formulario 1'!J1240))),IF('Respuestas de formulario 1'!O1240&lt;&gt;"""",UPPER(TRIM(TO_TEXT('Respuestas de formulario 1'!O1240))),""""))"),"APROSS")</f>
        <v>APROSS</v>
      </c>
      <c r="K1240" s="7" t="str">
        <f>IFERROR(__xludf.DUMMYFUNCTION("IF('Respuestas de formulario 1'!K1240="""","""",TO_TEXT('Respuestas de formulario 1'!K1240))"),"No")</f>
        <v>No</v>
      </c>
      <c r="L1240" s="7" t="str">
        <f>IFERROR(__xludf.DUMMYFUNCTION("IF('Respuestas de formulario 1'!L1240="""","""",TO_TEXT('Respuestas de formulario 1'!L1240))"),"")</f>
        <v/>
      </c>
      <c r="M1240" s="7" t="str">
        <f>IFERROR(__xludf.DUMMYFUNCTION("IF('Respuestas de formulario 1'!M1240="""","""",TO_TEXT('Respuestas de formulario 1'!M1240))"),"")</f>
        <v/>
      </c>
      <c r="N1240" s="7">
        <f t="shared" si="1"/>
        <v>2025</v>
      </c>
      <c r="O1240" s="7" t="str">
        <f t="shared" si="2"/>
        <v>septiembre</v>
      </c>
      <c r="P1240" s="7" t="s">
        <v>6607</v>
      </c>
    </row>
    <row r="1241">
      <c r="A1241" s="19">
        <f>'Respuestas de formulario 1'!A1241</f>
        <v>45929.94137</v>
      </c>
      <c r="B1241" s="7" t="str">
        <f>'Respuestas de formulario 1'!B1241</f>
        <v>Medina</v>
      </c>
      <c r="C1241" s="7" t="str">
        <f>'Respuestas de formulario 1'!C1241</f>
        <v>Luis angel</v>
      </c>
      <c r="D1241" s="7" t="str">
        <f>'Respuestas de formulario 1'!D1241</f>
        <v>luis_cba.18@hotmail.com</v>
      </c>
      <c r="E1241" s="20">
        <f>'Respuestas de formulario 1'!E1241</f>
        <v>32655</v>
      </c>
      <c r="F1241" s="7">
        <f>'Respuestas de formulario 1'!F1241</f>
        <v>34455050</v>
      </c>
      <c r="G1241" s="7" t="str">
        <f>IFERROR(__xludf.DUMMYFUNCTION("IF('Respuestas de formulario 1'!G1241="""","""",IF(LEFT(REGEXREPLACE(TO_TEXT('Respuestas de formulario 1'!G1241),""[^0-9]"",""""),2)=""54"",""+""&amp;REGEXREPLACE(TO_TEXT('Respuestas de formulario 1'!G1241),""[^0-9]"",""""),""+54""&amp;REGEXREPLACE(TO_TEXT('Respu"&amp;"estas de formulario 1'!G1241),""[^0-9]"","""")))"),"+543514085635")</f>
        <v>+543514085635</v>
      </c>
      <c r="H1241" s="7">
        <f>'Respuestas de formulario 1'!S1241</f>
        <v>2025</v>
      </c>
      <c r="I1241" s="7" t="str">
        <f>IFERROR(__xludf.DUMMYFUNCTION("IF('Respuestas de formulario 1'!I1241="""","""",TO_TEXT('Respuestas de formulario 1'!I1241))"),"Particular")</f>
        <v>Particular</v>
      </c>
      <c r="J1241" s="7" t="str">
        <f>IFERROR(__xludf.DUMMYFUNCTION("IF('Respuestas de formulario 1'!J1241&lt;&gt;"""",UPPER(TRIM(TO_TEXT('Respuestas de formulario 1'!J1241))),IF('Respuestas de formulario 1'!O1241&lt;&gt;"""",UPPER(TRIM(TO_TEXT('Respuestas de formulario 1'!O1241))),""""))"),"")</f>
        <v/>
      </c>
      <c r="K1241" s="7" t="str">
        <f>IFERROR(__xludf.DUMMYFUNCTION("IF('Respuestas de formulario 1'!K1241="""","""",TO_TEXT('Respuestas de formulario 1'!K1241))"),"Si")</f>
        <v>Si</v>
      </c>
      <c r="L1241" s="7" t="str">
        <f>IFERROR(__xludf.DUMMYFUNCTION("IF('Respuestas de formulario 1'!L1241="""","""",TO_TEXT('Respuestas de formulario 1'!L1241))"),"Karate y gimnasio ")</f>
        <v>Karate y gimnasio </v>
      </c>
      <c r="M1241" s="7" t="str">
        <f>IFERROR(__xludf.DUMMYFUNCTION("IF('Respuestas de formulario 1'!M1241="""","""",TO_TEXT('Respuestas de formulario 1'!M1241))"),"3 a 5 veces por semana")</f>
        <v>3 a 5 veces por semana</v>
      </c>
      <c r="N1241" s="7">
        <f t="shared" si="1"/>
        <v>2025</v>
      </c>
      <c r="O1241" s="7" t="str">
        <f t="shared" si="2"/>
        <v>septiembre</v>
      </c>
      <c r="P1241" s="7" t="s">
        <v>6609</v>
      </c>
    </row>
    <row r="1242">
      <c r="A1242" s="19">
        <f>'Respuestas de formulario 1'!A1242</f>
        <v>45930.36804</v>
      </c>
      <c r="B1242" s="7" t="str">
        <f>'Respuestas de formulario 1'!B1242</f>
        <v>Sosa</v>
      </c>
      <c r="C1242" s="7" t="str">
        <f>'Respuestas de formulario 1'!C1242</f>
        <v>Alexis </v>
      </c>
      <c r="D1242" s="7" t="str">
        <f>'Respuestas de formulario 1'!D1242</f>
        <v>alexissosa16@gmail.com</v>
      </c>
      <c r="E1242" s="20">
        <f>'Respuestas de formulario 1'!E1242</f>
        <v>32440</v>
      </c>
      <c r="F1242" s="7">
        <f>'Respuestas de formulario 1'!F1242</f>
        <v>33976570</v>
      </c>
      <c r="G1242" s="7" t="str">
        <f>IFERROR(__xludf.DUMMYFUNCTION("IF('Respuestas de formulario 1'!G1242="""","""",IF(LEFT(REGEXREPLACE(TO_TEXT('Respuestas de formulario 1'!G1242),""[^0-9]"",""""),2)=""54"",""+""&amp;REGEXREPLACE(TO_TEXT('Respuestas de formulario 1'!G1242),""[^0-9]"",""""),""+54""&amp;REGEXREPLACE(TO_TEXT('Respu"&amp;"estas de formulario 1'!G1242),""[^0-9]"","""")))"),"+543512145675")</f>
        <v>+543512145675</v>
      </c>
      <c r="H1242" s="7">
        <f>'Respuestas de formulario 1'!S1242</f>
        <v>2025</v>
      </c>
      <c r="I1242" s="7" t="str">
        <f>IFERROR(__xludf.DUMMYFUNCTION("IF('Respuestas de formulario 1'!I1242="""","""",TO_TEXT('Respuestas de formulario 1'!I1242))"),"Obra social")</f>
        <v>Obra social</v>
      </c>
      <c r="J1242" s="7" t="str">
        <f>IFERROR(__xludf.DUMMYFUNCTION("IF('Respuestas de formulario 1'!J1242&lt;&gt;"""",UPPER(TRIM(TO_TEXT('Respuestas de formulario 1'!J1242))),IF('Respuestas de formulario 1'!O1242&lt;&gt;"""",UPPER(TRIM(TO_TEXT('Respuestas de formulario 1'!O1242))),""""))"),"APROSS")</f>
        <v>APROSS</v>
      </c>
      <c r="K1242" s="7" t="str">
        <f>IFERROR(__xludf.DUMMYFUNCTION("IF('Respuestas de formulario 1'!K1242="""","""",TO_TEXT('Respuestas de formulario 1'!K1242))"),"Si")</f>
        <v>Si</v>
      </c>
      <c r="L1242" s="7" t="str">
        <f>IFERROR(__xludf.DUMMYFUNCTION("IF('Respuestas de formulario 1'!L1242="""","""",TO_TEXT('Respuestas de formulario 1'!L1242))"),"Fútbol")</f>
        <v>Fútbol</v>
      </c>
      <c r="M1242" s="7" t="str">
        <f>IFERROR(__xludf.DUMMYFUNCTION("IF('Respuestas de formulario 1'!M1242="""","""",TO_TEXT('Respuestas de formulario 1'!M1242))"),"3 a 5 veces por semana")</f>
        <v>3 a 5 veces por semana</v>
      </c>
      <c r="N1242" s="7">
        <f t="shared" si="1"/>
        <v>2025</v>
      </c>
      <c r="O1242" s="7" t="str">
        <f t="shared" si="2"/>
        <v>septiembre</v>
      </c>
      <c r="P1242" s="7" t="s">
        <v>6610</v>
      </c>
    </row>
    <row r="1243">
      <c r="A1243" s="19">
        <f>'Respuestas de formulario 1'!A1243</f>
        <v>45930.48087</v>
      </c>
      <c r="B1243" s="7" t="str">
        <f>'Respuestas de formulario 1'!B1243</f>
        <v>Zampedri</v>
      </c>
      <c r="C1243" s="7" t="str">
        <f>'Respuestas de formulario 1'!C1243</f>
        <v>Sofia</v>
      </c>
      <c r="D1243" s="7" t="str">
        <f>'Respuestas de formulario 1'!D1243</f>
        <v>sofii_230@hotmail.com</v>
      </c>
      <c r="E1243" s="20">
        <f>'Respuestas de formulario 1'!E1243</f>
        <v>36703</v>
      </c>
      <c r="F1243" s="7">
        <f>'Respuestas de formulario 1'!F1243</f>
        <v>42693138</v>
      </c>
      <c r="G1243" s="7" t="str">
        <f>IFERROR(__xludf.DUMMYFUNCTION("IF('Respuestas de formulario 1'!G1243="""","""",IF(LEFT(REGEXREPLACE(TO_TEXT('Respuestas de formulario 1'!G1243),""[^0-9]"",""""),2)=""54"",""+""&amp;REGEXREPLACE(TO_TEXT('Respuestas de formulario 1'!G1243),""[^0-9]"",""""),""+54""&amp;REGEXREPLACE(TO_TEXT('Respu"&amp;"estas de formulario 1'!G1243),""[^0-9]"","""")))"),"+543512724972")</f>
        <v>+543512724972</v>
      </c>
      <c r="H1243" s="7">
        <f>'Respuestas de formulario 1'!S1243</f>
        <v>2025</v>
      </c>
      <c r="I1243" s="7" t="str">
        <f>IFERROR(__xludf.DUMMYFUNCTION("IF('Respuestas de formulario 1'!I1243="""","""",TO_TEXT('Respuestas de formulario 1'!I1243))"),"Particular")</f>
        <v>Particular</v>
      </c>
      <c r="J1243" s="7" t="str">
        <f>IFERROR(__xludf.DUMMYFUNCTION("IF('Respuestas de formulario 1'!J1243&lt;&gt;"""",UPPER(TRIM(TO_TEXT('Respuestas de formulario 1'!J1243))),IF('Respuestas de formulario 1'!O1243&lt;&gt;"""",UPPER(TRIM(TO_TEXT('Respuestas de formulario 1'!O1243))),""""))"),"")</f>
        <v/>
      </c>
      <c r="K1243" s="7" t="str">
        <f>IFERROR(__xludf.DUMMYFUNCTION("IF('Respuestas de formulario 1'!K1243="""","""",TO_TEXT('Respuestas de formulario 1'!K1243))"),"Si")</f>
        <v>Si</v>
      </c>
      <c r="L1243" s="7" t="str">
        <f>IFERROR(__xludf.DUMMYFUNCTION("IF('Respuestas de formulario 1'!L1243="""","""",TO_TEXT('Respuestas de formulario 1'!L1243))"),"Gimnasio")</f>
        <v>Gimnasio</v>
      </c>
      <c r="M1243" s="7" t="str">
        <f>IFERROR(__xludf.DUMMYFUNCTION("IF('Respuestas de formulario 1'!M1243="""","""",TO_TEXT('Respuestas de formulario 1'!M1243))"),"3 a 5 veces por semana")</f>
        <v>3 a 5 veces por semana</v>
      </c>
      <c r="N1243" s="7">
        <f t="shared" si="1"/>
        <v>2025</v>
      </c>
      <c r="O1243" s="7" t="str">
        <f t="shared" si="2"/>
        <v>septiembre</v>
      </c>
      <c r="P1243" s="7" t="s">
        <v>6612</v>
      </c>
    </row>
    <row r="1244">
      <c r="A1244" s="19">
        <f>'Respuestas de formulario 1'!A1244</f>
        <v>45931.51954</v>
      </c>
      <c r="B1244" s="7" t="str">
        <f>'Respuestas de formulario 1'!B1244</f>
        <v>Torres Mazzucchi</v>
      </c>
      <c r="C1244" s="7" t="str">
        <f>'Respuestas de formulario 1'!C1244</f>
        <v>Maria Elena</v>
      </c>
      <c r="D1244" s="7" t="str">
        <f>'Respuestas de formulario 1'!D1244</f>
        <v>malenastral@hotmail.com</v>
      </c>
      <c r="E1244" s="20">
        <f>'Respuestas de formulario 1'!E1244</f>
        <v>17473</v>
      </c>
      <c r="F1244" s="7">
        <f>'Respuestas de formulario 1'!F1244</f>
        <v>5698670</v>
      </c>
      <c r="G1244" s="7" t="str">
        <f>IFERROR(__xludf.DUMMYFUNCTION("IF('Respuestas de formulario 1'!G1244="""","""",IF(LEFT(REGEXREPLACE(TO_TEXT('Respuestas de formulario 1'!G1244),""[^0-9]"",""""),2)=""54"",""+""&amp;REGEXREPLACE(TO_TEXT('Respuestas de formulario 1'!G1244),""[^0-9]"",""""),""+54""&amp;REGEXREPLACE(TO_TEXT('Respu"&amp;"estas de formulario 1'!G1244),""[^0-9]"","""")))"),"+543516706670")</f>
        <v>+543516706670</v>
      </c>
      <c r="H1244" s="7">
        <f>'Respuestas de formulario 1'!S1244</f>
        <v>2025</v>
      </c>
      <c r="I1244" s="7" t="str">
        <f>IFERROR(__xludf.DUMMYFUNCTION("IF('Respuestas de formulario 1'!I1244="""","""",TO_TEXT('Respuestas de formulario 1'!I1244))"),"Obra social")</f>
        <v>Obra social</v>
      </c>
      <c r="J1244" s="7" t="str">
        <f>IFERROR(__xludf.DUMMYFUNCTION("IF('Respuestas de formulario 1'!J1244&lt;&gt;"""",UPPER(TRIM(TO_TEXT('Respuestas de formulario 1'!J1244))),IF('Respuestas de formulario 1'!O1244&lt;&gt;"""",UPPER(TRIM(TO_TEXT('Respuestas de formulario 1'!O1244))),""""))"),"APROSS")</f>
        <v>APROSS</v>
      </c>
      <c r="K1244" s="7" t="str">
        <f>IFERROR(__xludf.DUMMYFUNCTION("IF('Respuestas de formulario 1'!K1244="""","""",TO_TEXT('Respuestas de formulario 1'!K1244))"),"Si")</f>
        <v>Si</v>
      </c>
      <c r="L1244" s="7" t="str">
        <f>IFERROR(__xludf.DUMMYFUNCTION("IF('Respuestas de formulario 1'!L1244="""","""",TO_TEXT('Respuestas de formulario 1'!L1244))"),"Caminar slgo de gimnasio")</f>
        <v>Caminar slgo de gimnasio</v>
      </c>
      <c r="M1244" s="7" t="str">
        <f>IFERROR(__xludf.DUMMYFUNCTION("IF('Respuestas de formulario 1'!M1244="""","""",TO_TEXT('Respuestas de formulario 1'!M1244))"),"1 a 2 veces por semana")</f>
        <v>1 a 2 veces por semana</v>
      </c>
      <c r="N1244" s="7">
        <f t="shared" si="1"/>
        <v>2025</v>
      </c>
      <c r="O1244" s="7" t="str">
        <f t="shared" si="2"/>
        <v>octubre</v>
      </c>
      <c r="P1244" s="7" t="s">
        <v>6614</v>
      </c>
    </row>
    <row r="1245">
      <c r="A1245" s="19">
        <f>'Respuestas de formulario 1'!A1245</f>
        <v>45931.72419</v>
      </c>
      <c r="B1245" s="7" t="str">
        <f>'Respuestas de formulario 1'!B1245</f>
        <v>Pautasso</v>
      </c>
      <c r="C1245" s="7" t="str">
        <f>'Respuestas de formulario 1'!C1245</f>
        <v>Juan</v>
      </c>
      <c r="D1245" s="7" t="str">
        <f>'Respuestas de formulario 1'!D1245</f>
        <v>juancitopautasso@gmail.com</v>
      </c>
      <c r="E1245" s="20">
        <f>'Respuestas de formulario 1'!E1245</f>
        <v>37883</v>
      </c>
      <c r="F1245" s="7">
        <f>'Respuestas de formulario 1'!F1245</f>
        <v>44971986</v>
      </c>
      <c r="G1245" s="7" t="str">
        <f>IFERROR(__xludf.DUMMYFUNCTION("IF('Respuestas de formulario 1'!G1245="""","""",IF(LEFT(REGEXREPLACE(TO_TEXT('Respuestas de formulario 1'!G1245),""[^0-9]"",""""),2)=""54"",""+""&amp;REGEXREPLACE(TO_TEXT('Respuestas de formulario 1'!G1245),""[^0-9]"",""""),""+54""&amp;REGEXREPLACE(TO_TEXT('Respu"&amp;"estas de formulario 1'!G1245),""[^0-9]"","""")))"),"+543512091899")</f>
        <v>+543512091899</v>
      </c>
      <c r="H1245" s="7">
        <f>'Respuestas de formulario 1'!S1245</f>
        <v>2025</v>
      </c>
      <c r="I1245" s="7" t="str">
        <f>IFERROR(__xludf.DUMMYFUNCTION("IF('Respuestas de formulario 1'!I1245="""","""",TO_TEXT('Respuestas de formulario 1'!I1245))"),"Particular")</f>
        <v>Particular</v>
      </c>
      <c r="J1245" s="7" t="str">
        <f>IFERROR(__xludf.DUMMYFUNCTION("IF('Respuestas de formulario 1'!J1245&lt;&gt;"""",UPPER(TRIM(TO_TEXT('Respuestas de formulario 1'!J1245))),IF('Respuestas de formulario 1'!O1245&lt;&gt;"""",UPPER(TRIM(TO_TEXT('Respuestas de formulario 1'!O1245))),""""))"),"")</f>
        <v/>
      </c>
      <c r="K1245" s="7" t="str">
        <f>IFERROR(__xludf.DUMMYFUNCTION("IF('Respuestas de formulario 1'!K1245="""","""",TO_TEXT('Respuestas de formulario 1'!K1245))"),"Si")</f>
        <v>Si</v>
      </c>
      <c r="L1245" s="7" t="str">
        <f>IFERROR(__xludf.DUMMYFUNCTION("IF('Respuestas de formulario 1'!L1245="""","""",TO_TEXT('Respuestas de formulario 1'!L1245))"),"Fútbol")</f>
        <v>Fútbol</v>
      </c>
      <c r="M1245" s="7" t="str">
        <f>IFERROR(__xludf.DUMMYFUNCTION("IF('Respuestas de formulario 1'!M1245="""","""",TO_TEXT('Respuestas de formulario 1'!M1245))"),"3 a 5 veces por semana")</f>
        <v>3 a 5 veces por semana</v>
      </c>
      <c r="N1245" s="7">
        <f t="shared" si="1"/>
        <v>2025</v>
      </c>
      <c r="O1245" s="7" t="str">
        <f t="shared" si="2"/>
        <v>octubre</v>
      </c>
      <c r="P1245" s="7" t="s">
        <v>6616</v>
      </c>
    </row>
    <row r="1246">
      <c r="A1246" s="19">
        <f>'Respuestas de formulario 1'!A1246</f>
        <v>45931.73439</v>
      </c>
      <c r="B1246" s="7" t="str">
        <f>'Respuestas de formulario 1'!B1246</f>
        <v>Vazquez</v>
      </c>
      <c r="C1246" s="7" t="str">
        <f>'Respuestas de formulario 1'!C1246</f>
        <v>Marisel</v>
      </c>
      <c r="D1246" s="7" t="str">
        <f>'Respuestas de formulario 1'!D1246</f>
        <v>vzmarisela@gmail.com</v>
      </c>
      <c r="E1246" s="20">
        <f>'Respuestas de formulario 1'!E1246</f>
        <v>27775</v>
      </c>
      <c r="F1246" s="7">
        <f>'Respuestas de formulario 1'!F1246</f>
        <v>24863986</v>
      </c>
      <c r="G1246" s="7" t="str">
        <f>IFERROR(__xludf.DUMMYFUNCTION("IF('Respuestas de formulario 1'!G1246="""","""",IF(LEFT(REGEXREPLACE(TO_TEXT('Respuestas de formulario 1'!G1246),""[^0-9]"",""""),2)=""54"",""+""&amp;REGEXREPLACE(TO_TEXT('Respuestas de formulario 1'!G1246),""[^0-9]"",""""),""+54""&amp;REGEXREPLACE(TO_TEXT('Respu"&amp;"estas de formulario 1'!G1246),""[^0-9]"","""")))"),"+543515914536")</f>
        <v>+543515914536</v>
      </c>
      <c r="H1246" s="7">
        <f>'Respuestas de formulario 1'!S1246</f>
        <v>2025</v>
      </c>
      <c r="I1246" s="7" t="str">
        <f>IFERROR(__xludf.DUMMYFUNCTION("IF('Respuestas de formulario 1'!I1246="""","""",TO_TEXT('Respuestas de formulario 1'!I1246))"),"Obra social")</f>
        <v>Obra social</v>
      </c>
      <c r="J1246" s="7" t="str">
        <f>IFERROR(__xludf.DUMMYFUNCTION("IF('Respuestas de formulario 1'!J1246&lt;&gt;"""",UPPER(TRIM(TO_TEXT('Respuestas de formulario 1'!J1246))),IF('Respuestas de formulario 1'!O1246&lt;&gt;"""",UPPER(TRIM(TO_TEXT('Respuestas de formulario 1'!O1246))),""""))"),"SANCOR")</f>
        <v>SANCOR</v>
      </c>
      <c r="K1246" s="7" t="str">
        <f>IFERROR(__xludf.DUMMYFUNCTION("IF('Respuestas de formulario 1'!K1246="""","""",TO_TEXT('Respuestas de formulario 1'!K1246))"),"Si")</f>
        <v>Si</v>
      </c>
      <c r="L1246" s="7" t="str">
        <f>IFERROR(__xludf.DUMMYFUNCTION("IF('Respuestas de formulario 1'!L1246="""","""",TO_TEXT('Respuestas de formulario 1'!L1246))"),"Gimnasio")</f>
        <v>Gimnasio</v>
      </c>
      <c r="M1246" s="7" t="str">
        <f>IFERROR(__xludf.DUMMYFUNCTION("IF('Respuestas de formulario 1'!M1246="""","""",TO_TEXT('Respuestas de formulario 1'!M1246))"),"3 a 5 veces por semana")</f>
        <v>3 a 5 veces por semana</v>
      </c>
      <c r="N1246" s="7">
        <f t="shared" si="1"/>
        <v>2025</v>
      </c>
      <c r="O1246" s="7" t="str">
        <f t="shared" si="2"/>
        <v>octubre</v>
      </c>
      <c r="P1246" s="7" t="s">
        <v>6618</v>
      </c>
    </row>
    <row r="1247">
      <c r="A1247" s="19">
        <f>'Respuestas de formulario 1'!A1247</f>
        <v>45932.6792</v>
      </c>
      <c r="B1247" s="7" t="str">
        <f>'Respuestas de formulario 1'!B1247</f>
        <v>Bernabeu</v>
      </c>
      <c r="C1247" s="7" t="str">
        <f>'Respuestas de formulario 1'!C1247</f>
        <v>Juan</v>
      </c>
      <c r="D1247" s="7" t="str">
        <f>'Respuestas de formulario 1'!D1247</f>
        <v/>
      </c>
      <c r="E1247" s="20">
        <f>'Respuestas de formulario 1'!E1247</f>
        <v>30247</v>
      </c>
      <c r="F1247" s="7">
        <f>'Respuestas de formulario 1'!F1247</f>
        <v>29713180</v>
      </c>
      <c r="G1247" s="7" t="str">
        <f>IFERROR(__xludf.DUMMYFUNCTION("IF('Respuestas de formulario 1'!G1247="""","""",IF(LEFT(REGEXREPLACE(TO_TEXT('Respuestas de formulario 1'!G1247),""[^0-9]"",""""),2)=""54"",""+""&amp;REGEXREPLACE(TO_TEXT('Respuestas de formulario 1'!G1247),""[^0-9]"",""""),""+54""&amp;REGEXREPLACE(TO_TEXT('Respu"&amp;"estas de formulario 1'!G1247),""[^0-9]"","""")))"),"+543513281374")</f>
        <v>+543513281374</v>
      </c>
      <c r="H1247" s="7">
        <f>'Respuestas de formulario 1'!S1247</f>
        <v>2025</v>
      </c>
      <c r="I1247" s="7" t="str">
        <f>IFERROR(__xludf.DUMMYFUNCTION("IF('Respuestas de formulario 1'!I1247="""","""",TO_TEXT('Respuestas de formulario 1'!I1247))"),"Particular")</f>
        <v>Particular</v>
      </c>
      <c r="J1247" s="7" t="str">
        <f>IFERROR(__xludf.DUMMYFUNCTION("IF('Respuestas de formulario 1'!J1247&lt;&gt;"""",UPPER(TRIM(TO_TEXT('Respuestas de formulario 1'!J1247))),IF('Respuestas de formulario 1'!O1247&lt;&gt;"""",UPPER(TRIM(TO_TEXT('Respuestas de formulario 1'!O1247))),""""))"),"")</f>
        <v/>
      </c>
      <c r="K1247" s="7" t="str">
        <f>IFERROR(__xludf.DUMMYFUNCTION("IF('Respuestas de formulario 1'!K1247="""","""",TO_TEXT('Respuestas de formulario 1'!K1247))"),"Si")</f>
        <v>Si</v>
      </c>
      <c r="L1247" s="7" t="str">
        <f>IFERROR(__xludf.DUMMYFUNCTION("IF('Respuestas de formulario 1'!L1247="""","""",TO_TEXT('Respuestas de formulario 1'!L1247))"),"Fútbol")</f>
        <v>Fútbol</v>
      </c>
      <c r="M1247" s="7" t="str">
        <f>IFERROR(__xludf.DUMMYFUNCTION("IF('Respuestas de formulario 1'!M1247="""","""",TO_TEXT('Respuestas de formulario 1'!M1247))"),"1 a 2 veces por semana")</f>
        <v>1 a 2 veces por semana</v>
      </c>
      <c r="N1247" s="7">
        <f t="shared" si="1"/>
        <v>2025</v>
      </c>
      <c r="O1247" s="7" t="str">
        <f t="shared" si="2"/>
        <v>octubre</v>
      </c>
      <c r="P1247" s="7" t="s">
        <v>6620</v>
      </c>
    </row>
    <row r="1248">
      <c r="A1248" s="19">
        <f>'Respuestas de formulario 1'!A1248</f>
        <v>45932.70878</v>
      </c>
      <c r="B1248" s="7" t="str">
        <f>'Respuestas de formulario 1'!B1248</f>
        <v>Diaz</v>
      </c>
      <c r="C1248" s="7" t="str">
        <f>'Respuestas de formulario 1'!C1248</f>
        <v>Agustin</v>
      </c>
      <c r="D1248" s="7" t="str">
        <f>'Respuestas de formulario 1'!D1248</f>
        <v/>
      </c>
      <c r="E1248" s="20">
        <f>'Respuestas de formulario 1'!E1248</f>
        <v>36568</v>
      </c>
      <c r="F1248" s="7">
        <f>'Respuestas de formulario 1'!F1248</f>
        <v>42260483</v>
      </c>
      <c r="G1248" s="7" t="str">
        <f>IFERROR(__xludf.DUMMYFUNCTION("IF('Respuestas de formulario 1'!G1248="""","""",IF(LEFT(REGEXREPLACE(TO_TEXT('Respuestas de formulario 1'!G1248),""[^0-9]"",""""),2)=""54"",""+""&amp;REGEXREPLACE(TO_TEXT('Respuestas de formulario 1'!G1248),""[^0-9]"",""""),""+54""&amp;REGEXREPLACE(TO_TEXT('Respu"&amp;"estas de formulario 1'!G1248),""[^0-9]"","""")))"),"+543512602560")</f>
        <v>+543512602560</v>
      </c>
      <c r="H1248" s="7">
        <f>'Respuestas de formulario 1'!S1248</f>
        <v>2025</v>
      </c>
      <c r="I1248" s="7" t="str">
        <f>IFERROR(__xludf.DUMMYFUNCTION("IF('Respuestas de formulario 1'!I1248="""","""",TO_TEXT('Respuestas de formulario 1'!I1248))"),"Particular")</f>
        <v>Particular</v>
      </c>
      <c r="J1248" s="7" t="str">
        <f>IFERROR(__xludf.DUMMYFUNCTION("IF('Respuestas de formulario 1'!J1248&lt;&gt;"""",UPPER(TRIM(TO_TEXT('Respuestas de formulario 1'!J1248))),IF('Respuestas de formulario 1'!O1248&lt;&gt;"""",UPPER(TRIM(TO_TEXT('Respuestas de formulario 1'!O1248))),""""))"),"")</f>
        <v/>
      </c>
      <c r="K1248" s="7" t="str">
        <f>IFERROR(__xludf.DUMMYFUNCTION("IF('Respuestas de formulario 1'!K1248="""","""",TO_TEXT('Respuestas de formulario 1'!K1248))"),"No")</f>
        <v>No</v>
      </c>
      <c r="L1248" s="7" t="str">
        <f>IFERROR(__xludf.DUMMYFUNCTION("IF('Respuestas de formulario 1'!L1248="""","""",TO_TEXT('Respuestas de formulario 1'!L1248))"),"")</f>
        <v/>
      </c>
      <c r="M1248" s="7" t="str">
        <f>IFERROR(__xludf.DUMMYFUNCTION("IF('Respuestas de formulario 1'!M1248="""","""",TO_TEXT('Respuestas de formulario 1'!M1248))"),"")</f>
        <v/>
      </c>
      <c r="N1248" s="7">
        <f t="shared" si="1"/>
        <v>2025</v>
      </c>
      <c r="O1248" s="7" t="str">
        <f t="shared" si="2"/>
        <v>octubre</v>
      </c>
      <c r="P1248" s="7" t="s">
        <v>6622</v>
      </c>
    </row>
    <row r="1249">
      <c r="A1249" s="19">
        <f>'Respuestas de formulario 1'!A1249</f>
        <v>45932.74289</v>
      </c>
      <c r="B1249" s="7" t="str">
        <f>'Respuestas de formulario 1'!B1249</f>
        <v>Remonda</v>
      </c>
      <c r="C1249" s="7" t="str">
        <f>'Respuestas de formulario 1'!C1249</f>
        <v>Federico</v>
      </c>
      <c r="D1249" s="7" t="str">
        <f>'Respuestas de formulario 1'!D1249</f>
        <v>federemonda@gmail.com</v>
      </c>
      <c r="E1249" s="20">
        <f>'Respuestas de formulario 1'!E1249</f>
        <v>33668</v>
      </c>
      <c r="F1249" s="7">
        <f>'Respuestas de formulario 1'!F1249</f>
        <v>37134195</v>
      </c>
      <c r="G1249" s="7" t="str">
        <f>IFERROR(__xludf.DUMMYFUNCTION("IF('Respuestas de formulario 1'!G1249="""","""",IF(LEFT(REGEXREPLACE(TO_TEXT('Respuestas de formulario 1'!G1249),""[^0-9]"",""""),2)=""54"",""+""&amp;REGEXREPLACE(TO_TEXT('Respuestas de formulario 1'!G1249),""[^0-9]"",""""),""+54""&amp;REGEXREPLACE(TO_TEXT('Respu"&amp;"estas de formulario 1'!G1249),""[^0-9]"","""")))"),"+543512077505")</f>
        <v>+543512077505</v>
      </c>
      <c r="H1249" s="7">
        <f>'Respuestas de formulario 1'!S1249</f>
        <v>2025</v>
      </c>
      <c r="I1249" s="7" t="str">
        <f>IFERROR(__xludf.DUMMYFUNCTION("IF('Respuestas de formulario 1'!I1249="""","""",TO_TEXT('Respuestas de formulario 1'!I1249))"),"Particular")</f>
        <v>Particular</v>
      </c>
      <c r="J1249" s="7" t="str">
        <f>IFERROR(__xludf.DUMMYFUNCTION("IF('Respuestas de formulario 1'!J1249&lt;&gt;"""",UPPER(TRIM(TO_TEXT('Respuestas de formulario 1'!J1249))),IF('Respuestas de formulario 1'!O1249&lt;&gt;"""",UPPER(TRIM(TO_TEXT('Respuestas de formulario 1'!O1249))),""""))"),"")</f>
        <v/>
      </c>
      <c r="K1249" s="7" t="str">
        <f>IFERROR(__xludf.DUMMYFUNCTION("IF('Respuestas de formulario 1'!K1249="""","""",TO_TEXT('Respuestas de formulario 1'!K1249))"),"Si")</f>
        <v>Si</v>
      </c>
      <c r="L1249" s="7" t="str">
        <f>IFERROR(__xludf.DUMMYFUNCTION("IF('Respuestas de formulario 1'!L1249="""","""",TO_TEXT('Respuestas de formulario 1'!L1249))"),"Gimnasio+Futbol")</f>
        <v>Gimnasio+Futbol</v>
      </c>
      <c r="M1249" s="7" t="str">
        <f>IFERROR(__xludf.DUMMYFUNCTION("IF('Respuestas de formulario 1'!M1249="""","""",TO_TEXT('Respuestas de formulario 1'!M1249))"),"6 a 7 veces por semana")</f>
        <v>6 a 7 veces por semana</v>
      </c>
      <c r="N1249" s="7">
        <f t="shared" si="1"/>
        <v>2025</v>
      </c>
      <c r="O1249" s="7" t="str">
        <f t="shared" si="2"/>
        <v>octubre</v>
      </c>
      <c r="P1249" s="7" t="s">
        <v>6624</v>
      </c>
    </row>
    <row r="1250">
      <c r="A1250" s="19">
        <f>'Respuestas de formulario 1'!A1250</f>
        <v>45933.43841</v>
      </c>
      <c r="B1250" s="7" t="str">
        <f>'Respuestas de formulario 1'!B1250</f>
        <v>Villagra</v>
      </c>
      <c r="C1250" s="7" t="str">
        <f>'Respuestas de formulario 1'!C1250</f>
        <v>Luis</v>
      </c>
      <c r="D1250" s="7" t="str">
        <f>'Respuestas de formulario 1'!D1250</f>
        <v/>
      </c>
      <c r="E1250" s="20">
        <f>'Respuestas de formulario 1'!E1250</f>
        <v>26241</v>
      </c>
      <c r="F1250" s="7">
        <f>'Respuestas de formulario 1'!F1250</f>
        <v>22328369</v>
      </c>
      <c r="G1250" s="7" t="str">
        <f>IFERROR(__xludf.DUMMYFUNCTION("IF('Respuestas de formulario 1'!G1250="""","""",IF(LEFT(REGEXREPLACE(TO_TEXT('Respuestas de formulario 1'!G1250),""[^0-9]"",""""),2)=""54"",""+""&amp;REGEXREPLACE(TO_TEXT('Respuestas de formulario 1'!G1250),""[^0-9]"",""""),""+54""&amp;REGEXREPLACE(TO_TEXT('Respu"&amp;"estas de formulario 1'!G1250),""[^0-9]"","""")))"),"+543512236520")</f>
        <v>+543512236520</v>
      </c>
      <c r="H1250" s="7">
        <f>'Respuestas de formulario 1'!S1250</f>
        <v>2025</v>
      </c>
      <c r="I1250" s="7" t="str">
        <f>IFERROR(__xludf.DUMMYFUNCTION("IF('Respuestas de formulario 1'!I1250="""","""",TO_TEXT('Respuestas de formulario 1'!I1250))"),"Obra social")</f>
        <v>Obra social</v>
      </c>
      <c r="J1250" s="7" t="str">
        <f>IFERROR(__xludf.DUMMYFUNCTION("IF('Respuestas de formulario 1'!J1250&lt;&gt;"""",UPPER(TRIM(TO_TEXT('Respuestas de formulario 1'!J1250))),IF('Respuestas de formulario 1'!O1250&lt;&gt;"""",UPPER(TRIM(TO_TEXT('Respuestas de formulario 1'!O1250))),""""))"),"BOREAL")</f>
        <v>BOREAL</v>
      </c>
      <c r="K1250" s="7" t="str">
        <f>IFERROR(__xludf.DUMMYFUNCTION("IF('Respuestas de formulario 1'!K1250="""","""",TO_TEXT('Respuestas de formulario 1'!K1250))"),"No")</f>
        <v>No</v>
      </c>
      <c r="L1250" s="7" t="str">
        <f>IFERROR(__xludf.DUMMYFUNCTION("IF('Respuestas de formulario 1'!L1250="""","""",TO_TEXT('Respuestas de formulario 1'!L1250))"),"")</f>
        <v/>
      </c>
      <c r="M1250" s="7" t="str">
        <f>IFERROR(__xludf.DUMMYFUNCTION("IF('Respuestas de formulario 1'!M1250="""","""",TO_TEXT('Respuestas de formulario 1'!M1250))"),"")</f>
        <v/>
      </c>
      <c r="N1250" s="7">
        <f t="shared" si="1"/>
        <v>2025</v>
      </c>
      <c r="O1250" s="7" t="str">
        <f t="shared" si="2"/>
        <v>octubre</v>
      </c>
      <c r="P1250" s="7" t="s">
        <v>6626</v>
      </c>
    </row>
    <row r="1251">
      <c r="A1251" s="19">
        <f>'Respuestas de formulario 1'!A1251</f>
        <v>45933.59938</v>
      </c>
      <c r="B1251" s="7" t="str">
        <f>'Respuestas de formulario 1'!B1251</f>
        <v>María Victoria </v>
      </c>
      <c r="C1251" s="7" t="str">
        <f>'Respuestas de formulario 1'!C1251</f>
        <v>Argota </v>
      </c>
      <c r="D1251" s="7" t="str">
        <f>'Respuestas de formulario 1'!D1251</f>
        <v>Luciana@goldenticketviajes.com</v>
      </c>
      <c r="E1251" s="20">
        <f>'Respuestas de formulario 1'!E1251</f>
        <v>40156</v>
      </c>
      <c r="F1251" s="7">
        <f>'Respuestas de formulario 1'!F1251</f>
        <v>49864772</v>
      </c>
      <c r="G1251" s="7" t="str">
        <f>IFERROR(__xludf.DUMMYFUNCTION("IF('Respuestas de formulario 1'!G1251="""","""",IF(LEFT(REGEXREPLACE(TO_TEXT('Respuestas de formulario 1'!G1251),""[^0-9]"",""""),2)=""54"",""+""&amp;REGEXREPLACE(TO_TEXT('Respuestas de formulario 1'!G1251),""[^0-9]"",""""),""+54""&amp;REGEXREPLACE(TO_TEXT('Respu"&amp;"estas de formulario 1'!G1251),""[^0-9]"","""")))"),"+543512893334")</f>
        <v>+543512893334</v>
      </c>
      <c r="H1251" s="7">
        <f>'Respuestas de formulario 1'!S1251</f>
        <v>2025</v>
      </c>
      <c r="I1251" s="7" t="str">
        <f>IFERROR(__xludf.DUMMYFUNCTION("IF('Respuestas de formulario 1'!I1251="""","""",TO_TEXT('Respuestas de formulario 1'!I1251))"),"Particular")</f>
        <v>Particular</v>
      </c>
      <c r="J1251" s="7" t="str">
        <f>IFERROR(__xludf.DUMMYFUNCTION("IF('Respuestas de formulario 1'!J1251&lt;&gt;"""",UPPER(TRIM(TO_TEXT('Respuestas de formulario 1'!J1251))),IF('Respuestas de formulario 1'!O1251&lt;&gt;"""",UPPER(TRIM(TO_TEXT('Respuestas de formulario 1'!O1251))),""""))"),"")</f>
        <v/>
      </c>
      <c r="K1251" s="7" t="str">
        <f>IFERROR(__xludf.DUMMYFUNCTION("IF('Respuestas de formulario 1'!K1251="""","""",TO_TEXT('Respuestas de formulario 1'!K1251))"),"Si")</f>
        <v>Si</v>
      </c>
      <c r="L1251" s="7" t="str">
        <f>IFERROR(__xludf.DUMMYFUNCTION("IF('Respuestas de formulario 1'!L1251="""","""",TO_TEXT('Respuestas de formulario 1'!L1251))"),"Gimnasia artística ")</f>
        <v>Gimnasia artística </v>
      </c>
      <c r="M1251" s="7" t="str">
        <f>IFERROR(__xludf.DUMMYFUNCTION("IF('Respuestas de formulario 1'!M1251="""","""",TO_TEXT('Respuestas de formulario 1'!M1251))"),"3 a 5 veces por semana")</f>
        <v>3 a 5 veces por semana</v>
      </c>
      <c r="N1251" s="7">
        <f t="shared" si="1"/>
        <v>2025</v>
      </c>
      <c r="O1251" s="7" t="str">
        <f t="shared" si="2"/>
        <v>octubre</v>
      </c>
      <c r="P1251" s="7" t="s">
        <v>6628</v>
      </c>
    </row>
    <row r="1252">
      <c r="A1252" s="19">
        <f>'Respuestas de formulario 1'!A1252</f>
        <v>45936.35929</v>
      </c>
      <c r="B1252" s="7" t="str">
        <f>'Respuestas de formulario 1'!B1252</f>
        <v>Villarroel</v>
      </c>
      <c r="C1252" s="7" t="str">
        <f>'Respuestas de formulario 1'!C1252</f>
        <v>Antonio</v>
      </c>
      <c r="D1252" s="7" t="str">
        <f>'Respuestas de formulario 1'!D1252</f>
        <v/>
      </c>
      <c r="E1252" s="20">
        <f>'Respuestas de formulario 1'!E1252</f>
        <v>19902</v>
      </c>
      <c r="F1252" s="7">
        <f>'Respuestas de formulario 1'!F1252</f>
        <v>11298652</v>
      </c>
      <c r="G1252" s="7" t="str">
        <f>IFERROR(__xludf.DUMMYFUNCTION("IF('Respuestas de formulario 1'!G1252="""","""",IF(LEFT(REGEXREPLACE(TO_TEXT('Respuestas de formulario 1'!G1252),""[^0-9]"",""""),2)=""54"",""+""&amp;REGEXREPLACE(TO_TEXT('Respuestas de formulario 1'!G1252),""[^0-9]"",""""),""+54""&amp;REGEXREPLACE(TO_TEXT('Respu"&amp;"estas de formulario 1'!G1252),""[^0-9]"","""")))"),"+543516526794")</f>
        <v>+543516526794</v>
      </c>
      <c r="H1252" s="7">
        <f>'Respuestas de formulario 1'!S1252</f>
        <v>2025</v>
      </c>
      <c r="I1252" s="7" t="str">
        <f>IFERROR(__xludf.DUMMYFUNCTION("IF('Respuestas de formulario 1'!I1252="""","""",TO_TEXT('Respuestas de formulario 1'!I1252))"),"Particular")</f>
        <v>Particular</v>
      </c>
      <c r="J1252" s="7" t="str">
        <f>IFERROR(__xludf.DUMMYFUNCTION("IF('Respuestas de formulario 1'!J1252&lt;&gt;"""",UPPER(TRIM(TO_TEXT('Respuestas de formulario 1'!J1252))),IF('Respuestas de formulario 1'!O1252&lt;&gt;"""",UPPER(TRIM(TO_TEXT('Respuestas de formulario 1'!O1252))),""""))"),"")</f>
        <v/>
      </c>
      <c r="K1252" s="7" t="str">
        <f>IFERROR(__xludf.DUMMYFUNCTION("IF('Respuestas de formulario 1'!K1252="""","""",TO_TEXT('Respuestas de formulario 1'!K1252))"),"No")</f>
        <v>No</v>
      </c>
      <c r="L1252" s="7" t="str">
        <f>IFERROR(__xludf.DUMMYFUNCTION("IF('Respuestas de formulario 1'!L1252="""","""",TO_TEXT('Respuestas de formulario 1'!L1252))"),"")</f>
        <v/>
      </c>
      <c r="M1252" s="7" t="str">
        <f>IFERROR(__xludf.DUMMYFUNCTION("IF('Respuestas de formulario 1'!M1252="""","""",TO_TEXT('Respuestas de formulario 1'!M1252))"),"")</f>
        <v/>
      </c>
      <c r="N1252" s="7">
        <f t="shared" si="1"/>
        <v>2025</v>
      </c>
      <c r="O1252" s="7" t="str">
        <f t="shared" si="2"/>
        <v>octubre</v>
      </c>
      <c r="P1252" s="7" t="s">
        <v>6630</v>
      </c>
    </row>
    <row r="1253">
      <c r="A1253" s="19">
        <f>'Respuestas de formulario 1'!A1253</f>
        <v>45936.49286</v>
      </c>
      <c r="B1253" s="7" t="str">
        <f>'Respuestas de formulario 1'!B1253</f>
        <v>Atala</v>
      </c>
      <c r="C1253" s="7" t="str">
        <f>'Respuestas de formulario 1'!C1253</f>
        <v>Maria Jose</v>
      </c>
      <c r="D1253" s="7" t="str">
        <f>'Respuestas de formulario 1'!D1253</f>
        <v>mariajoseatala@gmail.com</v>
      </c>
      <c r="E1253" s="20">
        <f>'Respuestas de formulario 1'!E1253</f>
        <v>28754</v>
      </c>
      <c r="F1253" s="7">
        <f>'Respuestas de formulario 1'!F1253</f>
        <v>26896769</v>
      </c>
      <c r="G1253" s="7" t="str">
        <f>IFERROR(__xludf.DUMMYFUNCTION("IF('Respuestas de formulario 1'!G1253="""","""",IF(LEFT(REGEXREPLACE(TO_TEXT('Respuestas de formulario 1'!G1253),""[^0-9]"",""""),2)=""54"",""+""&amp;REGEXREPLACE(TO_TEXT('Respuestas de formulario 1'!G1253),""[^0-9]"",""""),""+54""&amp;REGEXREPLACE(TO_TEXT('Respu"&amp;"estas de formulario 1'!G1253),""[^0-9]"","""")))"),"+543515462920")</f>
        <v>+543515462920</v>
      </c>
      <c r="H1253" s="7">
        <f>'Respuestas de formulario 1'!S1253</f>
        <v>2025</v>
      </c>
      <c r="I1253" s="7" t="str">
        <f>IFERROR(__xludf.DUMMYFUNCTION("IF('Respuestas de formulario 1'!I1253="""","""",TO_TEXT('Respuestas de formulario 1'!I1253))"),"Obra social")</f>
        <v>Obra social</v>
      </c>
      <c r="J1253" s="7" t="str">
        <f>IFERROR(__xludf.DUMMYFUNCTION("IF('Respuestas de formulario 1'!J1253&lt;&gt;"""",UPPER(TRIM(TO_TEXT('Respuestas de formulario 1'!J1253))),IF('Respuestas de formulario 1'!O1253&lt;&gt;"""",UPPER(TRIM(TO_TEXT('Respuestas de formulario 1'!O1253))),""""))"),"PREVENCIÓN")</f>
        <v>PREVENCIÓN</v>
      </c>
      <c r="K1253" s="7" t="str">
        <f>IFERROR(__xludf.DUMMYFUNCTION("IF('Respuestas de formulario 1'!K1253="""","""",TO_TEXT('Respuestas de formulario 1'!K1253))"),"Si")</f>
        <v>Si</v>
      </c>
      <c r="L1253" s="7" t="str">
        <f>IFERROR(__xludf.DUMMYFUNCTION("IF('Respuestas de formulario 1'!L1253="""","""",TO_TEXT('Respuestas de formulario 1'!L1253))"),"Hockey sobre patines maratón en patines")</f>
        <v>Hockey sobre patines maratón en patines</v>
      </c>
      <c r="M1253" s="7" t="str">
        <f>IFERROR(__xludf.DUMMYFUNCTION("IF('Respuestas de formulario 1'!M1253="""","""",TO_TEXT('Respuestas de formulario 1'!M1253))"),"6 a 7 veces por semana")</f>
        <v>6 a 7 veces por semana</v>
      </c>
      <c r="N1253" s="7">
        <f t="shared" si="1"/>
        <v>2025</v>
      </c>
      <c r="O1253" s="7" t="str">
        <f t="shared" si="2"/>
        <v>octubre</v>
      </c>
      <c r="P1253" s="7" t="s">
        <v>6632</v>
      </c>
    </row>
    <row r="1254">
      <c r="A1254" s="19">
        <f>'Respuestas de formulario 1'!A1254</f>
        <v>45936.57542</v>
      </c>
      <c r="B1254" s="7" t="str">
        <f>'Respuestas de formulario 1'!B1254</f>
        <v>Freitez</v>
      </c>
      <c r="C1254" s="7" t="str">
        <f>'Respuestas de formulario 1'!C1254</f>
        <v>Nili</v>
      </c>
      <c r="D1254" s="7" t="str">
        <f>'Respuestas de formulario 1'!D1254</f>
        <v>nilifreitez@gmail.com</v>
      </c>
      <c r="E1254" s="20">
        <f>'Respuestas de formulario 1'!E1254</f>
        <v>32801</v>
      </c>
      <c r="F1254" s="7">
        <f>'Respuestas de formulario 1'!F1254</f>
        <v>96382577</v>
      </c>
      <c r="G1254" s="7" t="str">
        <f>IFERROR(__xludf.DUMMYFUNCTION("IF('Respuestas de formulario 1'!G1254="""","""",IF(LEFT(REGEXREPLACE(TO_TEXT('Respuestas de formulario 1'!G1254),""[^0-9]"",""""),2)=""54"",""+""&amp;REGEXREPLACE(TO_TEXT('Respuestas de formulario 1'!G1254),""[^0-9]"",""""),""+54""&amp;REGEXREPLACE(TO_TEXT('Respu"&amp;"estas de formulario 1'!G1254),""[^0-9]"","""")))"),"+543512303183")</f>
        <v>+543512303183</v>
      </c>
      <c r="H1254" s="7">
        <f>'Respuestas de formulario 1'!S1254</f>
        <v>2025</v>
      </c>
      <c r="I1254" s="7" t="str">
        <f>IFERROR(__xludf.DUMMYFUNCTION("IF('Respuestas de formulario 1'!I1254="""","""",TO_TEXT('Respuestas de formulario 1'!I1254))"),"Obra social")</f>
        <v>Obra social</v>
      </c>
      <c r="J1254" s="7" t="str">
        <f>IFERROR(__xludf.DUMMYFUNCTION("IF('Respuestas de formulario 1'!J1254&lt;&gt;"""",UPPER(TRIM(TO_TEXT('Respuestas de formulario 1'!J1254))),IF('Respuestas de formulario 1'!O1254&lt;&gt;"""",UPPER(TRIM(TO_TEXT('Respuestas de formulario 1'!O1254))),""""))"),"SANCOR")</f>
        <v>SANCOR</v>
      </c>
      <c r="K1254" s="7" t="str">
        <f>IFERROR(__xludf.DUMMYFUNCTION("IF('Respuestas de formulario 1'!K1254="""","""",TO_TEXT('Respuestas de formulario 1'!K1254))"),"No")</f>
        <v>No</v>
      </c>
      <c r="L1254" s="7" t="str">
        <f>IFERROR(__xludf.DUMMYFUNCTION("IF('Respuestas de formulario 1'!L1254="""","""",TO_TEXT('Respuestas de formulario 1'!L1254))"),"")</f>
        <v/>
      </c>
      <c r="M1254" s="7" t="str">
        <f>IFERROR(__xludf.DUMMYFUNCTION("IF('Respuestas de formulario 1'!M1254="""","""",TO_TEXT('Respuestas de formulario 1'!M1254))"),"")</f>
        <v/>
      </c>
      <c r="N1254" s="7">
        <f t="shared" si="1"/>
        <v>2025</v>
      </c>
      <c r="O1254" s="7" t="str">
        <f t="shared" si="2"/>
        <v>octubre</v>
      </c>
      <c r="P1254" s="7" t="s">
        <v>6634</v>
      </c>
    </row>
    <row r="1255">
      <c r="A1255" s="19">
        <f>'Respuestas de formulario 1'!A1255</f>
        <v>45937.44215</v>
      </c>
      <c r="B1255" s="7" t="str">
        <f>'Respuestas de formulario 1'!B1255</f>
        <v>GUTIERREZ</v>
      </c>
      <c r="C1255" s="7" t="str">
        <f>'Respuestas de formulario 1'!C1255</f>
        <v>ROCIO AILEN</v>
      </c>
      <c r="D1255" s="7" t="str">
        <f>'Respuestas de formulario 1'!D1255</f>
        <v>rocioailengutierrez@gmail.com</v>
      </c>
      <c r="E1255" s="20">
        <f>'Respuestas de formulario 1'!E1255</f>
        <v>34876</v>
      </c>
      <c r="F1255" s="7">
        <f>'Respuestas de formulario 1'!F1255</f>
        <v>39057505</v>
      </c>
      <c r="G1255" s="7" t="str">
        <f>IFERROR(__xludf.DUMMYFUNCTION("IF('Respuestas de formulario 1'!G1255="""","""",IF(LEFT(REGEXREPLACE(TO_TEXT('Respuestas de formulario 1'!G1255),""[^0-9]"",""""),2)=""54"",""+""&amp;REGEXREPLACE(TO_TEXT('Respuestas de formulario 1'!G1255),""[^0-9]"",""""),""+54""&amp;REGEXREPLACE(TO_TEXT('Respu"&amp;"estas de formulario 1'!G1255),""[^0-9]"","""")))"),"+543513609564")</f>
        <v>+543513609564</v>
      </c>
      <c r="H1255" s="7">
        <f>'Respuestas de formulario 1'!S1255</f>
        <v>2025</v>
      </c>
      <c r="I1255" s="7" t="str">
        <f>IFERROR(__xludf.DUMMYFUNCTION("IF('Respuestas de formulario 1'!I1255="""","""",TO_TEXT('Respuestas de formulario 1'!I1255))"),"Obra social")</f>
        <v>Obra social</v>
      </c>
      <c r="J1255" s="7" t="str">
        <f>IFERROR(__xludf.DUMMYFUNCTION("IF('Respuestas de formulario 1'!J1255&lt;&gt;"""",UPPER(TRIM(TO_TEXT('Respuestas de formulario 1'!J1255))),IF('Respuestas de formulario 1'!O1255&lt;&gt;"""",UPPER(TRIM(TO_TEXT('Respuestas de formulario 1'!O1255))),""""))"),"PREVENCIÓN")</f>
        <v>PREVENCIÓN</v>
      </c>
      <c r="K1255" s="7" t="str">
        <f>IFERROR(__xludf.DUMMYFUNCTION("IF('Respuestas de formulario 1'!K1255="""","""",TO_TEXT('Respuestas de formulario 1'!K1255))"),"Si")</f>
        <v>Si</v>
      </c>
      <c r="L1255" s="7" t="str">
        <f>IFERROR(__xludf.DUMMYFUNCTION("IF('Respuestas de formulario 1'!L1255="""","""",TO_TEXT('Respuestas de formulario 1'!L1255))"),"Pilates")</f>
        <v>Pilates</v>
      </c>
      <c r="M1255" s="7" t="str">
        <f>IFERROR(__xludf.DUMMYFUNCTION("IF('Respuestas de formulario 1'!M1255="""","""",TO_TEXT('Respuestas de formulario 1'!M1255))"),"1 a 2 veces por semana")</f>
        <v>1 a 2 veces por semana</v>
      </c>
      <c r="N1255" s="7">
        <f t="shared" si="1"/>
        <v>2025</v>
      </c>
      <c r="O1255" s="7" t="str">
        <f t="shared" si="2"/>
        <v>octubre</v>
      </c>
      <c r="P1255" s="7" t="s">
        <v>6636</v>
      </c>
    </row>
    <row r="1256">
      <c r="A1256" s="19">
        <f>'Respuestas de formulario 1'!A1256</f>
        <v>45937.47744</v>
      </c>
      <c r="B1256" s="7" t="str">
        <f>'Respuestas de formulario 1'!B1256</f>
        <v>Albert </v>
      </c>
      <c r="C1256" s="7" t="str">
        <f>'Respuestas de formulario 1'!C1256</f>
        <v>Carlos Martin</v>
      </c>
      <c r="D1256" s="7" t="str">
        <f>'Respuestas de formulario 1'!D1256</f>
        <v>tinmar_2008@hotmail.com</v>
      </c>
      <c r="E1256" s="20">
        <f>'Respuestas de formulario 1'!E1256</f>
        <v>32933</v>
      </c>
      <c r="F1256" s="7">
        <f>'Respuestas de formulario 1'!F1256</f>
        <v>34881951</v>
      </c>
      <c r="G1256" s="7" t="str">
        <f>IFERROR(__xludf.DUMMYFUNCTION("IF('Respuestas de formulario 1'!G1256="""","""",IF(LEFT(REGEXREPLACE(TO_TEXT('Respuestas de formulario 1'!G1256),""[^0-9]"",""""),2)=""54"",""+""&amp;REGEXREPLACE(TO_TEXT('Respuestas de formulario 1'!G1256),""[^0-9]"",""""),""+54""&amp;REGEXREPLACE(TO_TEXT('Respu"&amp;"estas de formulario 1'!G1256),""[^0-9]"","""")))"),"+541137665104")</f>
        <v>+541137665104</v>
      </c>
      <c r="H1256" s="7">
        <f>'Respuestas de formulario 1'!S1256</f>
        <v>2025</v>
      </c>
      <c r="I1256" s="7" t="str">
        <f>IFERROR(__xludf.DUMMYFUNCTION("IF('Respuestas de formulario 1'!I1256="""","""",TO_TEXT('Respuestas de formulario 1'!I1256))"),"Particular")</f>
        <v>Particular</v>
      </c>
      <c r="J1256" s="7" t="str">
        <f>IFERROR(__xludf.DUMMYFUNCTION("IF('Respuestas de formulario 1'!J1256&lt;&gt;"""",UPPER(TRIM(TO_TEXT('Respuestas de formulario 1'!J1256))),IF('Respuestas de formulario 1'!O1256&lt;&gt;"""",UPPER(TRIM(TO_TEXT('Respuestas de formulario 1'!O1256))),""""))"),"")</f>
        <v/>
      </c>
      <c r="K1256" s="7" t="str">
        <f>IFERROR(__xludf.DUMMYFUNCTION("IF('Respuestas de formulario 1'!K1256="""","""",TO_TEXT('Respuestas de formulario 1'!K1256))"),"Si")</f>
        <v>Si</v>
      </c>
      <c r="L1256" s="7" t="str">
        <f>IFERROR(__xludf.DUMMYFUNCTION("IF('Respuestas de formulario 1'!L1256="""","""",TO_TEXT('Respuestas de formulario 1'!L1256))"),"Pilates y trote")</f>
        <v>Pilates y trote</v>
      </c>
      <c r="M1256" s="7" t="str">
        <f>IFERROR(__xludf.DUMMYFUNCTION("IF('Respuestas de formulario 1'!M1256="""","""",TO_TEXT('Respuestas de formulario 1'!M1256))"),"3 a 5 veces por semana")</f>
        <v>3 a 5 veces por semana</v>
      </c>
      <c r="N1256" s="7">
        <f t="shared" si="1"/>
        <v>2025</v>
      </c>
      <c r="O1256" s="7" t="str">
        <f t="shared" si="2"/>
        <v>octubre</v>
      </c>
      <c r="P1256" s="7" t="s">
        <v>6638</v>
      </c>
    </row>
    <row r="1257">
      <c r="A1257" s="19">
        <f>'Respuestas de formulario 1'!A1257</f>
        <v>45938.79433</v>
      </c>
      <c r="B1257" s="7" t="str">
        <f>'Respuestas de formulario 1'!B1257</f>
        <v>Cambronera</v>
      </c>
      <c r="C1257" s="7" t="str">
        <f>'Respuestas de formulario 1'!C1257</f>
        <v>Ana Laura</v>
      </c>
      <c r="D1257" s="7" t="str">
        <f>'Respuestas de formulario 1'!D1257</f>
        <v>analauracambronera3075@gmail.com</v>
      </c>
      <c r="E1257" s="20">
        <f>'Respuestas de formulario 1'!E1257</f>
        <v>27514</v>
      </c>
      <c r="F1257" s="7">
        <f>'Respuestas de formulario 1'!F1257</f>
        <v>24769013</v>
      </c>
      <c r="G1257" s="7" t="str">
        <f>IFERROR(__xludf.DUMMYFUNCTION("IF('Respuestas de formulario 1'!G1257="""","""",IF(LEFT(REGEXREPLACE(TO_TEXT('Respuestas de formulario 1'!G1257),""[^0-9]"",""""),2)=""54"",""+""&amp;REGEXREPLACE(TO_TEXT('Respuestas de formulario 1'!G1257),""[^0-9]"",""""),""+54""&amp;REGEXREPLACE(TO_TEXT('Respu"&amp;"estas de formulario 1'!G1257),""[^0-9]"","""")))"),"+543513091827")</f>
        <v>+543513091827</v>
      </c>
      <c r="H1257" s="7">
        <f>'Respuestas de formulario 1'!S1257</f>
        <v>2025</v>
      </c>
      <c r="I1257" s="7" t="str">
        <f>IFERROR(__xludf.DUMMYFUNCTION("IF('Respuestas de formulario 1'!I1257="""","""",TO_TEXT('Respuestas de formulario 1'!I1257))"),"Particular")</f>
        <v>Particular</v>
      </c>
      <c r="J1257" s="7" t="str">
        <f>IFERROR(__xludf.DUMMYFUNCTION("IF('Respuestas de formulario 1'!J1257&lt;&gt;"""",UPPER(TRIM(TO_TEXT('Respuestas de formulario 1'!J1257))),IF('Respuestas de formulario 1'!O1257&lt;&gt;"""",UPPER(TRIM(TO_TEXT('Respuestas de formulario 1'!O1257))),""""))"),"")</f>
        <v/>
      </c>
      <c r="K1257" s="7" t="str">
        <f>IFERROR(__xludf.DUMMYFUNCTION("IF('Respuestas de formulario 1'!K1257="""","""",TO_TEXT('Respuestas de formulario 1'!K1257))"),"Si")</f>
        <v>Si</v>
      </c>
      <c r="L1257" s="7" t="str">
        <f>IFERROR(__xludf.DUMMYFUNCTION("IF('Respuestas de formulario 1'!L1257="""","""",TO_TEXT('Respuestas de formulario 1'!L1257))"),"Zumba")</f>
        <v>Zumba</v>
      </c>
      <c r="M1257" s="7" t="str">
        <f>IFERROR(__xludf.DUMMYFUNCTION("IF('Respuestas de formulario 1'!M1257="""","""",TO_TEXT('Respuestas de formulario 1'!M1257))"),"1 a 2 veces por semana")</f>
        <v>1 a 2 veces por semana</v>
      </c>
      <c r="N1257" s="7">
        <f t="shared" si="1"/>
        <v>2025</v>
      </c>
      <c r="O1257" s="7" t="str">
        <f t="shared" si="2"/>
        <v>octubre</v>
      </c>
      <c r="P1257" s="7" t="s">
        <v>6640</v>
      </c>
    </row>
    <row r="1258">
      <c r="A1258" s="19">
        <f>'Respuestas de formulario 1'!A1258</f>
        <v>45938.82309</v>
      </c>
      <c r="B1258" s="7" t="str">
        <f>'Respuestas de formulario 1'!B1258</f>
        <v>Mantelli</v>
      </c>
      <c r="C1258" s="7" t="str">
        <f>'Respuestas de formulario 1'!C1258</f>
        <v>Juan Francisco </v>
      </c>
      <c r="D1258" s="7" t="str">
        <f>'Respuestas de formulario 1'!D1258</f>
        <v>mantellijuanjuan@gmail.com</v>
      </c>
      <c r="E1258" s="20">
        <f>'Respuestas de formulario 1'!E1258</f>
        <v>34047</v>
      </c>
      <c r="F1258" s="7">
        <f>'Respuestas de formulario 1'!F1258</f>
        <v>37232728</v>
      </c>
      <c r="G1258" s="7" t="str">
        <f>IFERROR(__xludf.DUMMYFUNCTION("IF('Respuestas de formulario 1'!G1258="""","""",IF(LEFT(REGEXREPLACE(TO_TEXT('Respuestas de formulario 1'!G1258),""[^0-9]"",""""),2)=""54"",""+""&amp;REGEXREPLACE(TO_TEXT('Respuestas de formulario 1'!G1258),""[^0-9]"",""""),""+54""&amp;REGEXREPLACE(TO_TEXT('Respu"&amp;"estas de formulario 1'!G1258),""[^0-9]"","""")))"),"+543537316068")</f>
        <v>+543537316068</v>
      </c>
      <c r="H1258" s="7">
        <f>'Respuestas de formulario 1'!S1258</f>
        <v>2025</v>
      </c>
      <c r="I1258" s="7" t="str">
        <f>IFERROR(__xludf.DUMMYFUNCTION("IF('Respuestas de formulario 1'!I1258="""","""",TO_TEXT('Respuestas de formulario 1'!I1258))"),"Obra social")</f>
        <v>Obra social</v>
      </c>
      <c r="J1258" s="7" t="str">
        <f>IFERROR(__xludf.DUMMYFUNCTION("IF('Respuestas de formulario 1'!J1258&lt;&gt;"""",UPPER(TRIM(TO_TEXT('Respuestas de formulario 1'!J1258))),IF('Respuestas de formulario 1'!O1258&lt;&gt;"""",UPPER(TRIM(TO_TEXT('Respuestas de formulario 1'!O1258))),""""))"),"SANCOR")</f>
        <v>SANCOR</v>
      </c>
      <c r="K1258" s="7" t="str">
        <f>IFERROR(__xludf.DUMMYFUNCTION("IF('Respuestas de formulario 1'!K1258="""","""",TO_TEXT('Respuestas de formulario 1'!K1258))"),"No")</f>
        <v>No</v>
      </c>
      <c r="L1258" s="7" t="str">
        <f>IFERROR(__xludf.DUMMYFUNCTION("IF('Respuestas de formulario 1'!L1258="""","""",TO_TEXT('Respuestas de formulario 1'!L1258))"),"")</f>
        <v/>
      </c>
      <c r="M1258" s="7" t="str">
        <f>IFERROR(__xludf.DUMMYFUNCTION("IF('Respuestas de formulario 1'!M1258="""","""",TO_TEXT('Respuestas de formulario 1'!M1258))"),"")</f>
        <v/>
      </c>
      <c r="N1258" s="7">
        <f t="shared" si="1"/>
        <v>2025</v>
      </c>
      <c r="O1258" s="7" t="str">
        <f t="shared" si="2"/>
        <v>octubre</v>
      </c>
      <c r="P1258" s="7" t="s">
        <v>6642</v>
      </c>
    </row>
    <row r="1259">
      <c r="A1259" s="19">
        <f>'Respuestas de formulario 1'!A1259</f>
        <v>45939.69702</v>
      </c>
      <c r="B1259" s="7" t="str">
        <f>'Respuestas de formulario 1'!B1259</f>
        <v>Coll </v>
      </c>
      <c r="C1259" s="7" t="str">
        <f>'Respuestas de formulario 1'!C1259</f>
        <v>Veronica </v>
      </c>
      <c r="D1259" s="7" t="str">
        <f>'Respuestas de formulario 1'!D1259</f>
        <v>verocoll9@gmail.com</v>
      </c>
      <c r="E1259" s="20">
        <f>'Respuestas de formulario 1'!E1259</f>
        <v>25358</v>
      </c>
      <c r="F1259" s="7">
        <f>'Respuestas de formulario 1'!F1259</f>
        <v>20870278</v>
      </c>
      <c r="G1259" s="7" t="str">
        <f>IFERROR(__xludf.DUMMYFUNCTION("IF('Respuestas de formulario 1'!G1259="""","""",IF(LEFT(REGEXREPLACE(TO_TEXT('Respuestas de formulario 1'!G1259),""[^0-9]"",""""),2)=""54"",""+""&amp;REGEXREPLACE(TO_TEXT('Respuestas de formulario 1'!G1259),""[^0-9]"",""""),""+54""&amp;REGEXREPLACE(TO_TEXT('Respu"&amp;"estas de formulario 1'!G1259),""[^0-9]"","""")))"),"+543513911009")</f>
        <v>+543513911009</v>
      </c>
      <c r="H1259" s="7">
        <f>'Respuestas de formulario 1'!S1259</f>
        <v>2025</v>
      </c>
      <c r="I1259" s="7" t="str">
        <f>IFERROR(__xludf.DUMMYFUNCTION("IF('Respuestas de formulario 1'!I1259="""","""",TO_TEXT('Respuestas de formulario 1'!I1259))"),"Particular")</f>
        <v>Particular</v>
      </c>
      <c r="J1259" s="7" t="str">
        <f>IFERROR(__xludf.DUMMYFUNCTION("IF('Respuestas de formulario 1'!J1259&lt;&gt;"""",UPPER(TRIM(TO_TEXT('Respuestas de formulario 1'!J1259))),IF('Respuestas de formulario 1'!O1259&lt;&gt;"""",UPPER(TRIM(TO_TEXT('Respuestas de formulario 1'!O1259))),""""))"),"")</f>
        <v/>
      </c>
      <c r="K1259" s="7" t="str">
        <f>IFERROR(__xludf.DUMMYFUNCTION("IF('Respuestas de formulario 1'!K1259="""","""",TO_TEXT('Respuestas de formulario 1'!K1259))"),"Si")</f>
        <v>Si</v>
      </c>
      <c r="L1259" s="7" t="str">
        <f>IFERROR(__xludf.DUMMYFUNCTION("IF('Respuestas de formulario 1'!L1259="""","""",TO_TEXT('Respuestas de formulario 1'!L1259))"),"Gimnasio")</f>
        <v>Gimnasio</v>
      </c>
      <c r="M1259" s="7" t="str">
        <f>IFERROR(__xludf.DUMMYFUNCTION("IF('Respuestas de formulario 1'!M1259="""","""",TO_TEXT('Respuestas de formulario 1'!M1259))"),"3 a 5 veces por semana")</f>
        <v>3 a 5 veces por semana</v>
      </c>
      <c r="N1259" s="7">
        <f t="shared" si="1"/>
        <v>2025</v>
      </c>
      <c r="O1259" s="7" t="str">
        <f t="shared" si="2"/>
        <v>octubre</v>
      </c>
      <c r="P1259" s="7" t="s">
        <v>6644</v>
      </c>
    </row>
    <row r="1260">
      <c r="A1260" s="19">
        <f>'Respuestas de formulario 1'!A1260</f>
        <v>45939.77082</v>
      </c>
      <c r="B1260" s="7" t="str">
        <f>'Respuestas de formulario 1'!B1260</f>
        <v>Sanchez </v>
      </c>
      <c r="C1260" s="7" t="str">
        <f>'Respuestas de formulario 1'!C1260</f>
        <v>Eva </v>
      </c>
      <c r="D1260" s="7" t="str">
        <f>'Respuestas de formulario 1'!D1260</f>
        <v>evagesanchez@hotmail.com</v>
      </c>
      <c r="E1260" s="20">
        <f>'Respuestas de formulario 1'!E1260</f>
        <v>28332</v>
      </c>
      <c r="F1260" s="7">
        <f>'Respuestas de formulario 1'!F1260</f>
        <v>25858494</v>
      </c>
      <c r="G1260" s="7" t="str">
        <f>IFERROR(__xludf.DUMMYFUNCTION("IF('Respuestas de formulario 1'!G1260="""","""",IF(LEFT(REGEXREPLACE(TO_TEXT('Respuestas de formulario 1'!G1260),""[^0-9]"",""""),2)=""54"",""+""&amp;REGEXREPLACE(TO_TEXT('Respuestas de formulario 1'!G1260),""[^0-9]"",""""),""+54""&amp;REGEXREPLACE(TO_TEXT('Respu"&amp;"estas de formulario 1'!G1260),""[^0-9]"","""")))"),"+543516379967")</f>
        <v>+543516379967</v>
      </c>
      <c r="H1260" s="7">
        <f>'Respuestas de formulario 1'!S1260</f>
        <v>2025</v>
      </c>
      <c r="I1260" s="7" t="str">
        <f>IFERROR(__xludf.DUMMYFUNCTION("IF('Respuestas de formulario 1'!I1260="""","""",TO_TEXT('Respuestas de formulario 1'!I1260))"),"Obra social")</f>
        <v>Obra social</v>
      </c>
      <c r="J1260" s="7" t="str">
        <f>IFERROR(__xludf.DUMMYFUNCTION("IF('Respuestas de formulario 1'!J1260&lt;&gt;"""",UPPER(TRIM(TO_TEXT('Respuestas de formulario 1'!J1260))),IF('Respuestas de formulario 1'!O1260&lt;&gt;"""",UPPER(TRIM(TO_TEXT('Respuestas de formulario 1'!O1260))),""""))"),"APROSS")</f>
        <v>APROSS</v>
      </c>
      <c r="K1260" s="7" t="str">
        <f>IFERROR(__xludf.DUMMYFUNCTION("IF('Respuestas de formulario 1'!K1260="""","""",TO_TEXT('Respuestas de formulario 1'!K1260))"),"Si")</f>
        <v>Si</v>
      </c>
      <c r="L1260" s="7" t="str">
        <f>IFERROR(__xludf.DUMMYFUNCTION("IF('Respuestas de formulario 1'!L1260="""","""",TO_TEXT('Respuestas de formulario 1'!L1260))"),"Baile")</f>
        <v>Baile</v>
      </c>
      <c r="M1260" s="7" t="str">
        <f>IFERROR(__xludf.DUMMYFUNCTION("IF('Respuestas de formulario 1'!M1260="""","""",TO_TEXT('Respuestas de formulario 1'!M1260))"),"1 a 2 veces por semana")</f>
        <v>1 a 2 veces por semana</v>
      </c>
      <c r="N1260" s="7">
        <f t="shared" si="1"/>
        <v>2025</v>
      </c>
      <c r="O1260" s="7" t="str">
        <f t="shared" si="2"/>
        <v>octubre</v>
      </c>
      <c r="P1260" s="7" t="s">
        <v>6149</v>
      </c>
    </row>
    <row r="1261">
      <c r="A1261" s="19">
        <f>'Respuestas de formulario 1'!A1261</f>
        <v>45939.78017</v>
      </c>
      <c r="B1261" s="7" t="str">
        <f>'Respuestas de formulario 1'!B1261</f>
        <v>Ferreyra</v>
      </c>
      <c r="C1261" s="7" t="str">
        <f>'Respuestas de formulario 1'!C1261</f>
        <v>Soledad</v>
      </c>
      <c r="D1261" s="7" t="str">
        <f>'Respuestas de formulario 1'!D1261</f>
        <v>soleferreyra13@hotmail.com</v>
      </c>
      <c r="E1261" s="20">
        <f>'Respuestas de formulario 1'!E1261</f>
        <v>19219</v>
      </c>
      <c r="F1261" s="7">
        <f>'Respuestas de formulario 1'!F1261</f>
        <v>10545785</v>
      </c>
      <c r="G1261" s="7" t="str">
        <f>IFERROR(__xludf.DUMMYFUNCTION("IF('Respuestas de formulario 1'!G1261="""","""",IF(LEFT(REGEXREPLACE(TO_TEXT('Respuestas de formulario 1'!G1261),""[^0-9]"",""""),2)=""54"",""+""&amp;REGEXREPLACE(TO_TEXT('Respuestas de formulario 1'!G1261),""[^0-9]"",""""),""+54""&amp;REGEXREPLACE(TO_TEXT('Respu"&amp;"estas de formulario 1'!G1261),""[^0-9]"","""")))"),"+543515203179")</f>
        <v>+543515203179</v>
      </c>
      <c r="H1261" s="7">
        <f>'Respuestas de formulario 1'!S1261</f>
        <v>2025</v>
      </c>
      <c r="I1261" s="7" t="str">
        <f>IFERROR(__xludf.DUMMYFUNCTION("IF('Respuestas de formulario 1'!I1261="""","""",TO_TEXT('Respuestas de formulario 1'!I1261))"),"Obra social")</f>
        <v>Obra social</v>
      </c>
      <c r="J1261" s="7" t="str">
        <f>IFERROR(__xludf.DUMMYFUNCTION("IF('Respuestas de formulario 1'!J1261&lt;&gt;"""",UPPER(TRIM(TO_TEXT('Respuestas de formulario 1'!J1261))),IF('Respuestas de formulario 1'!O1261&lt;&gt;"""",UPPER(TRIM(TO_TEXT('Respuestas de formulario 1'!O1261))),""""))"),"OMINT")</f>
        <v>OMINT</v>
      </c>
      <c r="K1261" s="7" t="str">
        <f>IFERROR(__xludf.DUMMYFUNCTION("IF('Respuestas de formulario 1'!K1261="""","""",TO_TEXT('Respuestas de formulario 1'!K1261))"),"Si")</f>
        <v>Si</v>
      </c>
      <c r="L1261" s="7" t="str">
        <f>IFERROR(__xludf.DUMMYFUNCTION("IF('Respuestas de formulario 1'!L1261="""","""",TO_TEXT('Respuestas de formulario 1'!L1261))"),"Yoga")</f>
        <v>Yoga</v>
      </c>
      <c r="M1261" s="7" t="str">
        <f>IFERROR(__xludf.DUMMYFUNCTION("IF('Respuestas de formulario 1'!M1261="""","""",TO_TEXT('Respuestas de formulario 1'!M1261))"),"1 a 2 veces por semana")</f>
        <v>1 a 2 veces por semana</v>
      </c>
      <c r="N1261" s="7">
        <f t="shared" si="1"/>
        <v>2025</v>
      </c>
      <c r="O1261" s="7" t="str">
        <f t="shared" si="2"/>
        <v>octubre</v>
      </c>
      <c r="P1261" s="7" t="s">
        <v>6646</v>
      </c>
    </row>
    <row r="1262">
      <c r="A1262" s="19">
        <f>'Respuestas de formulario 1'!A1262</f>
        <v>45939.80833</v>
      </c>
      <c r="B1262" s="7" t="str">
        <f>'Respuestas de formulario 1'!B1262</f>
        <v>Argota</v>
      </c>
      <c r="C1262" s="7" t="str">
        <f>'Respuestas de formulario 1'!C1262</f>
        <v>Maria Victoria</v>
      </c>
      <c r="D1262" s="7" t="str">
        <f>'Respuestas de formulario 1'!D1262</f>
        <v/>
      </c>
      <c r="E1262" s="20">
        <f>'Respuestas de formulario 1'!E1262</f>
        <v>40156</v>
      </c>
      <c r="F1262" s="7">
        <f>'Respuestas de formulario 1'!F1262</f>
        <v>49864772</v>
      </c>
      <c r="G1262" s="7" t="str">
        <f>IFERROR(__xludf.DUMMYFUNCTION("IF('Respuestas de formulario 1'!G1262="""","""",IF(LEFT(REGEXREPLACE(TO_TEXT('Respuestas de formulario 1'!G1262),""[^0-9]"",""""),2)=""54"",""+""&amp;REGEXREPLACE(TO_TEXT('Respuestas de formulario 1'!G1262),""[^0-9]"",""""),""+54""&amp;REGEXREPLACE(TO_TEXT('Respu"&amp;"estas de formulario 1'!G1262),""[^0-9]"","""")))"),"+543512848425")</f>
        <v>+543512848425</v>
      </c>
      <c r="H1262" s="7">
        <f>'Respuestas de formulario 1'!S1262</f>
        <v>2025</v>
      </c>
      <c r="I1262" s="7" t="str">
        <f>IFERROR(__xludf.DUMMYFUNCTION("IF('Respuestas de formulario 1'!I1262="""","""",TO_TEXT('Respuestas de formulario 1'!I1262))"),"Obra social")</f>
        <v>Obra social</v>
      </c>
      <c r="J1262" s="7" t="str">
        <f>IFERROR(__xludf.DUMMYFUNCTION("IF('Respuestas de formulario 1'!J1262&lt;&gt;"""",UPPER(TRIM(TO_TEXT('Respuestas de formulario 1'!J1262))),IF('Respuestas de formulario 1'!O1262&lt;&gt;"""",UPPER(TRIM(TO_TEXT('Respuestas de formulario 1'!O1262))),""""))"),"")</f>
        <v/>
      </c>
      <c r="K1262" s="7" t="str">
        <f>IFERROR(__xludf.DUMMYFUNCTION("IF('Respuestas de formulario 1'!K1262="""","""",TO_TEXT('Respuestas de formulario 1'!K1262))"),"Si")</f>
        <v>Si</v>
      </c>
      <c r="L1262" s="7" t="str">
        <f>IFERROR(__xludf.DUMMYFUNCTION("IF('Respuestas de formulario 1'!L1262="""","""",TO_TEXT('Respuestas de formulario 1'!L1262))"),"Gimnasio")</f>
        <v>Gimnasio</v>
      </c>
      <c r="M1262" s="7" t="str">
        <f>IFERROR(__xludf.DUMMYFUNCTION("IF('Respuestas de formulario 1'!M1262="""","""",TO_TEXT('Respuestas de formulario 1'!M1262))"),"6 a 7 veces por semana")</f>
        <v>6 a 7 veces por semana</v>
      </c>
      <c r="N1262" s="7">
        <f t="shared" si="1"/>
        <v>2025</v>
      </c>
      <c r="O1262" s="7" t="str">
        <f t="shared" si="2"/>
        <v>octubre</v>
      </c>
      <c r="P1262" s="7" t="s">
        <v>6648</v>
      </c>
    </row>
    <row r="1263">
      <c r="A1263" s="19">
        <f>'Respuestas de formulario 1'!A1263</f>
        <v>45943.48003</v>
      </c>
      <c r="B1263" s="7" t="str">
        <f>'Respuestas de formulario 1'!B1263</f>
        <v>Farias</v>
      </c>
      <c r="C1263" s="7" t="str">
        <f>'Respuestas de formulario 1'!C1263</f>
        <v>Salvador</v>
      </c>
      <c r="D1263" s="7" t="str">
        <f>'Respuestas de formulario 1'!D1263</f>
        <v>rominalorenab@hotmail.com</v>
      </c>
      <c r="E1263" s="20">
        <f>'Respuestas de formulario 1'!E1263</f>
        <v>41489</v>
      </c>
      <c r="F1263" s="7">
        <f>'Respuestas de formulario 1'!F1263</f>
        <v>53262359</v>
      </c>
      <c r="G1263" s="7" t="str">
        <f>IFERROR(__xludf.DUMMYFUNCTION("IF('Respuestas de formulario 1'!G1263="""","""",IF(LEFT(REGEXREPLACE(TO_TEXT('Respuestas de formulario 1'!G1263),""[^0-9]"",""""),2)=""54"",""+""&amp;REGEXREPLACE(TO_TEXT('Respuestas de formulario 1'!G1263),""[^0-9]"",""""),""+54""&amp;REGEXREPLACE(TO_TEXT('Respu"&amp;"estas de formulario 1'!G1263),""[^0-9]"","""")))"),"+543513242223")</f>
        <v>+543513242223</v>
      </c>
      <c r="H1263" s="7">
        <f>'Respuestas de formulario 1'!S1263</f>
        <v>2025</v>
      </c>
      <c r="I1263" s="7" t="str">
        <f>IFERROR(__xludf.DUMMYFUNCTION("IF('Respuestas de formulario 1'!I1263="""","""",TO_TEXT('Respuestas de formulario 1'!I1263))"),"Obra social")</f>
        <v>Obra social</v>
      </c>
      <c r="J1263" s="7" t="str">
        <f>IFERROR(__xludf.DUMMYFUNCTION("IF('Respuestas de formulario 1'!J1263&lt;&gt;"""",UPPER(TRIM(TO_TEXT('Respuestas de formulario 1'!J1263))),IF('Respuestas de formulario 1'!O1263&lt;&gt;"""",UPPER(TRIM(TO_TEXT('Respuestas de formulario 1'!O1263))),""""))"),"SANCOR")</f>
        <v>SANCOR</v>
      </c>
      <c r="K1263" s="7" t="str">
        <f>IFERROR(__xludf.DUMMYFUNCTION("IF('Respuestas de formulario 1'!K1263="""","""",TO_TEXT('Respuestas de formulario 1'!K1263))"),"Si")</f>
        <v>Si</v>
      </c>
      <c r="L1263" s="7" t="str">
        <f>IFERROR(__xludf.DUMMYFUNCTION("IF('Respuestas de formulario 1'!L1263="""","""",TO_TEXT('Respuestas de formulario 1'!L1263))"),"Fútbol")</f>
        <v>Fútbol</v>
      </c>
      <c r="M1263" s="7" t="str">
        <f>IFERROR(__xludf.DUMMYFUNCTION("IF('Respuestas de formulario 1'!M1263="""","""",TO_TEXT('Respuestas de formulario 1'!M1263))"),"3 a 5 veces por semana")</f>
        <v>3 a 5 veces por semana</v>
      </c>
      <c r="N1263" s="7">
        <f t="shared" si="1"/>
        <v>2025</v>
      </c>
      <c r="O1263" s="7" t="str">
        <f t="shared" si="2"/>
        <v>octubre</v>
      </c>
      <c r="P1263" s="7" t="s">
        <v>6650</v>
      </c>
    </row>
    <row r="1264">
      <c r="A1264" s="19">
        <f>'Respuestas de formulario 1'!A1264</f>
        <v>45943.60279</v>
      </c>
      <c r="B1264" s="7" t="str">
        <f>'Respuestas de formulario 1'!B1264</f>
        <v>PELAEZ</v>
      </c>
      <c r="C1264" s="7" t="str">
        <f>'Respuestas de formulario 1'!C1264</f>
        <v>VICTOR HORACIO</v>
      </c>
      <c r="D1264" s="7" t="str">
        <f>'Respuestas de formulario 1'!D1264</f>
        <v>victor22xt@gmail.com</v>
      </c>
      <c r="E1264" s="20">
        <f>'Respuestas de formulario 1'!E1264</f>
        <v>21529</v>
      </c>
      <c r="F1264" s="7">
        <f>'Respuestas de formulario 1'!F1264</f>
        <v>12670862</v>
      </c>
      <c r="G1264" s="7" t="str">
        <f>IFERROR(__xludf.DUMMYFUNCTION("IF('Respuestas de formulario 1'!G1264="""","""",IF(LEFT(REGEXREPLACE(TO_TEXT('Respuestas de formulario 1'!G1264),""[^0-9]"",""""),2)=""54"",""+""&amp;REGEXREPLACE(TO_TEXT('Respuestas de formulario 1'!G1264),""[^0-9]"",""""),""+54""&amp;REGEXREPLACE(TO_TEXT('Respu"&amp;"estas de formulario 1'!G1264),""[^0-9]"","""")))"),"+543515314210")</f>
        <v>+543515314210</v>
      </c>
      <c r="H1264" s="7">
        <f>'Respuestas de formulario 1'!S1264</f>
        <v>2025</v>
      </c>
      <c r="I1264" s="7" t="str">
        <f>IFERROR(__xludf.DUMMYFUNCTION("IF('Respuestas de formulario 1'!I1264="""","""",TO_TEXT('Respuestas de formulario 1'!I1264))"),"Obra social")</f>
        <v>Obra social</v>
      </c>
      <c r="J1264" s="7" t="str">
        <f>IFERROR(__xludf.DUMMYFUNCTION("IF('Respuestas de formulario 1'!J1264&lt;&gt;"""",UPPER(TRIM(TO_TEXT('Respuestas de formulario 1'!J1264))),IF('Respuestas de formulario 1'!O1264&lt;&gt;"""",UPPER(TRIM(TO_TEXT('Respuestas de formulario 1'!O1264))),""""))"),"APROSS")</f>
        <v>APROSS</v>
      </c>
      <c r="K1264" s="7" t="str">
        <f>IFERROR(__xludf.DUMMYFUNCTION("IF('Respuestas de formulario 1'!K1264="""","""",TO_TEXT('Respuestas de formulario 1'!K1264))"),"No")</f>
        <v>No</v>
      </c>
      <c r="L1264" s="7" t="str">
        <f>IFERROR(__xludf.DUMMYFUNCTION("IF('Respuestas de formulario 1'!L1264="""","""",TO_TEXT('Respuestas de formulario 1'!L1264))"),"")</f>
        <v/>
      </c>
      <c r="M1264" s="7" t="str">
        <f>IFERROR(__xludf.DUMMYFUNCTION("IF('Respuestas de formulario 1'!M1264="""","""",TO_TEXT('Respuestas de formulario 1'!M1264))"),"")</f>
        <v/>
      </c>
      <c r="N1264" s="7">
        <f t="shared" si="1"/>
        <v>2025</v>
      </c>
      <c r="O1264" s="7" t="str">
        <f t="shared" si="2"/>
        <v>octubre</v>
      </c>
      <c r="P1264" s="7" t="s">
        <v>6652</v>
      </c>
    </row>
    <row r="1265">
      <c r="A1265" s="19">
        <f>'Respuestas de formulario 1'!A1265</f>
        <v>45943.72267</v>
      </c>
      <c r="B1265" s="7" t="str">
        <f>'Respuestas de formulario 1'!B1265</f>
        <v>Vanegas</v>
      </c>
      <c r="C1265" s="7" t="str">
        <f>'Respuestas de formulario 1'!C1265</f>
        <v>Fabián </v>
      </c>
      <c r="D1265" s="7" t="str">
        <f>'Respuestas de formulario 1'!D1265</f>
        <v>vanegasmaximo@yahoo.com.ar</v>
      </c>
      <c r="E1265" s="20">
        <f>'Respuestas de formulario 1'!E1265</f>
        <v>27444</v>
      </c>
      <c r="F1265" s="7">
        <f>'Respuestas de formulario 1'!F1265</f>
        <v>24463781</v>
      </c>
      <c r="G1265" s="7" t="str">
        <f>IFERROR(__xludf.DUMMYFUNCTION("IF('Respuestas de formulario 1'!G1265="""","""",IF(LEFT(REGEXREPLACE(TO_TEXT('Respuestas de formulario 1'!G1265),""[^0-9]"",""""),2)=""54"",""+""&amp;REGEXREPLACE(TO_TEXT('Respuestas de formulario 1'!G1265),""[^0-9]"",""""),""+54""&amp;REGEXREPLACE(TO_TEXT('Respu"&amp;"estas de formulario 1'!G1265),""[^0-9]"","""")))"),"+543516828401")</f>
        <v>+543516828401</v>
      </c>
      <c r="H1265" s="7">
        <f>'Respuestas de formulario 1'!S1265</f>
        <v>2025</v>
      </c>
      <c r="I1265" s="7" t="str">
        <f>IFERROR(__xludf.DUMMYFUNCTION("IF('Respuestas de formulario 1'!I1265="""","""",TO_TEXT('Respuestas de formulario 1'!I1265))"),"Obra social")</f>
        <v>Obra social</v>
      </c>
      <c r="J1265" s="7" t="str">
        <f>IFERROR(__xludf.DUMMYFUNCTION("IF('Respuestas de formulario 1'!J1265&lt;&gt;"""",UPPER(TRIM(TO_TEXT('Respuestas de formulario 1'!J1265))),IF('Respuestas de formulario 1'!O1265&lt;&gt;"""",UPPER(TRIM(TO_TEXT('Respuestas de formulario 1'!O1265))),""""))"),"APROSS")</f>
        <v>APROSS</v>
      </c>
      <c r="K1265" s="7" t="str">
        <f>IFERROR(__xludf.DUMMYFUNCTION("IF('Respuestas de formulario 1'!K1265="""","""",TO_TEXT('Respuestas de formulario 1'!K1265))"),"No")</f>
        <v>No</v>
      </c>
      <c r="L1265" s="7" t="str">
        <f>IFERROR(__xludf.DUMMYFUNCTION("IF('Respuestas de formulario 1'!L1265="""","""",TO_TEXT('Respuestas de formulario 1'!L1265))"),"")</f>
        <v/>
      </c>
      <c r="M1265" s="7" t="str">
        <f>IFERROR(__xludf.DUMMYFUNCTION("IF('Respuestas de formulario 1'!M1265="""","""",TO_TEXT('Respuestas de formulario 1'!M1265))"),"")</f>
        <v/>
      </c>
      <c r="N1265" s="7">
        <f t="shared" si="1"/>
        <v>2025</v>
      </c>
      <c r="O1265" s="7" t="str">
        <f t="shared" si="2"/>
        <v>octubre</v>
      </c>
      <c r="P1265" s="7" t="s">
        <v>6654</v>
      </c>
    </row>
    <row r="1266">
      <c r="A1266" s="19">
        <f>'Respuestas de formulario 1'!A1266</f>
        <v>45943.74044</v>
      </c>
      <c r="B1266" s="7" t="str">
        <f>'Respuestas de formulario 1'!B1266</f>
        <v>Rodriguez </v>
      </c>
      <c r="C1266" s="7" t="str">
        <f>'Respuestas de formulario 1'!C1266</f>
        <v>José Hector </v>
      </c>
      <c r="D1266" s="7" t="str">
        <f>'Respuestas de formulario 1'!D1266</f>
        <v>jos_pep-rod@hotmail.com</v>
      </c>
      <c r="E1266" s="20">
        <f>'Respuestas de formulario 1'!E1266</f>
        <v>18704</v>
      </c>
      <c r="F1266" s="7">
        <f>'Respuestas de formulario 1'!F1266</f>
        <v>8598383</v>
      </c>
      <c r="G1266" s="7" t="str">
        <f>IFERROR(__xludf.DUMMYFUNCTION("IF('Respuestas de formulario 1'!G1266="""","""",IF(LEFT(REGEXREPLACE(TO_TEXT('Respuestas de formulario 1'!G1266),""[^0-9]"",""""),2)=""54"",""+""&amp;REGEXREPLACE(TO_TEXT('Respuestas de formulario 1'!G1266),""[^0-9]"",""""),""+54""&amp;REGEXREPLACE(TO_TEXT('Respu"&amp;"estas de formulario 1'!G1266),""[^0-9]"","""")))"),"+543515433121")</f>
        <v>+543515433121</v>
      </c>
      <c r="H1266" s="7">
        <f>'Respuestas de formulario 1'!S1266</f>
        <v>2025</v>
      </c>
      <c r="I1266" s="7" t="str">
        <f>IFERROR(__xludf.DUMMYFUNCTION("IF('Respuestas de formulario 1'!I1266="""","""",TO_TEXT('Respuestas de formulario 1'!I1266))"),"Particular")</f>
        <v>Particular</v>
      </c>
      <c r="J1266" s="7" t="str">
        <f>IFERROR(__xludf.DUMMYFUNCTION("IF('Respuestas de formulario 1'!J1266&lt;&gt;"""",UPPER(TRIM(TO_TEXT('Respuestas de formulario 1'!J1266))),IF('Respuestas de formulario 1'!O1266&lt;&gt;"""",UPPER(TRIM(TO_TEXT('Respuestas de formulario 1'!O1266))),""""))"),"")</f>
        <v/>
      </c>
      <c r="K1266" s="7" t="str">
        <f>IFERROR(__xludf.DUMMYFUNCTION("IF('Respuestas de formulario 1'!K1266="""","""",TO_TEXT('Respuestas de formulario 1'!K1266))"),"Si")</f>
        <v>Si</v>
      </c>
      <c r="L1266" s="7" t="str">
        <f>IFERROR(__xludf.DUMMYFUNCTION("IF('Respuestas de formulario 1'!L1266="""","""",TO_TEXT('Respuestas de formulario 1'!L1266))"),"Acuagym")</f>
        <v>Acuagym</v>
      </c>
      <c r="M1266" s="7" t="str">
        <f>IFERROR(__xludf.DUMMYFUNCTION("IF('Respuestas de formulario 1'!M1266="""","""",TO_TEXT('Respuestas de formulario 1'!M1266))"),"1 a 2 veces por semana")</f>
        <v>1 a 2 veces por semana</v>
      </c>
      <c r="N1266" s="7">
        <f t="shared" si="1"/>
        <v>2025</v>
      </c>
      <c r="O1266" s="7" t="str">
        <f t="shared" si="2"/>
        <v>octubre</v>
      </c>
      <c r="P1266" s="7" t="s">
        <v>6656</v>
      </c>
    </row>
    <row r="1267">
      <c r="A1267" s="19">
        <f>'Respuestas de formulario 1'!A1267</f>
        <v>45943.75853</v>
      </c>
      <c r="B1267" s="7" t="str">
        <f>'Respuestas de formulario 1'!B1267</f>
        <v>Collomb</v>
      </c>
      <c r="C1267" s="7" t="str">
        <f>'Respuestas de formulario 1'!C1267</f>
        <v>Agustin</v>
      </c>
      <c r="D1267" s="7" t="str">
        <f>'Respuestas de formulario 1'!D1267</f>
        <v>agucollomb@gmail.com</v>
      </c>
      <c r="E1267" s="20">
        <f>'Respuestas de formulario 1'!E1267</f>
        <v>33928</v>
      </c>
      <c r="F1267" s="7">
        <f>'Respuestas de formulario 1'!F1267</f>
        <v>37095567</v>
      </c>
      <c r="G1267" s="7" t="str">
        <f>IFERROR(__xludf.DUMMYFUNCTION("IF('Respuestas de formulario 1'!G1267="""","""",IF(LEFT(REGEXREPLACE(TO_TEXT('Respuestas de formulario 1'!G1267),""[^0-9]"",""""),2)=""54"",""+""&amp;REGEXREPLACE(TO_TEXT('Respuestas de formulario 1'!G1267),""[^0-9]"",""""),""+54""&amp;REGEXREPLACE(TO_TEXT('Respu"&amp;"estas de formulario 1'!G1267),""[^0-9]"","""")))"),"+543564602453")</f>
        <v>+543564602453</v>
      </c>
      <c r="H1267" s="7">
        <f>'Respuestas de formulario 1'!S1267</f>
        <v>2025</v>
      </c>
      <c r="I1267" s="7" t="str">
        <f>IFERROR(__xludf.DUMMYFUNCTION("IF('Respuestas de formulario 1'!I1267="""","""",TO_TEXT('Respuestas de formulario 1'!I1267))"),"Obra social")</f>
        <v>Obra social</v>
      </c>
      <c r="J1267" s="7" t="str">
        <f>IFERROR(__xludf.DUMMYFUNCTION("IF('Respuestas de formulario 1'!J1267&lt;&gt;"""",UPPER(TRIM(TO_TEXT('Respuestas de formulario 1'!J1267))),IF('Respuestas de formulario 1'!O1267&lt;&gt;"""",UPPER(TRIM(TO_TEXT('Respuestas de formulario 1'!O1267))),""""))"),"SANCOR")</f>
        <v>SANCOR</v>
      </c>
      <c r="K1267" s="7" t="str">
        <f>IFERROR(__xludf.DUMMYFUNCTION("IF('Respuestas de formulario 1'!K1267="""","""",TO_TEXT('Respuestas de formulario 1'!K1267))"),"Si")</f>
        <v>Si</v>
      </c>
      <c r="L1267" s="7" t="str">
        <f>IFERROR(__xludf.DUMMYFUNCTION("IF('Respuestas de formulario 1'!L1267="""","""",TO_TEXT('Respuestas de formulario 1'!L1267))"),"Funcional+Futbol")</f>
        <v>Funcional+Futbol</v>
      </c>
      <c r="M1267" s="7" t="str">
        <f>IFERROR(__xludf.DUMMYFUNCTION("IF('Respuestas de formulario 1'!M1267="""","""",TO_TEXT('Respuestas de formulario 1'!M1267))"),"6 a 7 veces por semana")</f>
        <v>6 a 7 veces por semana</v>
      </c>
      <c r="N1267" s="7">
        <f t="shared" si="1"/>
        <v>2025</v>
      </c>
      <c r="O1267" s="7" t="str">
        <f t="shared" si="2"/>
        <v>octubre</v>
      </c>
      <c r="P1267" s="7" t="s">
        <v>6658</v>
      </c>
    </row>
    <row r="1268">
      <c r="A1268" s="19">
        <f>'Respuestas de formulario 1'!A1268</f>
        <v>45944.44532</v>
      </c>
      <c r="B1268" s="7" t="str">
        <f>'Respuestas de formulario 1'!B1268</f>
        <v>costamagna</v>
      </c>
      <c r="C1268" s="7" t="str">
        <f>'Respuestas de formulario 1'!C1268</f>
        <v>susana</v>
      </c>
      <c r="D1268" s="7" t="str">
        <f>'Respuestas de formulario 1'!D1268</f>
        <v>susanacostamagna@hotmail.com</v>
      </c>
      <c r="E1268" s="20">
        <f>'Respuestas de formulario 1'!E1268</f>
        <v>17840</v>
      </c>
      <c r="F1268" s="7">
        <f>'Respuestas de formulario 1'!F1268</f>
        <v>5869655</v>
      </c>
      <c r="G1268" s="7" t="str">
        <f>IFERROR(__xludf.DUMMYFUNCTION("IF('Respuestas de formulario 1'!G1268="""","""",IF(LEFT(REGEXREPLACE(TO_TEXT('Respuestas de formulario 1'!G1268),""[^0-9]"",""""),2)=""54"",""+""&amp;REGEXREPLACE(TO_TEXT('Respuestas de formulario 1'!G1268),""[^0-9]"",""""),""+54""&amp;REGEXREPLACE(TO_TEXT('Respu"&amp;"estas de formulario 1'!G1268),""[^0-9]"","""")))"),"+543513239274")</f>
        <v>+543513239274</v>
      </c>
      <c r="H1268" s="7">
        <f>'Respuestas de formulario 1'!S1268</f>
        <v>2025</v>
      </c>
      <c r="I1268" s="7" t="str">
        <f>IFERROR(__xludf.DUMMYFUNCTION("IF('Respuestas de formulario 1'!I1268="""","""",TO_TEXT('Respuestas de formulario 1'!I1268))"),"Particular")</f>
        <v>Particular</v>
      </c>
      <c r="J1268" s="7" t="str">
        <f>IFERROR(__xludf.DUMMYFUNCTION("IF('Respuestas de formulario 1'!J1268&lt;&gt;"""",UPPER(TRIM(TO_TEXT('Respuestas de formulario 1'!J1268))),IF('Respuestas de formulario 1'!O1268&lt;&gt;"""",UPPER(TRIM(TO_TEXT('Respuestas de formulario 1'!O1268))),""""))"),"")</f>
        <v/>
      </c>
      <c r="K1268" s="7" t="str">
        <f>IFERROR(__xludf.DUMMYFUNCTION("IF('Respuestas de formulario 1'!K1268="""","""",TO_TEXT('Respuestas de formulario 1'!K1268))"),"Si")</f>
        <v>Si</v>
      </c>
      <c r="L1268" s="7" t="str">
        <f>IFERROR(__xludf.DUMMYFUNCTION("IF('Respuestas de formulario 1'!L1268="""","""",TO_TEXT('Respuestas de formulario 1'!L1268))"),"Gimnasio")</f>
        <v>Gimnasio</v>
      </c>
      <c r="M1268" s="7" t="str">
        <f>IFERROR(__xludf.DUMMYFUNCTION("IF('Respuestas de formulario 1'!M1268="""","""",TO_TEXT('Respuestas de formulario 1'!M1268))"),"3 a 5 veces por semana")</f>
        <v>3 a 5 veces por semana</v>
      </c>
      <c r="N1268" s="7">
        <f t="shared" si="1"/>
        <v>2025</v>
      </c>
      <c r="O1268" s="7" t="str">
        <f t="shared" si="2"/>
        <v>octubre</v>
      </c>
      <c r="P1268" s="7" t="s">
        <v>6660</v>
      </c>
    </row>
    <row r="1269">
      <c r="A1269" s="19">
        <f>'Respuestas de formulario 1'!A1269</f>
        <v>45944.81633</v>
      </c>
      <c r="B1269" s="7" t="str">
        <f>'Respuestas de formulario 1'!B1269</f>
        <v>BORDINO </v>
      </c>
      <c r="C1269" s="7" t="str">
        <f>'Respuestas de formulario 1'!C1269</f>
        <v>Alvaro</v>
      </c>
      <c r="D1269" s="7" t="str">
        <f>'Respuestas de formulario 1'!D1269</f>
        <v>alvarobordino1995@gmail </v>
      </c>
      <c r="E1269" s="20">
        <f>'Respuestas de formulario 1'!E1269</f>
        <v>34460</v>
      </c>
      <c r="F1269" s="7">
        <f>'Respuestas de formulario 1'!F1269</f>
        <v>38183134</v>
      </c>
      <c r="G1269" s="7" t="str">
        <f>IFERROR(__xludf.DUMMYFUNCTION("IF('Respuestas de formulario 1'!G1269="""","""",IF(LEFT(REGEXREPLACE(TO_TEXT('Respuestas de formulario 1'!G1269),""[^0-9]"",""""),2)=""54"",""+""&amp;REGEXREPLACE(TO_TEXT('Respuestas de formulario 1'!G1269),""[^0-9]"",""""),""+54""&amp;REGEXREPLACE(TO_TEXT('Respu"&amp;"estas de formulario 1'!G1269),""[^0-9]"","""")))"),"+543515337720")</f>
        <v>+543515337720</v>
      </c>
      <c r="H1269" s="7">
        <f>'Respuestas de formulario 1'!S1269</f>
        <v>2025</v>
      </c>
      <c r="I1269" s="7" t="str">
        <f>IFERROR(__xludf.DUMMYFUNCTION("IF('Respuestas de formulario 1'!I1269="""","""",TO_TEXT('Respuestas de formulario 1'!I1269))"),"Obra social")</f>
        <v>Obra social</v>
      </c>
      <c r="J1269" s="7" t="str">
        <f>IFERROR(__xludf.DUMMYFUNCTION("IF('Respuestas de formulario 1'!J1269&lt;&gt;"""",UPPER(TRIM(TO_TEXT('Respuestas de formulario 1'!J1269))),IF('Respuestas de formulario 1'!O1269&lt;&gt;"""",UPPER(TRIM(TO_TEXT('Respuestas de formulario 1'!O1269))),""""))"),"PREVENCIÓN")</f>
        <v>PREVENCIÓN</v>
      </c>
      <c r="K1269" s="7" t="str">
        <f>IFERROR(__xludf.DUMMYFUNCTION("IF('Respuestas de formulario 1'!K1269="""","""",TO_TEXT('Respuestas de formulario 1'!K1269))"),"Si")</f>
        <v>Si</v>
      </c>
      <c r="L1269" s="7" t="str">
        <f>IFERROR(__xludf.DUMMYFUNCTION("IF('Respuestas de formulario 1'!L1269="""","""",TO_TEXT('Respuestas de formulario 1'!L1269))"),"Fútbol")</f>
        <v>Fútbol</v>
      </c>
      <c r="M1269" s="7" t="str">
        <f>IFERROR(__xludf.DUMMYFUNCTION("IF('Respuestas de formulario 1'!M1269="""","""",TO_TEXT('Respuestas de formulario 1'!M1269))"),"1 a 2 veces por semana")</f>
        <v>1 a 2 veces por semana</v>
      </c>
      <c r="N1269" s="7">
        <f t="shared" si="1"/>
        <v>2025</v>
      </c>
      <c r="O1269" s="7" t="str">
        <f t="shared" si="2"/>
        <v>octubre</v>
      </c>
      <c r="P1269" s="7" t="s">
        <v>6661</v>
      </c>
    </row>
    <row r="1270">
      <c r="A1270" s="19">
        <f>'Respuestas de formulario 1'!A1270</f>
        <v>45945.46915</v>
      </c>
      <c r="B1270" s="7" t="str">
        <f>'Respuestas de formulario 1'!B1270</f>
        <v>Jmelnitzky </v>
      </c>
      <c r="C1270" s="7" t="str">
        <f>'Respuestas de formulario 1'!C1270</f>
        <v>Fabian</v>
      </c>
      <c r="D1270" s="7" t="str">
        <f>'Respuestas de formulario 1'!D1270</f>
        <v>jmelnitzkyf@gmail.com</v>
      </c>
      <c r="E1270" s="20">
        <f>'Respuestas de formulario 1'!E1270</f>
        <v>33557</v>
      </c>
      <c r="F1270" s="7">
        <f>'Respuestas de formulario 1'!F1270</f>
        <v>36143364</v>
      </c>
      <c r="G1270" s="7" t="str">
        <f>IFERROR(__xludf.DUMMYFUNCTION("IF('Respuestas de formulario 1'!G1270="""","""",IF(LEFT(REGEXREPLACE(TO_TEXT('Respuestas de formulario 1'!G1270),""[^0-9]"",""""),2)=""54"",""+""&amp;REGEXREPLACE(TO_TEXT('Respuestas de formulario 1'!G1270),""[^0-9]"",""""),""+54""&amp;REGEXREPLACE(TO_TEXT('Respu"&amp;"estas de formulario 1'!G1270),""[^0-9]"","""")))"),"+543512338939")</f>
        <v>+543512338939</v>
      </c>
      <c r="H1270" s="7">
        <f>'Respuestas de formulario 1'!S1270</f>
        <v>2025</v>
      </c>
      <c r="I1270" s="7" t="str">
        <f>IFERROR(__xludf.DUMMYFUNCTION("IF('Respuestas de formulario 1'!I1270="""","""",TO_TEXT('Respuestas de formulario 1'!I1270))"),"Particular")</f>
        <v>Particular</v>
      </c>
      <c r="J1270" s="7" t="str">
        <f>IFERROR(__xludf.DUMMYFUNCTION("IF('Respuestas de formulario 1'!J1270&lt;&gt;"""",UPPER(TRIM(TO_TEXT('Respuestas de formulario 1'!J1270))),IF('Respuestas de formulario 1'!O1270&lt;&gt;"""",UPPER(TRIM(TO_TEXT('Respuestas de formulario 1'!O1270))),""""))"),"")</f>
        <v/>
      </c>
      <c r="K1270" s="7" t="str">
        <f>IFERROR(__xludf.DUMMYFUNCTION("IF('Respuestas de formulario 1'!K1270="""","""",TO_TEXT('Respuestas de formulario 1'!K1270))"),"Si")</f>
        <v>Si</v>
      </c>
      <c r="L1270" s="7" t="str">
        <f>IFERROR(__xludf.DUMMYFUNCTION("IF('Respuestas de formulario 1'!L1270="""","""",TO_TEXT('Respuestas de formulario 1'!L1270))"),"Gimnasio")</f>
        <v>Gimnasio</v>
      </c>
      <c r="M1270" s="7" t="str">
        <f>IFERROR(__xludf.DUMMYFUNCTION("IF('Respuestas de formulario 1'!M1270="""","""",TO_TEXT('Respuestas de formulario 1'!M1270))"),"1 a 2 veces por semana")</f>
        <v>1 a 2 veces por semana</v>
      </c>
      <c r="N1270" s="7">
        <f t="shared" si="1"/>
        <v>2025</v>
      </c>
      <c r="O1270" s="7" t="str">
        <f t="shared" si="2"/>
        <v>octubre</v>
      </c>
      <c r="P1270" s="7" t="s">
        <v>6662</v>
      </c>
    </row>
    <row r="1271">
      <c r="A1271" s="19">
        <f>'Respuestas de formulario 1'!A1271</f>
        <v>45945.83504</v>
      </c>
      <c r="B1271" s="7" t="str">
        <f>'Respuestas de formulario 1'!B1271</f>
        <v>Rossetto </v>
      </c>
      <c r="C1271" s="7" t="str">
        <f>'Respuestas de formulario 1'!C1271</f>
        <v>Cecilia </v>
      </c>
      <c r="D1271" s="7" t="str">
        <f>'Respuestas de formulario 1'!D1271</f>
        <v>cecirosst@gmail.com</v>
      </c>
      <c r="E1271" s="20">
        <f>'Respuestas de formulario 1'!E1271</f>
        <v>45899</v>
      </c>
      <c r="F1271" s="7">
        <f>'Respuestas de formulario 1'!F1271</f>
        <v>28639686</v>
      </c>
      <c r="G1271" s="7" t="str">
        <f>IFERROR(__xludf.DUMMYFUNCTION("IF('Respuestas de formulario 1'!G1271="""","""",IF(LEFT(REGEXREPLACE(TO_TEXT('Respuestas de formulario 1'!G1271),""[^0-9]"",""""),2)=""54"",""+""&amp;REGEXREPLACE(TO_TEXT('Respuestas de formulario 1'!G1271),""[^0-9]"",""""),""+54""&amp;REGEXREPLACE(TO_TEXT('Respu"&amp;"estas de formulario 1'!G1271),""[^0-9]"","""")))"),"+543515147020")</f>
        <v>+543515147020</v>
      </c>
      <c r="H1271" s="7">
        <f>'Respuestas de formulario 1'!S1271</f>
        <v>2025</v>
      </c>
      <c r="I1271" s="7" t="str">
        <f>IFERROR(__xludf.DUMMYFUNCTION("IF('Respuestas de formulario 1'!I1271="""","""",TO_TEXT('Respuestas de formulario 1'!I1271))"),"Particular")</f>
        <v>Particular</v>
      </c>
      <c r="J1271" s="7" t="str">
        <f>IFERROR(__xludf.DUMMYFUNCTION("IF('Respuestas de formulario 1'!J1271&lt;&gt;"""",UPPER(TRIM(TO_TEXT('Respuestas de formulario 1'!J1271))),IF('Respuestas de formulario 1'!O1271&lt;&gt;"""",UPPER(TRIM(TO_TEXT('Respuestas de formulario 1'!O1271))),""""))"),"")</f>
        <v/>
      </c>
      <c r="K1271" s="7" t="str">
        <f>IFERROR(__xludf.DUMMYFUNCTION("IF('Respuestas de formulario 1'!K1271="""","""",TO_TEXT('Respuestas de formulario 1'!K1271))"),"Si")</f>
        <v>Si</v>
      </c>
      <c r="L1271" s="7" t="str">
        <f>IFERROR(__xludf.DUMMYFUNCTION("IF('Respuestas de formulario 1'!L1271="""","""",TO_TEXT('Respuestas de formulario 1'!L1271))"),"Tpa")</f>
        <v>Tpa</v>
      </c>
      <c r="M1271" s="7" t="str">
        <f>IFERROR(__xludf.DUMMYFUNCTION("IF('Respuestas de formulario 1'!M1271="""","""",TO_TEXT('Respuestas de formulario 1'!M1271))"),"1 a 2 veces por semana")</f>
        <v>1 a 2 veces por semana</v>
      </c>
      <c r="N1271" s="7">
        <f t="shared" si="1"/>
        <v>2025</v>
      </c>
      <c r="O1271" s="7" t="str">
        <f t="shared" si="2"/>
        <v>octubre</v>
      </c>
      <c r="P1271" s="7" t="s">
        <v>6664</v>
      </c>
    </row>
    <row r="1272">
      <c r="A1272" s="19">
        <f>'Respuestas de formulario 1'!A1272</f>
        <v>45950.48961</v>
      </c>
      <c r="B1272" s="7" t="str">
        <f>'Respuestas de formulario 1'!B1272</f>
        <v>SUAREZ</v>
      </c>
      <c r="C1272" s="7" t="str">
        <f>'Respuestas de formulario 1'!C1272</f>
        <v>NOEMI</v>
      </c>
      <c r="D1272" s="7" t="str">
        <f>'Respuestas de formulario 1'!D1272</f>
        <v>SONIASUA_65@HOTMAIL.COM</v>
      </c>
      <c r="E1272" s="20">
        <f>'Respuestas de formulario 1'!E1272</f>
        <v>24172</v>
      </c>
      <c r="F1272" s="7">
        <f>'Respuestas de formulario 1'!F1272</f>
        <v>17533411</v>
      </c>
      <c r="G1272" s="7" t="str">
        <f>IFERROR(__xludf.DUMMYFUNCTION("IF('Respuestas de formulario 1'!G1272="""","""",IF(LEFT(REGEXREPLACE(TO_TEXT('Respuestas de formulario 1'!G1272),""[^0-9]"",""""),2)=""54"",""+""&amp;REGEXREPLACE(TO_TEXT('Respuestas de formulario 1'!G1272),""[^0-9]"",""""),""+54""&amp;REGEXREPLACE(TO_TEXT('Respu"&amp;"estas de formulario 1'!G1272),""[^0-9]"","""")))"),"+543517887060")</f>
        <v>+543517887060</v>
      </c>
      <c r="H1272" s="7">
        <f>'Respuestas de formulario 1'!S1272</f>
        <v>2025</v>
      </c>
      <c r="I1272" s="7" t="str">
        <f>IFERROR(__xludf.DUMMYFUNCTION("IF('Respuestas de formulario 1'!I1272="""","""",TO_TEXT('Respuestas de formulario 1'!I1272))"),"Particular")</f>
        <v>Particular</v>
      </c>
      <c r="J1272" s="7" t="str">
        <f>IFERROR(__xludf.DUMMYFUNCTION("IF('Respuestas de formulario 1'!J1272&lt;&gt;"""",UPPER(TRIM(TO_TEXT('Respuestas de formulario 1'!J1272))),IF('Respuestas de formulario 1'!O1272&lt;&gt;"""",UPPER(TRIM(TO_TEXT('Respuestas de formulario 1'!O1272))),""""))"),"")</f>
        <v/>
      </c>
      <c r="K1272" s="7" t="str">
        <f>IFERROR(__xludf.DUMMYFUNCTION("IF('Respuestas de formulario 1'!K1272="""","""",TO_TEXT('Respuestas de formulario 1'!K1272))"),"Si")</f>
        <v>Si</v>
      </c>
      <c r="L1272" s="7" t="str">
        <f>IFERROR(__xludf.DUMMYFUNCTION("IF('Respuestas de formulario 1'!L1272="""","""",TO_TEXT('Respuestas de formulario 1'!L1272))"),"Gimnasio")</f>
        <v>Gimnasio</v>
      </c>
      <c r="M1272" s="7" t="str">
        <f>IFERROR(__xludf.DUMMYFUNCTION("IF('Respuestas de formulario 1'!M1272="""","""",TO_TEXT('Respuestas de formulario 1'!M1272))"),"3 a 5 veces por semana")</f>
        <v>3 a 5 veces por semana</v>
      </c>
      <c r="N1272" s="7">
        <f t="shared" si="1"/>
        <v>2025</v>
      </c>
      <c r="O1272" s="7" t="str">
        <f t="shared" si="2"/>
        <v>octubre</v>
      </c>
      <c r="P1272" s="7" t="s">
        <v>6666</v>
      </c>
    </row>
    <row r="1273">
      <c r="A1273" s="19">
        <f>'Respuestas de formulario 1'!A1273</f>
        <v>45950.68423</v>
      </c>
      <c r="B1273" s="7" t="str">
        <f>'Respuestas de formulario 1'!B1273</f>
        <v>VELEZ</v>
      </c>
      <c r="C1273" s="7" t="str">
        <f>'Respuestas de formulario 1'!C1273</f>
        <v>Enrique Alberto </v>
      </c>
      <c r="D1273" s="7" t="str">
        <f>'Respuestas de formulario 1'!D1273</f>
        <v>Enriquealbertovelez3@gmail.com</v>
      </c>
      <c r="E1273" s="20">
        <f>'Respuestas de formulario 1'!E1273</f>
        <v>19386</v>
      </c>
      <c r="F1273" s="7">
        <f>'Respuestas de formulario 1'!F1273</f>
        <v>10544522</v>
      </c>
      <c r="G1273" s="7" t="str">
        <f>IFERROR(__xludf.DUMMYFUNCTION("IF('Respuestas de formulario 1'!G1273="""","""",IF(LEFT(REGEXREPLACE(TO_TEXT('Respuestas de formulario 1'!G1273),""[^0-9]"",""""),2)=""54"",""+""&amp;REGEXREPLACE(TO_TEXT('Respuestas de formulario 1'!G1273),""[^0-9]"",""""),""+54""&amp;REGEXREPLACE(TO_TEXT('Respu"&amp;"estas de formulario 1'!G1273),""[^0-9]"","""")))"),"+543516504916")</f>
        <v>+543516504916</v>
      </c>
      <c r="H1273" s="7">
        <f>'Respuestas de formulario 1'!S1273</f>
        <v>2025</v>
      </c>
      <c r="I1273" s="7" t="str">
        <f>IFERROR(__xludf.DUMMYFUNCTION("IF('Respuestas de formulario 1'!I1273="""","""",TO_TEXT('Respuestas de formulario 1'!I1273))"),"Obra social")</f>
        <v>Obra social</v>
      </c>
      <c r="J1273" s="7" t="str">
        <f>IFERROR(__xludf.DUMMYFUNCTION("IF('Respuestas de formulario 1'!J1273&lt;&gt;"""",UPPER(TRIM(TO_TEXT('Respuestas de formulario 1'!J1273))),IF('Respuestas de formulario 1'!O1273&lt;&gt;"""",UPPER(TRIM(TO_TEXT('Respuestas de formulario 1'!O1273))),""""))"),"APROSS")</f>
        <v>APROSS</v>
      </c>
      <c r="K1273" s="7" t="str">
        <f>IFERROR(__xludf.DUMMYFUNCTION("IF('Respuestas de formulario 1'!K1273="""","""",TO_TEXT('Respuestas de formulario 1'!K1273))"),"Si")</f>
        <v>Si</v>
      </c>
      <c r="L1273" s="7" t="str">
        <f>IFERROR(__xludf.DUMMYFUNCTION("IF('Respuestas de formulario 1'!L1273="""","""",TO_TEXT('Respuestas de formulario 1'!L1273))"),"Natación, Tpa ")</f>
        <v>Natación, Tpa </v>
      </c>
      <c r="M1273" s="7" t="str">
        <f>IFERROR(__xludf.DUMMYFUNCTION("IF('Respuestas de formulario 1'!M1273="""","""",TO_TEXT('Respuestas de formulario 1'!M1273))"),"3 a 5 veces por semana")</f>
        <v>3 a 5 veces por semana</v>
      </c>
      <c r="N1273" s="7">
        <f t="shared" si="1"/>
        <v>2025</v>
      </c>
      <c r="O1273" s="7" t="str">
        <f t="shared" si="2"/>
        <v>octubre</v>
      </c>
      <c r="P1273" s="7" t="s">
        <v>6668</v>
      </c>
    </row>
    <row r="1274">
      <c r="A1274" s="19">
        <f>'Respuestas de formulario 1'!A1274</f>
        <v>45950.74981</v>
      </c>
      <c r="B1274" s="7" t="str">
        <f>'Respuestas de formulario 1'!B1274</f>
        <v>CORZO</v>
      </c>
      <c r="C1274" s="7" t="str">
        <f>'Respuestas de formulario 1'!C1274</f>
        <v>Renzo </v>
      </c>
      <c r="D1274" s="7" t="str">
        <f>'Respuestas de formulario 1'!D1274</f>
        <v>renzogonzalocorzo@gmail.com</v>
      </c>
      <c r="E1274" s="20">
        <f>'Respuestas de formulario 1'!E1274</f>
        <v>32899</v>
      </c>
      <c r="F1274" s="7">
        <f>'Respuestas de formulario 1'!F1274</f>
        <v>34839685</v>
      </c>
      <c r="G1274" s="7" t="str">
        <f>IFERROR(__xludf.DUMMYFUNCTION("IF('Respuestas de formulario 1'!G1274="""","""",IF(LEFT(REGEXREPLACE(TO_TEXT('Respuestas de formulario 1'!G1274),""[^0-9]"",""""),2)=""54"",""+""&amp;REGEXREPLACE(TO_TEXT('Respuestas de formulario 1'!G1274),""[^0-9]"",""""),""+54""&amp;REGEXREPLACE(TO_TEXT('Respu"&amp;"estas de formulario 1'!G1274),""[^0-9]"","""")))"),"+545515436185")</f>
        <v>+545515436185</v>
      </c>
      <c r="H1274" s="7">
        <f>'Respuestas de formulario 1'!S1274</f>
        <v>2025</v>
      </c>
      <c r="I1274" s="7" t="str">
        <f>IFERROR(__xludf.DUMMYFUNCTION("IF('Respuestas de formulario 1'!I1274="""","""",TO_TEXT('Respuestas de formulario 1'!I1274))"),"Particular")</f>
        <v>Particular</v>
      </c>
      <c r="J1274" s="7" t="str">
        <f>IFERROR(__xludf.DUMMYFUNCTION("IF('Respuestas de formulario 1'!J1274&lt;&gt;"""",UPPER(TRIM(TO_TEXT('Respuestas de formulario 1'!J1274))),IF('Respuestas de formulario 1'!O1274&lt;&gt;"""",UPPER(TRIM(TO_TEXT('Respuestas de formulario 1'!O1274))),""""))"),"")</f>
        <v/>
      </c>
      <c r="K1274" s="7" t="str">
        <f>IFERROR(__xludf.DUMMYFUNCTION("IF('Respuestas de formulario 1'!K1274="""","""",TO_TEXT('Respuestas de formulario 1'!K1274))"),"Si")</f>
        <v>Si</v>
      </c>
      <c r="L1274" s="7" t="str">
        <f>IFERROR(__xludf.DUMMYFUNCTION("IF('Respuestas de formulario 1'!L1274="""","""",TO_TEXT('Respuestas de formulario 1'!L1274))"),"Fútbol")</f>
        <v>Fútbol</v>
      </c>
      <c r="M1274" s="7" t="str">
        <f>IFERROR(__xludf.DUMMYFUNCTION("IF('Respuestas de formulario 1'!M1274="""","""",TO_TEXT('Respuestas de formulario 1'!M1274))"),"3 a 5 veces por semana")</f>
        <v>3 a 5 veces por semana</v>
      </c>
      <c r="N1274" s="7">
        <f t="shared" si="1"/>
        <v>2025</v>
      </c>
      <c r="O1274" s="7" t="str">
        <f t="shared" si="2"/>
        <v>octubre</v>
      </c>
      <c r="P1274" s="7" t="s">
        <v>6670</v>
      </c>
    </row>
    <row r="1275">
      <c r="A1275" s="19">
        <f>'Respuestas de formulario 1'!A1275</f>
        <v>45951.41597</v>
      </c>
      <c r="B1275" s="7" t="str">
        <f>'Respuestas de formulario 1'!B1275</f>
        <v>Perez</v>
      </c>
      <c r="C1275" s="7" t="str">
        <f>'Respuestas de formulario 1'!C1275</f>
        <v>Beatriz </v>
      </c>
      <c r="D1275" s="7" t="str">
        <f>'Respuestas de formulario 1'!D1275</f>
        <v/>
      </c>
      <c r="E1275" s="20">
        <f>'Respuestas de formulario 1'!E1275</f>
        <v>19406</v>
      </c>
      <c r="F1275" s="7">
        <f>'Respuestas de formulario 1'!F1275</f>
        <v>10771585</v>
      </c>
      <c r="G1275" s="7" t="str">
        <f>IFERROR(__xludf.DUMMYFUNCTION("IF('Respuestas de formulario 1'!G1275="""","""",IF(LEFT(REGEXREPLACE(TO_TEXT('Respuestas de formulario 1'!G1275),""[^0-9]"",""""),2)=""54"",""+""&amp;REGEXREPLACE(TO_TEXT('Respuestas de formulario 1'!G1275),""[^0-9]"",""""),""+54""&amp;REGEXREPLACE(TO_TEXT('Respu"&amp;"estas de formulario 1'!G1275),""[^0-9]"","""")))"),"+543516506388")</f>
        <v>+543516506388</v>
      </c>
      <c r="H1275" s="7">
        <f>'Respuestas de formulario 1'!S1275</f>
        <v>2025</v>
      </c>
      <c r="I1275" s="7" t="str">
        <f>IFERROR(__xludf.DUMMYFUNCTION("IF('Respuestas de formulario 1'!I1275="""","""",TO_TEXT('Respuestas de formulario 1'!I1275))"),"Particular")</f>
        <v>Particular</v>
      </c>
      <c r="J1275" s="7" t="str">
        <f>IFERROR(__xludf.DUMMYFUNCTION("IF('Respuestas de formulario 1'!J1275&lt;&gt;"""",UPPER(TRIM(TO_TEXT('Respuestas de formulario 1'!J1275))),IF('Respuestas de formulario 1'!O1275&lt;&gt;"""",UPPER(TRIM(TO_TEXT('Respuestas de formulario 1'!O1275))),""""))"),"")</f>
        <v/>
      </c>
      <c r="K1275" s="7" t="str">
        <f>IFERROR(__xludf.DUMMYFUNCTION("IF('Respuestas de formulario 1'!K1275="""","""",TO_TEXT('Respuestas de formulario 1'!K1275))"),"Si")</f>
        <v>Si</v>
      </c>
      <c r="L1275" s="7" t="str">
        <f>IFERROR(__xludf.DUMMYFUNCTION("IF('Respuestas de formulario 1'!L1275="""","""",TO_TEXT('Respuestas de formulario 1'!L1275))"),"")</f>
        <v/>
      </c>
      <c r="M1275" s="7" t="str">
        <f>IFERROR(__xludf.DUMMYFUNCTION("IF('Respuestas de formulario 1'!M1275="""","""",TO_TEXT('Respuestas de formulario 1'!M1275))"),"1 a 2 veces por semana")</f>
        <v>1 a 2 veces por semana</v>
      </c>
      <c r="N1275" s="7">
        <f t="shared" si="1"/>
        <v>2025</v>
      </c>
      <c r="O1275" s="7" t="str">
        <f t="shared" si="2"/>
        <v>octubre</v>
      </c>
      <c r="P1275" s="7" t="s">
        <v>6671</v>
      </c>
    </row>
    <row r="1276">
      <c r="A1276" s="19">
        <f>'Respuestas de formulario 1'!A1276</f>
        <v>45952.44703</v>
      </c>
      <c r="B1276" s="7" t="str">
        <f>'Respuestas de formulario 1'!B1276</f>
        <v>Ponce</v>
      </c>
      <c r="C1276" s="7" t="str">
        <f>'Respuestas de formulario 1'!C1276</f>
        <v>Enrique</v>
      </c>
      <c r="D1276" s="7" t="str">
        <f>'Respuestas de formulario 1'!D1276</f>
        <v>poncequique@hotmail.com</v>
      </c>
      <c r="E1276" s="20">
        <f>'Respuestas de formulario 1'!E1276</f>
        <v>23116</v>
      </c>
      <c r="F1276" s="7">
        <f>'Respuestas de formulario 1'!F1276</f>
        <v>16292920</v>
      </c>
      <c r="G1276" s="7" t="str">
        <f>IFERROR(__xludf.DUMMYFUNCTION("IF('Respuestas de formulario 1'!G1276="""","""",IF(LEFT(REGEXREPLACE(TO_TEXT('Respuestas de formulario 1'!G1276),""[^0-9]"",""""),2)=""54"",""+""&amp;REGEXREPLACE(TO_TEXT('Respuestas de formulario 1'!G1276),""[^0-9]"",""""),""+54""&amp;REGEXREPLACE(TO_TEXT('Respu"&amp;"estas de formulario 1'!G1276),""[^0-9]"","""")))"),"+543515901383")</f>
        <v>+543515901383</v>
      </c>
      <c r="H1276" s="7">
        <f>'Respuestas de formulario 1'!S1276</f>
        <v>2025</v>
      </c>
      <c r="I1276" s="7" t="str">
        <f>IFERROR(__xludf.DUMMYFUNCTION("IF('Respuestas de formulario 1'!I1276="""","""",TO_TEXT('Respuestas de formulario 1'!I1276))"),"Obra social")</f>
        <v>Obra social</v>
      </c>
      <c r="J1276" s="7" t="str">
        <f>IFERROR(__xludf.DUMMYFUNCTION("IF('Respuestas de formulario 1'!J1276&lt;&gt;"""",UPPER(TRIM(TO_TEXT('Respuestas de formulario 1'!J1276))),IF('Respuestas de formulario 1'!O1276&lt;&gt;"""",UPPER(TRIM(TO_TEXT('Respuestas de formulario 1'!O1276))),""""))"),"APROSS")</f>
        <v>APROSS</v>
      </c>
      <c r="K1276" s="7" t="str">
        <f>IFERROR(__xludf.DUMMYFUNCTION("IF('Respuestas de formulario 1'!K1276="""","""",TO_TEXT('Respuestas de formulario 1'!K1276))"),"Si")</f>
        <v>Si</v>
      </c>
      <c r="L1276" s="7" t="str">
        <f>IFERROR(__xludf.DUMMYFUNCTION("IF('Respuestas de formulario 1'!L1276="""","""",TO_TEXT('Respuestas de formulario 1'!L1276))"),"Tennis")</f>
        <v>Tennis</v>
      </c>
      <c r="M1276" s="7" t="str">
        <f>IFERROR(__xludf.DUMMYFUNCTION("IF('Respuestas de formulario 1'!M1276="""","""",TO_TEXT('Respuestas de formulario 1'!M1276))"),"1 a 2 veces por semana")</f>
        <v>1 a 2 veces por semana</v>
      </c>
      <c r="N1276" s="7">
        <f t="shared" si="1"/>
        <v>2025</v>
      </c>
      <c r="O1276" s="7" t="str">
        <f t="shared" si="2"/>
        <v>octubre</v>
      </c>
      <c r="P1276" s="7" t="s">
        <v>6673</v>
      </c>
    </row>
    <row r="1277">
      <c r="A1277" s="19">
        <f>'Respuestas de formulario 1'!A1277</f>
        <v>45952.50535</v>
      </c>
      <c r="B1277" s="7" t="str">
        <f>'Respuestas de formulario 1'!B1277</f>
        <v>Hernandez</v>
      </c>
      <c r="C1277" s="7" t="str">
        <f>'Respuestas de formulario 1'!C1277</f>
        <v>Facundo</v>
      </c>
      <c r="D1277" s="7" t="str">
        <f>'Respuestas de formulario 1'!D1277</f>
        <v/>
      </c>
      <c r="E1277" s="20">
        <f>'Respuestas de formulario 1'!E1277</f>
        <v>36054</v>
      </c>
      <c r="F1277" s="7">
        <f>'Respuestas de formulario 1'!F1277</f>
        <v>41810143</v>
      </c>
      <c r="G1277" s="7" t="str">
        <f>IFERROR(__xludf.DUMMYFUNCTION("IF('Respuestas de formulario 1'!G1277="""","""",IF(LEFT(REGEXREPLACE(TO_TEXT('Respuestas de formulario 1'!G1277),""[^0-9]"",""""),2)=""54"",""+""&amp;REGEXREPLACE(TO_TEXT('Respuestas de formulario 1'!G1277),""[^0-9]"",""""),""+54""&amp;REGEXREPLACE(TO_TEXT('Respu"&amp;"estas de formulario 1'!G1277),""[^0-9]"","""")))"),"+543513539903")</f>
        <v>+543513539903</v>
      </c>
      <c r="H1277" s="7">
        <f>'Respuestas de formulario 1'!S1277</f>
        <v>2025</v>
      </c>
      <c r="I1277" s="7" t="str">
        <f>IFERROR(__xludf.DUMMYFUNCTION("IF('Respuestas de formulario 1'!I1277="""","""",TO_TEXT('Respuestas de formulario 1'!I1277))"),"Particular")</f>
        <v>Particular</v>
      </c>
      <c r="J1277" s="7" t="str">
        <f>IFERROR(__xludf.DUMMYFUNCTION("IF('Respuestas de formulario 1'!J1277&lt;&gt;"""",UPPER(TRIM(TO_TEXT('Respuestas de formulario 1'!J1277))),IF('Respuestas de formulario 1'!O1277&lt;&gt;"""",UPPER(TRIM(TO_TEXT('Respuestas de formulario 1'!O1277))),""""))"),"")</f>
        <v/>
      </c>
      <c r="K1277" s="7" t="str">
        <f>IFERROR(__xludf.DUMMYFUNCTION("IF('Respuestas de formulario 1'!K1277="""","""",TO_TEXT('Respuestas de formulario 1'!K1277))"),"Si")</f>
        <v>Si</v>
      </c>
      <c r="L1277" s="7" t="str">
        <f>IFERROR(__xludf.DUMMYFUNCTION("IF('Respuestas de formulario 1'!L1277="""","""",TO_TEXT('Respuestas de formulario 1'!L1277))"),"Gimnasio")</f>
        <v>Gimnasio</v>
      </c>
      <c r="M1277" s="7" t="str">
        <f>IFERROR(__xludf.DUMMYFUNCTION("IF('Respuestas de formulario 1'!M1277="""","""",TO_TEXT('Respuestas de formulario 1'!M1277))"),"3 a 5 veces por semana")</f>
        <v>3 a 5 veces por semana</v>
      </c>
      <c r="N1277" s="7">
        <f t="shared" si="1"/>
        <v>2025</v>
      </c>
      <c r="O1277" s="7" t="str">
        <f t="shared" si="2"/>
        <v>octubre</v>
      </c>
      <c r="P1277" s="7" t="s">
        <v>6675</v>
      </c>
    </row>
    <row r="1278">
      <c r="A1278" s="19">
        <f>'Respuestas de formulario 1'!A1278</f>
        <v>45952.57313</v>
      </c>
      <c r="B1278" s="7" t="str">
        <f>'Respuestas de formulario 1'!B1278</f>
        <v>Molina</v>
      </c>
      <c r="C1278" s="7" t="str">
        <f>'Respuestas de formulario 1'!C1278</f>
        <v>Jenifer </v>
      </c>
      <c r="D1278" s="7" t="str">
        <f>'Respuestas de formulario 1'!D1278</f>
        <v>jenimolina964@gmail.com</v>
      </c>
      <c r="E1278" s="20">
        <f>'Respuestas de formulario 1'!E1278</f>
        <v>35671</v>
      </c>
      <c r="F1278" s="7">
        <f>'Respuestas de formulario 1'!F1278</f>
        <v>40682711</v>
      </c>
      <c r="G1278" s="7" t="str">
        <f>IFERROR(__xludf.DUMMYFUNCTION("IF('Respuestas de formulario 1'!G1278="""","""",IF(LEFT(REGEXREPLACE(TO_TEXT('Respuestas de formulario 1'!G1278),""[^0-9]"",""""),2)=""54"",""+""&amp;REGEXREPLACE(TO_TEXT('Respuestas de formulario 1'!G1278),""[^0-9]"",""""),""+54""&amp;REGEXREPLACE(TO_TEXT('Respu"&amp;"estas de formulario 1'!G1278),""[^0-9]"","""")))"),"+543518107151")</f>
        <v>+543518107151</v>
      </c>
      <c r="H1278" s="7">
        <f>'Respuestas de formulario 1'!S1278</f>
        <v>2025</v>
      </c>
      <c r="I1278" s="7" t="str">
        <f>IFERROR(__xludf.DUMMYFUNCTION("IF('Respuestas de formulario 1'!I1278="""","""",TO_TEXT('Respuestas de formulario 1'!I1278))"),"Particular")</f>
        <v>Particular</v>
      </c>
      <c r="J1278" s="7" t="str">
        <f>IFERROR(__xludf.DUMMYFUNCTION("IF('Respuestas de formulario 1'!J1278&lt;&gt;"""",UPPER(TRIM(TO_TEXT('Respuestas de formulario 1'!J1278))),IF('Respuestas de formulario 1'!O1278&lt;&gt;"""",UPPER(TRIM(TO_TEXT('Respuestas de formulario 1'!O1278))),""""))"),"")</f>
        <v/>
      </c>
      <c r="K1278" s="7" t="str">
        <f>IFERROR(__xludf.DUMMYFUNCTION("IF('Respuestas de formulario 1'!K1278="""","""",TO_TEXT('Respuestas de formulario 1'!K1278))"),"Si")</f>
        <v>Si</v>
      </c>
      <c r="L1278" s="7" t="str">
        <f>IFERROR(__xludf.DUMMYFUNCTION("IF('Respuestas de formulario 1'!L1278="""","""",TO_TEXT('Respuestas de formulario 1'!L1278))"),"Gimnasio")</f>
        <v>Gimnasio</v>
      </c>
      <c r="M1278" s="7" t="str">
        <f>IFERROR(__xludf.DUMMYFUNCTION("IF('Respuestas de formulario 1'!M1278="""","""",TO_TEXT('Respuestas de formulario 1'!M1278))"),"3 a 5 veces por semana")</f>
        <v>3 a 5 veces por semana</v>
      </c>
      <c r="N1278" s="7">
        <f t="shared" si="1"/>
        <v>2025</v>
      </c>
      <c r="O1278" s="7" t="str">
        <f t="shared" si="2"/>
        <v>octubre</v>
      </c>
      <c r="P1278" s="7" t="s">
        <v>6677</v>
      </c>
    </row>
    <row r="1279">
      <c r="A1279" s="19">
        <f>'Respuestas de formulario 1'!A1279</f>
        <v>45952.6695</v>
      </c>
      <c r="B1279" s="7" t="str">
        <f>'Respuestas de formulario 1'!B1279</f>
        <v>Godoy</v>
      </c>
      <c r="C1279" s="7" t="str">
        <f>'Respuestas de formulario 1'!C1279</f>
        <v>José María </v>
      </c>
      <c r="D1279" s="7" t="str">
        <f>'Respuestas de formulario 1'!D1279</f>
        <v>josemariagodoy0@gmail.com</v>
      </c>
      <c r="E1279" s="20">
        <f>'Respuestas de formulario 1'!E1279</f>
        <v>35376</v>
      </c>
      <c r="F1279" s="7">
        <f>'Respuestas de formulario 1'!F1279</f>
        <v>39937362</v>
      </c>
      <c r="G1279" s="7" t="str">
        <f>IFERROR(__xludf.DUMMYFUNCTION("IF('Respuestas de formulario 1'!G1279="""","""",IF(LEFT(REGEXREPLACE(TO_TEXT('Respuestas de formulario 1'!G1279),""[^0-9]"",""""),2)=""54"",""+""&amp;REGEXREPLACE(TO_TEXT('Respuestas de formulario 1'!G1279),""[^0-9]"",""""),""+54""&amp;REGEXREPLACE(TO_TEXT('Respu"&amp;"estas de formulario 1'!G1279),""[^0-9]"","""")))"),"+543513892836")</f>
        <v>+543513892836</v>
      </c>
      <c r="H1279" s="7">
        <f>'Respuestas de formulario 1'!S1279</f>
        <v>2025</v>
      </c>
      <c r="I1279" s="7" t="str">
        <f>IFERROR(__xludf.DUMMYFUNCTION("IF('Respuestas de formulario 1'!I1279="""","""",TO_TEXT('Respuestas de formulario 1'!I1279))"),"Particular")</f>
        <v>Particular</v>
      </c>
      <c r="J1279" s="7" t="str">
        <f>IFERROR(__xludf.DUMMYFUNCTION("IF('Respuestas de formulario 1'!J1279&lt;&gt;"""",UPPER(TRIM(TO_TEXT('Respuestas de formulario 1'!J1279))),IF('Respuestas de formulario 1'!O1279&lt;&gt;"""",UPPER(TRIM(TO_TEXT('Respuestas de formulario 1'!O1279))),""""))"),"")</f>
        <v/>
      </c>
      <c r="K1279" s="7" t="str">
        <f>IFERROR(__xludf.DUMMYFUNCTION("IF('Respuestas de formulario 1'!K1279="""","""",TO_TEXT('Respuestas de formulario 1'!K1279))"),"Si")</f>
        <v>Si</v>
      </c>
      <c r="L1279" s="7" t="str">
        <f>IFERROR(__xludf.DUMMYFUNCTION("IF('Respuestas de formulario 1'!L1279="""","""",TO_TEXT('Respuestas de formulario 1'!L1279))"),"Gimnasio")</f>
        <v>Gimnasio</v>
      </c>
      <c r="M1279" s="7" t="str">
        <f>IFERROR(__xludf.DUMMYFUNCTION("IF('Respuestas de formulario 1'!M1279="""","""",TO_TEXT('Respuestas de formulario 1'!M1279))"),"3 a 5 veces por semana")</f>
        <v>3 a 5 veces por semana</v>
      </c>
      <c r="N1279" s="7">
        <f t="shared" si="1"/>
        <v>2025</v>
      </c>
      <c r="O1279" s="7" t="str">
        <f t="shared" si="2"/>
        <v>octubre</v>
      </c>
      <c r="P1279" s="7" t="s">
        <v>6679</v>
      </c>
    </row>
    <row r="1280">
      <c r="A1280" s="19">
        <f>'Respuestas de formulario 1'!A1280</f>
        <v>45952.71651</v>
      </c>
      <c r="B1280" s="7" t="str">
        <f>'Respuestas de formulario 1'!B1280</f>
        <v>Fantin Quilaleo </v>
      </c>
      <c r="C1280" s="7" t="str">
        <f>'Respuestas de formulario 1'!C1280</f>
        <v>Facundo </v>
      </c>
      <c r="D1280" s="7" t="str">
        <f>'Respuestas de formulario 1'!D1280</f>
        <v>alebquilaleo@gmail.com</v>
      </c>
      <c r="E1280" s="20">
        <f>'Respuestas de formulario 1'!E1280</f>
        <v>40445</v>
      </c>
      <c r="F1280" s="7">
        <f>'Respuestas de formulario 1'!F1280</f>
        <v>50421924</v>
      </c>
      <c r="G1280" s="7" t="str">
        <f>IFERROR(__xludf.DUMMYFUNCTION("IF('Respuestas de formulario 1'!G1280="""","""",IF(LEFT(REGEXREPLACE(TO_TEXT('Respuestas de formulario 1'!G1280),""[^0-9]"",""""),2)=""54"",""+""&amp;REGEXREPLACE(TO_TEXT('Respuestas de formulario 1'!G1280),""[^0-9]"",""""),""+54""&amp;REGEXREPLACE(TO_TEXT('Respu"&amp;"estas de formulario 1'!G1280),""[^0-9]"","""")))"),"+543516123681")</f>
        <v>+543516123681</v>
      </c>
      <c r="H1280" s="7">
        <f>'Respuestas de formulario 1'!S1280</f>
        <v>2025</v>
      </c>
      <c r="I1280" s="7" t="str">
        <f>IFERROR(__xludf.DUMMYFUNCTION("IF('Respuestas de formulario 1'!I1280="""","""",TO_TEXT('Respuestas de formulario 1'!I1280))"),"Obra social")</f>
        <v>Obra social</v>
      </c>
      <c r="J1280" s="7" t="str">
        <f>IFERROR(__xludf.DUMMYFUNCTION("IF('Respuestas de formulario 1'!J1280&lt;&gt;"""",UPPER(TRIM(TO_TEXT('Respuestas de formulario 1'!J1280))),IF('Respuestas de formulario 1'!O1280&lt;&gt;"""",UPPER(TRIM(TO_TEXT('Respuestas de formulario 1'!O1280))),""""))"),"PREVENCIÓN")</f>
        <v>PREVENCIÓN</v>
      </c>
      <c r="K1280" s="7" t="str">
        <f>IFERROR(__xludf.DUMMYFUNCTION("IF('Respuestas de formulario 1'!K1280="""","""",TO_TEXT('Respuestas de formulario 1'!K1280))"),"Si")</f>
        <v>Si</v>
      </c>
      <c r="L1280" s="7" t="str">
        <f>IFERROR(__xludf.DUMMYFUNCTION("IF('Respuestas de formulario 1'!L1280="""","""",TO_TEXT('Respuestas de formulario 1'!L1280))"),"Fútbol")</f>
        <v>Fútbol</v>
      </c>
      <c r="M1280" s="7" t="str">
        <f>IFERROR(__xludf.DUMMYFUNCTION("IF('Respuestas de formulario 1'!M1280="""","""",TO_TEXT('Respuestas de formulario 1'!M1280))"),"3 a 5 veces por semana")</f>
        <v>3 a 5 veces por semana</v>
      </c>
      <c r="N1280" s="7">
        <f t="shared" si="1"/>
        <v>2025</v>
      </c>
      <c r="O1280" s="7" t="str">
        <f t="shared" si="2"/>
        <v>octubre</v>
      </c>
      <c r="P1280" s="7" t="s">
        <v>6681</v>
      </c>
    </row>
    <row r="1281">
      <c r="A1281" s="19">
        <f>'Respuestas de formulario 1'!A1281</f>
        <v>45953.51665</v>
      </c>
      <c r="B1281" s="7" t="str">
        <f>'Respuestas de formulario 1'!B1281</f>
        <v>Gruttadauria </v>
      </c>
      <c r="C1281" s="7" t="str">
        <f>'Respuestas de formulario 1'!C1281</f>
        <v>Mariano</v>
      </c>
      <c r="D1281" s="7" t="str">
        <f>'Respuestas de formulario 1'!D1281</f>
        <v>Inmomg@gmail.com</v>
      </c>
      <c r="E1281" s="20">
        <f>'Respuestas de formulario 1'!E1281</f>
        <v>29432</v>
      </c>
      <c r="F1281" s="7">
        <f>'Respuestas de formulario 1'!F1281</f>
        <v>28270188</v>
      </c>
      <c r="G1281" s="7" t="str">
        <f>IFERROR(__xludf.DUMMYFUNCTION("IF('Respuestas de formulario 1'!G1281="""","""",IF(LEFT(REGEXREPLACE(TO_TEXT('Respuestas de formulario 1'!G1281),""[^0-9]"",""""),2)=""54"",""+""&amp;REGEXREPLACE(TO_TEXT('Respuestas de formulario 1'!G1281),""[^0-9]"",""""),""+54""&amp;REGEXREPLACE(TO_TEXT('Respu"&amp;"estas de formulario 1'!G1281),""[^0-9]"","""")))"),"+543516786167")</f>
        <v>+543516786167</v>
      </c>
      <c r="H1281" s="7">
        <f>'Respuestas de formulario 1'!S1281</f>
        <v>2025</v>
      </c>
      <c r="I1281" s="7" t="str">
        <f>IFERROR(__xludf.DUMMYFUNCTION("IF('Respuestas de formulario 1'!I1281="""","""",TO_TEXT('Respuestas de formulario 1'!I1281))"),"Particular")</f>
        <v>Particular</v>
      </c>
      <c r="J1281" s="7" t="str">
        <f>IFERROR(__xludf.DUMMYFUNCTION("IF('Respuestas de formulario 1'!J1281&lt;&gt;"""",UPPER(TRIM(TO_TEXT('Respuestas de formulario 1'!J1281))),IF('Respuestas de formulario 1'!O1281&lt;&gt;"""",UPPER(TRIM(TO_TEXT('Respuestas de formulario 1'!O1281))),""""))"),"")</f>
        <v/>
      </c>
      <c r="K1281" s="7" t="str">
        <f>IFERROR(__xludf.DUMMYFUNCTION("IF('Respuestas de formulario 1'!K1281="""","""",TO_TEXT('Respuestas de formulario 1'!K1281))"),"Si")</f>
        <v>Si</v>
      </c>
      <c r="L1281" s="7" t="str">
        <f>IFERROR(__xludf.DUMMYFUNCTION("IF('Respuestas de formulario 1'!L1281="""","""",TO_TEXT('Respuestas de formulario 1'!L1281))"),"Gimnasio")</f>
        <v>Gimnasio</v>
      </c>
      <c r="M1281" s="7" t="str">
        <f>IFERROR(__xludf.DUMMYFUNCTION("IF('Respuestas de formulario 1'!M1281="""","""",TO_TEXT('Respuestas de formulario 1'!M1281))"),"3 a 5 veces por semana")</f>
        <v>3 a 5 veces por semana</v>
      </c>
      <c r="N1281" s="7">
        <f t="shared" si="1"/>
        <v>2025</v>
      </c>
      <c r="O1281" s="7" t="str">
        <f t="shared" si="2"/>
        <v>octubre</v>
      </c>
      <c r="P1281" s="7" t="s">
        <v>6682</v>
      </c>
    </row>
    <row r="1282">
      <c r="A1282" s="19">
        <f>'Respuestas de formulario 1'!A1282</f>
        <v>45954.49564</v>
      </c>
      <c r="B1282" s="7" t="str">
        <f>'Respuestas de formulario 1'!B1282</f>
        <v>Pereyra</v>
      </c>
      <c r="C1282" s="7" t="str">
        <f>'Respuestas de formulario 1'!C1282</f>
        <v>Maria Cristina</v>
      </c>
      <c r="D1282" s="7" t="str">
        <f>'Respuestas de formulario 1'!D1282</f>
        <v>mcristinabarrionuevo@hotmail.com</v>
      </c>
      <c r="E1282" s="20">
        <f>'Respuestas de formulario 1'!E1282</f>
        <v>16429</v>
      </c>
      <c r="F1282" s="7">
        <f>'Respuestas de formulario 1'!F1282</f>
        <v>5097687</v>
      </c>
      <c r="G1282" s="7" t="str">
        <f>IFERROR(__xludf.DUMMYFUNCTION("IF('Respuestas de formulario 1'!G1282="""","""",IF(LEFT(REGEXREPLACE(TO_TEXT('Respuestas de formulario 1'!G1282),""[^0-9]"",""""),2)=""54"",""+""&amp;REGEXREPLACE(TO_TEXT('Respuestas de formulario 1'!G1282),""[^0-9]"",""""),""+54""&amp;REGEXREPLACE(TO_TEXT('Respu"&amp;"estas de formulario 1'!G1282),""[^0-9]"","""")))"),"+543515925146")</f>
        <v>+543515925146</v>
      </c>
      <c r="H1282" s="7">
        <f>'Respuestas de formulario 1'!S1282</f>
        <v>2025</v>
      </c>
      <c r="I1282" s="7" t="str">
        <f>IFERROR(__xludf.DUMMYFUNCTION("IF('Respuestas de formulario 1'!I1282="""","""",TO_TEXT('Respuestas de formulario 1'!I1282))"),"Particular")</f>
        <v>Particular</v>
      </c>
      <c r="J1282" s="7" t="str">
        <f>IFERROR(__xludf.DUMMYFUNCTION("IF('Respuestas de formulario 1'!J1282&lt;&gt;"""",UPPER(TRIM(TO_TEXT('Respuestas de formulario 1'!J1282))),IF('Respuestas de formulario 1'!O1282&lt;&gt;"""",UPPER(TRIM(TO_TEXT('Respuestas de formulario 1'!O1282))),""""))"),"")</f>
        <v/>
      </c>
      <c r="K1282" s="7" t="str">
        <f>IFERROR(__xludf.DUMMYFUNCTION("IF('Respuestas de formulario 1'!K1282="""","""",TO_TEXT('Respuestas de formulario 1'!K1282))"),"No")</f>
        <v>No</v>
      </c>
      <c r="L1282" s="7" t="str">
        <f>IFERROR(__xludf.DUMMYFUNCTION("IF('Respuestas de formulario 1'!L1282="""","""",TO_TEXT('Respuestas de formulario 1'!L1282))"),"")</f>
        <v/>
      </c>
      <c r="M1282" s="7" t="str">
        <f>IFERROR(__xludf.DUMMYFUNCTION("IF('Respuestas de formulario 1'!M1282="""","""",TO_TEXT('Respuestas de formulario 1'!M1282))"),"")</f>
        <v/>
      </c>
      <c r="N1282" s="7">
        <f t="shared" si="1"/>
        <v>2025</v>
      </c>
      <c r="O1282" s="7" t="str">
        <f t="shared" si="2"/>
        <v>octubre</v>
      </c>
      <c r="P1282" s="7" t="s">
        <v>6684</v>
      </c>
    </row>
    <row r="1283">
      <c r="A1283" s="19">
        <f>'Respuestas de formulario 1'!A1283</f>
        <v>45954.65977</v>
      </c>
      <c r="B1283" s="7" t="str">
        <f>'Respuestas de formulario 1'!B1283</f>
        <v>Mosca</v>
      </c>
      <c r="C1283" s="7" t="str">
        <f>'Respuestas de formulario 1'!C1283</f>
        <v>Andrea</v>
      </c>
      <c r="D1283" s="7" t="str">
        <f>'Respuestas de formulario 1'!D1283</f>
        <v>andy_lasmagnolias_@hotmail.com</v>
      </c>
      <c r="E1283" s="20">
        <f>'Respuestas de formulario 1'!E1283</f>
        <v>32409</v>
      </c>
      <c r="F1283" s="7">
        <f>'Respuestas de formulario 1'!F1283</f>
        <v>33893071</v>
      </c>
      <c r="G1283" s="7" t="str">
        <f>IFERROR(__xludf.DUMMYFUNCTION("IF('Respuestas de formulario 1'!G1283="""","""",IF(LEFT(REGEXREPLACE(TO_TEXT('Respuestas de formulario 1'!G1283),""[^0-9]"",""""),2)=""54"",""+""&amp;REGEXREPLACE(TO_TEXT('Respuestas de formulario 1'!G1283),""[^0-9]"",""""),""+54""&amp;REGEXREPLACE(TO_TEXT('Respu"&amp;"estas de formulario 1'!G1283),""[^0-9]"","""")))"),"+543516692219")</f>
        <v>+543516692219</v>
      </c>
      <c r="H1283" s="7">
        <f>'Respuestas de formulario 1'!S1283</f>
        <v>2025</v>
      </c>
      <c r="I1283" s="7" t="str">
        <f>IFERROR(__xludf.DUMMYFUNCTION("IF('Respuestas de formulario 1'!I1283="""","""",TO_TEXT('Respuestas de formulario 1'!I1283))"),"Obra social")</f>
        <v>Obra social</v>
      </c>
      <c r="J1283" s="7" t="str">
        <f>IFERROR(__xludf.DUMMYFUNCTION("IF('Respuestas de formulario 1'!J1283&lt;&gt;"""",UPPER(TRIM(TO_TEXT('Respuestas de formulario 1'!J1283))),IF('Respuestas de formulario 1'!O1283&lt;&gt;"""",UPPER(TRIM(TO_TEXT('Respuestas de formulario 1'!O1283))),""""))"),"APROSS")</f>
        <v>APROSS</v>
      </c>
      <c r="K1283" s="7" t="str">
        <f>IFERROR(__xludf.DUMMYFUNCTION("IF('Respuestas de formulario 1'!K1283="""","""",TO_TEXT('Respuestas de formulario 1'!K1283))"),"No")</f>
        <v>No</v>
      </c>
      <c r="L1283" s="7" t="str">
        <f>IFERROR(__xludf.DUMMYFUNCTION("IF('Respuestas de formulario 1'!L1283="""","""",TO_TEXT('Respuestas de formulario 1'!L1283))"),"")</f>
        <v/>
      </c>
      <c r="M1283" s="7" t="str">
        <f>IFERROR(__xludf.DUMMYFUNCTION("IF('Respuestas de formulario 1'!M1283="""","""",TO_TEXT('Respuestas de formulario 1'!M1283))"),"")</f>
        <v/>
      </c>
      <c r="N1283" s="7">
        <f t="shared" si="1"/>
        <v>2025</v>
      </c>
      <c r="O1283" s="7" t="str">
        <f t="shared" si="2"/>
        <v>octubre</v>
      </c>
      <c r="P1283" s="7" t="s">
        <v>6686</v>
      </c>
    </row>
    <row r="1284">
      <c r="A1284" s="19">
        <f>'Respuestas de formulario 1'!A1284</f>
        <v>45954.81886</v>
      </c>
      <c r="B1284" s="7" t="str">
        <f>'Respuestas de formulario 1'!B1284</f>
        <v>Garis</v>
      </c>
      <c r="C1284" s="7" t="str">
        <f>'Respuestas de formulario 1'!C1284</f>
        <v>Filippo </v>
      </c>
      <c r="D1284" s="7" t="str">
        <f>'Respuestas de formulario 1'!D1284</f>
        <v>Ivavelardez@gmail.com</v>
      </c>
      <c r="E1284" s="20">
        <f>'Respuestas de formulario 1'!E1284</f>
        <v>42310</v>
      </c>
      <c r="F1284" s="7">
        <f>'Respuestas de formulario 1'!F1284</f>
        <v>55009127</v>
      </c>
      <c r="G1284" s="7" t="str">
        <f>IFERROR(__xludf.DUMMYFUNCTION("IF('Respuestas de formulario 1'!G1284="""","""",IF(LEFT(REGEXREPLACE(TO_TEXT('Respuestas de formulario 1'!G1284),""[^0-9]"",""""),2)=""54"",""+""&amp;REGEXREPLACE(TO_TEXT('Respuestas de formulario 1'!G1284),""[^0-9]"",""""),""+54""&amp;REGEXREPLACE(TO_TEXT('Respu"&amp;"estas de formulario 1'!G1284),""[^0-9]"","""")))"),"+543516314075")</f>
        <v>+543516314075</v>
      </c>
      <c r="H1284" s="7">
        <f>'Respuestas de formulario 1'!S1284</f>
        <v>2025</v>
      </c>
      <c r="I1284" s="7" t="str">
        <f>IFERROR(__xludf.DUMMYFUNCTION("IF('Respuestas de formulario 1'!I1284="""","""",TO_TEXT('Respuestas de formulario 1'!I1284))"),"Obra social")</f>
        <v>Obra social</v>
      </c>
      <c r="J1284" s="7" t="str">
        <f>IFERROR(__xludf.DUMMYFUNCTION("IF('Respuestas de formulario 1'!J1284&lt;&gt;"""",UPPER(TRIM(TO_TEXT('Respuestas de formulario 1'!J1284))),IF('Respuestas de formulario 1'!O1284&lt;&gt;"""",UPPER(TRIM(TO_TEXT('Respuestas de formulario 1'!O1284))),""""))"),"SANCOR")</f>
        <v>SANCOR</v>
      </c>
      <c r="K1284" s="7" t="str">
        <f>IFERROR(__xludf.DUMMYFUNCTION("IF('Respuestas de formulario 1'!K1284="""","""",TO_TEXT('Respuestas de formulario 1'!K1284))"),"Si")</f>
        <v>Si</v>
      </c>
      <c r="L1284" s="7" t="str">
        <f>IFERROR(__xludf.DUMMYFUNCTION("IF('Respuestas de formulario 1'!L1284="""","""",TO_TEXT('Respuestas de formulario 1'!L1284))"),"Fútbol")</f>
        <v>Fútbol</v>
      </c>
      <c r="M1284" s="7" t="str">
        <f>IFERROR(__xludf.DUMMYFUNCTION("IF('Respuestas de formulario 1'!M1284="""","""",TO_TEXT('Respuestas de formulario 1'!M1284))"),"3 a 5 veces por semana")</f>
        <v>3 a 5 veces por semana</v>
      </c>
      <c r="N1284" s="7">
        <f t="shared" si="1"/>
        <v>2025</v>
      </c>
      <c r="O1284" s="7" t="str">
        <f t="shared" si="2"/>
        <v>octubre</v>
      </c>
      <c r="P1284" s="7" t="s">
        <v>6688</v>
      </c>
    </row>
    <row r="1285">
      <c r="A1285" s="19">
        <f>'Respuestas de formulario 1'!A1285</f>
        <v>45957.41539</v>
      </c>
      <c r="B1285" s="7" t="str">
        <f>'Respuestas de formulario 1'!B1285</f>
        <v>Hamsa</v>
      </c>
      <c r="C1285" s="7" t="str">
        <f>'Respuestas de formulario 1'!C1285</f>
        <v>José</v>
      </c>
      <c r="D1285" s="7" t="str">
        <f>'Respuestas de formulario 1'!D1285</f>
        <v/>
      </c>
      <c r="E1285" s="20">
        <f>'Respuestas de formulario 1'!E1285</f>
        <v>27373</v>
      </c>
      <c r="F1285" s="7">
        <f>'Respuestas de formulario 1'!F1285</f>
        <v>24357842</v>
      </c>
      <c r="G1285" s="7" t="str">
        <f>IFERROR(__xludf.DUMMYFUNCTION("IF('Respuestas de formulario 1'!G1285="""","""",IF(LEFT(REGEXREPLACE(TO_TEXT('Respuestas de formulario 1'!G1285),""[^0-9]"",""""),2)=""54"",""+""&amp;REGEXREPLACE(TO_TEXT('Respuestas de formulario 1'!G1285),""[^0-9]"",""""),""+54""&amp;REGEXREPLACE(TO_TEXT('Respu"&amp;"estas de formulario 1'!G1285),""[^0-9]"","""")))"),"+543513923622")</f>
        <v>+543513923622</v>
      </c>
      <c r="H1285" s="7">
        <f>'Respuestas de formulario 1'!S1285</f>
        <v>2025</v>
      </c>
      <c r="I1285" s="7" t="str">
        <f>IFERROR(__xludf.DUMMYFUNCTION("IF('Respuestas de formulario 1'!I1285="""","""",TO_TEXT('Respuestas de formulario 1'!I1285))"),"Obra social")</f>
        <v>Obra social</v>
      </c>
      <c r="J1285" s="7" t="str">
        <f>IFERROR(__xludf.DUMMYFUNCTION("IF('Respuestas de formulario 1'!J1285&lt;&gt;"""",UPPER(TRIM(TO_TEXT('Respuestas de formulario 1'!J1285))),IF('Respuestas de formulario 1'!O1285&lt;&gt;"""",UPPER(TRIM(TO_TEXT('Respuestas de formulario 1'!O1285))),""""))"),"PREVENCIÓN")</f>
        <v>PREVENCIÓN</v>
      </c>
      <c r="K1285" s="7" t="str">
        <f>IFERROR(__xludf.DUMMYFUNCTION("IF('Respuestas de formulario 1'!K1285="""","""",TO_TEXT('Respuestas de formulario 1'!K1285))"),"Si")</f>
        <v>Si</v>
      </c>
      <c r="L1285" s="7" t="str">
        <f>IFERROR(__xludf.DUMMYFUNCTION("IF('Respuestas de formulario 1'!L1285="""","""",TO_TEXT('Respuestas de formulario 1'!L1285))"),"Gimnasio")</f>
        <v>Gimnasio</v>
      </c>
      <c r="M1285" s="7" t="str">
        <f>IFERROR(__xludf.DUMMYFUNCTION("IF('Respuestas de formulario 1'!M1285="""","""",TO_TEXT('Respuestas de formulario 1'!M1285))"),"3 a 5 veces por semana")</f>
        <v>3 a 5 veces por semana</v>
      </c>
      <c r="N1285" s="7">
        <f t="shared" si="1"/>
        <v>2025</v>
      </c>
      <c r="O1285" s="7" t="str">
        <f t="shared" si="2"/>
        <v>octubre</v>
      </c>
      <c r="P1285" s="7" t="s">
        <v>6690</v>
      </c>
    </row>
    <row r="1286">
      <c r="A1286" s="19">
        <f>'Respuestas de formulario 1'!A1286</f>
        <v>45958.7237</v>
      </c>
      <c r="B1286" s="7" t="str">
        <f>'Respuestas de formulario 1'!B1286</f>
        <v>Monzoni</v>
      </c>
      <c r="C1286" s="7" t="str">
        <f>'Respuestas de formulario 1'!C1286</f>
        <v>Emilia</v>
      </c>
      <c r="D1286" s="7" t="str">
        <f>'Respuestas de formulario 1'!D1286</f>
        <v/>
      </c>
      <c r="E1286" s="20">
        <f>'Respuestas de formulario 1'!E1286</f>
        <v>34716</v>
      </c>
      <c r="F1286" s="7">
        <f>'Respuestas de formulario 1'!F1286</f>
        <v>38278969</v>
      </c>
      <c r="G1286" s="7" t="str">
        <f>IFERROR(__xludf.DUMMYFUNCTION("IF('Respuestas de formulario 1'!G1286="""","""",IF(LEFT(REGEXREPLACE(TO_TEXT('Respuestas de formulario 1'!G1286),""[^0-9]"",""""),2)=""54"",""+""&amp;REGEXREPLACE(TO_TEXT('Respuestas de formulario 1'!G1286),""[^0-9]"",""""),""+54""&amp;REGEXREPLACE(TO_TEXT('Respu"&amp;"estas de formulario 1'!G1286),""[^0-9]"","""")))"),"+543564679665")</f>
        <v>+543564679665</v>
      </c>
      <c r="H1286" s="7">
        <f>'Respuestas de formulario 1'!S1286</f>
        <v>2025</v>
      </c>
      <c r="I1286" s="7" t="str">
        <f>IFERROR(__xludf.DUMMYFUNCTION("IF('Respuestas de formulario 1'!I1286="""","""",TO_TEXT('Respuestas de formulario 1'!I1286))"),"Particular")</f>
        <v>Particular</v>
      </c>
      <c r="J1286" s="7" t="str">
        <f>IFERROR(__xludf.DUMMYFUNCTION("IF('Respuestas de formulario 1'!J1286&lt;&gt;"""",UPPER(TRIM(TO_TEXT('Respuestas de formulario 1'!J1286))),IF('Respuestas de formulario 1'!O1286&lt;&gt;"""",UPPER(TRIM(TO_TEXT('Respuestas de formulario 1'!O1286))),""""))"),"")</f>
        <v/>
      </c>
      <c r="K1286" s="7" t="str">
        <f>IFERROR(__xludf.DUMMYFUNCTION("IF('Respuestas de formulario 1'!K1286="""","""",TO_TEXT('Respuestas de formulario 1'!K1286))"),"No")</f>
        <v>No</v>
      </c>
      <c r="L1286" s="7" t="str">
        <f>IFERROR(__xludf.DUMMYFUNCTION("IF('Respuestas de formulario 1'!L1286="""","""",TO_TEXT('Respuestas de formulario 1'!L1286))"),"")</f>
        <v/>
      </c>
      <c r="M1286" s="7" t="str">
        <f>IFERROR(__xludf.DUMMYFUNCTION("IF('Respuestas de formulario 1'!M1286="""","""",TO_TEXT('Respuestas de formulario 1'!M1286))"),"")</f>
        <v/>
      </c>
      <c r="N1286" s="7">
        <f t="shared" si="1"/>
        <v>2025</v>
      </c>
      <c r="O1286" s="7" t="str">
        <f t="shared" si="2"/>
        <v>octubre</v>
      </c>
      <c r="P1286" s="7" t="s">
        <v>6692</v>
      </c>
    </row>
    <row r="1287">
      <c r="A1287" s="19">
        <f>'Respuestas de formulario 1'!A1287</f>
        <v>45958.76443</v>
      </c>
      <c r="B1287" s="7" t="str">
        <f>'Respuestas de formulario 1'!B1287</f>
        <v>Abalos</v>
      </c>
      <c r="C1287" s="7" t="str">
        <f>'Respuestas de formulario 1'!C1287</f>
        <v>Nahuel</v>
      </c>
      <c r="D1287" s="7" t="str">
        <f>'Respuestas de formulario 1'!D1287</f>
        <v/>
      </c>
      <c r="E1287" s="20">
        <f>'Respuestas de formulario 1'!E1287</f>
        <v>35188</v>
      </c>
      <c r="F1287" s="7">
        <f>'Respuestas de formulario 1'!F1287</f>
        <v>39498590</v>
      </c>
      <c r="G1287" s="7" t="str">
        <f>IFERROR(__xludf.DUMMYFUNCTION("IF('Respuestas de formulario 1'!G1287="""","""",IF(LEFT(REGEXREPLACE(TO_TEXT('Respuestas de formulario 1'!G1287),""[^0-9]"",""""),2)=""54"",""+""&amp;REGEXREPLACE(TO_TEXT('Respuestas de formulario 1'!G1287),""[^0-9]"",""""),""+54""&amp;REGEXREPLACE(TO_TEXT('Respu"&amp;"estas de formulario 1'!G1287),""[^0-9]"","""")))"),"+543513908643")</f>
        <v>+543513908643</v>
      </c>
      <c r="H1287" s="7">
        <f>'Respuestas de formulario 1'!S1287</f>
        <v>2025</v>
      </c>
      <c r="I1287" s="7" t="str">
        <f>IFERROR(__xludf.DUMMYFUNCTION("IF('Respuestas de formulario 1'!I1287="""","""",TO_TEXT('Respuestas de formulario 1'!I1287))"),"Obra social")</f>
        <v>Obra social</v>
      </c>
      <c r="J1287" s="7" t="str">
        <f>IFERROR(__xludf.DUMMYFUNCTION("IF('Respuestas de formulario 1'!J1287&lt;&gt;"""",UPPER(TRIM(TO_TEXT('Respuestas de formulario 1'!J1287))),IF('Respuestas de formulario 1'!O1287&lt;&gt;"""",UPPER(TRIM(TO_TEXT('Respuestas de formulario 1'!O1287))),""""))"),"APROSS")</f>
        <v>APROSS</v>
      </c>
      <c r="K1287" s="7" t="str">
        <f>IFERROR(__xludf.DUMMYFUNCTION("IF('Respuestas de formulario 1'!K1287="""","""",TO_TEXT('Respuestas de formulario 1'!K1287))"),"Si")</f>
        <v>Si</v>
      </c>
      <c r="L1287" s="7" t="str">
        <f>IFERROR(__xludf.DUMMYFUNCTION("IF('Respuestas de formulario 1'!L1287="""","""",TO_TEXT('Respuestas de formulario 1'!L1287))"),"Fútbol")</f>
        <v>Fútbol</v>
      </c>
      <c r="M1287" s="7" t="str">
        <f>IFERROR(__xludf.DUMMYFUNCTION("IF('Respuestas de formulario 1'!M1287="""","""",TO_TEXT('Respuestas de formulario 1'!M1287))"),"3 a 5 veces por semana")</f>
        <v>3 a 5 veces por semana</v>
      </c>
      <c r="N1287" s="7">
        <f t="shared" si="1"/>
        <v>2025</v>
      </c>
      <c r="O1287" s="7" t="str">
        <f t="shared" si="2"/>
        <v>octubre</v>
      </c>
      <c r="P1287" s="7" t="s">
        <v>5993</v>
      </c>
    </row>
    <row r="1288">
      <c r="A1288" s="19">
        <f>'Respuestas de formulario 1'!A1288</f>
        <v>45959.55687</v>
      </c>
      <c r="B1288" s="7" t="str">
        <f>'Respuestas de formulario 1'!B1288</f>
        <v>Palacios </v>
      </c>
      <c r="C1288" s="7" t="str">
        <f>'Respuestas de formulario 1'!C1288</f>
        <v>Valentin </v>
      </c>
      <c r="D1288" s="7" t="str">
        <f>'Respuestas de formulario 1'!D1288</f>
        <v>Valentinpalacios221@gmail.com</v>
      </c>
      <c r="E1288" s="20">
        <f>'Respuestas de formulario 1'!E1288</f>
        <v>39637</v>
      </c>
      <c r="F1288" s="7">
        <f>'Respuestas de formulario 1'!F1288</f>
        <v>48069265</v>
      </c>
      <c r="G1288" s="7" t="str">
        <f>IFERROR(__xludf.DUMMYFUNCTION("IF('Respuestas de formulario 1'!G1288="""","""",IF(LEFT(REGEXREPLACE(TO_TEXT('Respuestas de formulario 1'!G1288),""[^0-9]"",""""),2)=""54"",""+""&amp;REGEXREPLACE(TO_TEXT('Respuestas de formulario 1'!G1288),""[^0-9]"",""""),""+54""&amp;REGEXREPLACE(TO_TEXT('Respu"&amp;"estas de formulario 1'!G1288),""[^0-9]"","""")))"),"+543518556947")</f>
        <v>+543518556947</v>
      </c>
      <c r="H1288" s="7">
        <f>'Respuestas de formulario 1'!S1288</f>
        <v>2025</v>
      </c>
      <c r="I1288" s="7" t="str">
        <f>IFERROR(__xludf.DUMMYFUNCTION("IF('Respuestas de formulario 1'!I1288="""","""",TO_TEXT('Respuestas de formulario 1'!I1288))"),"Obra social")</f>
        <v>Obra social</v>
      </c>
      <c r="J1288" s="7" t="str">
        <f>IFERROR(__xludf.DUMMYFUNCTION("IF('Respuestas de formulario 1'!J1288&lt;&gt;"""",UPPER(TRIM(TO_TEXT('Respuestas de formulario 1'!J1288))),IF('Respuestas de formulario 1'!O1288&lt;&gt;"""",UPPER(TRIM(TO_TEXT('Respuestas de formulario 1'!O1288))),""""))"),"UNIMED")</f>
        <v>UNIMED</v>
      </c>
      <c r="K1288" s="7" t="str">
        <f>IFERROR(__xludf.DUMMYFUNCTION("IF('Respuestas de formulario 1'!K1288="""","""",TO_TEXT('Respuestas de formulario 1'!K1288))"),"Si")</f>
        <v>Si</v>
      </c>
      <c r="L1288" s="7" t="str">
        <f>IFERROR(__xludf.DUMMYFUNCTION("IF('Respuestas de formulario 1'!L1288="""","""",TO_TEXT('Respuestas de formulario 1'!L1288))"),"Boxeo,basquet y gimnasio ")</f>
        <v>Boxeo,basquet y gimnasio </v>
      </c>
      <c r="M1288" s="7" t="str">
        <f>IFERROR(__xludf.DUMMYFUNCTION("IF('Respuestas de formulario 1'!M1288="""","""",TO_TEXT('Respuestas de formulario 1'!M1288))"),"6 a 7 veces por semana")</f>
        <v>6 a 7 veces por semana</v>
      </c>
      <c r="N1288" s="7">
        <f t="shared" si="1"/>
        <v>2025</v>
      </c>
      <c r="O1288" s="7" t="str">
        <f t="shared" si="2"/>
        <v>octubre</v>
      </c>
      <c r="P1288" s="7" t="s">
        <v>6694</v>
      </c>
    </row>
    <row r="1289">
      <c r="A1289" s="19">
        <f>'Respuestas de formulario 1'!A1289</f>
        <v>45959.70288</v>
      </c>
      <c r="B1289" s="7" t="str">
        <f>'Respuestas de formulario 1'!B1289</f>
        <v>Calanducci</v>
      </c>
      <c r="C1289" s="7" t="str">
        <f>'Respuestas de formulario 1'!C1289</f>
        <v>Manuel</v>
      </c>
      <c r="D1289" s="7" t="str">
        <f>'Respuestas de formulario 1'!D1289</f>
        <v>manucalan@gmail.com</v>
      </c>
      <c r="E1289" s="20">
        <f>'Respuestas de formulario 1'!E1289</f>
        <v>35449</v>
      </c>
      <c r="F1289" s="7">
        <f>'Respuestas de formulario 1'!F1289</f>
        <v>39825065</v>
      </c>
      <c r="G1289" s="7" t="str">
        <f>IFERROR(__xludf.DUMMYFUNCTION("IF('Respuestas de formulario 1'!G1289="""","""",IF(LEFT(REGEXREPLACE(TO_TEXT('Respuestas de formulario 1'!G1289),""[^0-9]"",""""),2)=""54"",""+""&amp;REGEXREPLACE(TO_TEXT('Respuestas de formulario 1'!G1289),""[^0-9]"",""""),""+54""&amp;REGEXREPLACE(TO_TEXT('Respu"&amp;"estas de formulario 1'!G1289),""[^0-9]"","""")))"),"+543513515126")</f>
        <v>+543513515126</v>
      </c>
      <c r="H1289" s="7">
        <f>'Respuestas de formulario 1'!S1289</f>
        <v>2025</v>
      </c>
      <c r="I1289" s="7" t="str">
        <f>IFERROR(__xludf.DUMMYFUNCTION("IF('Respuestas de formulario 1'!I1289="""","""",TO_TEXT('Respuestas de formulario 1'!I1289))"),"Particular")</f>
        <v>Particular</v>
      </c>
      <c r="J1289" s="7" t="str">
        <f>IFERROR(__xludf.DUMMYFUNCTION("IF('Respuestas de formulario 1'!J1289&lt;&gt;"""",UPPER(TRIM(TO_TEXT('Respuestas de formulario 1'!J1289))),IF('Respuestas de formulario 1'!O1289&lt;&gt;"""",UPPER(TRIM(TO_TEXT('Respuestas de formulario 1'!O1289))),""""))"),"")</f>
        <v/>
      </c>
      <c r="K1289" s="7" t="str">
        <f>IFERROR(__xludf.DUMMYFUNCTION("IF('Respuestas de formulario 1'!K1289="""","""",TO_TEXT('Respuestas de formulario 1'!K1289))"),"Si")</f>
        <v>Si</v>
      </c>
      <c r="L1289" s="7" t="str">
        <f>IFERROR(__xludf.DUMMYFUNCTION("IF('Respuestas de formulario 1'!L1289="""","""",TO_TEXT('Respuestas de formulario 1'!L1289))"),"Baile")</f>
        <v>Baile</v>
      </c>
      <c r="M1289" s="7" t="str">
        <f>IFERROR(__xludf.DUMMYFUNCTION("IF('Respuestas de formulario 1'!M1289="""","""",TO_TEXT('Respuestas de formulario 1'!M1289))"),"6 a 7 veces por semana")</f>
        <v>6 a 7 veces por semana</v>
      </c>
      <c r="N1289" s="7">
        <f t="shared" si="1"/>
        <v>2025</v>
      </c>
      <c r="O1289" s="7" t="str">
        <f t="shared" si="2"/>
        <v>octubre</v>
      </c>
      <c r="P1289" s="7" t="s">
        <v>6696</v>
      </c>
    </row>
    <row r="1290">
      <c r="A1290" s="19">
        <f>'Respuestas de formulario 1'!A1290</f>
        <v>45959.78411</v>
      </c>
      <c r="B1290" s="7" t="str">
        <f>'Respuestas de formulario 1'!B1290</f>
        <v>Oliva Cabrera</v>
      </c>
      <c r="C1290" s="7" t="str">
        <f>'Respuestas de formulario 1'!C1290</f>
        <v>Maria Sol</v>
      </c>
      <c r="D1290" s="7" t="str">
        <f>'Respuestas de formulario 1'!D1290</f>
        <v>solcioliva07@gmail.com</v>
      </c>
      <c r="E1290" s="20">
        <f>'Respuestas de formulario 1'!E1290</f>
        <v>36775</v>
      </c>
      <c r="F1290" s="7">
        <f>'Respuestas de formulario 1'!F1290</f>
        <v>42853921</v>
      </c>
      <c r="G1290" s="7" t="str">
        <f>IFERROR(__xludf.DUMMYFUNCTION("IF('Respuestas de formulario 1'!G1290="""","""",IF(LEFT(REGEXREPLACE(TO_TEXT('Respuestas de formulario 1'!G1290),""[^0-9]"",""""),2)=""54"",""+""&amp;REGEXREPLACE(TO_TEXT('Respuestas de formulario 1'!G1290),""[^0-9]"",""""),""+54""&amp;REGEXREPLACE(TO_TEXT('Respu"&amp;"estas de formulario 1'!G1290),""[^0-9]"","""")))"),"+543512446640")</f>
        <v>+543512446640</v>
      </c>
      <c r="H1290" s="7">
        <f>'Respuestas de formulario 1'!S1290</f>
        <v>2025</v>
      </c>
      <c r="I1290" s="7" t="str">
        <f>IFERROR(__xludf.DUMMYFUNCTION("IF('Respuestas de formulario 1'!I1290="""","""",TO_TEXT('Respuestas de formulario 1'!I1290))"),"Obra social")</f>
        <v>Obra social</v>
      </c>
      <c r="J1290" s="7" t="str">
        <f>IFERROR(__xludf.DUMMYFUNCTION("IF('Respuestas de formulario 1'!J1290&lt;&gt;"""",UPPER(TRIM(TO_TEXT('Respuestas de formulario 1'!J1290))),IF('Respuestas de formulario 1'!O1290&lt;&gt;"""",UPPER(TRIM(TO_TEXT('Respuestas de formulario 1'!O1290))),""""))"),"DASPU")</f>
        <v>DASPU</v>
      </c>
      <c r="K1290" s="7" t="str">
        <f>IFERROR(__xludf.DUMMYFUNCTION("IF('Respuestas de formulario 1'!K1290="""","""",TO_TEXT('Respuestas de formulario 1'!K1290))"),"Si")</f>
        <v>Si</v>
      </c>
      <c r="L1290" s="7" t="str">
        <f>IFERROR(__xludf.DUMMYFUNCTION("IF('Respuestas de formulario 1'!L1290="""","""",TO_TEXT('Respuestas de formulario 1'!L1290))"),"Voley")</f>
        <v>Voley</v>
      </c>
      <c r="M1290" s="7" t="str">
        <f>IFERROR(__xludf.DUMMYFUNCTION("IF('Respuestas de formulario 1'!M1290="""","""",TO_TEXT('Respuestas de formulario 1'!M1290))"),"1 a 2 veces por semana")</f>
        <v>1 a 2 veces por semana</v>
      </c>
      <c r="N1290" s="7">
        <f t="shared" si="1"/>
        <v>2025</v>
      </c>
      <c r="O1290" s="7" t="str">
        <f t="shared" si="2"/>
        <v>octubre</v>
      </c>
      <c r="P1290" s="7" t="s">
        <v>6698</v>
      </c>
    </row>
    <row r="1291">
      <c r="A1291" s="19">
        <f>'Respuestas de formulario 1'!A1291</f>
        <v>45959.82311</v>
      </c>
      <c r="B1291" s="7" t="str">
        <f>'Respuestas de formulario 1'!B1291</f>
        <v>Lastra</v>
      </c>
      <c r="C1291" s="7" t="str">
        <f>'Respuestas de formulario 1'!C1291</f>
        <v>Mathias </v>
      </c>
      <c r="D1291" s="7" t="str">
        <f>'Respuestas de formulario 1'!D1291</f>
        <v>Mathiaslastra@gmail.com</v>
      </c>
      <c r="E1291" s="20">
        <f>'Respuestas de formulario 1'!E1291</f>
        <v>32286</v>
      </c>
      <c r="F1291" s="7">
        <f>'Respuestas de formulario 1'!F1291</f>
        <v>33752175</v>
      </c>
      <c r="G1291" s="7" t="str">
        <f>IFERROR(__xludf.DUMMYFUNCTION("IF('Respuestas de formulario 1'!G1291="""","""",IF(LEFT(REGEXREPLACE(TO_TEXT('Respuestas de formulario 1'!G1291),""[^0-9]"",""""),2)=""54"",""+""&amp;REGEXREPLACE(TO_TEXT('Respuestas de formulario 1'!G1291),""[^0-9]"",""""),""+54""&amp;REGEXREPLACE(TO_TEXT('Respu"&amp;"estas de formulario 1'!G1291),""[^0-9]"","""")))"),"+543513471684")</f>
        <v>+543513471684</v>
      </c>
      <c r="H1291" s="7">
        <f>'Respuestas de formulario 1'!S1291</f>
        <v>2025</v>
      </c>
      <c r="I1291" s="7" t="str">
        <f>IFERROR(__xludf.DUMMYFUNCTION("IF('Respuestas de formulario 1'!I1291="""","""",TO_TEXT('Respuestas de formulario 1'!I1291))"),"Particular")</f>
        <v>Particular</v>
      </c>
      <c r="J1291" s="7" t="str">
        <f>IFERROR(__xludf.DUMMYFUNCTION("IF('Respuestas de formulario 1'!J1291&lt;&gt;"""",UPPER(TRIM(TO_TEXT('Respuestas de formulario 1'!J1291))),IF('Respuestas de formulario 1'!O1291&lt;&gt;"""",UPPER(TRIM(TO_TEXT('Respuestas de formulario 1'!O1291))),""""))"),"")</f>
        <v/>
      </c>
      <c r="K1291" s="7" t="str">
        <f>IFERROR(__xludf.DUMMYFUNCTION("IF('Respuestas de formulario 1'!K1291="""","""",TO_TEXT('Respuestas de formulario 1'!K1291))"),"Si")</f>
        <v>Si</v>
      </c>
      <c r="L1291" s="7" t="str">
        <f>IFERROR(__xludf.DUMMYFUNCTION("IF('Respuestas de formulario 1'!L1291="""","""",TO_TEXT('Respuestas de formulario 1'!L1291))"),"Fútbol")</f>
        <v>Fútbol</v>
      </c>
      <c r="M1291" s="7" t="str">
        <f>IFERROR(__xludf.DUMMYFUNCTION("IF('Respuestas de formulario 1'!M1291="""","""",TO_TEXT('Respuestas de formulario 1'!M1291))"),"1 a 2 veces por semana")</f>
        <v>1 a 2 veces por semana</v>
      </c>
      <c r="N1291" s="7">
        <f t="shared" si="1"/>
        <v>2025</v>
      </c>
      <c r="O1291" s="7" t="str">
        <f t="shared" si="2"/>
        <v>octubre</v>
      </c>
      <c r="P1291" s="7" t="s">
        <v>6700</v>
      </c>
    </row>
    <row r="1292">
      <c r="A1292" s="19">
        <f>'Respuestas de formulario 1'!A1292</f>
        <v>45961.38195</v>
      </c>
      <c r="B1292" s="7" t="str">
        <f>'Respuestas de formulario 1'!B1292</f>
        <v>Ramirez</v>
      </c>
      <c r="C1292" s="7" t="str">
        <f>'Respuestas de formulario 1'!C1292</f>
        <v>Juan Pablo</v>
      </c>
      <c r="D1292" s="7" t="str">
        <f>'Respuestas de formulario 1'!D1292</f>
        <v>juan_pabloramirez@hotmail.com</v>
      </c>
      <c r="E1292" s="20">
        <f>'Respuestas de formulario 1'!E1292</f>
        <v>29787</v>
      </c>
      <c r="F1292" s="7">
        <f>'Respuestas de formulario 1'!F1292</f>
        <v>23057964</v>
      </c>
      <c r="G1292" s="7" t="str">
        <f>IFERROR(__xludf.DUMMYFUNCTION("IF('Respuestas de formulario 1'!G1292="""","""",IF(LEFT(REGEXREPLACE(TO_TEXT('Respuestas de formulario 1'!G1292),""[^0-9]"",""""),2)=""54"",""+""&amp;REGEXREPLACE(TO_TEXT('Respuestas de formulario 1'!G1292),""[^0-9]"",""""),""+54""&amp;REGEXREPLACE(TO_TEXT('Respu"&amp;"estas de formulario 1'!G1292),""[^0-9]"","""")))"),"+543534196421")</f>
        <v>+543534196421</v>
      </c>
      <c r="H1292" s="7">
        <f>'Respuestas de formulario 1'!S1292</f>
        <v>2025</v>
      </c>
      <c r="I1292" s="7" t="str">
        <f>IFERROR(__xludf.DUMMYFUNCTION("IF('Respuestas de formulario 1'!I1292="""","""",TO_TEXT('Respuestas de formulario 1'!I1292))"),"Obra social")</f>
        <v>Obra social</v>
      </c>
      <c r="J1292" s="7" t="str">
        <f>IFERROR(__xludf.DUMMYFUNCTION("IF('Respuestas de formulario 1'!J1292&lt;&gt;"""",UPPER(TRIM(TO_TEXT('Respuestas de formulario 1'!J1292))),IF('Respuestas de formulario 1'!O1292&lt;&gt;"""",UPPER(TRIM(TO_TEXT('Respuestas de formulario 1'!O1292))),""""))"),"PREVENCIÓN")</f>
        <v>PREVENCIÓN</v>
      </c>
      <c r="K1292" s="7" t="str">
        <f>IFERROR(__xludf.DUMMYFUNCTION("IF('Respuestas de formulario 1'!K1292="""","""",TO_TEXT('Respuestas de formulario 1'!K1292))"),"Si")</f>
        <v>Si</v>
      </c>
      <c r="L1292" s="7" t="str">
        <f>IFERROR(__xludf.DUMMYFUNCTION("IF('Respuestas de formulario 1'!L1292="""","""",TO_TEXT('Respuestas de formulario 1'!L1292))"),"Fútbol")</f>
        <v>Fútbol</v>
      </c>
      <c r="M1292" s="7" t="str">
        <f>IFERROR(__xludf.DUMMYFUNCTION("IF('Respuestas de formulario 1'!M1292="""","""",TO_TEXT('Respuestas de formulario 1'!M1292))"),"3 a 5 veces por semana")</f>
        <v>3 a 5 veces por semana</v>
      </c>
      <c r="N1292" s="7">
        <f t="shared" si="1"/>
        <v>2025</v>
      </c>
      <c r="O1292" s="7" t="str">
        <f t="shared" si="2"/>
        <v>octubre</v>
      </c>
      <c r="P1292" s="7" t="s">
        <v>6702</v>
      </c>
    </row>
    <row r="1293">
      <c r="A1293" s="19">
        <f>'Respuestas de formulario 1'!A1293</f>
        <v>45961.4517</v>
      </c>
      <c r="B1293" s="7" t="str">
        <f>'Respuestas de formulario 1'!B1293</f>
        <v>Merlo</v>
      </c>
      <c r="C1293" s="7" t="str">
        <f>'Respuestas de formulario 1'!C1293</f>
        <v>Carlos Julio</v>
      </c>
      <c r="D1293" s="7" t="str">
        <f>'Respuestas de formulario 1'!D1293</f>
        <v/>
      </c>
      <c r="E1293" s="20">
        <f>'Respuestas de formulario 1'!E1293</f>
        <v>17388</v>
      </c>
      <c r="F1293" s="7">
        <f>'Respuestas de formulario 1'!F1293</f>
        <v>7957602</v>
      </c>
      <c r="G1293" s="7" t="str">
        <f>IFERROR(__xludf.DUMMYFUNCTION("IF('Respuestas de formulario 1'!G1293="""","""",IF(LEFT(REGEXREPLACE(TO_TEXT('Respuestas de formulario 1'!G1293),""[^0-9]"",""""),2)=""54"",""+""&amp;REGEXREPLACE(TO_TEXT('Respuestas de formulario 1'!G1293),""[^0-9]"",""""),""+54""&amp;REGEXREPLACE(TO_TEXT('Respu"&amp;"estas de formulario 1'!G1293),""[^0-9]"","""")))"),"+543515097791")</f>
        <v>+543515097791</v>
      </c>
      <c r="H1293" s="7">
        <f>'Respuestas de formulario 1'!S1293</f>
        <v>2025</v>
      </c>
      <c r="I1293" s="7" t="str">
        <f>IFERROR(__xludf.DUMMYFUNCTION("IF('Respuestas de formulario 1'!I1293="""","""",TO_TEXT('Respuestas de formulario 1'!I1293))"),"Obra social")</f>
        <v>Obra social</v>
      </c>
      <c r="J1293" s="7" t="str">
        <f>IFERROR(__xludf.DUMMYFUNCTION("IF('Respuestas de formulario 1'!J1293&lt;&gt;"""",UPPER(TRIM(TO_TEXT('Respuestas de formulario 1'!J1293))),IF('Respuestas de formulario 1'!O1293&lt;&gt;"""",UPPER(TRIM(TO_TEXT('Respuestas de formulario 1'!O1293))),""""))"),"CPCE")</f>
        <v>CPCE</v>
      </c>
      <c r="K1293" s="7" t="str">
        <f>IFERROR(__xludf.DUMMYFUNCTION("IF('Respuestas de formulario 1'!K1293="""","""",TO_TEXT('Respuestas de formulario 1'!K1293))"),"No")</f>
        <v>No</v>
      </c>
      <c r="L1293" s="7" t="str">
        <f>IFERROR(__xludf.DUMMYFUNCTION("IF('Respuestas de formulario 1'!L1293="""","""",TO_TEXT('Respuestas de formulario 1'!L1293))"),"")</f>
        <v/>
      </c>
      <c r="M1293" s="7" t="str">
        <f>IFERROR(__xludf.DUMMYFUNCTION("IF('Respuestas de formulario 1'!M1293="""","""",TO_TEXT('Respuestas de formulario 1'!M1293))"),"")</f>
        <v/>
      </c>
      <c r="N1293" s="7">
        <f t="shared" si="1"/>
        <v>2025</v>
      </c>
      <c r="O1293" s="7" t="str">
        <f t="shared" si="2"/>
        <v>octubre</v>
      </c>
      <c r="P1293" s="7" t="s">
        <v>6704</v>
      </c>
    </row>
    <row r="1294">
      <c r="A1294" s="19">
        <f>'Respuestas de formulario 1'!A1294</f>
        <v>45961.50167</v>
      </c>
      <c r="B1294" s="7" t="str">
        <f>'Respuestas de formulario 1'!B1294</f>
        <v>Oliva</v>
      </c>
      <c r="C1294" s="7" t="str">
        <f>'Respuestas de formulario 1'!C1294</f>
        <v>Melina</v>
      </c>
      <c r="D1294" s="7" t="str">
        <f>'Respuestas de formulario 1'!D1294</f>
        <v>melinasoledadoliva@gmail.com</v>
      </c>
      <c r="E1294" s="20">
        <f>'Respuestas de formulario 1'!E1294</f>
        <v>38391</v>
      </c>
      <c r="F1294" s="7">
        <f>'Respuestas de formulario 1'!F1294</f>
        <v>46126420</v>
      </c>
      <c r="G1294" s="7" t="str">
        <f>IFERROR(__xludf.DUMMYFUNCTION("IF('Respuestas de formulario 1'!G1294="""","""",IF(LEFT(REGEXREPLACE(TO_TEXT('Respuestas de formulario 1'!G1294),""[^0-9]"",""""),2)=""54"",""+""&amp;REGEXREPLACE(TO_TEXT('Respuestas de formulario 1'!G1294),""[^0-9]"",""""),""+54""&amp;REGEXREPLACE(TO_TEXT('Respu"&amp;"estas de formulario 1'!G1294),""[^0-9]"","""")))"),"+543513450103")</f>
        <v>+543513450103</v>
      </c>
      <c r="H1294" s="7">
        <f>'Respuestas de formulario 1'!S1294</f>
        <v>2025</v>
      </c>
      <c r="I1294" s="7" t="str">
        <f>IFERROR(__xludf.DUMMYFUNCTION("IF('Respuestas de formulario 1'!I1294="""","""",TO_TEXT('Respuestas de formulario 1'!I1294))"),"Obra social")</f>
        <v>Obra social</v>
      </c>
      <c r="J1294" s="7" t="str">
        <f>IFERROR(__xludf.DUMMYFUNCTION("IF('Respuestas de formulario 1'!J1294&lt;&gt;"""",UPPER(TRIM(TO_TEXT('Respuestas de formulario 1'!J1294))),IF('Respuestas de formulario 1'!O1294&lt;&gt;"""",UPPER(TRIM(TO_TEXT('Respuestas de formulario 1'!O1294))),""""))"),"MEDIFE")</f>
        <v>MEDIFE</v>
      </c>
      <c r="K1294" s="7" t="str">
        <f>IFERROR(__xludf.DUMMYFUNCTION("IF('Respuestas de formulario 1'!K1294="""","""",TO_TEXT('Respuestas de formulario 1'!K1294))"),"Si")</f>
        <v>Si</v>
      </c>
      <c r="L1294" s="7" t="str">
        <f>IFERROR(__xludf.DUMMYFUNCTION("IF('Respuestas de formulario 1'!L1294="""","""",TO_TEXT('Respuestas de formulario 1'!L1294))"),"Padel")</f>
        <v>Padel</v>
      </c>
      <c r="M1294" s="7" t="str">
        <f>IFERROR(__xludf.DUMMYFUNCTION("IF('Respuestas de formulario 1'!M1294="""","""",TO_TEXT('Respuestas de formulario 1'!M1294))"),"6 a 7 veces por semana")</f>
        <v>6 a 7 veces por semana</v>
      </c>
      <c r="N1294" s="7">
        <f t="shared" si="1"/>
        <v>2025</v>
      </c>
      <c r="O1294" s="7" t="str">
        <f t="shared" si="2"/>
        <v>octubre</v>
      </c>
      <c r="P1294" s="7" t="s">
        <v>6706</v>
      </c>
    </row>
    <row r="1295">
      <c r="A1295" s="19">
        <f>'Respuestas de formulario 1'!A1295</f>
        <v>45961.63115</v>
      </c>
      <c r="B1295" s="7" t="str">
        <f>'Respuestas de formulario 1'!B1295</f>
        <v>Chanquia</v>
      </c>
      <c r="C1295" s="7" t="str">
        <f>'Respuestas de formulario 1'!C1295</f>
        <v>Beatriz</v>
      </c>
      <c r="D1295" s="7" t="str">
        <f>'Respuestas de formulario 1'!D1295</f>
        <v/>
      </c>
      <c r="E1295" s="20">
        <f>'Respuestas de formulario 1'!E1295</f>
        <v>20080</v>
      </c>
      <c r="F1295" s="7">
        <f>'Respuestas de formulario 1'!F1295</f>
        <v>11559325</v>
      </c>
      <c r="G1295" s="7" t="str">
        <f>IFERROR(__xludf.DUMMYFUNCTION("IF('Respuestas de formulario 1'!G1295="""","""",IF(LEFT(REGEXREPLACE(TO_TEXT('Respuestas de formulario 1'!G1295),""[^0-9]"",""""),2)=""54"",""+""&amp;REGEXREPLACE(TO_TEXT('Respuestas de formulario 1'!G1295),""[^0-9]"",""""),""+54""&amp;REGEXREPLACE(TO_TEXT('Respu"&amp;"estas de formulario 1'!G1295),""[^0-9]"","""")))"),"+543512224052")</f>
        <v>+543512224052</v>
      </c>
      <c r="H1295" s="7">
        <f>'Respuestas de formulario 1'!S1295</f>
        <v>2025</v>
      </c>
      <c r="I1295" s="7" t="str">
        <f>IFERROR(__xludf.DUMMYFUNCTION("IF('Respuestas de formulario 1'!I1295="""","""",TO_TEXT('Respuestas de formulario 1'!I1295))"),"Obra social")</f>
        <v>Obra social</v>
      </c>
      <c r="J1295" s="7" t="str">
        <f>IFERROR(__xludf.DUMMYFUNCTION("IF('Respuestas de formulario 1'!J1295&lt;&gt;"""",UPPER(TRIM(TO_TEXT('Respuestas de formulario 1'!J1295))),IF('Respuestas de formulario 1'!O1295&lt;&gt;"""",UPPER(TRIM(TO_TEXT('Respuestas de formulario 1'!O1295))),""""))"),"APROSS")</f>
        <v>APROSS</v>
      </c>
      <c r="K1295" s="7" t="str">
        <f>IFERROR(__xludf.DUMMYFUNCTION("IF('Respuestas de formulario 1'!K1295="""","""",TO_TEXT('Respuestas de formulario 1'!K1295))"),"No")</f>
        <v>No</v>
      </c>
      <c r="L1295" s="7" t="str">
        <f>IFERROR(__xludf.DUMMYFUNCTION("IF('Respuestas de formulario 1'!L1295="""","""",TO_TEXT('Respuestas de formulario 1'!L1295))"),"")</f>
        <v/>
      </c>
      <c r="M1295" s="7" t="str">
        <f>IFERROR(__xludf.DUMMYFUNCTION("IF('Respuestas de formulario 1'!M1295="""","""",TO_TEXT('Respuestas de formulario 1'!M1295))"),"")</f>
        <v/>
      </c>
      <c r="N1295" s="7">
        <f t="shared" si="1"/>
        <v>2025</v>
      </c>
      <c r="O1295" s="7" t="str">
        <f t="shared" si="2"/>
        <v>octubre</v>
      </c>
      <c r="P1295" s="7" t="s">
        <v>6708</v>
      </c>
    </row>
    <row r="1296">
      <c r="A1296" s="19">
        <f>'Respuestas de formulario 1'!A1296</f>
        <v>45961.68339</v>
      </c>
      <c r="B1296" s="7" t="str">
        <f>'Respuestas de formulario 1'!B1296</f>
        <v>Calanducci</v>
      </c>
      <c r="C1296" s="7" t="str">
        <f>'Respuestas de formulario 1'!C1296</f>
        <v>Rafael</v>
      </c>
      <c r="D1296" s="7" t="str">
        <f>'Respuestas de formulario 1'!D1296</f>
        <v/>
      </c>
      <c r="E1296" s="20">
        <f>'Respuestas de formulario 1'!E1296</f>
        <v>27761</v>
      </c>
      <c r="F1296" s="7">
        <f>'Respuestas de formulario 1'!F1296</f>
        <v>24615497</v>
      </c>
      <c r="G1296" s="7" t="str">
        <f>IFERROR(__xludf.DUMMYFUNCTION("IF('Respuestas de formulario 1'!G1296="""","""",IF(LEFT(REGEXREPLACE(TO_TEXT('Respuestas de formulario 1'!G1296),""[^0-9]"",""""),2)=""54"",""+""&amp;REGEXREPLACE(TO_TEXT('Respuestas de formulario 1'!G1296),""[^0-9]"",""""),""+54""&amp;REGEXREPLACE(TO_TEXT('Respu"&amp;"estas de formulario 1'!G1296),""[^0-9]"","""")))"),"+543515518470")</f>
        <v>+543515518470</v>
      </c>
      <c r="H1296" s="7">
        <f>'Respuestas de formulario 1'!S1296</f>
        <v>2025</v>
      </c>
      <c r="I1296" s="7" t="str">
        <f>IFERROR(__xludf.DUMMYFUNCTION("IF('Respuestas de formulario 1'!I1296="""","""",TO_TEXT('Respuestas de formulario 1'!I1296))"),"Obra social")</f>
        <v>Obra social</v>
      </c>
      <c r="J1296" s="7" t="str">
        <f>IFERROR(__xludf.DUMMYFUNCTION("IF('Respuestas de formulario 1'!J1296&lt;&gt;"""",UPPER(TRIM(TO_TEXT('Respuestas de formulario 1'!J1296))),IF('Respuestas de formulario 1'!O1296&lt;&gt;"""",UPPER(TRIM(TO_TEXT('Respuestas de formulario 1'!O1296))),""""))"),"INTEGRAL SALUD")</f>
        <v>INTEGRAL SALUD</v>
      </c>
      <c r="K1296" s="7" t="str">
        <f>IFERROR(__xludf.DUMMYFUNCTION("IF('Respuestas de formulario 1'!K1296="""","""",TO_TEXT('Respuestas de formulario 1'!K1296))"),"Si")</f>
        <v>Si</v>
      </c>
      <c r="L1296" s="7" t="str">
        <f>IFERROR(__xludf.DUMMYFUNCTION("IF('Respuestas de formulario 1'!L1296="""","""",TO_TEXT('Respuestas de formulario 1'!L1296))"),"Baile")</f>
        <v>Baile</v>
      </c>
      <c r="M1296" s="7" t="str">
        <f>IFERROR(__xludf.DUMMYFUNCTION("IF('Respuestas de formulario 1'!M1296="""","""",TO_TEXT('Respuestas de formulario 1'!M1296))"),"3 a 5 veces por semana")</f>
        <v>3 a 5 veces por semana</v>
      </c>
      <c r="N1296" s="7">
        <f t="shared" si="1"/>
        <v>2025</v>
      </c>
      <c r="O1296" s="7" t="str">
        <f t="shared" si="2"/>
        <v>octubre</v>
      </c>
      <c r="P1296" s="7" t="s">
        <v>6710</v>
      </c>
    </row>
    <row r="1297">
      <c r="A1297" s="19">
        <f>'Respuestas de formulario 1'!A1297</f>
        <v>45961.69992</v>
      </c>
      <c r="B1297" s="7" t="str">
        <f>'Respuestas de formulario 1'!B1297</f>
        <v>Sam Sam </v>
      </c>
      <c r="C1297" s="7" t="str">
        <f>'Respuestas de formulario 1'!C1297</f>
        <v>Cristian </v>
      </c>
      <c r="D1297" s="7" t="str">
        <f>'Respuestas de formulario 1'!D1297</f>
        <v>cristian.samsam@gmail.com</v>
      </c>
      <c r="E1297" s="20">
        <f>'Respuestas de formulario 1'!E1297</f>
        <v>25957</v>
      </c>
      <c r="F1297" s="7">
        <f>'Respuestas de formulario 1'!F1297</f>
        <v>21966177</v>
      </c>
      <c r="G1297" s="7" t="str">
        <f>IFERROR(__xludf.DUMMYFUNCTION("IF('Respuestas de formulario 1'!G1297="""","""",IF(LEFT(REGEXREPLACE(TO_TEXT('Respuestas de formulario 1'!G1297),""[^0-9]"",""""),2)=""54"",""+""&amp;REGEXREPLACE(TO_TEXT('Respuestas de formulario 1'!G1297),""[^0-9]"",""""),""+54""&amp;REGEXREPLACE(TO_TEXT('Respu"&amp;"estas de formulario 1'!G1297),""[^0-9]"","""")))"),"+543513947342")</f>
        <v>+543513947342</v>
      </c>
      <c r="H1297" s="7">
        <f>'Respuestas de formulario 1'!S1297</f>
        <v>2025</v>
      </c>
      <c r="I1297" s="7" t="str">
        <f>IFERROR(__xludf.DUMMYFUNCTION("IF('Respuestas de formulario 1'!I1297="""","""",TO_TEXT('Respuestas de formulario 1'!I1297))"),"Obra social")</f>
        <v>Obra social</v>
      </c>
      <c r="J1297" s="7" t="str">
        <f>IFERROR(__xludf.DUMMYFUNCTION("IF('Respuestas de formulario 1'!J1297&lt;&gt;"""",UPPER(TRIM(TO_TEXT('Respuestas de formulario 1'!J1297))),IF('Respuestas de formulario 1'!O1297&lt;&gt;"""",UPPER(TRIM(TO_TEXT('Respuestas de formulario 1'!O1297))),""""))"),"APROSS")</f>
        <v>APROSS</v>
      </c>
      <c r="K1297" s="7" t="str">
        <f>IFERROR(__xludf.DUMMYFUNCTION("IF('Respuestas de formulario 1'!K1297="""","""",TO_TEXT('Respuestas de formulario 1'!K1297))"),"Si")</f>
        <v>Si</v>
      </c>
      <c r="L1297" s="7" t="str">
        <f>IFERROR(__xludf.DUMMYFUNCTION("IF('Respuestas de formulario 1'!L1297="""","""",TO_TEXT('Respuestas de formulario 1'!L1297))"),"")</f>
        <v/>
      </c>
      <c r="M1297" s="7" t="str">
        <f>IFERROR(__xludf.DUMMYFUNCTION("IF('Respuestas de formulario 1'!M1297="""","""",TO_TEXT('Respuestas de formulario 1'!M1297))"),"1 a 2 veces por semana")</f>
        <v>1 a 2 veces por semana</v>
      </c>
      <c r="N1297" s="7">
        <f t="shared" si="1"/>
        <v>2025</v>
      </c>
      <c r="O1297" s="7" t="str">
        <f t="shared" si="2"/>
        <v>octubre</v>
      </c>
      <c r="P1297" s="7" t="s">
        <v>6712</v>
      </c>
    </row>
    <row r="1298">
      <c r="A1298" s="19">
        <f>'Respuestas de formulario 1'!A1298</f>
        <v>45962.80975</v>
      </c>
      <c r="B1298" s="7" t="str">
        <f>'Respuestas de formulario 1'!B1298</f>
        <v>SORIANO </v>
      </c>
      <c r="C1298" s="7" t="str">
        <f>'Respuestas de formulario 1'!C1298</f>
        <v>NATALIA LORENA </v>
      </c>
      <c r="D1298" s="7" t="str">
        <f>'Respuestas de formulario 1'!D1298</f>
        <v>docentenaty27@gmail.com</v>
      </c>
      <c r="E1298" s="20">
        <f>'Respuestas de formulario 1'!E1298</f>
        <v>28790</v>
      </c>
      <c r="F1298" s="7">
        <f>'Respuestas de formulario 1'!F1298</f>
        <v>26954398</v>
      </c>
      <c r="G1298" s="7" t="str">
        <f>IFERROR(__xludf.DUMMYFUNCTION("IF('Respuestas de formulario 1'!G1298="""","""",IF(LEFT(REGEXREPLACE(TO_TEXT('Respuestas de formulario 1'!G1298),""[^0-9]"",""""),2)=""54"",""+""&amp;REGEXREPLACE(TO_TEXT('Respuestas de formulario 1'!G1298),""[^0-9]"",""""),""+54""&amp;REGEXREPLACE(TO_TEXT('Respu"&amp;"estas de formulario 1'!G1298),""[^0-9]"","""")))"),"+543516247400")</f>
        <v>+543516247400</v>
      </c>
      <c r="H1298" s="7">
        <f>'Respuestas de formulario 1'!S1298</f>
        <v>2025</v>
      </c>
      <c r="I1298" s="7" t="str">
        <f>IFERROR(__xludf.DUMMYFUNCTION("IF('Respuestas de formulario 1'!I1298="""","""",TO_TEXT('Respuestas de formulario 1'!I1298))"),"Particular")</f>
        <v>Particular</v>
      </c>
      <c r="J1298" s="7" t="str">
        <f>IFERROR(__xludf.DUMMYFUNCTION("IF('Respuestas de formulario 1'!J1298&lt;&gt;"""",UPPER(TRIM(TO_TEXT('Respuestas de formulario 1'!J1298))),IF('Respuestas de formulario 1'!O1298&lt;&gt;"""",UPPER(TRIM(TO_TEXT('Respuestas de formulario 1'!O1298))),""""))"),"")</f>
        <v/>
      </c>
      <c r="K1298" s="7" t="str">
        <f>IFERROR(__xludf.DUMMYFUNCTION("IF('Respuestas de formulario 1'!K1298="""","""",TO_TEXT('Respuestas de formulario 1'!K1298))"),"No")</f>
        <v>No</v>
      </c>
      <c r="L1298" s="7" t="str">
        <f>IFERROR(__xludf.DUMMYFUNCTION("IF('Respuestas de formulario 1'!L1298="""","""",TO_TEXT('Respuestas de formulario 1'!L1298))"),"")</f>
        <v/>
      </c>
      <c r="M1298" s="7" t="str">
        <f>IFERROR(__xludf.DUMMYFUNCTION("IF('Respuestas de formulario 1'!M1298="""","""",TO_TEXT('Respuestas de formulario 1'!M1298))"),"")</f>
        <v/>
      </c>
      <c r="N1298" s="7">
        <f t="shared" si="1"/>
        <v>2025</v>
      </c>
      <c r="O1298" s="7" t="str">
        <f t="shared" si="2"/>
        <v>noviembre</v>
      </c>
      <c r="P1298" s="7" t="s">
        <v>6714</v>
      </c>
    </row>
    <row r="1299">
      <c r="A1299" s="19">
        <f>'Respuestas de formulario 1'!A1299</f>
        <v>45964.34846</v>
      </c>
      <c r="B1299" s="7" t="str">
        <f>'Respuestas de formulario 1'!B1299</f>
        <v>Miguel</v>
      </c>
      <c r="C1299" s="7" t="str">
        <f>'Respuestas de formulario 1'!C1299</f>
        <v>Maria Gabriela</v>
      </c>
      <c r="D1299" s="7" t="str">
        <f>'Respuestas de formulario 1'!D1299</f>
        <v>paragabriela@hotmail.com</v>
      </c>
      <c r="E1299" s="20">
        <f>'Respuestas de formulario 1'!E1299</f>
        <v>26281</v>
      </c>
      <c r="F1299" s="7">
        <f>'Respuestas de formulario 1'!F1299</f>
        <v>22426935</v>
      </c>
      <c r="G1299" s="7" t="str">
        <f>IFERROR(__xludf.DUMMYFUNCTION("IF('Respuestas de formulario 1'!G1299="""","""",IF(LEFT(REGEXREPLACE(TO_TEXT('Respuestas de formulario 1'!G1299),""[^0-9]"",""""),2)=""54"",""+""&amp;REGEXREPLACE(TO_TEXT('Respuestas de formulario 1'!G1299),""[^0-9]"",""""),""+54""&amp;REGEXREPLACE(TO_TEXT('Respu"&amp;"estas de formulario 1'!G1299),""[^0-9]"","""")))"),"+543515189222")</f>
        <v>+543515189222</v>
      </c>
      <c r="H1299" s="7">
        <f>'Respuestas de formulario 1'!S1299</f>
        <v>2025</v>
      </c>
      <c r="I1299" s="7" t="str">
        <f>IFERROR(__xludf.DUMMYFUNCTION("IF('Respuestas de formulario 1'!I1299="""","""",TO_TEXT('Respuestas de formulario 1'!I1299))"),"Obra social")</f>
        <v>Obra social</v>
      </c>
      <c r="J1299" s="7" t="str">
        <f>IFERROR(__xludf.DUMMYFUNCTION("IF('Respuestas de formulario 1'!J1299&lt;&gt;"""",UPPER(TRIM(TO_TEXT('Respuestas de formulario 1'!J1299))),IF('Respuestas de formulario 1'!O1299&lt;&gt;"""",UPPER(TRIM(TO_TEXT('Respuestas de formulario 1'!O1299))),""""))"),"CPCE")</f>
        <v>CPCE</v>
      </c>
      <c r="K1299" s="7" t="str">
        <f>IFERROR(__xludf.DUMMYFUNCTION("IF('Respuestas de formulario 1'!K1299="""","""",TO_TEXT('Respuestas de formulario 1'!K1299))"),"Si")</f>
        <v>Si</v>
      </c>
      <c r="L1299" s="7" t="str">
        <f>IFERROR(__xludf.DUMMYFUNCTION("IF('Respuestas de formulario 1'!L1299="""","""",TO_TEXT('Respuestas de formulario 1'!L1299))"),"Gimnasio")</f>
        <v>Gimnasio</v>
      </c>
      <c r="M1299" s="7" t="str">
        <f>IFERROR(__xludf.DUMMYFUNCTION("IF('Respuestas de formulario 1'!M1299="""","""",TO_TEXT('Respuestas de formulario 1'!M1299))"),"1 a 2 veces por semana")</f>
        <v>1 a 2 veces por semana</v>
      </c>
      <c r="N1299" s="7">
        <f t="shared" si="1"/>
        <v>2025</v>
      </c>
      <c r="O1299" s="7" t="str">
        <f t="shared" si="2"/>
        <v>noviembre</v>
      </c>
      <c r="P1299" s="7" t="s">
        <v>6716</v>
      </c>
    </row>
    <row r="1300">
      <c r="A1300" s="19">
        <f>'Respuestas de formulario 1'!A1300</f>
        <v>45964.45</v>
      </c>
      <c r="B1300" s="7" t="str">
        <f>'Respuestas de formulario 1'!B1300</f>
        <v>Grassano Nacif </v>
      </c>
      <c r="C1300" s="7" t="str">
        <f>'Respuestas de formulario 1'!C1300</f>
        <v>Giuliana </v>
      </c>
      <c r="D1300" s="7" t="str">
        <f>'Respuestas de formulario 1'!D1300</f>
        <v>macecilianacif@gmail.com</v>
      </c>
      <c r="E1300" s="20">
        <f>'Respuestas de formulario 1'!E1300</f>
        <v>40176</v>
      </c>
      <c r="F1300" s="7">
        <f>'Respuestas de formulario 1'!F1300</f>
        <v>49998223</v>
      </c>
      <c r="G1300" s="7" t="str">
        <f>IFERROR(__xludf.DUMMYFUNCTION("IF('Respuestas de formulario 1'!G1300="""","""",IF(LEFT(REGEXREPLACE(TO_TEXT('Respuestas de formulario 1'!G1300),""[^0-9]"",""""),2)=""54"",""+""&amp;REGEXREPLACE(TO_TEXT('Respuestas de formulario 1'!G1300),""[^0-9]"",""""),""+54""&amp;REGEXREPLACE(TO_TEXT('Respu"&amp;"estas de formulario 1'!G1300),""[^0-9]"","""")))"),"+543515518569")</f>
        <v>+543515518569</v>
      </c>
      <c r="H1300" s="7">
        <f>'Respuestas de formulario 1'!S1300</f>
        <v>2025</v>
      </c>
      <c r="I1300" s="7" t="str">
        <f>IFERROR(__xludf.DUMMYFUNCTION("IF('Respuestas de formulario 1'!I1300="""","""",TO_TEXT('Respuestas de formulario 1'!I1300))"),"Obra social")</f>
        <v>Obra social</v>
      </c>
      <c r="J1300" s="7" t="str">
        <f>IFERROR(__xludf.DUMMYFUNCTION("IF('Respuestas de formulario 1'!J1300&lt;&gt;"""",UPPER(TRIM(TO_TEXT('Respuestas de formulario 1'!J1300))),IF('Respuestas de formulario 1'!O1300&lt;&gt;"""",UPPER(TRIM(TO_TEXT('Respuestas de formulario 1'!O1300))),""""))"),"DASPU")</f>
        <v>DASPU</v>
      </c>
      <c r="K1300" s="7" t="str">
        <f>IFERROR(__xludf.DUMMYFUNCTION("IF('Respuestas de formulario 1'!K1300="""","""",TO_TEXT('Respuestas de formulario 1'!K1300))"),"Si")</f>
        <v>Si</v>
      </c>
      <c r="L1300" s="7" t="str">
        <f>IFERROR(__xludf.DUMMYFUNCTION("IF('Respuestas de formulario 1'!L1300="""","""",TO_TEXT('Respuestas de formulario 1'!L1300))"),"Hockey ")</f>
        <v>Hockey </v>
      </c>
      <c r="M1300" s="7" t="str">
        <f>IFERROR(__xludf.DUMMYFUNCTION("IF('Respuestas de formulario 1'!M1300="""","""",TO_TEXT('Respuestas de formulario 1'!M1300))"),"1 a 2 veces por semana")</f>
        <v>1 a 2 veces por semana</v>
      </c>
      <c r="N1300" s="7">
        <f t="shared" si="1"/>
        <v>2025</v>
      </c>
      <c r="O1300" s="7" t="str">
        <f t="shared" si="2"/>
        <v>noviembre</v>
      </c>
      <c r="P1300" s="7" t="s">
        <v>6718</v>
      </c>
    </row>
    <row r="1301">
      <c r="A1301" s="19">
        <f>'Respuestas de formulario 1'!A1301</f>
        <v>45965.75021</v>
      </c>
      <c r="B1301" s="7" t="str">
        <f>'Respuestas de formulario 1'!B1301</f>
        <v>Lesta</v>
      </c>
      <c r="C1301" s="7" t="str">
        <f>'Respuestas de formulario 1'!C1301</f>
        <v>María Ilda del Valle </v>
      </c>
      <c r="D1301" s="7" t="str">
        <f>'Respuestas de formulario 1'!D1301</f>
        <v>marililesta@gmail.com</v>
      </c>
      <c r="E1301" s="20">
        <f>'Respuestas de formulario 1'!E1301</f>
        <v>20306</v>
      </c>
      <c r="F1301" s="7">
        <f>'Respuestas de formulario 1'!F1301</f>
        <v>11971749</v>
      </c>
      <c r="G1301" s="7" t="str">
        <f>IFERROR(__xludf.DUMMYFUNCTION("IF('Respuestas de formulario 1'!G1301="""","""",IF(LEFT(REGEXREPLACE(TO_TEXT('Respuestas de formulario 1'!G1301),""[^0-9]"",""""),2)=""54"",""+""&amp;REGEXREPLACE(TO_TEXT('Respuestas de formulario 1'!G1301),""[^0-9]"",""""),""+54""&amp;REGEXREPLACE(TO_TEXT('Respu"&amp;"estas de formulario 1'!G1301),""[^0-9]"","""")))"),"+543516668355")</f>
        <v>+543516668355</v>
      </c>
      <c r="H1301" s="7">
        <f>'Respuestas de formulario 1'!S1301</f>
        <v>2025</v>
      </c>
      <c r="I1301" s="7" t="str">
        <f>IFERROR(__xludf.DUMMYFUNCTION("IF('Respuestas de formulario 1'!I1301="""","""",TO_TEXT('Respuestas de formulario 1'!I1301))"),"Particular")</f>
        <v>Particular</v>
      </c>
      <c r="J1301" s="7" t="str">
        <f>IFERROR(__xludf.DUMMYFUNCTION("IF('Respuestas de formulario 1'!J1301&lt;&gt;"""",UPPER(TRIM(TO_TEXT('Respuestas de formulario 1'!J1301))),IF('Respuestas de formulario 1'!O1301&lt;&gt;"""",UPPER(TRIM(TO_TEXT('Respuestas de formulario 1'!O1301))),""""))"),"")</f>
        <v/>
      </c>
      <c r="K1301" s="7" t="str">
        <f>IFERROR(__xludf.DUMMYFUNCTION("IF('Respuestas de formulario 1'!K1301="""","""",TO_TEXT('Respuestas de formulario 1'!K1301))"),"Si")</f>
        <v>Si</v>
      </c>
      <c r="L1301" s="7" t="str">
        <f>IFERROR(__xludf.DUMMYFUNCTION("IF('Respuestas de formulario 1'!L1301="""","""",TO_TEXT('Respuestas de formulario 1'!L1301))"),"Tai Chi")</f>
        <v>Tai Chi</v>
      </c>
      <c r="M1301" s="7" t="str">
        <f>IFERROR(__xludf.DUMMYFUNCTION("IF('Respuestas de formulario 1'!M1301="""","""",TO_TEXT('Respuestas de formulario 1'!M1301))"),"1 a 2 veces por semana")</f>
        <v>1 a 2 veces por semana</v>
      </c>
      <c r="N1301" s="7">
        <f t="shared" si="1"/>
        <v>2025</v>
      </c>
      <c r="O1301" s="7" t="str">
        <f t="shared" si="2"/>
        <v>noviembre</v>
      </c>
      <c r="P1301" s="7" t="s">
        <v>6720</v>
      </c>
    </row>
    <row r="1302">
      <c r="A1302" s="19">
        <f>'Respuestas de formulario 1'!A1302</f>
        <v>45965.78845</v>
      </c>
      <c r="B1302" s="7" t="str">
        <f>'Respuestas de formulario 1'!B1302</f>
        <v>Nobrega</v>
      </c>
      <c r="C1302" s="7" t="str">
        <f>'Respuestas de formulario 1'!C1302</f>
        <v>Cristina</v>
      </c>
      <c r="D1302" s="7" t="str">
        <f>'Respuestas de formulario 1'!D1302</f>
        <v>-</v>
      </c>
      <c r="E1302" s="20">
        <f>'Respuestas de formulario 1'!E1302</f>
        <v>20368</v>
      </c>
      <c r="F1302" s="7">
        <f>'Respuestas de formulario 1'!F1302</f>
        <v>10251478</v>
      </c>
      <c r="G1302" s="7" t="str">
        <f>IFERROR(__xludf.DUMMYFUNCTION("IF('Respuestas de formulario 1'!G1302="""","""",IF(LEFT(REGEXREPLACE(TO_TEXT('Respuestas de formulario 1'!G1302),""[^0-9]"",""""),2)=""54"",""+""&amp;REGEXREPLACE(TO_TEXT('Respuestas de formulario 1'!G1302),""[^0-9]"",""""),""+54""&amp;REGEXREPLACE(TO_TEXT('Respu"&amp;"estas de formulario 1'!G1302),""[^0-9]"","""")))"),"+543513667970")</f>
        <v>+543513667970</v>
      </c>
      <c r="H1302" s="7">
        <f>'Respuestas de formulario 1'!S1302</f>
        <v>2025</v>
      </c>
      <c r="I1302" s="7" t="str">
        <f>IFERROR(__xludf.DUMMYFUNCTION("IF('Respuestas de formulario 1'!I1302="""","""",TO_TEXT('Respuestas de formulario 1'!I1302))"),"Obra social")</f>
        <v>Obra social</v>
      </c>
      <c r="J1302" s="7" t="str">
        <f>IFERROR(__xludf.DUMMYFUNCTION("IF('Respuestas de formulario 1'!J1302&lt;&gt;"""",UPPER(TRIM(TO_TEXT('Respuestas de formulario 1'!J1302))),IF('Respuestas de formulario 1'!O1302&lt;&gt;"""",UPPER(TRIM(TO_TEXT('Respuestas de formulario 1'!O1302))),""""))"),"APROSS")</f>
        <v>APROSS</v>
      </c>
      <c r="K1302" s="7" t="str">
        <f>IFERROR(__xludf.DUMMYFUNCTION("IF('Respuestas de formulario 1'!K1302="""","""",TO_TEXT('Respuestas de formulario 1'!K1302))"),"Si")</f>
        <v>Si</v>
      </c>
      <c r="L1302" s="7" t="str">
        <f>IFERROR(__xludf.DUMMYFUNCTION("IF('Respuestas de formulario 1'!L1302="""","""",TO_TEXT('Respuestas de formulario 1'!L1302))"),"Gimnasio")</f>
        <v>Gimnasio</v>
      </c>
      <c r="M1302" s="7" t="str">
        <f>IFERROR(__xludf.DUMMYFUNCTION("IF('Respuestas de formulario 1'!M1302="""","""",TO_TEXT('Respuestas de formulario 1'!M1302))"),"3 a 5 veces por semana")</f>
        <v>3 a 5 veces por semana</v>
      </c>
      <c r="N1302" s="7">
        <f t="shared" si="1"/>
        <v>2025</v>
      </c>
      <c r="O1302" s="7" t="str">
        <f t="shared" si="2"/>
        <v>noviembre</v>
      </c>
      <c r="P1302" s="7" t="s">
        <v>6722</v>
      </c>
    </row>
    <row r="1303">
      <c r="A1303" s="19">
        <f>'Respuestas de formulario 1'!A1303</f>
        <v>45965.82688</v>
      </c>
      <c r="B1303" s="7" t="str">
        <f>'Respuestas de formulario 1'!B1303</f>
        <v>Noriega </v>
      </c>
      <c r="C1303" s="7" t="str">
        <f>'Respuestas de formulario 1'!C1303</f>
        <v>José Ariel </v>
      </c>
      <c r="D1303" s="7" t="str">
        <f>'Respuestas de formulario 1'!D1303</f>
        <v>josarino@hotmail.com</v>
      </c>
      <c r="E1303" s="20">
        <f>'Respuestas de formulario 1'!E1303</f>
        <v>26878</v>
      </c>
      <c r="F1303" s="7">
        <f>'Respuestas de formulario 1'!F1303</f>
        <v>23309944</v>
      </c>
      <c r="G1303" s="7" t="str">
        <f>IFERROR(__xludf.DUMMYFUNCTION("IF('Respuestas de formulario 1'!G1303="""","""",IF(LEFT(REGEXREPLACE(TO_TEXT('Respuestas de formulario 1'!G1303),""[^0-9]"",""""),2)=""54"",""+""&amp;REGEXREPLACE(TO_TEXT('Respuestas de formulario 1'!G1303),""[^0-9]"",""""),""+54""&amp;REGEXREPLACE(TO_TEXT('Respu"&amp;"estas de formulario 1'!G1303),""[^0-9]"","""")))"),"+543516370033")</f>
        <v>+543516370033</v>
      </c>
      <c r="H1303" s="7">
        <f>'Respuestas de formulario 1'!S1303</f>
        <v>2025</v>
      </c>
      <c r="I1303" s="7" t="str">
        <f>IFERROR(__xludf.DUMMYFUNCTION("IF('Respuestas de formulario 1'!I1303="""","""",TO_TEXT('Respuestas de formulario 1'!I1303))"),"Particular")</f>
        <v>Particular</v>
      </c>
      <c r="J1303" s="7" t="str">
        <f>IFERROR(__xludf.DUMMYFUNCTION("IF('Respuestas de formulario 1'!J1303&lt;&gt;"""",UPPER(TRIM(TO_TEXT('Respuestas de formulario 1'!J1303))),IF('Respuestas de formulario 1'!O1303&lt;&gt;"""",UPPER(TRIM(TO_TEXT('Respuestas de formulario 1'!O1303))),""""))"),"")</f>
        <v/>
      </c>
      <c r="K1303" s="7" t="str">
        <f>IFERROR(__xludf.DUMMYFUNCTION("IF('Respuestas de formulario 1'!K1303="""","""",TO_TEXT('Respuestas de formulario 1'!K1303))"),"Si")</f>
        <v>Si</v>
      </c>
      <c r="L1303" s="7" t="str">
        <f>IFERROR(__xludf.DUMMYFUNCTION("IF('Respuestas de formulario 1'!L1303="""","""",TO_TEXT('Respuestas de formulario 1'!L1303))"),"Gimnasio")</f>
        <v>Gimnasio</v>
      </c>
      <c r="M1303" s="7" t="str">
        <f>IFERROR(__xludf.DUMMYFUNCTION("IF('Respuestas de formulario 1'!M1303="""","""",TO_TEXT('Respuestas de formulario 1'!M1303))"),"3 a 5 veces por semana")</f>
        <v>3 a 5 veces por semana</v>
      </c>
      <c r="N1303" s="7">
        <f t="shared" si="1"/>
        <v>2025</v>
      </c>
      <c r="O1303" s="7" t="str">
        <f t="shared" si="2"/>
        <v>noviembre</v>
      </c>
      <c r="P1303" s="7" t="s">
        <v>6724</v>
      </c>
    </row>
    <row r="1304">
      <c r="A1304" s="19">
        <f>'Respuestas de formulario 1'!A1304</f>
        <v>45966.48963</v>
      </c>
      <c r="B1304" s="7" t="str">
        <f>'Respuestas de formulario 1'!B1304</f>
        <v>Zadiz</v>
      </c>
      <c r="C1304" s="7" t="str">
        <f>'Respuestas de formulario 1'!C1304</f>
        <v>Josefina</v>
      </c>
      <c r="D1304" s="23" t="str">
        <f>'Respuestas de formulario 1'!D1304</f>
        <v>josefinazadizgmial.com</v>
      </c>
      <c r="E1304" s="20">
        <f>'Respuestas de formulario 1'!E1304</f>
        <v>-691851</v>
      </c>
      <c r="F1304" s="7">
        <f>'Respuestas de formulario 1'!F1304</f>
        <v>38853231</v>
      </c>
      <c r="G1304" s="7" t="str">
        <f>IFERROR(__xludf.DUMMYFUNCTION("IF('Respuestas de formulario 1'!G1304="""","""",IF(LEFT(REGEXREPLACE(TO_TEXT('Respuestas de formulario 1'!G1304),""[^0-9]"",""""),2)=""54"",""+""&amp;REGEXREPLACE(TO_TEXT('Respuestas de formulario 1'!G1304),""[^0-9]"",""""),""+54""&amp;REGEXREPLACE(TO_TEXT('Respu"&amp;"estas de formulario 1'!G1304),""[^0-9]"","""")))"),"+543512805035")</f>
        <v>+543512805035</v>
      </c>
      <c r="H1304" s="7">
        <f>'Respuestas de formulario 1'!S1304</f>
        <v>2025</v>
      </c>
      <c r="I1304" s="7" t="str">
        <f>IFERROR(__xludf.DUMMYFUNCTION("IF('Respuestas de formulario 1'!I1304="""","""",TO_TEXT('Respuestas de formulario 1'!I1304))"),"Particular")</f>
        <v>Particular</v>
      </c>
      <c r="J1304" s="7" t="str">
        <f>IFERROR(__xludf.DUMMYFUNCTION("IF('Respuestas de formulario 1'!J1304&lt;&gt;"""",UPPER(TRIM(TO_TEXT('Respuestas de formulario 1'!J1304))),IF('Respuestas de formulario 1'!O1304&lt;&gt;"""",UPPER(TRIM(TO_TEXT('Respuestas de formulario 1'!O1304))),""""))"),"")</f>
        <v/>
      </c>
      <c r="K1304" s="7" t="str">
        <f>IFERROR(__xludf.DUMMYFUNCTION("IF('Respuestas de formulario 1'!K1304="""","""",TO_TEXT('Respuestas de formulario 1'!K1304))"),"Si")</f>
        <v>Si</v>
      </c>
      <c r="L1304" s="7" t="str">
        <f>IFERROR(__xludf.DUMMYFUNCTION("IF('Respuestas de formulario 1'!L1304="""","""",TO_TEXT('Respuestas de formulario 1'!L1304))"),"Gimnasio")</f>
        <v>Gimnasio</v>
      </c>
      <c r="M1304" s="7" t="str">
        <f>IFERROR(__xludf.DUMMYFUNCTION("IF('Respuestas de formulario 1'!M1304="""","""",TO_TEXT('Respuestas de formulario 1'!M1304))"),"3 a 5 veces por semana")</f>
        <v>3 a 5 veces por semana</v>
      </c>
      <c r="N1304" s="7">
        <f t="shared" si="1"/>
        <v>2025</v>
      </c>
      <c r="O1304" s="7" t="str">
        <f t="shared" si="2"/>
        <v>noviembre</v>
      </c>
      <c r="P1304" s="7" t="s">
        <v>6726</v>
      </c>
    </row>
    <row r="1305">
      <c r="A1305" s="19">
        <f>'Respuestas de formulario 1'!A1305</f>
        <v>45966.66924</v>
      </c>
      <c r="B1305" s="7" t="str">
        <f>'Respuestas de formulario 1'!B1305</f>
        <v>Olmos Brillarelli </v>
      </c>
      <c r="C1305" s="7" t="str">
        <f>'Respuestas de formulario 1'!C1305</f>
        <v>Agustina</v>
      </c>
      <c r="D1305" s="7" t="str">
        <f>'Respuestas de formulario 1'!D1305</f>
        <v>agusolmos66@hotmail.com</v>
      </c>
      <c r="E1305" s="20">
        <f>'Respuestas de formulario 1'!E1305</f>
        <v>33395</v>
      </c>
      <c r="F1305" s="7">
        <f>'Respuestas de formulario 1'!F1305</f>
        <v>35963305</v>
      </c>
      <c r="G1305" s="7" t="str">
        <f>IFERROR(__xludf.DUMMYFUNCTION("IF('Respuestas de formulario 1'!G1305="""","""",IF(LEFT(REGEXREPLACE(TO_TEXT('Respuestas de formulario 1'!G1305),""[^0-9]"",""""),2)=""54"",""+""&amp;REGEXREPLACE(TO_TEXT('Respuestas de formulario 1'!G1305),""[^0-9]"",""""),""+54""&amp;REGEXREPLACE(TO_TEXT('Respu"&amp;"estas de formulario 1'!G1305),""[^0-9]"","""")))"),"+543515521575")</f>
        <v>+543515521575</v>
      </c>
      <c r="H1305" s="7">
        <f>'Respuestas de formulario 1'!S1305</f>
        <v>2025</v>
      </c>
      <c r="I1305" s="7" t="str">
        <f>IFERROR(__xludf.DUMMYFUNCTION("IF('Respuestas de formulario 1'!I1305="""","""",TO_TEXT('Respuestas de formulario 1'!I1305))"),"Particular")</f>
        <v>Particular</v>
      </c>
      <c r="J1305" s="7" t="str">
        <f>IFERROR(__xludf.DUMMYFUNCTION("IF('Respuestas de formulario 1'!J1305&lt;&gt;"""",UPPER(TRIM(TO_TEXT('Respuestas de formulario 1'!J1305))),IF('Respuestas de formulario 1'!O1305&lt;&gt;"""",UPPER(TRIM(TO_TEXT('Respuestas de formulario 1'!O1305))),""""))"),"")</f>
        <v/>
      </c>
      <c r="K1305" s="7" t="str">
        <f>IFERROR(__xludf.DUMMYFUNCTION("IF('Respuestas de formulario 1'!K1305="""","""",TO_TEXT('Respuestas de formulario 1'!K1305))"),"Si")</f>
        <v>Si</v>
      </c>
      <c r="L1305" s="7" t="str">
        <f>IFERROR(__xludf.DUMMYFUNCTION("IF('Respuestas de formulario 1'!L1305="""","""",TO_TEXT('Respuestas de formulario 1'!L1305))"),"Gimnasio")</f>
        <v>Gimnasio</v>
      </c>
      <c r="M1305" s="7" t="str">
        <f>IFERROR(__xludf.DUMMYFUNCTION("IF('Respuestas de formulario 1'!M1305="""","""",TO_TEXT('Respuestas de formulario 1'!M1305))"),"1 a 2 veces por semana")</f>
        <v>1 a 2 veces por semana</v>
      </c>
      <c r="N1305" s="7">
        <f t="shared" si="1"/>
        <v>2025</v>
      </c>
      <c r="O1305" s="7" t="str">
        <f t="shared" si="2"/>
        <v>noviembre</v>
      </c>
      <c r="P1305" s="7" t="s">
        <v>6728</v>
      </c>
    </row>
    <row r="1306">
      <c r="A1306" s="19">
        <f>'Respuestas de formulario 1'!A1306</f>
        <v>45966.78666</v>
      </c>
      <c r="B1306" s="7" t="str">
        <f>'Respuestas de formulario 1'!B1306</f>
        <v>AZAR</v>
      </c>
      <c r="C1306" s="7" t="str">
        <f>'Respuestas de formulario 1'!C1306</f>
        <v>JALIL</v>
      </c>
      <c r="D1306" s="7" t="str">
        <f>'Respuestas de formulario 1'!D1306</f>
        <v>karinabringas1@gmail.com</v>
      </c>
      <c r="E1306" s="20">
        <f>'Respuestas de formulario 1'!E1306</f>
        <v>40393</v>
      </c>
      <c r="F1306" s="7">
        <f>'Respuestas de formulario 1'!F1306</f>
        <v>50419054</v>
      </c>
      <c r="G1306" s="7" t="str">
        <f>IFERROR(__xludf.DUMMYFUNCTION("IF('Respuestas de formulario 1'!G1306="""","""",IF(LEFT(REGEXREPLACE(TO_TEXT('Respuestas de formulario 1'!G1306),""[^0-9]"",""""),2)=""54"",""+""&amp;REGEXREPLACE(TO_TEXT('Respuestas de formulario 1'!G1306),""[^0-9]"",""""),""+54""&amp;REGEXREPLACE(TO_TEXT('Respu"&amp;"estas de formulario 1'!G1306),""[^0-9]"","""")))"),"+543515161612")</f>
        <v>+543515161612</v>
      </c>
      <c r="H1306" s="7">
        <f>'Respuestas de formulario 1'!S1306</f>
        <v>2025</v>
      </c>
      <c r="I1306" s="7" t="str">
        <f>IFERROR(__xludf.DUMMYFUNCTION("IF('Respuestas de formulario 1'!I1306="""","""",TO_TEXT('Respuestas de formulario 1'!I1306))"),"Obra social")</f>
        <v>Obra social</v>
      </c>
      <c r="J1306" s="7" t="str">
        <f>IFERROR(__xludf.DUMMYFUNCTION("IF('Respuestas de formulario 1'!J1306&lt;&gt;"""",UPPER(TRIM(TO_TEXT('Respuestas de formulario 1'!J1306))),IF('Respuestas de formulario 1'!O1306&lt;&gt;"""",UPPER(TRIM(TO_TEXT('Respuestas de formulario 1'!O1306))),""""))"),"MEDIFE")</f>
        <v>MEDIFE</v>
      </c>
      <c r="K1306" s="7" t="str">
        <f>IFERROR(__xludf.DUMMYFUNCTION("IF('Respuestas de formulario 1'!K1306="""","""",TO_TEXT('Respuestas de formulario 1'!K1306))"),"No")</f>
        <v>No</v>
      </c>
      <c r="L1306" s="7" t="str">
        <f>IFERROR(__xludf.DUMMYFUNCTION("IF('Respuestas de formulario 1'!L1306="""","""",TO_TEXT('Respuestas de formulario 1'!L1306))"),"")</f>
        <v/>
      </c>
      <c r="M1306" s="7" t="str">
        <f>IFERROR(__xludf.DUMMYFUNCTION("IF('Respuestas de formulario 1'!M1306="""","""",TO_TEXT('Respuestas de formulario 1'!M1306))"),"")</f>
        <v/>
      </c>
      <c r="N1306" s="7">
        <f t="shared" si="1"/>
        <v>2025</v>
      </c>
      <c r="O1306" s="7" t="str">
        <f t="shared" si="2"/>
        <v>noviembre</v>
      </c>
      <c r="P1306" s="7" t="s">
        <v>6730</v>
      </c>
    </row>
    <row r="1307">
      <c r="A1307" s="19">
        <f>'Respuestas de formulario 1'!A1307</f>
        <v>45968.50025</v>
      </c>
      <c r="B1307" s="7" t="str">
        <f>'Respuestas de formulario 1'!B1307</f>
        <v>Canalis</v>
      </c>
      <c r="C1307" s="7" t="str">
        <f>'Respuestas de formulario 1'!C1307</f>
        <v>Santiago Martin</v>
      </c>
      <c r="D1307" s="7" t="str">
        <f>'Respuestas de formulario 1'!D1307</f>
        <v>santicanalis20@gmail.com</v>
      </c>
      <c r="E1307" s="20">
        <f>'Respuestas de formulario 1'!E1307</f>
        <v>39184</v>
      </c>
      <c r="F1307" s="7">
        <f>'Respuestas de formulario 1'!F1307</f>
        <v>46847044</v>
      </c>
      <c r="G1307" s="7" t="str">
        <f>IFERROR(__xludf.DUMMYFUNCTION("IF('Respuestas de formulario 1'!G1307="""","""",IF(LEFT(REGEXREPLACE(TO_TEXT('Respuestas de formulario 1'!G1307),""[^0-9]"",""""),2)=""54"",""+""&amp;REGEXREPLACE(TO_TEXT('Respuestas de formulario 1'!G1307),""[^0-9]"",""""),""+54""&amp;REGEXREPLACE(TO_TEXT('Respu"&amp;"estas de formulario 1'!G1307),""[^0-9]"","""")))"),"+543513107877")</f>
        <v>+543513107877</v>
      </c>
      <c r="H1307" s="7">
        <f>'Respuestas de formulario 1'!S1307</f>
        <v>2025</v>
      </c>
      <c r="I1307" s="7" t="str">
        <f>IFERROR(__xludf.DUMMYFUNCTION("IF('Respuestas de formulario 1'!I1307="""","""",TO_TEXT('Respuestas de formulario 1'!I1307))"),"Obra social")</f>
        <v>Obra social</v>
      </c>
      <c r="J1307" s="7" t="str">
        <f>IFERROR(__xludf.DUMMYFUNCTION("IF('Respuestas de formulario 1'!J1307&lt;&gt;"""",UPPER(TRIM(TO_TEXT('Respuestas de formulario 1'!J1307))),IF('Respuestas de formulario 1'!O1307&lt;&gt;"""",UPPER(TRIM(TO_TEXT('Respuestas de formulario 1'!O1307))),""""))"),"APROSS")</f>
        <v>APROSS</v>
      </c>
      <c r="K1307" s="7" t="str">
        <f>IFERROR(__xludf.DUMMYFUNCTION("IF('Respuestas de formulario 1'!K1307="""","""",TO_TEXT('Respuestas de formulario 1'!K1307))"),"Si")</f>
        <v>Si</v>
      </c>
      <c r="L1307" s="7" t="str">
        <f>IFERROR(__xludf.DUMMYFUNCTION("IF('Respuestas de formulario 1'!L1307="""","""",TO_TEXT('Respuestas de formulario 1'!L1307))"),"Gimnasio")</f>
        <v>Gimnasio</v>
      </c>
      <c r="M1307" s="7" t="str">
        <f>IFERROR(__xludf.DUMMYFUNCTION("IF('Respuestas de formulario 1'!M1307="""","""",TO_TEXT('Respuestas de formulario 1'!M1307))"),"3 a 5 veces por semana")</f>
        <v>3 a 5 veces por semana</v>
      </c>
      <c r="N1307" s="7">
        <f t="shared" si="1"/>
        <v>2025</v>
      </c>
      <c r="O1307" s="7" t="str">
        <f t="shared" si="2"/>
        <v>noviembre</v>
      </c>
      <c r="P1307" s="7" t="s">
        <v>6732</v>
      </c>
    </row>
    <row r="1308">
      <c r="A1308" s="19">
        <f>'Respuestas de formulario 1'!A1308</f>
        <v>45968.54647</v>
      </c>
      <c r="B1308" s="7" t="str">
        <f>'Respuestas de formulario 1'!B1308</f>
        <v>Hidalgo</v>
      </c>
      <c r="C1308" s="7" t="str">
        <f>'Respuestas de formulario 1'!C1308</f>
        <v>Teo salvador</v>
      </c>
      <c r="D1308" s="7" t="str">
        <f>'Respuestas de formulario 1'!D1308</f>
        <v>mariohidalgo80@gmail.com</v>
      </c>
      <c r="E1308" s="20">
        <f>'Respuestas de formulario 1'!E1308</f>
        <v>41608</v>
      </c>
      <c r="F1308" s="7">
        <f>'Respuestas de formulario 1'!F1308</f>
        <v>53505523</v>
      </c>
      <c r="G1308" s="7" t="str">
        <f>IFERROR(__xludf.DUMMYFUNCTION("IF('Respuestas de formulario 1'!G1308="""","""",IF(LEFT(REGEXREPLACE(TO_TEXT('Respuestas de formulario 1'!G1308),""[^0-9]"",""""),2)=""54"",""+""&amp;REGEXREPLACE(TO_TEXT('Respuestas de formulario 1'!G1308),""[^0-9]"",""""),""+54""&amp;REGEXREPLACE(TO_TEXT('Respu"&amp;"estas de formulario 1'!G1308),""[^0-9]"","""")))"),"+543513664238")</f>
        <v>+543513664238</v>
      </c>
      <c r="H1308" s="7">
        <f>'Respuestas de formulario 1'!S1308</f>
        <v>2025</v>
      </c>
      <c r="I1308" s="7" t="str">
        <f>IFERROR(__xludf.DUMMYFUNCTION("IF('Respuestas de formulario 1'!I1308="""","""",TO_TEXT('Respuestas de formulario 1'!I1308))"),"Obra social")</f>
        <v>Obra social</v>
      </c>
      <c r="J1308" s="7" t="str">
        <f>IFERROR(__xludf.DUMMYFUNCTION("IF('Respuestas de formulario 1'!J1308&lt;&gt;"""",UPPER(TRIM(TO_TEXT('Respuestas de formulario 1'!J1308))),IF('Respuestas de formulario 1'!O1308&lt;&gt;"""",UPPER(TRIM(TO_TEXT('Respuestas de formulario 1'!O1308))),""""))"),"BOREAL")</f>
        <v>BOREAL</v>
      </c>
      <c r="K1308" s="7" t="str">
        <f>IFERROR(__xludf.DUMMYFUNCTION("IF('Respuestas de formulario 1'!K1308="""","""",TO_TEXT('Respuestas de formulario 1'!K1308))"),"Si")</f>
        <v>Si</v>
      </c>
      <c r="L1308" s="7" t="str">
        <f>IFERROR(__xludf.DUMMYFUNCTION("IF('Respuestas de formulario 1'!L1308="""","""",TO_TEXT('Respuestas de formulario 1'!L1308))"),"Fútbol")</f>
        <v>Fútbol</v>
      </c>
      <c r="M1308" s="7" t="str">
        <f>IFERROR(__xludf.DUMMYFUNCTION("IF('Respuestas de formulario 1'!M1308="""","""",TO_TEXT('Respuestas de formulario 1'!M1308))"),"3 a 5 veces por semana")</f>
        <v>3 a 5 veces por semana</v>
      </c>
      <c r="N1308" s="7">
        <f t="shared" si="1"/>
        <v>2025</v>
      </c>
      <c r="O1308" s="7" t="str">
        <f t="shared" si="2"/>
        <v>noviembre</v>
      </c>
      <c r="P1308" s="7" t="s">
        <v>6734</v>
      </c>
    </row>
    <row r="1309">
      <c r="A1309" s="19">
        <f>'Respuestas de formulario 1'!A1309</f>
        <v>45968.73327</v>
      </c>
      <c r="B1309" s="7" t="str">
        <f>'Respuestas de formulario 1'!B1309</f>
        <v>Ordoñez </v>
      </c>
      <c r="C1309" s="7" t="str">
        <f>'Respuestas de formulario 1'!C1309</f>
        <v>Yanina</v>
      </c>
      <c r="D1309" s="7" t="str">
        <f>'Respuestas de formulario 1'!D1309</f>
        <v>Yanina.ordonez33@gmail.com</v>
      </c>
      <c r="E1309" s="20">
        <f>'Respuestas de formulario 1'!E1309</f>
        <v>34790</v>
      </c>
      <c r="F1309" s="7">
        <f>'Respuestas de formulario 1'!F1309</f>
        <v>39056915</v>
      </c>
      <c r="G1309" s="7" t="str">
        <f>IFERROR(__xludf.DUMMYFUNCTION("IF('Respuestas de formulario 1'!G1309="""","""",IF(LEFT(REGEXREPLACE(TO_TEXT('Respuestas de formulario 1'!G1309),""[^0-9]"",""""),2)=""54"",""+""&amp;REGEXREPLACE(TO_TEXT('Respuestas de formulario 1'!G1309),""[^0-9]"",""""),""+54""&amp;REGEXREPLACE(TO_TEXT('Respu"&amp;"estas de formulario 1'!G1309),""[^0-9]"","""")))"),"+543517583909")</f>
        <v>+543517583909</v>
      </c>
      <c r="H1309" s="7">
        <f>'Respuestas de formulario 1'!S1309</f>
        <v>2025</v>
      </c>
      <c r="I1309" s="7" t="str">
        <f>IFERROR(__xludf.DUMMYFUNCTION("IF('Respuestas de formulario 1'!I1309="""","""",TO_TEXT('Respuestas de formulario 1'!I1309))"),"Particular")</f>
        <v>Particular</v>
      </c>
      <c r="J1309" s="7" t="str">
        <f>IFERROR(__xludf.DUMMYFUNCTION("IF('Respuestas de formulario 1'!J1309&lt;&gt;"""",UPPER(TRIM(TO_TEXT('Respuestas de formulario 1'!J1309))),IF('Respuestas de formulario 1'!O1309&lt;&gt;"""",UPPER(TRIM(TO_TEXT('Respuestas de formulario 1'!O1309))),""""))"),"")</f>
        <v/>
      </c>
      <c r="K1309" s="7" t="str">
        <f>IFERROR(__xludf.DUMMYFUNCTION("IF('Respuestas de formulario 1'!K1309="""","""",TO_TEXT('Respuestas de formulario 1'!K1309))"),"No")</f>
        <v>No</v>
      </c>
      <c r="L1309" s="7" t="str">
        <f>IFERROR(__xludf.DUMMYFUNCTION("IF('Respuestas de formulario 1'!L1309="""","""",TO_TEXT('Respuestas de formulario 1'!L1309))"),"")</f>
        <v/>
      </c>
      <c r="M1309" s="7" t="str">
        <f>IFERROR(__xludf.DUMMYFUNCTION("IF('Respuestas de formulario 1'!M1309="""","""",TO_TEXT('Respuestas de formulario 1'!M1309))"),"")</f>
        <v/>
      </c>
      <c r="N1309" s="7">
        <f t="shared" si="1"/>
        <v>2025</v>
      </c>
      <c r="O1309" s="7" t="str">
        <f t="shared" si="2"/>
        <v>noviembre</v>
      </c>
      <c r="P1309" s="7" t="s">
        <v>6736</v>
      </c>
    </row>
    <row r="1310">
      <c r="A1310" s="19">
        <f>'Respuestas de formulario 1'!A1310</f>
        <v>45969.52534</v>
      </c>
      <c r="B1310" s="7" t="str">
        <f>'Respuestas de formulario 1'!B1310</f>
        <v>herrera</v>
      </c>
      <c r="C1310" s="7" t="str">
        <f>'Respuestas de formulario 1'!C1310</f>
        <v>julian </v>
      </c>
      <c r="D1310" s="7" t="str">
        <f>'Respuestas de formulario 1'!D1310</f>
        <v>julianherre11@gmail.com</v>
      </c>
      <c r="E1310" s="20">
        <f>'Respuestas de formulario 1'!E1310</f>
        <v>37476</v>
      </c>
      <c r="F1310" s="7">
        <f>'Respuestas de formulario 1'!F1310</f>
        <v>44245278</v>
      </c>
      <c r="G1310" s="7" t="str">
        <f>IFERROR(__xludf.DUMMYFUNCTION("IF('Respuestas de formulario 1'!G1310="""","""",IF(LEFT(REGEXREPLACE(TO_TEXT('Respuestas de formulario 1'!G1310),""[^0-9]"",""""),2)=""54"",""+""&amp;REGEXREPLACE(TO_TEXT('Respuestas de formulario 1'!G1310),""[^0-9]"",""""),""+54""&amp;REGEXREPLACE(TO_TEXT('Respu"&amp;"estas de formulario 1'!G1310),""[^0-9]"","""")))"),"+543585133951")</f>
        <v>+543585133951</v>
      </c>
      <c r="H1310" s="7">
        <f>'Respuestas de formulario 1'!S1310</f>
        <v>2025</v>
      </c>
      <c r="I1310" s="7" t="str">
        <f>IFERROR(__xludf.DUMMYFUNCTION("IF('Respuestas de formulario 1'!I1310="""","""",TO_TEXT('Respuestas de formulario 1'!I1310))"),"Obra social")</f>
        <v>Obra social</v>
      </c>
      <c r="J1310" s="7" t="str">
        <f>IFERROR(__xludf.DUMMYFUNCTION("IF('Respuestas de formulario 1'!J1310&lt;&gt;"""",UPPER(TRIM(TO_TEXT('Respuestas de formulario 1'!J1310))),IF('Respuestas de formulario 1'!O1310&lt;&gt;"""",UPPER(TRIM(TO_TEXT('Respuestas de formulario 1'!O1310))),""""))"),"SANCOR")</f>
        <v>SANCOR</v>
      </c>
      <c r="K1310" s="7" t="str">
        <f>IFERROR(__xludf.DUMMYFUNCTION("IF('Respuestas de formulario 1'!K1310="""","""",TO_TEXT('Respuestas de formulario 1'!K1310))"),"Si")</f>
        <v>Si</v>
      </c>
      <c r="L1310" s="7" t="str">
        <f>IFERROR(__xludf.DUMMYFUNCTION("IF('Respuestas de formulario 1'!L1310="""","""",TO_TEXT('Respuestas de formulario 1'!L1310))"),"padel")</f>
        <v>padel</v>
      </c>
      <c r="M1310" s="7" t="str">
        <f>IFERROR(__xludf.DUMMYFUNCTION("IF('Respuestas de formulario 1'!M1310="""","""",TO_TEXT('Respuestas de formulario 1'!M1310))"),"6 a 7 veces por semana")</f>
        <v>6 a 7 veces por semana</v>
      </c>
      <c r="N1310" s="7">
        <f t="shared" si="1"/>
        <v>2025</v>
      </c>
      <c r="O1310" s="7" t="str">
        <f t="shared" si="2"/>
        <v>noviembre</v>
      </c>
      <c r="P1310" s="7" t="s">
        <v>6738</v>
      </c>
    </row>
    <row r="1311">
      <c r="A1311" s="19">
        <f>'Respuestas de formulario 1'!A1311</f>
        <v>45971.47377</v>
      </c>
      <c r="B1311" s="7" t="str">
        <f>'Respuestas de formulario 1'!B1311</f>
        <v>Ledesma</v>
      </c>
      <c r="C1311" s="7" t="str">
        <f>'Respuestas de formulario 1'!C1311</f>
        <v>Juan Carlos</v>
      </c>
      <c r="D1311" s="7" t="str">
        <f>'Respuestas de formulario 1'!D1311</f>
        <v>jc.ledesma556@gmail.com</v>
      </c>
      <c r="E1311" s="20">
        <f>'Respuestas de formulario 1'!E1311</f>
        <v>18023</v>
      </c>
      <c r="F1311" s="7">
        <f>'Respuestas de formulario 1'!F1311</f>
        <v>7645601</v>
      </c>
      <c r="G1311" s="7" t="str">
        <f>IFERROR(__xludf.DUMMYFUNCTION("IF('Respuestas de formulario 1'!G1311="""","""",IF(LEFT(REGEXREPLACE(TO_TEXT('Respuestas de formulario 1'!G1311),""[^0-9]"",""""),2)=""54"",""+""&amp;REGEXREPLACE(TO_TEXT('Respuestas de formulario 1'!G1311),""[^0-9]"",""""),""+54""&amp;REGEXREPLACE(TO_TEXT('Respu"&amp;"estas de formulario 1'!G1311),""[^0-9]"","""")))"),"+543515511293")</f>
        <v>+543515511293</v>
      </c>
      <c r="H1311" s="7">
        <f>'Respuestas de formulario 1'!S1311</f>
        <v>2025</v>
      </c>
      <c r="I1311" s="7" t="str">
        <f>IFERROR(__xludf.DUMMYFUNCTION("IF('Respuestas de formulario 1'!I1311="""","""",TO_TEXT('Respuestas de formulario 1'!I1311))"),"Obra social")</f>
        <v>Obra social</v>
      </c>
      <c r="J1311" s="7" t="str">
        <f>IFERROR(__xludf.DUMMYFUNCTION("IF('Respuestas de formulario 1'!J1311&lt;&gt;"""",UPPER(TRIM(TO_TEXT('Respuestas de formulario 1'!J1311))),IF('Respuestas de formulario 1'!O1311&lt;&gt;"""",UPPER(TRIM(TO_TEXT('Respuestas de formulario 1'!O1311))),""""))"),"CPCE")</f>
        <v>CPCE</v>
      </c>
      <c r="K1311" s="7" t="str">
        <f>IFERROR(__xludf.DUMMYFUNCTION("IF('Respuestas de formulario 1'!K1311="""","""",TO_TEXT('Respuestas de formulario 1'!K1311))"),"Si")</f>
        <v>Si</v>
      </c>
      <c r="L1311" s="7" t="str">
        <f>IFERROR(__xludf.DUMMYFUNCTION("IF('Respuestas de formulario 1'!L1311="""","""",TO_TEXT('Respuestas de formulario 1'!L1311))"),"Gimnasio")</f>
        <v>Gimnasio</v>
      </c>
      <c r="M1311" s="7" t="str">
        <f>IFERROR(__xludf.DUMMYFUNCTION("IF('Respuestas de formulario 1'!M1311="""","""",TO_TEXT('Respuestas de formulario 1'!M1311))"),"3 a 5 veces por semana")</f>
        <v>3 a 5 veces por semana</v>
      </c>
      <c r="N1311" s="7">
        <f t="shared" si="1"/>
        <v>2025</v>
      </c>
      <c r="O1311" s="7" t="str">
        <f t="shared" si="2"/>
        <v>noviembre</v>
      </c>
      <c r="P1311" s="7" t="s">
        <v>6740</v>
      </c>
    </row>
    <row r="1312">
      <c r="A1312" s="19">
        <f>'Respuestas de formulario 1'!A1312</f>
        <v>45971.74976</v>
      </c>
      <c r="B1312" s="7" t="str">
        <f>'Respuestas de formulario 1'!B1312</f>
        <v>Casella</v>
      </c>
      <c r="C1312" s="7" t="str">
        <f>'Respuestas de formulario 1'!C1312</f>
        <v>Guido</v>
      </c>
      <c r="D1312" s="7" t="str">
        <f>'Respuestas de formulario 1'!D1312</f>
        <v/>
      </c>
      <c r="E1312" s="20">
        <f>'Respuestas de formulario 1'!E1312</f>
        <v>34078</v>
      </c>
      <c r="F1312" s="7">
        <f>'Respuestas de formulario 1'!F1312</f>
        <v>37476222</v>
      </c>
      <c r="G1312" s="7" t="str">
        <f>IFERROR(__xludf.DUMMYFUNCTION("IF('Respuestas de formulario 1'!G1312="""","""",IF(LEFT(REGEXREPLACE(TO_TEXT('Respuestas de formulario 1'!G1312),""[^0-9]"",""""),2)=""54"",""+""&amp;REGEXREPLACE(TO_TEXT('Respuestas de formulario 1'!G1312),""[^0-9]"",""""),""+54""&amp;REGEXREPLACE(TO_TEXT('Respu"&amp;"estas de formulario 1'!G1312),""[^0-9]"","""")))"),"+543515293085")</f>
        <v>+543515293085</v>
      </c>
      <c r="H1312" s="7">
        <f>'Respuestas de formulario 1'!S1312</f>
        <v>2025</v>
      </c>
      <c r="I1312" s="7" t="str">
        <f>IFERROR(__xludf.DUMMYFUNCTION("IF('Respuestas de formulario 1'!I1312="""","""",TO_TEXT('Respuestas de formulario 1'!I1312))"),"Particular")</f>
        <v>Particular</v>
      </c>
      <c r="J1312" s="7" t="str">
        <f>IFERROR(__xludf.DUMMYFUNCTION("IF('Respuestas de formulario 1'!J1312&lt;&gt;"""",UPPER(TRIM(TO_TEXT('Respuestas de formulario 1'!J1312))),IF('Respuestas de formulario 1'!O1312&lt;&gt;"""",UPPER(TRIM(TO_TEXT('Respuestas de formulario 1'!O1312))),""""))"),"")</f>
        <v/>
      </c>
      <c r="K1312" s="7" t="str">
        <f>IFERROR(__xludf.DUMMYFUNCTION("IF('Respuestas de formulario 1'!K1312="""","""",TO_TEXT('Respuestas de formulario 1'!K1312))"),"Si")</f>
        <v>Si</v>
      </c>
      <c r="L1312" s="7" t="str">
        <f>IFERROR(__xludf.DUMMYFUNCTION("IF('Respuestas de formulario 1'!L1312="""","""",TO_TEXT('Respuestas de formulario 1'!L1312))"),"Tenis")</f>
        <v>Tenis</v>
      </c>
      <c r="M1312" s="7" t="str">
        <f>IFERROR(__xludf.DUMMYFUNCTION("IF('Respuestas de formulario 1'!M1312="""","""",TO_TEXT('Respuestas de formulario 1'!M1312))"),"1 a 2 veces por semana")</f>
        <v>1 a 2 veces por semana</v>
      </c>
      <c r="N1312" s="7">
        <f t="shared" si="1"/>
        <v>2025</v>
      </c>
      <c r="O1312" s="7" t="str">
        <f t="shared" si="2"/>
        <v>noviembre</v>
      </c>
      <c r="P1312" s="7" t="s">
        <v>6742</v>
      </c>
    </row>
    <row r="1313">
      <c r="A1313" s="19">
        <f>'Respuestas de formulario 1'!A1313</f>
        <v>45971.78967</v>
      </c>
      <c r="B1313" s="7" t="str">
        <f>'Respuestas de formulario 1'!B1313</f>
        <v>Goria</v>
      </c>
      <c r="C1313" s="7" t="str">
        <f>'Respuestas de formulario 1'!C1313</f>
        <v>Alejandra Cecilia</v>
      </c>
      <c r="D1313" s="7" t="str">
        <f>'Respuestas de formulario 1'!D1313</f>
        <v>alegoria.delfi@gmail.com</v>
      </c>
      <c r="E1313" s="20">
        <f>'Respuestas de formulario 1'!E1313</f>
        <v>26574</v>
      </c>
      <c r="F1313" s="7">
        <f>'Respuestas de formulario 1'!F1313</f>
        <v>23243683</v>
      </c>
      <c r="G1313" s="7" t="str">
        <f>IFERROR(__xludf.DUMMYFUNCTION("IF('Respuestas de formulario 1'!G1313="""","""",IF(LEFT(REGEXREPLACE(TO_TEXT('Respuestas de formulario 1'!G1313),""[^0-9]"",""""),2)=""54"",""+""&amp;REGEXREPLACE(TO_TEXT('Respuestas de formulario 1'!G1313),""[^0-9]"",""""),""+54""&amp;REGEXREPLACE(TO_TEXT('Respu"&amp;"estas de formulario 1'!G1313),""[^0-9]"","""")))"),"+543512683884")</f>
        <v>+543512683884</v>
      </c>
      <c r="H1313" s="7">
        <f>'Respuestas de formulario 1'!S1313</f>
        <v>2025</v>
      </c>
      <c r="I1313" s="7" t="str">
        <f>IFERROR(__xludf.DUMMYFUNCTION("IF('Respuestas de formulario 1'!I1313="""","""",TO_TEXT('Respuestas de formulario 1'!I1313))"),"Obra social")</f>
        <v>Obra social</v>
      </c>
      <c r="J1313" s="7" t="str">
        <f>IFERROR(__xludf.DUMMYFUNCTION("IF('Respuestas de formulario 1'!J1313&lt;&gt;"""",UPPER(TRIM(TO_TEXT('Respuestas de formulario 1'!J1313))),IF('Respuestas de formulario 1'!O1313&lt;&gt;"""",UPPER(TRIM(TO_TEXT('Respuestas de formulario 1'!O1313))),""""))"),"APROSS")</f>
        <v>APROSS</v>
      </c>
      <c r="K1313" s="7" t="str">
        <f>IFERROR(__xludf.DUMMYFUNCTION("IF('Respuestas de formulario 1'!K1313="""","""",TO_TEXT('Respuestas de formulario 1'!K1313))"),"Si")</f>
        <v>Si</v>
      </c>
      <c r="L1313" s="7" t="str">
        <f>IFERROR(__xludf.DUMMYFUNCTION("IF('Respuestas de formulario 1'!L1313="""","""",TO_TEXT('Respuestas de formulario 1'!L1313))"),"Gimnasio")</f>
        <v>Gimnasio</v>
      </c>
      <c r="M1313" s="7" t="str">
        <f>IFERROR(__xludf.DUMMYFUNCTION("IF('Respuestas de formulario 1'!M1313="""","""",TO_TEXT('Respuestas de formulario 1'!M1313))"),"3 a 5 veces por semana")</f>
        <v>3 a 5 veces por semana</v>
      </c>
      <c r="N1313" s="7">
        <f t="shared" si="1"/>
        <v>2025</v>
      </c>
      <c r="O1313" s="7" t="str">
        <f t="shared" si="2"/>
        <v>noviembre</v>
      </c>
      <c r="P1313" s="7" t="s">
        <v>6743</v>
      </c>
    </row>
    <row r="1314">
      <c r="A1314" s="19">
        <f>'Respuestas de formulario 1'!A1314</f>
        <v>45972.42288</v>
      </c>
      <c r="B1314" s="7" t="str">
        <f>'Respuestas de formulario 1'!B1314</f>
        <v>Alonso</v>
      </c>
      <c r="C1314" s="7" t="str">
        <f>'Respuestas de formulario 1'!C1314</f>
        <v>Nélida</v>
      </c>
      <c r="D1314" s="7" t="str">
        <f>'Respuestas de formulario 1'!D1314</f>
        <v>negraalonso22@gmail.com</v>
      </c>
      <c r="E1314" s="20">
        <f>'Respuestas de formulario 1'!E1314</f>
        <v>26574</v>
      </c>
      <c r="F1314" s="7">
        <f>'Respuestas de formulario 1'!F1314</f>
        <v>6396882</v>
      </c>
      <c r="G1314" s="7" t="str">
        <f>IFERROR(__xludf.DUMMYFUNCTION("IF('Respuestas de formulario 1'!G1314="""","""",IF(LEFT(REGEXREPLACE(TO_TEXT('Respuestas de formulario 1'!G1314),""[^0-9]"",""""),2)=""54"",""+""&amp;REGEXREPLACE(TO_TEXT('Respuestas de formulario 1'!G1314),""[^0-9]"",""""),""+54""&amp;REGEXREPLACE(TO_TEXT('Respu"&amp;"estas de formulario 1'!G1314),""[^0-9]"","""")))"),"+543513650973")</f>
        <v>+543513650973</v>
      </c>
      <c r="H1314" s="7">
        <f>'Respuestas de formulario 1'!S1314</f>
        <v>2025</v>
      </c>
      <c r="I1314" s="7" t="str">
        <f>IFERROR(__xludf.DUMMYFUNCTION("IF('Respuestas de formulario 1'!I1314="""","""",TO_TEXT('Respuestas de formulario 1'!I1314))"),"Particular")</f>
        <v>Particular</v>
      </c>
      <c r="J1314" s="7" t="str">
        <f>IFERROR(__xludf.DUMMYFUNCTION("IF('Respuestas de formulario 1'!J1314&lt;&gt;"""",UPPER(TRIM(TO_TEXT('Respuestas de formulario 1'!J1314))),IF('Respuestas de formulario 1'!O1314&lt;&gt;"""",UPPER(TRIM(TO_TEXT('Respuestas de formulario 1'!O1314))),""""))"),"")</f>
        <v/>
      </c>
      <c r="K1314" s="7" t="str">
        <f>IFERROR(__xludf.DUMMYFUNCTION("IF('Respuestas de formulario 1'!K1314="""","""",TO_TEXT('Respuestas de formulario 1'!K1314))"),"No")</f>
        <v>No</v>
      </c>
      <c r="L1314" s="7" t="str">
        <f>IFERROR(__xludf.DUMMYFUNCTION("IF('Respuestas de formulario 1'!L1314="""","""",TO_TEXT('Respuestas de formulario 1'!L1314))"),"")</f>
        <v/>
      </c>
      <c r="M1314" s="7" t="str">
        <f>IFERROR(__xludf.DUMMYFUNCTION("IF('Respuestas de formulario 1'!M1314="""","""",TO_TEXT('Respuestas de formulario 1'!M1314))"),"")</f>
        <v/>
      </c>
      <c r="N1314" s="7">
        <f t="shared" si="1"/>
        <v>2025</v>
      </c>
      <c r="O1314" s="7" t="str">
        <f t="shared" si="2"/>
        <v>noviembre</v>
      </c>
      <c r="P1314" s="7" t="s">
        <v>6745</v>
      </c>
    </row>
    <row r="1315">
      <c r="A1315" s="19">
        <f>'Respuestas de formulario 1'!A1315</f>
        <v>45972.80775</v>
      </c>
      <c r="B1315" s="7" t="str">
        <f>'Respuestas de formulario 1'!B1315</f>
        <v>Picco</v>
      </c>
      <c r="C1315" s="7" t="str">
        <f>'Respuestas de formulario 1'!C1315</f>
        <v>Gabriel Alejandro</v>
      </c>
      <c r="D1315" s="7" t="str">
        <f>'Respuestas de formulario 1'!D1315</f>
        <v>gabrielpicco@hotmail.com</v>
      </c>
      <c r="E1315" s="20">
        <f>'Respuestas de formulario 1'!E1315</f>
        <v>26484</v>
      </c>
      <c r="F1315" s="7">
        <f>'Respuestas de formulario 1'!F1315</f>
        <v>21757800</v>
      </c>
      <c r="G1315" s="7" t="str">
        <f>IFERROR(__xludf.DUMMYFUNCTION("IF('Respuestas de formulario 1'!G1315="""","""",IF(LEFT(REGEXREPLACE(TO_TEXT('Respuestas de formulario 1'!G1315),""[^0-9]"",""""),2)=""54"",""+""&amp;REGEXREPLACE(TO_TEXT('Respuestas de formulario 1'!G1315),""[^0-9]"",""""),""+54""&amp;REGEXREPLACE(TO_TEXT('Respu"&amp;"estas de formulario 1'!G1315),""[^0-9]"","""")))"),"+543512456704")</f>
        <v>+543512456704</v>
      </c>
      <c r="H1315" s="7">
        <f>'Respuestas de formulario 1'!S1315</f>
        <v>2025</v>
      </c>
      <c r="I1315" s="7" t="str">
        <f>IFERROR(__xludf.DUMMYFUNCTION("IF('Respuestas de formulario 1'!I1315="""","""",TO_TEXT('Respuestas de formulario 1'!I1315))"),"Obra social")</f>
        <v>Obra social</v>
      </c>
      <c r="J1315" s="7" t="str">
        <f>IFERROR(__xludf.DUMMYFUNCTION("IF('Respuestas de formulario 1'!J1315&lt;&gt;"""",UPPER(TRIM(TO_TEXT('Respuestas de formulario 1'!J1315))),IF('Respuestas de formulario 1'!O1315&lt;&gt;"""",UPPER(TRIM(TO_TEXT('Respuestas de formulario 1'!O1315))),""""))"),"PREVENCIÓN")</f>
        <v>PREVENCIÓN</v>
      </c>
      <c r="K1315" s="7" t="str">
        <f>IFERROR(__xludf.DUMMYFUNCTION("IF('Respuestas de formulario 1'!K1315="""","""",TO_TEXT('Respuestas de formulario 1'!K1315))"),"Si")</f>
        <v>Si</v>
      </c>
      <c r="L1315" s="7" t="str">
        <f>IFERROR(__xludf.DUMMYFUNCTION("IF('Respuestas de formulario 1'!L1315="""","""",TO_TEXT('Respuestas de formulario 1'!L1315))"),"Gimnasio")</f>
        <v>Gimnasio</v>
      </c>
      <c r="M1315" s="7" t="str">
        <f>IFERROR(__xludf.DUMMYFUNCTION("IF('Respuestas de formulario 1'!M1315="""","""",TO_TEXT('Respuestas de formulario 1'!M1315))"),"3 a 5 veces por semana")</f>
        <v>3 a 5 veces por semana</v>
      </c>
      <c r="N1315" s="7">
        <f t="shared" si="1"/>
        <v>2025</v>
      </c>
      <c r="O1315" s="7" t="str">
        <f t="shared" si="2"/>
        <v>noviembre</v>
      </c>
      <c r="P1315" s="7" t="s">
        <v>6747</v>
      </c>
    </row>
    <row r="1316">
      <c r="A1316" s="19">
        <f>'Respuestas de formulario 1'!A1316</f>
        <v>45973.50073</v>
      </c>
      <c r="B1316" s="7" t="str">
        <f>'Respuestas de formulario 1'!B1316</f>
        <v>Vittar Alvis </v>
      </c>
      <c r="C1316" s="7" t="str">
        <f>'Respuestas de formulario 1'!C1316</f>
        <v>Samir</v>
      </c>
      <c r="D1316" s="7" t="str">
        <f>'Respuestas de formulario 1'!D1316</f>
        <v>Samirvittar44@gmail.com</v>
      </c>
      <c r="E1316" s="20">
        <f>'Respuestas de formulario 1'!E1316</f>
        <v>37951</v>
      </c>
      <c r="F1316" s="7">
        <f>'Respuestas de formulario 1'!F1316</f>
        <v>45082822</v>
      </c>
      <c r="G1316" s="7" t="str">
        <f>IFERROR(__xludf.DUMMYFUNCTION("IF('Respuestas de formulario 1'!G1316="""","""",IF(LEFT(REGEXREPLACE(TO_TEXT('Respuestas de formulario 1'!G1316),""[^0-9]"",""""),2)=""54"",""+""&amp;REGEXREPLACE(TO_TEXT('Respuestas de formulario 1'!G1316),""[^0-9]"",""""),""+54""&amp;REGEXREPLACE(TO_TEXT('Respu"&amp;"estas de formulario 1'!G1316),""[^0-9]"","""")))"),"+543513986828")</f>
        <v>+543513986828</v>
      </c>
      <c r="H1316" s="7">
        <f>'Respuestas de formulario 1'!S1316</f>
        <v>2025</v>
      </c>
      <c r="I1316" s="7" t="str">
        <f>IFERROR(__xludf.DUMMYFUNCTION("IF('Respuestas de formulario 1'!I1316="""","""",TO_TEXT('Respuestas de formulario 1'!I1316))"),"Obra social")</f>
        <v>Obra social</v>
      </c>
      <c r="J1316" s="7" t="str">
        <f>IFERROR(__xludf.DUMMYFUNCTION("IF('Respuestas de formulario 1'!J1316&lt;&gt;"""",UPPER(TRIM(TO_TEXT('Respuestas de formulario 1'!J1316))),IF('Respuestas de formulario 1'!O1316&lt;&gt;"""",UPPER(TRIM(TO_TEXT('Respuestas de formulario 1'!O1316))),""""))"),"DASPU")</f>
        <v>DASPU</v>
      </c>
      <c r="K1316" s="7" t="str">
        <f>IFERROR(__xludf.DUMMYFUNCTION("IF('Respuestas de formulario 1'!K1316="""","""",TO_TEXT('Respuestas de formulario 1'!K1316))"),"Si")</f>
        <v>Si</v>
      </c>
      <c r="L1316" s="7" t="str">
        <f>IFERROR(__xludf.DUMMYFUNCTION("IF('Respuestas de formulario 1'!L1316="""","""",TO_TEXT('Respuestas de formulario 1'!L1316))"),"Tenis y gimnasio ")</f>
        <v>Tenis y gimnasio </v>
      </c>
      <c r="M1316" s="7" t="str">
        <f>IFERROR(__xludf.DUMMYFUNCTION("IF('Respuestas de formulario 1'!M1316="""","""",TO_TEXT('Respuestas de formulario 1'!M1316))"),"3 a 5 veces por semana")</f>
        <v>3 a 5 veces por semana</v>
      </c>
      <c r="N1316" s="7">
        <f t="shared" si="1"/>
        <v>2025</v>
      </c>
      <c r="O1316" s="7" t="str">
        <f t="shared" si="2"/>
        <v>noviembre</v>
      </c>
      <c r="P1316" s="7" t="s">
        <v>6749</v>
      </c>
    </row>
    <row r="1317">
      <c r="A1317" s="19">
        <f>'Respuestas de formulario 1'!A1317</f>
        <v>45973.77261</v>
      </c>
      <c r="B1317" s="7" t="str">
        <f>'Respuestas de formulario 1'!B1317</f>
        <v>Obieta</v>
      </c>
      <c r="C1317" s="7" t="str">
        <f>'Respuestas de formulario 1'!C1317</f>
        <v>Marco</v>
      </c>
      <c r="D1317" s="7" t="str">
        <f>'Respuestas de formulario 1'!D1317</f>
        <v/>
      </c>
      <c r="E1317" s="20">
        <f>'Respuestas de formulario 1'!E1317</f>
        <v>34480</v>
      </c>
      <c r="F1317" s="7">
        <f>'Respuestas de formulario 1'!F1317</f>
        <v>38328512</v>
      </c>
      <c r="G1317" s="7" t="str">
        <f>IFERROR(__xludf.DUMMYFUNCTION("IF('Respuestas de formulario 1'!G1317="""","""",IF(LEFT(REGEXREPLACE(TO_TEXT('Respuestas de formulario 1'!G1317),""[^0-9]"",""""),2)=""54"",""+""&amp;REGEXREPLACE(TO_TEXT('Respuestas de formulario 1'!G1317),""[^0-9]"",""""),""+54""&amp;REGEXREPLACE(TO_TEXT('Respu"&amp;"estas de formulario 1'!G1317),""[^0-9]"","""")))"),"+543513852743")</f>
        <v>+543513852743</v>
      </c>
      <c r="H1317" s="7">
        <f>'Respuestas de formulario 1'!S1317</f>
        <v>2025</v>
      </c>
      <c r="I1317" s="7" t="str">
        <f>IFERROR(__xludf.DUMMYFUNCTION("IF('Respuestas de formulario 1'!I1317="""","""",TO_TEXT('Respuestas de formulario 1'!I1317))"),"Particular")</f>
        <v>Particular</v>
      </c>
      <c r="J1317" s="7" t="str">
        <f>IFERROR(__xludf.DUMMYFUNCTION("IF('Respuestas de formulario 1'!J1317&lt;&gt;"""",UPPER(TRIM(TO_TEXT('Respuestas de formulario 1'!J1317))),IF('Respuestas de formulario 1'!O1317&lt;&gt;"""",UPPER(TRIM(TO_TEXT('Respuestas de formulario 1'!O1317))),""""))"),"")</f>
        <v/>
      </c>
      <c r="K1317" s="7" t="str">
        <f>IFERROR(__xludf.DUMMYFUNCTION("IF('Respuestas de formulario 1'!K1317="""","""",TO_TEXT('Respuestas de formulario 1'!K1317))"),"Si")</f>
        <v>Si</v>
      </c>
      <c r="L1317" s="7" t="str">
        <f>IFERROR(__xludf.DUMMYFUNCTION("IF('Respuestas de formulario 1'!L1317="""","""",TO_TEXT('Respuestas de formulario 1'!L1317))"),"Fútbol")</f>
        <v>Fútbol</v>
      </c>
      <c r="M1317" s="7" t="str">
        <f>IFERROR(__xludf.DUMMYFUNCTION("IF('Respuestas de formulario 1'!M1317="""","""",TO_TEXT('Respuestas de formulario 1'!M1317))"),"1 a 2 veces por semana")</f>
        <v>1 a 2 veces por semana</v>
      </c>
      <c r="N1317" s="7">
        <f t="shared" si="1"/>
        <v>2025</v>
      </c>
      <c r="O1317" s="7" t="str">
        <f t="shared" si="2"/>
        <v>noviembre</v>
      </c>
      <c r="P1317" s="7" t="s">
        <v>6751</v>
      </c>
    </row>
    <row r="1318">
      <c r="A1318" s="19">
        <f>'Respuestas de formulario 1'!A1318</f>
        <v>45973.82021</v>
      </c>
      <c r="B1318" s="7" t="str">
        <f>'Respuestas de formulario 1'!B1318</f>
        <v>Lombardo </v>
      </c>
      <c r="C1318" s="7" t="str">
        <f>'Respuestas de formulario 1'!C1318</f>
        <v>Jorge </v>
      </c>
      <c r="D1318" s="7" t="str">
        <f>'Respuestas de formulario 1'!D1318</f>
        <v>jorgelombar@gmail.com</v>
      </c>
      <c r="E1318" s="20">
        <f>'Respuestas de formulario 1'!E1318</f>
        <v>20040</v>
      </c>
      <c r="F1318" s="7">
        <f>'Respuestas de formulario 1'!F1318</f>
        <v>11287740</v>
      </c>
      <c r="G1318" s="7" t="str">
        <f>IFERROR(__xludf.DUMMYFUNCTION("IF('Respuestas de formulario 1'!G1318="""","""",IF(LEFT(REGEXREPLACE(TO_TEXT('Respuestas de formulario 1'!G1318),""[^0-9]"",""""),2)=""54"",""+""&amp;REGEXREPLACE(TO_TEXT('Respuestas de formulario 1'!G1318),""[^0-9]"",""""),""+54""&amp;REGEXREPLACE(TO_TEXT('Respu"&amp;"estas de formulario 1'!G1318),""[^0-9]"","""")))"),"+543515290136")</f>
        <v>+543515290136</v>
      </c>
      <c r="H1318" s="7">
        <f>'Respuestas de formulario 1'!S1318</f>
        <v>2025</v>
      </c>
      <c r="I1318" s="7" t="str">
        <f>IFERROR(__xludf.DUMMYFUNCTION("IF('Respuestas de formulario 1'!I1318="""","""",TO_TEXT('Respuestas de formulario 1'!I1318))"),"Obra social")</f>
        <v>Obra social</v>
      </c>
      <c r="J1318" s="7" t="str">
        <f>IFERROR(__xludf.DUMMYFUNCTION("IF('Respuestas de formulario 1'!J1318&lt;&gt;"""",UPPER(TRIM(TO_TEXT('Respuestas de formulario 1'!J1318))),IF('Respuestas de formulario 1'!O1318&lt;&gt;"""",UPPER(TRIM(TO_TEXT('Respuestas de formulario 1'!O1318))),""""))"),"OSSEG")</f>
        <v>OSSEG</v>
      </c>
      <c r="K1318" s="7" t="str">
        <f>IFERROR(__xludf.DUMMYFUNCTION("IF('Respuestas de formulario 1'!K1318="""","""",TO_TEXT('Respuestas de formulario 1'!K1318))"),"Si")</f>
        <v>Si</v>
      </c>
      <c r="L1318" s="7" t="str">
        <f>IFERROR(__xludf.DUMMYFUNCTION("IF('Respuestas de formulario 1'!L1318="""","""",TO_TEXT('Respuestas de formulario 1'!L1318))"),"Pádel")</f>
        <v>Pádel</v>
      </c>
      <c r="M1318" s="7" t="str">
        <f>IFERROR(__xludf.DUMMYFUNCTION("IF('Respuestas de formulario 1'!M1318="""","""",TO_TEXT('Respuestas de formulario 1'!M1318))"),"3 a 5 veces por semana")</f>
        <v>3 a 5 veces por semana</v>
      </c>
      <c r="N1318" s="7">
        <f t="shared" si="1"/>
        <v>2025</v>
      </c>
      <c r="O1318" s="7" t="str">
        <f t="shared" si="2"/>
        <v>noviembre</v>
      </c>
      <c r="P1318" s="7" t="s">
        <v>6753</v>
      </c>
    </row>
    <row r="1319">
      <c r="A1319" s="19">
        <f>'Respuestas de formulario 1'!A1319</f>
        <v>45974.43905</v>
      </c>
      <c r="B1319" s="7" t="str">
        <f>'Respuestas de formulario 1'!B1319</f>
        <v>Escuti</v>
      </c>
      <c r="C1319" s="7" t="str">
        <f>'Respuestas de formulario 1'!C1319</f>
        <v>Nicolás </v>
      </c>
      <c r="D1319" s="7" t="str">
        <f>'Respuestas de formulario 1'!D1319</f>
        <v>nicoescuti7@gmail.com</v>
      </c>
      <c r="E1319" s="20">
        <f>'Respuestas de formulario 1'!E1319</f>
        <v>35108</v>
      </c>
      <c r="F1319" s="7">
        <f>'Respuestas de formulario 1'!F1319</f>
        <v>39445517</v>
      </c>
      <c r="G1319" s="7" t="str">
        <f>IFERROR(__xludf.DUMMYFUNCTION("IF('Respuestas de formulario 1'!G1319="""","""",IF(LEFT(REGEXREPLACE(TO_TEXT('Respuestas de formulario 1'!G1319),""[^0-9]"",""""),2)=""54"",""+""&amp;REGEXREPLACE(TO_TEXT('Respuestas de formulario 1'!G1319),""[^0-9]"",""""),""+54""&amp;REGEXREPLACE(TO_TEXT('Respu"&amp;"estas de formulario 1'!G1319),""[^0-9]"","""")))"),"+543512579303")</f>
        <v>+543512579303</v>
      </c>
      <c r="H1319" s="7">
        <f>'Respuestas de formulario 1'!S1319</f>
        <v>2025</v>
      </c>
      <c r="I1319" s="7" t="str">
        <f>IFERROR(__xludf.DUMMYFUNCTION("IF('Respuestas de formulario 1'!I1319="""","""",TO_TEXT('Respuestas de formulario 1'!I1319))"),"Particular")</f>
        <v>Particular</v>
      </c>
      <c r="J1319" s="7" t="str">
        <f>IFERROR(__xludf.DUMMYFUNCTION("IF('Respuestas de formulario 1'!J1319&lt;&gt;"""",UPPER(TRIM(TO_TEXT('Respuestas de formulario 1'!J1319))),IF('Respuestas de formulario 1'!O1319&lt;&gt;"""",UPPER(TRIM(TO_TEXT('Respuestas de formulario 1'!O1319))),""""))"),"")</f>
        <v/>
      </c>
      <c r="K1319" s="7" t="str">
        <f>IFERROR(__xludf.DUMMYFUNCTION("IF('Respuestas de formulario 1'!K1319="""","""",TO_TEXT('Respuestas de formulario 1'!K1319))"),"Si")</f>
        <v>Si</v>
      </c>
      <c r="L1319" s="7" t="str">
        <f>IFERROR(__xludf.DUMMYFUNCTION("IF('Respuestas de formulario 1'!L1319="""","""",TO_TEXT('Respuestas de formulario 1'!L1319))"),"Crossfit")</f>
        <v>Crossfit</v>
      </c>
      <c r="M1319" s="7" t="str">
        <f>IFERROR(__xludf.DUMMYFUNCTION("IF('Respuestas de formulario 1'!M1319="""","""",TO_TEXT('Respuestas de formulario 1'!M1319))"),"3 a 5 veces por semana")</f>
        <v>3 a 5 veces por semana</v>
      </c>
      <c r="N1319" s="7">
        <f t="shared" si="1"/>
        <v>2025</v>
      </c>
      <c r="O1319" s="7" t="str">
        <f t="shared" si="2"/>
        <v>noviembre</v>
      </c>
      <c r="P1319" s="7" t="s">
        <v>6755</v>
      </c>
    </row>
    <row r="1320">
      <c r="A1320" s="19">
        <f>'Respuestas de formulario 1'!A1320</f>
        <v>45974.64643</v>
      </c>
      <c r="B1320" s="7" t="str">
        <f>'Respuestas de formulario 1'!B1320</f>
        <v>Reyna</v>
      </c>
      <c r="C1320" s="7" t="str">
        <f>'Respuestas de formulario 1'!C1320</f>
        <v>Juan Manuel</v>
      </c>
      <c r="D1320" s="7" t="str">
        <f>'Respuestas de formulario 1'!D1320</f>
        <v>juanmanurey1971@gmail.com</v>
      </c>
      <c r="E1320" s="20">
        <f>'Respuestas de formulario 1'!E1320</f>
        <v>26226</v>
      </c>
      <c r="F1320" s="7">
        <f>'Respuestas de formulario 1'!F1320</f>
        <v>22373152</v>
      </c>
      <c r="G1320" s="7" t="str">
        <f>IFERROR(__xludf.DUMMYFUNCTION("IF('Respuestas de formulario 1'!G1320="""","""",IF(LEFT(REGEXREPLACE(TO_TEXT('Respuestas de formulario 1'!G1320),""[^0-9]"",""""),2)=""54"",""+""&amp;REGEXREPLACE(TO_TEXT('Respuestas de formulario 1'!G1320),""[^0-9]"",""""),""+54""&amp;REGEXREPLACE(TO_TEXT('Respu"&amp;"estas de formulario 1'!G1320),""[^0-9]"","""")))"),"+543516111699")</f>
        <v>+543516111699</v>
      </c>
      <c r="H1320" s="7">
        <f>'Respuestas de formulario 1'!S1320</f>
        <v>2025</v>
      </c>
      <c r="I1320" s="7" t="str">
        <f>IFERROR(__xludf.DUMMYFUNCTION("IF('Respuestas de formulario 1'!I1320="""","""",TO_TEXT('Respuestas de formulario 1'!I1320))"),"Obra social")</f>
        <v>Obra social</v>
      </c>
      <c r="J1320" s="7" t="str">
        <f>IFERROR(__xludf.DUMMYFUNCTION("IF('Respuestas de formulario 1'!J1320&lt;&gt;"""",UPPER(TRIM(TO_TEXT('Respuestas de formulario 1'!J1320))),IF('Respuestas de formulario 1'!O1320&lt;&gt;"""",UPPER(TRIM(TO_TEXT('Respuestas de formulario 1'!O1320))),""""))"),"APROSS")</f>
        <v>APROSS</v>
      </c>
      <c r="K1320" s="7" t="str">
        <f>IFERROR(__xludf.DUMMYFUNCTION("IF('Respuestas de formulario 1'!K1320="""","""",TO_TEXT('Respuestas de formulario 1'!K1320))"),"Si")</f>
        <v>Si</v>
      </c>
      <c r="L1320" s="7" t="str">
        <f>IFERROR(__xludf.DUMMYFUNCTION("IF('Respuestas de formulario 1'!L1320="""","""",TO_TEXT('Respuestas de formulario 1'!L1320))"),"Fútbol")</f>
        <v>Fútbol</v>
      </c>
      <c r="M1320" s="7" t="str">
        <f>IFERROR(__xludf.DUMMYFUNCTION("IF('Respuestas de formulario 1'!M1320="""","""",TO_TEXT('Respuestas de formulario 1'!M1320))"),"1 a 2 veces por semana")</f>
        <v>1 a 2 veces por semana</v>
      </c>
      <c r="N1320" s="7">
        <f t="shared" si="1"/>
        <v>2025</v>
      </c>
      <c r="O1320" s="7" t="str">
        <f t="shared" si="2"/>
        <v>noviembre</v>
      </c>
      <c r="P1320" s="7" t="s">
        <v>6757</v>
      </c>
    </row>
    <row r="1321">
      <c r="A1321" s="19">
        <f>'Respuestas de formulario 1'!A1321</f>
        <v>45974.75982</v>
      </c>
      <c r="B1321" s="7" t="str">
        <f>'Respuestas de formulario 1'!B1321</f>
        <v>Sanchez</v>
      </c>
      <c r="C1321" s="7" t="str">
        <f>'Respuestas de formulario 1'!C1321</f>
        <v>Francisco</v>
      </c>
      <c r="D1321" s="7" t="str">
        <f>'Respuestas de formulario 1'!D1321</f>
        <v/>
      </c>
      <c r="E1321" s="20">
        <f>'Respuestas de formulario 1'!E1321</f>
        <v>36526</v>
      </c>
      <c r="F1321" s="7">
        <f>'Respuestas de formulario 1'!F1321</f>
        <v>42642717</v>
      </c>
      <c r="G1321" s="7" t="str">
        <f>IFERROR(__xludf.DUMMYFUNCTION("IF('Respuestas de formulario 1'!G1321="""","""",IF(LEFT(REGEXREPLACE(TO_TEXT('Respuestas de formulario 1'!G1321),""[^0-9]"",""""),2)=""54"",""+""&amp;REGEXREPLACE(TO_TEXT('Respuestas de formulario 1'!G1321),""[^0-9]"",""""),""+54""&amp;REGEXREPLACE(TO_TEXT('Respu"&amp;"estas de formulario 1'!G1321),""[^0-9]"","""")))"),"+543518035147")</f>
        <v>+543518035147</v>
      </c>
      <c r="H1321" s="7">
        <f>'Respuestas de formulario 1'!S1321</f>
        <v>2025</v>
      </c>
      <c r="I1321" s="7" t="str">
        <f>IFERROR(__xludf.DUMMYFUNCTION("IF('Respuestas de formulario 1'!I1321="""","""",TO_TEXT('Respuestas de formulario 1'!I1321))"),"Particular")</f>
        <v>Particular</v>
      </c>
      <c r="J1321" s="7" t="str">
        <f>IFERROR(__xludf.DUMMYFUNCTION("IF('Respuestas de formulario 1'!J1321&lt;&gt;"""",UPPER(TRIM(TO_TEXT('Respuestas de formulario 1'!J1321))),IF('Respuestas de formulario 1'!O1321&lt;&gt;"""",UPPER(TRIM(TO_TEXT('Respuestas de formulario 1'!O1321))),""""))"),"")</f>
        <v/>
      </c>
      <c r="K1321" s="7" t="str">
        <f>IFERROR(__xludf.DUMMYFUNCTION("IF('Respuestas de formulario 1'!K1321="""","""",TO_TEXT('Respuestas de formulario 1'!K1321))"),"Si")</f>
        <v>Si</v>
      </c>
      <c r="L1321" s="7" t="str">
        <f>IFERROR(__xludf.DUMMYFUNCTION("IF('Respuestas de formulario 1'!L1321="""","""",TO_TEXT('Respuestas de formulario 1'!L1321))"),"Fútbol")</f>
        <v>Fútbol</v>
      </c>
      <c r="M1321" s="7" t="str">
        <f>IFERROR(__xludf.DUMMYFUNCTION("IF('Respuestas de formulario 1'!M1321="""","""",TO_TEXT('Respuestas de formulario 1'!M1321))"),"1 a 2 veces por semana")</f>
        <v>1 a 2 veces por semana</v>
      </c>
      <c r="N1321" s="7">
        <f t="shared" si="1"/>
        <v>2025</v>
      </c>
      <c r="O1321" s="7" t="str">
        <f t="shared" si="2"/>
        <v>noviembre</v>
      </c>
      <c r="P1321" s="7" t="s">
        <v>6759</v>
      </c>
    </row>
    <row r="1322">
      <c r="A1322" s="19">
        <f>'Respuestas de formulario 1'!A1322</f>
        <v>45974.7708</v>
      </c>
      <c r="B1322" s="7" t="str">
        <f>'Respuestas de formulario 1'!B1322</f>
        <v>Giannoboli</v>
      </c>
      <c r="C1322" s="7" t="str">
        <f>'Respuestas de formulario 1'!C1322</f>
        <v>Fausto</v>
      </c>
      <c r="D1322" s="7" t="str">
        <f>'Respuestas de formulario 1'!D1322</f>
        <v>faustogiannoboli@gmail.com</v>
      </c>
      <c r="E1322" s="20">
        <f>'Respuestas de formulario 1'!E1322</f>
        <v>39129</v>
      </c>
      <c r="F1322" s="7">
        <f>'Respuestas de formulario 1'!F1322</f>
        <v>46765868</v>
      </c>
      <c r="G1322" s="7" t="str">
        <f>IFERROR(__xludf.DUMMYFUNCTION("IF('Respuestas de formulario 1'!G1322="""","""",IF(LEFT(REGEXREPLACE(TO_TEXT('Respuestas de formulario 1'!G1322),""[^0-9]"",""""),2)=""54"",""+""&amp;REGEXREPLACE(TO_TEXT('Respuestas de formulario 1'!G1322),""[^0-9]"",""""),""+54""&amp;REGEXREPLACE(TO_TEXT('Respu"&amp;"estas de formulario 1'!G1322),""[^0-9]"","""")))"),"+543512252164")</f>
        <v>+543512252164</v>
      </c>
      <c r="H1322" s="7">
        <f>'Respuestas de formulario 1'!S1322</f>
        <v>2025</v>
      </c>
      <c r="I1322" s="7" t="str">
        <f>IFERROR(__xludf.DUMMYFUNCTION("IF('Respuestas de formulario 1'!I1322="""","""",TO_TEXT('Respuestas de formulario 1'!I1322))"),"Obra social")</f>
        <v>Obra social</v>
      </c>
      <c r="J1322" s="7" t="str">
        <f>IFERROR(__xludf.DUMMYFUNCTION("IF('Respuestas de formulario 1'!J1322&lt;&gt;"""",UPPER(TRIM(TO_TEXT('Respuestas de formulario 1'!J1322))),IF('Respuestas de formulario 1'!O1322&lt;&gt;"""",UPPER(TRIM(TO_TEXT('Respuestas de formulario 1'!O1322))),""""))"),"DASPU")</f>
        <v>DASPU</v>
      </c>
      <c r="K1322" s="7" t="str">
        <f>IFERROR(__xludf.DUMMYFUNCTION("IF('Respuestas de formulario 1'!K1322="""","""",TO_TEXT('Respuestas de formulario 1'!K1322))"),"Si")</f>
        <v>Si</v>
      </c>
      <c r="L1322" s="7" t="str">
        <f>IFERROR(__xludf.DUMMYFUNCTION("IF('Respuestas de formulario 1'!L1322="""","""",TO_TEXT('Respuestas de formulario 1'!L1322))"),"Rugby + Gimnasio")</f>
        <v>Rugby + Gimnasio</v>
      </c>
      <c r="M1322" s="7" t="str">
        <f>IFERROR(__xludf.DUMMYFUNCTION("IF('Respuestas de formulario 1'!M1322="""","""",TO_TEXT('Respuestas de formulario 1'!M1322))"),"6 a 7 veces por semana")</f>
        <v>6 a 7 veces por semana</v>
      </c>
      <c r="N1322" s="7">
        <f t="shared" si="1"/>
        <v>2025</v>
      </c>
      <c r="O1322" s="7" t="str">
        <f t="shared" si="2"/>
        <v>noviembre</v>
      </c>
      <c r="P1322" s="7" t="s">
        <v>6761</v>
      </c>
    </row>
    <row r="1323">
      <c r="A1323" s="19">
        <f>'Respuestas de formulario 1'!A1323</f>
        <v>45974.80466</v>
      </c>
      <c r="B1323" s="7" t="str">
        <f>'Respuestas de formulario 1'!B1323</f>
        <v>Osella</v>
      </c>
      <c r="C1323" s="7" t="str">
        <f>'Respuestas de formulario 1'!C1323</f>
        <v>Susana Beatriz</v>
      </c>
      <c r="D1323" s="7" t="str">
        <f>'Respuestas de formulario 1'!D1323</f>
        <v>s-osella@hotmail.com</v>
      </c>
      <c r="E1323" s="20">
        <f>'Respuestas de formulario 1'!E1323</f>
        <v>20877</v>
      </c>
      <c r="F1323" s="7">
        <f>'Respuestas de formulario 1'!F1323</f>
        <v>12901784</v>
      </c>
      <c r="G1323" s="7" t="str">
        <f>IFERROR(__xludf.DUMMYFUNCTION("IF('Respuestas de formulario 1'!G1323="""","""",IF(LEFT(REGEXREPLACE(TO_TEXT('Respuestas de formulario 1'!G1323),""[^0-9]"",""""),2)=""54"",""+""&amp;REGEXREPLACE(TO_TEXT('Respuestas de formulario 1'!G1323),""[^0-9]"",""""),""+54""&amp;REGEXREPLACE(TO_TEXT('Respu"&amp;"estas de formulario 1'!G1323),""[^0-9]"","""")))"),"+543515516046")</f>
        <v>+543515516046</v>
      </c>
      <c r="H1323" s="7">
        <f>'Respuestas de formulario 1'!S1323</f>
        <v>2025</v>
      </c>
      <c r="I1323" s="7" t="str">
        <f>IFERROR(__xludf.DUMMYFUNCTION("IF('Respuestas de formulario 1'!I1323="""","""",TO_TEXT('Respuestas de formulario 1'!I1323))"),"Obra social")</f>
        <v>Obra social</v>
      </c>
      <c r="J1323" s="7" t="str">
        <f>IFERROR(__xludf.DUMMYFUNCTION("IF('Respuestas de formulario 1'!J1323&lt;&gt;"""",UPPER(TRIM(TO_TEXT('Respuestas de formulario 1'!J1323))),IF('Respuestas de formulario 1'!O1323&lt;&gt;"""",UPPER(TRIM(TO_TEXT('Respuestas de formulario 1'!O1323))),""""))"),"MEDIFE")</f>
        <v>MEDIFE</v>
      </c>
      <c r="K1323" s="7" t="str">
        <f>IFERROR(__xludf.DUMMYFUNCTION("IF('Respuestas de formulario 1'!K1323="""","""",TO_TEXT('Respuestas de formulario 1'!K1323))"),"Si")</f>
        <v>Si</v>
      </c>
      <c r="L1323" s="7" t="str">
        <f>IFERROR(__xludf.DUMMYFUNCTION("IF('Respuestas de formulario 1'!L1323="""","""",TO_TEXT('Respuestas de formulario 1'!L1323))"),"")</f>
        <v/>
      </c>
      <c r="M1323" s="7" t="str">
        <f>IFERROR(__xludf.DUMMYFUNCTION("IF('Respuestas de formulario 1'!M1323="""","""",TO_TEXT('Respuestas de formulario 1'!M1323))"),"3 a 5 veces por semana")</f>
        <v>3 a 5 veces por semana</v>
      </c>
      <c r="N1323" s="7">
        <f t="shared" si="1"/>
        <v>2025</v>
      </c>
      <c r="O1323" s="7" t="str">
        <f t="shared" si="2"/>
        <v>noviembre</v>
      </c>
      <c r="P1323" s="7" t="s">
        <v>6763</v>
      </c>
    </row>
    <row r="1324">
      <c r="A1324" s="19">
        <f>'Respuestas de formulario 1'!A1324</f>
        <v>45974.80749</v>
      </c>
      <c r="B1324" s="7" t="str">
        <f>'Respuestas de formulario 1'!B1324</f>
        <v>Osella</v>
      </c>
      <c r="C1324" s="7" t="str">
        <f>'Respuestas de formulario 1'!C1324</f>
        <v>Susana Beatriz</v>
      </c>
      <c r="D1324" s="7" t="str">
        <f>'Respuestas de formulario 1'!D1324</f>
        <v>s-osella@hotmail.com</v>
      </c>
      <c r="E1324" s="20">
        <f>'Respuestas de formulario 1'!E1324</f>
        <v>20877</v>
      </c>
      <c r="F1324" s="7">
        <f>'Respuestas de formulario 1'!F1324</f>
        <v>12901784</v>
      </c>
      <c r="G1324" s="7" t="str">
        <f>IFERROR(__xludf.DUMMYFUNCTION("IF('Respuestas de formulario 1'!G1324="""","""",IF(LEFT(REGEXREPLACE(TO_TEXT('Respuestas de formulario 1'!G1324),""[^0-9]"",""""),2)=""54"",""+""&amp;REGEXREPLACE(TO_TEXT('Respuestas de formulario 1'!G1324),""[^0-9]"",""""),""+54""&amp;REGEXREPLACE(TO_TEXT('Respu"&amp;"estas de formulario 1'!G1324),""[^0-9]"","""")))"),"+543515516046")</f>
        <v>+543515516046</v>
      </c>
      <c r="H1324" s="7">
        <f>'Respuestas de formulario 1'!S1324</f>
        <v>2025</v>
      </c>
      <c r="I1324" s="7" t="str">
        <f>IFERROR(__xludf.DUMMYFUNCTION("IF('Respuestas de formulario 1'!I1324="""","""",TO_TEXT('Respuestas de formulario 1'!I1324))"),"Obra social")</f>
        <v>Obra social</v>
      </c>
      <c r="J1324" s="7" t="str">
        <f>IFERROR(__xludf.DUMMYFUNCTION("IF('Respuestas de formulario 1'!J1324&lt;&gt;"""",UPPER(TRIM(TO_TEXT('Respuestas de formulario 1'!J1324))),IF('Respuestas de formulario 1'!O1324&lt;&gt;"""",UPPER(TRIM(TO_TEXT('Respuestas de formulario 1'!O1324))),""""))"),"MEDIFE")</f>
        <v>MEDIFE</v>
      </c>
      <c r="K1324" s="7" t="str">
        <f>IFERROR(__xludf.DUMMYFUNCTION("IF('Respuestas de formulario 1'!K1324="""","""",TO_TEXT('Respuestas de formulario 1'!K1324))"),"Si")</f>
        <v>Si</v>
      </c>
      <c r="L1324" s="7" t="str">
        <f>IFERROR(__xludf.DUMMYFUNCTION("IF('Respuestas de formulario 1'!L1324="""","""",TO_TEXT('Respuestas de formulario 1'!L1324))"),"Pilates y Camino dos o tres veces p/semana")</f>
        <v>Pilates y Camino dos o tres veces p/semana</v>
      </c>
      <c r="M1324" s="7" t="str">
        <f>IFERROR(__xludf.DUMMYFUNCTION("IF('Respuestas de formulario 1'!M1324="""","""",TO_TEXT('Respuestas de formulario 1'!M1324))"),"3 a 5 veces por semana")</f>
        <v>3 a 5 veces por semana</v>
      </c>
      <c r="N1324" s="7">
        <f t="shared" si="1"/>
        <v>2025</v>
      </c>
      <c r="O1324" s="7" t="str">
        <f t="shared" si="2"/>
        <v>noviembre</v>
      </c>
      <c r="P1324" s="7" t="s">
        <v>6763</v>
      </c>
    </row>
    <row r="1325">
      <c r="A1325" s="19">
        <f>'Respuestas de formulario 1'!A1325</f>
        <v>45977.64238</v>
      </c>
      <c r="B1325" s="7" t="str">
        <f>'Respuestas de formulario 1'!B1325</f>
        <v>Martinez </v>
      </c>
      <c r="C1325" s="7" t="str">
        <f>'Respuestas de formulario 1'!C1325</f>
        <v>Pablo Osvaldo </v>
      </c>
      <c r="D1325" s="7" t="str">
        <f>'Respuestas de formulario 1'!D1325</f>
        <v>pablomartinez8214@gmail.com</v>
      </c>
      <c r="E1325" s="20">
        <f>'Respuestas de formulario 1'!E1325</f>
        <v>31777</v>
      </c>
      <c r="F1325" s="7">
        <f>'Respuestas de formulario 1'!F1325</f>
        <v>32705074</v>
      </c>
      <c r="G1325" s="7" t="str">
        <f>IFERROR(__xludf.DUMMYFUNCTION("IF('Respuestas de formulario 1'!G1325="""","""",IF(LEFT(REGEXREPLACE(TO_TEXT('Respuestas de formulario 1'!G1325),""[^0-9]"",""""),2)=""54"",""+""&amp;REGEXREPLACE(TO_TEXT('Respuestas de formulario 1'!G1325),""[^0-9]"",""""),""+54""&amp;REGEXREPLACE(TO_TEXT('Respu"&amp;"estas de formulario 1'!G1325),""[^0-9]"","""")))"),"+543525562751")</f>
        <v>+543525562751</v>
      </c>
      <c r="H1325" s="7">
        <f>'Respuestas de formulario 1'!S1325</f>
        <v>2025</v>
      </c>
      <c r="I1325" s="7" t="str">
        <f>IFERROR(__xludf.DUMMYFUNCTION("IF('Respuestas de formulario 1'!I1325="""","""",TO_TEXT('Respuestas de formulario 1'!I1325))"),"Obra social")</f>
        <v>Obra social</v>
      </c>
      <c r="J1325" s="7" t="str">
        <f>IFERROR(__xludf.DUMMYFUNCTION("IF('Respuestas de formulario 1'!J1325&lt;&gt;"""",UPPER(TRIM(TO_TEXT('Respuestas de formulario 1'!J1325))),IF('Respuestas de formulario 1'!O1325&lt;&gt;"""",UPPER(TRIM(TO_TEXT('Respuestas de formulario 1'!O1325))),""""))"),"SANCOR")</f>
        <v>SANCOR</v>
      </c>
      <c r="K1325" s="7" t="str">
        <f>IFERROR(__xludf.DUMMYFUNCTION("IF('Respuestas de formulario 1'!K1325="""","""",TO_TEXT('Respuestas de formulario 1'!K1325))"),"Si")</f>
        <v>Si</v>
      </c>
      <c r="L1325" s="7" t="str">
        <f>IFERROR(__xludf.DUMMYFUNCTION("IF('Respuestas de formulario 1'!L1325="""","""",TO_TEXT('Respuestas de formulario 1'!L1325))"),"Gimnasio")</f>
        <v>Gimnasio</v>
      </c>
      <c r="M1325" s="7" t="str">
        <f>IFERROR(__xludf.DUMMYFUNCTION("IF('Respuestas de formulario 1'!M1325="""","""",TO_TEXT('Respuestas de formulario 1'!M1325))"),"3 a 5 veces por semana")</f>
        <v>3 a 5 veces por semana</v>
      </c>
      <c r="N1325" s="7">
        <f t="shared" si="1"/>
        <v>2025</v>
      </c>
      <c r="O1325" s="7" t="str">
        <f t="shared" si="2"/>
        <v>noviembre</v>
      </c>
      <c r="P1325" s="7" t="s">
        <v>6765</v>
      </c>
    </row>
    <row r="1326">
      <c r="A1326" s="19">
        <f>'Respuestas de formulario 1'!A1326</f>
        <v>45978.44485</v>
      </c>
      <c r="B1326" s="7" t="str">
        <f>'Respuestas de formulario 1'!B1326</f>
        <v>barrionuevo</v>
      </c>
      <c r="C1326" s="7" t="str">
        <f>'Respuestas de formulario 1'!C1326</f>
        <v>evangelina ruth</v>
      </c>
      <c r="D1326" s="7" t="str">
        <f>'Respuestas de formulario 1'!D1326</f>
        <v>evis7814@gmail.com</v>
      </c>
      <c r="E1326" s="20">
        <f>'Respuestas de formulario 1'!E1326</f>
        <v>28777</v>
      </c>
      <c r="F1326" s="7">
        <f>'Respuestas de formulario 1'!F1326</f>
        <v>26954299</v>
      </c>
      <c r="G1326" s="7" t="str">
        <f>IFERROR(__xludf.DUMMYFUNCTION("IF('Respuestas de formulario 1'!G1326="""","""",IF(LEFT(REGEXREPLACE(TO_TEXT('Respuestas de formulario 1'!G1326),""[^0-9]"",""""),2)=""54"",""+""&amp;REGEXREPLACE(TO_TEXT('Respuestas de formulario 1'!G1326),""[^0-9]"",""""),""+54""&amp;REGEXREPLACE(TO_TEXT('Respu"&amp;"estas de formulario 1'!G1326),""[^0-9]"","""")))"),"+543513108786")</f>
        <v>+543513108786</v>
      </c>
      <c r="H1326" s="7">
        <f>'Respuestas de formulario 1'!S1326</f>
        <v>2025</v>
      </c>
      <c r="I1326" s="7" t="str">
        <f>IFERROR(__xludf.DUMMYFUNCTION("IF('Respuestas de formulario 1'!I1326="""","""",TO_TEXT('Respuestas de formulario 1'!I1326))"),"Obra social")</f>
        <v>Obra social</v>
      </c>
      <c r="J1326" s="7" t="str">
        <f>IFERROR(__xludf.DUMMYFUNCTION("IF('Respuestas de formulario 1'!J1326&lt;&gt;"""",UPPER(TRIM(TO_TEXT('Respuestas de formulario 1'!J1326))),IF('Respuestas de formulario 1'!O1326&lt;&gt;"""",UPPER(TRIM(TO_TEXT('Respuestas de formulario 1'!O1326))),""""))"),"SANCOR")</f>
        <v>SANCOR</v>
      </c>
      <c r="K1326" s="7" t="str">
        <f>IFERROR(__xludf.DUMMYFUNCTION("IF('Respuestas de formulario 1'!K1326="""","""",TO_TEXT('Respuestas de formulario 1'!K1326))"),"Si")</f>
        <v>Si</v>
      </c>
      <c r="L1326" s="7" t="str">
        <f>IFERROR(__xludf.DUMMYFUNCTION("IF('Respuestas de formulario 1'!L1326="""","""",TO_TEXT('Respuestas de formulario 1'!L1326))"),"Básquet")</f>
        <v>Básquet</v>
      </c>
      <c r="M1326" s="7" t="str">
        <f>IFERROR(__xludf.DUMMYFUNCTION("IF('Respuestas de formulario 1'!M1326="""","""",TO_TEXT('Respuestas de formulario 1'!M1326))"),"1 a 2 veces por semana")</f>
        <v>1 a 2 veces por semana</v>
      </c>
      <c r="N1326" s="7">
        <f t="shared" si="1"/>
        <v>2025</v>
      </c>
      <c r="O1326" s="7" t="str">
        <f t="shared" si="2"/>
        <v>noviembre</v>
      </c>
      <c r="P1326" s="7" t="s">
        <v>6767</v>
      </c>
    </row>
    <row r="1327">
      <c r="A1327" s="19">
        <f>'Respuestas de formulario 1'!A1327</f>
        <v>45978.46439</v>
      </c>
      <c r="B1327" s="7" t="str">
        <f>'Respuestas de formulario 1'!B1327</f>
        <v>Lopez </v>
      </c>
      <c r="C1327" s="7" t="str">
        <f>'Respuestas de formulario 1'!C1327</f>
        <v>Gerardo</v>
      </c>
      <c r="D1327" s="7" t="str">
        <f>'Respuestas de formulario 1'!D1327</f>
        <v>cr_glopez@hotmail.com</v>
      </c>
      <c r="E1327" s="20">
        <f>'Respuestas de formulario 1'!E1327</f>
        <v>18265</v>
      </c>
      <c r="F1327" s="7">
        <f>'Respuestas de formulario 1'!F1327</f>
        <v>8009344</v>
      </c>
      <c r="G1327" s="7" t="str">
        <f>IFERROR(__xludf.DUMMYFUNCTION("IF('Respuestas de formulario 1'!G1327="""","""",IF(LEFT(REGEXREPLACE(TO_TEXT('Respuestas de formulario 1'!G1327),""[^0-9]"",""""),2)=""54"",""+""&amp;REGEXREPLACE(TO_TEXT('Respuestas de formulario 1'!G1327),""[^0-9]"",""""),""+54""&amp;REGEXREPLACE(TO_TEXT('Respu"&amp;"estas de formulario 1'!G1327),""[^0-9]"","""")))"),"+543512473443")</f>
        <v>+543512473443</v>
      </c>
      <c r="H1327" s="7">
        <f>'Respuestas de formulario 1'!S1327</f>
        <v>2025</v>
      </c>
      <c r="I1327" s="7" t="str">
        <f>IFERROR(__xludf.DUMMYFUNCTION("IF('Respuestas de formulario 1'!I1327="""","""",TO_TEXT('Respuestas de formulario 1'!I1327))"),"Obra social")</f>
        <v>Obra social</v>
      </c>
      <c r="J1327" s="7" t="str">
        <f>IFERROR(__xludf.DUMMYFUNCTION("IF('Respuestas de formulario 1'!J1327&lt;&gt;"""",UPPER(TRIM(TO_TEXT('Respuestas de formulario 1'!J1327))),IF('Respuestas de formulario 1'!O1327&lt;&gt;"""",UPPER(TRIM(TO_TEXT('Respuestas de formulario 1'!O1327))),""""))"),"CPCE")</f>
        <v>CPCE</v>
      </c>
      <c r="K1327" s="7" t="str">
        <f>IFERROR(__xludf.DUMMYFUNCTION("IF('Respuestas de formulario 1'!K1327="""","""",TO_TEXT('Respuestas de formulario 1'!K1327))"),"No")</f>
        <v>No</v>
      </c>
      <c r="L1327" s="7" t="str">
        <f>IFERROR(__xludf.DUMMYFUNCTION("IF('Respuestas de formulario 1'!L1327="""","""",TO_TEXT('Respuestas de formulario 1'!L1327))"),"")</f>
        <v/>
      </c>
      <c r="M1327" s="7" t="str">
        <f>IFERROR(__xludf.DUMMYFUNCTION("IF('Respuestas de formulario 1'!M1327="""","""",TO_TEXT('Respuestas de formulario 1'!M1327))"),"")</f>
        <v/>
      </c>
      <c r="N1327" s="7">
        <f t="shared" si="1"/>
        <v>2025</v>
      </c>
      <c r="O1327" s="7" t="str">
        <f t="shared" si="2"/>
        <v>noviembre</v>
      </c>
      <c r="P1327" s="7" t="s">
        <v>6769</v>
      </c>
    </row>
    <row r="1328">
      <c r="A1328" s="19">
        <f>'Respuestas de formulario 1'!A1328</f>
        <v>45978.51103</v>
      </c>
      <c r="B1328" s="7" t="str">
        <f>'Respuestas de formulario 1'!B1328</f>
        <v>Alvarez</v>
      </c>
      <c r="C1328" s="7" t="str">
        <f>'Respuestas de formulario 1'!C1328</f>
        <v>Natalia</v>
      </c>
      <c r="D1328" s="7" t="str">
        <f>'Respuestas de formulario 1'!D1328</f>
        <v>natalialvarez726@gmail.com</v>
      </c>
      <c r="E1328" s="20">
        <f>'Respuestas de formulario 1'!E1328</f>
        <v>29555</v>
      </c>
      <c r="F1328" s="7">
        <f>'Respuestas de formulario 1'!F1328</f>
        <v>28430117</v>
      </c>
      <c r="G1328" s="7" t="str">
        <f>IFERROR(__xludf.DUMMYFUNCTION("IF('Respuestas de formulario 1'!G1328="""","""",IF(LEFT(REGEXREPLACE(TO_TEXT('Respuestas de formulario 1'!G1328),""[^0-9]"",""""),2)=""54"",""+""&amp;REGEXREPLACE(TO_TEXT('Respuestas de formulario 1'!G1328),""[^0-9]"",""""),""+54""&amp;REGEXREPLACE(TO_TEXT('Respu"&amp;"estas de formulario 1'!G1328),""[^0-9]"","""")))"),"+543513258815")</f>
        <v>+543513258815</v>
      </c>
      <c r="H1328" s="7">
        <f>'Respuestas de formulario 1'!S1328</f>
        <v>2025</v>
      </c>
      <c r="I1328" s="7" t="str">
        <f>IFERROR(__xludf.DUMMYFUNCTION("IF('Respuestas de formulario 1'!I1328="""","""",TO_TEXT('Respuestas de formulario 1'!I1328))"),"Particular")</f>
        <v>Particular</v>
      </c>
      <c r="J1328" s="7" t="str">
        <f>IFERROR(__xludf.DUMMYFUNCTION("IF('Respuestas de formulario 1'!J1328&lt;&gt;"""",UPPER(TRIM(TO_TEXT('Respuestas de formulario 1'!J1328))),IF('Respuestas de formulario 1'!O1328&lt;&gt;"""",UPPER(TRIM(TO_TEXT('Respuestas de formulario 1'!O1328))),""""))"),"")</f>
        <v/>
      </c>
      <c r="K1328" s="7" t="str">
        <f>IFERROR(__xludf.DUMMYFUNCTION("IF('Respuestas de formulario 1'!K1328="""","""",TO_TEXT('Respuestas de formulario 1'!K1328))"),"Si")</f>
        <v>Si</v>
      </c>
      <c r="L1328" s="7" t="str">
        <f>IFERROR(__xludf.DUMMYFUNCTION("IF('Respuestas de formulario 1'!L1328="""","""",TO_TEXT('Respuestas de formulario 1'!L1328))"),"Gimnasio")</f>
        <v>Gimnasio</v>
      </c>
      <c r="M1328" s="7" t="str">
        <f>IFERROR(__xludf.DUMMYFUNCTION("IF('Respuestas de formulario 1'!M1328="""","""",TO_TEXT('Respuestas de formulario 1'!M1328))"),"6 a 7 veces por semana")</f>
        <v>6 a 7 veces por semana</v>
      </c>
      <c r="N1328" s="7">
        <f t="shared" si="1"/>
        <v>2025</v>
      </c>
      <c r="O1328" s="7" t="str">
        <f t="shared" si="2"/>
        <v>noviembre</v>
      </c>
      <c r="P1328" s="7" t="s">
        <v>6771</v>
      </c>
    </row>
    <row r="1329">
      <c r="A1329" s="19">
        <f>'Respuestas de formulario 1'!A1329</f>
        <v>45978.61063</v>
      </c>
      <c r="B1329" s="7" t="str">
        <f>'Respuestas de formulario 1'!B1329</f>
        <v>Buzzetti</v>
      </c>
      <c r="C1329" s="7" t="str">
        <f>'Respuestas de formulario 1'!C1329</f>
        <v>Regina</v>
      </c>
      <c r="D1329" s="7" t="str">
        <f>'Respuestas de formulario 1'!D1329</f>
        <v>reginabuzzetti@gmail.com</v>
      </c>
      <c r="E1329" s="20">
        <f>'Respuestas de formulario 1'!E1329</f>
        <v>32306</v>
      </c>
      <c r="F1329" s="7">
        <f>'Respuestas de formulario 1'!F1329</f>
        <v>33809029</v>
      </c>
      <c r="G1329" s="7" t="str">
        <f>IFERROR(__xludf.DUMMYFUNCTION("IF('Respuestas de formulario 1'!G1329="""","""",IF(LEFT(REGEXREPLACE(TO_TEXT('Respuestas de formulario 1'!G1329),""[^0-9]"",""""),2)=""54"",""+""&amp;REGEXREPLACE(TO_TEXT('Respuestas de formulario 1'!G1329),""[^0-9]"",""""),""+54""&amp;REGEXREPLACE(TO_TEXT('Respu"&amp;"estas de formulario 1'!G1329),""[^0-9]"","""")))"),"+543512674286")</f>
        <v>+543512674286</v>
      </c>
      <c r="H1329" s="7">
        <f>'Respuestas de formulario 1'!S1329</f>
        <v>2025</v>
      </c>
      <c r="I1329" s="7" t="str">
        <f>IFERROR(__xludf.DUMMYFUNCTION("IF('Respuestas de formulario 1'!I1329="""","""",TO_TEXT('Respuestas de formulario 1'!I1329))"),"Obra social")</f>
        <v>Obra social</v>
      </c>
      <c r="J1329" s="7" t="str">
        <f>IFERROR(__xludf.DUMMYFUNCTION("IF('Respuestas de formulario 1'!J1329&lt;&gt;"""",UPPER(TRIM(TO_TEXT('Respuestas de formulario 1'!J1329))),IF('Respuestas de formulario 1'!O1329&lt;&gt;"""",UPPER(TRIM(TO_TEXT('Respuestas de formulario 1'!O1329))),""""))"),"PREVENCIÓN")</f>
        <v>PREVENCIÓN</v>
      </c>
      <c r="K1329" s="7" t="str">
        <f>IFERROR(__xludf.DUMMYFUNCTION("IF('Respuestas de formulario 1'!K1329="""","""",TO_TEXT('Respuestas de formulario 1'!K1329))"),"Si")</f>
        <v>Si</v>
      </c>
      <c r="L1329" s="7" t="str">
        <f>IFERROR(__xludf.DUMMYFUNCTION("IF('Respuestas de formulario 1'!L1329="""","""",TO_TEXT('Respuestas de formulario 1'!L1329))"),"pilates")</f>
        <v>pilates</v>
      </c>
      <c r="M1329" s="7" t="str">
        <f>IFERROR(__xludf.DUMMYFUNCTION("IF('Respuestas de formulario 1'!M1329="""","""",TO_TEXT('Respuestas de formulario 1'!M1329))"),"1 a 2 veces por semana")</f>
        <v>1 a 2 veces por semana</v>
      </c>
      <c r="N1329" s="7">
        <f t="shared" si="1"/>
        <v>2025</v>
      </c>
      <c r="O1329" s="7" t="str">
        <f t="shared" si="2"/>
        <v>noviembre</v>
      </c>
      <c r="P1329" s="7" t="s">
        <v>6773</v>
      </c>
    </row>
    <row r="1330">
      <c r="A1330" s="19">
        <f>'Respuestas de formulario 1'!A1330</f>
        <v>45978.75083</v>
      </c>
      <c r="B1330" s="7" t="str">
        <f>'Respuestas de formulario 1'!B1330</f>
        <v>Bertino</v>
      </c>
      <c r="C1330" s="7" t="str">
        <f>'Respuestas de formulario 1'!C1330</f>
        <v>Alicia</v>
      </c>
      <c r="D1330" s="7" t="str">
        <f>'Respuestas de formulario 1'!D1330</f>
        <v>aabertino23@gmail.com </v>
      </c>
      <c r="E1330" s="20">
        <f>'Respuestas de formulario 1'!E1330</f>
        <v>21512</v>
      </c>
      <c r="F1330" s="7">
        <f>'Respuestas de formulario 1'!F1330</f>
        <v>13044170</v>
      </c>
      <c r="G1330" s="7" t="str">
        <f>IFERROR(__xludf.DUMMYFUNCTION("IF('Respuestas de formulario 1'!G1330="""","""",IF(LEFT(REGEXREPLACE(TO_TEXT('Respuestas de formulario 1'!G1330),""[^0-9]"",""""),2)=""54"",""+""&amp;REGEXREPLACE(TO_TEXT('Respuestas de formulario 1'!G1330),""[^0-9]"",""""),""+54""&amp;REGEXREPLACE(TO_TEXT('Respu"&amp;"estas de formulario 1'!G1330),""[^0-9]"","""")))"),"+543564691199")</f>
        <v>+543564691199</v>
      </c>
      <c r="H1330" s="7">
        <f>'Respuestas de formulario 1'!S1330</f>
        <v>2025</v>
      </c>
      <c r="I1330" s="7" t="str">
        <f>IFERROR(__xludf.DUMMYFUNCTION("IF('Respuestas de formulario 1'!I1330="""","""",TO_TEXT('Respuestas de formulario 1'!I1330))"),"Obra social")</f>
        <v>Obra social</v>
      </c>
      <c r="J1330" s="7" t="str">
        <f>IFERROR(__xludf.DUMMYFUNCTION("IF('Respuestas de formulario 1'!J1330&lt;&gt;"""",UPPER(TRIM(TO_TEXT('Respuestas de formulario 1'!J1330))),IF('Respuestas de formulario 1'!O1330&lt;&gt;"""",UPPER(TRIM(TO_TEXT('Respuestas de formulario 1'!O1330))),""""))"),"APROSS")</f>
        <v>APROSS</v>
      </c>
      <c r="K1330" s="7" t="str">
        <f>IFERROR(__xludf.DUMMYFUNCTION("IF('Respuestas de formulario 1'!K1330="""","""",TO_TEXT('Respuestas de formulario 1'!K1330))"),"Si")</f>
        <v>Si</v>
      </c>
      <c r="L1330" s="7" t="str">
        <f>IFERROR(__xludf.DUMMYFUNCTION("IF('Respuestas de formulario 1'!L1330="""","""",TO_TEXT('Respuestas de formulario 1'!L1330))"),"Caminatas")</f>
        <v>Caminatas</v>
      </c>
      <c r="M1330" s="7" t="str">
        <f>IFERROR(__xludf.DUMMYFUNCTION("IF('Respuestas de formulario 1'!M1330="""","""",TO_TEXT('Respuestas de formulario 1'!M1330))"),"")</f>
        <v/>
      </c>
      <c r="N1330" s="7">
        <f t="shared" si="1"/>
        <v>2025</v>
      </c>
      <c r="O1330" s="7" t="str">
        <f t="shared" si="2"/>
        <v>noviembre</v>
      </c>
      <c r="P1330" s="7" t="s">
        <v>6775</v>
      </c>
    </row>
    <row r="1331">
      <c r="A1331" s="19">
        <f>'Respuestas de formulario 1'!A1331</f>
        <v>45978.78872</v>
      </c>
      <c r="B1331" s="7" t="str">
        <f>'Respuestas de formulario 1'!B1331</f>
        <v>Castellano</v>
      </c>
      <c r="C1331" s="7" t="str">
        <f>'Respuestas de formulario 1'!C1331</f>
        <v>Silvina</v>
      </c>
      <c r="D1331" s="7" t="str">
        <f>'Respuestas de formulario 1'!D1331</f>
        <v/>
      </c>
      <c r="E1331" s="20">
        <f>'Respuestas de formulario 1'!E1331</f>
        <v>27193</v>
      </c>
      <c r="F1331" s="7">
        <f>'Respuestas de formulario 1'!F1331</f>
        <v>24016347</v>
      </c>
      <c r="G1331" s="7" t="str">
        <f>IFERROR(__xludf.DUMMYFUNCTION("IF('Respuestas de formulario 1'!G1331="""","""",IF(LEFT(REGEXREPLACE(TO_TEXT('Respuestas de formulario 1'!G1331),""[^0-9]"",""""),2)=""54"",""+""&amp;REGEXREPLACE(TO_TEXT('Respuestas de formulario 1'!G1331),""[^0-9]"",""""),""+54""&amp;REGEXREPLACE(TO_TEXT('Respu"&amp;"estas de formulario 1'!G1331),""[^0-9]"","""")))"),"+543516963578")</f>
        <v>+543516963578</v>
      </c>
      <c r="H1331" s="7">
        <f>'Respuestas de formulario 1'!S1331</f>
        <v>2025</v>
      </c>
      <c r="I1331" s="7" t="str">
        <f>IFERROR(__xludf.DUMMYFUNCTION("IF('Respuestas de formulario 1'!I1331="""","""",TO_TEXT('Respuestas de formulario 1'!I1331))"),"Particular")</f>
        <v>Particular</v>
      </c>
      <c r="J1331" s="7" t="str">
        <f>IFERROR(__xludf.DUMMYFUNCTION("IF('Respuestas de formulario 1'!J1331&lt;&gt;"""",UPPER(TRIM(TO_TEXT('Respuestas de formulario 1'!J1331))),IF('Respuestas de formulario 1'!O1331&lt;&gt;"""",UPPER(TRIM(TO_TEXT('Respuestas de formulario 1'!O1331))),""""))"),"")</f>
        <v/>
      </c>
      <c r="K1331" s="7" t="str">
        <f>IFERROR(__xludf.DUMMYFUNCTION("IF('Respuestas de formulario 1'!K1331="""","""",TO_TEXT('Respuestas de formulario 1'!K1331))"),"Si")</f>
        <v>Si</v>
      </c>
      <c r="L1331" s="7" t="str">
        <f>IFERROR(__xludf.DUMMYFUNCTION("IF('Respuestas de formulario 1'!L1331="""","""",TO_TEXT('Respuestas de formulario 1'!L1331))"),"")</f>
        <v/>
      </c>
      <c r="M1331" s="7" t="str">
        <f>IFERROR(__xludf.DUMMYFUNCTION("IF('Respuestas de formulario 1'!M1331="""","""",TO_TEXT('Respuestas de formulario 1'!M1331))"),"1 a 2 veces por semana")</f>
        <v>1 a 2 veces por semana</v>
      </c>
      <c r="N1331" s="7">
        <f t="shared" si="1"/>
        <v>2025</v>
      </c>
      <c r="O1331" s="7" t="str">
        <f t="shared" si="2"/>
        <v>noviembre</v>
      </c>
      <c r="P1331" s="7" t="s">
        <v>6777</v>
      </c>
    </row>
    <row r="1332">
      <c r="A1332" s="19">
        <f>'Respuestas de formulario 1'!A1332</f>
        <v>45979.37235</v>
      </c>
      <c r="B1332" s="7" t="str">
        <f>'Respuestas de formulario 1'!B1332</f>
        <v>Palacios</v>
      </c>
      <c r="C1332" s="7" t="str">
        <f>'Respuestas de formulario 1'!C1332</f>
        <v>Pablo</v>
      </c>
      <c r="D1332" s="7" t="str">
        <f>'Respuestas de formulario 1'!D1332</f>
        <v>-</v>
      </c>
      <c r="E1332" s="20">
        <f>'Respuestas de formulario 1'!E1332</f>
        <v>36245</v>
      </c>
      <c r="F1332" s="7">
        <f>'Respuestas de formulario 1'!F1332</f>
        <v>41809969</v>
      </c>
      <c r="G1332" s="7" t="str">
        <f>IFERROR(__xludf.DUMMYFUNCTION("IF('Respuestas de formulario 1'!G1332="""","""",IF(LEFT(REGEXREPLACE(TO_TEXT('Respuestas de formulario 1'!G1332),""[^0-9]"",""""),2)=""54"",""+""&amp;REGEXREPLACE(TO_TEXT('Respuestas de formulario 1'!G1332),""[^0-9]"",""""),""+54""&amp;REGEXREPLACE(TO_TEXT('Respu"&amp;"estas de formulario 1'!G1332),""[^0-9]"","""")))"),"+543516619221")</f>
        <v>+543516619221</v>
      </c>
      <c r="H1332" s="7">
        <f>'Respuestas de formulario 1'!S1332</f>
        <v>2025</v>
      </c>
      <c r="I1332" s="7" t="str">
        <f>IFERROR(__xludf.DUMMYFUNCTION("IF('Respuestas de formulario 1'!I1332="""","""",TO_TEXT('Respuestas de formulario 1'!I1332))"),"Particular")</f>
        <v>Particular</v>
      </c>
      <c r="J1332" s="7" t="str">
        <f>IFERROR(__xludf.DUMMYFUNCTION("IF('Respuestas de formulario 1'!J1332&lt;&gt;"""",UPPER(TRIM(TO_TEXT('Respuestas de formulario 1'!J1332))),IF('Respuestas de formulario 1'!O1332&lt;&gt;"""",UPPER(TRIM(TO_TEXT('Respuestas de formulario 1'!O1332))),""""))"),"")</f>
        <v/>
      </c>
      <c r="K1332" s="7" t="str">
        <f>IFERROR(__xludf.DUMMYFUNCTION("IF('Respuestas de formulario 1'!K1332="""","""",TO_TEXT('Respuestas de formulario 1'!K1332))"),"Si")</f>
        <v>Si</v>
      </c>
      <c r="L1332" s="7" t="str">
        <f>IFERROR(__xludf.DUMMYFUNCTION("IF('Respuestas de formulario 1'!L1332="""","""",TO_TEXT('Respuestas de formulario 1'!L1332))"),"Baseball")</f>
        <v>Baseball</v>
      </c>
      <c r="M1332" s="7" t="str">
        <f>IFERROR(__xludf.DUMMYFUNCTION("IF('Respuestas de formulario 1'!M1332="""","""",TO_TEXT('Respuestas de formulario 1'!M1332))"),"6 a 7 veces por semana")</f>
        <v>6 a 7 veces por semana</v>
      </c>
      <c r="N1332" s="7">
        <f t="shared" si="1"/>
        <v>2025</v>
      </c>
      <c r="O1332" s="7" t="str">
        <f t="shared" si="2"/>
        <v>noviembre</v>
      </c>
      <c r="P1332" s="7" t="s">
        <v>6779</v>
      </c>
    </row>
    <row r="1333">
      <c r="A1333" s="19">
        <f>'Respuestas de formulario 1'!A1333</f>
        <v>45979.3734</v>
      </c>
      <c r="B1333" s="7" t="str">
        <f>'Respuestas de formulario 1'!B1333</f>
        <v>Velardez </v>
      </c>
      <c r="C1333" s="7" t="str">
        <f>'Respuestas de formulario 1'!C1333</f>
        <v>Ivana del valle</v>
      </c>
      <c r="D1333" s="7" t="str">
        <f>'Respuestas de formulario 1'!D1333</f>
        <v>Ivavelardez@gmail.com</v>
      </c>
      <c r="E1333" s="20">
        <f>'Respuestas de formulario 1'!E1333</f>
        <v>29787</v>
      </c>
      <c r="F1333" s="7">
        <f>'Respuestas de formulario 1'!F1333</f>
        <v>28853317</v>
      </c>
      <c r="G1333" s="7" t="str">
        <f>IFERROR(__xludf.DUMMYFUNCTION("IF('Respuestas de formulario 1'!G1333="""","""",IF(LEFT(REGEXREPLACE(TO_TEXT('Respuestas de formulario 1'!G1333),""[^0-9]"",""""),2)=""54"",""+""&amp;REGEXREPLACE(TO_TEXT('Respuestas de formulario 1'!G1333),""[^0-9]"",""""),""+54""&amp;REGEXREPLACE(TO_TEXT('Respu"&amp;"estas de formulario 1'!G1333),""[^0-9]"","""")))"),"+543516314075")</f>
        <v>+543516314075</v>
      </c>
      <c r="H1333" s="7">
        <f>'Respuestas de formulario 1'!S1333</f>
        <v>2025</v>
      </c>
      <c r="I1333" s="7" t="str">
        <f>IFERROR(__xludf.DUMMYFUNCTION("IF('Respuestas de formulario 1'!I1333="""","""",TO_TEXT('Respuestas de formulario 1'!I1333))"),"Obra social")</f>
        <v>Obra social</v>
      </c>
      <c r="J1333" s="7" t="str">
        <f>IFERROR(__xludf.DUMMYFUNCTION("IF('Respuestas de formulario 1'!J1333&lt;&gt;"""",UPPER(TRIM(TO_TEXT('Respuestas de formulario 1'!J1333))),IF('Respuestas de formulario 1'!O1333&lt;&gt;"""",UPPER(TRIM(TO_TEXT('Respuestas de formulario 1'!O1333))),""""))"),"SANCOR")</f>
        <v>SANCOR</v>
      </c>
      <c r="K1333" s="7" t="str">
        <f>IFERROR(__xludf.DUMMYFUNCTION("IF('Respuestas de formulario 1'!K1333="""","""",TO_TEXT('Respuestas de formulario 1'!K1333))"),"Si")</f>
        <v>Si</v>
      </c>
      <c r="L1333" s="7" t="str">
        <f>IFERROR(__xludf.DUMMYFUNCTION("IF('Respuestas de formulario 1'!L1333="""","""",TO_TEXT('Respuestas de formulario 1'!L1333))"),"Gimnasio")</f>
        <v>Gimnasio</v>
      </c>
      <c r="M1333" s="7" t="str">
        <f>IFERROR(__xludf.DUMMYFUNCTION("IF('Respuestas de formulario 1'!M1333="""","""",TO_TEXT('Respuestas de formulario 1'!M1333))"),"1 a 2 veces por semana")</f>
        <v>1 a 2 veces por semana</v>
      </c>
      <c r="N1333" s="7">
        <f t="shared" si="1"/>
        <v>2025</v>
      </c>
      <c r="O1333" s="7" t="str">
        <f t="shared" si="2"/>
        <v>noviembre</v>
      </c>
      <c r="P1333" s="7" t="s">
        <v>6781</v>
      </c>
    </row>
    <row r="1334">
      <c r="A1334" s="19">
        <f>'Respuestas de formulario 1'!A1334</f>
        <v>45980.46673</v>
      </c>
      <c r="B1334" s="7" t="str">
        <f>'Respuestas de formulario 1'!B1334</f>
        <v>Okelly</v>
      </c>
      <c r="C1334" s="7" t="str">
        <f>'Respuestas de formulario 1'!C1334</f>
        <v>Raul</v>
      </c>
      <c r="D1334" s="7" t="str">
        <f>'Respuestas de formulario 1'!D1334</f>
        <v>raulokelly@hotmail.com</v>
      </c>
      <c r="E1334" s="20">
        <f>'Respuestas de formulario 1'!E1334</f>
        <v>21232</v>
      </c>
      <c r="F1334" s="7">
        <f>'Respuestas de formulario 1'!F1334</f>
        <v>12245314</v>
      </c>
      <c r="G1334" s="7" t="str">
        <f>IFERROR(__xludf.DUMMYFUNCTION("IF('Respuestas de formulario 1'!G1334="""","""",IF(LEFT(REGEXREPLACE(TO_TEXT('Respuestas de formulario 1'!G1334),""[^0-9]"",""""),2)=""54"",""+""&amp;REGEXREPLACE(TO_TEXT('Respuestas de formulario 1'!G1334),""[^0-9]"",""""),""+54""&amp;REGEXREPLACE(TO_TEXT('Respu"&amp;"estas de formulario 1'!G1334),""[^0-9]"","""")))"),"+543515512914")</f>
        <v>+543515512914</v>
      </c>
      <c r="H1334" s="7">
        <f>'Respuestas de formulario 1'!S1334</f>
        <v>2025</v>
      </c>
      <c r="I1334" s="7" t="str">
        <f>IFERROR(__xludf.DUMMYFUNCTION("IF('Respuestas de formulario 1'!I1334="""","""",TO_TEXT('Respuestas de formulario 1'!I1334))"),"Obra social")</f>
        <v>Obra social</v>
      </c>
      <c r="J1334" s="7" t="str">
        <f>IFERROR(__xludf.DUMMYFUNCTION("IF('Respuestas de formulario 1'!J1334&lt;&gt;"""",UPPER(TRIM(TO_TEXT('Respuestas de formulario 1'!J1334))),IF('Respuestas de formulario 1'!O1334&lt;&gt;"""",UPPER(TRIM(TO_TEXT('Respuestas de formulario 1'!O1334))),""""))"),"APROSS")</f>
        <v>APROSS</v>
      </c>
      <c r="K1334" s="7" t="str">
        <f>IFERROR(__xludf.DUMMYFUNCTION("IF('Respuestas de formulario 1'!K1334="""","""",TO_TEXT('Respuestas de formulario 1'!K1334))"),"Si")</f>
        <v>Si</v>
      </c>
      <c r="L1334" s="7" t="str">
        <f>IFERROR(__xludf.DUMMYFUNCTION("IF('Respuestas de formulario 1'!L1334="""","""",TO_TEXT('Respuestas de formulario 1'!L1334))"),"Caminata ")</f>
        <v>Caminata </v>
      </c>
      <c r="M1334" s="7" t="str">
        <f>IFERROR(__xludf.DUMMYFUNCTION("IF('Respuestas de formulario 1'!M1334="""","""",TO_TEXT('Respuestas de formulario 1'!M1334))"),"1 a 2 veces por semana")</f>
        <v>1 a 2 veces por semana</v>
      </c>
      <c r="N1334" s="7">
        <f t="shared" si="1"/>
        <v>2025</v>
      </c>
      <c r="O1334" s="7" t="str">
        <f t="shared" si="2"/>
        <v>noviembre</v>
      </c>
      <c r="P1334" s="7" t="s">
        <v>6782</v>
      </c>
    </row>
    <row r="1335">
      <c r="A1335" s="19">
        <f>'Respuestas de formulario 1'!A1335</f>
        <v>45980.51242</v>
      </c>
      <c r="B1335" s="7" t="str">
        <f>'Respuestas de formulario 1'!B1335</f>
        <v>Scalia</v>
      </c>
      <c r="C1335" s="7" t="str">
        <f>'Respuestas de formulario 1'!C1335</f>
        <v>Lilian</v>
      </c>
      <c r="D1335" s="7" t="str">
        <f>'Respuestas de formulario 1'!D1335</f>
        <v>elizabethlilian@hotmail.com</v>
      </c>
      <c r="E1335" s="20">
        <f>'Respuestas de formulario 1'!E1335</f>
        <v>22058</v>
      </c>
      <c r="F1335" s="7">
        <f>'Respuestas de formulario 1'!F1335</f>
        <v>14175381</v>
      </c>
      <c r="G1335" s="7" t="str">
        <f>IFERROR(__xludf.DUMMYFUNCTION("IF('Respuestas de formulario 1'!G1335="""","""",IF(LEFT(REGEXREPLACE(TO_TEXT('Respuestas de formulario 1'!G1335),""[^0-9]"",""""),2)=""54"",""+""&amp;REGEXREPLACE(TO_TEXT('Respuestas de formulario 1'!G1335),""[^0-9]"",""""),""+54""&amp;REGEXREPLACE(TO_TEXT('Respu"&amp;"estas de formulario 1'!G1335),""[^0-9]"","""")))"),"+543514088604")</f>
        <v>+543514088604</v>
      </c>
      <c r="H1335" s="7">
        <f>'Respuestas de formulario 1'!S1335</f>
        <v>2025</v>
      </c>
      <c r="I1335" s="7" t="str">
        <f>IFERROR(__xludf.DUMMYFUNCTION("IF('Respuestas de formulario 1'!I1335="""","""",TO_TEXT('Respuestas de formulario 1'!I1335))"),"Obra social")</f>
        <v>Obra social</v>
      </c>
      <c r="J1335" s="7" t="str">
        <f>IFERROR(__xludf.DUMMYFUNCTION("IF('Respuestas de formulario 1'!J1335&lt;&gt;"""",UPPER(TRIM(TO_TEXT('Respuestas de formulario 1'!J1335))),IF('Respuestas de formulario 1'!O1335&lt;&gt;"""",UPPER(TRIM(TO_TEXT('Respuestas de formulario 1'!O1335))),""""))"),"APROSS")</f>
        <v>APROSS</v>
      </c>
      <c r="K1335" s="7" t="str">
        <f>IFERROR(__xludf.DUMMYFUNCTION("IF('Respuestas de formulario 1'!K1335="""","""",TO_TEXT('Respuestas de formulario 1'!K1335))"),"Si")</f>
        <v>Si</v>
      </c>
      <c r="L1335" s="7" t="str">
        <f>IFERROR(__xludf.DUMMYFUNCTION("IF('Respuestas de formulario 1'!L1335="""","""",TO_TEXT('Respuestas de formulario 1'!L1335))"),"yoga y gimnasio")</f>
        <v>yoga y gimnasio</v>
      </c>
      <c r="M1335" s="7" t="str">
        <f>IFERROR(__xludf.DUMMYFUNCTION("IF('Respuestas de formulario 1'!M1335="""","""",TO_TEXT('Respuestas de formulario 1'!M1335))"),"3 a 5 veces por semana")</f>
        <v>3 a 5 veces por semana</v>
      </c>
      <c r="N1335" s="7">
        <f t="shared" si="1"/>
        <v>2025</v>
      </c>
      <c r="O1335" s="7" t="str">
        <f t="shared" si="2"/>
        <v>noviembre</v>
      </c>
      <c r="P1335" s="7" t="s">
        <v>6784</v>
      </c>
    </row>
    <row r="1336">
      <c r="A1336" s="19">
        <f>'Respuestas de formulario 1'!A1336</f>
        <v>45980.66958</v>
      </c>
      <c r="B1336" s="7" t="str">
        <f>'Respuestas de formulario 1'!B1336</f>
        <v>Llorens </v>
      </c>
      <c r="C1336" s="7" t="str">
        <f>'Respuestas de formulario 1'!C1336</f>
        <v>Cristina</v>
      </c>
      <c r="D1336" s="7" t="str">
        <f>'Respuestas de formulario 1'!D1336</f>
        <v/>
      </c>
      <c r="E1336" s="20">
        <f>'Respuestas de formulario 1'!E1336</f>
        <v>16601</v>
      </c>
      <c r="F1336" s="7">
        <f>'Respuestas de formulario 1'!F1336</f>
        <v>5099952</v>
      </c>
      <c r="G1336" s="7" t="str">
        <f>IFERROR(__xludf.DUMMYFUNCTION("IF('Respuestas de formulario 1'!G1336="""","""",IF(LEFT(REGEXREPLACE(TO_TEXT('Respuestas de formulario 1'!G1336),""[^0-9]"",""""),2)=""54"",""+""&amp;REGEXREPLACE(TO_TEXT('Respuestas de formulario 1'!G1336),""[^0-9]"",""""),""+54""&amp;REGEXREPLACE(TO_TEXT('Respu"&amp;"estas de formulario 1'!G1336),""[^0-9]"","""")))"),"+543516131270")</f>
        <v>+543516131270</v>
      </c>
      <c r="H1336" s="7">
        <f>'Respuestas de formulario 1'!S1336</f>
        <v>2025</v>
      </c>
      <c r="I1336" s="7" t="str">
        <f>IFERROR(__xludf.DUMMYFUNCTION("IF('Respuestas de formulario 1'!I1336="""","""",TO_TEXT('Respuestas de formulario 1'!I1336))"),"Particular")</f>
        <v>Particular</v>
      </c>
      <c r="J1336" s="7" t="str">
        <f>IFERROR(__xludf.DUMMYFUNCTION("IF('Respuestas de formulario 1'!J1336&lt;&gt;"""",UPPER(TRIM(TO_TEXT('Respuestas de formulario 1'!J1336))),IF('Respuestas de formulario 1'!O1336&lt;&gt;"""",UPPER(TRIM(TO_TEXT('Respuestas de formulario 1'!O1336))),""""))"),"")</f>
        <v/>
      </c>
      <c r="K1336" s="7" t="str">
        <f>IFERROR(__xludf.DUMMYFUNCTION("IF('Respuestas de formulario 1'!K1336="""","""",TO_TEXT('Respuestas de formulario 1'!K1336))"),"No")</f>
        <v>No</v>
      </c>
      <c r="L1336" s="7" t="str">
        <f>IFERROR(__xludf.DUMMYFUNCTION("IF('Respuestas de formulario 1'!L1336="""","""",TO_TEXT('Respuestas de formulario 1'!L1336))"),"")</f>
        <v/>
      </c>
      <c r="M1336" s="7" t="str">
        <f>IFERROR(__xludf.DUMMYFUNCTION("IF('Respuestas de formulario 1'!M1336="""","""",TO_TEXT('Respuestas de formulario 1'!M1336))"),"")</f>
        <v/>
      </c>
      <c r="N1336" s="7">
        <f t="shared" si="1"/>
        <v>2025</v>
      </c>
      <c r="O1336" s="7" t="str">
        <f t="shared" si="2"/>
        <v>noviembre</v>
      </c>
      <c r="P1336" s="7" t="s">
        <v>6786</v>
      </c>
    </row>
    <row r="1337">
      <c r="A1337" s="19">
        <f>'Respuestas de formulario 1'!A1337</f>
        <v>45980.77533</v>
      </c>
      <c r="B1337" s="7" t="str">
        <f>'Respuestas de formulario 1'!B1337</f>
        <v>Beretta </v>
      </c>
      <c r="C1337" s="7" t="str">
        <f>'Respuestas de formulario 1'!C1337</f>
        <v>Alejandro</v>
      </c>
      <c r="D1337" s="7" t="str">
        <f>'Respuestas de formulario 1'!D1337</f>
        <v/>
      </c>
      <c r="E1337" s="20">
        <f>'Respuestas de formulario 1'!E1337</f>
        <v>23205</v>
      </c>
      <c r="F1337" s="7">
        <f>'Respuestas de formulario 1'!F1337</f>
        <v>16508095</v>
      </c>
      <c r="G1337" s="7" t="str">
        <f>IFERROR(__xludf.DUMMYFUNCTION("IF('Respuestas de formulario 1'!G1337="""","""",IF(LEFT(REGEXREPLACE(TO_TEXT('Respuestas de formulario 1'!G1337),""[^0-9]"",""""),2)=""54"",""+""&amp;REGEXREPLACE(TO_TEXT('Respuestas de formulario 1'!G1337),""[^0-9]"",""""),""+54""&amp;REGEXREPLACE(TO_TEXT('Respu"&amp;"estas de formulario 1'!G1337),""[^0-9]"","""")))"),"+543513051899")</f>
        <v>+543513051899</v>
      </c>
      <c r="H1337" s="7">
        <f>'Respuestas de formulario 1'!S1337</f>
        <v>2025</v>
      </c>
      <c r="I1337" s="7" t="str">
        <f>IFERROR(__xludf.DUMMYFUNCTION("IF('Respuestas de formulario 1'!I1337="""","""",TO_TEXT('Respuestas de formulario 1'!I1337))"),"Obra social")</f>
        <v>Obra social</v>
      </c>
      <c r="J1337" s="7" t="str">
        <f>IFERROR(__xludf.DUMMYFUNCTION("IF('Respuestas de formulario 1'!J1337&lt;&gt;"""",UPPER(TRIM(TO_TEXT('Respuestas de formulario 1'!J1337))),IF('Respuestas de formulario 1'!O1337&lt;&gt;"""",UPPER(TRIM(TO_TEXT('Respuestas de formulario 1'!O1337))),""""))"),"APROSS")</f>
        <v>APROSS</v>
      </c>
      <c r="K1337" s="7" t="str">
        <f>IFERROR(__xludf.DUMMYFUNCTION("IF('Respuestas de formulario 1'!K1337="""","""",TO_TEXT('Respuestas de formulario 1'!K1337))"),"Si")</f>
        <v>Si</v>
      </c>
      <c r="L1337" s="7" t="str">
        <f>IFERROR(__xludf.DUMMYFUNCTION("IF('Respuestas de formulario 1'!L1337="""","""",TO_TEXT('Respuestas de formulario 1'!L1337))"),"Caminata")</f>
        <v>Caminata</v>
      </c>
      <c r="M1337" s="7" t="str">
        <f>IFERROR(__xludf.DUMMYFUNCTION("IF('Respuestas de formulario 1'!M1337="""","""",TO_TEXT('Respuestas de formulario 1'!M1337))"),"1 a 2 veces por semana")</f>
        <v>1 a 2 veces por semana</v>
      </c>
      <c r="N1337" s="7">
        <f t="shared" si="1"/>
        <v>2025</v>
      </c>
      <c r="O1337" s="7" t="str">
        <f t="shared" si="2"/>
        <v>noviembre</v>
      </c>
      <c r="P1337" s="7" t="s">
        <v>6788</v>
      </c>
    </row>
    <row r="1338">
      <c r="A1338" s="19">
        <f>'Respuestas de formulario 1'!A1338</f>
        <v>45981.41292</v>
      </c>
      <c r="B1338" s="7" t="str">
        <f>'Respuestas de formulario 1'!B1338</f>
        <v>Rezzonico</v>
      </c>
      <c r="C1338" s="7" t="str">
        <f>'Respuestas de formulario 1'!C1338</f>
        <v>Juan Pablo</v>
      </c>
      <c r="D1338" s="7" t="str">
        <f>'Respuestas de formulario 1'!D1338</f>
        <v/>
      </c>
      <c r="E1338" s="20">
        <f>'Respuestas de formulario 1'!E1338</f>
        <v>28882</v>
      </c>
      <c r="F1338" s="7">
        <f>'Respuestas de formulario 1'!F1338</f>
        <v>27079074</v>
      </c>
      <c r="G1338" s="7" t="str">
        <f>IFERROR(__xludf.DUMMYFUNCTION("IF('Respuestas de formulario 1'!G1338="""","""",IF(LEFT(REGEXREPLACE(TO_TEXT('Respuestas de formulario 1'!G1338),""[^0-9]"",""""),2)=""54"",""+""&amp;REGEXREPLACE(TO_TEXT('Respuestas de formulario 1'!G1338),""[^0-9]"",""""),""+54""&amp;REGEXREPLACE(TO_TEXT('Respu"&amp;"estas de formulario 1'!G1338),""[^0-9]"","""")))"),"+543515109442")</f>
        <v>+543515109442</v>
      </c>
      <c r="H1338" s="7">
        <f>'Respuestas de formulario 1'!S1338</f>
        <v>2025</v>
      </c>
      <c r="I1338" s="7" t="str">
        <f>IFERROR(__xludf.DUMMYFUNCTION("IF('Respuestas de formulario 1'!I1338="""","""",TO_TEXT('Respuestas de formulario 1'!I1338))"),"Particular")</f>
        <v>Particular</v>
      </c>
      <c r="J1338" s="7" t="str">
        <f>IFERROR(__xludf.DUMMYFUNCTION("IF('Respuestas de formulario 1'!J1338&lt;&gt;"""",UPPER(TRIM(TO_TEXT('Respuestas de formulario 1'!J1338))),IF('Respuestas de formulario 1'!O1338&lt;&gt;"""",UPPER(TRIM(TO_TEXT('Respuestas de formulario 1'!O1338))),""""))"),"")</f>
        <v/>
      </c>
      <c r="K1338" s="7" t="str">
        <f>IFERROR(__xludf.DUMMYFUNCTION("IF('Respuestas de formulario 1'!K1338="""","""",TO_TEXT('Respuestas de formulario 1'!K1338))"),"Si")</f>
        <v>Si</v>
      </c>
      <c r="L1338" s="7" t="str">
        <f>IFERROR(__xludf.DUMMYFUNCTION("IF('Respuestas de formulario 1'!L1338="""","""",TO_TEXT('Respuestas de formulario 1'!L1338))"),"Gimnasio+Futbol+Padel")</f>
        <v>Gimnasio+Futbol+Padel</v>
      </c>
      <c r="M1338" s="7" t="str">
        <f>IFERROR(__xludf.DUMMYFUNCTION("IF('Respuestas de formulario 1'!M1338="""","""",TO_TEXT('Respuestas de formulario 1'!M1338))"),"6 a 7 veces por semana")</f>
        <v>6 a 7 veces por semana</v>
      </c>
      <c r="N1338" s="7">
        <f t="shared" si="1"/>
        <v>2025</v>
      </c>
      <c r="O1338" s="7" t="str">
        <f t="shared" si="2"/>
        <v>noviembre</v>
      </c>
      <c r="P1338" s="7" t="s">
        <v>6790</v>
      </c>
    </row>
    <row r="1339">
      <c r="A1339" s="19">
        <f>'Respuestas de formulario 1'!A1339</f>
        <v>45981.72808</v>
      </c>
      <c r="B1339" s="7" t="str">
        <f>'Respuestas de formulario 1'!B1339</f>
        <v>Virgolini</v>
      </c>
      <c r="C1339" s="7" t="str">
        <f>'Respuestas de formulario 1'!C1339</f>
        <v>Marcelo</v>
      </c>
      <c r="D1339" s="7" t="str">
        <f>'Respuestas de formulario 1'!D1339</f>
        <v>tetelovirgolini@homtail.com</v>
      </c>
      <c r="E1339" s="20">
        <f>'Respuestas de formulario 1'!E1339</f>
        <v>30518</v>
      </c>
      <c r="F1339" s="7">
        <f>'Respuestas de formulario 1'!F1339</f>
        <v>30330043</v>
      </c>
      <c r="G1339" s="7" t="str">
        <f>IFERROR(__xludf.DUMMYFUNCTION("IF('Respuestas de formulario 1'!G1339="""","""",IF(LEFT(REGEXREPLACE(TO_TEXT('Respuestas de formulario 1'!G1339),""[^0-9]"",""""),2)=""54"",""+""&amp;REGEXREPLACE(TO_TEXT('Respuestas de formulario 1'!G1339),""[^0-9]"",""""),""+54""&amp;REGEXREPLACE(TO_TEXT('Respu"&amp;"estas de formulario 1'!G1339),""[^0-9]"","""")))"),"+543516359611")</f>
        <v>+543516359611</v>
      </c>
      <c r="H1339" s="7">
        <f>'Respuestas de formulario 1'!S1339</f>
        <v>2025</v>
      </c>
      <c r="I1339" s="7" t="str">
        <f>IFERROR(__xludf.DUMMYFUNCTION("IF('Respuestas de formulario 1'!I1339="""","""",TO_TEXT('Respuestas de formulario 1'!I1339))"),"Particular")</f>
        <v>Particular</v>
      </c>
      <c r="J1339" s="7" t="str">
        <f>IFERROR(__xludf.DUMMYFUNCTION("IF('Respuestas de formulario 1'!J1339&lt;&gt;"""",UPPER(TRIM(TO_TEXT('Respuestas de formulario 1'!J1339))),IF('Respuestas de formulario 1'!O1339&lt;&gt;"""",UPPER(TRIM(TO_TEXT('Respuestas de formulario 1'!O1339))),""""))"),"")</f>
        <v/>
      </c>
      <c r="K1339" s="7" t="str">
        <f>IFERROR(__xludf.DUMMYFUNCTION("IF('Respuestas de formulario 1'!K1339="""","""",TO_TEXT('Respuestas de formulario 1'!K1339))"),"Si")</f>
        <v>Si</v>
      </c>
      <c r="L1339" s="7" t="str">
        <f>IFERROR(__xludf.DUMMYFUNCTION("IF('Respuestas de formulario 1'!L1339="""","""",TO_TEXT('Respuestas de formulario 1'!L1339))"),"Gimnasio")</f>
        <v>Gimnasio</v>
      </c>
      <c r="M1339" s="7" t="str">
        <f>IFERROR(__xludf.DUMMYFUNCTION("IF('Respuestas de formulario 1'!M1339="""","""",TO_TEXT('Respuestas de formulario 1'!M1339))"),"3 a 5 veces por semana")</f>
        <v>3 a 5 veces por semana</v>
      </c>
      <c r="N1339" s="7">
        <f t="shared" si="1"/>
        <v>2025</v>
      </c>
      <c r="O1339" s="7" t="str">
        <f t="shared" si="2"/>
        <v>noviembre</v>
      </c>
      <c r="P1339" s="7" t="s">
        <v>6792</v>
      </c>
    </row>
    <row r="1340">
      <c r="A1340" s="19">
        <f>'Respuestas de formulario 1'!A1340</f>
        <v>45986.39373</v>
      </c>
      <c r="B1340" s="7" t="str">
        <f>'Respuestas de formulario 1'!B1340</f>
        <v>Lenzina</v>
      </c>
      <c r="C1340" s="7" t="str">
        <f>'Respuestas de formulario 1'!C1340</f>
        <v>Lucia</v>
      </c>
      <c r="D1340" s="7" t="str">
        <f>'Respuestas de formulario 1'!D1340</f>
        <v>lulenzina@gmail.com</v>
      </c>
      <c r="E1340" s="20">
        <f>'Respuestas de formulario 1'!E1340</f>
        <v>38299</v>
      </c>
      <c r="F1340" s="7">
        <f>'Respuestas de formulario 1'!F1340</f>
        <v>45833803</v>
      </c>
      <c r="G1340" s="7" t="str">
        <f>IFERROR(__xludf.DUMMYFUNCTION("IF('Respuestas de formulario 1'!G1340="""","""",IF(LEFT(REGEXREPLACE(TO_TEXT('Respuestas de formulario 1'!G1340),""[^0-9]"",""""),2)=""54"",""+""&amp;REGEXREPLACE(TO_TEXT('Respuestas de formulario 1'!G1340),""[^0-9]"",""""),""+54""&amp;REGEXREPLACE(TO_TEXT('Respu"&amp;"estas de formulario 1'!G1340),""[^0-9]"","""")))"),"+543512025644")</f>
        <v>+543512025644</v>
      </c>
      <c r="H1340" s="7">
        <f>'Respuestas de formulario 1'!S1340</f>
        <v>2025</v>
      </c>
      <c r="I1340" s="7" t="str">
        <f>IFERROR(__xludf.DUMMYFUNCTION("IF('Respuestas de formulario 1'!I1340="""","""",TO_TEXT('Respuestas de formulario 1'!I1340))"),"Obra social")</f>
        <v>Obra social</v>
      </c>
      <c r="J1340" s="7" t="str">
        <f>IFERROR(__xludf.DUMMYFUNCTION("IF('Respuestas de formulario 1'!J1340&lt;&gt;"""",UPPER(TRIM(TO_TEXT('Respuestas de formulario 1'!J1340))),IF('Respuestas de formulario 1'!O1340&lt;&gt;"""",UPPER(TRIM(TO_TEXT('Respuestas de formulario 1'!O1340))),""""))"),"APROSS")</f>
        <v>APROSS</v>
      </c>
      <c r="K1340" s="7" t="str">
        <f>IFERROR(__xludf.DUMMYFUNCTION("IF('Respuestas de formulario 1'!K1340="""","""",TO_TEXT('Respuestas de formulario 1'!K1340))"),"Si")</f>
        <v>Si</v>
      </c>
      <c r="L1340" s="7" t="str">
        <f>IFERROR(__xludf.DUMMYFUNCTION("IF('Respuestas de formulario 1'!L1340="""","""",TO_TEXT('Respuestas de formulario 1'!L1340))"),"Funcional")</f>
        <v>Funcional</v>
      </c>
      <c r="M1340" s="7" t="str">
        <f>IFERROR(__xludf.DUMMYFUNCTION("IF('Respuestas de formulario 1'!M1340="""","""",TO_TEXT('Respuestas de formulario 1'!M1340))"),"1 a 2 veces por semana")</f>
        <v>1 a 2 veces por semana</v>
      </c>
      <c r="N1340" s="7">
        <f t="shared" si="1"/>
        <v>2025</v>
      </c>
      <c r="O1340" s="7" t="str">
        <f t="shared" si="2"/>
        <v>noviembre</v>
      </c>
      <c r="P1340" s="7" t="s">
        <v>6794</v>
      </c>
    </row>
    <row r="1341">
      <c r="A1341" s="19">
        <f>'Respuestas de formulario 1'!A1341</f>
        <v>45986.45142</v>
      </c>
      <c r="B1341" s="7" t="str">
        <f>'Respuestas de formulario 1'!B1341</f>
        <v>Ponce</v>
      </c>
      <c r="C1341" s="7" t="str">
        <f>'Respuestas de formulario 1'!C1341</f>
        <v>Amalia Beatriz</v>
      </c>
      <c r="D1341" s="7" t="str">
        <f>'Respuestas de formulario 1'!D1341</f>
        <v>amalbeat.fg@gmail.com</v>
      </c>
      <c r="E1341" s="20">
        <f>'Respuestas de formulario 1'!E1341</f>
        <v>16294</v>
      </c>
      <c r="F1341" s="7">
        <f>'Respuestas de formulario 1'!F1341</f>
        <v>5008104</v>
      </c>
      <c r="G1341" s="7" t="str">
        <f>IFERROR(__xludf.DUMMYFUNCTION("IF('Respuestas de formulario 1'!G1341="""","""",IF(LEFT(REGEXREPLACE(TO_TEXT('Respuestas de formulario 1'!G1341),""[^0-9]"",""""),2)=""54"",""+""&amp;REGEXREPLACE(TO_TEXT('Respuestas de formulario 1'!G1341),""[^0-9]"",""""),""+54""&amp;REGEXREPLACE(TO_TEXT('Respu"&amp;"estas de formulario 1'!G1341),""[^0-9]"","""")))"),"+543516315710")</f>
        <v>+543516315710</v>
      </c>
      <c r="H1341" s="7">
        <f>'Respuestas de formulario 1'!S1341</f>
        <v>2025</v>
      </c>
      <c r="I1341" s="7" t="str">
        <f>IFERROR(__xludf.DUMMYFUNCTION("IF('Respuestas de formulario 1'!I1341="""","""",TO_TEXT('Respuestas de formulario 1'!I1341))"),"Obra social")</f>
        <v>Obra social</v>
      </c>
      <c r="J1341" s="7" t="str">
        <f>IFERROR(__xludf.DUMMYFUNCTION("IF('Respuestas de formulario 1'!J1341&lt;&gt;"""",UPPER(TRIM(TO_TEXT('Respuestas de formulario 1'!J1341))),IF('Respuestas de formulario 1'!O1341&lt;&gt;"""",UPPER(TRIM(TO_TEXT('Respuestas de formulario 1'!O1341))),""""))"),"APROSS")</f>
        <v>APROSS</v>
      </c>
      <c r="K1341" s="7" t="str">
        <f>IFERROR(__xludf.DUMMYFUNCTION("IF('Respuestas de formulario 1'!K1341="""","""",TO_TEXT('Respuestas de formulario 1'!K1341))"),"Si")</f>
        <v>Si</v>
      </c>
      <c r="L1341" s="7" t="str">
        <f>IFERROR(__xludf.DUMMYFUNCTION("IF('Respuestas de formulario 1'!L1341="""","""",TO_TEXT('Respuestas de formulario 1'!L1341))"),"Aqua gym")</f>
        <v>Aqua gym</v>
      </c>
      <c r="M1341" s="7" t="str">
        <f>IFERROR(__xludf.DUMMYFUNCTION("IF('Respuestas de formulario 1'!M1341="""","""",TO_TEXT('Respuestas de formulario 1'!M1341))"),"1 a 2 veces por semana")</f>
        <v>1 a 2 veces por semana</v>
      </c>
      <c r="N1341" s="7">
        <f t="shared" si="1"/>
        <v>2025</v>
      </c>
      <c r="O1341" s="7" t="str">
        <f t="shared" si="2"/>
        <v>noviembre</v>
      </c>
      <c r="P1341" s="7" t="s">
        <v>6796</v>
      </c>
    </row>
    <row r="1342">
      <c r="A1342" s="19">
        <f>'Respuestas de formulario 1'!A1342</f>
        <v>45986.48138</v>
      </c>
      <c r="B1342" s="7" t="str">
        <f>'Respuestas de formulario 1'!B1342</f>
        <v>Edelstein</v>
      </c>
      <c r="C1342" s="7" t="str">
        <f>'Respuestas de formulario 1'!C1342</f>
        <v>Josefina</v>
      </c>
      <c r="D1342" s="7" t="str">
        <f>'Respuestas de formulario 1'!D1342</f>
        <v>Josefinaedelstein@gmail.com</v>
      </c>
      <c r="E1342" s="20">
        <f>'Respuestas de formulario 1'!E1342</f>
        <v>23284</v>
      </c>
      <c r="F1342" s="7">
        <f>'Respuestas de formulario 1'!F1342</f>
        <v>17628150</v>
      </c>
      <c r="G1342" s="7" t="str">
        <f>IFERROR(__xludf.DUMMYFUNCTION("IF('Respuestas de formulario 1'!G1342="""","""",IF(LEFT(REGEXREPLACE(TO_TEXT('Respuestas de formulario 1'!G1342),""[^0-9]"",""""),2)=""54"",""+""&amp;REGEXREPLACE(TO_TEXT('Respuestas de formulario 1'!G1342),""[^0-9]"",""""),""+54""&amp;REGEXREPLACE(TO_TEXT('Respu"&amp;"estas de formulario 1'!G1342),""[^0-9]"","""")))"),"+543516313459")</f>
        <v>+543516313459</v>
      </c>
      <c r="H1342" s="7">
        <f>'Respuestas de formulario 1'!S1342</f>
        <v>2025</v>
      </c>
      <c r="I1342" s="7" t="str">
        <f>IFERROR(__xludf.DUMMYFUNCTION("IF('Respuestas de formulario 1'!I1342="""","""",TO_TEXT('Respuestas de formulario 1'!I1342))"),"Obra social")</f>
        <v>Obra social</v>
      </c>
      <c r="J1342" s="7" t="str">
        <f>IFERROR(__xludf.DUMMYFUNCTION("IF('Respuestas de formulario 1'!J1342&lt;&gt;"""",UPPER(TRIM(TO_TEXT('Respuestas de formulario 1'!J1342))),IF('Respuestas de formulario 1'!O1342&lt;&gt;"""",UPPER(TRIM(TO_TEXT('Respuestas de formulario 1'!O1342))),""""))"),"APROSS")</f>
        <v>APROSS</v>
      </c>
      <c r="K1342" s="7" t="str">
        <f>IFERROR(__xludf.DUMMYFUNCTION("IF('Respuestas de formulario 1'!K1342="""","""",TO_TEXT('Respuestas de formulario 1'!K1342))"),"Si")</f>
        <v>Si</v>
      </c>
      <c r="L1342" s="7" t="str">
        <f>IFERROR(__xludf.DUMMYFUNCTION("IF('Respuestas de formulario 1'!L1342="""","""",TO_TEXT('Respuestas de formulario 1'!L1342))"),"Funcional")</f>
        <v>Funcional</v>
      </c>
      <c r="M1342" s="7" t="str">
        <f>IFERROR(__xludf.DUMMYFUNCTION("IF('Respuestas de formulario 1'!M1342="""","""",TO_TEXT('Respuestas de formulario 1'!M1342))"),"1 a 2 veces por semana")</f>
        <v>1 a 2 veces por semana</v>
      </c>
      <c r="N1342" s="7">
        <f t="shared" si="1"/>
        <v>2025</v>
      </c>
      <c r="O1342" s="7" t="str">
        <f t="shared" si="2"/>
        <v>noviembre</v>
      </c>
      <c r="P1342" s="7" t="s">
        <v>6798</v>
      </c>
    </row>
    <row r="1343">
      <c r="A1343" s="19">
        <f>'Respuestas de formulario 1'!A1343</f>
        <v>45986.60187</v>
      </c>
      <c r="B1343" s="7" t="str">
        <f>'Respuestas de formulario 1'!B1343</f>
        <v>Tula</v>
      </c>
      <c r="C1343" s="7" t="str">
        <f>'Respuestas de formulario 1'!C1343</f>
        <v>Pablo Alejandro</v>
      </c>
      <c r="D1343" s="7" t="str">
        <f>'Respuestas de formulario 1'!D1343</f>
        <v>Pablo.cpl.94@gmail.com</v>
      </c>
      <c r="E1343" s="20">
        <f>'Respuestas de formulario 1'!E1343</f>
        <v>34633</v>
      </c>
      <c r="F1343" s="7">
        <f>'Respuestas de formulario 1'!F1343</f>
        <v>38500953</v>
      </c>
      <c r="G1343" s="7" t="str">
        <f>IFERROR(__xludf.DUMMYFUNCTION("IF('Respuestas de formulario 1'!G1343="""","""",IF(LEFT(REGEXREPLACE(TO_TEXT('Respuestas de formulario 1'!G1343),""[^0-9]"",""""),2)=""54"",""+""&amp;REGEXREPLACE(TO_TEXT('Respuestas de formulario 1'!G1343),""[^0-9]"",""""),""+54""&amp;REGEXREPLACE(TO_TEXT('Respu"&amp;"estas de formulario 1'!G1343),""[^0-9]"","""")))"),"+543512596818")</f>
        <v>+543512596818</v>
      </c>
      <c r="H1343" s="7">
        <f>'Respuestas de formulario 1'!S1343</f>
        <v>2025</v>
      </c>
      <c r="I1343" s="7" t="str">
        <f>IFERROR(__xludf.DUMMYFUNCTION("IF('Respuestas de formulario 1'!I1343="""","""",TO_TEXT('Respuestas de formulario 1'!I1343))"),"Obra social")</f>
        <v>Obra social</v>
      </c>
      <c r="J1343" s="7" t="str">
        <f>IFERROR(__xludf.DUMMYFUNCTION("IF('Respuestas de formulario 1'!J1343&lt;&gt;"""",UPPER(TRIM(TO_TEXT('Respuestas de formulario 1'!J1343))),IF('Respuestas de formulario 1'!O1343&lt;&gt;"""",UPPER(TRIM(TO_TEXT('Respuestas de formulario 1'!O1343))),""""))"),"MEDIFE")</f>
        <v>MEDIFE</v>
      </c>
      <c r="K1343" s="7" t="str">
        <f>IFERROR(__xludf.DUMMYFUNCTION("IF('Respuestas de formulario 1'!K1343="""","""",TO_TEXT('Respuestas de formulario 1'!K1343))"),"Si")</f>
        <v>Si</v>
      </c>
      <c r="L1343" s="7" t="str">
        <f>IFERROR(__xludf.DUMMYFUNCTION("IF('Respuestas de formulario 1'!L1343="""","""",TO_TEXT('Respuestas de formulario 1'!L1343))"),"Básquet")</f>
        <v>Básquet</v>
      </c>
      <c r="M1343" s="7" t="str">
        <f>IFERROR(__xludf.DUMMYFUNCTION("IF('Respuestas de formulario 1'!M1343="""","""",TO_TEXT('Respuestas de formulario 1'!M1343))"),"1 a 2 veces por semana")</f>
        <v>1 a 2 veces por semana</v>
      </c>
      <c r="N1343" s="7">
        <f t="shared" si="1"/>
        <v>2025</v>
      </c>
      <c r="O1343" s="7" t="str">
        <f t="shared" si="2"/>
        <v>noviembre</v>
      </c>
      <c r="P1343" s="7" t="s">
        <v>6800</v>
      </c>
    </row>
    <row r="1344">
      <c r="A1344" s="19">
        <f>'Respuestas de formulario 1'!A1344</f>
        <v>45987.73952</v>
      </c>
      <c r="B1344" s="7" t="str">
        <f>'Respuestas de formulario 1'!B1344</f>
        <v>Peralta Carranza</v>
      </c>
      <c r="C1344" s="7" t="str">
        <f>'Respuestas de formulario 1'!C1344</f>
        <v>Aixa Huilen</v>
      </c>
      <c r="D1344" s="7" t="str">
        <f>'Respuestas de formulario 1'!D1344</f>
        <v>huilen2345@gmail.com</v>
      </c>
      <c r="E1344" s="20">
        <f>'Respuestas de formulario 1'!E1344</f>
        <v>36901</v>
      </c>
      <c r="F1344" s="7">
        <f>'Respuestas de formulario 1'!F1344</f>
        <v>43231404</v>
      </c>
      <c r="G1344" s="7" t="str">
        <f>IFERROR(__xludf.DUMMYFUNCTION("IF('Respuestas de formulario 1'!G1344="""","""",IF(LEFT(REGEXREPLACE(TO_TEXT('Respuestas de formulario 1'!G1344),""[^0-9]"",""""),2)=""54"",""+""&amp;REGEXREPLACE(TO_TEXT('Respuestas de formulario 1'!G1344),""[^0-9]"",""""),""+54""&amp;REGEXREPLACE(TO_TEXT('Respu"&amp;"estas de formulario 1'!G1344),""[^0-9]"","""")))"),"+543513274171")</f>
        <v>+543513274171</v>
      </c>
      <c r="H1344" s="7">
        <f>'Respuestas de formulario 1'!S1344</f>
        <v>2025</v>
      </c>
      <c r="I1344" s="7" t="str">
        <f>IFERROR(__xludf.DUMMYFUNCTION("IF('Respuestas de formulario 1'!I1344="""","""",TO_TEXT('Respuestas de formulario 1'!I1344))"),"Obra social")</f>
        <v>Obra social</v>
      </c>
      <c r="J1344" s="7" t="str">
        <f>IFERROR(__xludf.DUMMYFUNCTION("IF('Respuestas de formulario 1'!J1344&lt;&gt;"""",UPPER(TRIM(TO_TEXT('Respuestas de formulario 1'!J1344))),IF('Respuestas de formulario 1'!O1344&lt;&gt;"""",UPPER(TRIM(TO_TEXT('Respuestas de formulario 1'!O1344))),""""))"),"CPCE")</f>
        <v>CPCE</v>
      </c>
      <c r="K1344" s="7" t="str">
        <f>IFERROR(__xludf.DUMMYFUNCTION("IF('Respuestas de formulario 1'!K1344="""","""",TO_TEXT('Respuestas de formulario 1'!K1344))"),"Si")</f>
        <v>Si</v>
      </c>
      <c r="L1344" s="7" t="str">
        <f>IFERROR(__xludf.DUMMYFUNCTION("IF('Respuestas de formulario 1'!L1344="""","""",TO_TEXT('Respuestas de formulario 1'!L1344))"),"Gimnasio")</f>
        <v>Gimnasio</v>
      </c>
      <c r="M1344" s="7" t="str">
        <f>IFERROR(__xludf.DUMMYFUNCTION("IF('Respuestas de formulario 1'!M1344="""","""",TO_TEXT('Respuestas de formulario 1'!M1344))"),"3 a 5 veces por semana")</f>
        <v>3 a 5 veces por semana</v>
      </c>
      <c r="N1344" s="7">
        <f t="shared" si="1"/>
        <v>2025</v>
      </c>
      <c r="O1344" s="7" t="str">
        <f t="shared" si="2"/>
        <v>noviembre</v>
      </c>
      <c r="P1344" s="7" t="s">
        <v>6802</v>
      </c>
    </row>
    <row r="1345">
      <c r="A1345" s="19">
        <f>'Respuestas de formulario 1'!A1345</f>
        <v>45987.77649</v>
      </c>
      <c r="B1345" s="7" t="str">
        <f>'Respuestas de formulario 1'!B1345</f>
        <v>Verdu</v>
      </c>
      <c r="C1345" s="7" t="str">
        <f>'Respuestas de formulario 1'!C1345</f>
        <v>Susana</v>
      </c>
      <c r="D1345" s="7" t="str">
        <f>'Respuestas de formulario 1'!D1345</f>
        <v>susanaverdu@gmail,com</v>
      </c>
      <c r="E1345" s="20">
        <f>'Respuestas de formulario 1'!E1345</f>
        <v>17170</v>
      </c>
      <c r="F1345" s="7">
        <f>'Respuestas de formulario 1'!F1345</f>
        <v>5587884</v>
      </c>
      <c r="G1345" s="7" t="str">
        <f>IFERROR(__xludf.DUMMYFUNCTION("IF('Respuestas de formulario 1'!G1345="""","""",IF(LEFT(REGEXREPLACE(TO_TEXT('Respuestas de formulario 1'!G1345),""[^0-9]"",""""),2)=""54"",""+""&amp;REGEXREPLACE(TO_TEXT('Respuestas de formulario 1'!G1345),""[^0-9]"",""""),""+54""&amp;REGEXREPLACE(TO_TEXT('Respu"&amp;"estas de formulario 1'!G1345),""[^0-9]"","""")))"),"+543516420132")</f>
        <v>+543516420132</v>
      </c>
      <c r="H1345" s="7">
        <f>'Respuestas de formulario 1'!S1345</f>
        <v>2025</v>
      </c>
      <c r="I1345" s="7" t="str">
        <f>IFERROR(__xludf.DUMMYFUNCTION("IF('Respuestas de formulario 1'!I1345="""","""",TO_TEXT('Respuestas de formulario 1'!I1345))"),"Obra social")</f>
        <v>Obra social</v>
      </c>
      <c r="J1345" s="7" t="str">
        <f>IFERROR(__xludf.DUMMYFUNCTION("IF('Respuestas de formulario 1'!J1345&lt;&gt;"""",UPPER(TRIM(TO_TEXT('Respuestas de formulario 1'!J1345))),IF('Respuestas de formulario 1'!O1345&lt;&gt;"""",UPPER(TRIM(TO_TEXT('Respuestas de formulario 1'!O1345))),""""))"),"APROSS")</f>
        <v>APROSS</v>
      </c>
      <c r="K1345" s="7" t="str">
        <f>IFERROR(__xludf.DUMMYFUNCTION("IF('Respuestas de formulario 1'!K1345="""","""",TO_TEXT('Respuestas de formulario 1'!K1345))"),"Si")</f>
        <v>Si</v>
      </c>
      <c r="L1345" s="7" t="str">
        <f>IFERROR(__xludf.DUMMYFUNCTION("IF('Respuestas de formulario 1'!L1345="""","""",TO_TEXT('Respuestas de formulario 1'!L1345))"),"pilates y gym")</f>
        <v>pilates y gym</v>
      </c>
      <c r="M1345" s="7" t="str">
        <f>IFERROR(__xludf.DUMMYFUNCTION("IF('Respuestas de formulario 1'!M1345="""","""",TO_TEXT('Respuestas de formulario 1'!M1345))"),"3 a 5 veces por semana")</f>
        <v>3 a 5 veces por semana</v>
      </c>
      <c r="N1345" s="7">
        <f t="shared" si="1"/>
        <v>2025</v>
      </c>
      <c r="O1345" s="7" t="str">
        <f t="shared" si="2"/>
        <v>noviembre</v>
      </c>
      <c r="P1345" s="7" t="s">
        <v>6804</v>
      </c>
    </row>
    <row r="1346">
      <c r="A1346" s="19">
        <f>'Respuestas de formulario 1'!A1346</f>
        <v>45988.39693</v>
      </c>
      <c r="B1346" s="7" t="str">
        <f>'Respuestas de formulario 1'!B1346</f>
        <v>BEPRE </v>
      </c>
      <c r="C1346" s="7" t="str">
        <f>'Respuestas de formulario 1'!C1346</f>
        <v>Federico</v>
      </c>
      <c r="D1346" s="7" t="str">
        <f>'Respuestas de formulario 1'!D1346</f>
        <v>Diabetesdiabetes2013@yahoo.com.ar</v>
      </c>
      <c r="E1346" s="20">
        <f>'Respuestas de formulario 1'!E1346</f>
        <v>41255</v>
      </c>
      <c r="F1346" s="7">
        <f>'Respuestas de formulario 1'!F1346</f>
        <v>52466851</v>
      </c>
      <c r="G1346" s="7" t="str">
        <f>IFERROR(__xludf.DUMMYFUNCTION("IF('Respuestas de formulario 1'!G1346="""","""",IF(LEFT(REGEXREPLACE(TO_TEXT('Respuestas de formulario 1'!G1346),""[^0-9]"",""""),2)=""54"",""+""&amp;REGEXREPLACE(TO_TEXT('Respuestas de formulario 1'!G1346),""[^0-9]"",""""),""+54""&amp;REGEXREPLACE(TO_TEXT('Respu"&amp;"estas de formulario 1'!G1346),""[^0-9]"","""")))"),"+543512454625")</f>
        <v>+543512454625</v>
      </c>
      <c r="H1346" s="7">
        <f>'Respuestas de formulario 1'!S1346</f>
        <v>2025</v>
      </c>
      <c r="I1346" s="7" t="str">
        <f>IFERROR(__xludf.DUMMYFUNCTION("IF('Respuestas de formulario 1'!I1346="""","""",TO_TEXT('Respuestas de formulario 1'!I1346))"),"Obra social")</f>
        <v>Obra social</v>
      </c>
      <c r="J1346" s="7" t="str">
        <f>IFERROR(__xludf.DUMMYFUNCTION("IF('Respuestas de formulario 1'!J1346&lt;&gt;"""",UPPER(TRIM(TO_TEXT('Respuestas de formulario 1'!J1346))),IF('Respuestas de formulario 1'!O1346&lt;&gt;"""",UPPER(TRIM(TO_TEXT('Respuestas de formulario 1'!O1346))),""""))"),"CAJA NOTARIAL")</f>
        <v>CAJA NOTARIAL</v>
      </c>
      <c r="K1346" s="7" t="str">
        <f>IFERROR(__xludf.DUMMYFUNCTION("IF('Respuestas de formulario 1'!K1346="""","""",TO_TEXT('Respuestas de formulario 1'!K1346))"),"Si")</f>
        <v>Si</v>
      </c>
      <c r="L1346" s="7" t="str">
        <f>IFERROR(__xludf.DUMMYFUNCTION("IF('Respuestas de formulario 1'!L1346="""","""",TO_TEXT('Respuestas de formulario 1'!L1346))"),"Fútbol")</f>
        <v>Fútbol</v>
      </c>
      <c r="M1346" s="7" t="str">
        <f>IFERROR(__xludf.DUMMYFUNCTION("IF('Respuestas de formulario 1'!M1346="""","""",TO_TEXT('Respuestas de formulario 1'!M1346))"),"3 a 5 veces por semana")</f>
        <v>3 a 5 veces por semana</v>
      </c>
      <c r="N1346" s="7">
        <f t="shared" si="1"/>
        <v>2025</v>
      </c>
      <c r="O1346" s="7" t="str">
        <f t="shared" si="2"/>
        <v>noviembre</v>
      </c>
      <c r="P1346" s="7" t="s">
        <v>6806</v>
      </c>
    </row>
    <row r="1347">
      <c r="A1347" s="19">
        <f>'Respuestas de formulario 1'!A1347</f>
        <v>45988.41571</v>
      </c>
      <c r="B1347" s="7" t="str">
        <f>'Respuestas de formulario 1'!B1347</f>
        <v>BERETTA</v>
      </c>
      <c r="C1347" s="7" t="str">
        <f>'Respuestas de formulario 1'!C1347</f>
        <v>ALEJANDRO</v>
      </c>
      <c r="D1347" s="7" t="str">
        <f>'Respuestas de formulario 1'!D1347</f>
        <v/>
      </c>
      <c r="E1347" s="20">
        <f>'Respuestas de formulario 1'!E1347</f>
        <v>23205</v>
      </c>
      <c r="F1347" s="7">
        <f>'Respuestas de formulario 1'!F1347</f>
        <v>16508095</v>
      </c>
      <c r="G1347" s="7" t="str">
        <f>IFERROR(__xludf.DUMMYFUNCTION("IF('Respuestas de formulario 1'!G1347="""","""",IF(LEFT(REGEXREPLACE(TO_TEXT('Respuestas de formulario 1'!G1347),""[^0-9]"",""""),2)=""54"",""+""&amp;REGEXREPLACE(TO_TEXT('Respuestas de formulario 1'!G1347),""[^0-9]"",""""),""+54""&amp;REGEXREPLACE(TO_TEXT('Respu"&amp;"estas de formulario 1'!G1347),""[^0-9]"","""")))"),"+543513051899")</f>
        <v>+543513051899</v>
      </c>
      <c r="H1347" s="7">
        <f>'Respuestas de formulario 1'!S1347</f>
        <v>2025</v>
      </c>
      <c r="I1347" s="7" t="str">
        <f>IFERROR(__xludf.DUMMYFUNCTION("IF('Respuestas de formulario 1'!I1347="""","""",TO_TEXT('Respuestas de formulario 1'!I1347))"),"Particular")</f>
        <v>Particular</v>
      </c>
      <c r="J1347" s="7" t="str">
        <f>IFERROR(__xludf.DUMMYFUNCTION("IF('Respuestas de formulario 1'!J1347&lt;&gt;"""",UPPER(TRIM(TO_TEXT('Respuestas de formulario 1'!J1347))),IF('Respuestas de formulario 1'!O1347&lt;&gt;"""",UPPER(TRIM(TO_TEXT('Respuestas de formulario 1'!O1347))),""""))"),"")</f>
        <v/>
      </c>
      <c r="K1347" s="7" t="str">
        <f>IFERROR(__xludf.DUMMYFUNCTION("IF('Respuestas de formulario 1'!K1347="""","""",TO_TEXT('Respuestas de formulario 1'!K1347))"),"No")</f>
        <v>No</v>
      </c>
      <c r="L1347" s="7" t="str">
        <f>IFERROR(__xludf.DUMMYFUNCTION("IF('Respuestas de formulario 1'!L1347="""","""",TO_TEXT('Respuestas de formulario 1'!L1347))"),"")</f>
        <v/>
      </c>
      <c r="M1347" s="7" t="str">
        <f>IFERROR(__xludf.DUMMYFUNCTION("IF('Respuestas de formulario 1'!M1347="""","""",TO_TEXT('Respuestas de formulario 1'!M1347))"),"")</f>
        <v/>
      </c>
      <c r="N1347" s="7">
        <f t="shared" si="1"/>
        <v>2025</v>
      </c>
      <c r="O1347" s="7" t="str">
        <f t="shared" si="2"/>
        <v>noviembre</v>
      </c>
      <c r="P1347" s="7" t="s">
        <v>6808</v>
      </c>
    </row>
    <row r="1348">
      <c r="A1348" s="19">
        <f>'Respuestas de formulario 1'!A1348</f>
        <v>45989.5042</v>
      </c>
      <c r="B1348" s="7" t="str">
        <f>'Respuestas de formulario 1'!B1348</f>
        <v>QUEVEDO</v>
      </c>
      <c r="C1348" s="7" t="str">
        <f>'Respuestas de formulario 1'!C1348</f>
        <v>Julieta </v>
      </c>
      <c r="D1348" s="7" t="str">
        <f>'Respuestas de formulario 1'!D1348</f>
        <v>julisantotomas@gmail.com </v>
      </c>
      <c r="E1348" s="20">
        <f>'Respuestas de formulario 1'!E1348</f>
        <v>33414</v>
      </c>
      <c r="F1348" s="7">
        <f>'Respuestas de formulario 1'!F1348</f>
        <v>35964601</v>
      </c>
      <c r="G1348" s="7" t="str">
        <f>IFERROR(__xludf.DUMMYFUNCTION("IF('Respuestas de formulario 1'!G1348="""","""",IF(LEFT(REGEXREPLACE(TO_TEXT('Respuestas de formulario 1'!G1348),""[^0-9]"",""""),2)=""54"",""+""&amp;REGEXREPLACE(TO_TEXT('Respuestas de formulario 1'!G1348),""[^0-9]"",""""),""+54""&amp;REGEXREPLACE(TO_TEXT('Respu"&amp;"estas de formulario 1'!G1348),""[^0-9]"","""")))"),"+543512347011")</f>
        <v>+543512347011</v>
      </c>
      <c r="H1348" s="7">
        <f>'Respuestas de formulario 1'!S1348</f>
        <v>2025</v>
      </c>
      <c r="I1348" s="7" t="str">
        <f>IFERROR(__xludf.DUMMYFUNCTION("IF('Respuestas de formulario 1'!I1348="""","""",TO_TEXT('Respuestas de formulario 1'!I1348))"),"Obra social")</f>
        <v>Obra social</v>
      </c>
      <c r="J1348" s="7" t="str">
        <f>IFERROR(__xludf.DUMMYFUNCTION("IF('Respuestas de formulario 1'!J1348&lt;&gt;"""",UPPER(TRIM(TO_TEXT('Respuestas de formulario 1'!J1348))),IF('Respuestas de formulario 1'!O1348&lt;&gt;"""",UPPER(TRIM(TO_TEXT('Respuestas de formulario 1'!O1348))),""""))"),"SANCOR")</f>
        <v>SANCOR</v>
      </c>
      <c r="K1348" s="7" t="str">
        <f>IFERROR(__xludf.DUMMYFUNCTION("IF('Respuestas de formulario 1'!K1348="""","""",TO_TEXT('Respuestas de formulario 1'!K1348))"),"No")</f>
        <v>No</v>
      </c>
      <c r="L1348" s="7" t="str">
        <f>IFERROR(__xludf.DUMMYFUNCTION("IF('Respuestas de formulario 1'!L1348="""","""",TO_TEXT('Respuestas de formulario 1'!L1348))"),"")</f>
        <v/>
      </c>
      <c r="M1348" s="7" t="str">
        <f>IFERROR(__xludf.DUMMYFUNCTION("IF('Respuestas de formulario 1'!M1348="""","""",TO_TEXT('Respuestas de formulario 1'!M1348))"),"")</f>
        <v/>
      </c>
      <c r="N1348" s="7">
        <f t="shared" si="1"/>
        <v>2025</v>
      </c>
      <c r="O1348" s="7" t="str">
        <f t="shared" si="2"/>
        <v>noviembre</v>
      </c>
      <c r="P1348" s="7" t="s">
        <v>6809</v>
      </c>
    </row>
    <row r="1349">
      <c r="A1349" s="19">
        <f>'Respuestas de formulario 1'!A1349</f>
        <v>45989.56094</v>
      </c>
      <c r="B1349" s="7" t="str">
        <f>'Respuestas de formulario 1'!B1349</f>
        <v>Pardo</v>
      </c>
      <c r="C1349" s="7" t="str">
        <f>'Respuestas de formulario 1'!C1349</f>
        <v>Agustin</v>
      </c>
      <c r="D1349" s="7" t="str">
        <f>'Respuestas de formulario 1'!D1349</f>
        <v>pardo.agustin94@gmail.com</v>
      </c>
      <c r="E1349" s="20">
        <f>'Respuestas de formulario 1'!E1349</f>
        <v>34346</v>
      </c>
      <c r="F1349" s="7">
        <f>'Respuestas de formulario 1'!F1349</f>
        <v>38002836</v>
      </c>
      <c r="G1349" s="7" t="str">
        <f>IFERROR(__xludf.DUMMYFUNCTION("IF('Respuestas de formulario 1'!G1349="""","""",IF(LEFT(REGEXREPLACE(TO_TEXT('Respuestas de formulario 1'!G1349),""[^0-9]"",""""),2)=""54"",""+""&amp;REGEXREPLACE(TO_TEXT('Respuestas de formulario 1'!G1349),""[^0-9]"",""""),""+54""&amp;REGEXREPLACE(TO_TEXT('Respu"&amp;"estas de formulario 1'!G1349),""[^0-9]"","""")))"),"+543512474703")</f>
        <v>+543512474703</v>
      </c>
      <c r="H1349" s="7">
        <f>'Respuestas de formulario 1'!S1349</f>
        <v>2025</v>
      </c>
      <c r="I1349" s="7" t="str">
        <f>IFERROR(__xludf.DUMMYFUNCTION("IF('Respuestas de formulario 1'!I1349="""","""",TO_TEXT('Respuestas de formulario 1'!I1349))"),"Particular")</f>
        <v>Particular</v>
      </c>
      <c r="J1349" s="7" t="str">
        <f>IFERROR(__xludf.DUMMYFUNCTION("IF('Respuestas de formulario 1'!J1349&lt;&gt;"""",UPPER(TRIM(TO_TEXT('Respuestas de formulario 1'!J1349))),IF('Respuestas de formulario 1'!O1349&lt;&gt;"""",UPPER(TRIM(TO_TEXT('Respuestas de formulario 1'!O1349))),""""))"),"")</f>
        <v/>
      </c>
      <c r="K1349" s="7" t="str">
        <f>IFERROR(__xludf.DUMMYFUNCTION("IF('Respuestas de formulario 1'!K1349="""","""",TO_TEXT('Respuestas de formulario 1'!K1349))"),"Si")</f>
        <v>Si</v>
      </c>
      <c r="L1349" s="7" t="str">
        <f>IFERROR(__xludf.DUMMYFUNCTION("IF('Respuestas de formulario 1'!L1349="""","""",TO_TEXT('Respuestas de formulario 1'!L1349))"),"Gimnasio")</f>
        <v>Gimnasio</v>
      </c>
      <c r="M1349" s="7" t="str">
        <f>IFERROR(__xludf.DUMMYFUNCTION("IF('Respuestas de formulario 1'!M1349="""","""",TO_TEXT('Respuestas de formulario 1'!M1349))"),"1 a 2 veces por semana")</f>
        <v>1 a 2 veces por semana</v>
      </c>
      <c r="N1349" s="7">
        <f t="shared" si="1"/>
        <v>2025</v>
      </c>
      <c r="O1349" s="7" t="str">
        <f t="shared" si="2"/>
        <v>noviembre</v>
      </c>
      <c r="P1349" s="7" t="s">
        <v>6811</v>
      </c>
    </row>
    <row r="1350">
      <c r="A1350" s="19">
        <f>'Respuestas de formulario 1'!A1350</f>
        <v>45989.63501</v>
      </c>
      <c r="B1350" s="7" t="str">
        <f>'Respuestas de formulario 1'!B1350</f>
        <v>Irisarri</v>
      </c>
      <c r="C1350" s="7" t="str">
        <f>'Respuestas de formulario 1'!C1350</f>
        <v>Lautaro</v>
      </c>
      <c r="D1350" s="7" t="str">
        <f>'Respuestas de formulario 1'!D1350</f>
        <v>lautaroirisarri2006@gmail.com</v>
      </c>
      <c r="E1350" s="20">
        <f>'Respuestas de formulario 1'!E1350</f>
        <v>39069</v>
      </c>
      <c r="F1350" s="7">
        <f>'Respuestas de formulario 1'!F1350</f>
        <v>47579917</v>
      </c>
      <c r="G1350" s="7" t="str">
        <f>IFERROR(__xludf.DUMMYFUNCTION("IF('Respuestas de formulario 1'!G1350="""","""",IF(LEFT(REGEXREPLACE(TO_TEXT('Respuestas de formulario 1'!G1350),""[^0-9]"",""""),2)=""54"",""+""&amp;REGEXREPLACE(TO_TEXT('Respuestas de formulario 1'!G1350),""[^0-9]"",""""),""+54""&amp;REGEXREPLACE(TO_TEXT('Respu"&amp;"estas de formulario 1'!G1350),""[^0-9]"","""")))"),"+543512140716")</f>
        <v>+543512140716</v>
      </c>
      <c r="H1350" s="7">
        <f>'Respuestas de formulario 1'!S1350</f>
        <v>2025</v>
      </c>
      <c r="I1350" s="7" t="str">
        <f>IFERROR(__xludf.DUMMYFUNCTION("IF('Respuestas de formulario 1'!I1350="""","""",TO_TEXT('Respuestas de formulario 1'!I1350))"),"Obra social")</f>
        <v>Obra social</v>
      </c>
      <c r="J1350" s="7" t="str">
        <f>IFERROR(__xludf.DUMMYFUNCTION("IF('Respuestas de formulario 1'!J1350&lt;&gt;"""",UPPER(TRIM(TO_TEXT('Respuestas de formulario 1'!J1350))),IF('Respuestas de formulario 1'!O1350&lt;&gt;"""",UPPER(TRIM(TO_TEXT('Respuestas de formulario 1'!O1350))),""""))"),"SANCOR")</f>
        <v>SANCOR</v>
      </c>
      <c r="K1350" s="7" t="str">
        <f>IFERROR(__xludf.DUMMYFUNCTION("IF('Respuestas de formulario 1'!K1350="""","""",TO_TEXT('Respuestas de formulario 1'!K1350))"),"Si")</f>
        <v>Si</v>
      </c>
      <c r="L1350" s="7" t="str">
        <f>IFERROR(__xludf.DUMMYFUNCTION("IF('Respuestas de formulario 1'!L1350="""","""",TO_TEXT('Respuestas de formulario 1'!L1350))"),"Futbol+Gimnasio")</f>
        <v>Futbol+Gimnasio</v>
      </c>
      <c r="M1350" s="7" t="str">
        <f>IFERROR(__xludf.DUMMYFUNCTION("IF('Respuestas de formulario 1'!M1350="""","""",TO_TEXT('Respuestas de formulario 1'!M1350))"),"3 a 5 veces por semana")</f>
        <v>3 a 5 veces por semana</v>
      </c>
      <c r="N1350" s="7">
        <f t="shared" si="1"/>
        <v>2025</v>
      </c>
      <c r="O1350" s="7" t="str">
        <f t="shared" si="2"/>
        <v>noviembre</v>
      </c>
      <c r="P1350" s="7" t="s">
        <v>6813</v>
      </c>
    </row>
    <row r="1351">
      <c r="A1351" s="19">
        <f>'Respuestas de formulario 1'!A1351</f>
        <v>45991.9304</v>
      </c>
      <c r="B1351" s="7" t="str">
        <f>'Respuestas de formulario 1'!B1351</f>
        <v>Soria</v>
      </c>
      <c r="C1351" s="7" t="str">
        <f>'Respuestas de formulario 1'!C1351</f>
        <v>Mayco</v>
      </c>
      <c r="D1351" s="7" t="str">
        <f>'Respuestas de formulario 1'!D1351</f>
        <v>maycomaylin@gmail.com</v>
      </c>
      <c r="E1351" s="20">
        <f>'Respuestas de formulario 1'!E1351</f>
        <v>32984</v>
      </c>
      <c r="F1351" s="7">
        <f>'Respuestas de formulario 1'!F1351</f>
        <v>34958254</v>
      </c>
      <c r="G1351" s="7" t="str">
        <f>IFERROR(__xludf.DUMMYFUNCTION("IF('Respuestas de formulario 1'!G1351="""","""",IF(LEFT(REGEXREPLACE(TO_TEXT('Respuestas de formulario 1'!G1351),""[^0-9]"",""""),2)=""54"",""+""&amp;REGEXREPLACE(TO_TEXT('Respuestas de formulario 1'!G1351),""[^0-9]"",""""),""+54""&amp;REGEXREPLACE(TO_TEXT('Respu"&amp;"estas de formulario 1'!G1351),""[^0-9]"","""")))"),"+543517507774")</f>
        <v>+543517507774</v>
      </c>
      <c r="H1351" s="7">
        <f>'Respuestas de formulario 1'!S1351</f>
        <v>2025</v>
      </c>
      <c r="I1351" s="7" t="str">
        <f>IFERROR(__xludf.DUMMYFUNCTION("IF('Respuestas de formulario 1'!I1351="""","""",TO_TEXT('Respuestas de formulario 1'!I1351))"),"Obra social")</f>
        <v>Obra social</v>
      </c>
      <c r="J1351" s="7" t="str">
        <f>IFERROR(__xludf.DUMMYFUNCTION("IF('Respuestas de formulario 1'!J1351&lt;&gt;"""",UPPER(TRIM(TO_TEXT('Respuestas de formulario 1'!J1351))),IF('Respuestas de formulario 1'!O1351&lt;&gt;"""",UPPER(TRIM(TO_TEXT('Respuestas de formulario 1'!O1351))),""""))"),"SANCOR")</f>
        <v>SANCOR</v>
      </c>
      <c r="K1351" s="7" t="str">
        <f>IFERROR(__xludf.DUMMYFUNCTION("IF('Respuestas de formulario 1'!K1351="""","""",TO_TEXT('Respuestas de formulario 1'!K1351))"),"Si")</f>
        <v>Si</v>
      </c>
      <c r="L1351" s="7" t="str">
        <f>IFERROR(__xludf.DUMMYFUNCTION("IF('Respuestas de formulario 1'!L1351="""","""",TO_TEXT('Respuestas de formulario 1'!L1351))"),"Fútbol")</f>
        <v>Fútbol</v>
      </c>
      <c r="M1351" s="7" t="str">
        <f>IFERROR(__xludf.DUMMYFUNCTION("IF('Respuestas de formulario 1'!M1351="""","""",TO_TEXT('Respuestas de formulario 1'!M1351))"),"1 a 2 veces por semana")</f>
        <v>1 a 2 veces por semana</v>
      </c>
      <c r="N1351" s="7">
        <f t="shared" si="1"/>
        <v>2025</v>
      </c>
      <c r="O1351" s="7" t="str">
        <f t="shared" si="2"/>
        <v>noviembre</v>
      </c>
      <c r="P1351" s="7" t="s">
        <v>6815</v>
      </c>
    </row>
    <row r="1352">
      <c r="A1352" s="19">
        <f>'Respuestas de formulario 1'!A1352</f>
        <v>45992.38548</v>
      </c>
      <c r="B1352" s="7" t="str">
        <f>'Respuestas de formulario 1'!B1352</f>
        <v>Francile</v>
      </c>
      <c r="C1352" s="7" t="str">
        <f>'Respuestas de formulario 1'!C1352</f>
        <v>Sergio</v>
      </c>
      <c r="D1352" s="7" t="str">
        <f>'Respuestas de formulario 1'!D1352</f>
        <v>sergiofrancile@yahoo.com.ar</v>
      </c>
      <c r="E1352" s="20">
        <f>'Respuestas de formulario 1'!E1352</f>
        <v>20344</v>
      </c>
      <c r="F1352" s="7">
        <f>'Respuestas de formulario 1'!F1352</f>
        <v>11972572</v>
      </c>
      <c r="G1352" s="7" t="str">
        <f>IFERROR(__xludf.DUMMYFUNCTION("IF('Respuestas de formulario 1'!G1352="""","""",IF(LEFT(REGEXREPLACE(TO_TEXT('Respuestas de formulario 1'!G1352),""[^0-9]"",""""),2)=""54"",""+""&amp;REGEXREPLACE(TO_TEXT('Respuestas de formulario 1'!G1352),""[^0-9]"",""""),""+54""&amp;REGEXREPLACE(TO_TEXT('Respu"&amp;"estas de formulario 1'!G1352),""[^0-9]"","""")))"),"+543516014683")</f>
        <v>+543516014683</v>
      </c>
      <c r="H1352" s="7">
        <f>'Respuestas de formulario 1'!S1352</f>
        <v>2025</v>
      </c>
      <c r="I1352" s="7" t="str">
        <f>IFERROR(__xludf.DUMMYFUNCTION("IF('Respuestas de formulario 1'!I1352="""","""",TO_TEXT('Respuestas de formulario 1'!I1352))"),"Obra social")</f>
        <v>Obra social</v>
      </c>
      <c r="J1352" s="7" t="str">
        <f>IFERROR(__xludf.DUMMYFUNCTION("IF('Respuestas de formulario 1'!J1352&lt;&gt;"""",UPPER(TRIM(TO_TEXT('Respuestas de formulario 1'!J1352))),IF('Respuestas de formulario 1'!O1352&lt;&gt;"""",UPPER(TRIM(TO_TEXT('Respuestas de formulario 1'!O1352))),""""))"),"APROSS")</f>
        <v>APROSS</v>
      </c>
      <c r="K1352" s="7" t="str">
        <f>IFERROR(__xludf.DUMMYFUNCTION("IF('Respuestas de formulario 1'!K1352="""","""",TO_TEXT('Respuestas de formulario 1'!K1352))"),"Si")</f>
        <v>Si</v>
      </c>
      <c r="L1352" s="7" t="str">
        <f>IFERROR(__xludf.DUMMYFUNCTION("IF('Respuestas de formulario 1'!L1352="""","""",TO_TEXT('Respuestas de formulario 1'!L1352))"),"Funcional")</f>
        <v>Funcional</v>
      </c>
      <c r="M1352" s="7" t="str">
        <f>IFERROR(__xludf.DUMMYFUNCTION("IF('Respuestas de formulario 1'!M1352="""","""",TO_TEXT('Respuestas de formulario 1'!M1352))"),"1 a 2 veces por semana")</f>
        <v>1 a 2 veces por semana</v>
      </c>
      <c r="N1352" s="7">
        <f t="shared" si="1"/>
        <v>2025</v>
      </c>
      <c r="O1352" s="7" t="str">
        <f t="shared" si="2"/>
        <v>diciembre</v>
      </c>
      <c r="P1352" s="7" t="s">
        <v>6817</v>
      </c>
    </row>
    <row r="1353">
      <c r="A1353" s="19">
        <f>'Respuestas de formulario 1'!A1353</f>
        <v>45992.48646</v>
      </c>
      <c r="B1353" s="7" t="str">
        <f>'Respuestas de formulario 1'!B1353</f>
        <v>Bonaldi</v>
      </c>
      <c r="C1353" s="7" t="str">
        <f>'Respuestas de formulario 1'!C1353</f>
        <v>Fernando</v>
      </c>
      <c r="D1353" s="7" t="str">
        <f>'Respuestas de formulario 1'!D1353</f>
        <v>nanobonaldi@hotmail.com</v>
      </c>
      <c r="E1353" s="20">
        <f>'Respuestas de formulario 1'!E1353</f>
        <v>27955</v>
      </c>
      <c r="F1353" s="7">
        <f>'Respuestas de formulario 1'!F1353</f>
        <v>25286386</v>
      </c>
      <c r="G1353" s="7" t="str">
        <f>IFERROR(__xludf.DUMMYFUNCTION("IF('Respuestas de formulario 1'!G1353="""","""",IF(LEFT(REGEXREPLACE(TO_TEXT('Respuestas de formulario 1'!G1353),""[^0-9]"",""""),2)=""54"",""+""&amp;REGEXREPLACE(TO_TEXT('Respuestas de formulario 1'!G1353),""[^0-9]"",""""),""+54""&amp;REGEXREPLACE(TO_TEXT('Respu"&amp;"estas de formulario 1'!G1353),""[^0-9]"","""")))"),"+543515941171")</f>
        <v>+543515941171</v>
      </c>
      <c r="H1353" s="7">
        <f>'Respuestas de formulario 1'!S1353</f>
        <v>2025</v>
      </c>
      <c r="I1353" s="7" t="str">
        <f>IFERROR(__xludf.DUMMYFUNCTION("IF('Respuestas de formulario 1'!I1353="""","""",TO_TEXT('Respuestas de formulario 1'!I1353))"),"Obra social")</f>
        <v>Obra social</v>
      </c>
      <c r="J1353" s="7" t="str">
        <f>IFERROR(__xludf.DUMMYFUNCTION("IF('Respuestas de formulario 1'!J1353&lt;&gt;"""",UPPER(TRIM(TO_TEXT('Respuestas de formulario 1'!J1353))),IF('Respuestas de formulario 1'!O1353&lt;&gt;"""",UPPER(TRIM(TO_TEXT('Respuestas de formulario 1'!O1353))),""""))"),"CPCE")</f>
        <v>CPCE</v>
      </c>
      <c r="K1353" s="7" t="str">
        <f>IFERROR(__xludf.DUMMYFUNCTION("IF('Respuestas de formulario 1'!K1353="""","""",TO_TEXT('Respuestas de formulario 1'!K1353))"),"Si")</f>
        <v>Si</v>
      </c>
      <c r="L1353" s="7" t="str">
        <f>IFERROR(__xludf.DUMMYFUNCTION("IF('Respuestas de formulario 1'!L1353="""","""",TO_TEXT('Respuestas de formulario 1'!L1353))"),"boxeo")</f>
        <v>boxeo</v>
      </c>
      <c r="M1353" s="7" t="str">
        <f>IFERROR(__xludf.DUMMYFUNCTION("IF('Respuestas de formulario 1'!M1353="""","""",TO_TEXT('Respuestas de formulario 1'!M1353))"),"3 a 5 veces por semana")</f>
        <v>3 a 5 veces por semana</v>
      </c>
      <c r="N1353" s="7">
        <f t="shared" si="1"/>
        <v>2025</v>
      </c>
      <c r="O1353" s="7" t="str">
        <f t="shared" si="2"/>
        <v>diciembre</v>
      </c>
      <c r="P1353" s="7" t="s">
        <v>6819</v>
      </c>
    </row>
    <row r="1354">
      <c r="A1354" s="19">
        <f>'Respuestas de formulario 1'!A1354</f>
        <v>45993.38817</v>
      </c>
      <c r="B1354" s="7" t="str">
        <f>'Respuestas de formulario 1'!B1354</f>
        <v>Caudana</v>
      </c>
      <c r="C1354" s="7" t="str">
        <f>'Respuestas de formulario 1'!C1354</f>
        <v>Valentin </v>
      </c>
      <c r="D1354" s="7" t="str">
        <f>'Respuestas de formulario 1'!D1354</f>
        <v>valentincaudana19@gmail.com</v>
      </c>
      <c r="E1354" s="20">
        <f>'Respuestas de formulario 1'!E1354</f>
        <v>36280</v>
      </c>
      <c r="F1354" s="7">
        <f>'Respuestas de formulario 1'!F1354</f>
        <v>41847446</v>
      </c>
      <c r="G1354" s="7" t="str">
        <f>IFERROR(__xludf.DUMMYFUNCTION("IF('Respuestas de formulario 1'!G1354="""","""",IF(LEFT(REGEXREPLACE(TO_TEXT('Respuestas de formulario 1'!G1354),""[^0-9]"",""""),2)=""54"",""+""&amp;REGEXREPLACE(TO_TEXT('Respuestas de formulario 1'!G1354),""[^0-9]"",""""),""+54""&amp;REGEXREPLACE(TO_TEXT('Respu"&amp;"estas de formulario 1'!G1354),""[^0-9]"","""")))"),"+544591986572")</f>
        <v>+544591986572</v>
      </c>
      <c r="H1354" s="7">
        <f>'Respuestas de formulario 1'!S1354</f>
        <v>2025</v>
      </c>
      <c r="I1354" s="7" t="str">
        <f>IFERROR(__xludf.DUMMYFUNCTION("IF('Respuestas de formulario 1'!I1354="""","""",TO_TEXT('Respuestas de formulario 1'!I1354))"),"Particular")</f>
        <v>Particular</v>
      </c>
      <c r="J1354" s="7" t="str">
        <f>IFERROR(__xludf.DUMMYFUNCTION("IF('Respuestas de formulario 1'!J1354&lt;&gt;"""",UPPER(TRIM(TO_TEXT('Respuestas de formulario 1'!J1354))),IF('Respuestas de formulario 1'!O1354&lt;&gt;"""",UPPER(TRIM(TO_TEXT('Respuestas de formulario 1'!O1354))),""""))"),"")</f>
        <v/>
      </c>
      <c r="K1354" s="7" t="str">
        <f>IFERROR(__xludf.DUMMYFUNCTION("IF('Respuestas de formulario 1'!K1354="""","""",TO_TEXT('Respuestas de formulario 1'!K1354))"),"Si")</f>
        <v>Si</v>
      </c>
      <c r="L1354" s="7" t="str">
        <f>IFERROR(__xludf.DUMMYFUNCTION("IF('Respuestas de formulario 1'!L1354="""","""",TO_TEXT('Respuestas de formulario 1'!L1354))"),"Básquet")</f>
        <v>Básquet</v>
      </c>
      <c r="M1354" s="7" t="str">
        <f>IFERROR(__xludf.DUMMYFUNCTION("IF('Respuestas de formulario 1'!M1354="""","""",TO_TEXT('Respuestas de formulario 1'!M1354))"),"6 a 7 veces por semana")</f>
        <v>6 a 7 veces por semana</v>
      </c>
      <c r="N1354" s="7">
        <f t="shared" si="1"/>
        <v>2025</v>
      </c>
      <c r="O1354" s="7" t="str">
        <f t="shared" si="2"/>
        <v>diciembre</v>
      </c>
      <c r="P1354" s="7" t="s">
        <v>6821</v>
      </c>
    </row>
    <row r="1355">
      <c r="A1355" s="19">
        <f>'Respuestas de formulario 1'!A1355</f>
        <v>45993.47161</v>
      </c>
      <c r="B1355" s="7" t="str">
        <f>'Respuestas de formulario 1'!B1355</f>
        <v>Juárez </v>
      </c>
      <c r="C1355" s="7" t="str">
        <f>'Respuestas de formulario 1'!C1355</f>
        <v>Matías </v>
      </c>
      <c r="D1355" s="7" t="str">
        <f>'Respuestas de formulario 1'!D1355</f>
        <v>matiasgjmatias@gmail.com</v>
      </c>
      <c r="E1355" s="20">
        <f>'Respuestas de formulario 1'!E1355</f>
        <v>35040</v>
      </c>
      <c r="F1355" s="7">
        <f>'Respuestas de formulario 1'!F1355</f>
        <v>40245709</v>
      </c>
      <c r="G1355" s="7" t="str">
        <f>IFERROR(__xludf.DUMMYFUNCTION("IF('Respuestas de formulario 1'!G1355="""","""",IF(LEFT(REGEXREPLACE(TO_TEXT('Respuestas de formulario 1'!G1355),""[^0-9]"",""""),2)=""54"",""+""&amp;REGEXREPLACE(TO_TEXT('Respuestas de formulario 1'!G1355),""[^0-9]"",""""),""+54""&amp;REGEXREPLACE(TO_TEXT('Respu"&amp;"estas de formulario 1'!G1355),""[^0-9]"","""")))"),"+543512108497")</f>
        <v>+543512108497</v>
      </c>
      <c r="H1355" s="7">
        <f>'Respuestas de formulario 1'!S1355</f>
        <v>2025</v>
      </c>
      <c r="I1355" s="7" t="str">
        <f>IFERROR(__xludf.DUMMYFUNCTION("IF('Respuestas de formulario 1'!I1355="""","""",TO_TEXT('Respuestas de formulario 1'!I1355))"),"Obra social")</f>
        <v>Obra social</v>
      </c>
      <c r="J1355" s="7" t="str">
        <f>IFERROR(__xludf.DUMMYFUNCTION("IF('Respuestas de formulario 1'!J1355&lt;&gt;"""",UPPER(TRIM(TO_TEXT('Respuestas de formulario 1'!J1355))),IF('Respuestas de formulario 1'!O1355&lt;&gt;"""",UPPER(TRIM(TO_TEXT('Respuestas de formulario 1'!O1355))),""""))"),"SANCOR")</f>
        <v>SANCOR</v>
      </c>
      <c r="K1355" s="7" t="str">
        <f>IFERROR(__xludf.DUMMYFUNCTION("IF('Respuestas de formulario 1'!K1355="""","""",TO_TEXT('Respuestas de formulario 1'!K1355))"),"Si")</f>
        <v>Si</v>
      </c>
      <c r="L1355" s="7" t="str">
        <f>IFERROR(__xludf.DUMMYFUNCTION("IF('Respuestas de formulario 1'!L1355="""","""",TO_TEXT('Respuestas de formulario 1'!L1355))"),"Gimnasio")</f>
        <v>Gimnasio</v>
      </c>
      <c r="M1355" s="7" t="str">
        <f>IFERROR(__xludf.DUMMYFUNCTION("IF('Respuestas de formulario 1'!M1355="""","""",TO_TEXT('Respuestas de formulario 1'!M1355))"),"3 a 5 veces por semana")</f>
        <v>3 a 5 veces por semana</v>
      </c>
      <c r="N1355" s="7">
        <f t="shared" si="1"/>
        <v>2025</v>
      </c>
      <c r="O1355" s="7" t="str">
        <f t="shared" si="2"/>
        <v>diciembre</v>
      </c>
      <c r="P1355" s="7" t="s">
        <v>6823</v>
      </c>
    </row>
    <row r="1356">
      <c r="A1356" s="19">
        <f>'Respuestas de formulario 1'!A1356</f>
        <v>45994.47267</v>
      </c>
      <c r="B1356" s="7" t="str">
        <f>'Respuestas de formulario 1'!B1356</f>
        <v>Sánchez </v>
      </c>
      <c r="C1356" s="7" t="str">
        <f>'Respuestas de formulario 1'!C1356</f>
        <v>Jacqueline Marisol </v>
      </c>
      <c r="D1356" s="7" t="str">
        <f>'Respuestas de formulario 1'!D1356</f>
        <v>jacquesz176@gmail.com</v>
      </c>
      <c r="E1356" s="20">
        <f>'Respuestas de formulario 1'!E1356</f>
        <v>34242</v>
      </c>
      <c r="F1356" s="7">
        <f>'Respuestas de formulario 1'!F1356</f>
        <v>37821176</v>
      </c>
      <c r="G1356" s="7" t="str">
        <f>IFERROR(__xludf.DUMMYFUNCTION("IF('Respuestas de formulario 1'!G1356="""","""",IF(LEFT(REGEXREPLACE(TO_TEXT('Respuestas de formulario 1'!G1356),""[^0-9]"",""""),2)=""54"",""+""&amp;REGEXREPLACE(TO_TEXT('Respuestas de formulario 1'!G1356),""[^0-9]"",""""),""+54""&amp;REGEXREPLACE(TO_TEXT('Respu"&amp;"estas de formulario 1'!G1356),""[^0-9]"","""")))"),"+543516693994")</f>
        <v>+543516693994</v>
      </c>
      <c r="H1356" s="7">
        <f>'Respuestas de formulario 1'!S1356</f>
        <v>2025</v>
      </c>
      <c r="I1356" s="7" t="str">
        <f>IFERROR(__xludf.DUMMYFUNCTION("IF('Respuestas de formulario 1'!I1356="""","""",TO_TEXT('Respuestas de formulario 1'!I1356))"),"Obra social")</f>
        <v>Obra social</v>
      </c>
      <c r="J1356" s="7" t="str">
        <f>IFERROR(__xludf.DUMMYFUNCTION("IF('Respuestas de formulario 1'!J1356&lt;&gt;"""",UPPER(TRIM(TO_TEXT('Respuestas de formulario 1'!J1356))),IF('Respuestas de formulario 1'!O1356&lt;&gt;"""",UPPER(TRIM(TO_TEXT('Respuestas de formulario 1'!O1356))),""""))"),"SWISS MEDICAL")</f>
        <v>SWISS MEDICAL</v>
      </c>
      <c r="K1356" s="7" t="str">
        <f>IFERROR(__xludf.DUMMYFUNCTION("IF('Respuestas de formulario 1'!K1356="""","""",TO_TEXT('Respuestas de formulario 1'!K1356))"),"Si")</f>
        <v>Si</v>
      </c>
      <c r="L1356" s="7" t="str">
        <f>IFERROR(__xludf.DUMMYFUNCTION("IF('Respuestas de formulario 1'!L1356="""","""",TO_TEXT('Respuestas de formulario 1'!L1356))"),"Gimnasio")</f>
        <v>Gimnasio</v>
      </c>
      <c r="M1356" s="7" t="str">
        <f>IFERROR(__xludf.DUMMYFUNCTION("IF('Respuestas de formulario 1'!M1356="""","""",TO_TEXT('Respuestas de formulario 1'!M1356))"),"3 a 5 veces por semana")</f>
        <v>3 a 5 veces por semana</v>
      </c>
      <c r="N1356" s="7">
        <f t="shared" si="1"/>
        <v>2025</v>
      </c>
      <c r="O1356" s="7" t="str">
        <f t="shared" si="2"/>
        <v>diciembre</v>
      </c>
      <c r="P1356" s="7" t="s">
        <v>6825</v>
      </c>
    </row>
    <row r="1357">
      <c r="A1357" s="19">
        <f>'Respuestas de formulario 1'!A1357</f>
        <v>45995.45335</v>
      </c>
      <c r="B1357" s="7" t="str">
        <f>'Respuestas de formulario 1'!B1357</f>
        <v>Parmentier </v>
      </c>
      <c r="C1357" s="7" t="str">
        <f>'Respuestas de formulario 1'!C1357</f>
        <v>Hector</v>
      </c>
      <c r="D1357" s="7" t="str">
        <f>'Respuestas de formulario 1'!D1357</f>
        <v>claudiaparmentier2@gmail.com</v>
      </c>
      <c r="E1357" s="20">
        <f>'Respuestas de formulario 1'!E1357</f>
        <v>19065</v>
      </c>
      <c r="F1357" s="7">
        <f>'Respuestas de formulario 1'!F1357</f>
        <v>10174335</v>
      </c>
      <c r="G1357" s="7" t="str">
        <f>IFERROR(__xludf.DUMMYFUNCTION("IF('Respuestas de formulario 1'!G1357="""","""",IF(LEFT(REGEXREPLACE(TO_TEXT('Respuestas de formulario 1'!G1357),""[^0-9]"",""""),2)=""54"",""+""&amp;REGEXREPLACE(TO_TEXT('Respuestas de formulario 1'!G1357),""[^0-9]"",""""),""+54""&amp;REGEXREPLACE(TO_TEXT('Respu"&amp;"estas de formulario 1'!G1357),""[^0-9]"","""")))"),"+543513482139")</f>
        <v>+543513482139</v>
      </c>
      <c r="H1357" s="7">
        <f>'Respuestas de formulario 1'!S1357</f>
        <v>2025</v>
      </c>
      <c r="I1357" s="7" t="str">
        <f>IFERROR(__xludf.DUMMYFUNCTION("IF('Respuestas de formulario 1'!I1357="""","""",TO_TEXT('Respuestas de formulario 1'!I1357))"),"Particular")</f>
        <v>Particular</v>
      </c>
      <c r="J1357" s="7" t="str">
        <f>IFERROR(__xludf.DUMMYFUNCTION("IF('Respuestas de formulario 1'!J1357&lt;&gt;"""",UPPER(TRIM(TO_TEXT('Respuestas de formulario 1'!J1357))),IF('Respuestas de formulario 1'!O1357&lt;&gt;"""",UPPER(TRIM(TO_TEXT('Respuestas de formulario 1'!O1357))),""""))"),"")</f>
        <v/>
      </c>
      <c r="K1357" s="7" t="str">
        <f>IFERROR(__xludf.DUMMYFUNCTION("IF('Respuestas de formulario 1'!K1357="""","""",TO_TEXT('Respuestas de formulario 1'!K1357))"),"No")</f>
        <v>No</v>
      </c>
      <c r="L1357" s="7" t="str">
        <f>IFERROR(__xludf.DUMMYFUNCTION("IF('Respuestas de formulario 1'!L1357="""","""",TO_TEXT('Respuestas de formulario 1'!L1357))"),"")</f>
        <v/>
      </c>
      <c r="M1357" s="7" t="str">
        <f>IFERROR(__xludf.DUMMYFUNCTION("IF('Respuestas de formulario 1'!M1357="""","""",TO_TEXT('Respuestas de formulario 1'!M1357))"),"")</f>
        <v/>
      </c>
      <c r="N1357" s="7">
        <f t="shared" si="1"/>
        <v>2025</v>
      </c>
      <c r="O1357" s="7" t="str">
        <f t="shared" si="2"/>
        <v>diciembre</v>
      </c>
      <c r="P1357" s="7" t="s">
        <v>6827</v>
      </c>
    </row>
    <row r="1358">
      <c r="A1358" s="19">
        <f>'Respuestas de formulario 1'!A1358</f>
        <v>45995.69096</v>
      </c>
      <c r="B1358" s="7" t="str">
        <f>'Respuestas de formulario 1'!B1358</f>
        <v>Grecco</v>
      </c>
      <c r="C1358" s="7" t="str">
        <f>'Respuestas de formulario 1'!C1358</f>
        <v>Cesar </v>
      </c>
      <c r="D1358" s="7" t="str">
        <f>'Respuestas de formulario 1'!D1358</f>
        <v/>
      </c>
      <c r="E1358" s="20">
        <f>'Respuestas de formulario 1'!E1358</f>
        <v>24456</v>
      </c>
      <c r="F1358" s="7">
        <f>'Respuestas de formulario 1'!F1358</f>
        <v>17845675</v>
      </c>
      <c r="G1358" s="7" t="str">
        <f>IFERROR(__xludf.DUMMYFUNCTION("IF('Respuestas de formulario 1'!G1358="""","""",IF(LEFT(REGEXREPLACE(TO_TEXT('Respuestas de formulario 1'!G1358),""[^0-9]"",""""),2)=""54"",""+""&amp;REGEXREPLACE(TO_TEXT('Respuestas de formulario 1'!G1358),""[^0-9]"",""""),""+54""&amp;REGEXREPLACE(TO_TEXT('Respu"&amp;"estas de formulario 1'!G1358),""[^0-9]"","""")))"),"+543513138566")</f>
        <v>+543513138566</v>
      </c>
      <c r="H1358" s="7">
        <f>'Respuestas de formulario 1'!S1358</f>
        <v>2025</v>
      </c>
      <c r="I1358" s="7" t="str">
        <f>IFERROR(__xludf.DUMMYFUNCTION("IF('Respuestas de formulario 1'!I1358="""","""",TO_TEXT('Respuestas de formulario 1'!I1358))"),"Particular")</f>
        <v>Particular</v>
      </c>
      <c r="J1358" s="7" t="str">
        <f>IFERROR(__xludf.DUMMYFUNCTION("IF('Respuestas de formulario 1'!J1358&lt;&gt;"""",UPPER(TRIM(TO_TEXT('Respuestas de formulario 1'!J1358))),IF('Respuestas de formulario 1'!O1358&lt;&gt;"""",UPPER(TRIM(TO_TEXT('Respuestas de formulario 1'!O1358))),""""))"),"")</f>
        <v/>
      </c>
      <c r="K1358" s="7" t="str">
        <f>IFERROR(__xludf.DUMMYFUNCTION("IF('Respuestas de formulario 1'!K1358="""","""",TO_TEXT('Respuestas de formulario 1'!K1358))"),"No")</f>
        <v>No</v>
      </c>
      <c r="L1358" s="7" t="str">
        <f>IFERROR(__xludf.DUMMYFUNCTION("IF('Respuestas de formulario 1'!L1358="""","""",TO_TEXT('Respuestas de formulario 1'!L1358))"),"")</f>
        <v/>
      </c>
      <c r="M1358" s="7" t="str">
        <f>IFERROR(__xludf.DUMMYFUNCTION("IF('Respuestas de formulario 1'!M1358="""","""",TO_TEXT('Respuestas de formulario 1'!M1358))"),"")</f>
        <v/>
      </c>
      <c r="N1358" s="7">
        <f t="shared" si="1"/>
        <v>2025</v>
      </c>
      <c r="O1358" s="7" t="str">
        <f t="shared" si="2"/>
        <v>diciembre</v>
      </c>
      <c r="P1358" s="7" t="s">
        <v>6829</v>
      </c>
    </row>
    <row r="1359">
      <c r="A1359" s="19">
        <f>'Respuestas de formulario 1'!A1359</f>
        <v>45995.80745</v>
      </c>
      <c r="B1359" s="7" t="str">
        <f>'Respuestas de formulario 1'!B1359</f>
        <v>Tejo</v>
      </c>
      <c r="C1359" s="7" t="str">
        <f>'Respuestas de formulario 1'!C1359</f>
        <v>Matias</v>
      </c>
      <c r="D1359" s="7" t="str">
        <f>'Respuestas de formulario 1'!D1359</f>
        <v>mermalbran@hotmail.com</v>
      </c>
      <c r="E1359" s="20">
        <f>'Respuestas de formulario 1'!E1359</f>
        <v>41520</v>
      </c>
      <c r="F1359" s="7">
        <f>'Respuestas de formulario 1'!F1359</f>
        <v>53264049</v>
      </c>
      <c r="G1359" s="7" t="str">
        <f>IFERROR(__xludf.DUMMYFUNCTION("IF('Respuestas de formulario 1'!G1359="""","""",IF(LEFT(REGEXREPLACE(TO_TEXT('Respuestas de formulario 1'!G1359),""[^0-9]"",""""),2)=""54"",""+""&amp;REGEXREPLACE(TO_TEXT('Respuestas de formulario 1'!G1359),""[^0-9]"",""""),""+54""&amp;REGEXREPLACE(TO_TEXT('Respu"&amp;"estas de formulario 1'!G1359),""[^0-9]"","""")))"),"+543515941182")</f>
        <v>+543515941182</v>
      </c>
      <c r="H1359" s="7">
        <f>'Respuestas de formulario 1'!S1359</f>
        <v>2025</v>
      </c>
      <c r="I1359" s="7" t="str">
        <f>IFERROR(__xludf.DUMMYFUNCTION("IF('Respuestas de formulario 1'!I1359="""","""",TO_TEXT('Respuestas de formulario 1'!I1359))"),"Obra social")</f>
        <v>Obra social</v>
      </c>
      <c r="J1359" s="7" t="str">
        <f>IFERROR(__xludf.DUMMYFUNCTION("IF('Respuestas de formulario 1'!J1359&lt;&gt;"""",UPPER(TRIM(TO_TEXT('Respuestas de formulario 1'!J1359))),IF('Respuestas de formulario 1'!O1359&lt;&gt;"""",UPPER(TRIM(TO_TEXT('Respuestas de formulario 1'!O1359))),""""))"),"PREVENCIÓN")</f>
        <v>PREVENCIÓN</v>
      </c>
      <c r="K1359" s="7" t="str">
        <f>IFERROR(__xludf.DUMMYFUNCTION("IF('Respuestas de formulario 1'!K1359="""","""",TO_TEXT('Respuestas de formulario 1'!K1359))"),"No")</f>
        <v>No</v>
      </c>
      <c r="L1359" s="7" t="str">
        <f>IFERROR(__xludf.DUMMYFUNCTION("IF('Respuestas de formulario 1'!L1359="""","""",TO_TEXT('Respuestas de formulario 1'!L1359))"),"")</f>
        <v/>
      </c>
      <c r="M1359" s="7" t="str">
        <f>IFERROR(__xludf.DUMMYFUNCTION("IF('Respuestas de formulario 1'!M1359="""","""",TO_TEXT('Respuestas de formulario 1'!M1359))"),"")</f>
        <v/>
      </c>
      <c r="N1359" s="7">
        <f t="shared" si="1"/>
        <v>2025</v>
      </c>
      <c r="O1359" s="7" t="str">
        <f t="shared" si="2"/>
        <v>diciembre</v>
      </c>
      <c r="P1359" s="7" t="s">
        <v>6831</v>
      </c>
    </row>
    <row r="1360">
      <c r="A1360" s="19">
        <f>'Respuestas de formulario 1'!A1360</f>
        <v>45996.44646</v>
      </c>
      <c r="B1360" s="7" t="str">
        <f>'Respuestas de formulario 1'!B1360</f>
        <v>Toledo</v>
      </c>
      <c r="C1360" s="7" t="str">
        <f>'Respuestas de formulario 1'!C1360</f>
        <v>Brenda Alexandra </v>
      </c>
      <c r="D1360" s="7" t="str">
        <f>'Respuestas de formulario 1'!D1360</f>
        <v>alexandratoledook@gmail.com</v>
      </c>
      <c r="E1360" s="20">
        <f>'Respuestas de formulario 1'!E1360</f>
        <v>34507</v>
      </c>
      <c r="F1360" s="7">
        <f>'Respuestas de formulario 1'!F1360</f>
        <v>38332076</v>
      </c>
      <c r="G1360" s="7" t="str">
        <f>IFERROR(__xludf.DUMMYFUNCTION("IF('Respuestas de formulario 1'!G1360="""","""",IF(LEFT(REGEXREPLACE(TO_TEXT('Respuestas de formulario 1'!G1360),""[^0-9]"",""""),2)=""54"",""+""&amp;REGEXREPLACE(TO_TEXT('Respuestas de formulario 1'!G1360),""[^0-9]"",""""),""+54""&amp;REGEXREPLACE(TO_TEXT('Respu"&amp;"estas de formulario 1'!G1360),""[^0-9]"","""")))"),"+543513064087")</f>
        <v>+543513064087</v>
      </c>
      <c r="H1360" s="7">
        <f>'Respuestas de formulario 1'!S1360</f>
        <v>2025</v>
      </c>
      <c r="I1360" s="7" t="str">
        <f>IFERROR(__xludf.DUMMYFUNCTION("IF('Respuestas de formulario 1'!I1360="""","""",TO_TEXT('Respuestas de formulario 1'!I1360))"),"Obra social")</f>
        <v>Obra social</v>
      </c>
      <c r="J1360" s="7" t="str">
        <f>IFERROR(__xludf.DUMMYFUNCTION("IF('Respuestas de formulario 1'!J1360&lt;&gt;"""",UPPER(TRIM(TO_TEXT('Respuestas de formulario 1'!J1360))),IF('Respuestas de formulario 1'!O1360&lt;&gt;"""",UPPER(TRIM(TO_TEXT('Respuestas de formulario 1'!O1360))),""""))"),"APROSS")</f>
        <v>APROSS</v>
      </c>
      <c r="K1360" s="7" t="str">
        <f>IFERROR(__xludf.DUMMYFUNCTION("IF('Respuestas de formulario 1'!K1360="""","""",TO_TEXT('Respuestas de formulario 1'!K1360))"),"Si")</f>
        <v>Si</v>
      </c>
      <c r="L1360" s="7" t="str">
        <f>IFERROR(__xludf.DUMMYFUNCTION("IF('Respuestas de formulario 1'!L1360="""","""",TO_TEXT('Respuestas de formulario 1'!L1360))"),"Gimnasio")</f>
        <v>Gimnasio</v>
      </c>
      <c r="M1360" s="7" t="str">
        <f>IFERROR(__xludf.DUMMYFUNCTION("IF('Respuestas de formulario 1'!M1360="""","""",TO_TEXT('Respuestas de formulario 1'!M1360))"),"3 a 5 veces por semana")</f>
        <v>3 a 5 veces por semana</v>
      </c>
      <c r="N1360" s="7">
        <f t="shared" si="1"/>
        <v>2025</v>
      </c>
      <c r="O1360" s="7" t="str">
        <f t="shared" si="2"/>
        <v>diciembre</v>
      </c>
      <c r="P1360" s="7" t="s">
        <v>6833</v>
      </c>
    </row>
    <row r="1361">
      <c r="A1361" s="19">
        <f>'Respuestas de formulario 1'!A1361</f>
        <v>45996.45598</v>
      </c>
      <c r="B1361" s="7" t="str">
        <f>'Respuestas de formulario 1'!B1361</f>
        <v>Demarco</v>
      </c>
      <c r="C1361" s="7" t="str">
        <f>'Respuestas de formulario 1'!C1361</f>
        <v>Pablo</v>
      </c>
      <c r="D1361" s="7" t="str">
        <f>'Respuestas de formulario 1'!D1361</f>
        <v>pablodemarco1986@hotmail.com</v>
      </c>
      <c r="E1361" s="20">
        <f>'Respuestas de formulario 1'!E1361</f>
        <v>31506</v>
      </c>
      <c r="F1361" s="7">
        <f>'Respuestas de formulario 1'!F1361</f>
        <v>32239186</v>
      </c>
      <c r="G1361" s="7" t="str">
        <f>IFERROR(__xludf.DUMMYFUNCTION("IF('Respuestas de formulario 1'!G1361="""","""",IF(LEFT(REGEXREPLACE(TO_TEXT('Respuestas de formulario 1'!G1361),""[^0-9]"",""""),2)=""54"",""+""&amp;REGEXREPLACE(TO_TEXT('Respuestas de formulario 1'!G1361),""[^0-9]"",""""),""+54""&amp;REGEXREPLACE(TO_TEXT('Respu"&amp;"estas de formulario 1'!G1361),""[^0-9]"","""")))"),"+543515573241")</f>
        <v>+543515573241</v>
      </c>
      <c r="H1361" s="7">
        <f>'Respuestas de formulario 1'!S1361</f>
        <v>2025</v>
      </c>
      <c r="I1361" s="7" t="str">
        <f>IFERROR(__xludf.DUMMYFUNCTION("IF('Respuestas de formulario 1'!I1361="""","""",TO_TEXT('Respuestas de formulario 1'!I1361))"),"Obra social")</f>
        <v>Obra social</v>
      </c>
      <c r="J1361" s="7" t="str">
        <f>IFERROR(__xludf.DUMMYFUNCTION("IF('Respuestas de formulario 1'!J1361&lt;&gt;"""",UPPER(TRIM(TO_TEXT('Respuestas de formulario 1'!J1361))),IF('Respuestas de formulario 1'!O1361&lt;&gt;"""",UPPER(TRIM(TO_TEXT('Respuestas de formulario 1'!O1361))),""""))"),"PREVENCIÓN")</f>
        <v>PREVENCIÓN</v>
      </c>
      <c r="K1361" s="7" t="str">
        <f>IFERROR(__xludf.DUMMYFUNCTION("IF('Respuestas de formulario 1'!K1361="""","""",TO_TEXT('Respuestas de formulario 1'!K1361))"),"Si")</f>
        <v>Si</v>
      </c>
      <c r="L1361" s="7" t="str">
        <f>IFERROR(__xludf.DUMMYFUNCTION("IF('Respuestas de formulario 1'!L1361="""","""",TO_TEXT('Respuestas de formulario 1'!L1361))"),"Gimnasio")</f>
        <v>Gimnasio</v>
      </c>
      <c r="M1361" s="7" t="str">
        <f>IFERROR(__xludf.DUMMYFUNCTION("IF('Respuestas de formulario 1'!M1361="""","""",TO_TEXT('Respuestas de formulario 1'!M1361))"),"3 a 5 veces por semana")</f>
        <v>3 a 5 veces por semana</v>
      </c>
      <c r="N1361" s="7">
        <f t="shared" si="1"/>
        <v>2025</v>
      </c>
      <c r="O1361" s="7" t="str">
        <f t="shared" si="2"/>
        <v>diciembre</v>
      </c>
      <c r="P1361" s="7" t="s">
        <v>6835</v>
      </c>
    </row>
    <row r="1362">
      <c r="A1362" s="19">
        <f>'Respuestas de formulario 1'!A1362</f>
        <v>46000.51495</v>
      </c>
      <c r="B1362" s="7" t="str">
        <f>'Respuestas de formulario 1'!B1362</f>
        <v>Maldonado</v>
      </c>
      <c r="C1362" s="7" t="str">
        <f>'Respuestas de formulario 1'!C1362</f>
        <v>Luli</v>
      </c>
      <c r="D1362" s="7" t="str">
        <f>'Respuestas de formulario 1'!D1362</f>
        <v>florencialulymaldo@gmail.com</v>
      </c>
      <c r="E1362" s="20">
        <f>'Respuestas de formulario 1'!E1362</f>
        <v>37501</v>
      </c>
      <c r="F1362" s="7">
        <f>'Respuestas de formulario 1'!F1362</f>
        <v>44274951</v>
      </c>
      <c r="G1362" s="7" t="str">
        <f>IFERROR(__xludf.DUMMYFUNCTION("IF('Respuestas de formulario 1'!G1362="""","""",IF(LEFT(REGEXREPLACE(TO_TEXT('Respuestas de formulario 1'!G1362),""[^0-9]"",""""),2)=""54"",""+""&amp;REGEXREPLACE(TO_TEXT('Respuestas de formulario 1'!G1362),""[^0-9]"",""""),""+54""&amp;REGEXREPLACE(TO_TEXT('Respu"&amp;"estas de formulario 1'!G1362),""[^0-9]"","""")))"),"+543516888396")</f>
        <v>+543516888396</v>
      </c>
      <c r="H1362" s="7">
        <f>'Respuestas de formulario 1'!S1362</f>
        <v>2025</v>
      </c>
      <c r="I1362" s="7" t="str">
        <f>IFERROR(__xludf.DUMMYFUNCTION("IF('Respuestas de formulario 1'!I1362="""","""",TO_TEXT('Respuestas de formulario 1'!I1362))"),"Particular")</f>
        <v>Particular</v>
      </c>
      <c r="J1362" s="7" t="str">
        <f>IFERROR(__xludf.DUMMYFUNCTION("IF('Respuestas de formulario 1'!J1362&lt;&gt;"""",UPPER(TRIM(TO_TEXT('Respuestas de formulario 1'!J1362))),IF('Respuestas de formulario 1'!O1362&lt;&gt;"""",UPPER(TRIM(TO_TEXT('Respuestas de formulario 1'!O1362))),""""))"),"")</f>
        <v/>
      </c>
      <c r="K1362" s="7" t="str">
        <f>IFERROR(__xludf.DUMMYFUNCTION("IF('Respuestas de formulario 1'!K1362="""","""",TO_TEXT('Respuestas de formulario 1'!K1362))"),"Si")</f>
        <v>Si</v>
      </c>
      <c r="L1362" s="7" t="str">
        <f>IFERROR(__xludf.DUMMYFUNCTION("IF('Respuestas de formulario 1'!L1362="""","""",TO_TEXT('Respuestas de formulario 1'!L1362))"),"Gimnasio + Running")</f>
        <v>Gimnasio + Running</v>
      </c>
      <c r="M1362" s="7" t="str">
        <f>IFERROR(__xludf.DUMMYFUNCTION("IF('Respuestas de formulario 1'!M1362="""","""",TO_TEXT('Respuestas de formulario 1'!M1362))"),"6 a 7 veces por semana")</f>
        <v>6 a 7 veces por semana</v>
      </c>
      <c r="N1362" s="7">
        <f t="shared" si="1"/>
        <v>2025</v>
      </c>
      <c r="O1362" s="7" t="str">
        <f t="shared" si="2"/>
        <v>diciembre</v>
      </c>
      <c r="P1362" s="7" t="s">
        <v>6837</v>
      </c>
    </row>
    <row r="1363">
      <c r="A1363" s="19">
        <f>'Respuestas de formulario 1'!A1363</f>
        <v>46000.70059</v>
      </c>
      <c r="B1363" s="7" t="str">
        <f>'Respuestas de formulario 1'!B1363</f>
        <v>LEMA</v>
      </c>
      <c r="C1363" s="7" t="str">
        <f>'Respuestas de formulario 1'!C1363</f>
        <v>Juan Pedro </v>
      </c>
      <c r="D1363" s="7" t="str">
        <f>'Respuestas de formulario 1'!D1363</f>
        <v>jplema2009@gmail.com</v>
      </c>
      <c r="E1363" s="20">
        <f>'Respuestas de formulario 1'!E1363</f>
        <v>39963</v>
      </c>
      <c r="F1363" s="7">
        <f>'Respuestas de formulario 1'!F1363</f>
        <v>49439276</v>
      </c>
      <c r="G1363" s="7" t="str">
        <f>IFERROR(__xludf.DUMMYFUNCTION("IF('Respuestas de formulario 1'!G1363="""","""",IF(LEFT(REGEXREPLACE(TO_TEXT('Respuestas de formulario 1'!G1363),""[^0-9]"",""""),2)=""54"",""+""&amp;REGEXREPLACE(TO_TEXT('Respuestas de formulario 1'!G1363),""[^0-9]"",""""),""+54""&amp;REGEXREPLACE(TO_TEXT('Respu"&amp;"estas de formulario 1'!G1363),""[^0-9]"","""")))"),"+543513867695")</f>
        <v>+543513867695</v>
      </c>
      <c r="H1363" s="7">
        <f>'Respuestas de formulario 1'!S1363</f>
        <v>2025</v>
      </c>
      <c r="I1363" s="7" t="str">
        <f>IFERROR(__xludf.DUMMYFUNCTION("IF('Respuestas de formulario 1'!I1363="""","""",TO_TEXT('Respuestas de formulario 1'!I1363))"),"Obra social")</f>
        <v>Obra social</v>
      </c>
      <c r="J1363" s="7" t="str">
        <f>IFERROR(__xludf.DUMMYFUNCTION("IF('Respuestas de formulario 1'!J1363&lt;&gt;"""",UPPER(TRIM(TO_TEXT('Respuestas de formulario 1'!J1363))),IF('Respuestas de formulario 1'!O1363&lt;&gt;"""",UPPER(TRIM(TO_TEXT('Respuestas de formulario 1'!O1363))),""""))"),"OCEC")</f>
        <v>OCEC</v>
      </c>
      <c r="K1363" s="7" t="str">
        <f>IFERROR(__xludf.DUMMYFUNCTION("IF('Respuestas de formulario 1'!K1363="""","""",TO_TEXT('Respuestas de formulario 1'!K1363))"),"Si")</f>
        <v>Si</v>
      </c>
      <c r="L1363" s="7" t="str">
        <f>IFERROR(__xludf.DUMMYFUNCTION("IF('Respuestas de formulario 1'!L1363="""","""",TO_TEXT('Respuestas de formulario 1'!L1363))"),"Rugby")</f>
        <v>Rugby</v>
      </c>
      <c r="M1363" s="7" t="str">
        <f>IFERROR(__xludf.DUMMYFUNCTION("IF('Respuestas de formulario 1'!M1363="""","""",TO_TEXT('Respuestas de formulario 1'!M1363))"),"6 a 7 veces por semana")</f>
        <v>6 a 7 veces por semana</v>
      </c>
      <c r="N1363" s="7">
        <f t="shared" si="1"/>
        <v>2025</v>
      </c>
      <c r="O1363" s="7" t="str">
        <f t="shared" si="2"/>
        <v>diciembre</v>
      </c>
      <c r="P1363" s="7" t="s">
        <v>6839</v>
      </c>
    </row>
    <row r="1364">
      <c r="A1364" s="19">
        <f>'Respuestas de formulario 1'!A1364</f>
        <v>46000.72096</v>
      </c>
      <c r="B1364" s="7" t="str">
        <f>'Respuestas de formulario 1'!B1364</f>
        <v>Tissera olivera </v>
      </c>
      <c r="C1364" s="7" t="str">
        <f>'Respuestas de formulario 1'!C1364</f>
        <v>Maximiliano </v>
      </c>
      <c r="D1364" s="7" t="str">
        <f>'Respuestas de formulario 1'!D1364</f>
        <v>Sitera1414@gmail.com</v>
      </c>
      <c r="E1364" s="20">
        <f>'Respuestas de formulario 1'!E1364</f>
        <v>33799</v>
      </c>
      <c r="F1364" s="7">
        <f>'Respuestas de formulario 1'!F1364</f>
        <v>38106084</v>
      </c>
      <c r="G1364" s="7" t="str">
        <f>IFERROR(__xludf.DUMMYFUNCTION("IF('Respuestas de formulario 1'!G1364="""","""",IF(LEFT(REGEXREPLACE(TO_TEXT('Respuestas de formulario 1'!G1364),""[^0-9]"",""""),2)=""54"",""+""&amp;REGEXREPLACE(TO_TEXT('Respuestas de formulario 1'!G1364),""[^0-9]"",""""),""+54""&amp;REGEXREPLACE(TO_TEXT('Respu"&amp;"estas de formulario 1'!G1364),""[^0-9]"","""")))"),"+543513490859")</f>
        <v>+543513490859</v>
      </c>
      <c r="H1364" s="7">
        <f>'Respuestas de formulario 1'!S1364</f>
        <v>2025</v>
      </c>
      <c r="I1364" s="7" t="str">
        <f>IFERROR(__xludf.DUMMYFUNCTION("IF('Respuestas de formulario 1'!I1364="""","""",TO_TEXT('Respuestas de formulario 1'!I1364))"),"Particular")</f>
        <v>Particular</v>
      </c>
      <c r="J1364" s="7" t="str">
        <f>IFERROR(__xludf.DUMMYFUNCTION("IF('Respuestas de formulario 1'!J1364&lt;&gt;"""",UPPER(TRIM(TO_TEXT('Respuestas de formulario 1'!J1364))),IF('Respuestas de formulario 1'!O1364&lt;&gt;"""",UPPER(TRIM(TO_TEXT('Respuestas de formulario 1'!O1364))),""""))"),"")</f>
        <v/>
      </c>
      <c r="K1364" s="7" t="str">
        <f>IFERROR(__xludf.DUMMYFUNCTION("IF('Respuestas de formulario 1'!K1364="""","""",TO_TEXT('Respuestas de formulario 1'!K1364))"),"No")</f>
        <v>No</v>
      </c>
      <c r="L1364" s="7" t="str">
        <f>IFERROR(__xludf.DUMMYFUNCTION("IF('Respuestas de formulario 1'!L1364="""","""",TO_TEXT('Respuestas de formulario 1'!L1364))"),"")</f>
        <v/>
      </c>
      <c r="M1364" s="7" t="str">
        <f>IFERROR(__xludf.DUMMYFUNCTION("IF('Respuestas de formulario 1'!M1364="""","""",TO_TEXT('Respuestas de formulario 1'!M1364))"),"")</f>
        <v/>
      </c>
      <c r="N1364" s="7">
        <f t="shared" si="1"/>
        <v>2025</v>
      </c>
      <c r="O1364" s="7" t="str">
        <f t="shared" si="2"/>
        <v>diciembre</v>
      </c>
      <c r="P1364" s="7" t="s">
        <v>6841</v>
      </c>
    </row>
    <row r="1365">
      <c r="A1365" s="19">
        <f>'Respuestas de formulario 1'!A1365</f>
        <v>46000.75605</v>
      </c>
      <c r="B1365" s="7" t="str">
        <f>'Respuestas de formulario 1'!B1365</f>
        <v>Frangi</v>
      </c>
      <c r="C1365" s="7" t="str">
        <f>'Respuestas de formulario 1'!C1365</f>
        <v>Sol Maria</v>
      </c>
      <c r="D1365" s="7" t="str">
        <f>'Respuestas de formulario 1'!D1365</f>
        <v>solfrangi@hotmail.com</v>
      </c>
      <c r="E1365" s="20">
        <f>'Respuestas de formulario 1'!E1365</f>
        <v>34989</v>
      </c>
      <c r="F1365" s="7">
        <f>'Respuestas de formulario 1'!F1365</f>
        <v>38768976</v>
      </c>
      <c r="G1365" s="7" t="str">
        <f>IFERROR(__xludf.DUMMYFUNCTION("IF('Respuestas de formulario 1'!G1365="""","""",IF(LEFT(REGEXREPLACE(TO_TEXT('Respuestas de formulario 1'!G1365),""[^0-9]"",""""),2)=""54"",""+""&amp;REGEXREPLACE(TO_TEXT('Respuestas de formulario 1'!G1365),""[^0-9]"",""""),""+54""&amp;REGEXREPLACE(TO_TEXT('Respu"&amp;"estas de formulario 1'!G1365),""[^0-9]"","""")))"),"+543436454950")</f>
        <v>+543436454950</v>
      </c>
      <c r="H1365" s="7">
        <f>'Respuestas de formulario 1'!S1365</f>
        <v>2025</v>
      </c>
      <c r="I1365" s="7" t="str">
        <f>IFERROR(__xludf.DUMMYFUNCTION("IF('Respuestas de formulario 1'!I1365="""","""",TO_TEXT('Respuestas de formulario 1'!I1365))"),"Particular")</f>
        <v>Particular</v>
      </c>
      <c r="J1365" s="7" t="str">
        <f>IFERROR(__xludf.DUMMYFUNCTION("IF('Respuestas de formulario 1'!J1365&lt;&gt;"""",UPPER(TRIM(TO_TEXT('Respuestas de formulario 1'!J1365))),IF('Respuestas de formulario 1'!O1365&lt;&gt;"""",UPPER(TRIM(TO_TEXT('Respuestas de formulario 1'!O1365))),""""))"),"")</f>
        <v/>
      </c>
      <c r="K1365" s="7" t="str">
        <f>IFERROR(__xludf.DUMMYFUNCTION("IF('Respuestas de formulario 1'!K1365="""","""",TO_TEXT('Respuestas de formulario 1'!K1365))"),"Si")</f>
        <v>Si</v>
      </c>
      <c r="L1365" s="7" t="str">
        <f>IFERROR(__xludf.DUMMYFUNCTION("IF('Respuestas de formulario 1'!L1365="""","""",TO_TEXT('Respuestas de formulario 1'!L1365))"),"Gimnasio")</f>
        <v>Gimnasio</v>
      </c>
      <c r="M1365" s="7" t="str">
        <f>IFERROR(__xludf.DUMMYFUNCTION("IF('Respuestas de formulario 1'!M1365="""","""",TO_TEXT('Respuestas de formulario 1'!M1365))"),"3 a 5 veces por semana")</f>
        <v>3 a 5 veces por semana</v>
      </c>
      <c r="N1365" s="7">
        <f t="shared" si="1"/>
        <v>2025</v>
      </c>
      <c r="O1365" s="7" t="str">
        <f t="shared" si="2"/>
        <v>diciembre</v>
      </c>
      <c r="P1365" s="7" t="s">
        <v>6843</v>
      </c>
    </row>
    <row r="1366">
      <c r="A1366" s="19">
        <f>'Respuestas de formulario 1'!A1366</f>
        <v>46000.75731</v>
      </c>
      <c r="B1366" s="7" t="str">
        <f>'Respuestas de formulario 1'!B1366</f>
        <v>Ferreyra</v>
      </c>
      <c r="C1366" s="7" t="str">
        <f>'Respuestas de formulario 1'!C1366</f>
        <v>Tomas</v>
      </c>
      <c r="D1366" s="7" t="str">
        <f>'Respuestas de formulario 1'!D1366</f>
        <v>tomasferreyra93@gmail.com</v>
      </c>
      <c r="E1366" s="20">
        <f>'Respuestas de formulario 1'!E1366</f>
        <v>36842</v>
      </c>
      <c r="F1366" s="7">
        <f>'Respuestas de formulario 1'!F1366</f>
        <v>43134802</v>
      </c>
      <c r="G1366" s="7" t="str">
        <f>IFERROR(__xludf.DUMMYFUNCTION("IF('Respuestas de formulario 1'!G1366="""","""",IF(LEFT(REGEXREPLACE(TO_TEXT('Respuestas de formulario 1'!G1366),""[^0-9]"",""""),2)=""54"",""+""&amp;REGEXREPLACE(TO_TEXT('Respuestas de formulario 1'!G1366),""[^0-9]"",""""),""+54""&amp;REGEXREPLACE(TO_TEXT('Respu"&amp;"estas de formulario 1'!G1366),""[^0-9]"","""")))"),"+543571327775")</f>
        <v>+543571327775</v>
      </c>
      <c r="H1366" s="7">
        <f>'Respuestas de formulario 1'!S1366</f>
        <v>2025</v>
      </c>
      <c r="I1366" s="7" t="str">
        <f>IFERROR(__xludf.DUMMYFUNCTION("IF('Respuestas de formulario 1'!I1366="""","""",TO_TEXT('Respuestas de formulario 1'!I1366))"),"Obra social")</f>
        <v>Obra social</v>
      </c>
      <c r="J1366" s="7" t="str">
        <f>IFERROR(__xludf.DUMMYFUNCTION("IF('Respuestas de formulario 1'!J1366&lt;&gt;"""",UPPER(TRIM(TO_TEXT('Respuestas de formulario 1'!J1366))),IF('Respuestas de formulario 1'!O1366&lt;&gt;"""",UPPER(TRIM(TO_TEXT('Respuestas de formulario 1'!O1366))),""""))"),"APROSS")</f>
        <v>APROSS</v>
      </c>
      <c r="K1366" s="7" t="str">
        <f>IFERROR(__xludf.DUMMYFUNCTION("IF('Respuestas de formulario 1'!K1366="""","""",TO_TEXT('Respuestas de formulario 1'!K1366))"),"Si")</f>
        <v>Si</v>
      </c>
      <c r="L1366" s="7" t="str">
        <f>IFERROR(__xludf.DUMMYFUNCTION("IF('Respuestas de formulario 1'!L1366="""","""",TO_TEXT('Respuestas de formulario 1'!L1366))"),"BMX")</f>
        <v>BMX</v>
      </c>
      <c r="M1366" s="7" t="str">
        <f>IFERROR(__xludf.DUMMYFUNCTION("IF('Respuestas de formulario 1'!M1366="""","""",TO_TEXT('Respuestas de formulario 1'!M1366))"),"3 a 5 veces por semana")</f>
        <v>3 a 5 veces por semana</v>
      </c>
      <c r="N1366" s="7">
        <f t="shared" si="1"/>
        <v>2025</v>
      </c>
      <c r="O1366" s="7" t="str">
        <f t="shared" si="2"/>
        <v>diciembre</v>
      </c>
      <c r="P1366" s="7" t="s">
        <v>6845</v>
      </c>
    </row>
    <row r="1367">
      <c r="A1367" s="19">
        <f>'Respuestas de formulario 1'!A1367</f>
        <v>46002.67978</v>
      </c>
      <c r="B1367" s="7" t="str">
        <f>'Respuestas de formulario 1'!B1367</f>
        <v>BRIZIO</v>
      </c>
      <c r="C1367" s="7" t="str">
        <f>'Respuestas de formulario 1'!C1367</f>
        <v>MARCELO</v>
      </c>
      <c r="D1367" s="7" t="str">
        <f>'Respuestas de formulario 1'!D1367</f>
        <v>mbrizio2005@yahoo.com.ar</v>
      </c>
      <c r="E1367" s="20">
        <f>'Respuestas de formulario 1'!E1367</f>
        <v>27129</v>
      </c>
      <c r="F1367" s="21">
        <f>'Respuestas de formulario 1'!F1367</f>
        <v>23909096</v>
      </c>
      <c r="G1367" s="7" t="str">
        <f>IFERROR(__xludf.DUMMYFUNCTION("IF('Respuestas de formulario 1'!G1367="""","""",IF(LEFT(REGEXREPLACE(TO_TEXT('Respuestas de formulario 1'!G1367),""[^0-9]"",""""),2)=""54"",""+""&amp;REGEXREPLACE(TO_TEXT('Respuestas de formulario 1'!G1367),""[^0-9]"",""""),""+54""&amp;REGEXREPLACE(TO_TEXT('Respu"&amp;"estas de formulario 1'!G1367),""[^0-9]"","""")))"),"+543515919629")</f>
        <v>+543515919629</v>
      </c>
      <c r="H1367" s="7">
        <f>'Respuestas de formulario 1'!S1367</f>
        <v>2025</v>
      </c>
      <c r="I1367" s="7" t="str">
        <f>IFERROR(__xludf.DUMMYFUNCTION("IF('Respuestas de formulario 1'!I1367="""","""",TO_TEXT('Respuestas de formulario 1'!I1367))"),"Obra social")</f>
        <v>Obra social</v>
      </c>
      <c r="J1367" s="7" t="str">
        <f>IFERROR(__xludf.DUMMYFUNCTION("IF('Respuestas de formulario 1'!J1367&lt;&gt;"""",UPPER(TRIM(TO_TEXT('Respuestas de formulario 1'!J1367))),IF('Respuestas de formulario 1'!O1367&lt;&gt;"""",UPPER(TRIM(TO_TEXT('Respuestas de formulario 1'!O1367))),""""))"),"PREVENCIÓN")</f>
        <v>PREVENCIÓN</v>
      </c>
      <c r="K1367" s="7" t="str">
        <f>IFERROR(__xludf.DUMMYFUNCTION("IF('Respuestas de formulario 1'!K1367="""","""",TO_TEXT('Respuestas de formulario 1'!K1367))"),"Si")</f>
        <v>Si</v>
      </c>
      <c r="L1367" s="7" t="str">
        <f>IFERROR(__xludf.DUMMYFUNCTION("IF('Respuestas de formulario 1'!L1367="""","""",TO_TEXT('Respuestas de formulario 1'!L1367))"),"Rally")</f>
        <v>Rally</v>
      </c>
      <c r="M1367" s="7" t="str">
        <f>IFERROR(__xludf.DUMMYFUNCTION("IF('Respuestas de formulario 1'!M1367="""","""",TO_TEXT('Respuestas de formulario 1'!M1367))"),"3 a 5 veces por semana")</f>
        <v>3 a 5 veces por semana</v>
      </c>
      <c r="N1367" s="7">
        <f t="shared" si="1"/>
        <v>2025</v>
      </c>
      <c r="O1367" s="7" t="str">
        <f t="shared" si="2"/>
        <v>diciembre</v>
      </c>
      <c r="P1367" s="7" t="s">
        <v>6847</v>
      </c>
    </row>
    <row r="1368">
      <c r="A1368" s="19">
        <f>'Respuestas de formulario 1'!A1368</f>
        <v>46002.72461</v>
      </c>
      <c r="B1368" s="7" t="str">
        <f>'Respuestas de formulario 1'!B1368</f>
        <v>THEAUX</v>
      </c>
      <c r="C1368" s="7" t="str">
        <f>'Respuestas de formulario 1'!C1368</f>
        <v>Jonathan</v>
      </c>
      <c r="D1368" s="7" t="str">
        <f>'Respuestas de formulario 1'!D1368</f>
        <v>jn.theaux@gmail.com</v>
      </c>
      <c r="E1368" s="20">
        <f>'Respuestas de formulario 1'!E1368</f>
        <v>33509</v>
      </c>
      <c r="F1368" s="7">
        <f>'Respuestas de formulario 1'!F1368</f>
        <v>19070296</v>
      </c>
      <c r="G1368" s="7" t="str">
        <f>IFERROR(__xludf.DUMMYFUNCTION("IF('Respuestas de formulario 1'!G1368="""","""",IF(LEFT(REGEXREPLACE(TO_TEXT('Respuestas de formulario 1'!G1368),""[^0-9]"",""""),2)=""54"",""+""&amp;REGEXREPLACE(TO_TEXT('Respuestas de formulario 1'!G1368),""[^0-9]"",""""),""+54""&amp;REGEXREPLACE(TO_TEXT('Respu"&amp;"estas de formulario 1'!G1368),""[^0-9]"","""")))"),"+543513845132")</f>
        <v>+543513845132</v>
      </c>
      <c r="H1368" s="7">
        <f>'Respuestas de formulario 1'!S1368</f>
        <v>2025</v>
      </c>
      <c r="I1368" s="7" t="str">
        <f>IFERROR(__xludf.DUMMYFUNCTION("IF('Respuestas de formulario 1'!I1368="""","""",TO_TEXT('Respuestas de formulario 1'!I1368))"),"Obra social")</f>
        <v>Obra social</v>
      </c>
      <c r="J1368" s="7" t="str">
        <f>IFERROR(__xludf.DUMMYFUNCTION("IF('Respuestas de formulario 1'!J1368&lt;&gt;"""",UPPER(TRIM(TO_TEXT('Respuestas de formulario 1'!J1368))),IF('Respuestas de formulario 1'!O1368&lt;&gt;"""",UPPER(TRIM(TO_TEXT('Respuestas de formulario 1'!O1368))),""""))"),"SANCOR")</f>
        <v>SANCOR</v>
      </c>
      <c r="K1368" s="7" t="str">
        <f>IFERROR(__xludf.DUMMYFUNCTION("IF('Respuestas de formulario 1'!K1368="""","""",TO_TEXT('Respuestas de formulario 1'!K1368))"),"Si")</f>
        <v>Si</v>
      </c>
      <c r="L1368" s="7" t="str">
        <f>IFERROR(__xludf.DUMMYFUNCTION("IF('Respuestas de formulario 1'!L1368="""","""",TO_TEXT('Respuestas de formulario 1'!L1368))"),"Gimnasio")</f>
        <v>Gimnasio</v>
      </c>
      <c r="M1368" s="7" t="str">
        <f>IFERROR(__xludf.DUMMYFUNCTION("IF('Respuestas de formulario 1'!M1368="""","""",TO_TEXT('Respuestas de formulario 1'!M1368))"),"3 a 5 veces por semana")</f>
        <v>3 a 5 veces por semana</v>
      </c>
      <c r="N1368" s="7">
        <f t="shared" si="1"/>
        <v>2025</v>
      </c>
      <c r="O1368" s="7" t="str">
        <f t="shared" si="2"/>
        <v>diciembre</v>
      </c>
      <c r="P1368" s="7" t="s">
        <v>6849</v>
      </c>
    </row>
    <row r="1369">
      <c r="A1369" s="19">
        <f>'Respuestas de formulario 1'!A1369</f>
        <v>46003.46015</v>
      </c>
      <c r="B1369" s="7" t="str">
        <f>'Respuestas de formulario 1'!B1369</f>
        <v>Maldonado </v>
      </c>
      <c r="C1369" s="7" t="str">
        <f>'Respuestas de formulario 1'!C1369</f>
        <v>Mateo</v>
      </c>
      <c r="D1369" s="7" t="str">
        <f>'Respuestas de formulario 1'!D1369</f>
        <v>Mateomald1010@gmail.com</v>
      </c>
      <c r="E1369" s="20">
        <f>'Respuestas de formulario 1'!E1369</f>
        <v>38581</v>
      </c>
      <c r="F1369" s="7">
        <f>'Respuestas de formulario 1'!F1369</f>
        <v>46505649</v>
      </c>
      <c r="G1369" s="7" t="str">
        <f>IFERROR(__xludf.DUMMYFUNCTION("IF('Respuestas de formulario 1'!G1369="""","""",IF(LEFT(REGEXREPLACE(TO_TEXT('Respuestas de formulario 1'!G1369),""[^0-9]"",""""),2)=""54"",""+""&amp;REGEXREPLACE(TO_TEXT('Respuestas de formulario 1'!G1369),""[^0-9]"",""""),""+54""&amp;REGEXREPLACE(TO_TEXT('Respu"&amp;"estas de formulario 1'!G1369),""[^0-9]"","""")))"),"+543512623147")</f>
        <v>+543512623147</v>
      </c>
      <c r="H1369" s="7">
        <f>'Respuestas de formulario 1'!S1369</f>
        <v>2025</v>
      </c>
      <c r="I1369" s="7" t="str">
        <f>IFERROR(__xludf.DUMMYFUNCTION("IF('Respuestas de formulario 1'!I1369="""","""",TO_TEXT('Respuestas de formulario 1'!I1369))"),"Particular")</f>
        <v>Particular</v>
      </c>
      <c r="J1369" s="7" t="str">
        <f>IFERROR(__xludf.DUMMYFUNCTION("IF('Respuestas de formulario 1'!J1369&lt;&gt;"""",UPPER(TRIM(TO_TEXT('Respuestas de formulario 1'!J1369))),IF('Respuestas de formulario 1'!O1369&lt;&gt;"""",UPPER(TRIM(TO_TEXT('Respuestas de formulario 1'!O1369))),""""))"),"")</f>
        <v/>
      </c>
      <c r="K1369" s="7" t="str">
        <f>IFERROR(__xludf.DUMMYFUNCTION("IF('Respuestas de formulario 1'!K1369="""","""",TO_TEXT('Respuestas de formulario 1'!K1369))"),"Si")</f>
        <v>Si</v>
      </c>
      <c r="L1369" s="7" t="str">
        <f>IFERROR(__xludf.DUMMYFUNCTION("IF('Respuestas de formulario 1'!L1369="""","""",TO_TEXT('Respuestas de formulario 1'!L1369))"),"Fútbol")</f>
        <v>Fútbol</v>
      </c>
      <c r="M1369" s="7" t="str">
        <f>IFERROR(__xludf.DUMMYFUNCTION("IF('Respuestas de formulario 1'!M1369="""","""",TO_TEXT('Respuestas de formulario 1'!M1369))"),"6 a 7 veces por semana")</f>
        <v>6 a 7 veces por semana</v>
      </c>
      <c r="N1369" s="7">
        <f t="shared" si="1"/>
        <v>2025</v>
      </c>
      <c r="O1369" s="7" t="str">
        <f t="shared" si="2"/>
        <v>diciembre</v>
      </c>
      <c r="P1369" s="7" t="s">
        <v>6851</v>
      </c>
    </row>
    <row r="1370">
      <c r="A1370" s="19">
        <f>'Respuestas de formulario 1'!A1370</f>
        <v>46006.47202</v>
      </c>
      <c r="B1370" s="7" t="str">
        <f>'Respuestas de formulario 1'!B1370</f>
        <v>Calvet</v>
      </c>
      <c r="C1370" s="7" t="str">
        <f>'Respuestas de formulario 1'!C1370</f>
        <v>Mariel</v>
      </c>
      <c r="D1370" s="7" t="str">
        <f>'Respuestas de formulario 1'!D1370</f>
        <v>marielcalvet@gmail.com</v>
      </c>
      <c r="E1370" s="20">
        <f>'Respuestas de formulario 1'!E1370</f>
        <v>30541</v>
      </c>
      <c r="F1370" s="7">
        <f>'Respuestas de formulario 1'!F1370</f>
        <v>30407071</v>
      </c>
      <c r="G1370" s="7" t="str">
        <f>IFERROR(__xludf.DUMMYFUNCTION("IF('Respuestas de formulario 1'!G1370="""","""",IF(LEFT(REGEXREPLACE(TO_TEXT('Respuestas de formulario 1'!G1370),""[^0-9]"",""""),2)=""54"",""+""&amp;REGEXREPLACE(TO_TEXT('Respuestas de formulario 1'!G1370),""[^0-9]"",""""),""+54""&amp;REGEXREPLACE(TO_TEXT('Respu"&amp;"estas de formulario 1'!G1370),""[^0-9]"","""")))"),"+543516063713")</f>
        <v>+543516063713</v>
      </c>
      <c r="H1370" s="7">
        <f>'Respuestas de formulario 1'!S1370</f>
        <v>2025</v>
      </c>
      <c r="I1370" s="7" t="str">
        <f>IFERROR(__xludf.DUMMYFUNCTION("IF('Respuestas de formulario 1'!I1370="""","""",TO_TEXT('Respuestas de formulario 1'!I1370))"),"Obra social")</f>
        <v>Obra social</v>
      </c>
      <c r="J1370" s="7" t="str">
        <f>IFERROR(__xludf.DUMMYFUNCTION("IF('Respuestas de formulario 1'!J1370&lt;&gt;"""",UPPER(TRIM(TO_TEXT('Respuestas de formulario 1'!J1370))),IF('Respuestas de formulario 1'!O1370&lt;&gt;"""",UPPER(TRIM(TO_TEXT('Respuestas de formulario 1'!O1370))),""""))"),"PREVENCIÓN")</f>
        <v>PREVENCIÓN</v>
      </c>
      <c r="K1370" s="7" t="str">
        <f>IFERROR(__xludf.DUMMYFUNCTION("IF('Respuestas de formulario 1'!K1370="""","""",TO_TEXT('Respuestas de formulario 1'!K1370))"),"Si")</f>
        <v>Si</v>
      </c>
      <c r="L1370" s="7" t="str">
        <f>IFERROR(__xludf.DUMMYFUNCTION("IF('Respuestas de formulario 1'!L1370="""","""",TO_TEXT('Respuestas de formulario 1'!L1370))"),"Baile")</f>
        <v>Baile</v>
      </c>
      <c r="M1370" s="7" t="str">
        <f>IFERROR(__xludf.DUMMYFUNCTION("IF('Respuestas de formulario 1'!M1370="""","""",TO_TEXT('Respuestas de formulario 1'!M1370))"),"1 a 2 veces por semana")</f>
        <v>1 a 2 veces por semana</v>
      </c>
      <c r="N1370" s="7">
        <f t="shared" si="1"/>
        <v>2025</v>
      </c>
      <c r="O1370" s="7" t="str">
        <f t="shared" si="2"/>
        <v>diciembre</v>
      </c>
      <c r="P1370" s="7" t="s">
        <v>6853</v>
      </c>
    </row>
    <row r="1371">
      <c r="A1371" s="19">
        <f>'Respuestas de formulario 1'!A1371</f>
        <v>46006.81466</v>
      </c>
      <c r="B1371" s="7" t="str">
        <f>'Respuestas de formulario 1'!B1371</f>
        <v>Battistelli</v>
      </c>
      <c r="C1371" s="7" t="str">
        <f>'Respuestas de formulario 1'!C1371</f>
        <v>Pablo</v>
      </c>
      <c r="D1371" s="7" t="str">
        <f>'Respuestas de formulario 1'!D1371</f>
        <v>pbattistelli78@hotmail.com</v>
      </c>
      <c r="E1371" s="20">
        <f>'Respuestas de formulario 1'!E1371</f>
        <v>28796</v>
      </c>
      <c r="F1371" s="7">
        <f>'Respuestas de formulario 1'!F1371</f>
        <v>27013264</v>
      </c>
      <c r="G1371" s="7" t="str">
        <f>IFERROR(__xludf.DUMMYFUNCTION("IF('Respuestas de formulario 1'!G1371="""","""",IF(LEFT(REGEXREPLACE(TO_TEXT('Respuestas de formulario 1'!G1371),""[^0-9]"",""""),2)=""54"",""+""&amp;REGEXREPLACE(TO_TEXT('Respuestas de formulario 1'!G1371),""[^0-9]"",""""),""+54""&amp;REGEXREPLACE(TO_TEXT('Respu"&amp;"estas de formulario 1'!G1371),""[^0-9]"","""")))"),"+543512503228")</f>
        <v>+543512503228</v>
      </c>
      <c r="H1371" s="7">
        <f>'Respuestas de formulario 1'!S1371</f>
        <v>2025</v>
      </c>
      <c r="I1371" s="7" t="str">
        <f>IFERROR(__xludf.DUMMYFUNCTION("IF('Respuestas de formulario 1'!I1371="""","""",TO_TEXT('Respuestas de formulario 1'!I1371))"),"Obra social")</f>
        <v>Obra social</v>
      </c>
      <c r="J1371" s="7" t="str">
        <f>IFERROR(__xludf.DUMMYFUNCTION("IF('Respuestas de formulario 1'!J1371&lt;&gt;"""",UPPER(TRIM(TO_TEXT('Respuestas de formulario 1'!J1371))),IF('Respuestas de formulario 1'!O1371&lt;&gt;"""",UPPER(TRIM(TO_TEXT('Respuestas de formulario 1'!O1371))),""""))"),"AVALIAN")</f>
        <v>AVALIAN</v>
      </c>
      <c r="K1371" s="7" t="str">
        <f>IFERROR(__xludf.DUMMYFUNCTION("IF('Respuestas de formulario 1'!K1371="""","""",TO_TEXT('Respuestas de formulario 1'!K1371))"),"Si")</f>
        <v>Si</v>
      </c>
      <c r="L1371" s="7" t="str">
        <f>IFERROR(__xludf.DUMMYFUNCTION("IF('Respuestas de formulario 1'!L1371="""","""",TO_TEXT('Respuestas de formulario 1'!L1371))"),"Gimnasio+Futbol")</f>
        <v>Gimnasio+Futbol</v>
      </c>
      <c r="M1371" s="7" t="str">
        <f>IFERROR(__xludf.DUMMYFUNCTION("IF('Respuestas de formulario 1'!M1371="""","""",TO_TEXT('Respuestas de formulario 1'!M1371))"),"3 a 5 veces por semana")</f>
        <v>3 a 5 veces por semana</v>
      </c>
      <c r="N1371" s="7">
        <f t="shared" si="1"/>
        <v>2025</v>
      </c>
      <c r="O1371" s="7" t="str">
        <f t="shared" si="2"/>
        <v>diciembre</v>
      </c>
      <c r="P1371" s="7" t="s">
        <v>6855</v>
      </c>
    </row>
    <row r="1372">
      <c r="A1372" s="19">
        <f>'Respuestas de formulario 1'!A1372</f>
        <v>46007.4343</v>
      </c>
      <c r="B1372" s="7" t="str">
        <f>'Respuestas de formulario 1'!B1372</f>
        <v>Pedroni </v>
      </c>
      <c r="C1372" s="7" t="str">
        <f>'Respuestas de formulario 1'!C1372</f>
        <v>Juan Pablo</v>
      </c>
      <c r="D1372" s="7" t="str">
        <f>'Respuestas de formulario 1'!D1372</f>
        <v>jppedroni@gmail.com</v>
      </c>
      <c r="E1372" s="20">
        <f>'Respuestas de formulario 1'!E1372</f>
        <v>28478</v>
      </c>
      <c r="F1372" s="7">
        <f>'Respuestas de formulario 1'!F1372</f>
        <v>26180609</v>
      </c>
      <c r="G1372" s="7" t="str">
        <f>IFERROR(__xludf.DUMMYFUNCTION("IF('Respuestas de formulario 1'!G1372="""","""",IF(LEFT(REGEXREPLACE(TO_TEXT('Respuestas de formulario 1'!G1372),""[^0-9]"",""""),2)=""54"",""+""&amp;REGEXREPLACE(TO_TEXT('Respuestas de formulario 1'!G1372),""[^0-9]"",""""),""+54""&amp;REGEXREPLACE(TO_TEXT('Respu"&amp;"estas de formulario 1'!G1372),""[^0-9]"","""")))"),"+543512170609")</f>
        <v>+543512170609</v>
      </c>
      <c r="H1372" s="7">
        <f>'Respuestas de formulario 1'!S1372</f>
        <v>2025</v>
      </c>
      <c r="I1372" s="7" t="str">
        <f>IFERROR(__xludf.DUMMYFUNCTION("IF('Respuestas de formulario 1'!I1372="""","""",TO_TEXT('Respuestas de formulario 1'!I1372))"),"Obra social")</f>
        <v>Obra social</v>
      </c>
      <c r="J1372" s="7" t="str">
        <f>IFERROR(__xludf.DUMMYFUNCTION("IF('Respuestas de formulario 1'!J1372&lt;&gt;"""",UPPER(TRIM(TO_TEXT('Respuestas de formulario 1'!J1372))),IF('Respuestas de formulario 1'!O1372&lt;&gt;"""",UPPER(TRIM(TO_TEXT('Respuestas de formulario 1'!O1372))),""""))"),"DASUTEN")</f>
        <v>DASUTEN</v>
      </c>
      <c r="K1372" s="7" t="str">
        <f>IFERROR(__xludf.DUMMYFUNCTION("IF('Respuestas de formulario 1'!K1372="""","""",TO_TEXT('Respuestas de formulario 1'!K1372))"),"Si")</f>
        <v>Si</v>
      </c>
      <c r="L1372" s="7" t="str">
        <f>IFERROR(__xludf.DUMMYFUNCTION("IF('Respuestas de formulario 1'!L1372="""","""",TO_TEXT('Respuestas de formulario 1'!L1372))"),"Gimnasio")</f>
        <v>Gimnasio</v>
      </c>
      <c r="M1372" s="7" t="str">
        <f>IFERROR(__xludf.DUMMYFUNCTION("IF('Respuestas de formulario 1'!M1372="""","""",TO_TEXT('Respuestas de formulario 1'!M1372))"),"1 a 2 veces por semana")</f>
        <v>1 a 2 veces por semana</v>
      </c>
      <c r="N1372" s="7">
        <f t="shared" si="1"/>
        <v>2025</v>
      </c>
      <c r="O1372" s="7" t="str">
        <f t="shared" si="2"/>
        <v>diciembre</v>
      </c>
      <c r="P1372" s="7" t="s">
        <v>6857</v>
      </c>
    </row>
    <row r="1373">
      <c r="A1373" s="19">
        <f>'Respuestas de formulario 1'!A1373</f>
        <v>46007.43892</v>
      </c>
      <c r="B1373" s="7" t="str">
        <f>'Respuestas de formulario 1'!B1373</f>
        <v>Luque</v>
      </c>
      <c r="C1373" s="7" t="str">
        <f>'Respuestas de formulario 1'!C1373</f>
        <v>Pablo</v>
      </c>
      <c r="D1373" s="7" t="str">
        <f>'Respuestas de formulario 1'!D1373</f>
        <v>pabloluque0612@gmail.com</v>
      </c>
      <c r="E1373" s="20">
        <f>'Respuestas de formulario 1'!E1373</f>
        <v>27557</v>
      </c>
      <c r="F1373" s="7">
        <f>'Respuestas de formulario 1'!F1373</f>
        <v>24629108</v>
      </c>
      <c r="G1373" s="7" t="str">
        <f>IFERROR(__xludf.DUMMYFUNCTION("IF('Respuestas de formulario 1'!G1373="""","""",IF(LEFT(REGEXREPLACE(TO_TEXT('Respuestas de formulario 1'!G1373),""[^0-9]"",""""),2)=""54"",""+""&amp;REGEXREPLACE(TO_TEXT('Respuestas de formulario 1'!G1373),""[^0-9]"",""""),""+54""&amp;REGEXREPLACE(TO_TEXT('Respu"&amp;"estas de formulario 1'!G1373),""[^0-9]"","""")))"),"+543517180080")</f>
        <v>+543517180080</v>
      </c>
      <c r="H1373" s="7">
        <f>'Respuestas de formulario 1'!S1373</f>
        <v>2025</v>
      </c>
      <c r="I1373" s="7" t="str">
        <f>IFERROR(__xludf.DUMMYFUNCTION("IF('Respuestas de formulario 1'!I1373="""","""",TO_TEXT('Respuestas de formulario 1'!I1373))"),"Obra social")</f>
        <v>Obra social</v>
      </c>
      <c r="J1373" s="7" t="str">
        <f>IFERROR(__xludf.DUMMYFUNCTION("IF('Respuestas de formulario 1'!J1373&lt;&gt;"""",UPPER(TRIM(TO_TEXT('Respuestas de formulario 1'!J1373))),IF('Respuestas de formulario 1'!O1373&lt;&gt;"""",UPPER(TRIM(TO_TEXT('Respuestas de formulario 1'!O1373))),""""))"),"OMINT")</f>
        <v>OMINT</v>
      </c>
      <c r="K1373" s="7" t="str">
        <f>IFERROR(__xludf.DUMMYFUNCTION("IF('Respuestas de formulario 1'!K1373="""","""",TO_TEXT('Respuestas de formulario 1'!K1373))"),"Si")</f>
        <v>Si</v>
      </c>
      <c r="L1373" s="7" t="str">
        <f>IFERROR(__xludf.DUMMYFUNCTION("IF('Respuestas de formulario 1'!L1373="""","""",TO_TEXT('Respuestas de formulario 1'!L1373))"),"Gimnasio")</f>
        <v>Gimnasio</v>
      </c>
      <c r="M1373" s="7" t="str">
        <f>IFERROR(__xludf.DUMMYFUNCTION("IF('Respuestas de formulario 1'!M1373="""","""",TO_TEXT('Respuestas de formulario 1'!M1373))"),"3 a 5 veces por semana")</f>
        <v>3 a 5 veces por semana</v>
      </c>
      <c r="N1373" s="7">
        <f t="shared" si="1"/>
        <v>2025</v>
      </c>
      <c r="O1373" s="7" t="str">
        <f t="shared" si="2"/>
        <v>diciembre</v>
      </c>
      <c r="P1373" s="7" t="s">
        <v>6859</v>
      </c>
    </row>
    <row r="1374">
      <c r="A1374" s="19">
        <f>'Respuestas de formulario 1'!A1374</f>
        <v>46007.67631</v>
      </c>
      <c r="B1374" s="7" t="str">
        <f>'Respuestas de formulario 1'!B1374</f>
        <v>DANCIGER</v>
      </c>
      <c r="C1374" s="7" t="str">
        <f>'Respuestas de formulario 1'!C1374</f>
        <v>CARLOS</v>
      </c>
      <c r="D1374" s="7" t="str">
        <f>'Respuestas de formulario 1'!D1374</f>
        <v>ced3928@yahoo.com.ar</v>
      </c>
      <c r="E1374" s="20">
        <f>'Respuestas de formulario 1'!E1374</f>
        <v>19507</v>
      </c>
      <c r="F1374" s="7">
        <f>'Respuestas de formulario 1'!F1374</f>
        <v>10902256</v>
      </c>
      <c r="G1374" s="7" t="str">
        <f>IFERROR(__xludf.DUMMYFUNCTION("IF('Respuestas de formulario 1'!G1374="""","""",IF(LEFT(REGEXREPLACE(TO_TEXT('Respuestas de formulario 1'!G1374),""[^0-9]"",""""),2)=""54"",""+""&amp;REGEXREPLACE(TO_TEXT('Respuestas de formulario 1'!G1374),""[^0-9]"",""""),""+54""&amp;REGEXREPLACE(TO_TEXT('Respu"&amp;"estas de formulario 1'!G1374),""[^0-9]"","""")))"),"+543513936568")</f>
        <v>+543513936568</v>
      </c>
      <c r="H1374" s="7">
        <f>'Respuestas de formulario 1'!S1374</f>
        <v>2025</v>
      </c>
      <c r="I1374" s="7" t="str">
        <f>IFERROR(__xludf.DUMMYFUNCTION("IF('Respuestas de formulario 1'!I1374="""","""",TO_TEXT('Respuestas de formulario 1'!I1374))"),"Obra social")</f>
        <v>Obra social</v>
      </c>
      <c r="J1374" s="7" t="str">
        <f>IFERROR(__xludf.DUMMYFUNCTION("IF('Respuestas de formulario 1'!J1374&lt;&gt;"""",UPPER(TRIM(TO_TEXT('Respuestas de formulario 1'!J1374))),IF('Respuestas de formulario 1'!O1374&lt;&gt;"""",UPPER(TRIM(TO_TEXT('Respuestas de formulario 1'!O1374))),""""))"),"CPCE")</f>
        <v>CPCE</v>
      </c>
      <c r="K1374" s="7" t="str">
        <f>IFERROR(__xludf.DUMMYFUNCTION("IF('Respuestas de formulario 1'!K1374="""","""",TO_TEXT('Respuestas de formulario 1'!K1374))"),"Si")</f>
        <v>Si</v>
      </c>
      <c r="L1374" s="7" t="str">
        <f>IFERROR(__xludf.DUMMYFUNCTION("IF('Respuestas de formulario 1'!L1374="""","""",TO_TEXT('Respuestas de formulario 1'!L1374))"),"Bicicleta")</f>
        <v>Bicicleta</v>
      </c>
      <c r="M1374" s="7" t="str">
        <f>IFERROR(__xludf.DUMMYFUNCTION("IF('Respuestas de formulario 1'!M1374="""","""",TO_TEXT('Respuestas de formulario 1'!M1374))"),"3 a 5 veces por semana")</f>
        <v>3 a 5 veces por semana</v>
      </c>
      <c r="N1374" s="7">
        <f t="shared" si="1"/>
        <v>2025</v>
      </c>
      <c r="O1374" s="7" t="str">
        <f t="shared" si="2"/>
        <v>diciembre</v>
      </c>
      <c r="P1374" s="7" t="s">
        <v>6861</v>
      </c>
    </row>
    <row r="1375">
      <c r="A1375" s="19">
        <f>'Respuestas de formulario 1'!A1375</f>
        <v>46007.69768</v>
      </c>
      <c r="B1375" s="7" t="str">
        <f>'Respuestas de formulario 1'!B1375</f>
        <v>BEPRE </v>
      </c>
      <c r="C1375" s="7" t="str">
        <f>'Respuestas de formulario 1'!C1375</f>
        <v>AGUSTIN</v>
      </c>
      <c r="D1375" s="7" t="str">
        <f>'Respuestas de formulario 1'!D1375</f>
        <v>Diabetesdiabetes2013@yahoo.com.ar</v>
      </c>
      <c r="E1375" s="20">
        <f>'Respuestas de formulario 1'!E1375</f>
        <v>41255</v>
      </c>
      <c r="F1375" s="7">
        <f>'Respuestas de formulario 1'!F1375</f>
        <v>52466852</v>
      </c>
      <c r="G1375" s="7" t="str">
        <f>IFERROR(__xludf.DUMMYFUNCTION("IF('Respuestas de formulario 1'!G1375="""","""",IF(LEFT(REGEXREPLACE(TO_TEXT('Respuestas de formulario 1'!G1375),""[^0-9]"",""""),2)=""54"",""+""&amp;REGEXREPLACE(TO_TEXT('Respuestas de formulario 1'!G1375),""[^0-9]"",""""),""+54""&amp;REGEXREPLACE(TO_TEXT('Respu"&amp;"estas de formulario 1'!G1375),""[^0-9]"","""")))"),"+543512454625")</f>
        <v>+543512454625</v>
      </c>
      <c r="H1375" s="7">
        <f>'Respuestas de formulario 1'!S1375</f>
        <v>2025</v>
      </c>
      <c r="I1375" s="7" t="str">
        <f>IFERROR(__xludf.DUMMYFUNCTION("IF('Respuestas de formulario 1'!I1375="""","""",TO_TEXT('Respuestas de formulario 1'!I1375))"),"Obra social")</f>
        <v>Obra social</v>
      </c>
      <c r="J1375" s="7" t="str">
        <f>IFERROR(__xludf.DUMMYFUNCTION("IF('Respuestas de formulario 1'!J1375&lt;&gt;"""",UPPER(TRIM(TO_TEXT('Respuestas de formulario 1'!J1375))),IF('Respuestas de formulario 1'!O1375&lt;&gt;"""",UPPER(TRIM(TO_TEXT('Respuestas de formulario 1'!O1375))),""""))"),"CAJA NOTARIAL")</f>
        <v>CAJA NOTARIAL</v>
      </c>
      <c r="K1375" s="7" t="str">
        <f>IFERROR(__xludf.DUMMYFUNCTION("IF('Respuestas de formulario 1'!K1375="""","""",TO_TEXT('Respuestas de formulario 1'!K1375))"),"Si")</f>
        <v>Si</v>
      </c>
      <c r="L1375" s="7" t="str">
        <f>IFERROR(__xludf.DUMMYFUNCTION("IF('Respuestas de formulario 1'!L1375="""","""",TO_TEXT('Respuestas de formulario 1'!L1375))"),"Rugby")</f>
        <v>Rugby</v>
      </c>
      <c r="M1375" s="7" t="str">
        <f>IFERROR(__xludf.DUMMYFUNCTION("IF('Respuestas de formulario 1'!M1375="""","""",TO_TEXT('Respuestas de formulario 1'!M1375))"),"3 a 5 veces por semana")</f>
        <v>3 a 5 veces por semana</v>
      </c>
      <c r="N1375" s="7">
        <f t="shared" si="1"/>
        <v>2025</v>
      </c>
      <c r="O1375" s="7" t="str">
        <f t="shared" si="2"/>
        <v>diciembre</v>
      </c>
      <c r="P1375" s="7" t="s">
        <v>6863</v>
      </c>
    </row>
    <row r="1376">
      <c r="A1376" s="19">
        <f>'Respuestas de formulario 1'!A1376</f>
        <v>46007.7616</v>
      </c>
      <c r="B1376" s="7" t="str">
        <f>'Respuestas de formulario 1'!B1376</f>
        <v>Cassinerio</v>
      </c>
      <c r="C1376" s="7" t="str">
        <f>'Respuestas de formulario 1'!C1376</f>
        <v>Hugo</v>
      </c>
      <c r="D1376" s="7" t="str">
        <f>'Respuestas de formulario 1'!D1376</f>
        <v/>
      </c>
      <c r="E1376" s="20">
        <f>'Respuestas de formulario 1'!E1376</f>
        <v>19561</v>
      </c>
      <c r="F1376" s="7">
        <f>'Respuestas de formulario 1'!F1376</f>
        <v>10738760</v>
      </c>
      <c r="G1376" s="7" t="str">
        <f>IFERROR(__xludf.DUMMYFUNCTION("IF('Respuestas de formulario 1'!G1376="""","""",IF(LEFT(REGEXREPLACE(TO_TEXT('Respuestas de formulario 1'!G1376),""[^0-9]"",""""),2)=""54"",""+""&amp;REGEXREPLACE(TO_TEXT('Respuestas de formulario 1'!G1376),""[^0-9]"",""""),""+54""&amp;REGEXREPLACE(TO_TEXT('Respu"&amp;"estas de formulario 1'!G1376),""[^0-9]"","""")))"),"+543515464496")</f>
        <v>+543515464496</v>
      </c>
      <c r="H1376" s="7">
        <f>'Respuestas de formulario 1'!S1376</f>
        <v>2025</v>
      </c>
      <c r="I1376" s="7" t="str">
        <f>IFERROR(__xludf.DUMMYFUNCTION("IF('Respuestas de formulario 1'!I1376="""","""",TO_TEXT('Respuestas de formulario 1'!I1376))"),"Obra social")</f>
        <v>Obra social</v>
      </c>
      <c r="J1376" s="7" t="str">
        <f>IFERROR(__xludf.DUMMYFUNCTION("IF('Respuestas de formulario 1'!J1376&lt;&gt;"""",UPPER(TRIM(TO_TEXT('Respuestas de formulario 1'!J1376))),IF('Respuestas de formulario 1'!O1376&lt;&gt;"""",UPPER(TRIM(TO_TEXT('Respuestas de formulario 1'!O1376))),""""))"),"CPCE")</f>
        <v>CPCE</v>
      </c>
      <c r="K1376" s="7" t="str">
        <f>IFERROR(__xludf.DUMMYFUNCTION("IF('Respuestas de formulario 1'!K1376="""","""",TO_TEXT('Respuestas de formulario 1'!K1376))"),"Si")</f>
        <v>Si</v>
      </c>
      <c r="L1376" s="7" t="str">
        <f>IFERROR(__xludf.DUMMYFUNCTION("IF('Respuestas de formulario 1'!L1376="""","""",TO_TEXT('Respuestas de formulario 1'!L1376))"),"Bici+ Ejercicios")</f>
        <v>Bici+ Ejercicios</v>
      </c>
      <c r="M1376" s="7" t="str">
        <f>IFERROR(__xludf.DUMMYFUNCTION("IF('Respuestas de formulario 1'!M1376="""","""",TO_TEXT('Respuestas de formulario 1'!M1376))"),"3 a 5 veces por semana")</f>
        <v>3 a 5 veces por semana</v>
      </c>
      <c r="N1376" s="7">
        <f t="shared" si="1"/>
        <v>2025</v>
      </c>
      <c r="O1376" s="7" t="str">
        <f t="shared" si="2"/>
        <v>diciembre</v>
      </c>
      <c r="P1376" s="7" t="s">
        <v>6864</v>
      </c>
    </row>
    <row r="1377">
      <c r="A1377" s="19">
        <f>'Respuestas de formulario 1'!A1377</f>
        <v>46007.77281</v>
      </c>
      <c r="B1377" s="7" t="str">
        <f>'Respuestas de formulario 1'!B1377</f>
        <v>ROMERO</v>
      </c>
      <c r="C1377" s="7" t="str">
        <f>'Respuestas de formulario 1'!C1377</f>
        <v>Hector Fabian</v>
      </c>
      <c r="D1377" s="7" t="str">
        <f>'Respuestas de formulario 1'!D1377</f>
        <v>197909zzaa@gmail.com</v>
      </c>
      <c r="E1377" s="20">
        <f>'Respuestas de formulario 1'!E1377</f>
        <v>29115</v>
      </c>
      <c r="F1377" s="7">
        <f>'Respuestas de formulario 1'!F1377</f>
        <v>27654702</v>
      </c>
      <c r="G1377" s="7" t="str">
        <f>IFERROR(__xludf.DUMMYFUNCTION("IF('Respuestas de formulario 1'!G1377="""","""",IF(LEFT(REGEXREPLACE(TO_TEXT('Respuestas de formulario 1'!G1377),""[^0-9]"",""""),2)=""54"",""+""&amp;REGEXREPLACE(TO_TEXT('Respuestas de formulario 1'!G1377),""[^0-9]"",""""),""+54""&amp;REGEXREPLACE(TO_TEXT('Respu"&amp;"estas de formulario 1'!G1377),""[^0-9]"","""")))"),"+54156351558")</f>
        <v>+54156351558</v>
      </c>
      <c r="H1377" s="7">
        <f>'Respuestas de formulario 1'!S1377</f>
        <v>2025</v>
      </c>
      <c r="I1377" s="7" t="str">
        <f>IFERROR(__xludf.DUMMYFUNCTION("IF('Respuestas de formulario 1'!I1377="""","""",TO_TEXT('Respuestas de formulario 1'!I1377))"),"Particular")</f>
        <v>Particular</v>
      </c>
      <c r="J1377" s="7" t="str">
        <f>IFERROR(__xludf.DUMMYFUNCTION("IF('Respuestas de formulario 1'!J1377&lt;&gt;"""",UPPER(TRIM(TO_TEXT('Respuestas de formulario 1'!J1377))),IF('Respuestas de formulario 1'!O1377&lt;&gt;"""",UPPER(TRIM(TO_TEXT('Respuestas de formulario 1'!O1377))),""""))"),"")</f>
        <v/>
      </c>
      <c r="K1377" s="7" t="str">
        <f>IFERROR(__xludf.DUMMYFUNCTION("IF('Respuestas de formulario 1'!K1377="""","""",TO_TEXT('Respuestas de formulario 1'!K1377))"),"Si")</f>
        <v>Si</v>
      </c>
      <c r="L1377" s="7" t="str">
        <f>IFERROR(__xludf.DUMMYFUNCTION("IF('Respuestas de formulario 1'!L1377="""","""",TO_TEXT('Respuestas de formulario 1'!L1377))"),"Enduro")</f>
        <v>Enduro</v>
      </c>
      <c r="M1377" s="7" t="str">
        <f>IFERROR(__xludf.DUMMYFUNCTION("IF('Respuestas de formulario 1'!M1377="""","""",TO_TEXT('Respuestas de formulario 1'!M1377))"),"1 a 2 veces por semana")</f>
        <v>1 a 2 veces por semana</v>
      </c>
      <c r="N1377" s="7">
        <f t="shared" si="1"/>
        <v>2025</v>
      </c>
      <c r="O1377" s="7" t="str">
        <f t="shared" si="2"/>
        <v>diciembre</v>
      </c>
      <c r="P1377" s="7" t="s">
        <v>6866</v>
      </c>
    </row>
    <row r="1378">
      <c r="A1378" s="19">
        <f>'Respuestas de formulario 1'!A1378</f>
        <v>46007.80585</v>
      </c>
      <c r="B1378" s="7" t="str">
        <f>'Respuestas de formulario 1'!B1378</f>
        <v>Carignano</v>
      </c>
      <c r="C1378" s="7" t="str">
        <f>'Respuestas de formulario 1'!C1378</f>
        <v>Lara Paz</v>
      </c>
      <c r="D1378" s="7" t="str">
        <f>'Respuestas de formulario 1'!D1378</f>
        <v>larapazcarignano33@gmail.com</v>
      </c>
      <c r="E1378" s="20">
        <f>'Respuestas de formulario 1'!E1378</f>
        <v>39170</v>
      </c>
      <c r="F1378" s="7">
        <f>'Respuestas de formulario 1'!F1378</f>
        <v>47662380</v>
      </c>
      <c r="G1378" s="7" t="str">
        <f>IFERROR(__xludf.DUMMYFUNCTION("IF('Respuestas de formulario 1'!G1378="""","""",IF(LEFT(REGEXREPLACE(TO_TEXT('Respuestas de formulario 1'!G1378),""[^0-9]"",""""),2)=""54"",""+""&amp;REGEXREPLACE(TO_TEXT('Respuestas de formulario 1'!G1378),""[^0-9]"",""""),""+54""&amp;REGEXREPLACE(TO_TEXT('Respu"&amp;"estas de formulario 1'!G1378),""[^0-9]"","""")))"),"+543517912620")</f>
        <v>+543517912620</v>
      </c>
      <c r="H1378" s="7">
        <f>'Respuestas de formulario 1'!S1378</f>
        <v>2025</v>
      </c>
      <c r="I1378" s="7" t="str">
        <f>IFERROR(__xludf.DUMMYFUNCTION("IF('Respuestas de formulario 1'!I1378="""","""",TO_TEXT('Respuestas de formulario 1'!I1378))"),"Obra social")</f>
        <v>Obra social</v>
      </c>
      <c r="J1378" s="7" t="str">
        <f>IFERROR(__xludf.DUMMYFUNCTION("IF('Respuestas de formulario 1'!J1378&lt;&gt;"""",UPPER(TRIM(TO_TEXT('Respuestas de formulario 1'!J1378))),IF('Respuestas de formulario 1'!O1378&lt;&gt;"""",UPPER(TRIM(TO_TEXT('Respuestas de formulario 1'!O1378))),""""))"),"SWISS MEDICAL")</f>
        <v>SWISS MEDICAL</v>
      </c>
      <c r="K1378" s="7" t="str">
        <f>IFERROR(__xludf.DUMMYFUNCTION("IF('Respuestas de formulario 1'!K1378="""","""",TO_TEXT('Respuestas de formulario 1'!K1378))"),"Si")</f>
        <v>Si</v>
      </c>
      <c r="L1378" s="7" t="str">
        <f>IFERROR(__xludf.DUMMYFUNCTION("IF('Respuestas de formulario 1'!L1378="""","""",TO_TEXT('Respuestas de formulario 1'!L1378))"),"Voley")</f>
        <v>Voley</v>
      </c>
      <c r="M1378" s="7" t="str">
        <f>IFERROR(__xludf.DUMMYFUNCTION("IF('Respuestas de formulario 1'!M1378="""","""",TO_TEXT('Respuestas de formulario 1'!M1378))"),"6 a 7 veces por semana")</f>
        <v>6 a 7 veces por semana</v>
      </c>
      <c r="N1378" s="7">
        <f t="shared" si="1"/>
        <v>2025</v>
      </c>
      <c r="O1378" s="7" t="str">
        <f t="shared" si="2"/>
        <v>diciembre</v>
      </c>
      <c r="P1378" s="7" t="s">
        <v>6868</v>
      </c>
    </row>
    <row r="1379">
      <c r="A1379" s="19">
        <f>'Respuestas de formulario 1'!A1379</f>
        <v>46010.65817</v>
      </c>
      <c r="B1379" s="7" t="str">
        <f>'Respuestas de formulario 1'!B1379</f>
        <v>Cuffia</v>
      </c>
      <c r="C1379" s="7" t="str">
        <f>'Respuestas de formulario 1'!C1379</f>
        <v>Hugo</v>
      </c>
      <c r="D1379" s="7" t="str">
        <f>'Respuestas de formulario 1'!D1379</f>
        <v/>
      </c>
      <c r="E1379" s="20">
        <f>'Respuestas de formulario 1'!E1379</f>
        <v>16694</v>
      </c>
      <c r="F1379" s="7">
        <f>'Respuestas de formulario 1'!F1379</f>
        <v>7984666</v>
      </c>
      <c r="G1379" s="7" t="str">
        <f>IFERROR(__xludf.DUMMYFUNCTION("IF('Respuestas de formulario 1'!G1379="""","""",IF(LEFT(REGEXREPLACE(TO_TEXT('Respuestas de formulario 1'!G1379),""[^0-9]"",""""),2)=""54"",""+""&amp;REGEXREPLACE(TO_TEXT('Respuestas de formulario 1'!G1379),""[^0-9]"",""""),""+54""&amp;REGEXREPLACE(TO_TEXT('Respu"&amp;"estas de formulario 1'!G1379),""[^0-9]"","""")))"),"+543513033804")</f>
        <v>+543513033804</v>
      </c>
      <c r="H1379" s="7">
        <f>'Respuestas de formulario 1'!S1379</f>
        <v>2025</v>
      </c>
      <c r="I1379" s="7" t="str">
        <f>IFERROR(__xludf.DUMMYFUNCTION("IF('Respuestas de formulario 1'!I1379="""","""",TO_TEXT('Respuestas de formulario 1'!I1379))"),"Obra social")</f>
        <v>Obra social</v>
      </c>
      <c r="J1379" s="7" t="str">
        <f>IFERROR(__xludf.DUMMYFUNCTION("IF('Respuestas de formulario 1'!J1379&lt;&gt;"""",UPPER(TRIM(TO_TEXT('Respuestas de formulario 1'!J1379))),IF('Respuestas de formulario 1'!O1379&lt;&gt;"""",UPPER(TRIM(TO_TEXT('Respuestas de formulario 1'!O1379))),""""))"),"CPCE")</f>
        <v>CPCE</v>
      </c>
      <c r="K1379" s="7" t="str">
        <f>IFERROR(__xludf.DUMMYFUNCTION("IF('Respuestas de formulario 1'!K1379="""","""",TO_TEXT('Respuestas de formulario 1'!K1379))"),"Si")</f>
        <v>Si</v>
      </c>
      <c r="L1379" s="7" t="str">
        <f>IFERROR(__xludf.DUMMYFUNCTION("IF('Respuestas de formulario 1'!L1379="""","""",TO_TEXT('Respuestas de formulario 1'!L1379))"),"Golf+entrenamiento ")</f>
        <v>Golf+entrenamiento </v>
      </c>
      <c r="M1379" s="7" t="str">
        <f>IFERROR(__xludf.DUMMYFUNCTION("IF('Respuestas de formulario 1'!M1379="""","""",TO_TEXT('Respuestas de formulario 1'!M1379))"),"3 a 5 veces por semana")</f>
        <v>3 a 5 veces por semana</v>
      </c>
      <c r="N1379" s="7">
        <f t="shared" si="1"/>
        <v>2025</v>
      </c>
      <c r="O1379" s="7" t="str">
        <f t="shared" si="2"/>
        <v>diciembre</v>
      </c>
      <c r="P1379" s="7" t="s">
        <v>6870</v>
      </c>
    </row>
    <row r="1380">
      <c r="A1380" s="19">
        <f>'Respuestas de formulario 1'!A1380</f>
        <v>46013.44194</v>
      </c>
      <c r="B1380" s="7" t="str">
        <f>'Respuestas de formulario 1'!B1380</f>
        <v>SCARAFIA </v>
      </c>
      <c r="C1380" s="7" t="str">
        <f>'Respuestas de formulario 1'!C1380</f>
        <v>JUAN MANUEL </v>
      </c>
      <c r="D1380" s="7" t="str">
        <f>'Respuestas de formulario 1'!D1380</f>
        <v>jmscarafia81@gmail.com</v>
      </c>
      <c r="E1380" s="20">
        <f>'Respuestas de formulario 1'!E1380</f>
        <v>29637</v>
      </c>
      <c r="F1380" s="7">
        <f>'Respuestas de formulario 1'!F1380</f>
        <v>28652582</v>
      </c>
      <c r="G1380" s="7" t="str">
        <f>IFERROR(__xludf.DUMMYFUNCTION("IF('Respuestas de formulario 1'!G1380="""","""",IF(LEFT(REGEXREPLACE(TO_TEXT('Respuestas de formulario 1'!G1380),""[^0-9]"",""""),2)=""54"",""+""&amp;REGEXREPLACE(TO_TEXT('Respuestas de formulario 1'!G1380),""[^0-9]"",""""),""+54""&amp;REGEXREPLACE(TO_TEXT('Respu"&amp;"estas de formulario 1'!G1380),""[^0-9]"","""")))"),"+543516848849")</f>
        <v>+543516848849</v>
      </c>
      <c r="H1380" s="7">
        <f>'Respuestas de formulario 1'!S1380</f>
        <v>2025</v>
      </c>
      <c r="I1380" s="7" t="str">
        <f>IFERROR(__xludf.DUMMYFUNCTION("IF('Respuestas de formulario 1'!I1380="""","""",TO_TEXT('Respuestas de formulario 1'!I1380))"),"Particular")</f>
        <v>Particular</v>
      </c>
      <c r="J1380" s="7" t="str">
        <f>IFERROR(__xludf.DUMMYFUNCTION("IF('Respuestas de formulario 1'!J1380&lt;&gt;"""",UPPER(TRIM(TO_TEXT('Respuestas de formulario 1'!J1380))),IF('Respuestas de formulario 1'!O1380&lt;&gt;"""",UPPER(TRIM(TO_TEXT('Respuestas de formulario 1'!O1380))),""""))"),"")</f>
        <v/>
      </c>
      <c r="K1380" s="7" t="str">
        <f>IFERROR(__xludf.DUMMYFUNCTION("IF('Respuestas de formulario 1'!K1380="""","""",TO_TEXT('Respuestas de formulario 1'!K1380))"),"Si")</f>
        <v>Si</v>
      </c>
      <c r="L1380" s="7" t="str">
        <f>IFERROR(__xludf.DUMMYFUNCTION("IF('Respuestas de formulario 1'!L1380="""","""",TO_TEXT('Respuestas de formulario 1'!L1380))"),"Running")</f>
        <v>Running</v>
      </c>
      <c r="M1380" s="7" t="str">
        <f>IFERROR(__xludf.DUMMYFUNCTION("IF('Respuestas de formulario 1'!M1380="""","""",TO_TEXT('Respuestas de formulario 1'!M1380))"),"1 a 2 veces por semana")</f>
        <v>1 a 2 veces por semana</v>
      </c>
      <c r="N1380" s="7">
        <f t="shared" si="1"/>
        <v>2025</v>
      </c>
      <c r="O1380" s="7" t="str">
        <f t="shared" si="2"/>
        <v>diciembre</v>
      </c>
      <c r="P1380" s="7" t="s">
        <v>6872</v>
      </c>
    </row>
    <row r="1381">
      <c r="A1381" s="19">
        <f>'Respuestas de formulario 1'!A1381</f>
        <v>46015.57662</v>
      </c>
      <c r="B1381" s="7" t="str">
        <f>'Respuestas de formulario 1'!B1381</f>
        <v>Curtó</v>
      </c>
      <c r="C1381" s="7" t="str">
        <f>'Respuestas de formulario 1'!C1381</f>
        <v>Berenice </v>
      </c>
      <c r="D1381" s="7" t="str">
        <f>'Respuestas de formulario 1'!D1381</f>
        <v>berenicecurto@gmail.com</v>
      </c>
      <c r="E1381" s="20">
        <f>'Respuestas de formulario 1'!E1381</f>
        <v>30530</v>
      </c>
      <c r="F1381" s="7">
        <f>'Respuestas de formulario 1'!F1381</f>
        <v>30330837</v>
      </c>
      <c r="G1381" s="7" t="str">
        <f>IFERROR(__xludf.DUMMYFUNCTION("IF('Respuestas de formulario 1'!G1381="""","""",IF(LEFT(REGEXREPLACE(TO_TEXT('Respuestas de formulario 1'!G1381),""[^0-9]"",""""),2)=""54"",""+""&amp;REGEXREPLACE(TO_TEXT('Respuestas de formulario 1'!G1381),""[^0-9]"",""""),""+54""&amp;REGEXREPLACE(TO_TEXT('Respu"&amp;"estas de formulario 1'!G1381),""[^0-9]"","""")))"),"+543512138278")</f>
        <v>+543512138278</v>
      </c>
      <c r="H1381" s="7">
        <f>'Respuestas de formulario 1'!S1381</f>
        <v>2025</v>
      </c>
      <c r="I1381" s="7" t="str">
        <f>IFERROR(__xludf.DUMMYFUNCTION("IF('Respuestas de formulario 1'!I1381="""","""",TO_TEXT('Respuestas de formulario 1'!I1381))"),"Obra social")</f>
        <v>Obra social</v>
      </c>
      <c r="J1381" s="7" t="str">
        <f>IFERROR(__xludf.DUMMYFUNCTION("IF('Respuestas de formulario 1'!J1381&lt;&gt;"""",UPPER(TRIM(TO_TEXT('Respuestas de formulario 1'!J1381))),IF('Respuestas de formulario 1'!O1381&lt;&gt;"""",UPPER(TRIM(TO_TEXT('Respuestas de formulario 1'!O1381))),""""))"),"SWISS MEDICAL")</f>
        <v>SWISS MEDICAL</v>
      </c>
      <c r="K1381" s="7" t="str">
        <f>IFERROR(__xludf.DUMMYFUNCTION("IF('Respuestas de formulario 1'!K1381="""","""",TO_TEXT('Respuestas de formulario 1'!K1381))"),"Si")</f>
        <v>Si</v>
      </c>
      <c r="L1381" s="7" t="str">
        <f>IFERROR(__xludf.DUMMYFUNCTION("IF('Respuestas de formulario 1'!L1381="""","""",TO_TEXT('Respuestas de formulario 1'!L1381))"),"Caminata, trote ")</f>
        <v>Caminata, trote </v>
      </c>
      <c r="M1381" s="7" t="str">
        <f>IFERROR(__xludf.DUMMYFUNCTION("IF('Respuestas de formulario 1'!M1381="""","""",TO_TEXT('Respuestas de formulario 1'!M1381))"),"3 a 5 veces por semana")</f>
        <v>3 a 5 veces por semana</v>
      </c>
      <c r="N1381" s="7">
        <f t="shared" si="1"/>
        <v>2025</v>
      </c>
      <c r="O1381" s="7" t="str">
        <f t="shared" si="2"/>
        <v>diciembre</v>
      </c>
      <c r="P1381" s="7" t="s">
        <v>6874</v>
      </c>
    </row>
    <row r="1382">
      <c r="A1382" s="19">
        <f>'Respuestas de formulario 1'!A1382</f>
        <v>46020.48923</v>
      </c>
      <c r="B1382" s="7" t="str">
        <f>'Respuestas de formulario 1'!B1382</f>
        <v>CASTAÑEDA</v>
      </c>
      <c r="C1382" s="7" t="str">
        <f>'Respuestas de formulario 1'!C1382</f>
        <v>FRANCISCO </v>
      </c>
      <c r="D1382" s="7" t="str">
        <f>'Respuestas de formulario 1'!D1382</f>
        <v>fbercelone@gmail.com</v>
      </c>
      <c r="E1382" s="20">
        <f>'Respuestas de formulario 1'!E1382</f>
        <v>41064</v>
      </c>
      <c r="F1382" s="21">
        <f>'Respuestas de formulario 1'!F1382</f>
        <v>52227153</v>
      </c>
      <c r="G1382" s="7" t="str">
        <f>IFERROR(__xludf.DUMMYFUNCTION("IF('Respuestas de formulario 1'!G1382="""","""",IF(LEFT(REGEXREPLACE(TO_TEXT('Respuestas de formulario 1'!G1382),""[^0-9]"",""""),2)=""54"",""+""&amp;REGEXREPLACE(TO_TEXT('Respuestas de formulario 1'!G1382),""[^0-9]"",""""),""+54""&amp;REGEXREPLACE(TO_TEXT('Respu"&amp;"estas de formulario 1'!G1382),""[^0-9]"","""")))"),"+543517546042")</f>
        <v>+543517546042</v>
      </c>
      <c r="H1382" s="7">
        <f>'Respuestas de formulario 1'!S1382</f>
        <v>2025</v>
      </c>
      <c r="I1382" s="7" t="str">
        <f>IFERROR(__xludf.DUMMYFUNCTION("IF('Respuestas de formulario 1'!I1382="""","""",TO_TEXT('Respuestas de formulario 1'!I1382))"),"Obra social")</f>
        <v>Obra social</v>
      </c>
      <c r="J1382" s="7" t="str">
        <f>IFERROR(__xludf.DUMMYFUNCTION("IF('Respuestas de formulario 1'!J1382&lt;&gt;"""",UPPER(TRIM(TO_TEXT('Respuestas de formulario 1'!J1382))),IF('Respuestas de formulario 1'!O1382&lt;&gt;"""",UPPER(TRIM(TO_TEXT('Respuestas de formulario 1'!O1382))),""""))"),"SANCOR")</f>
        <v>SANCOR</v>
      </c>
      <c r="K1382" s="7" t="str">
        <f>IFERROR(__xludf.DUMMYFUNCTION("IF('Respuestas de formulario 1'!K1382="""","""",TO_TEXT('Respuestas de formulario 1'!K1382))"),"Si")</f>
        <v>Si</v>
      </c>
      <c r="L1382" s="7" t="str">
        <f>IFERROR(__xludf.DUMMYFUNCTION("IF('Respuestas de formulario 1'!L1382="""","""",TO_TEXT('Respuestas de formulario 1'!L1382))"),"Fútbol")</f>
        <v>Fútbol</v>
      </c>
      <c r="M1382" s="7" t="str">
        <f>IFERROR(__xludf.DUMMYFUNCTION("IF('Respuestas de formulario 1'!M1382="""","""",TO_TEXT('Respuestas de formulario 1'!M1382))"),"3 a 5 veces por semana")</f>
        <v>3 a 5 veces por semana</v>
      </c>
      <c r="N1382" s="7">
        <f t="shared" si="1"/>
        <v>2025</v>
      </c>
      <c r="O1382" s="7" t="str">
        <f t="shared" si="2"/>
        <v>diciembre</v>
      </c>
      <c r="P1382" s="7" t="s">
        <v>6876</v>
      </c>
    </row>
    <row r="1383">
      <c r="A1383" s="19">
        <f>'Respuestas de formulario 1'!A1383</f>
        <v>46020.72632</v>
      </c>
      <c r="B1383" s="7" t="str">
        <f>'Respuestas de formulario 1'!B1383</f>
        <v>MOLINA</v>
      </c>
      <c r="C1383" s="7" t="str">
        <f>'Respuestas de formulario 1'!C1383</f>
        <v>Jenifer Estefania</v>
      </c>
      <c r="D1383" s="7" t="str">
        <f>'Respuestas de formulario 1'!D1383</f>
        <v>jenifermolina390@gmail.com</v>
      </c>
      <c r="E1383" s="20">
        <f>'Respuestas de formulario 1'!E1383</f>
        <v>36354</v>
      </c>
      <c r="F1383" s="7">
        <f>'Respuestas de formulario 1'!F1383</f>
        <v>41993497</v>
      </c>
      <c r="G1383" s="7" t="str">
        <f>IFERROR(__xludf.DUMMYFUNCTION("IF('Respuestas de formulario 1'!G1383="""","""",IF(LEFT(REGEXREPLACE(TO_TEXT('Respuestas de formulario 1'!G1383),""[^0-9]"",""""),2)=""54"",""+""&amp;REGEXREPLACE(TO_TEXT('Respuestas de formulario 1'!G1383),""[^0-9]"",""""),""+54""&amp;REGEXREPLACE(TO_TEXT('Respu"&amp;"estas de formulario 1'!G1383),""[^0-9]"","""")))"),"+543513627069")</f>
        <v>+543513627069</v>
      </c>
      <c r="H1383" s="7">
        <f>'Respuestas de formulario 1'!S1383</f>
        <v>2025</v>
      </c>
      <c r="I1383" s="7" t="str">
        <f>IFERROR(__xludf.DUMMYFUNCTION("IF('Respuestas de formulario 1'!I1383="""","""",TO_TEXT('Respuestas de formulario 1'!I1383))"),"Particular")</f>
        <v>Particular</v>
      </c>
      <c r="J1383" s="7" t="str">
        <f>IFERROR(__xludf.DUMMYFUNCTION("IF('Respuestas de formulario 1'!J1383&lt;&gt;"""",UPPER(TRIM(TO_TEXT('Respuestas de formulario 1'!J1383))),IF('Respuestas de formulario 1'!O1383&lt;&gt;"""",UPPER(TRIM(TO_TEXT('Respuestas de formulario 1'!O1383))),""""))"),"")</f>
        <v/>
      </c>
      <c r="K1383" s="7" t="str">
        <f>IFERROR(__xludf.DUMMYFUNCTION("IF('Respuestas de formulario 1'!K1383="""","""",TO_TEXT('Respuestas de formulario 1'!K1383))"),"No")</f>
        <v>No</v>
      </c>
      <c r="L1383" s="7" t="str">
        <f>IFERROR(__xludf.DUMMYFUNCTION("IF('Respuestas de formulario 1'!L1383="""","""",TO_TEXT('Respuestas de formulario 1'!L1383))"),"")</f>
        <v/>
      </c>
      <c r="M1383" s="7" t="str">
        <f>IFERROR(__xludf.DUMMYFUNCTION("IF('Respuestas de formulario 1'!M1383="""","""",TO_TEXT('Respuestas de formulario 1'!M1383))"),"")</f>
        <v/>
      </c>
      <c r="N1383" s="7">
        <f t="shared" si="1"/>
        <v>2025</v>
      </c>
      <c r="O1383" s="7" t="str">
        <f t="shared" si="2"/>
        <v>diciembre</v>
      </c>
      <c r="P1383" s="7" t="s">
        <v>6878</v>
      </c>
    </row>
    <row r="1384">
      <c r="A1384" s="19">
        <f>'Respuestas de formulario 1'!A1384</f>
        <v>46021.39807</v>
      </c>
      <c r="B1384" s="7" t="str">
        <f>'Respuestas de formulario 1'!B1384</f>
        <v>Bock</v>
      </c>
      <c r="C1384" s="7" t="str">
        <f>'Respuestas de formulario 1'!C1384</f>
        <v>Ezequiel</v>
      </c>
      <c r="D1384" s="7" t="str">
        <f>'Respuestas de formulario 1'!D1384</f>
        <v>Ezequielbock@hotmail.com</v>
      </c>
      <c r="E1384" s="20">
        <f>'Respuestas de formulario 1'!E1384</f>
        <v>29557</v>
      </c>
      <c r="F1384" s="7">
        <f>'Respuestas de formulario 1'!F1384</f>
        <v>28428874</v>
      </c>
      <c r="G1384" s="7" t="str">
        <f>IFERROR(__xludf.DUMMYFUNCTION("IF('Respuestas de formulario 1'!G1384="""","""",IF(LEFT(REGEXREPLACE(TO_TEXT('Respuestas de formulario 1'!G1384),""[^0-9]"",""""),2)=""54"",""+""&amp;REGEXREPLACE(TO_TEXT('Respuestas de formulario 1'!G1384),""[^0-9]"",""""),""+54""&amp;REGEXREPLACE(TO_TEXT('Respu"&amp;"estas de formulario 1'!G1384),""[^0-9]"","""")))"),"+543512676241")</f>
        <v>+543512676241</v>
      </c>
      <c r="H1384" s="7">
        <f>'Respuestas de formulario 1'!S1384</f>
        <v>2025</v>
      </c>
      <c r="I1384" s="7" t="str">
        <f>IFERROR(__xludf.DUMMYFUNCTION("IF('Respuestas de formulario 1'!I1384="""","""",TO_TEXT('Respuestas de formulario 1'!I1384))"),"Particular")</f>
        <v>Particular</v>
      </c>
      <c r="J1384" s="7" t="str">
        <f>IFERROR(__xludf.DUMMYFUNCTION("IF('Respuestas de formulario 1'!J1384&lt;&gt;"""",UPPER(TRIM(TO_TEXT('Respuestas de formulario 1'!J1384))),IF('Respuestas de formulario 1'!O1384&lt;&gt;"""",UPPER(TRIM(TO_TEXT('Respuestas de formulario 1'!O1384))),""""))"),"")</f>
        <v/>
      </c>
      <c r="K1384" s="7" t="str">
        <f>IFERROR(__xludf.DUMMYFUNCTION("IF('Respuestas de formulario 1'!K1384="""","""",TO_TEXT('Respuestas de formulario 1'!K1384))"),"Si")</f>
        <v>Si</v>
      </c>
      <c r="L1384" s="7" t="str">
        <f>IFERROR(__xludf.DUMMYFUNCTION("IF('Respuestas de formulario 1'!L1384="""","""",TO_TEXT('Respuestas de formulario 1'!L1384))"),"Gimnasio")</f>
        <v>Gimnasio</v>
      </c>
      <c r="M1384" s="7" t="str">
        <f>IFERROR(__xludf.DUMMYFUNCTION("IF('Respuestas de formulario 1'!M1384="""","""",TO_TEXT('Respuestas de formulario 1'!M1384))"),"3 a 5 veces por semana")</f>
        <v>3 a 5 veces por semana</v>
      </c>
      <c r="N1384" s="7">
        <f t="shared" si="1"/>
        <v>2025</v>
      </c>
      <c r="O1384" s="7" t="str">
        <f t="shared" si="2"/>
        <v>diciembre</v>
      </c>
      <c r="P1384" s="7" t="s">
        <v>6880</v>
      </c>
    </row>
    <row r="1385">
      <c r="A1385" s="19">
        <f>'Respuestas de formulario 1'!A1385</f>
        <v>46021.50516</v>
      </c>
      <c r="B1385" s="7" t="str">
        <f>'Respuestas de formulario 1'!B1385</f>
        <v>Graffi</v>
      </c>
      <c r="C1385" s="7" t="str">
        <f>'Respuestas de formulario 1'!C1385</f>
        <v>Daniel </v>
      </c>
      <c r="D1385" s="7" t="str">
        <f>'Respuestas de formulario 1'!D1385</f>
        <v>Danielgraffi@hotmail.com</v>
      </c>
      <c r="E1385" s="20">
        <f>'Respuestas de formulario 1'!E1385</f>
        <v>45993</v>
      </c>
      <c r="F1385" s="7">
        <f>'Respuestas de formulario 1'!F1385</f>
        <v>20621958</v>
      </c>
      <c r="G1385" s="7" t="str">
        <f>IFERROR(__xludf.DUMMYFUNCTION("IF('Respuestas de formulario 1'!G1385="""","""",IF(LEFT(REGEXREPLACE(TO_TEXT('Respuestas de formulario 1'!G1385),""[^0-9]"",""""),2)=""54"",""+""&amp;REGEXREPLACE(TO_TEXT('Respuestas de formulario 1'!G1385),""[^0-9]"",""""),""+54""&amp;REGEXREPLACE(TO_TEXT('Respu"&amp;"estas de formulario 1'!G1385),""[^0-9]"","""")))"),"+543512083686")</f>
        <v>+543512083686</v>
      </c>
      <c r="H1385" s="7">
        <f>'Respuestas de formulario 1'!S1385</f>
        <v>2025</v>
      </c>
      <c r="I1385" s="7" t="str">
        <f>IFERROR(__xludf.DUMMYFUNCTION("IF('Respuestas de formulario 1'!I1385="""","""",TO_TEXT('Respuestas de formulario 1'!I1385))"),"Obra social")</f>
        <v>Obra social</v>
      </c>
      <c r="J1385" s="7" t="str">
        <f>IFERROR(__xludf.DUMMYFUNCTION("IF('Respuestas de formulario 1'!J1385&lt;&gt;"""",UPPER(TRIM(TO_TEXT('Respuestas de formulario 1'!J1385))),IF('Respuestas de formulario 1'!O1385&lt;&gt;"""",UPPER(TRIM(TO_TEXT('Respuestas de formulario 1'!O1385))),""""))"),"APROSS")</f>
        <v>APROSS</v>
      </c>
      <c r="K1385" s="7" t="str">
        <f>IFERROR(__xludf.DUMMYFUNCTION("IF('Respuestas de formulario 1'!K1385="""","""",TO_TEXT('Respuestas de formulario 1'!K1385))"),"Si")</f>
        <v>Si</v>
      </c>
      <c r="L1385" s="7" t="str">
        <f>IFERROR(__xludf.DUMMYFUNCTION("IF('Respuestas de formulario 1'!L1385="""","""",TO_TEXT('Respuestas de formulario 1'!L1385))"),"Gimnasio")</f>
        <v>Gimnasio</v>
      </c>
      <c r="M1385" s="7" t="str">
        <f>IFERROR(__xludf.DUMMYFUNCTION("IF('Respuestas de formulario 1'!M1385="""","""",TO_TEXT('Respuestas de formulario 1'!M1385))"),"1 a 2 veces por semana")</f>
        <v>1 a 2 veces por semana</v>
      </c>
      <c r="N1385" s="7">
        <f t="shared" si="1"/>
        <v>2025</v>
      </c>
      <c r="O1385" s="7" t="str">
        <f t="shared" si="2"/>
        <v>diciembre</v>
      </c>
      <c r="P1385" s="7" t="s">
        <v>6882</v>
      </c>
    </row>
    <row r="1386">
      <c r="A1386" s="19">
        <f>'Respuestas de formulario 1'!A1386</f>
        <v>46021.71239</v>
      </c>
      <c r="B1386" s="7" t="str">
        <f>'Respuestas de formulario 1'!B1386</f>
        <v>Bravo</v>
      </c>
      <c r="C1386" s="7" t="str">
        <f>'Respuestas de formulario 1'!C1386</f>
        <v>Santiago</v>
      </c>
      <c r="D1386" s="7" t="str">
        <f>'Respuestas de formulario 1'!D1386</f>
        <v>santiagobravo1983@gmail.com</v>
      </c>
      <c r="E1386" s="20">
        <f>'Respuestas de formulario 1'!E1386</f>
        <v>30538</v>
      </c>
      <c r="F1386" s="7">
        <f>'Respuestas de formulario 1'!F1386</f>
        <v>30290259</v>
      </c>
      <c r="G1386" s="7" t="str">
        <f>IFERROR(__xludf.DUMMYFUNCTION("IF('Respuestas de formulario 1'!G1386="""","""",IF(LEFT(REGEXREPLACE(TO_TEXT('Respuestas de formulario 1'!G1386),""[^0-9]"",""""),2)=""54"",""+""&amp;REGEXREPLACE(TO_TEXT('Respuestas de formulario 1'!G1386),""[^0-9]"",""""),""+54""&amp;REGEXREPLACE(TO_TEXT('Respu"&amp;"estas de formulario 1'!G1386),""[^0-9]"","""")))"),"+543516222035")</f>
        <v>+543516222035</v>
      </c>
      <c r="H1386" s="7">
        <f>'Respuestas de formulario 1'!S1386</f>
        <v>2025</v>
      </c>
      <c r="I1386" s="7" t="str">
        <f>IFERROR(__xludf.DUMMYFUNCTION("IF('Respuestas de formulario 1'!I1386="""","""",TO_TEXT('Respuestas de formulario 1'!I1386))"),"Particular")</f>
        <v>Particular</v>
      </c>
      <c r="J1386" s="7" t="str">
        <f>IFERROR(__xludf.DUMMYFUNCTION("IF('Respuestas de formulario 1'!J1386&lt;&gt;"""",UPPER(TRIM(TO_TEXT('Respuestas de formulario 1'!J1386))),IF('Respuestas de formulario 1'!O1386&lt;&gt;"""",UPPER(TRIM(TO_TEXT('Respuestas de formulario 1'!O1386))),""""))"),"")</f>
        <v/>
      </c>
      <c r="K1386" s="7" t="str">
        <f>IFERROR(__xludf.DUMMYFUNCTION("IF('Respuestas de formulario 1'!K1386="""","""",TO_TEXT('Respuestas de formulario 1'!K1386))"),"Si")</f>
        <v>Si</v>
      </c>
      <c r="L1386" s="7" t="str">
        <f>IFERROR(__xludf.DUMMYFUNCTION("IF('Respuestas de formulario 1'!L1386="""","""",TO_TEXT('Respuestas de formulario 1'!L1386))"),"Gimnasio+padel")</f>
        <v>Gimnasio+padel</v>
      </c>
      <c r="M1386" s="7" t="str">
        <f>IFERROR(__xludf.DUMMYFUNCTION("IF('Respuestas de formulario 1'!M1386="""","""",TO_TEXT('Respuestas de formulario 1'!M1386))"),"3 a 5 veces por semana")</f>
        <v>3 a 5 veces por semana</v>
      </c>
      <c r="N1386" s="7">
        <f t="shared" si="1"/>
        <v>2025</v>
      </c>
      <c r="O1386" s="7" t="str">
        <f t="shared" si="2"/>
        <v>diciembre</v>
      </c>
      <c r="P1386" s="7" t="s">
        <v>6884</v>
      </c>
    </row>
    <row r="1387">
      <c r="A1387" s="19">
        <f>'Respuestas de formulario 1'!A1387</f>
        <v>46021.80106</v>
      </c>
      <c r="B1387" s="7" t="str">
        <f>'Respuestas de formulario 1'!B1387</f>
        <v>MORENO </v>
      </c>
      <c r="C1387" s="7" t="str">
        <f>'Respuestas de formulario 1'!C1387</f>
        <v>JAVIER </v>
      </c>
      <c r="D1387" s="7" t="str">
        <f>'Respuestas de formulario 1'!D1387</f>
        <v>umayuriel@gmail.com</v>
      </c>
      <c r="E1387" s="20">
        <f>'Respuestas de formulario 1'!E1387</f>
        <v>29392</v>
      </c>
      <c r="F1387" s="7">
        <f>'Respuestas de formulario 1'!F1387</f>
        <v>28270389</v>
      </c>
      <c r="G1387" s="7" t="str">
        <f>IFERROR(__xludf.DUMMYFUNCTION("IF('Respuestas de formulario 1'!G1387="""","""",IF(LEFT(REGEXREPLACE(TO_TEXT('Respuestas de formulario 1'!G1387),""[^0-9]"",""""),2)=""54"",""+""&amp;REGEXREPLACE(TO_TEXT('Respuestas de formulario 1'!G1387),""[^0-9]"",""""),""+54""&amp;REGEXREPLACE(TO_TEXT('Respu"&amp;"estas de formulario 1'!G1387),""[^0-9]"","""")))"),"+543516310817")</f>
        <v>+543516310817</v>
      </c>
      <c r="H1387" s="7">
        <f>'Respuestas de formulario 1'!S1387</f>
        <v>2025</v>
      </c>
      <c r="I1387" s="7" t="str">
        <f>IFERROR(__xludf.DUMMYFUNCTION("IF('Respuestas de formulario 1'!I1387="""","""",TO_TEXT('Respuestas de formulario 1'!I1387))"),"Obra social")</f>
        <v>Obra social</v>
      </c>
      <c r="J1387" s="7" t="str">
        <f>IFERROR(__xludf.DUMMYFUNCTION("IF('Respuestas de formulario 1'!J1387&lt;&gt;"""",UPPER(TRIM(TO_TEXT('Respuestas de formulario 1'!J1387))),IF('Respuestas de formulario 1'!O1387&lt;&gt;"""",UPPER(TRIM(TO_TEXT('Respuestas de formulario 1'!O1387))),""""))"),"PREVENCIÓN")</f>
        <v>PREVENCIÓN</v>
      </c>
      <c r="K1387" s="7" t="str">
        <f>IFERROR(__xludf.DUMMYFUNCTION("IF('Respuestas de formulario 1'!K1387="""","""",TO_TEXT('Respuestas de formulario 1'!K1387))"),"No")</f>
        <v>No</v>
      </c>
      <c r="L1387" s="7" t="str">
        <f>IFERROR(__xludf.DUMMYFUNCTION("IF('Respuestas de formulario 1'!L1387="""","""",TO_TEXT('Respuestas de formulario 1'!L1387))"),"")</f>
        <v/>
      </c>
      <c r="M1387" s="7" t="str">
        <f>IFERROR(__xludf.DUMMYFUNCTION("IF('Respuestas de formulario 1'!M1387="""","""",TO_TEXT('Respuestas de formulario 1'!M1387))"),"")</f>
        <v/>
      </c>
      <c r="N1387" s="7">
        <f t="shared" si="1"/>
        <v>2025</v>
      </c>
      <c r="O1387" s="7" t="str">
        <f t="shared" si="2"/>
        <v>diciembre</v>
      </c>
      <c r="P1387" s="7" t="s">
        <v>6886</v>
      </c>
    </row>
    <row r="1388">
      <c r="A1388" s="19">
        <f>'Respuestas de formulario 1'!A1388</f>
        <v>46024.47668</v>
      </c>
      <c r="B1388" s="7" t="str">
        <f>'Respuestas de formulario 1'!B1388</f>
        <v>Baudino</v>
      </c>
      <c r="C1388" s="7" t="str">
        <f>'Respuestas de formulario 1'!C1388</f>
        <v>Maria Cecilia</v>
      </c>
      <c r="D1388" s="7" t="str">
        <f>'Respuestas de formulario 1'!D1388</f>
        <v>ceci_baudino@hotmail.com</v>
      </c>
      <c r="E1388" s="20">
        <f>'Respuestas de formulario 1'!E1388</f>
        <v>22856</v>
      </c>
      <c r="F1388" s="7">
        <f>'Respuestas de formulario 1'!F1388</f>
        <v>14847085</v>
      </c>
      <c r="G1388" s="7" t="str">
        <f>IFERROR(__xludf.DUMMYFUNCTION("IF('Respuestas de formulario 1'!G1388="""","""",IF(LEFT(REGEXREPLACE(TO_TEXT('Respuestas de formulario 1'!G1388),""[^0-9]"",""""),2)=""54"",""+""&amp;REGEXREPLACE(TO_TEXT('Respuestas de formulario 1'!G1388),""[^0-9]"",""""),""+54""&amp;REGEXREPLACE(TO_TEXT('Respu"&amp;"estas de formulario 1'!G1388),""[^0-9]"","""")))"),"+543516622771")</f>
        <v>+543516622771</v>
      </c>
      <c r="H1388" s="7">
        <f>'Respuestas de formulario 1'!S1388</f>
        <v>2026</v>
      </c>
      <c r="I1388" s="7" t="str">
        <f>IFERROR(__xludf.DUMMYFUNCTION("IF('Respuestas de formulario 1'!I1388="""","""",TO_TEXT('Respuestas de formulario 1'!I1388))"),"Obra social")</f>
        <v>Obra social</v>
      </c>
      <c r="J1388" s="7" t="str">
        <f>IFERROR(__xludf.DUMMYFUNCTION("IF('Respuestas de formulario 1'!J1388&lt;&gt;"""",UPPER(TRIM(TO_TEXT('Respuestas de formulario 1'!J1388))),IF('Respuestas de formulario 1'!O1388&lt;&gt;"""",UPPER(TRIM(TO_TEXT('Respuestas de formulario 1'!O1388))),""""))"),"SANCOR")</f>
        <v>SANCOR</v>
      </c>
      <c r="K1388" s="7" t="str">
        <f>IFERROR(__xludf.DUMMYFUNCTION("IF('Respuestas de formulario 1'!K1388="""","""",TO_TEXT('Respuestas de formulario 1'!K1388))"),"Si")</f>
        <v>Si</v>
      </c>
      <c r="L1388" s="7" t="str">
        <f>IFERROR(__xludf.DUMMYFUNCTION("IF('Respuestas de formulario 1'!L1388="""","""",TO_TEXT('Respuestas de formulario 1'!L1388))"),"Ejercicio de fuerza+bici+yoga")</f>
        <v>Ejercicio de fuerza+bici+yoga</v>
      </c>
      <c r="M1388" s="7" t="str">
        <f>IFERROR(__xludf.DUMMYFUNCTION("IF('Respuestas de formulario 1'!M1388="""","""",TO_TEXT('Respuestas de formulario 1'!M1388))"),"3 a 5 veces por semana")</f>
        <v>3 a 5 veces por semana</v>
      </c>
      <c r="N1388" s="7">
        <f t="shared" si="1"/>
        <v>2026</v>
      </c>
      <c r="O1388" s="7" t="str">
        <f t="shared" si="2"/>
        <v>enero</v>
      </c>
      <c r="P1388" s="7" t="s">
        <v>6888</v>
      </c>
    </row>
    <row r="1389">
      <c r="A1389" s="19">
        <f>'Respuestas de formulario 1'!A1389</f>
        <v>46027.42638</v>
      </c>
      <c r="B1389" s="7" t="str">
        <f>'Respuestas de formulario 1'!B1389</f>
        <v>Gonzalez</v>
      </c>
      <c r="C1389" s="7" t="str">
        <f>'Respuestas de formulario 1'!C1389</f>
        <v>Gerardo</v>
      </c>
      <c r="D1389" s="7" t="str">
        <f>'Respuestas de formulario 1'!D1389</f>
        <v>gerardogonzalez_cba@hotmail.com</v>
      </c>
      <c r="E1389" s="20">
        <f>'Respuestas de formulario 1'!E1389</f>
        <v>31903</v>
      </c>
      <c r="F1389" s="7">
        <f>'Respuestas de formulario 1'!F1389</f>
        <v>32925800</v>
      </c>
      <c r="G1389" s="7" t="str">
        <f>IFERROR(__xludf.DUMMYFUNCTION("IF('Respuestas de formulario 1'!G1389="""","""",IF(LEFT(REGEXREPLACE(TO_TEXT('Respuestas de formulario 1'!G1389),""[^0-9]"",""""),2)=""54"",""+""&amp;REGEXREPLACE(TO_TEXT('Respuestas de formulario 1'!G1389),""[^0-9]"",""""),""+54""&amp;REGEXREPLACE(TO_TEXT('Respu"&amp;"estas de formulario 1'!G1389),""[^0-9]"","""")))"),"+543518145527")</f>
        <v>+543518145527</v>
      </c>
      <c r="H1389" s="7">
        <f>'Respuestas de formulario 1'!S1389</f>
        <v>2026</v>
      </c>
      <c r="I1389" s="7" t="str">
        <f>IFERROR(__xludf.DUMMYFUNCTION("IF('Respuestas de formulario 1'!I1389="""","""",TO_TEXT('Respuestas de formulario 1'!I1389))"),"Obra social")</f>
        <v>Obra social</v>
      </c>
      <c r="J1389" s="7" t="str">
        <f>IFERROR(__xludf.DUMMYFUNCTION("IF('Respuestas de formulario 1'!J1389&lt;&gt;"""",UPPER(TRIM(TO_TEXT('Respuestas de formulario 1'!J1389))),IF('Respuestas de formulario 1'!O1389&lt;&gt;"""",UPPER(TRIM(TO_TEXT('Respuestas de formulario 1'!O1389))),""""))"),"CAJA DE ABOGADOS")</f>
        <v>CAJA DE ABOGADOS</v>
      </c>
      <c r="K1389" s="7" t="str">
        <f>IFERROR(__xludf.DUMMYFUNCTION("IF('Respuestas de formulario 1'!K1389="""","""",TO_TEXT('Respuestas de formulario 1'!K1389))"),"Si")</f>
        <v>Si</v>
      </c>
      <c r="L1389" s="7" t="str">
        <f>IFERROR(__xludf.DUMMYFUNCTION("IF('Respuestas de formulario 1'!L1389="""","""",TO_TEXT('Respuestas de formulario 1'!L1389))"),"Gimnasio")</f>
        <v>Gimnasio</v>
      </c>
      <c r="M1389" s="7" t="str">
        <f>IFERROR(__xludf.DUMMYFUNCTION("IF('Respuestas de formulario 1'!M1389="""","""",TO_TEXT('Respuestas de formulario 1'!M1389))"),"3 a 5 veces por semana")</f>
        <v>3 a 5 veces por semana</v>
      </c>
      <c r="N1389" s="7">
        <f t="shared" si="1"/>
        <v>2026</v>
      </c>
      <c r="O1389" s="7" t="str">
        <f t="shared" si="2"/>
        <v>enero</v>
      </c>
      <c r="P1389" s="7" t="s">
        <v>6890</v>
      </c>
    </row>
    <row r="1390">
      <c r="A1390" s="19">
        <f>'Respuestas de formulario 1'!A1390</f>
        <v>46027.43185</v>
      </c>
      <c r="B1390" s="7" t="str">
        <f>'Respuestas de formulario 1'!B1390</f>
        <v>Sliva</v>
      </c>
      <c r="C1390" s="7" t="str">
        <f>'Respuestas de formulario 1'!C1390</f>
        <v>Betina</v>
      </c>
      <c r="D1390" s="7" t="str">
        <f>'Respuestas de formulario 1'!D1390</f>
        <v>betinasliva@hotmail.com</v>
      </c>
      <c r="E1390" s="20">
        <f>'Respuestas de formulario 1'!E1390</f>
        <v>24081</v>
      </c>
      <c r="F1390" s="7">
        <f>'Respuestas de formulario 1'!F1390</f>
        <v>17628496</v>
      </c>
      <c r="G1390" s="7" t="str">
        <f>IFERROR(__xludf.DUMMYFUNCTION("IF('Respuestas de formulario 1'!G1390="""","""",IF(LEFT(REGEXREPLACE(TO_TEXT('Respuestas de formulario 1'!G1390),""[^0-9]"",""""),2)=""54"",""+""&amp;REGEXREPLACE(TO_TEXT('Respuestas de formulario 1'!G1390),""[^0-9]"",""""),""+54""&amp;REGEXREPLACE(TO_TEXT('Respu"&amp;"estas de formulario 1'!G1390),""[^0-9]"","""")))"),"+543517680726")</f>
        <v>+543517680726</v>
      </c>
      <c r="H1390" s="7">
        <f>'Respuestas de formulario 1'!S1390</f>
        <v>2026</v>
      </c>
      <c r="I1390" s="7" t="str">
        <f>IFERROR(__xludf.DUMMYFUNCTION("IF('Respuestas de formulario 1'!I1390="""","""",TO_TEXT('Respuestas de formulario 1'!I1390))"),"Particular")</f>
        <v>Particular</v>
      </c>
      <c r="J1390" s="7" t="str">
        <f>IFERROR(__xludf.DUMMYFUNCTION("IF('Respuestas de formulario 1'!J1390&lt;&gt;"""",UPPER(TRIM(TO_TEXT('Respuestas de formulario 1'!J1390))),IF('Respuestas de formulario 1'!O1390&lt;&gt;"""",UPPER(TRIM(TO_TEXT('Respuestas de formulario 1'!O1390))),""""))"),"")</f>
        <v/>
      </c>
      <c r="K1390" s="7" t="str">
        <f>IFERROR(__xludf.DUMMYFUNCTION("IF('Respuestas de formulario 1'!K1390="""","""",TO_TEXT('Respuestas de formulario 1'!K1390))"),"Si")</f>
        <v>Si</v>
      </c>
      <c r="L1390" s="7" t="str">
        <f>IFERROR(__xludf.DUMMYFUNCTION("IF('Respuestas de formulario 1'!L1390="""","""",TO_TEXT('Respuestas de formulario 1'!L1390))"),"Entrenamiento+Padel")</f>
        <v>Entrenamiento+Padel</v>
      </c>
      <c r="M1390" s="7" t="str">
        <f>IFERROR(__xludf.DUMMYFUNCTION("IF('Respuestas de formulario 1'!M1390="""","""",TO_TEXT('Respuestas de formulario 1'!M1390))"),"6 a 7 veces por semana")</f>
        <v>6 a 7 veces por semana</v>
      </c>
      <c r="N1390" s="7">
        <f t="shared" si="1"/>
        <v>2026</v>
      </c>
      <c r="O1390" s="7" t="str">
        <f t="shared" si="2"/>
        <v>enero</v>
      </c>
      <c r="P1390" s="7" t="s">
        <v>6892</v>
      </c>
    </row>
    <row r="1391">
      <c r="A1391" s="19">
        <f>'Respuestas de formulario 1'!A1391</f>
        <v>46027.84115</v>
      </c>
      <c r="B1391" s="7" t="str">
        <f>'Respuestas de formulario 1'!B1391</f>
        <v>Scherman</v>
      </c>
      <c r="C1391" s="7" t="str">
        <f>'Respuestas de formulario 1'!C1391</f>
        <v>Daniel</v>
      </c>
      <c r="D1391" s="7" t="str">
        <f>'Respuestas de formulario 1'!D1391</f>
        <v>crscherman@gmail.com</v>
      </c>
      <c r="E1391" s="20">
        <f>'Respuestas de formulario 1'!E1391</f>
        <v>25537</v>
      </c>
      <c r="F1391" s="7">
        <f>'Respuestas de formulario 1'!F1391</f>
        <v>21392007</v>
      </c>
      <c r="G1391" s="7" t="str">
        <f>IFERROR(__xludf.DUMMYFUNCTION("IF('Respuestas de formulario 1'!G1391="""","""",IF(LEFT(REGEXREPLACE(TO_TEXT('Respuestas de formulario 1'!G1391),""[^0-9]"",""""),2)=""54"",""+""&amp;REGEXREPLACE(TO_TEXT('Respuestas de formulario 1'!G1391),""[^0-9]"",""""),""+54""&amp;REGEXREPLACE(TO_TEXT('Respu"&amp;"estas de formulario 1'!G1391),""[^0-9]"","""")))"),"+543516702023")</f>
        <v>+543516702023</v>
      </c>
      <c r="H1391" s="7">
        <f>'Respuestas de formulario 1'!S1391</f>
        <v>2026</v>
      </c>
      <c r="I1391" s="7" t="str">
        <f>IFERROR(__xludf.DUMMYFUNCTION("IF('Respuestas de formulario 1'!I1391="""","""",TO_TEXT('Respuestas de formulario 1'!I1391))"),"Particular")</f>
        <v>Particular</v>
      </c>
      <c r="J1391" s="7" t="str">
        <f>IFERROR(__xludf.DUMMYFUNCTION("IF('Respuestas de formulario 1'!J1391&lt;&gt;"""",UPPER(TRIM(TO_TEXT('Respuestas de formulario 1'!J1391))),IF('Respuestas de formulario 1'!O1391&lt;&gt;"""",UPPER(TRIM(TO_TEXT('Respuestas de formulario 1'!O1391))),""""))"),"")</f>
        <v/>
      </c>
      <c r="K1391" s="7" t="str">
        <f>IFERROR(__xludf.DUMMYFUNCTION("IF('Respuestas de formulario 1'!K1391="""","""",TO_TEXT('Respuestas de formulario 1'!K1391))"),"Si")</f>
        <v>Si</v>
      </c>
      <c r="L1391" s="7" t="str">
        <f>IFERROR(__xludf.DUMMYFUNCTION("IF('Respuestas de formulario 1'!L1391="""","""",TO_TEXT('Respuestas de formulario 1'!L1391))"),"Golf")</f>
        <v>Golf</v>
      </c>
      <c r="M1391" s="7" t="str">
        <f>IFERROR(__xludf.DUMMYFUNCTION("IF('Respuestas de formulario 1'!M1391="""","""",TO_TEXT('Respuestas de formulario 1'!M1391))"),"1 a 2 veces por semana")</f>
        <v>1 a 2 veces por semana</v>
      </c>
      <c r="N1391" s="7">
        <f t="shared" si="1"/>
        <v>2026</v>
      </c>
      <c r="O1391" s="7" t="str">
        <f t="shared" si="2"/>
        <v>enero</v>
      </c>
      <c r="P1391" s="7" t="s">
        <v>6894</v>
      </c>
    </row>
    <row r="1392">
      <c r="A1392" s="19">
        <f>'Respuestas de formulario 1'!A1392</f>
        <v>46027.8733</v>
      </c>
      <c r="B1392" s="7" t="str">
        <f>'Respuestas de formulario 1'!B1392</f>
        <v>Huespe</v>
      </c>
      <c r="C1392" s="7" t="str">
        <f>'Respuestas de formulario 1'!C1392</f>
        <v>Francisco</v>
      </c>
      <c r="D1392" s="7" t="str">
        <f>'Respuestas de formulario 1'!D1392</f>
        <v>franhuespe@gmail.com</v>
      </c>
      <c r="E1392" s="20">
        <f>'Respuestas de formulario 1'!E1392</f>
        <v>36416</v>
      </c>
      <c r="F1392" s="7">
        <f>'Respuestas de formulario 1'!F1392</f>
        <v>42159912</v>
      </c>
      <c r="G1392" s="7" t="str">
        <f>IFERROR(__xludf.DUMMYFUNCTION("IF('Respuestas de formulario 1'!G1392="""","""",IF(LEFT(REGEXREPLACE(TO_TEXT('Respuestas de formulario 1'!G1392),""[^0-9]"",""""),2)=""54"",""+""&amp;REGEXREPLACE(TO_TEXT('Respuestas de formulario 1'!G1392),""[^0-9]"",""""),""+54""&amp;REGEXREPLACE(TO_TEXT('Respu"&amp;"estas de formulario 1'!G1392),""[^0-9]"","""")))"),"+543517663054")</f>
        <v>+543517663054</v>
      </c>
      <c r="H1392" s="7">
        <f>'Respuestas de formulario 1'!S1392</f>
        <v>2026</v>
      </c>
      <c r="I1392" s="7" t="str">
        <f>IFERROR(__xludf.DUMMYFUNCTION("IF('Respuestas de formulario 1'!I1392="""","""",TO_TEXT('Respuestas de formulario 1'!I1392))"),"Particular")</f>
        <v>Particular</v>
      </c>
      <c r="J1392" s="7" t="str">
        <f>IFERROR(__xludf.DUMMYFUNCTION("IF('Respuestas de formulario 1'!J1392&lt;&gt;"""",UPPER(TRIM(TO_TEXT('Respuestas de formulario 1'!J1392))),IF('Respuestas de formulario 1'!O1392&lt;&gt;"""",UPPER(TRIM(TO_TEXT('Respuestas de formulario 1'!O1392))),""""))"),"")</f>
        <v/>
      </c>
      <c r="K1392" s="7" t="str">
        <f>IFERROR(__xludf.DUMMYFUNCTION("IF('Respuestas de formulario 1'!K1392="""","""",TO_TEXT('Respuestas de formulario 1'!K1392))"),"Si")</f>
        <v>Si</v>
      </c>
      <c r="L1392" s="7" t="str">
        <f>IFERROR(__xludf.DUMMYFUNCTION("IF('Respuestas de formulario 1'!L1392="""","""",TO_TEXT('Respuestas de formulario 1'!L1392))"),"Crossfit/padel")</f>
        <v>Crossfit/padel</v>
      </c>
      <c r="M1392" s="7" t="str">
        <f>IFERROR(__xludf.DUMMYFUNCTION("IF('Respuestas de formulario 1'!M1392="""","""",TO_TEXT('Respuestas de formulario 1'!M1392))"),"6 a 7 veces por semana")</f>
        <v>6 a 7 veces por semana</v>
      </c>
      <c r="N1392" s="7">
        <f t="shared" si="1"/>
        <v>2026</v>
      </c>
      <c r="O1392" s="7" t="str">
        <f t="shared" si="2"/>
        <v>enero</v>
      </c>
      <c r="P1392" s="7" t="s">
        <v>6896</v>
      </c>
    </row>
    <row r="1393">
      <c r="A1393" s="19">
        <f>'Respuestas de formulario 1'!A1393</f>
        <v>46029.49556</v>
      </c>
      <c r="B1393" s="7" t="str">
        <f>'Respuestas de formulario 1'!B1393</f>
        <v>Arguello </v>
      </c>
      <c r="C1393" s="7" t="str">
        <f>'Respuestas de formulario 1'!C1393</f>
        <v>Iván </v>
      </c>
      <c r="D1393" s="7" t="str">
        <f>'Respuestas de formulario 1'!D1393</f>
        <v>arguelloivan022@gmail.com</v>
      </c>
      <c r="E1393" s="20">
        <f>'Respuestas de formulario 1'!E1393</f>
        <v>46029</v>
      </c>
      <c r="F1393" s="7">
        <f>'Respuestas de formulario 1'!F1393</f>
        <v>30332168</v>
      </c>
      <c r="G1393" s="7" t="str">
        <f>IFERROR(__xludf.DUMMYFUNCTION("IF('Respuestas de formulario 1'!G1393="""","""",IF(LEFT(REGEXREPLACE(TO_TEXT('Respuestas de formulario 1'!G1393),""[^0-9]"",""""),2)=""54"",""+""&amp;REGEXREPLACE(TO_TEXT('Respuestas de formulario 1'!G1393),""[^0-9]"",""""),""+54""&amp;REGEXREPLACE(TO_TEXT('Respu"&amp;"estas de formulario 1'!G1393),""[^0-9]"","""")))"),"+543512023475")</f>
        <v>+543512023475</v>
      </c>
      <c r="H1393" s="7">
        <f>'Respuestas de formulario 1'!S1393</f>
        <v>2026</v>
      </c>
      <c r="I1393" s="7" t="str">
        <f>IFERROR(__xludf.DUMMYFUNCTION("IF('Respuestas de formulario 1'!I1393="""","""",TO_TEXT('Respuestas de formulario 1'!I1393))"),"Obra social")</f>
        <v>Obra social</v>
      </c>
      <c r="J1393" s="7" t="str">
        <f>IFERROR(__xludf.DUMMYFUNCTION("IF('Respuestas de formulario 1'!J1393&lt;&gt;"""",UPPER(TRIM(TO_TEXT('Respuestas de formulario 1'!J1393))),IF('Respuestas de formulario 1'!O1393&lt;&gt;"""",UPPER(TRIM(TO_TEXT('Respuestas de formulario 1'!O1393))),""""))"),"APROSS")</f>
        <v>APROSS</v>
      </c>
      <c r="K1393" s="7" t="str">
        <f>IFERROR(__xludf.DUMMYFUNCTION("IF('Respuestas de formulario 1'!K1393="""","""",TO_TEXT('Respuestas de formulario 1'!K1393))"),"Si")</f>
        <v>Si</v>
      </c>
      <c r="L1393" s="7" t="str">
        <f>IFERROR(__xludf.DUMMYFUNCTION("IF('Respuestas de formulario 1'!L1393="""","""",TO_TEXT('Respuestas de formulario 1'!L1393))"),"Fútbol")</f>
        <v>Fútbol</v>
      </c>
      <c r="M1393" s="7" t="str">
        <f>IFERROR(__xludf.DUMMYFUNCTION("IF('Respuestas de formulario 1'!M1393="""","""",TO_TEXT('Respuestas de formulario 1'!M1393))"),"1 a 2 veces por semana")</f>
        <v>1 a 2 veces por semana</v>
      </c>
      <c r="N1393" s="7">
        <f t="shared" si="1"/>
        <v>2026</v>
      </c>
      <c r="O1393" s="7" t="str">
        <f t="shared" si="2"/>
        <v>enero</v>
      </c>
      <c r="P1393" s="7" t="s">
        <v>6898</v>
      </c>
    </row>
    <row r="1394">
      <c r="A1394" s="19">
        <f>'Respuestas de formulario 1'!A1394</f>
        <v>46029.73117</v>
      </c>
      <c r="B1394" s="7" t="str">
        <f>'Respuestas de formulario 1'!B1394</f>
        <v>Petri</v>
      </c>
      <c r="C1394" s="7" t="str">
        <f>'Respuestas de formulario 1'!C1394</f>
        <v>Facundo</v>
      </c>
      <c r="D1394" s="7" t="str">
        <f>'Respuestas de formulario 1'!D1394</f>
        <v>facundopetri@gmail.com</v>
      </c>
      <c r="E1394" s="20">
        <f>'Respuestas de formulario 1'!E1394</f>
        <v>36300</v>
      </c>
      <c r="F1394" s="7">
        <f>'Respuestas de formulario 1'!F1394</f>
        <v>41887486</v>
      </c>
      <c r="G1394" s="7" t="str">
        <f>IFERROR(__xludf.DUMMYFUNCTION("IF('Respuestas de formulario 1'!G1394="""","""",IF(LEFT(REGEXREPLACE(TO_TEXT('Respuestas de formulario 1'!G1394),""[^0-9]"",""""),2)=""54"",""+""&amp;REGEXREPLACE(TO_TEXT('Respuestas de formulario 1'!G1394),""[^0-9]"",""""),""+54""&amp;REGEXREPLACE(TO_TEXT('Respu"&amp;"estas de formulario 1'!G1394),""[^0-9]"","""")))"),"+543515299725")</f>
        <v>+543515299725</v>
      </c>
      <c r="H1394" s="7">
        <f>'Respuestas de formulario 1'!S1394</f>
        <v>2026</v>
      </c>
      <c r="I1394" s="7" t="str">
        <f>IFERROR(__xludf.DUMMYFUNCTION("IF('Respuestas de formulario 1'!I1394="""","""",TO_TEXT('Respuestas de formulario 1'!I1394))"),"Obra social")</f>
        <v>Obra social</v>
      </c>
      <c r="J1394" s="7" t="str">
        <f>IFERROR(__xludf.DUMMYFUNCTION("IF('Respuestas de formulario 1'!J1394&lt;&gt;"""",UPPER(TRIM(TO_TEXT('Respuestas de formulario 1'!J1394))),IF('Respuestas de formulario 1'!O1394&lt;&gt;"""",UPPER(TRIM(TO_TEXT('Respuestas de formulario 1'!O1394))),""""))"),"OSDE")</f>
        <v>OSDE</v>
      </c>
      <c r="K1394" s="7" t="str">
        <f>IFERROR(__xludf.DUMMYFUNCTION("IF('Respuestas de formulario 1'!K1394="""","""",TO_TEXT('Respuestas de formulario 1'!K1394))"),"Si")</f>
        <v>Si</v>
      </c>
      <c r="L1394" s="7" t="str">
        <f>IFERROR(__xludf.DUMMYFUNCTION("IF('Respuestas de formulario 1'!L1394="""","""",TO_TEXT('Respuestas de formulario 1'!L1394))"),"Gimnasio+Futbol")</f>
        <v>Gimnasio+Futbol</v>
      </c>
      <c r="M1394" s="7" t="str">
        <f>IFERROR(__xludf.DUMMYFUNCTION("IF('Respuestas de formulario 1'!M1394="""","""",TO_TEXT('Respuestas de formulario 1'!M1394))"),"3 a 5 veces por semana")</f>
        <v>3 a 5 veces por semana</v>
      </c>
      <c r="N1394" s="7">
        <f t="shared" si="1"/>
        <v>2026</v>
      </c>
      <c r="O1394" s="7" t="str">
        <f t="shared" si="2"/>
        <v>enero</v>
      </c>
      <c r="P1394" s="7" t="s">
        <v>6900</v>
      </c>
    </row>
    <row r="1395">
      <c r="A1395" s="19">
        <f>'Respuestas de formulario 1'!A1395</f>
        <v>46030.54029</v>
      </c>
      <c r="B1395" s="7" t="str">
        <f>'Respuestas de formulario 1'!B1395</f>
        <v>Lascano</v>
      </c>
      <c r="C1395" s="7" t="str">
        <f>'Respuestas de formulario 1'!C1395</f>
        <v>Raquel</v>
      </c>
      <c r="D1395" s="7" t="str">
        <f>'Respuestas de formulario 1'!D1395</f>
        <v>Raquellascano78@gmail.com</v>
      </c>
      <c r="E1395" s="20">
        <f>'Respuestas de formulario 1'!E1395</f>
        <v>28746</v>
      </c>
      <c r="F1395" s="7">
        <f>'Respuestas de formulario 1'!F1395</f>
        <v>26896603</v>
      </c>
      <c r="G1395" s="7" t="str">
        <f>IFERROR(__xludf.DUMMYFUNCTION("IF('Respuestas de formulario 1'!G1395="""","""",IF(LEFT(REGEXREPLACE(TO_TEXT('Respuestas de formulario 1'!G1395),""[^0-9]"",""""),2)=""54"",""+""&amp;REGEXREPLACE(TO_TEXT('Respuestas de formulario 1'!G1395),""[^0-9]"",""""),""+54""&amp;REGEXREPLACE(TO_TEXT('Respu"&amp;"estas de formulario 1'!G1395),""[^0-9]"","""")))"),"+543515911903")</f>
        <v>+543515911903</v>
      </c>
      <c r="H1395" s="7">
        <f>'Respuestas de formulario 1'!S1395</f>
        <v>2026</v>
      </c>
      <c r="I1395" s="7" t="str">
        <f>IFERROR(__xludf.DUMMYFUNCTION("IF('Respuestas de formulario 1'!I1395="""","""",TO_TEXT('Respuestas de formulario 1'!I1395))"),"Particular")</f>
        <v>Particular</v>
      </c>
      <c r="J1395" s="7" t="str">
        <f>IFERROR(__xludf.DUMMYFUNCTION("IF('Respuestas de formulario 1'!J1395&lt;&gt;"""",UPPER(TRIM(TO_TEXT('Respuestas de formulario 1'!J1395))),IF('Respuestas de formulario 1'!O1395&lt;&gt;"""",UPPER(TRIM(TO_TEXT('Respuestas de formulario 1'!O1395))),""""))"),"")</f>
        <v/>
      </c>
      <c r="K1395" s="7" t="str">
        <f>IFERROR(__xludf.DUMMYFUNCTION("IF('Respuestas de formulario 1'!K1395="""","""",TO_TEXT('Respuestas de formulario 1'!K1395))"),"Si")</f>
        <v>Si</v>
      </c>
      <c r="L1395" s="7" t="str">
        <f>IFERROR(__xludf.DUMMYFUNCTION("IF('Respuestas de formulario 1'!L1395="""","""",TO_TEXT('Respuestas de formulario 1'!L1395))"),"Running")</f>
        <v>Running</v>
      </c>
      <c r="M1395" s="7" t="str">
        <f>IFERROR(__xludf.DUMMYFUNCTION("IF('Respuestas de formulario 1'!M1395="""","""",TO_TEXT('Respuestas de formulario 1'!M1395))"),"3 a 5 veces por semana")</f>
        <v>3 a 5 veces por semana</v>
      </c>
      <c r="N1395" s="7">
        <f t="shared" si="1"/>
        <v>2026</v>
      </c>
      <c r="O1395" s="7" t="str">
        <f t="shared" si="2"/>
        <v>enero</v>
      </c>
      <c r="P1395" s="7" t="s">
        <v>6902</v>
      </c>
    </row>
    <row r="1396">
      <c r="A1396" s="19">
        <f>'Respuestas de formulario 1'!A1396</f>
        <v>46030.77134</v>
      </c>
      <c r="B1396" s="7" t="str">
        <f>'Respuestas de formulario 1'!B1396</f>
        <v>STEFANOV</v>
      </c>
      <c r="C1396" s="7" t="str">
        <f>'Respuestas de formulario 1'!C1396</f>
        <v>MARTA MARÍA </v>
      </c>
      <c r="D1396" s="7" t="str">
        <f>'Respuestas de formulario 1'!D1396</f>
        <v>stefanovmarta@live.com.ar</v>
      </c>
      <c r="E1396" s="20">
        <f>'Respuestas de formulario 1'!E1396</f>
        <v>13928</v>
      </c>
      <c r="F1396" s="7">
        <f>'Respuestas de formulario 1'!F1396</f>
        <v>3692293</v>
      </c>
      <c r="G1396" s="7" t="str">
        <f>IFERROR(__xludf.DUMMYFUNCTION("IF('Respuestas de formulario 1'!G1396="""","""",IF(LEFT(REGEXREPLACE(TO_TEXT('Respuestas de formulario 1'!G1396),""[^0-9]"",""""),2)=""54"",""+""&amp;REGEXREPLACE(TO_TEXT('Respuestas de formulario 1'!G1396),""[^0-9]"",""""),""+54""&amp;REGEXREPLACE(TO_TEXT('Respu"&amp;"estas de formulario 1'!G1396),""[^0-9]"","""")))"),"+543515133677")</f>
        <v>+543515133677</v>
      </c>
      <c r="H1396" s="7">
        <f>'Respuestas de formulario 1'!S1396</f>
        <v>2026</v>
      </c>
      <c r="I1396" s="7" t="str">
        <f>IFERROR(__xludf.DUMMYFUNCTION("IF('Respuestas de formulario 1'!I1396="""","""",TO_TEXT('Respuestas de formulario 1'!I1396))"),"Obra social")</f>
        <v>Obra social</v>
      </c>
      <c r="J1396" s="7" t="str">
        <f>IFERROR(__xludf.DUMMYFUNCTION("IF('Respuestas de formulario 1'!J1396&lt;&gt;"""",UPPER(TRIM(TO_TEXT('Respuestas de formulario 1'!J1396))),IF('Respuestas de formulario 1'!O1396&lt;&gt;"""",UPPER(TRIM(TO_TEXT('Respuestas de formulario 1'!O1396))),""""))"),"OSPE")</f>
        <v>OSPE</v>
      </c>
      <c r="K1396" s="7" t="str">
        <f>IFERROR(__xludf.DUMMYFUNCTION("IF('Respuestas de formulario 1'!K1396="""","""",TO_TEXT('Respuestas de formulario 1'!K1396))"),"No")</f>
        <v>No</v>
      </c>
      <c r="L1396" s="7" t="str">
        <f>IFERROR(__xludf.DUMMYFUNCTION("IF('Respuestas de formulario 1'!L1396="""","""",TO_TEXT('Respuestas de formulario 1'!L1396))"),"")</f>
        <v/>
      </c>
      <c r="M1396" s="7" t="str">
        <f>IFERROR(__xludf.DUMMYFUNCTION("IF('Respuestas de formulario 1'!M1396="""","""",TO_TEXT('Respuestas de formulario 1'!M1396))"),"")</f>
        <v/>
      </c>
      <c r="N1396" s="7">
        <f t="shared" si="1"/>
        <v>2026</v>
      </c>
      <c r="O1396" s="7" t="str">
        <f t="shared" si="2"/>
        <v>enero</v>
      </c>
      <c r="P1396" s="7" t="s">
        <v>6904</v>
      </c>
    </row>
    <row r="1397">
      <c r="A1397" s="19">
        <f>'Respuestas de formulario 1'!A1397</f>
        <v>46031.47736</v>
      </c>
      <c r="B1397" s="7" t="str">
        <f>'Respuestas de formulario 1'!B1397</f>
        <v>Armoa</v>
      </c>
      <c r="C1397" s="7" t="str">
        <f>'Respuestas de formulario 1'!C1397</f>
        <v>jorge omar</v>
      </c>
      <c r="D1397" s="7" t="str">
        <f>'Respuestas de formulario 1'!D1397</f>
        <v>jorgeoarmoa@gmail.com</v>
      </c>
      <c r="E1397" s="20">
        <f>'Respuestas de formulario 1'!E1397</f>
        <v>19632</v>
      </c>
      <c r="F1397" s="7">
        <f>'Respuestas de formulario 1'!F1397</f>
        <v>10902834</v>
      </c>
      <c r="G1397" s="7" t="str">
        <f>IFERROR(__xludf.DUMMYFUNCTION("IF('Respuestas de formulario 1'!G1397="""","""",IF(LEFT(REGEXREPLACE(TO_TEXT('Respuestas de formulario 1'!G1397),""[^0-9]"",""""),2)=""54"",""+""&amp;REGEXREPLACE(TO_TEXT('Respuestas de formulario 1'!G1397),""[^0-9]"",""""),""+54""&amp;REGEXREPLACE(TO_TEXT('Respu"&amp;"estas de formulario 1'!G1397),""[^0-9]"","""")))"),"+543516654677")</f>
        <v>+543516654677</v>
      </c>
      <c r="H1397" s="7">
        <f>'Respuestas de formulario 1'!S1397</f>
        <v>2026</v>
      </c>
      <c r="I1397" s="7" t="str">
        <f>IFERROR(__xludf.DUMMYFUNCTION("IF('Respuestas de formulario 1'!I1397="""","""",TO_TEXT('Respuestas de formulario 1'!I1397))"),"Particular")</f>
        <v>Particular</v>
      </c>
      <c r="J1397" s="7" t="str">
        <f>IFERROR(__xludf.DUMMYFUNCTION("IF('Respuestas de formulario 1'!J1397&lt;&gt;"""",UPPER(TRIM(TO_TEXT('Respuestas de formulario 1'!J1397))),IF('Respuestas de formulario 1'!O1397&lt;&gt;"""",UPPER(TRIM(TO_TEXT('Respuestas de formulario 1'!O1397))),""""))"),"")</f>
        <v/>
      </c>
      <c r="K1397" s="7" t="str">
        <f>IFERROR(__xludf.DUMMYFUNCTION("IF('Respuestas de formulario 1'!K1397="""","""",TO_TEXT('Respuestas de formulario 1'!K1397))"),"No")</f>
        <v>No</v>
      </c>
      <c r="L1397" s="7" t="str">
        <f>IFERROR(__xludf.DUMMYFUNCTION("IF('Respuestas de formulario 1'!L1397="""","""",TO_TEXT('Respuestas de formulario 1'!L1397))"),"")</f>
        <v/>
      </c>
      <c r="M1397" s="7" t="str">
        <f>IFERROR(__xludf.DUMMYFUNCTION("IF('Respuestas de formulario 1'!M1397="""","""",TO_TEXT('Respuestas de formulario 1'!M1397))"),"")</f>
        <v/>
      </c>
      <c r="N1397" s="7">
        <f t="shared" si="1"/>
        <v>2026</v>
      </c>
      <c r="O1397" s="7" t="str">
        <f t="shared" si="2"/>
        <v>enero</v>
      </c>
      <c r="P1397" s="7" t="s">
        <v>6906</v>
      </c>
    </row>
    <row r="1398">
      <c r="A1398" s="19">
        <f>'Respuestas de formulario 1'!A1398</f>
        <v>46034.49067</v>
      </c>
      <c r="B1398" s="7" t="str">
        <f>'Respuestas de formulario 1'!B1398</f>
        <v>Santa Engracia </v>
      </c>
      <c r="C1398" s="7" t="str">
        <f>'Respuestas de formulario 1'!C1398</f>
        <v>Gala Sol</v>
      </c>
      <c r="D1398" s="7" t="str">
        <f>'Respuestas de formulario 1'!D1398</f>
        <v>abgalasantae@gmail.com</v>
      </c>
      <c r="E1398" s="20">
        <f>'Respuestas de formulario 1'!E1398</f>
        <v>34898</v>
      </c>
      <c r="F1398" s="7">
        <f>'Respuestas de formulario 1'!F1398</f>
        <v>39072470</v>
      </c>
      <c r="G1398" s="7" t="str">
        <f>IFERROR(__xludf.DUMMYFUNCTION("IF('Respuestas de formulario 1'!G1398="""","""",IF(LEFT(REGEXREPLACE(TO_TEXT('Respuestas de formulario 1'!G1398),""[^0-9]"",""""),2)=""54"",""+""&amp;REGEXREPLACE(TO_TEXT('Respuestas de formulario 1'!G1398),""[^0-9]"",""""),""+54""&amp;REGEXREPLACE(TO_TEXT('Respu"&amp;"estas de formulario 1'!G1398),""[^0-9]"","""")))"),"+543515519765")</f>
        <v>+543515519765</v>
      </c>
      <c r="H1398" s="7">
        <f>'Respuestas de formulario 1'!S1398</f>
        <v>2026</v>
      </c>
      <c r="I1398" s="7" t="str">
        <f>IFERROR(__xludf.DUMMYFUNCTION("IF('Respuestas de formulario 1'!I1398="""","""",TO_TEXT('Respuestas de formulario 1'!I1398))"),"Particular")</f>
        <v>Particular</v>
      </c>
      <c r="J1398" s="7" t="str">
        <f>IFERROR(__xludf.DUMMYFUNCTION("IF('Respuestas de formulario 1'!J1398&lt;&gt;"""",UPPER(TRIM(TO_TEXT('Respuestas de formulario 1'!J1398))),IF('Respuestas de formulario 1'!O1398&lt;&gt;"""",UPPER(TRIM(TO_TEXT('Respuestas de formulario 1'!O1398))),""""))"),"")</f>
        <v/>
      </c>
      <c r="K1398" s="7" t="str">
        <f>IFERROR(__xludf.DUMMYFUNCTION("IF('Respuestas de formulario 1'!K1398="""","""",TO_TEXT('Respuestas de formulario 1'!K1398))"),"Si")</f>
        <v>Si</v>
      </c>
      <c r="L1398" s="7" t="str">
        <f>IFERROR(__xludf.DUMMYFUNCTION("IF('Respuestas de formulario 1'!L1398="""","""",TO_TEXT('Respuestas de formulario 1'!L1398))"),"Gimnasio")</f>
        <v>Gimnasio</v>
      </c>
      <c r="M1398" s="7" t="str">
        <f>IFERROR(__xludf.DUMMYFUNCTION("IF('Respuestas de formulario 1'!M1398="""","""",TO_TEXT('Respuestas de formulario 1'!M1398))"),"3 a 5 veces por semana")</f>
        <v>3 a 5 veces por semana</v>
      </c>
      <c r="N1398" s="7">
        <f t="shared" si="1"/>
        <v>2026</v>
      </c>
      <c r="O1398" s="7" t="str">
        <f t="shared" si="2"/>
        <v>enero</v>
      </c>
      <c r="P1398" s="7" t="s">
        <v>6908</v>
      </c>
    </row>
    <row r="1399">
      <c r="A1399" s="19">
        <f>'Respuestas de formulario 1'!A1399</f>
        <v>46034.51432</v>
      </c>
      <c r="B1399" s="7" t="str">
        <f>'Respuestas de formulario 1'!B1399</f>
        <v>Zamar</v>
      </c>
      <c r="C1399" s="7" t="str">
        <f>'Respuestas de formulario 1'!C1399</f>
        <v>Agustín</v>
      </c>
      <c r="D1399" s="7" t="str">
        <f>'Respuestas de formulario 1'!D1399</f>
        <v/>
      </c>
      <c r="E1399" s="20">
        <f>'Respuestas de formulario 1'!E1399</f>
        <v>31146</v>
      </c>
      <c r="F1399" s="7">
        <f>'Respuestas de formulario 1'!F1399</f>
        <v>31557558</v>
      </c>
      <c r="G1399" s="7" t="str">
        <f>IFERROR(__xludf.DUMMYFUNCTION("IF('Respuestas de formulario 1'!G1399="""","""",IF(LEFT(REGEXREPLACE(TO_TEXT('Respuestas de formulario 1'!G1399),""[^0-9]"",""""),2)=""54"",""+""&amp;REGEXREPLACE(TO_TEXT('Respuestas de formulario 1'!G1399),""[^0-9]"",""""),""+54""&amp;REGEXREPLACE(TO_TEXT('Respu"&amp;"estas de formulario 1'!G1399),""[^0-9]"","""")))"),"+543516571418")</f>
        <v>+543516571418</v>
      </c>
      <c r="H1399" s="7">
        <f>'Respuestas de formulario 1'!S1399</f>
        <v>2026</v>
      </c>
      <c r="I1399" s="7" t="str">
        <f>IFERROR(__xludf.DUMMYFUNCTION("IF('Respuestas de formulario 1'!I1399="""","""",TO_TEXT('Respuestas de formulario 1'!I1399))"),"Obra social")</f>
        <v>Obra social</v>
      </c>
      <c r="J1399" s="7" t="str">
        <f>IFERROR(__xludf.DUMMYFUNCTION("IF('Respuestas de formulario 1'!J1399&lt;&gt;"""",UPPER(TRIM(TO_TEXT('Respuestas de formulario 1'!J1399))),IF('Respuestas de formulario 1'!O1399&lt;&gt;"""",UPPER(TRIM(TO_TEXT('Respuestas de formulario 1'!O1399))),""""))"),"DASPU")</f>
        <v>DASPU</v>
      </c>
      <c r="K1399" s="7" t="str">
        <f>IFERROR(__xludf.DUMMYFUNCTION("IF('Respuestas de formulario 1'!K1399="""","""",TO_TEXT('Respuestas de formulario 1'!K1399))"),"Si")</f>
        <v>Si</v>
      </c>
      <c r="L1399" s="7" t="str">
        <f>IFERROR(__xludf.DUMMYFUNCTION("IF('Respuestas de formulario 1'!L1399="""","""",TO_TEXT('Respuestas de formulario 1'!L1399))"),"squash")</f>
        <v>squash</v>
      </c>
      <c r="M1399" s="7" t="str">
        <f>IFERROR(__xludf.DUMMYFUNCTION("IF('Respuestas de formulario 1'!M1399="""","""",TO_TEXT('Respuestas de formulario 1'!M1399))"),"3 a 5 veces por semana")</f>
        <v>3 a 5 veces por semana</v>
      </c>
      <c r="N1399" s="7">
        <f t="shared" si="1"/>
        <v>2026</v>
      </c>
      <c r="O1399" s="7" t="str">
        <f t="shared" si="2"/>
        <v>enero</v>
      </c>
      <c r="P1399" s="7" t="s">
        <v>6910</v>
      </c>
    </row>
    <row r="1400">
      <c r="A1400" s="19">
        <f>'Respuestas de formulario 1'!A1400</f>
        <v>46034.55154</v>
      </c>
      <c r="B1400" s="7" t="str">
        <f>'Respuestas de formulario 1'!B1400</f>
        <v>Cravero</v>
      </c>
      <c r="C1400" s="7" t="str">
        <f>'Respuestas de formulario 1'!C1400</f>
        <v>Bautista Ignacio</v>
      </c>
      <c r="D1400" s="7" t="str">
        <f>'Respuestas de formulario 1'!D1400</f>
        <v>bauticra7@gmail.com</v>
      </c>
      <c r="E1400" s="20">
        <f>'Respuestas de formulario 1'!E1400</f>
        <v>40567</v>
      </c>
      <c r="F1400" s="7">
        <f>'Respuestas de formulario 1'!F1400</f>
        <v>50629284</v>
      </c>
      <c r="G1400" s="7" t="str">
        <f>IFERROR(__xludf.DUMMYFUNCTION("IF('Respuestas de formulario 1'!G1400="""","""",IF(LEFT(REGEXREPLACE(TO_TEXT('Respuestas de formulario 1'!G1400),""[^0-9]"",""""),2)=""54"",""+""&amp;REGEXREPLACE(TO_TEXT('Respuestas de formulario 1'!G1400),""[^0-9]"",""""),""+54""&amp;REGEXREPLACE(TO_TEXT('Respu"&amp;"estas de formulario 1'!G1400),""[^0-9]"","""")))"),"+543518583078")</f>
        <v>+543518583078</v>
      </c>
      <c r="H1400" s="7">
        <f>'Respuestas de formulario 1'!S1400</f>
        <v>2026</v>
      </c>
      <c r="I1400" s="7" t="str">
        <f>IFERROR(__xludf.DUMMYFUNCTION("IF('Respuestas de formulario 1'!I1400="""","""",TO_TEXT('Respuestas de formulario 1'!I1400))"),"Particular")</f>
        <v>Particular</v>
      </c>
      <c r="J1400" s="7" t="str">
        <f>IFERROR(__xludf.DUMMYFUNCTION("IF('Respuestas de formulario 1'!J1400&lt;&gt;"""",UPPER(TRIM(TO_TEXT('Respuestas de formulario 1'!J1400))),IF('Respuestas de formulario 1'!O1400&lt;&gt;"""",UPPER(TRIM(TO_TEXT('Respuestas de formulario 1'!O1400))),""""))"),"")</f>
        <v/>
      </c>
      <c r="K1400" s="7" t="str">
        <f>IFERROR(__xludf.DUMMYFUNCTION("IF('Respuestas de formulario 1'!K1400="""","""",TO_TEXT('Respuestas de formulario 1'!K1400))"),"Si")</f>
        <v>Si</v>
      </c>
      <c r="L1400" s="7" t="str">
        <f>IFERROR(__xludf.DUMMYFUNCTION("IF('Respuestas de formulario 1'!L1400="""","""",TO_TEXT('Respuestas de formulario 1'!L1400))"),"Hockey")</f>
        <v>Hockey</v>
      </c>
      <c r="M1400" s="7" t="str">
        <f>IFERROR(__xludf.DUMMYFUNCTION("IF('Respuestas de formulario 1'!M1400="""","""",TO_TEXT('Respuestas de formulario 1'!M1400))"),"3 a 5 veces por semana")</f>
        <v>3 a 5 veces por semana</v>
      </c>
      <c r="N1400" s="7">
        <f t="shared" si="1"/>
        <v>2026</v>
      </c>
      <c r="O1400" s="7" t="str">
        <f t="shared" si="2"/>
        <v>enero</v>
      </c>
      <c r="P1400" s="7" t="s">
        <v>6912</v>
      </c>
    </row>
    <row r="1401">
      <c r="A1401" s="19">
        <f>'Respuestas de formulario 1'!A1401</f>
        <v>46034.79294</v>
      </c>
      <c r="B1401" s="7" t="str">
        <f>'Respuestas de formulario 1'!B1401</f>
        <v>Ortega</v>
      </c>
      <c r="C1401" s="7" t="str">
        <f>'Respuestas de formulario 1'!C1401</f>
        <v>Daniela</v>
      </c>
      <c r="D1401" s="7" t="str">
        <f>'Respuestas de formulario 1'!D1401</f>
        <v>dv.ortega98@gmail.com</v>
      </c>
      <c r="E1401" s="20">
        <f>'Respuestas de formulario 1'!E1401</f>
        <v>35923</v>
      </c>
      <c r="F1401" s="7">
        <f>'Respuestas de formulario 1'!F1401</f>
        <v>41265088</v>
      </c>
      <c r="G1401" s="7" t="str">
        <f>IFERROR(__xludf.DUMMYFUNCTION("IF('Respuestas de formulario 1'!G1401="""","""",IF(LEFT(REGEXREPLACE(TO_TEXT('Respuestas de formulario 1'!G1401),""[^0-9]"",""""),2)=""54"",""+""&amp;REGEXREPLACE(TO_TEXT('Respuestas de formulario 1'!G1401),""[^0-9]"",""""),""+54""&amp;REGEXREPLACE(TO_TEXT('Respu"&amp;"estas de formulario 1'!G1401),""[^0-9]"","""")))"),"+543512008851")</f>
        <v>+543512008851</v>
      </c>
      <c r="H1401" s="7">
        <f>'Respuestas de formulario 1'!S1401</f>
        <v>2026</v>
      </c>
      <c r="I1401" s="7" t="str">
        <f>IFERROR(__xludf.DUMMYFUNCTION("IF('Respuestas de formulario 1'!I1401="""","""",TO_TEXT('Respuestas de formulario 1'!I1401))"),"Obra social")</f>
        <v>Obra social</v>
      </c>
      <c r="J1401" s="7" t="str">
        <f>IFERROR(__xludf.DUMMYFUNCTION("IF('Respuestas de formulario 1'!J1401&lt;&gt;"""",UPPER(TRIM(TO_TEXT('Respuestas de formulario 1'!J1401))),IF('Respuestas de formulario 1'!O1401&lt;&gt;"""",UPPER(TRIM(TO_TEXT('Respuestas de formulario 1'!O1401))),""""))"),"PREVENCIÓN")</f>
        <v>PREVENCIÓN</v>
      </c>
      <c r="K1401" s="7" t="str">
        <f>IFERROR(__xludf.DUMMYFUNCTION("IF('Respuestas de formulario 1'!K1401="""","""",TO_TEXT('Respuestas de formulario 1'!K1401))"),"Si")</f>
        <v>Si</v>
      </c>
      <c r="L1401" s="7" t="str">
        <f>IFERROR(__xludf.DUMMYFUNCTION("IF('Respuestas de formulario 1'!L1401="""","""",TO_TEXT('Respuestas de formulario 1'!L1401))"),"Gimnasio")</f>
        <v>Gimnasio</v>
      </c>
      <c r="M1401" s="7" t="str">
        <f>IFERROR(__xludf.DUMMYFUNCTION("IF('Respuestas de formulario 1'!M1401="""","""",TO_TEXT('Respuestas de formulario 1'!M1401))"),"1 a 2 veces por semana")</f>
        <v>1 a 2 veces por semana</v>
      </c>
      <c r="N1401" s="7">
        <f t="shared" si="1"/>
        <v>2026</v>
      </c>
      <c r="O1401" s="7" t="str">
        <f t="shared" si="2"/>
        <v>enero</v>
      </c>
      <c r="P1401" s="7" t="s">
        <v>6914</v>
      </c>
    </row>
    <row r="1402">
      <c r="A1402" s="19">
        <f>'Respuestas de formulario 1'!A1402</f>
        <v>46035.44125</v>
      </c>
      <c r="B1402" s="7" t="str">
        <f>'Respuestas de formulario 1'!B1402</f>
        <v>Videla</v>
      </c>
      <c r="C1402" s="7" t="str">
        <f>'Respuestas de formulario 1'!C1402</f>
        <v>Sofia</v>
      </c>
      <c r="D1402" s="7" t="str">
        <f>'Respuestas de formulario 1'!D1402</f>
        <v>videlasofi3@gmail.com</v>
      </c>
      <c r="E1402" s="20">
        <f>'Respuestas de formulario 1'!E1402</f>
        <v>38963</v>
      </c>
      <c r="F1402" s="7">
        <f>'Respuestas de formulario 1'!F1402</f>
        <v>47173465</v>
      </c>
      <c r="G1402" s="7" t="str">
        <f>IFERROR(__xludf.DUMMYFUNCTION("IF('Respuestas de formulario 1'!G1402="""","""",IF(LEFT(REGEXREPLACE(TO_TEXT('Respuestas de formulario 1'!G1402),""[^0-9]"",""""),2)=""54"",""+""&amp;REGEXREPLACE(TO_TEXT('Respuestas de formulario 1'!G1402),""[^0-9]"",""""),""+54""&amp;REGEXREPLACE(TO_TEXT('Respu"&amp;"estas de formulario 1'!G1402),""[^0-9]"","""")))"),"+543513235567")</f>
        <v>+543513235567</v>
      </c>
      <c r="H1402" s="7">
        <f>'Respuestas de formulario 1'!S1402</f>
        <v>2026</v>
      </c>
      <c r="I1402" s="7" t="str">
        <f>IFERROR(__xludf.DUMMYFUNCTION("IF('Respuestas de formulario 1'!I1402="""","""",TO_TEXT('Respuestas de formulario 1'!I1402))"),"Obra social")</f>
        <v>Obra social</v>
      </c>
      <c r="J1402" s="7" t="str">
        <f>IFERROR(__xludf.DUMMYFUNCTION("IF('Respuestas de formulario 1'!J1402&lt;&gt;"""",UPPER(TRIM(TO_TEXT('Respuestas de formulario 1'!J1402))),IF('Respuestas de formulario 1'!O1402&lt;&gt;"""",UPPER(TRIM(TO_TEXT('Respuestas de formulario 1'!O1402))),""""))"),"MEDIFE")</f>
        <v>MEDIFE</v>
      </c>
      <c r="K1402" s="7" t="str">
        <f>IFERROR(__xludf.DUMMYFUNCTION("IF('Respuestas de formulario 1'!K1402="""","""",TO_TEXT('Respuestas de formulario 1'!K1402))"),"Si")</f>
        <v>Si</v>
      </c>
      <c r="L1402" s="7" t="str">
        <f>IFERROR(__xludf.DUMMYFUNCTION("IF('Respuestas de formulario 1'!L1402="""","""",TO_TEXT('Respuestas de formulario 1'!L1402))"),"Gimnasio")</f>
        <v>Gimnasio</v>
      </c>
      <c r="M1402" s="7" t="str">
        <f>IFERROR(__xludf.DUMMYFUNCTION("IF('Respuestas de formulario 1'!M1402="""","""",TO_TEXT('Respuestas de formulario 1'!M1402))"),"3 a 5 veces por semana")</f>
        <v>3 a 5 veces por semana</v>
      </c>
      <c r="N1402" s="7">
        <f t="shared" si="1"/>
        <v>2026</v>
      </c>
      <c r="O1402" s="7" t="str">
        <f t="shared" si="2"/>
        <v>enero</v>
      </c>
      <c r="P1402" s="7" t="s">
        <v>6916</v>
      </c>
    </row>
    <row r="1403">
      <c r="A1403" s="19">
        <f>'Respuestas de formulario 1'!A1403</f>
        <v>46035.48568</v>
      </c>
      <c r="B1403" s="7" t="str">
        <f>'Respuestas de formulario 1'!B1403</f>
        <v>Ciaravino </v>
      </c>
      <c r="C1403" s="7" t="str">
        <f>'Respuestas de formulario 1'!C1403</f>
        <v>Maximiliano</v>
      </c>
      <c r="D1403" s="7" t="str">
        <f>'Respuestas de formulario 1'!D1403</f>
        <v>maxiciaravino@gmail.com</v>
      </c>
      <c r="E1403" s="20">
        <f>'Respuestas de formulario 1'!E1403</f>
        <v>29685</v>
      </c>
      <c r="F1403" s="7">
        <f>'Respuestas de formulario 1'!F1403</f>
        <v>28656682</v>
      </c>
      <c r="G1403" s="7" t="str">
        <f>IFERROR(__xludf.DUMMYFUNCTION("IF('Respuestas de formulario 1'!G1403="""","""",IF(LEFT(REGEXREPLACE(TO_TEXT('Respuestas de formulario 1'!G1403),""[^0-9]"",""""),2)=""54"",""+""&amp;REGEXREPLACE(TO_TEXT('Respuestas de formulario 1'!G1403),""[^0-9]"",""""),""+54""&amp;REGEXREPLACE(TO_TEXT('Respu"&amp;"estas de formulario 1'!G1403),""[^0-9]"","""")))"),"+543516231959")</f>
        <v>+543516231959</v>
      </c>
      <c r="H1403" s="7">
        <f>'Respuestas de formulario 1'!S1403</f>
        <v>2026</v>
      </c>
      <c r="I1403" s="7" t="str">
        <f>IFERROR(__xludf.DUMMYFUNCTION("IF('Respuestas de formulario 1'!I1403="""","""",TO_TEXT('Respuestas de formulario 1'!I1403))"),"Particular")</f>
        <v>Particular</v>
      </c>
      <c r="J1403" s="7" t="str">
        <f>IFERROR(__xludf.DUMMYFUNCTION("IF('Respuestas de formulario 1'!J1403&lt;&gt;"""",UPPER(TRIM(TO_TEXT('Respuestas de formulario 1'!J1403))),IF('Respuestas de formulario 1'!O1403&lt;&gt;"""",UPPER(TRIM(TO_TEXT('Respuestas de formulario 1'!O1403))),""""))"),"")</f>
        <v/>
      </c>
      <c r="K1403" s="7" t="str">
        <f>IFERROR(__xludf.DUMMYFUNCTION("IF('Respuestas de formulario 1'!K1403="""","""",TO_TEXT('Respuestas de formulario 1'!K1403))"),"Si")</f>
        <v>Si</v>
      </c>
      <c r="L1403" s="7" t="str">
        <f>IFERROR(__xludf.DUMMYFUNCTION("IF('Respuestas de formulario 1'!L1403="""","""",TO_TEXT('Respuestas de formulario 1'!L1403))"),"Gimnasio")</f>
        <v>Gimnasio</v>
      </c>
      <c r="M1403" s="7" t="str">
        <f>IFERROR(__xludf.DUMMYFUNCTION("IF('Respuestas de formulario 1'!M1403="""","""",TO_TEXT('Respuestas de formulario 1'!M1403))"),"3 a 5 veces por semana")</f>
        <v>3 a 5 veces por semana</v>
      </c>
      <c r="N1403" s="7">
        <f t="shared" si="1"/>
        <v>2026</v>
      </c>
      <c r="O1403" s="7" t="str">
        <f t="shared" si="2"/>
        <v>enero</v>
      </c>
      <c r="P1403" s="7" t="s">
        <v>6918</v>
      </c>
    </row>
    <row r="1404">
      <c r="A1404" s="19">
        <f>'Respuestas de formulario 1'!A1404</f>
        <v>46035.50265</v>
      </c>
      <c r="B1404" s="7" t="str">
        <f>'Respuestas de formulario 1'!B1404</f>
        <v>Ladu</v>
      </c>
      <c r="C1404" s="7" t="str">
        <f>'Respuestas de formulario 1'!C1404</f>
        <v>Hernan Alejandro</v>
      </c>
      <c r="D1404" s="7" t="str">
        <f>'Respuestas de formulario 1'!D1404</f>
        <v>hernanalladu@gmail.com</v>
      </c>
      <c r="E1404" s="20">
        <f>'Respuestas de formulario 1'!E1404</f>
        <v>25587</v>
      </c>
      <c r="F1404" s="7">
        <f>'Respuestas de formulario 1'!F1404</f>
        <v>21394934</v>
      </c>
      <c r="G1404" s="7" t="str">
        <f>IFERROR(__xludf.DUMMYFUNCTION("IF('Respuestas de formulario 1'!G1404="""","""",IF(LEFT(REGEXREPLACE(TO_TEXT('Respuestas de formulario 1'!G1404),""[^0-9]"",""""),2)=""54"",""+""&amp;REGEXREPLACE(TO_TEXT('Respuestas de formulario 1'!G1404),""[^0-9]"",""""),""+54""&amp;REGEXREPLACE(TO_TEXT('Respu"&amp;"estas de formulario 1'!G1404),""[^0-9]"","""")))"),"+543513130333")</f>
        <v>+543513130333</v>
      </c>
      <c r="H1404" s="7">
        <f>'Respuestas de formulario 1'!S1404</f>
        <v>2026</v>
      </c>
      <c r="I1404" s="7" t="str">
        <f>IFERROR(__xludf.DUMMYFUNCTION("IF('Respuestas de formulario 1'!I1404="""","""",TO_TEXT('Respuestas de formulario 1'!I1404))"),"Obra social")</f>
        <v>Obra social</v>
      </c>
      <c r="J1404" s="7" t="str">
        <f>IFERROR(__xludf.DUMMYFUNCTION("IF('Respuestas de formulario 1'!J1404&lt;&gt;"""",UPPER(TRIM(TO_TEXT('Respuestas de formulario 1'!J1404))),IF('Respuestas de formulario 1'!O1404&lt;&gt;"""",UPPER(TRIM(TO_TEXT('Respuestas de formulario 1'!O1404))),""""))"),"APROSS")</f>
        <v>APROSS</v>
      </c>
      <c r="K1404" s="7" t="str">
        <f>IFERROR(__xludf.DUMMYFUNCTION("IF('Respuestas de formulario 1'!K1404="""","""",TO_TEXT('Respuestas de formulario 1'!K1404))"),"Si")</f>
        <v>Si</v>
      </c>
      <c r="L1404" s="7" t="str">
        <f>IFERROR(__xludf.DUMMYFUNCTION("IF('Respuestas de formulario 1'!L1404="""","""",TO_TEXT('Respuestas de formulario 1'!L1404))"),"Gimnasio")</f>
        <v>Gimnasio</v>
      </c>
      <c r="M1404" s="7" t="str">
        <f>IFERROR(__xludf.DUMMYFUNCTION("IF('Respuestas de formulario 1'!M1404="""","""",TO_TEXT('Respuestas de formulario 1'!M1404))"),"3 a 5 veces por semana")</f>
        <v>3 a 5 veces por semana</v>
      </c>
      <c r="N1404" s="7">
        <f t="shared" si="1"/>
        <v>2026</v>
      </c>
      <c r="O1404" s="7" t="str">
        <f t="shared" si="2"/>
        <v>enero</v>
      </c>
      <c r="P1404" s="7" t="s">
        <v>6920</v>
      </c>
    </row>
    <row r="1405">
      <c r="A1405" s="19">
        <f>'Respuestas de formulario 1'!A1405</f>
        <v>46035.68261</v>
      </c>
      <c r="B1405" s="7" t="str">
        <f>'Respuestas de formulario 1'!B1405</f>
        <v>Vaschetti </v>
      </c>
      <c r="C1405" s="7" t="str">
        <f>'Respuestas de formulario 1'!C1405</f>
        <v>Mariano </v>
      </c>
      <c r="D1405" s="7" t="str">
        <f>'Respuestas de formulario 1'!D1405</f>
        <v>mvaschetti@hotmail.com</v>
      </c>
      <c r="E1405" s="20">
        <f>'Respuestas de formulario 1'!E1405</f>
        <v>30940</v>
      </c>
      <c r="F1405" s="7">
        <f>'Respuestas de formulario 1'!F1405</f>
        <v>31056377</v>
      </c>
      <c r="G1405" s="7" t="str">
        <f>IFERROR(__xludf.DUMMYFUNCTION("IF('Respuestas de formulario 1'!G1405="""","""",IF(LEFT(REGEXREPLACE(TO_TEXT('Respuestas de formulario 1'!G1405),""[^0-9]"",""""),2)=""54"",""+""&amp;REGEXREPLACE(TO_TEXT('Respuestas de formulario 1'!G1405),""[^0-9]"",""""),""+54""&amp;REGEXREPLACE(TO_TEXT('Respu"&amp;"estas de formulario 1'!G1405),""[^0-9]"","""")))"),"+543517674577")</f>
        <v>+543517674577</v>
      </c>
      <c r="H1405" s="7">
        <f>'Respuestas de formulario 1'!S1405</f>
        <v>2026</v>
      </c>
      <c r="I1405" s="7" t="str">
        <f>IFERROR(__xludf.DUMMYFUNCTION("IF('Respuestas de formulario 1'!I1405="""","""",TO_TEXT('Respuestas de formulario 1'!I1405))"),"Particular")</f>
        <v>Particular</v>
      </c>
      <c r="J1405" s="7" t="str">
        <f>IFERROR(__xludf.DUMMYFUNCTION("IF('Respuestas de formulario 1'!J1405&lt;&gt;"""",UPPER(TRIM(TO_TEXT('Respuestas de formulario 1'!J1405))),IF('Respuestas de formulario 1'!O1405&lt;&gt;"""",UPPER(TRIM(TO_TEXT('Respuestas de formulario 1'!O1405))),""""))"),"")</f>
        <v/>
      </c>
      <c r="K1405" s="7" t="str">
        <f>IFERROR(__xludf.DUMMYFUNCTION("IF('Respuestas de formulario 1'!K1405="""","""",TO_TEXT('Respuestas de formulario 1'!K1405))"),"Si")</f>
        <v>Si</v>
      </c>
      <c r="L1405" s="7" t="str">
        <f>IFERROR(__xludf.DUMMYFUNCTION("IF('Respuestas de formulario 1'!L1405="""","""",TO_TEXT('Respuestas de formulario 1'!L1405))"),"Gimnasio")</f>
        <v>Gimnasio</v>
      </c>
      <c r="M1405" s="7" t="str">
        <f>IFERROR(__xludf.DUMMYFUNCTION("IF('Respuestas de formulario 1'!M1405="""","""",TO_TEXT('Respuestas de formulario 1'!M1405))"),"3 a 5 veces por semana")</f>
        <v>3 a 5 veces por semana</v>
      </c>
      <c r="N1405" s="7">
        <f t="shared" si="1"/>
        <v>2026</v>
      </c>
      <c r="O1405" s="7" t="str">
        <f t="shared" si="2"/>
        <v>enero</v>
      </c>
      <c r="P1405" s="7" t="s">
        <v>6922</v>
      </c>
    </row>
    <row r="1406">
      <c r="A1406" s="19">
        <f>'Respuestas de formulario 1'!A1406</f>
        <v>46035.81319</v>
      </c>
      <c r="B1406" s="7" t="str">
        <f>'Respuestas de formulario 1'!B1406</f>
        <v>Linares</v>
      </c>
      <c r="C1406" s="7" t="str">
        <f>'Respuestas de formulario 1'!C1406</f>
        <v>Gonzalo</v>
      </c>
      <c r="D1406" s="7" t="str">
        <f>'Respuestas de formulario 1'!D1406</f>
        <v>gonzalito270665@gmail.com</v>
      </c>
      <c r="E1406" s="20">
        <f>'Respuestas de formulario 1'!E1406</f>
        <v>23920</v>
      </c>
      <c r="F1406" s="7">
        <f>'Respuestas de formulario 1'!F1406</f>
        <v>17158131</v>
      </c>
      <c r="G1406" s="7" t="str">
        <f>IFERROR(__xludf.DUMMYFUNCTION("IF('Respuestas de formulario 1'!G1406="""","""",IF(LEFT(REGEXREPLACE(TO_TEXT('Respuestas de formulario 1'!G1406),""[^0-9]"",""""),2)=""54"",""+""&amp;REGEXREPLACE(TO_TEXT('Respuestas de formulario 1'!G1406),""[^0-9]"",""""),""+54""&amp;REGEXREPLACE(TO_TEXT('Respu"&amp;"estas de formulario 1'!G1406),""[^0-9]"","""")))"),"+543516140969")</f>
        <v>+543516140969</v>
      </c>
      <c r="H1406" s="7">
        <f>'Respuestas de formulario 1'!S1406</f>
        <v>2026</v>
      </c>
      <c r="I1406" s="7" t="str">
        <f>IFERROR(__xludf.DUMMYFUNCTION("IF('Respuestas de formulario 1'!I1406="""","""",TO_TEXT('Respuestas de formulario 1'!I1406))"),"Particular")</f>
        <v>Particular</v>
      </c>
      <c r="J1406" s="7" t="str">
        <f>IFERROR(__xludf.DUMMYFUNCTION("IF('Respuestas de formulario 1'!J1406&lt;&gt;"""",UPPER(TRIM(TO_TEXT('Respuestas de formulario 1'!J1406))),IF('Respuestas de formulario 1'!O1406&lt;&gt;"""",UPPER(TRIM(TO_TEXT('Respuestas de formulario 1'!O1406))),""""))"),"")</f>
        <v/>
      </c>
      <c r="K1406" s="7" t="str">
        <f>IFERROR(__xludf.DUMMYFUNCTION("IF('Respuestas de formulario 1'!K1406="""","""",TO_TEXT('Respuestas de formulario 1'!K1406))"),"Si")</f>
        <v>Si</v>
      </c>
      <c r="L1406" s="7" t="str">
        <f>IFERROR(__xludf.DUMMYFUNCTION("IF('Respuestas de formulario 1'!L1406="""","""",TO_TEXT('Respuestas de formulario 1'!L1406))"),"Running")</f>
        <v>Running</v>
      </c>
      <c r="M1406" s="7" t="str">
        <f>IFERROR(__xludf.DUMMYFUNCTION("IF('Respuestas de formulario 1'!M1406="""","""",TO_TEXT('Respuestas de formulario 1'!M1406))"),"3 a 5 veces por semana")</f>
        <v>3 a 5 veces por semana</v>
      </c>
      <c r="N1406" s="7">
        <f t="shared" si="1"/>
        <v>2026</v>
      </c>
      <c r="O1406" s="7" t="str">
        <f t="shared" si="2"/>
        <v>enero</v>
      </c>
      <c r="P1406" s="7" t="s">
        <v>6923</v>
      </c>
    </row>
    <row r="1407">
      <c r="A1407" s="19">
        <f>'Respuestas de formulario 1'!A1407</f>
        <v>46035.92785</v>
      </c>
      <c r="B1407" s="7" t="str">
        <f>'Respuestas de formulario 1'!B1407</f>
        <v>Calderon</v>
      </c>
      <c r="C1407" s="7" t="str">
        <f>'Respuestas de formulario 1'!C1407</f>
        <v>Adriana</v>
      </c>
      <c r="D1407" s="7" t="str">
        <f>'Respuestas de formulario 1'!D1407</f>
        <v>adrianacalderon711@gmail.com</v>
      </c>
      <c r="E1407" s="20">
        <f>'Respuestas de formulario 1'!E1407</f>
        <v>22737</v>
      </c>
      <c r="F1407" s="7">
        <f>'Respuestas de formulario 1'!F1407</f>
        <v>14892657</v>
      </c>
      <c r="G1407" s="7" t="str">
        <f>IFERROR(__xludf.DUMMYFUNCTION("IF('Respuestas de formulario 1'!G1407="""","""",IF(LEFT(REGEXREPLACE(TO_TEXT('Respuestas de formulario 1'!G1407),""[^0-9]"",""""),2)=""54"",""+""&amp;REGEXREPLACE(TO_TEXT('Respuestas de formulario 1'!G1407),""[^0-9]"",""""),""+54""&amp;REGEXREPLACE(TO_TEXT('Respu"&amp;"estas de formulario 1'!G1407),""[^0-9]"","""")))"),"+543515299820")</f>
        <v>+543515299820</v>
      </c>
      <c r="H1407" s="7">
        <f>'Respuestas de formulario 1'!S1407</f>
        <v>2026</v>
      </c>
      <c r="I1407" s="7" t="str">
        <f>IFERROR(__xludf.DUMMYFUNCTION("IF('Respuestas de formulario 1'!I1407="""","""",TO_TEXT('Respuestas de formulario 1'!I1407))"),"Particular")</f>
        <v>Particular</v>
      </c>
      <c r="J1407" s="7" t="str">
        <f>IFERROR(__xludf.DUMMYFUNCTION("IF('Respuestas de formulario 1'!J1407&lt;&gt;"""",UPPER(TRIM(TO_TEXT('Respuestas de formulario 1'!J1407))),IF('Respuestas de formulario 1'!O1407&lt;&gt;"""",UPPER(TRIM(TO_TEXT('Respuestas de formulario 1'!O1407))),""""))"),"")</f>
        <v/>
      </c>
      <c r="K1407" s="7" t="str">
        <f>IFERROR(__xludf.DUMMYFUNCTION("IF('Respuestas de formulario 1'!K1407="""","""",TO_TEXT('Respuestas de formulario 1'!K1407))"),"Si")</f>
        <v>Si</v>
      </c>
      <c r="L1407" s="7" t="str">
        <f>IFERROR(__xludf.DUMMYFUNCTION("IF('Respuestas de formulario 1'!L1407="""","""",TO_TEXT('Respuestas de formulario 1'!L1407))"),"Gimnasio")</f>
        <v>Gimnasio</v>
      </c>
      <c r="M1407" s="7" t="str">
        <f>IFERROR(__xludf.DUMMYFUNCTION("IF('Respuestas de formulario 1'!M1407="""","""",TO_TEXT('Respuestas de formulario 1'!M1407))"),"3 a 5 veces por semana")</f>
        <v>3 a 5 veces por semana</v>
      </c>
      <c r="N1407" s="7">
        <f t="shared" si="1"/>
        <v>2026</v>
      </c>
      <c r="O1407" s="7" t="str">
        <f t="shared" si="2"/>
        <v>enero</v>
      </c>
      <c r="P1407" s="7" t="s">
        <v>6925</v>
      </c>
    </row>
    <row r="1408">
      <c r="A1408" s="19">
        <f>'Respuestas de formulario 1'!A1408</f>
        <v>46036.47611</v>
      </c>
      <c r="B1408" s="7" t="str">
        <f>'Respuestas de formulario 1'!B1408</f>
        <v>leiva</v>
      </c>
      <c r="C1408" s="7" t="str">
        <f>'Respuestas de formulario 1'!C1408</f>
        <v>agostina</v>
      </c>
      <c r="D1408" s="7" t="str">
        <f>'Respuestas de formulario 1'!D1408</f>
        <v>agos.leiva98@gmail.com</v>
      </c>
      <c r="E1408" s="20">
        <f>'Respuestas de formulario 1'!E1408</f>
        <v>35941</v>
      </c>
      <c r="F1408" s="7">
        <f>'Respuestas de formulario 1'!F1408</f>
        <v>41264844</v>
      </c>
      <c r="G1408" s="7" t="str">
        <f>IFERROR(__xludf.DUMMYFUNCTION("IF('Respuestas de formulario 1'!G1408="""","""",IF(LEFT(REGEXREPLACE(TO_TEXT('Respuestas de formulario 1'!G1408),""[^0-9]"",""""),2)=""54"",""+""&amp;REGEXREPLACE(TO_TEXT('Respuestas de formulario 1'!G1408),""[^0-9]"",""""),""+54""&amp;REGEXREPLACE(TO_TEXT('Respu"&amp;"estas de formulario 1'!G1408),""[^0-9]"","""")))"),"+543517043411")</f>
        <v>+543517043411</v>
      </c>
      <c r="H1408" s="7">
        <f>'Respuestas de formulario 1'!S1408</f>
        <v>2026</v>
      </c>
      <c r="I1408" s="7" t="str">
        <f>IFERROR(__xludf.DUMMYFUNCTION("IF('Respuestas de formulario 1'!I1408="""","""",TO_TEXT('Respuestas de formulario 1'!I1408))"),"Obra social")</f>
        <v>Obra social</v>
      </c>
      <c r="J1408" s="7" t="str">
        <f>IFERROR(__xludf.DUMMYFUNCTION("IF('Respuestas de formulario 1'!J1408&lt;&gt;"""",UPPER(TRIM(TO_TEXT('Respuestas de formulario 1'!J1408))),IF('Respuestas de formulario 1'!O1408&lt;&gt;"""",UPPER(TRIM(TO_TEXT('Respuestas de formulario 1'!O1408))),""""))"),"MEDIFE")</f>
        <v>MEDIFE</v>
      </c>
      <c r="K1408" s="7" t="str">
        <f>IFERROR(__xludf.DUMMYFUNCTION("IF('Respuestas de formulario 1'!K1408="""","""",TO_TEXT('Respuestas de formulario 1'!K1408))"),"Si")</f>
        <v>Si</v>
      </c>
      <c r="L1408" s="7" t="str">
        <f>IFERROR(__xludf.DUMMYFUNCTION("IF('Respuestas de formulario 1'!L1408="""","""",TO_TEXT('Respuestas de formulario 1'!L1408))"),"Gimnasio")</f>
        <v>Gimnasio</v>
      </c>
      <c r="M1408" s="7" t="str">
        <f>IFERROR(__xludf.DUMMYFUNCTION("IF('Respuestas de formulario 1'!M1408="""","""",TO_TEXT('Respuestas de formulario 1'!M1408))"),"3 a 5 veces por semana")</f>
        <v>3 a 5 veces por semana</v>
      </c>
      <c r="N1408" s="7">
        <f t="shared" si="1"/>
        <v>2026</v>
      </c>
      <c r="O1408" s="7" t="str">
        <f t="shared" si="2"/>
        <v>enero</v>
      </c>
      <c r="P1408" s="7" t="s">
        <v>6927</v>
      </c>
    </row>
    <row r="1409">
      <c r="A1409" s="19">
        <f>'Respuestas de formulario 1'!A1409</f>
        <v>46036.87567</v>
      </c>
      <c r="B1409" s="7" t="str">
        <f>'Respuestas de formulario 1'!B1409</f>
        <v>Cáceres Angeletti</v>
      </c>
      <c r="C1409" s="7" t="str">
        <f>'Respuestas de formulario 1'!C1409</f>
        <v>Maria Belen </v>
      </c>
      <c r="D1409" s="7" t="str">
        <f>'Respuestas de formulario 1'!D1409</f>
        <v>mbcaceres07@gmail.com</v>
      </c>
      <c r="E1409" s="20">
        <f>'Respuestas de formulario 1'!E1409</f>
        <v>28097</v>
      </c>
      <c r="F1409" s="7">
        <f>'Respuestas de formulario 1'!F1409</f>
        <v>25609854</v>
      </c>
      <c r="G1409" s="7" t="str">
        <f>IFERROR(__xludf.DUMMYFUNCTION("IF('Respuestas de formulario 1'!G1409="""","""",IF(LEFT(REGEXREPLACE(TO_TEXT('Respuestas de formulario 1'!G1409),""[^0-9]"",""""),2)=""54"",""+""&amp;REGEXREPLACE(TO_TEXT('Respuestas de formulario 1'!G1409),""[^0-9]"",""""),""+54""&amp;REGEXREPLACE(TO_TEXT('Respu"&amp;"estas de formulario 1'!G1409),""[^0-9]"","""")))"),"+543512313955")</f>
        <v>+543512313955</v>
      </c>
      <c r="H1409" s="7">
        <f>'Respuestas de formulario 1'!S1409</f>
        <v>2026</v>
      </c>
      <c r="I1409" s="7" t="str">
        <f>IFERROR(__xludf.DUMMYFUNCTION("IF('Respuestas de formulario 1'!I1409="""","""",TO_TEXT('Respuestas de formulario 1'!I1409))"),"Particular")</f>
        <v>Particular</v>
      </c>
      <c r="J1409" s="7" t="str">
        <f>IFERROR(__xludf.DUMMYFUNCTION("IF('Respuestas de formulario 1'!J1409&lt;&gt;"""",UPPER(TRIM(TO_TEXT('Respuestas de formulario 1'!J1409))),IF('Respuestas de formulario 1'!O1409&lt;&gt;"""",UPPER(TRIM(TO_TEXT('Respuestas de formulario 1'!O1409))),""""))"),"")</f>
        <v/>
      </c>
      <c r="K1409" s="7" t="str">
        <f>IFERROR(__xludf.DUMMYFUNCTION("IF('Respuestas de formulario 1'!K1409="""","""",TO_TEXT('Respuestas de formulario 1'!K1409))"),"Si")</f>
        <v>Si</v>
      </c>
      <c r="L1409" s="7" t="str">
        <f>IFERROR(__xludf.DUMMYFUNCTION("IF('Respuestas de formulario 1'!L1409="""","""",TO_TEXT('Respuestas de formulario 1'!L1409))"),"Pilates")</f>
        <v>Pilates</v>
      </c>
      <c r="M1409" s="7" t="str">
        <f>IFERROR(__xludf.DUMMYFUNCTION("IF('Respuestas de formulario 1'!M1409="""","""",TO_TEXT('Respuestas de formulario 1'!M1409))"),"3 a 5 veces por semana")</f>
        <v>3 a 5 veces por semana</v>
      </c>
      <c r="N1409" s="7">
        <f t="shared" si="1"/>
        <v>2026</v>
      </c>
      <c r="O1409" s="7" t="str">
        <f t="shared" si="2"/>
        <v>enero</v>
      </c>
      <c r="P1409" s="7" t="s">
        <v>6929</v>
      </c>
    </row>
    <row r="1410">
      <c r="A1410" s="19">
        <f>'Respuestas de formulario 1'!A1410</f>
        <v>46037.75956</v>
      </c>
      <c r="B1410" s="7" t="str">
        <f>'Respuestas de formulario 1'!B1410</f>
        <v>Ramos</v>
      </c>
      <c r="C1410" s="7" t="str">
        <f>'Respuestas de formulario 1'!C1410</f>
        <v>Lautaro</v>
      </c>
      <c r="D1410" s="7" t="str">
        <f>'Respuestas de formulario 1'!D1410</f>
        <v>lautaro.lr.lr@gmail.com</v>
      </c>
      <c r="E1410" s="20">
        <f>'Respuestas de formulario 1'!E1410</f>
        <v>36654</v>
      </c>
      <c r="F1410" s="7">
        <f>'Respuestas de formulario 1'!F1410</f>
        <v>42641218</v>
      </c>
      <c r="G1410" s="7" t="str">
        <f>IFERROR(__xludf.DUMMYFUNCTION("IF('Respuestas de formulario 1'!G1410="""","""",IF(LEFT(REGEXREPLACE(TO_TEXT('Respuestas de formulario 1'!G1410),""[^0-9]"",""""),2)=""54"",""+""&amp;REGEXREPLACE(TO_TEXT('Respuestas de formulario 1'!G1410),""[^0-9]"",""""),""+54""&amp;REGEXREPLACE(TO_TEXT('Respu"&amp;"estas de formulario 1'!G1410),""[^0-9]"","""")))"),"+543513432536")</f>
        <v>+543513432536</v>
      </c>
      <c r="H1410" s="7">
        <f>'Respuestas de formulario 1'!S1410</f>
        <v>2026</v>
      </c>
      <c r="I1410" s="7" t="str">
        <f>IFERROR(__xludf.DUMMYFUNCTION("IF('Respuestas de formulario 1'!I1410="""","""",TO_TEXT('Respuestas de formulario 1'!I1410))"),"Particular")</f>
        <v>Particular</v>
      </c>
      <c r="J1410" s="7" t="str">
        <f>IFERROR(__xludf.DUMMYFUNCTION("IF('Respuestas de formulario 1'!J1410&lt;&gt;"""",UPPER(TRIM(TO_TEXT('Respuestas de formulario 1'!J1410))),IF('Respuestas de formulario 1'!O1410&lt;&gt;"""",UPPER(TRIM(TO_TEXT('Respuestas de formulario 1'!O1410))),""""))"),"")</f>
        <v/>
      </c>
      <c r="K1410" s="7" t="str">
        <f>IFERROR(__xludf.DUMMYFUNCTION("IF('Respuestas de formulario 1'!K1410="""","""",TO_TEXT('Respuestas de formulario 1'!K1410))"),"Si")</f>
        <v>Si</v>
      </c>
      <c r="L1410" s="7" t="str">
        <f>IFERROR(__xludf.DUMMYFUNCTION("IF('Respuestas de formulario 1'!L1410="""","""",TO_TEXT('Respuestas de formulario 1'!L1410))"),"Gimnasio + Jockey")</f>
        <v>Gimnasio + Jockey</v>
      </c>
      <c r="M1410" s="7" t="str">
        <f>IFERROR(__xludf.DUMMYFUNCTION("IF('Respuestas de formulario 1'!M1410="""","""",TO_TEXT('Respuestas de formulario 1'!M1410))"),"6 a 7 veces por semana")</f>
        <v>6 a 7 veces por semana</v>
      </c>
      <c r="N1410" s="7">
        <f t="shared" si="1"/>
        <v>2026</v>
      </c>
      <c r="O1410" s="7" t="str">
        <f t="shared" si="2"/>
        <v>enero</v>
      </c>
      <c r="P1410" s="7" t="s">
        <v>6931</v>
      </c>
    </row>
    <row r="1411">
      <c r="A1411" s="19">
        <f>'Respuestas de formulario 1'!A1411</f>
        <v>46038.66627</v>
      </c>
      <c r="B1411" s="7" t="str">
        <f>'Respuestas de formulario 1'!B1411</f>
        <v>Bianchi</v>
      </c>
      <c r="C1411" s="7" t="str">
        <f>'Respuestas de formulario 1'!C1411</f>
        <v>Jose</v>
      </c>
      <c r="D1411" s="7" t="str">
        <f>'Respuestas de formulario 1'!D1411</f>
        <v>Info@mebisa.com.ar</v>
      </c>
      <c r="E1411" s="20">
        <f>'Respuestas de formulario 1'!E1411</f>
        <v>15253</v>
      </c>
      <c r="F1411" s="7">
        <f>'Respuestas de formulario 1'!F1411</f>
        <v>7964691</v>
      </c>
      <c r="G1411" s="7" t="str">
        <f>IFERROR(__xludf.DUMMYFUNCTION("IF('Respuestas de formulario 1'!G1411="""","""",IF(LEFT(REGEXREPLACE(TO_TEXT('Respuestas de formulario 1'!G1411),""[^0-9]"",""""),2)=""54"",""+""&amp;REGEXREPLACE(TO_TEXT('Respuestas de formulario 1'!G1411),""[^0-9]"",""""),""+54""&amp;REGEXREPLACE(TO_TEXT('Respu"&amp;"estas de formulario 1'!G1411),""[^0-9]"","""")))"),"+543515443912")</f>
        <v>+543515443912</v>
      </c>
      <c r="H1411" s="7">
        <f>'Respuestas de formulario 1'!S1411</f>
        <v>2026</v>
      </c>
      <c r="I1411" s="7" t="str">
        <f>IFERROR(__xludf.DUMMYFUNCTION("IF('Respuestas de formulario 1'!I1411="""","""",TO_TEXT('Respuestas de formulario 1'!I1411))"),"Obra social")</f>
        <v>Obra social</v>
      </c>
      <c r="J1411" s="7" t="str">
        <f>IFERROR(__xludf.DUMMYFUNCTION("IF('Respuestas de formulario 1'!J1411&lt;&gt;"""",UPPER(TRIM(TO_TEXT('Respuestas de formulario 1'!J1411))),IF('Respuestas de formulario 1'!O1411&lt;&gt;"""",UPPER(TRIM(TO_TEXT('Respuestas de formulario 1'!O1411))),""""))"),"APROSS")</f>
        <v>APROSS</v>
      </c>
      <c r="K1411" s="7" t="str">
        <f>IFERROR(__xludf.DUMMYFUNCTION("IF('Respuestas de formulario 1'!K1411="""","""",TO_TEXT('Respuestas de formulario 1'!K1411))"),"Si")</f>
        <v>Si</v>
      </c>
      <c r="L1411" s="7" t="str">
        <f>IFERROR(__xludf.DUMMYFUNCTION("IF('Respuestas de formulario 1'!L1411="""","""",TO_TEXT('Respuestas de formulario 1'!L1411))"),"")</f>
        <v/>
      </c>
      <c r="M1411" s="7" t="str">
        <f>IFERROR(__xludf.DUMMYFUNCTION("IF('Respuestas de formulario 1'!M1411="""","""",TO_TEXT('Respuestas de formulario 1'!M1411))"),"")</f>
        <v/>
      </c>
      <c r="N1411" s="7">
        <f t="shared" si="1"/>
        <v>2026</v>
      </c>
      <c r="O1411" s="7" t="str">
        <f t="shared" si="2"/>
        <v>enero</v>
      </c>
      <c r="P1411" s="7" t="s">
        <v>6933</v>
      </c>
    </row>
    <row r="1412">
      <c r="A1412" s="19">
        <f>'Respuestas de formulario 1'!A1412</f>
        <v>46038.69743</v>
      </c>
      <c r="B1412" s="7" t="str">
        <f>'Respuestas de formulario 1'!B1412</f>
        <v>Neder</v>
      </c>
      <c r="C1412" s="7" t="str">
        <f>'Respuestas de formulario 1'!C1412</f>
        <v>julian</v>
      </c>
      <c r="D1412" s="7" t="str">
        <f>'Respuestas de formulario 1'!D1412</f>
        <v>julianneder@gmail.com</v>
      </c>
      <c r="E1412" s="20">
        <f>'Respuestas de formulario 1'!E1412</f>
        <v>34044</v>
      </c>
      <c r="F1412" s="7">
        <f>'Respuestas de formulario 1'!F1412</f>
        <v>37318241</v>
      </c>
      <c r="G1412" s="7" t="str">
        <f>IFERROR(__xludf.DUMMYFUNCTION("IF('Respuestas de formulario 1'!G1412="""","""",IF(LEFT(REGEXREPLACE(TO_TEXT('Respuestas de formulario 1'!G1412),""[^0-9]"",""""),2)=""54"",""+""&amp;REGEXREPLACE(TO_TEXT('Respuestas de formulario 1'!G1412),""[^0-9]"",""""),""+54""&amp;REGEXREPLACE(TO_TEXT('Respu"&amp;"estas de formulario 1'!G1412),""[^0-9]"","""")))"),"+543513460114")</f>
        <v>+543513460114</v>
      </c>
      <c r="H1412" s="7">
        <f>'Respuestas de formulario 1'!S1412</f>
        <v>2026</v>
      </c>
      <c r="I1412" s="7" t="str">
        <f>IFERROR(__xludf.DUMMYFUNCTION("IF('Respuestas de formulario 1'!I1412="""","""",TO_TEXT('Respuestas de formulario 1'!I1412))"),"Obra social")</f>
        <v>Obra social</v>
      </c>
      <c r="J1412" s="7" t="str">
        <f>IFERROR(__xludf.DUMMYFUNCTION("IF('Respuestas de formulario 1'!J1412&lt;&gt;"""",UPPER(TRIM(TO_TEXT('Respuestas de formulario 1'!J1412))),IF('Respuestas de formulario 1'!O1412&lt;&gt;"""",UPPER(TRIM(TO_TEXT('Respuestas de formulario 1'!O1412))),""""))"),"APROSS")</f>
        <v>APROSS</v>
      </c>
      <c r="K1412" s="7" t="str">
        <f>IFERROR(__xludf.DUMMYFUNCTION("IF('Respuestas de formulario 1'!K1412="""","""",TO_TEXT('Respuestas de formulario 1'!K1412))"),"Si")</f>
        <v>Si</v>
      </c>
      <c r="L1412" s="7" t="str">
        <f>IFERROR(__xludf.DUMMYFUNCTION("IF('Respuestas de formulario 1'!L1412="""","""",TO_TEXT('Respuestas de formulario 1'!L1412))"),"Gimnasio")</f>
        <v>Gimnasio</v>
      </c>
      <c r="M1412" s="7" t="str">
        <f>IFERROR(__xludf.DUMMYFUNCTION("IF('Respuestas de formulario 1'!M1412="""","""",TO_TEXT('Respuestas de formulario 1'!M1412))"),"3 a 5 veces por semana")</f>
        <v>3 a 5 veces por semana</v>
      </c>
      <c r="N1412" s="7">
        <f t="shared" si="1"/>
        <v>2026</v>
      </c>
      <c r="O1412" s="7" t="str">
        <f t="shared" si="2"/>
        <v>enero</v>
      </c>
      <c r="P1412" s="7" t="s">
        <v>6935</v>
      </c>
    </row>
    <row r="1413">
      <c r="A1413" s="19">
        <f>'Respuestas de formulario 1'!A1413</f>
        <v>46038.70119</v>
      </c>
      <c r="B1413" s="7" t="str">
        <f>'Respuestas de formulario 1'!B1413</f>
        <v>Lima</v>
      </c>
      <c r="C1413" s="7" t="str">
        <f>'Respuestas de formulario 1'!C1413</f>
        <v>Osvaldo Fabián</v>
      </c>
      <c r="D1413" s="7" t="str">
        <f>'Respuestas de formulario 1'!D1413</f>
        <v>limafab@yahoo.com.ar</v>
      </c>
      <c r="E1413" s="20">
        <f>'Respuestas de formulario 1'!E1413</f>
        <v>26440</v>
      </c>
      <c r="F1413" s="7">
        <f>'Respuestas de formulario 1'!F1413</f>
        <v>22862449</v>
      </c>
      <c r="G1413" s="7" t="str">
        <f>IFERROR(__xludf.DUMMYFUNCTION("IF('Respuestas de formulario 1'!G1413="""","""",IF(LEFT(REGEXREPLACE(TO_TEXT('Respuestas de formulario 1'!G1413),""[^0-9]"",""""),2)=""54"",""+""&amp;REGEXREPLACE(TO_TEXT('Respuestas de formulario 1'!G1413),""[^0-9]"",""""),""+54""&amp;REGEXREPLACE(TO_TEXT('Respu"&amp;"estas de formulario 1'!G1413),""[^0-9]"","""")))"),"+543515741814")</f>
        <v>+543515741814</v>
      </c>
      <c r="H1413" s="7">
        <f>'Respuestas de formulario 1'!S1413</f>
        <v>2026</v>
      </c>
      <c r="I1413" s="7" t="str">
        <f>IFERROR(__xludf.DUMMYFUNCTION("IF('Respuestas de formulario 1'!I1413="""","""",TO_TEXT('Respuestas de formulario 1'!I1413))"),"Obra social")</f>
        <v>Obra social</v>
      </c>
      <c r="J1413" s="7" t="str">
        <f>IFERROR(__xludf.DUMMYFUNCTION("IF('Respuestas de formulario 1'!J1413&lt;&gt;"""",UPPER(TRIM(TO_TEXT('Respuestas de formulario 1'!J1413))),IF('Respuestas de formulario 1'!O1413&lt;&gt;"""",UPPER(TRIM(TO_TEXT('Respuestas de formulario 1'!O1413))),""""))"),"SWISS MEDICAL")</f>
        <v>SWISS MEDICAL</v>
      </c>
      <c r="K1413" s="7" t="str">
        <f>IFERROR(__xludf.DUMMYFUNCTION("IF('Respuestas de formulario 1'!K1413="""","""",TO_TEXT('Respuestas de formulario 1'!K1413))"),"Si")</f>
        <v>Si</v>
      </c>
      <c r="L1413" s="7" t="str">
        <f>IFERROR(__xludf.DUMMYFUNCTION("IF('Respuestas de formulario 1'!L1413="""","""",TO_TEXT('Respuestas de formulario 1'!L1413))"),"Gimnasio")</f>
        <v>Gimnasio</v>
      </c>
      <c r="M1413" s="7" t="str">
        <f>IFERROR(__xludf.DUMMYFUNCTION("IF('Respuestas de formulario 1'!M1413="""","""",TO_TEXT('Respuestas de formulario 1'!M1413))"),"1 a 2 veces por semana")</f>
        <v>1 a 2 veces por semana</v>
      </c>
      <c r="N1413" s="7">
        <f t="shared" si="1"/>
        <v>2026</v>
      </c>
      <c r="O1413" s="7" t="str">
        <f t="shared" si="2"/>
        <v>enero</v>
      </c>
      <c r="P1413" s="7" t="s">
        <v>6937</v>
      </c>
    </row>
    <row r="1414">
      <c r="A1414" s="19">
        <f>'Respuestas de formulario 1'!A1414</f>
        <v>46039.39594</v>
      </c>
      <c r="B1414" s="7" t="str">
        <f>'Respuestas de formulario 1'!B1414</f>
        <v>Ruiz Diaz </v>
      </c>
      <c r="C1414" s="7" t="str">
        <f>'Respuestas de formulario 1'!C1414</f>
        <v>Leonardo Emanuel </v>
      </c>
      <c r="D1414" s="7" t="str">
        <f>'Respuestas de formulario 1'!D1414</f>
        <v>Leonardoruiz@upc.edu.ar </v>
      </c>
      <c r="E1414" s="20">
        <f>'Respuestas de formulario 1'!E1414</f>
        <v>29922</v>
      </c>
      <c r="F1414" s="7">
        <f>'Respuestas de formulario 1'!F1414</f>
        <v>29180186</v>
      </c>
      <c r="G1414" s="7" t="str">
        <f>IFERROR(__xludf.DUMMYFUNCTION("IF('Respuestas de formulario 1'!G1414="""","""",IF(LEFT(REGEXREPLACE(TO_TEXT('Respuestas de formulario 1'!G1414),""[^0-9]"",""""),2)=""54"",""+""&amp;REGEXREPLACE(TO_TEXT('Respuestas de formulario 1'!G1414),""[^0-9]"",""""),""+54""&amp;REGEXREPLACE(TO_TEXT('Respu"&amp;"estas de formulario 1'!G1414),""[^0-9]"","""")))"),"+543516131460")</f>
        <v>+543516131460</v>
      </c>
      <c r="H1414" s="7">
        <f>'Respuestas de formulario 1'!S1414</f>
        <v>2026</v>
      </c>
      <c r="I1414" s="7" t="str">
        <f>IFERROR(__xludf.DUMMYFUNCTION("IF('Respuestas de formulario 1'!I1414="""","""",TO_TEXT('Respuestas de formulario 1'!I1414))"),"Obra social")</f>
        <v>Obra social</v>
      </c>
      <c r="J1414" s="7" t="str">
        <f>IFERROR(__xludf.DUMMYFUNCTION("IF('Respuestas de formulario 1'!J1414&lt;&gt;"""",UPPER(TRIM(TO_TEXT('Respuestas de formulario 1'!J1414))),IF('Respuestas de formulario 1'!O1414&lt;&gt;"""",UPPER(TRIM(TO_TEXT('Respuestas de formulario 1'!O1414))),""""))"),"APROSS")</f>
        <v>APROSS</v>
      </c>
      <c r="K1414" s="7" t="str">
        <f>IFERROR(__xludf.DUMMYFUNCTION("IF('Respuestas de formulario 1'!K1414="""","""",TO_TEXT('Respuestas de formulario 1'!K1414))"),"Si")</f>
        <v>Si</v>
      </c>
      <c r="L1414" s="7" t="str">
        <f>IFERROR(__xludf.DUMMYFUNCTION("IF('Respuestas de formulario 1'!L1414="""","""",TO_TEXT('Respuestas de formulario 1'!L1414))"),"Fútbol")</f>
        <v>Fútbol</v>
      </c>
      <c r="M1414" s="7" t="str">
        <f>IFERROR(__xludf.DUMMYFUNCTION("IF('Respuestas de formulario 1'!M1414="""","""",TO_TEXT('Respuestas de formulario 1'!M1414))"),"3 a 5 veces por semana")</f>
        <v>3 a 5 veces por semana</v>
      </c>
      <c r="N1414" s="7">
        <f t="shared" si="1"/>
        <v>2026</v>
      </c>
      <c r="O1414" s="7" t="str">
        <f t="shared" si="2"/>
        <v>enero</v>
      </c>
      <c r="P1414" s="7" t="s">
        <v>6939</v>
      </c>
    </row>
    <row r="1415">
      <c r="A1415" s="19">
        <f>'Respuestas de formulario 1'!A1415</f>
        <v>46040.80684</v>
      </c>
      <c r="B1415" s="7" t="str">
        <f>'Respuestas de formulario 1'!B1415</f>
        <v>Roganti</v>
      </c>
      <c r="C1415" s="7" t="str">
        <f>'Respuestas de formulario 1'!C1415</f>
        <v>Laura</v>
      </c>
      <c r="D1415" s="7" t="str">
        <f>'Respuestas de formulario 1'!D1415</f>
        <v>l_roganti@hotmail.com</v>
      </c>
      <c r="E1415" s="20">
        <f>'Respuestas de formulario 1'!E1415</f>
        <v>29372</v>
      </c>
      <c r="F1415" s="7">
        <f>'Respuestas de formulario 1'!F1415</f>
        <v>28064405</v>
      </c>
      <c r="G1415" s="7" t="str">
        <f>IFERROR(__xludf.DUMMYFUNCTION("IF('Respuestas de formulario 1'!G1415="""","""",IF(LEFT(REGEXREPLACE(TO_TEXT('Respuestas de formulario 1'!G1415),""[^0-9]"",""""),2)=""54"",""+""&amp;REGEXREPLACE(TO_TEXT('Respuestas de formulario 1'!G1415),""[^0-9]"",""""),""+54""&amp;REGEXREPLACE(TO_TEXT('Respu"&amp;"estas de formulario 1'!G1415),""[^0-9]"","""")))"),"+543512339912")</f>
        <v>+543512339912</v>
      </c>
      <c r="H1415" s="7">
        <f>'Respuestas de formulario 1'!S1415</f>
        <v>2026</v>
      </c>
      <c r="I1415" s="7" t="str">
        <f>IFERROR(__xludf.DUMMYFUNCTION("IF('Respuestas de formulario 1'!I1415="""","""",TO_TEXT('Respuestas de formulario 1'!I1415))"),"Obra social")</f>
        <v>Obra social</v>
      </c>
      <c r="J1415" s="7" t="str">
        <f>IFERROR(__xludf.DUMMYFUNCTION("IF('Respuestas de formulario 1'!J1415&lt;&gt;"""",UPPER(TRIM(TO_TEXT('Respuestas de formulario 1'!J1415))),IF('Respuestas de formulario 1'!O1415&lt;&gt;"""",UPPER(TRIM(TO_TEXT('Respuestas de formulario 1'!O1415))),""""))"),"MEDIFE")</f>
        <v>MEDIFE</v>
      </c>
      <c r="K1415" s="7" t="str">
        <f>IFERROR(__xludf.DUMMYFUNCTION("IF('Respuestas de formulario 1'!K1415="""","""",TO_TEXT('Respuestas de formulario 1'!K1415))"),"Si")</f>
        <v>Si</v>
      </c>
      <c r="L1415" s="7" t="str">
        <f>IFERROR(__xludf.DUMMYFUNCTION("IF('Respuestas de formulario 1'!L1415="""","""",TO_TEXT('Respuestas de formulario 1'!L1415))"),"Gimnasio y TPA")</f>
        <v>Gimnasio y TPA</v>
      </c>
      <c r="M1415" s="7" t="str">
        <f>IFERROR(__xludf.DUMMYFUNCTION("IF('Respuestas de formulario 1'!M1415="""","""",TO_TEXT('Respuestas de formulario 1'!M1415))"),"3 a 5 veces por semana")</f>
        <v>3 a 5 veces por semana</v>
      </c>
      <c r="N1415" s="7">
        <f t="shared" si="1"/>
        <v>2026</v>
      </c>
      <c r="O1415" s="7" t="str">
        <f t="shared" si="2"/>
        <v>enero</v>
      </c>
      <c r="P1415" s="7" t="s">
        <v>6941</v>
      </c>
    </row>
    <row r="1416">
      <c r="A1416" s="19">
        <f>'Respuestas de formulario 1'!A1416</f>
        <v>46040.90587</v>
      </c>
      <c r="B1416" s="7" t="str">
        <f>'Respuestas de formulario 1'!B1416</f>
        <v>Luna</v>
      </c>
      <c r="C1416" s="7" t="str">
        <f>'Respuestas de formulario 1'!C1416</f>
        <v>Federico </v>
      </c>
      <c r="D1416" s="7" t="str">
        <f>'Respuestas de formulario 1'!D1416</f>
        <v>Fede.luna1988@gmail.com</v>
      </c>
      <c r="E1416" s="20">
        <f>'Respuestas de formulario 1'!E1416</f>
        <v>32374</v>
      </c>
      <c r="F1416" s="7">
        <f>'Respuestas de formulario 1'!F1416</f>
        <v>33831945</v>
      </c>
      <c r="G1416" s="7" t="str">
        <f>IFERROR(__xludf.DUMMYFUNCTION("IF('Respuestas de formulario 1'!G1416="""","""",IF(LEFT(REGEXREPLACE(TO_TEXT('Respuestas de formulario 1'!G1416),""[^0-9]"",""""),2)=""54"",""+""&amp;REGEXREPLACE(TO_TEXT('Respuestas de formulario 1'!G1416),""[^0-9]"",""""),""+54""&amp;REGEXREPLACE(TO_TEXT('Respu"&amp;"estas de formulario 1'!G1416),""[^0-9]"","""")))"),"+543512039666")</f>
        <v>+543512039666</v>
      </c>
      <c r="H1416" s="7">
        <f>'Respuestas de formulario 1'!S1416</f>
        <v>2026</v>
      </c>
      <c r="I1416" s="7" t="str">
        <f>IFERROR(__xludf.DUMMYFUNCTION("IF('Respuestas de formulario 1'!I1416="""","""",TO_TEXT('Respuestas de formulario 1'!I1416))"),"Obra social")</f>
        <v>Obra social</v>
      </c>
      <c r="J1416" s="7" t="str">
        <f>IFERROR(__xludf.DUMMYFUNCTION("IF('Respuestas de formulario 1'!J1416&lt;&gt;"""",UPPER(TRIM(TO_TEXT('Respuestas de formulario 1'!J1416))),IF('Respuestas de formulario 1'!O1416&lt;&gt;"""",UPPER(TRIM(TO_TEXT('Respuestas de formulario 1'!O1416))),""""))"),"SANCOR")</f>
        <v>SANCOR</v>
      </c>
      <c r="K1416" s="7" t="str">
        <f>IFERROR(__xludf.DUMMYFUNCTION("IF('Respuestas de formulario 1'!K1416="""","""",TO_TEXT('Respuestas de formulario 1'!K1416))"),"Si")</f>
        <v>Si</v>
      </c>
      <c r="L1416" s="7" t="str">
        <f>IFERROR(__xludf.DUMMYFUNCTION("IF('Respuestas de formulario 1'!L1416="""","""",TO_TEXT('Respuestas de formulario 1'!L1416))"),"Básquet y Running")</f>
        <v>Básquet y Running</v>
      </c>
      <c r="M1416" s="7" t="str">
        <f>IFERROR(__xludf.DUMMYFUNCTION("IF('Respuestas de formulario 1'!M1416="""","""",TO_TEXT('Respuestas de formulario 1'!M1416))"),"3 a 5 veces por semana")</f>
        <v>3 a 5 veces por semana</v>
      </c>
      <c r="N1416" s="7">
        <f t="shared" si="1"/>
        <v>2026</v>
      </c>
      <c r="O1416" s="7" t="str">
        <f t="shared" si="2"/>
        <v>enero</v>
      </c>
      <c r="P1416" s="7" t="s">
        <v>6943</v>
      </c>
    </row>
    <row r="1417">
      <c r="A1417" s="19">
        <f>'Respuestas de formulario 1'!A1417</f>
        <v>46041.37102</v>
      </c>
      <c r="B1417" s="7" t="str">
        <f>'Respuestas de formulario 1'!B1417</f>
        <v>FERRARIS</v>
      </c>
      <c r="C1417" s="7" t="str">
        <f>'Respuestas de formulario 1'!C1417</f>
        <v>Ainelén </v>
      </c>
      <c r="D1417" s="7" t="str">
        <f>'Respuestas de formulario 1'!D1417</f>
        <v>ferrarisainelen@gmail.com</v>
      </c>
      <c r="E1417" s="20">
        <f>'Respuestas de formulario 1'!E1417</f>
        <v>33338</v>
      </c>
      <c r="F1417" s="7">
        <f>'Respuestas de formulario 1'!F1417</f>
        <v>35883146</v>
      </c>
      <c r="G1417" s="7" t="str">
        <f>IFERROR(__xludf.DUMMYFUNCTION("IF('Respuestas de formulario 1'!G1417="""","""",IF(LEFT(REGEXREPLACE(TO_TEXT('Respuestas de formulario 1'!G1417),""[^0-9]"",""""),2)=""54"",""+""&amp;REGEXREPLACE(TO_TEXT('Respuestas de formulario 1'!G1417),""[^0-9]"",""""),""+54""&amp;REGEXREPLACE(TO_TEXT('Respu"&amp;"estas de formulario 1'!G1417),""[^0-9]"","""")))"),"+543512377419")</f>
        <v>+543512377419</v>
      </c>
      <c r="H1417" s="7">
        <f>'Respuestas de formulario 1'!S1417</f>
        <v>2026</v>
      </c>
      <c r="I1417" s="7" t="str">
        <f>IFERROR(__xludf.DUMMYFUNCTION("IF('Respuestas de formulario 1'!I1417="""","""",TO_TEXT('Respuestas de formulario 1'!I1417))"),"Obra social")</f>
        <v>Obra social</v>
      </c>
      <c r="J1417" s="7" t="str">
        <f>IFERROR(__xludf.DUMMYFUNCTION("IF('Respuestas de formulario 1'!J1417&lt;&gt;"""",UPPER(TRIM(TO_TEXT('Respuestas de formulario 1'!J1417))),IF('Respuestas de formulario 1'!O1417&lt;&gt;"""",UPPER(TRIM(TO_TEXT('Respuestas de formulario 1'!O1417))),""""))"),"SANCOR")</f>
        <v>SANCOR</v>
      </c>
      <c r="K1417" s="7" t="str">
        <f>IFERROR(__xludf.DUMMYFUNCTION("IF('Respuestas de formulario 1'!K1417="""","""",TO_TEXT('Respuestas de formulario 1'!K1417))"),"No")</f>
        <v>No</v>
      </c>
      <c r="L1417" s="7" t="str">
        <f>IFERROR(__xludf.DUMMYFUNCTION("IF('Respuestas de formulario 1'!L1417="""","""",TO_TEXT('Respuestas de formulario 1'!L1417))"),"")</f>
        <v/>
      </c>
      <c r="M1417" s="7" t="str">
        <f>IFERROR(__xludf.DUMMYFUNCTION("IF('Respuestas de formulario 1'!M1417="""","""",TO_TEXT('Respuestas de formulario 1'!M1417))"),"")</f>
        <v/>
      </c>
      <c r="N1417" s="7">
        <f t="shared" si="1"/>
        <v>2026</v>
      </c>
      <c r="O1417" s="7" t="str">
        <f t="shared" si="2"/>
        <v>enero</v>
      </c>
      <c r="P1417" s="7" t="s">
        <v>6945</v>
      </c>
    </row>
    <row r="1418">
      <c r="A1418" s="19">
        <f>'Respuestas de formulario 1'!A1418</f>
        <v>46041.40702</v>
      </c>
      <c r="B1418" s="7" t="str">
        <f>'Respuestas de formulario 1'!B1418</f>
        <v>Pucheta</v>
      </c>
      <c r="C1418" s="7" t="str">
        <f>'Respuestas de formulario 1'!C1418</f>
        <v>Benjamin </v>
      </c>
      <c r="D1418" s="7" t="str">
        <f>'Respuestas de formulario 1'!D1418</f>
        <v>Guaditaoth@hotmail.com</v>
      </c>
      <c r="E1418" s="20">
        <f>'Respuestas de formulario 1'!E1418</f>
        <v>39735</v>
      </c>
      <c r="F1418" s="7">
        <f>'Respuestas de formulario 1'!F1418</f>
        <v>50635799</v>
      </c>
      <c r="G1418" s="7" t="str">
        <f>IFERROR(__xludf.DUMMYFUNCTION("IF('Respuestas de formulario 1'!G1418="""","""",IF(LEFT(REGEXREPLACE(TO_TEXT('Respuestas de formulario 1'!G1418),""[^0-9]"",""""),2)=""54"",""+""&amp;REGEXREPLACE(TO_TEXT('Respuestas de formulario 1'!G1418),""[^0-9]"",""""),""+54""&amp;REGEXREPLACE(TO_TEXT('Respu"&amp;"estas de formulario 1'!G1418),""[^0-9]"","""")))"),"+543512584587")</f>
        <v>+543512584587</v>
      </c>
      <c r="H1418" s="7">
        <f>'Respuestas de formulario 1'!S1418</f>
        <v>2026</v>
      </c>
      <c r="I1418" s="7" t="str">
        <f>IFERROR(__xludf.DUMMYFUNCTION("IF('Respuestas de formulario 1'!I1418="""","""",TO_TEXT('Respuestas de formulario 1'!I1418))"),"Obra social")</f>
        <v>Obra social</v>
      </c>
      <c r="J1418" s="7" t="str">
        <f>IFERROR(__xludf.DUMMYFUNCTION("IF('Respuestas de formulario 1'!J1418&lt;&gt;"""",UPPER(TRIM(TO_TEXT('Respuestas de formulario 1'!J1418))),IF('Respuestas de formulario 1'!O1418&lt;&gt;"""",UPPER(TRIM(TO_TEXT('Respuestas de formulario 1'!O1418))),""""))"),"BOREAL")</f>
        <v>BOREAL</v>
      </c>
      <c r="K1418" s="7" t="str">
        <f>IFERROR(__xludf.DUMMYFUNCTION("IF('Respuestas de formulario 1'!K1418="""","""",TO_TEXT('Respuestas de formulario 1'!K1418))"),"Si")</f>
        <v>Si</v>
      </c>
      <c r="L1418" s="7" t="str">
        <f>IFERROR(__xludf.DUMMYFUNCTION("IF('Respuestas de formulario 1'!L1418="""","""",TO_TEXT('Respuestas de formulario 1'!L1418))"),"Fútbol")</f>
        <v>Fútbol</v>
      </c>
      <c r="M1418" s="7" t="str">
        <f>IFERROR(__xludf.DUMMYFUNCTION("IF('Respuestas de formulario 1'!M1418="""","""",TO_TEXT('Respuestas de formulario 1'!M1418))"),"1 a 2 veces por semana")</f>
        <v>1 a 2 veces por semana</v>
      </c>
      <c r="N1418" s="7">
        <f t="shared" si="1"/>
        <v>2026</v>
      </c>
      <c r="O1418" s="7" t="str">
        <f t="shared" si="2"/>
        <v>enero</v>
      </c>
      <c r="P1418" s="7" t="s">
        <v>6947</v>
      </c>
    </row>
    <row r="1419">
      <c r="A1419" s="19">
        <f>'Respuestas de formulario 1'!A1419</f>
        <v>46041.44854</v>
      </c>
      <c r="B1419" s="7" t="str">
        <f>'Respuestas de formulario 1'!B1419</f>
        <v>FILI</v>
      </c>
      <c r="C1419" s="7" t="str">
        <f>'Respuestas de formulario 1'!C1419</f>
        <v>María Florencia</v>
      </c>
      <c r="D1419" s="7" t="str">
        <f>'Respuestas de formulario 1'!D1419</f>
        <v>florfili@gmail.com</v>
      </c>
      <c r="E1419" s="20">
        <f>'Respuestas de formulario 1'!E1419</f>
        <v>30852</v>
      </c>
      <c r="F1419" s="7">
        <f>'Respuestas de formulario 1'!F1419</f>
        <v>31041617</v>
      </c>
      <c r="G1419" s="7" t="str">
        <f>IFERROR(__xludf.DUMMYFUNCTION("IF('Respuestas de formulario 1'!G1419="""","""",IF(LEFT(REGEXREPLACE(TO_TEXT('Respuestas de formulario 1'!G1419),""[^0-9]"",""""),2)=""54"",""+""&amp;REGEXREPLACE(TO_TEXT('Respuestas de formulario 1'!G1419),""[^0-9]"",""""),""+54""&amp;REGEXREPLACE(TO_TEXT('Respu"&amp;"estas de formulario 1'!G1419),""[^0-9]"","""")))"),"+543513141166")</f>
        <v>+543513141166</v>
      </c>
      <c r="H1419" s="7">
        <f>'Respuestas de formulario 1'!S1419</f>
        <v>2026</v>
      </c>
      <c r="I1419" s="7" t="str">
        <f>IFERROR(__xludf.DUMMYFUNCTION("IF('Respuestas de formulario 1'!I1419="""","""",TO_TEXT('Respuestas de formulario 1'!I1419))"),"Obra social")</f>
        <v>Obra social</v>
      </c>
      <c r="J1419" s="7" t="str">
        <f>IFERROR(__xludf.DUMMYFUNCTION("IF('Respuestas de formulario 1'!J1419&lt;&gt;"""",UPPER(TRIM(TO_TEXT('Respuestas de formulario 1'!J1419))),IF('Respuestas de formulario 1'!O1419&lt;&gt;"""",UPPER(TRIM(TO_TEXT('Respuestas de formulario 1'!O1419))),""""))"),"APROSS")</f>
        <v>APROSS</v>
      </c>
      <c r="K1419" s="7" t="str">
        <f>IFERROR(__xludf.DUMMYFUNCTION("IF('Respuestas de formulario 1'!K1419="""","""",TO_TEXT('Respuestas de formulario 1'!K1419))"),"Si")</f>
        <v>Si</v>
      </c>
      <c r="L1419" s="7" t="str">
        <f>IFERROR(__xludf.DUMMYFUNCTION("IF('Respuestas de formulario 1'!L1419="""","""",TO_TEXT('Respuestas de formulario 1'!L1419))"),"Gimnasio")</f>
        <v>Gimnasio</v>
      </c>
      <c r="M1419" s="7" t="str">
        <f>IFERROR(__xludf.DUMMYFUNCTION("IF('Respuestas de formulario 1'!M1419="""","""",TO_TEXT('Respuestas de formulario 1'!M1419))"),"3 a 5 veces por semana")</f>
        <v>3 a 5 veces por semana</v>
      </c>
      <c r="N1419" s="7">
        <f t="shared" si="1"/>
        <v>2026</v>
      </c>
      <c r="O1419" s="7" t="str">
        <f t="shared" si="2"/>
        <v>enero</v>
      </c>
      <c r="P1419" s="7" t="s">
        <v>6949</v>
      </c>
    </row>
    <row r="1420">
      <c r="A1420" s="19">
        <f>'Respuestas de formulario 1'!A1420</f>
        <v>46041.97753</v>
      </c>
      <c r="B1420" s="7" t="str">
        <f>'Respuestas de formulario 1'!B1420</f>
        <v>GIUSTO</v>
      </c>
      <c r="C1420" s="7" t="str">
        <f>'Respuestas de formulario 1'!C1420</f>
        <v>ANA MARIA</v>
      </c>
      <c r="D1420" s="7" t="str">
        <f>'Respuestas de formulario 1'!D1420</f>
        <v>anamariagiusto3@gmail.com</v>
      </c>
      <c r="E1420" s="20">
        <f>'Respuestas de formulario 1'!E1420</f>
        <v>16299</v>
      </c>
      <c r="F1420" s="7">
        <f>'Respuestas de formulario 1'!F1420</f>
        <v>4855585</v>
      </c>
      <c r="G1420" s="7" t="str">
        <f>IFERROR(__xludf.DUMMYFUNCTION("IF('Respuestas de formulario 1'!G1420="""","""",IF(LEFT(REGEXREPLACE(TO_TEXT('Respuestas de formulario 1'!G1420),""[^0-9]"",""""),2)=""54"",""+""&amp;REGEXREPLACE(TO_TEXT('Respuestas de formulario 1'!G1420),""[^0-9]"",""""),""+54""&amp;REGEXREPLACE(TO_TEXT('Respu"&amp;"estas de formulario 1'!G1420),""[^0-9]"","""")))"),"+543512839398")</f>
        <v>+543512839398</v>
      </c>
      <c r="H1420" s="7">
        <f>'Respuestas de formulario 1'!S1420</f>
        <v>2026</v>
      </c>
      <c r="I1420" s="7" t="str">
        <f>IFERROR(__xludf.DUMMYFUNCTION("IF('Respuestas de formulario 1'!I1420="""","""",TO_TEXT('Respuestas de formulario 1'!I1420))"),"Particular")</f>
        <v>Particular</v>
      </c>
      <c r="J1420" s="7" t="str">
        <f>IFERROR(__xludf.DUMMYFUNCTION("IF('Respuestas de formulario 1'!J1420&lt;&gt;"""",UPPER(TRIM(TO_TEXT('Respuestas de formulario 1'!J1420))),IF('Respuestas de formulario 1'!O1420&lt;&gt;"""",UPPER(TRIM(TO_TEXT('Respuestas de formulario 1'!O1420))),""""))"),"")</f>
        <v/>
      </c>
      <c r="K1420" s="7" t="str">
        <f>IFERROR(__xludf.DUMMYFUNCTION("IF('Respuestas de formulario 1'!K1420="""","""",TO_TEXT('Respuestas de formulario 1'!K1420))"),"No")</f>
        <v>No</v>
      </c>
      <c r="L1420" s="7" t="str">
        <f>IFERROR(__xludf.DUMMYFUNCTION("IF('Respuestas de formulario 1'!L1420="""","""",TO_TEXT('Respuestas de formulario 1'!L1420))"),"")</f>
        <v/>
      </c>
      <c r="M1420" s="7" t="str">
        <f>IFERROR(__xludf.DUMMYFUNCTION("IF('Respuestas de formulario 1'!M1420="""","""",TO_TEXT('Respuestas de formulario 1'!M1420))"),"")</f>
        <v/>
      </c>
      <c r="N1420" s="7">
        <f t="shared" si="1"/>
        <v>2026</v>
      </c>
      <c r="O1420" s="7" t="str">
        <f t="shared" si="2"/>
        <v>enero</v>
      </c>
      <c r="P1420" s="7" t="s">
        <v>6951</v>
      </c>
    </row>
    <row r="1421">
      <c r="A1421" s="19">
        <f>'Respuestas de formulario 1'!A1421</f>
        <v>46045.74432</v>
      </c>
      <c r="B1421" s="7" t="str">
        <f>'Respuestas de formulario 1'!B1421</f>
        <v>Nacul</v>
      </c>
      <c r="C1421" s="7" t="str">
        <f>'Respuestas de formulario 1'!C1421</f>
        <v>Lautaro</v>
      </c>
      <c r="D1421" s="7" t="str">
        <f>'Respuestas de formulario 1'!D1421</f>
        <v>launacul@hotmail.com</v>
      </c>
      <c r="E1421" s="20">
        <f>'Respuestas de formulario 1'!E1421</f>
        <v>35804</v>
      </c>
      <c r="F1421" s="7">
        <f>'Respuestas de formulario 1'!F1421</f>
        <v>40783228</v>
      </c>
      <c r="G1421" s="7" t="str">
        <f>IFERROR(__xludf.DUMMYFUNCTION("IF('Respuestas de formulario 1'!G1421="""","""",IF(LEFT(REGEXREPLACE(TO_TEXT('Respuestas de formulario 1'!G1421),""[^0-9]"",""""),2)=""54"",""+""&amp;REGEXREPLACE(TO_TEXT('Respuestas de formulario 1'!G1421),""[^0-9]"",""""),""+54""&amp;REGEXREPLACE(TO_TEXT('Respu"&amp;"estas de formulario 1'!G1421),""[^0-9]"","""")))"),"+543815972112")</f>
        <v>+543815972112</v>
      </c>
      <c r="H1421" s="7">
        <f>'Respuestas de formulario 1'!S1421</f>
        <v>2026</v>
      </c>
      <c r="I1421" s="7" t="str">
        <f>IFERROR(__xludf.DUMMYFUNCTION("IF('Respuestas de formulario 1'!I1421="""","""",TO_TEXT('Respuestas de formulario 1'!I1421))"),"Obra social")</f>
        <v>Obra social</v>
      </c>
      <c r="J1421" s="7" t="str">
        <f>IFERROR(__xludf.DUMMYFUNCTION("IF('Respuestas de formulario 1'!J1421&lt;&gt;"""",UPPER(TRIM(TO_TEXT('Respuestas de formulario 1'!J1421))),IF('Respuestas de formulario 1'!O1421&lt;&gt;"""",UPPER(TRIM(TO_TEXT('Respuestas de formulario 1'!O1421))),""""))"),"SANCOR")</f>
        <v>SANCOR</v>
      </c>
      <c r="K1421" s="7" t="str">
        <f>IFERROR(__xludf.DUMMYFUNCTION("IF('Respuestas de formulario 1'!K1421="""","""",TO_TEXT('Respuestas de formulario 1'!K1421))"),"Si")</f>
        <v>Si</v>
      </c>
      <c r="L1421" s="7" t="str">
        <f>IFERROR(__xludf.DUMMYFUNCTION("IF('Respuestas de formulario 1'!L1421="""","""",TO_TEXT('Respuestas de formulario 1'!L1421))"),"Fútbol")</f>
        <v>Fútbol</v>
      </c>
      <c r="M1421" s="7" t="str">
        <f>IFERROR(__xludf.DUMMYFUNCTION("IF('Respuestas de formulario 1'!M1421="""","""",TO_TEXT('Respuestas de formulario 1'!M1421))"),"3 a 5 veces por semana")</f>
        <v>3 a 5 veces por semana</v>
      </c>
      <c r="N1421" s="7">
        <f t="shared" si="1"/>
        <v>2026</v>
      </c>
      <c r="O1421" s="7" t="str">
        <f t="shared" si="2"/>
        <v>enero</v>
      </c>
      <c r="P1421" s="7" t="s">
        <v>6953</v>
      </c>
    </row>
    <row r="1422">
      <c r="A1422" s="19">
        <f>'Respuestas de formulario 1'!A1422</f>
        <v>46045.75071</v>
      </c>
      <c r="B1422" s="7" t="str">
        <f>'Respuestas de formulario 1'!B1422</f>
        <v>Moreno</v>
      </c>
      <c r="C1422" s="7" t="str">
        <f>'Respuestas de formulario 1'!C1422</f>
        <v>Dora Mercedes </v>
      </c>
      <c r="D1422" s="7" t="str">
        <f>'Respuestas de formulario 1'!D1422</f>
        <v>Profedoramoreno@gmail.com</v>
      </c>
      <c r="E1422" s="20">
        <f>'Respuestas de formulario 1'!E1422</f>
        <v>31224</v>
      </c>
      <c r="F1422" s="7">
        <f>'Respuestas de formulario 1'!F1422</f>
        <v>31401166</v>
      </c>
      <c r="G1422" s="7" t="str">
        <f>IFERROR(__xludf.DUMMYFUNCTION("IF('Respuestas de formulario 1'!G1422="""","""",IF(LEFT(REGEXREPLACE(TO_TEXT('Respuestas de formulario 1'!G1422),""[^0-9]"",""""),2)=""54"",""+""&amp;REGEXREPLACE(TO_TEXT('Respuestas de formulario 1'!G1422),""[^0-9]"",""""),""+54""&amp;REGEXREPLACE(TO_TEXT('Respu"&amp;"estas de formulario 1'!G1422),""[^0-9]"","""")))"),"+543516171363")</f>
        <v>+543516171363</v>
      </c>
      <c r="H1422" s="7">
        <f>'Respuestas de formulario 1'!S1422</f>
        <v>2026</v>
      </c>
      <c r="I1422" s="7" t="str">
        <f>IFERROR(__xludf.DUMMYFUNCTION("IF('Respuestas de formulario 1'!I1422="""","""",TO_TEXT('Respuestas de formulario 1'!I1422))"),"Particular")</f>
        <v>Particular</v>
      </c>
      <c r="J1422" s="7" t="str">
        <f>IFERROR(__xludf.DUMMYFUNCTION("IF('Respuestas de formulario 1'!J1422&lt;&gt;"""",UPPER(TRIM(TO_TEXT('Respuestas de formulario 1'!J1422))),IF('Respuestas de formulario 1'!O1422&lt;&gt;"""",UPPER(TRIM(TO_TEXT('Respuestas de formulario 1'!O1422))),""""))"),"")</f>
        <v/>
      </c>
      <c r="K1422" s="7" t="str">
        <f>IFERROR(__xludf.DUMMYFUNCTION("IF('Respuestas de formulario 1'!K1422="""","""",TO_TEXT('Respuestas de formulario 1'!K1422))"),"Si")</f>
        <v>Si</v>
      </c>
      <c r="L1422" s="7" t="str">
        <f>IFERROR(__xludf.DUMMYFUNCTION("IF('Respuestas de formulario 1'!L1422="""","""",TO_TEXT('Respuestas de formulario 1'!L1422))"),"Gimnasio")</f>
        <v>Gimnasio</v>
      </c>
      <c r="M1422" s="7" t="str">
        <f>IFERROR(__xludf.DUMMYFUNCTION("IF('Respuestas de formulario 1'!M1422="""","""",TO_TEXT('Respuestas de formulario 1'!M1422))"),"3 a 5 veces por semana")</f>
        <v>3 a 5 veces por semana</v>
      </c>
      <c r="N1422" s="7">
        <f t="shared" si="1"/>
        <v>2026</v>
      </c>
      <c r="O1422" s="7" t="str">
        <f t="shared" si="2"/>
        <v>enero</v>
      </c>
      <c r="P1422" s="7" t="s">
        <v>6955</v>
      </c>
    </row>
    <row r="1423">
      <c r="A1423" s="19">
        <f>'Respuestas de formulario 1'!A1423</f>
        <v>46045.75344</v>
      </c>
      <c r="B1423" s="7" t="str">
        <f>'Respuestas de formulario 1'!B1423</f>
        <v>Tuero</v>
      </c>
      <c r="C1423" s="7" t="str">
        <f>'Respuestas de formulario 1'!C1423</f>
        <v>María Marcela</v>
      </c>
      <c r="D1423" s="7" t="str">
        <f>'Respuestas de formulario 1'!D1423</f>
        <v>Marcela.tuero@hotmail.com</v>
      </c>
      <c r="E1423" s="20">
        <f>'Respuestas de formulario 1'!E1423</f>
        <v>24063</v>
      </c>
      <c r="F1423" s="7">
        <f>'Respuestas de formulario 1'!F1423</f>
        <v>17534139</v>
      </c>
      <c r="G1423" s="7" t="str">
        <f>IFERROR(__xludf.DUMMYFUNCTION("IF('Respuestas de formulario 1'!G1423="""","""",IF(LEFT(REGEXREPLACE(TO_TEXT('Respuestas de formulario 1'!G1423),""[^0-9]"",""""),2)=""54"",""+""&amp;REGEXREPLACE(TO_TEXT('Respuestas de formulario 1'!G1423),""[^0-9]"",""""),""+54""&amp;REGEXREPLACE(TO_TEXT('Respu"&amp;"estas de formulario 1'!G1423),""[^0-9]"","""")))"),"+543516318160")</f>
        <v>+543516318160</v>
      </c>
      <c r="H1423" s="7">
        <f>'Respuestas de formulario 1'!S1423</f>
        <v>2026</v>
      </c>
      <c r="I1423" s="7" t="str">
        <f>IFERROR(__xludf.DUMMYFUNCTION("IF('Respuestas de formulario 1'!I1423="""","""",TO_TEXT('Respuestas de formulario 1'!I1423))"),"Obra social")</f>
        <v>Obra social</v>
      </c>
      <c r="J1423" s="7" t="str">
        <f>IFERROR(__xludf.DUMMYFUNCTION("IF('Respuestas de formulario 1'!J1423&lt;&gt;"""",UPPER(TRIM(TO_TEXT('Respuestas de formulario 1'!J1423))),IF('Respuestas de formulario 1'!O1423&lt;&gt;"""",UPPER(TRIM(TO_TEXT('Respuestas de formulario 1'!O1423))),""""))"),"SANCOR")</f>
        <v>SANCOR</v>
      </c>
      <c r="K1423" s="7" t="str">
        <f>IFERROR(__xludf.DUMMYFUNCTION("IF('Respuestas de formulario 1'!K1423="""","""",TO_TEXT('Respuestas de formulario 1'!K1423))"),"Si")</f>
        <v>Si</v>
      </c>
      <c r="L1423" s="7" t="str">
        <f>IFERROR(__xludf.DUMMYFUNCTION("IF('Respuestas de formulario 1'!L1423="""","""",TO_TEXT('Respuestas de formulario 1'!L1423))"),"Baile")</f>
        <v>Baile</v>
      </c>
      <c r="M1423" s="7" t="str">
        <f>IFERROR(__xludf.DUMMYFUNCTION("IF('Respuestas de formulario 1'!M1423="""","""",TO_TEXT('Respuestas de formulario 1'!M1423))"),"1 a 2 veces por semana")</f>
        <v>1 a 2 veces por semana</v>
      </c>
      <c r="N1423" s="7">
        <f t="shared" si="1"/>
        <v>2026</v>
      </c>
      <c r="O1423" s="7" t="str">
        <f t="shared" si="2"/>
        <v>enero</v>
      </c>
      <c r="P1423" s="7" t="s">
        <v>6957</v>
      </c>
    </row>
    <row r="1424">
      <c r="A1424" s="19">
        <f>'Respuestas de formulario 1'!A1424</f>
        <v>46046.60106</v>
      </c>
      <c r="B1424" s="7" t="str">
        <f>'Respuestas de formulario 1'!B1424</f>
        <v>Valentini</v>
      </c>
      <c r="C1424" s="7" t="str">
        <f>'Respuestas de formulario 1'!C1424</f>
        <v>Conrado</v>
      </c>
      <c r="D1424" s="7" t="str">
        <f>'Respuestas de formulario 1'!D1424</f>
        <v>Conradovalentini41@gmail.com</v>
      </c>
      <c r="E1424" s="20">
        <f>'Respuestas de formulario 1'!E1424</f>
        <v>33191</v>
      </c>
      <c r="F1424" s="7">
        <f>'Respuestas de formulario 1'!F1424</f>
        <v>35572874</v>
      </c>
      <c r="G1424" s="7" t="str">
        <f>IFERROR(__xludf.DUMMYFUNCTION("IF('Respuestas de formulario 1'!G1424="""","""",IF(LEFT(REGEXREPLACE(TO_TEXT('Respuestas de formulario 1'!G1424),""[^0-9]"",""""),2)=""54"",""+""&amp;REGEXREPLACE(TO_TEXT('Respuestas de formulario 1'!G1424),""[^0-9]"",""""),""+54""&amp;REGEXREPLACE(TO_TEXT('Respu"&amp;"estas de formulario 1'!G1424),""[^0-9]"","""")))"),"+543516437373")</f>
        <v>+543516437373</v>
      </c>
      <c r="H1424" s="7">
        <f>'Respuestas de formulario 1'!S1424</f>
        <v>2026</v>
      </c>
      <c r="I1424" s="7" t="str">
        <f>IFERROR(__xludf.DUMMYFUNCTION("IF('Respuestas de formulario 1'!I1424="""","""",TO_TEXT('Respuestas de formulario 1'!I1424))"),"Particular")</f>
        <v>Particular</v>
      </c>
      <c r="J1424" s="7" t="str">
        <f>IFERROR(__xludf.DUMMYFUNCTION("IF('Respuestas de formulario 1'!J1424&lt;&gt;"""",UPPER(TRIM(TO_TEXT('Respuestas de formulario 1'!J1424))),IF('Respuestas de formulario 1'!O1424&lt;&gt;"""",UPPER(TRIM(TO_TEXT('Respuestas de formulario 1'!O1424))),""""))"),"")</f>
        <v/>
      </c>
      <c r="K1424" s="7" t="str">
        <f>IFERROR(__xludf.DUMMYFUNCTION("IF('Respuestas de formulario 1'!K1424="""","""",TO_TEXT('Respuestas de formulario 1'!K1424))"),"Si")</f>
        <v>Si</v>
      </c>
      <c r="L1424" s="7" t="str">
        <f>IFERROR(__xludf.DUMMYFUNCTION("IF('Respuestas de formulario 1'!L1424="""","""",TO_TEXT('Respuestas de formulario 1'!L1424))"),"Calistenia")</f>
        <v>Calistenia</v>
      </c>
      <c r="M1424" s="7" t="str">
        <f>IFERROR(__xludf.DUMMYFUNCTION("IF('Respuestas de formulario 1'!M1424="""","""",TO_TEXT('Respuestas de formulario 1'!M1424))"),"1 a 2 veces por semana")</f>
        <v>1 a 2 veces por semana</v>
      </c>
      <c r="N1424" s="7">
        <f t="shared" si="1"/>
        <v>2026</v>
      </c>
      <c r="O1424" s="7" t="str">
        <f t="shared" si="2"/>
        <v>enero</v>
      </c>
      <c r="P1424" s="7" t="s">
        <v>6959</v>
      </c>
    </row>
    <row r="1425">
      <c r="A1425" s="19">
        <f>'Respuestas de formulario 1'!A1425</f>
        <v>46048.58546</v>
      </c>
      <c r="B1425" s="7" t="str">
        <f>'Respuestas de formulario 1'!B1425</f>
        <v>Lescano </v>
      </c>
      <c r="C1425" s="7" t="str">
        <f>'Respuestas de formulario 1'!C1425</f>
        <v>Santiago </v>
      </c>
      <c r="D1425" s="7" t="str">
        <f>'Respuestas de formulario 1'!D1425</f>
        <v>Santiflescano@gmail.com</v>
      </c>
      <c r="E1425" s="20">
        <f>'Respuestas de formulario 1'!E1425</f>
        <v>31886</v>
      </c>
      <c r="F1425" s="7">
        <f>'Respuestas de formulario 1'!F1425</f>
        <v>32844647</v>
      </c>
      <c r="G1425" s="7" t="str">
        <f>IFERROR(__xludf.DUMMYFUNCTION("IF('Respuestas de formulario 1'!G1425="""","""",IF(LEFT(REGEXREPLACE(TO_TEXT('Respuestas de formulario 1'!G1425),""[^0-9]"",""""),2)=""54"",""+""&amp;REGEXREPLACE(TO_TEXT('Respuestas de formulario 1'!G1425),""[^0-9]"",""""),""+54""&amp;REGEXREPLACE(TO_TEXT('Respu"&amp;"estas de formulario 1'!G1425),""[^0-9]"","""")))"),"+543515483746")</f>
        <v>+543515483746</v>
      </c>
      <c r="H1425" s="7">
        <f>'Respuestas de formulario 1'!S1425</f>
        <v>2026</v>
      </c>
      <c r="I1425" s="7" t="str">
        <f>IFERROR(__xludf.DUMMYFUNCTION("IF('Respuestas de formulario 1'!I1425="""","""",TO_TEXT('Respuestas de formulario 1'!I1425))"),"Particular")</f>
        <v>Particular</v>
      </c>
      <c r="J1425" s="7" t="str">
        <f>IFERROR(__xludf.DUMMYFUNCTION("IF('Respuestas de formulario 1'!J1425&lt;&gt;"""",UPPER(TRIM(TO_TEXT('Respuestas de formulario 1'!J1425))),IF('Respuestas de formulario 1'!O1425&lt;&gt;"""",UPPER(TRIM(TO_TEXT('Respuestas de formulario 1'!O1425))),""""))"),"")</f>
        <v/>
      </c>
      <c r="K1425" s="7" t="str">
        <f>IFERROR(__xludf.DUMMYFUNCTION("IF('Respuestas de formulario 1'!K1425="""","""",TO_TEXT('Respuestas de formulario 1'!K1425))"),"Si")</f>
        <v>Si</v>
      </c>
      <c r="L1425" s="7" t="str">
        <f>IFERROR(__xludf.DUMMYFUNCTION("IF('Respuestas de formulario 1'!L1425="""","""",TO_TEXT('Respuestas de formulario 1'!L1425))"),"Fútbol")</f>
        <v>Fútbol</v>
      </c>
      <c r="M1425" s="7" t="str">
        <f>IFERROR(__xludf.DUMMYFUNCTION("IF('Respuestas de formulario 1'!M1425="""","""",TO_TEXT('Respuestas de formulario 1'!M1425))"),"1 a 2 veces por semana")</f>
        <v>1 a 2 veces por semana</v>
      </c>
      <c r="N1425" s="7">
        <f t="shared" si="1"/>
        <v>2026</v>
      </c>
      <c r="O1425" s="7" t="str">
        <f t="shared" si="2"/>
        <v>enero</v>
      </c>
      <c r="P1425" s="7" t="s">
        <v>6961</v>
      </c>
    </row>
    <row r="1426">
      <c r="A1426" s="19">
        <f>'Respuestas de formulario 1'!A1426</f>
        <v>46049.52055</v>
      </c>
      <c r="B1426" s="7" t="str">
        <f>'Respuestas de formulario 1'!B1426</f>
        <v>Cadima </v>
      </c>
      <c r="C1426" s="7" t="str">
        <f>'Respuestas de formulario 1'!C1426</f>
        <v>Nicolas Gabriel </v>
      </c>
      <c r="D1426" s="7" t="str">
        <f>'Respuestas de formulario 1'!D1426</f>
        <v>nc8901265@gmail.com</v>
      </c>
      <c r="E1426" s="20">
        <f>'Respuestas de formulario 1'!E1426</f>
        <v>36173</v>
      </c>
      <c r="F1426" s="7">
        <f>'Respuestas de formulario 1'!F1426</f>
        <v>41665492</v>
      </c>
      <c r="G1426" s="7" t="str">
        <f>IFERROR(__xludf.DUMMYFUNCTION("IF('Respuestas de formulario 1'!G1426="""","""",IF(LEFT(REGEXREPLACE(TO_TEXT('Respuestas de formulario 1'!G1426),""[^0-9]"",""""),2)=""54"",""+""&amp;REGEXREPLACE(TO_TEXT('Respuestas de formulario 1'!G1426),""[^0-9]"",""""),""+54""&amp;REGEXREPLACE(TO_TEXT('Respu"&amp;"estas de formulario 1'!G1426),""[^0-9]"","""")))"),"+543517501568")</f>
        <v>+543517501568</v>
      </c>
      <c r="H1426" s="7">
        <f>'Respuestas de formulario 1'!S1426</f>
        <v>2026</v>
      </c>
      <c r="I1426" s="7" t="str">
        <f>IFERROR(__xludf.DUMMYFUNCTION("IF('Respuestas de formulario 1'!I1426="""","""",TO_TEXT('Respuestas de formulario 1'!I1426))"),"Particular")</f>
        <v>Particular</v>
      </c>
      <c r="J1426" s="7" t="str">
        <f>IFERROR(__xludf.DUMMYFUNCTION("IF('Respuestas de formulario 1'!J1426&lt;&gt;"""",UPPER(TRIM(TO_TEXT('Respuestas de formulario 1'!J1426))),IF('Respuestas de formulario 1'!O1426&lt;&gt;"""",UPPER(TRIM(TO_TEXT('Respuestas de formulario 1'!O1426))),""""))"),"")</f>
        <v/>
      </c>
      <c r="K1426" s="7" t="str">
        <f>IFERROR(__xludf.DUMMYFUNCTION("IF('Respuestas de formulario 1'!K1426="""","""",TO_TEXT('Respuestas de formulario 1'!K1426))"),"Si")</f>
        <v>Si</v>
      </c>
      <c r="L1426" s="7" t="str">
        <f>IFERROR(__xludf.DUMMYFUNCTION("IF('Respuestas de formulario 1'!L1426="""","""",TO_TEXT('Respuestas de formulario 1'!L1426))"),"Fútbol")</f>
        <v>Fútbol</v>
      </c>
      <c r="M1426" s="7" t="str">
        <f>IFERROR(__xludf.DUMMYFUNCTION("IF('Respuestas de formulario 1'!M1426="""","""",TO_TEXT('Respuestas de formulario 1'!M1426))"),"3 a 5 veces por semana")</f>
        <v>3 a 5 veces por semana</v>
      </c>
      <c r="N1426" s="7">
        <f t="shared" si="1"/>
        <v>2026</v>
      </c>
      <c r="O1426" s="7" t="str">
        <f t="shared" si="2"/>
        <v>enero</v>
      </c>
      <c r="P1426" s="7" t="s">
        <v>6963</v>
      </c>
    </row>
    <row r="1427">
      <c r="A1427" s="19">
        <f>'Respuestas de formulario 1'!A1427</f>
        <v>46049.86046</v>
      </c>
      <c r="B1427" s="7" t="str">
        <f>'Respuestas de formulario 1'!B1427</f>
        <v>Pavese </v>
      </c>
      <c r="C1427" s="7" t="str">
        <f>'Respuestas de formulario 1'!C1427</f>
        <v>Noelia Edith </v>
      </c>
      <c r="D1427" s="7" t="str">
        <f>'Respuestas de formulario 1'!D1427</f>
        <v>Noeliapavese@gmail.com</v>
      </c>
      <c r="E1427" s="20">
        <f>'Respuestas de formulario 1'!E1427</f>
        <v>29383</v>
      </c>
      <c r="F1427" s="7">
        <f>'Respuestas de formulario 1'!F1427</f>
        <v>28268658</v>
      </c>
      <c r="G1427" s="7" t="str">
        <f>IFERROR(__xludf.DUMMYFUNCTION("IF('Respuestas de formulario 1'!G1427="""","""",IF(LEFT(REGEXREPLACE(TO_TEXT('Respuestas de formulario 1'!G1427),""[^0-9]"",""""),2)=""54"",""+""&amp;REGEXREPLACE(TO_TEXT('Respuestas de formulario 1'!G1427),""[^0-9]"",""""),""+54""&amp;REGEXREPLACE(TO_TEXT('Respu"&amp;"estas de formulario 1'!G1427),""[^0-9]"","""")))"),"+543512364641")</f>
        <v>+543512364641</v>
      </c>
      <c r="H1427" s="7">
        <f>'Respuestas de formulario 1'!S1427</f>
        <v>2026</v>
      </c>
      <c r="I1427" s="7" t="str">
        <f>IFERROR(__xludf.DUMMYFUNCTION("IF('Respuestas de formulario 1'!I1427="""","""",TO_TEXT('Respuestas de formulario 1'!I1427))"),"Particular")</f>
        <v>Particular</v>
      </c>
      <c r="J1427" s="7" t="str">
        <f>IFERROR(__xludf.DUMMYFUNCTION("IF('Respuestas de formulario 1'!J1427&lt;&gt;"""",UPPER(TRIM(TO_TEXT('Respuestas de formulario 1'!J1427))),IF('Respuestas de formulario 1'!O1427&lt;&gt;"""",UPPER(TRIM(TO_TEXT('Respuestas de formulario 1'!O1427))),""""))"),"")</f>
        <v/>
      </c>
      <c r="K1427" s="7" t="str">
        <f>IFERROR(__xludf.DUMMYFUNCTION("IF('Respuestas de formulario 1'!K1427="""","""",TO_TEXT('Respuestas de formulario 1'!K1427))"),"Si")</f>
        <v>Si</v>
      </c>
      <c r="L1427" s="7" t="str">
        <f>IFERROR(__xludf.DUMMYFUNCTION("IF('Respuestas de formulario 1'!L1427="""","""",TO_TEXT('Respuestas de formulario 1'!L1427))"),"Ciclismo/ caminanta")</f>
        <v>Ciclismo/ caminanta</v>
      </c>
      <c r="M1427" s="7" t="str">
        <f>IFERROR(__xludf.DUMMYFUNCTION("IF('Respuestas de formulario 1'!M1427="""","""",TO_TEXT('Respuestas de formulario 1'!M1427))"),"1 a 2 veces por semana")</f>
        <v>1 a 2 veces por semana</v>
      </c>
      <c r="N1427" s="7">
        <f t="shared" si="1"/>
        <v>2026</v>
      </c>
      <c r="O1427" s="7" t="str">
        <f t="shared" si="2"/>
        <v>enero</v>
      </c>
      <c r="P1427" s="7" t="s">
        <v>6965</v>
      </c>
    </row>
    <row r="1428">
      <c r="A1428" s="19">
        <f>'Respuestas de formulario 1'!A1428</f>
        <v>46050.50647</v>
      </c>
      <c r="B1428" s="7" t="str">
        <f>'Respuestas de formulario 1'!B1428</f>
        <v>bonino</v>
      </c>
      <c r="C1428" s="7" t="str">
        <f>'Respuestas de formulario 1'!C1428</f>
        <v>Raul</v>
      </c>
      <c r="D1428" s="7" t="str">
        <f>'Respuestas de formulario 1'!D1428</f>
        <v>rsabonino@gmail.com</v>
      </c>
      <c r="E1428" s="20">
        <f>'Respuestas de formulario 1'!E1428</f>
        <v>21244</v>
      </c>
      <c r="F1428" s="7">
        <f>'Respuestas de formulario 1'!F1428</f>
        <v>12334802</v>
      </c>
      <c r="G1428" s="7" t="str">
        <f>IFERROR(__xludf.DUMMYFUNCTION("IF('Respuestas de formulario 1'!G1428="""","""",IF(LEFT(REGEXREPLACE(TO_TEXT('Respuestas de formulario 1'!G1428),""[^0-9]"",""""),2)=""54"",""+""&amp;REGEXREPLACE(TO_TEXT('Respuestas de formulario 1'!G1428),""[^0-9]"",""""),""+54""&amp;REGEXREPLACE(TO_TEXT('Respu"&amp;"estas de formulario 1'!G1428),""[^0-9]"","""")))"),"+543516214577")</f>
        <v>+543516214577</v>
      </c>
      <c r="H1428" s="7">
        <f>'Respuestas de formulario 1'!S1428</f>
        <v>2026</v>
      </c>
      <c r="I1428" s="7" t="str">
        <f>IFERROR(__xludf.DUMMYFUNCTION("IF('Respuestas de formulario 1'!I1428="""","""",TO_TEXT('Respuestas de formulario 1'!I1428))"),"Obra social")</f>
        <v>Obra social</v>
      </c>
      <c r="J1428" s="7" t="str">
        <f>IFERROR(__xludf.DUMMYFUNCTION("IF('Respuestas de formulario 1'!J1428&lt;&gt;"""",UPPER(TRIM(TO_TEXT('Respuestas de formulario 1'!J1428))),IF('Respuestas de formulario 1'!O1428&lt;&gt;"""",UPPER(TRIM(TO_TEXT('Respuestas de formulario 1'!O1428))),""""))"),"APM")</f>
        <v>APM</v>
      </c>
      <c r="K1428" s="7" t="str">
        <f>IFERROR(__xludf.DUMMYFUNCTION("IF('Respuestas de formulario 1'!K1428="""","""",TO_TEXT('Respuestas de formulario 1'!K1428))"),"Si")</f>
        <v>Si</v>
      </c>
      <c r="L1428" s="7" t="str">
        <f>IFERROR(__xludf.DUMMYFUNCTION("IF('Respuestas de formulario 1'!L1428="""","""",TO_TEXT('Respuestas de formulario 1'!L1428))"),"Newcon")</f>
        <v>Newcon</v>
      </c>
      <c r="M1428" s="7" t="str">
        <f>IFERROR(__xludf.DUMMYFUNCTION("IF('Respuestas de formulario 1'!M1428="""","""",TO_TEXT('Respuestas de formulario 1'!M1428))"),"3 a 5 veces por semana")</f>
        <v>3 a 5 veces por semana</v>
      </c>
      <c r="N1428" s="7">
        <f t="shared" si="1"/>
        <v>2026</v>
      </c>
      <c r="O1428" s="7" t="str">
        <f t="shared" si="2"/>
        <v>enero</v>
      </c>
      <c r="P1428" s="7" t="s">
        <v>6967</v>
      </c>
    </row>
    <row r="1429">
      <c r="A1429" s="19">
        <f>'Respuestas de formulario 1'!A1429</f>
        <v>46051.37788</v>
      </c>
      <c r="B1429" s="7" t="str">
        <f>'Respuestas de formulario 1'!B1429</f>
        <v>Das Biaggio</v>
      </c>
      <c r="C1429" s="7" t="str">
        <f>'Respuestas de formulario 1'!C1429</f>
        <v>Facundo julian </v>
      </c>
      <c r="D1429" s="7" t="str">
        <f>'Respuestas de formulario 1'!D1429</f>
        <v>Dasbiaggiofac@gmail.com</v>
      </c>
      <c r="E1429" s="20">
        <f>'Respuestas de formulario 1'!E1429</f>
        <v>33550</v>
      </c>
      <c r="F1429" s="7">
        <f>'Respuestas de formulario 1'!F1429</f>
        <v>36706708</v>
      </c>
      <c r="G1429" s="7" t="str">
        <f>IFERROR(__xludf.DUMMYFUNCTION("IF('Respuestas de formulario 1'!G1429="""","""",IF(LEFT(REGEXREPLACE(TO_TEXT('Respuestas de formulario 1'!G1429),""[^0-9]"",""""),2)=""54"",""+""&amp;REGEXREPLACE(TO_TEXT('Respuestas de formulario 1'!G1429),""[^0-9]"",""""),""+54""&amp;REGEXREPLACE(TO_TEXT('Respu"&amp;"estas de formulario 1'!G1429),""[^0-9]"","""")))"),"+543517529092")</f>
        <v>+543517529092</v>
      </c>
      <c r="H1429" s="7">
        <f>'Respuestas de formulario 1'!S1429</f>
        <v>2026</v>
      </c>
      <c r="I1429" s="7" t="str">
        <f>IFERROR(__xludf.DUMMYFUNCTION("IF('Respuestas de formulario 1'!I1429="""","""",TO_TEXT('Respuestas de formulario 1'!I1429))"),"Particular")</f>
        <v>Particular</v>
      </c>
      <c r="J1429" s="7" t="str">
        <f>IFERROR(__xludf.DUMMYFUNCTION("IF('Respuestas de formulario 1'!J1429&lt;&gt;"""",UPPER(TRIM(TO_TEXT('Respuestas de formulario 1'!J1429))),IF('Respuestas de formulario 1'!O1429&lt;&gt;"""",UPPER(TRIM(TO_TEXT('Respuestas de formulario 1'!O1429))),""""))"),"")</f>
        <v/>
      </c>
      <c r="K1429" s="7" t="str">
        <f>IFERROR(__xludf.DUMMYFUNCTION("IF('Respuestas de formulario 1'!K1429="""","""",TO_TEXT('Respuestas de formulario 1'!K1429))"),"Si")</f>
        <v>Si</v>
      </c>
      <c r="L1429" s="7" t="str">
        <f>IFERROR(__xludf.DUMMYFUNCTION("IF('Respuestas de formulario 1'!L1429="""","""",TO_TEXT('Respuestas de formulario 1'!L1429))"),"Ciclismo")</f>
        <v>Ciclismo</v>
      </c>
      <c r="M1429" s="7" t="str">
        <f>IFERROR(__xludf.DUMMYFUNCTION("IF('Respuestas de formulario 1'!M1429="""","""",TO_TEXT('Respuestas de formulario 1'!M1429))"),"3 a 5 veces por semana")</f>
        <v>3 a 5 veces por semana</v>
      </c>
      <c r="N1429" s="7">
        <f t="shared" si="1"/>
        <v>2026</v>
      </c>
      <c r="O1429" s="7" t="str">
        <f t="shared" si="2"/>
        <v>enero</v>
      </c>
      <c r="P1429" s="7" t="s">
        <v>6969</v>
      </c>
    </row>
    <row r="1430">
      <c r="A1430" s="19">
        <f>'Respuestas de formulario 1'!A1430</f>
        <v>46052.46677</v>
      </c>
      <c r="B1430" s="7" t="str">
        <f>'Respuestas de formulario 1'!B1430</f>
        <v>Giannoboli</v>
      </c>
      <c r="C1430" s="7" t="str">
        <f>'Respuestas de formulario 1'!C1430</f>
        <v>Valentina</v>
      </c>
      <c r="D1430" s="7" t="str">
        <f>'Respuestas de formulario 1'!D1430</f>
        <v>valentina.giannoboli@gmail.com</v>
      </c>
      <c r="E1430" s="20">
        <f>'Respuestas de formulario 1'!E1430</f>
        <v>39083</v>
      </c>
      <c r="F1430" s="7">
        <f>'Respuestas de formulario 1'!F1430</f>
        <v>47662038</v>
      </c>
      <c r="G1430" s="7" t="str">
        <f>IFERROR(__xludf.DUMMYFUNCTION("IF('Respuestas de formulario 1'!G1430="""","""",IF(LEFT(REGEXREPLACE(TO_TEXT('Respuestas de formulario 1'!G1430),""[^0-9]"",""""),2)=""54"",""+""&amp;REGEXREPLACE(TO_TEXT('Respuestas de formulario 1'!G1430),""[^0-9]"",""""),""+54""&amp;REGEXREPLACE(TO_TEXT('Respu"&amp;"estas de formulario 1'!G1430),""[^0-9]"","""")))"),"+543516848615")</f>
        <v>+543516848615</v>
      </c>
      <c r="H1430" s="7">
        <f>'Respuestas de formulario 1'!S1430</f>
        <v>2026</v>
      </c>
      <c r="I1430" s="7" t="str">
        <f>IFERROR(__xludf.DUMMYFUNCTION("IF('Respuestas de formulario 1'!I1430="""","""",TO_TEXT('Respuestas de formulario 1'!I1430))"),"Obra social")</f>
        <v>Obra social</v>
      </c>
      <c r="J1430" s="7" t="str">
        <f>IFERROR(__xludf.DUMMYFUNCTION("IF('Respuestas de formulario 1'!J1430&lt;&gt;"""",UPPER(TRIM(TO_TEXT('Respuestas de formulario 1'!J1430))),IF('Respuestas de formulario 1'!O1430&lt;&gt;"""",UPPER(TRIM(TO_TEXT('Respuestas de formulario 1'!O1430))),""""))"),"DASPU")</f>
        <v>DASPU</v>
      </c>
      <c r="K1430" s="7" t="str">
        <f>IFERROR(__xludf.DUMMYFUNCTION("IF('Respuestas de formulario 1'!K1430="""","""",TO_TEXT('Respuestas de formulario 1'!K1430))"),"Si")</f>
        <v>Si</v>
      </c>
      <c r="L1430" s="7" t="str">
        <f>IFERROR(__xludf.DUMMYFUNCTION("IF('Respuestas de formulario 1'!L1430="""","""",TO_TEXT('Respuestas de formulario 1'!L1430))"),"Hockey")</f>
        <v>Hockey</v>
      </c>
      <c r="M1430" s="7" t="str">
        <f>IFERROR(__xludf.DUMMYFUNCTION("IF('Respuestas de formulario 1'!M1430="""","""",TO_TEXT('Respuestas de formulario 1'!M1430))"),"3 a 5 veces por semana")</f>
        <v>3 a 5 veces por semana</v>
      </c>
      <c r="N1430" s="7">
        <f t="shared" si="1"/>
        <v>2026</v>
      </c>
      <c r="O1430" s="7" t="str">
        <f t="shared" si="2"/>
        <v>enero</v>
      </c>
      <c r="P1430" s="7" t="s">
        <v>6971</v>
      </c>
    </row>
    <row r="1431">
      <c r="A1431" s="19">
        <f>'Respuestas de formulario 1'!A1431</f>
        <v>46052.57834</v>
      </c>
      <c r="B1431" s="7" t="str">
        <f>'Respuestas de formulario 1'!B1431</f>
        <v>Lira</v>
      </c>
      <c r="C1431" s="7" t="str">
        <f>'Respuestas de formulario 1'!C1431</f>
        <v>Aaron</v>
      </c>
      <c r="D1431" s="7" t="str">
        <f>'Respuestas de formulario 1'!D1431</f>
        <v>Aaronlira099@gmail.com</v>
      </c>
      <c r="E1431" s="20">
        <f>'Respuestas de formulario 1'!E1431</f>
        <v>39490</v>
      </c>
      <c r="F1431" s="7">
        <f>'Respuestas de formulario 1'!F1431</f>
        <v>47819713</v>
      </c>
      <c r="G1431" s="7" t="str">
        <f>IFERROR(__xludf.DUMMYFUNCTION("IF('Respuestas de formulario 1'!G1431="""","""",IF(LEFT(REGEXREPLACE(TO_TEXT('Respuestas de formulario 1'!G1431),""[^0-9]"",""""),2)=""54"",""+""&amp;REGEXREPLACE(TO_TEXT('Respuestas de formulario 1'!G1431),""[^0-9]"",""""),""+54""&amp;REGEXREPLACE(TO_TEXT('Respu"&amp;"estas de formulario 1'!G1431),""[^0-9]"","""")))"),"+543518656799")</f>
        <v>+543518656799</v>
      </c>
      <c r="H1431" s="7">
        <f>'Respuestas de formulario 1'!S1431</f>
        <v>2026</v>
      </c>
      <c r="I1431" s="7" t="str">
        <f>IFERROR(__xludf.DUMMYFUNCTION("IF('Respuestas de formulario 1'!I1431="""","""",TO_TEXT('Respuestas de formulario 1'!I1431))"),"Particular")</f>
        <v>Particular</v>
      </c>
      <c r="J1431" s="7" t="str">
        <f>IFERROR(__xludf.DUMMYFUNCTION("IF('Respuestas de formulario 1'!J1431&lt;&gt;"""",UPPER(TRIM(TO_TEXT('Respuestas de formulario 1'!J1431))),IF('Respuestas de formulario 1'!O1431&lt;&gt;"""",UPPER(TRIM(TO_TEXT('Respuestas de formulario 1'!O1431))),""""))"),"")</f>
        <v/>
      </c>
      <c r="K1431" s="7" t="str">
        <f>IFERROR(__xludf.DUMMYFUNCTION("IF('Respuestas de formulario 1'!K1431="""","""",TO_TEXT('Respuestas de formulario 1'!K1431))"),"Si")</f>
        <v>Si</v>
      </c>
      <c r="L1431" s="7" t="str">
        <f>IFERROR(__xludf.DUMMYFUNCTION("IF('Respuestas de formulario 1'!L1431="""","""",TO_TEXT('Respuestas de formulario 1'!L1431))"),"Fútbol")</f>
        <v>Fútbol</v>
      </c>
      <c r="M1431" s="7" t="str">
        <f>IFERROR(__xludf.DUMMYFUNCTION("IF('Respuestas de formulario 1'!M1431="""","""",TO_TEXT('Respuestas de formulario 1'!M1431))"),"6 a 7 veces por semana")</f>
        <v>6 a 7 veces por semana</v>
      </c>
      <c r="N1431" s="7">
        <f t="shared" si="1"/>
        <v>2026</v>
      </c>
      <c r="O1431" s="7" t="str">
        <f t="shared" si="2"/>
        <v>enero</v>
      </c>
      <c r="P1431" s="7" t="s">
        <v>6973</v>
      </c>
    </row>
    <row r="1432">
      <c r="A1432" s="19">
        <f>'Respuestas de formulario 1'!A1432</f>
        <v>46052.80698</v>
      </c>
      <c r="B1432" s="7" t="str">
        <f>'Respuestas de formulario 1'!B1432</f>
        <v>Masco</v>
      </c>
      <c r="C1432" s="7" t="str">
        <f>'Respuestas de formulario 1'!C1432</f>
        <v>Luis</v>
      </c>
      <c r="D1432" s="7" t="str">
        <f>'Respuestas de formulario 1'!D1432</f>
        <v>luismasco@gmail.com</v>
      </c>
      <c r="E1432" s="20">
        <f>'Respuestas de formulario 1'!E1432</f>
        <v>32529</v>
      </c>
      <c r="F1432" s="7">
        <f>'Respuestas de formulario 1'!F1432</f>
        <v>34246174</v>
      </c>
      <c r="G1432" s="7" t="str">
        <f>IFERROR(__xludf.DUMMYFUNCTION("IF('Respuestas de formulario 1'!G1432="""","""",IF(LEFT(REGEXREPLACE(TO_TEXT('Respuestas de formulario 1'!G1432),""[^0-9]"",""""),2)=""54"",""+""&amp;REGEXREPLACE(TO_TEXT('Respuestas de formulario 1'!G1432),""[^0-9]"",""""),""+54""&amp;REGEXREPLACE(TO_TEXT('Respu"&amp;"estas de formulario 1'!G1432),""[^0-9]"","""")))"),"+543513028589")</f>
        <v>+543513028589</v>
      </c>
      <c r="H1432" s="7">
        <f>'Respuestas de formulario 1'!S1432</f>
        <v>2026</v>
      </c>
      <c r="I1432" s="7" t="str">
        <f>IFERROR(__xludf.DUMMYFUNCTION("IF('Respuestas de formulario 1'!I1432="""","""",TO_TEXT('Respuestas de formulario 1'!I1432))"),"Obra social")</f>
        <v>Obra social</v>
      </c>
      <c r="J1432" s="7" t="str">
        <f>IFERROR(__xludf.DUMMYFUNCTION("IF('Respuestas de formulario 1'!J1432&lt;&gt;"""",UPPER(TRIM(TO_TEXT('Respuestas de formulario 1'!J1432))),IF('Respuestas de formulario 1'!O1432&lt;&gt;"""",UPPER(TRIM(TO_TEXT('Respuestas de formulario 1'!O1432))),""""))"),"SWISS MEDICAL SMG20 GLOBAL")</f>
        <v>SWISS MEDICAL SMG20 GLOBAL</v>
      </c>
      <c r="K1432" s="7" t="str">
        <f>IFERROR(__xludf.DUMMYFUNCTION("IF('Respuestas de formulario 1'!K1432="""","""",TO_TEXT('Respuestas de formulario 1'!K1432))"),"Si")</f>
        <v>Si</v>
      </c>
      <c r="L1432" s="7" t="str">
        <f>IFERROR(__xludf.DUMMYFUNCTION("IF('Respuestas de formulario 1'!L1432="""","""",TO_TEXT('Respuestas de formulario 1'!L1432))"),"Running")</f>
        <v>Running</v>
      </c>
      <c r="M1432" s="7" t="str">
        <f>IFERROR(__xludf.DUMMYFUNCTION("IF('Respuestas de formulario 1'!M1432="""","""",TO_TEXT('Respuestas de formulario 1'!M1432))"),"3 a 5 veces por semana")</f>
        <v>3 a 5 veces por semana</v>
      </c>
      <c r="N1432" s="7">
        <f t="shared" si="1"/>
        <v>2026</v>
      </c>
      <c r="O1432" s="7" t="str">
        <f t="shared" si="2"/>
        <v>enero</v>
      </c>
      <c r="P1432" s="7" t="s">
        <v>6975</v>
      </c>
    </row>
    <row r="1433">
      <c r="A1433" s="19">
        <f>'Respuestas de formulario 1'!A1433</f>
        <v>46055.5738</v>
      </c>
      <c r="B1433" s="7" t="str">
        <f>'Respuestas de formulario 1'!B1433</f>
        <v>Sam Sam </v>
      </c>
      <c r="C1433" s="7" t="str">
        <f>'Respuestas de formulario 1'!C1433</f>
        <v>Cristian </v>
      </c>
      <c r="D1433" s="7" t="str">
        <f>'Respuestas de formulario 1'!D1433</f>
        <v>cristian.samsam@gmail.com</v>
      </c>
      <c r="E1433" s="20">
        <f>'Respuestas de formulario 1'!E1433</f>
        <v>25957</v>
      </c>
      <c r="F1433" s="7">
        <f>'Respuestas de formulario 1'!F1433</f>
        <v>21966177</v>
      </c>
      <c r="G1433" s="7" t="str">
        <f>IFERROR(__xludf.DUMMYFUNCTION("IF('Respuestas de formulario 1'!G1433="""","""",IF(LEFT(REGEXREPLACE(TO_TEXT('Respuestas de formulario 1'!G1433),""[^0-9]"",""""),2)=""54"",""+""&amp;REGEXREPLACE(TO_TEXT('Respuestas de formulario 1'!G1433),""[^0-9]"",""""),""+54""&amp;REGEXREPLACE(TO_TEXT('Respu"&amp;"estas de formulario 1'!G1433),""[^0-9]"","""")))"),"+543513947342")</f>
        <v>+543513947342</v>
      </c>
      <c r="H1433" s="7">
        <f>'Respuestas de formulario 1'!S1433</f>
        <v>2026</v>
      </c>
      <c r="I1433" s="7" t="str">
        <f>IFERROR(__xludf.DUMMYFUNCTION("IF('Respuestas de formulario 1'!I1433="""","""",TO_TEXT('Respuestas de formulario 1'!I1433))"),"Obra social")</f>
        <v>Obra social</v>
      </c>
      <c r="J1433" s="7" t="str">
        <f>IFERROR(__xludf.DUMMYFUNCTION("IF('Respuestas de formulario 1'!J1433&lt;&gt;"""",UPPER(TRIM(TO_TEXT('Respuestas de formulario 1'!J1433))),IF('Respuestas de formulario 1'!O1433&lt;&gt;"""",UPPER(TRIM(TO_TEXT('Respuestas de formulario 1'!O1433))),""""))"),"APROSS")</f>
        <v>APROSS</v>
      </c>
      <c r="K1433" s="7" t="str">
        <f>IFERROR(__xludf.DUMMYFUNCTION("IF('Respuestas de formulario 1'!K1433="""","""",TO_TEXT('Respuestas de formulario 1'!K1433))"),"No")</f>
        <v>No</v>
      </c>
      <c r="L1433" s="7" t="str">
        <f>IFERROR(__xludf.DUMMYFUNCTION("IF('Respuestas de formulario 1'!L1433="""","""",TO_TEXT('Respuestas de formulario 1'!L1433))"),"")</f>
        <v/>
      </c>
      <c r="M1433" s="7" t="str">
        <f>IFERROR(__xludf.DUMMYFUNCTION("IF('Respuestas de formulario 1'!M1433="""","""",TO_TEXT('Respuestas de formulario 1'!M1433))"),"")</f>
        <v/>
      </c>
      <c r="N1433" s="7">
        <f t="shared" si="1"/>
        <v>2026</v>
      </c>
      <c r="O1433" s="7" t="str">
        <f t="shared" si="2"/>
        <v>febrero</v>
      </c>
      <c r="P1433" s="7" t="s">
        <v>6712</v>
      </c>
    </row>
    <row r="1434">
      <c r="A1434" s="19">
        <f>'Respuestas de formulario 1'!A1434</f>
        <v>46055.58216</v>
      </c>
      <c r="B1434" s="7" t="str">
        <f>'Respuestas de formulario 1'!B1434</f>
        <v>Vera</v>
      </c>
      <c r="C1434" s="7" t="str">
        <f>'Respuestas de formulario 1'!C1434</f>
        <v>Miryam Dominga </v>
      </c>
      <c r="D1434" s="7" t="str">
        <f>'Respuestas de formulario 1'!D1434</f>
        <v>cristian.samsam@gmail.com</v>
      </c>
      <c r="E1434" s="20">
        <f>'Respuestas de formulario 1'!E1434</f>
        <v>17036</v>
      </c>
      <c r="F1434" s="7">
        <f>'Respuestas de formulario 1'!F1434</f>
        <v>5455636</v>
      </c>
      <c r="G1434" s="7" t="str">
        <f>IFERROR(__xludf.DUMMYFUNCTION("IF('Respuestas de formulario 1'!G1434="""","""",IF(LEFT(REGEXREPLACE(TO_TEXT('Respuestas de formulario 1'!G1434),""[^0-9]"",""""),2)=""54"",""+""&amp;REGEXREPLACE(TO_TEXT('Respuestas de formulario 1'!G1434),""[^0-9]"",""""),""+54""&amp;REGEXREPLACE(TO_TEXT('Respu"&amp;"estas de formulario 1'!G1434),""[^0-9]"","""")))"),"+543513947342")</f>
        <v>+543513947342</v>
      </c>
      <c r="H1434" s="7">
        <f>'Respuestas de formulario 1'!S1434</f>
        <v>2026</v>
      </c>
      <c r="I1434" s="7" t="str">
        <f>IFERROR(__xludf.DUMMYFUNCTION("IF('Respuestas de formulario 1'!I1434="""","""",TO_TEXT('Respuestas de formulario 1'!I1434))"),"Obra social")</f>
        <v>Obra social</v>
      </c>
      <c r="J1434" s="7" t="str">
        <f>IFERROR(__xludf.DUMMYFUNCTION("IF('Respuestas de formulario 1'!J1434&lt;&gt;"""",UPPER(TRIM(TO_TEXT('Respuestas de formulario 1'!J1434))),IF('Respuestas de formulario 1'!O1434&lt;&gt;"""",UPPER(TRIM(TO_TEXT('Respuestas de formulario 1'!O1434))),""""))"),"PAMI")</f>
        <v>PAMI</v>
      </c>
      <c r="K1434" s="7" t="str">
        <f>IFERROR(__xludf.DUMMYFUNCTION("IF('Respuestas de formulario 1'!K1434="""","""",TO_TEXT('Respuestas de formulario 1'!K1434))"),"No")</f>
        <v>No</v>
      </c>
      <c r="L1434" s="7" t="str">
        <f>IFERROR(__xludf.DUMMYFUNCTION("IF('Respuestas de formulario 1'!L1434="""","""",TO_TEXT('Respuestas de formulario 1'!L1434))"),"")</f>
        <v/>
      </c>
      <c r="M1434" s="7" t="str">
        <f>IFERROR(__xludf.DUMMYFUNCTION("IF('Respuestas de formulario 1'!M1434="""","""",TO_TEXT('Respuestas de formulario 1'!M1434))"),"")</f>
        <v/>
      </c>
      <c r="N1434" s="7">
        <f t="shared" si="1"/>
        <v>2026</v>
      </c>
      <c r="O1434" s="7" t="str">
        <f t="shared" si="2"/>
        <v>febrero</v>
      </c>
      <c r="P1434" s="7" t="s">
        <v>6977</v>
      </c>
    </row>
    <row r="1435">
      <c r="A1435" s="19">
        <f>'Respuestas de formulario 1'!A1435</f>
        <v>46056.4734</v>
      </c>
      <c r="B1435" s="7" t="str">
        <f>'Respuestas de formulario 1'!B1435</f>
        <v>Kaskin</v>
      </c>
      <c r="C1435" s="7" t="str">
        <f>'Respuestas de formulario 1'!C1435</f>
        <v>Benjamon</v>
      </c>
      <c r="D1435" s="7" t="str">
        <f>'Respuestas de formulario 1'!D1435</f>
        <v>benjaminklaskin@gmail.com</v>
      </c>
      <c r="E1435" s="20">
        <f>'Respuestas de formulario 1'!E1435</f>
        <v>20306</v>
      </c>
      <c r="F1435" s="7">
        <f>'Respuestas de formulario 1'!F1435</f>
        <v>11744302</v>
      </c>
      <c r="G1435" s="7" t="str">
        <f>IFERROR(__xludf.DUMMYFUNCTION("IF('Respuestas de formulario 1'!G1435="""","""",IF(LEFT(REGEXREPLACE(TO_TEXT('Respuestas de formulario 1'!G1435),""[^0-9]"",""""),2)=""54"",""+""&amp;REGEXREPLACE(TO_TEXT('Respuestas de formulario 1'!G1435),""[^0-9]"",""""),""+54""&amp;REGEXREPLACE(TO_TEXT('Respu"&amp;"estas de formulario 1'!G1435),""[^0-9]"","""")))"),"+543515903240")</f>
        <v>+543515903240</v>
      </c>
      <c r="H1435" s="7">
        <f>'Respuestas de formulario 1'!S1435</f>
        <v>2026</v>
      </c>
      <c r="I1435" s="7" t="str">
        <f>IFERROR(__xludf.DUMMYFUNCTION("IF('Respuestas de formulario 1'!I1435="""","""",TO_TEXT('Respuestas de formulario 1'!I1435))"),"Obra social")</f>
        <v>Obra social</v>
      </c>
      <c r="J1435" s="7" t="str">
        <f>IFERROR(__xludf.DUMMYFUNCTION("IF('Respuestas de formulario 1'!J1435&lt;&gt;"""",UPPER(TRIM(TO_TEXT('Respuestas de formulario 1'!J1435))),IF('Respuestas de formulario 1'!O1435&lt;&gt;"""",UPPER(TRIM(TO_TEXT('Respuestas de formulario 1'!O1435))),""""))"),"CPCE")</f>
        <v>CPCE</v>
      </c>
      <c r="K1435" s="7" t="str">
        <f>IFERROR(__xludf.DUMMYFUNCTION("IF('Respuestas de formulario 1'!K1435="""","""",TO_TEXT('Respuestas de formulario 1'!K1435))"),"Si")</f>
        <v>Si</v>
      </c>
      <c r="L1435" s="7" t="str">
        <f>IFERROR(__xludf.DUMMYFUNCTION("IF('Respuestas de formulario 1'!L1435="""","""",TO_TEXT('Respuestas de formulario 1'!L1435))"),"Gimnasio")</f>
        <v>Gimnasio</v>
      </c>
      <c r="M1435" s="7" t="str">
        <f>IFERROR(__xludf.DUMMYFUNCTION("IF('Respuestas de formulario 1'!M1435="""","""",TO_TEXT('Respuestas de formulario 1'!M1435))"),"3 a 5 veces por semana")</f>
        <v>3 a 5 veces por semana</v>
      </c>
      <c r="N1435" s="7">
        <f t="shared" si="1"/>
        <v>2026</v>
      </c>
      <c r="O1435" s="7" t="str">
        <f t="shared" si="2"/>
        <v>febrero</v>
      </c>
      <c r="P1435" s="7" t="s">
        <v>6978</v>
      </c>
    </row>
    <row r="1436">
      <c r="A1436" s="19">
        <f>'Respuestas de formulario 1'!A1436</f>
        <v>46056.49368</v>
      </c>
      <c r="B1436" s="7" t="str">
        <f>'Respuestas de formulario 1'!B1436</f>
        <v>Zuleta </v>
      </c>
      <c r="C1436" s="7" t="str">
        <f>'Respuestas de formulario 1'!C1436</f>
        <v>Diego Sebastián </v>
      </c>
      <c r="D1436" s="7" t="str">
        <f>'Respuestas de formulario 1'!D1436</f>
        <v/>
      </c>
      <c r="E1436" s="20">
        <f>'Respuestas de formulario 1'!E1436</f>
        <v>29218</v>
      </c>
      <c r="F1436" s="7">
        <f>'Respuestas de formulario 1'!F1436</f>
        <v>27671884</v>
      </c>
      <c r="G1436" s="7" t="str">
        <f>IFERROR(__xludf.DUMMYFUNCTION("IF('Respuestas de formulario 1'!G1436="""","""",IF(LEFT(REGEXREPLACE(TO_TEXT('Respuestas de formulario 1'!G1436),""[^0-9]"",""""),2)=""54"",""+""&amp;REGEXREPLACE(TO_TEXT('Respuestas de formulario 1'!G1436),""[^0-9]"",""""),""+54""&amp;REGEXREPLACE(TO_TEXT('Respu"&amp;"estas de formulario 1'!G1436),""[^0-9]"","""")))"),"+543518579518")</f>
        <v>+543518579518</v>
      </c>
      <c r="H1436" s="7">
        <f>'Respuestas de formulario 1'!S1436</f>
        <v>2026</v>
      </c>
      <c r="I1436" s="7" t="str">
        <f>IFERROR(__xludf.DUMMYFUNCTION("IF('Respuestas de formulario 1'!I1436="""","""",TO_TEXT('Respuestas de formulario 1'!I1436))"),"Obra social")</f>
        <v>Obra social</v>
      </c>
      <c r="J1436" s="7" t="str">
        <f>IFERROR(__xludf.DUMMYFUNCTION("IF('Respuestas de formulario 1'!J1436&lt;&gt;"""",UPPER(TRIM(TO_TEXT('Respuestas de formulario 1'!J1436))),IF('Respuestas de formulario 1'!O1436&lt;&gt;"""",UPPER(TRIM(TO_TEXT('Respuestas de formulario 1'!O1436))),""""))"),"SANCOR")</f>
        <v>SANCOR</v>
      </c>
      <c r="K1436" s="7" t="str">
        <f>IFERROR(__xludf.DUMMYFUNCTION("IF('Respuestas de formulario 1'!K1436="""","""",TO_TEXT('Respuestas de formulario 1'!K1436))"),"Si")</f>
        <v>Si</v>
      </c>
      <c r="L1436" s="7" t="str">
        <f>IFERROR(__xludf.DUMMYFUNCTION("IF('Respuestas de formulario 1'!L1436="""","""",TO_TEXT('Respuestas de formulario 1'!L1436))"),"Gimnasio")</f>
        <v>Gimnasio</v>
      </c>
      <c r="M1436" s="7" t="str">
        <f>IFERROR(__xludf.DUMMYFUNCTION("IF('Respuestas de formulario 1'!M1436="""","""",TO_TEXT('Respuestas de formulario 1'!M1436))"),"3 a 5 veces por semana")</f>
        <v>3 a 5 veces por semana</v>
      </c>
      <c r="N1436" s="7">
        <f t="shared" si="1"/>
        <v>2026</v>
      </c>
      <c r="O1436" s="7" t="str">
        <f t="shared" si="2"/>
        <v>febrero</v>
      </c>
      <c r="P1436" s="7" t="s">
        <v>6980</v>
      </c>
    </row>
    <row r="1437">
      <c r="A1437" s="19">
        <f>'Respuestas de formulario 1'!A1437</f>
        <v>46056.7194</v>
      </c>
      <c r="B1437" s="7" t="str">
        <f>'Respuestas de formulario 1'!B1437</f>
        <v>Castellano</v>
      </c>
      <c r="C1437" s="7" t="str">
        <f>'Respuestas de formulario 1'!C1437</f>
        <v>Belen</v>
      </c>
      <c r="D1437" s="7" t="str">
        <f>'Respuestas de formulario 1'!D1437</f>
        <v>belencastellanoolcese@gmail.com</v>
      </c>
      <c r="E1437" s="20">
        <f>'Respuestas de formulario 1'!E1437</f>
        <v>35688</v>
      </c>
      <c r="F1437" s="7">
        <f>'Respuestas de formulario 1'!F1437</f>
        <v>40683106</v>
      </c>
      <c r="G1437" s="7" t="str">
        <f>IFERROR(__xludf.DUMMYFUNCTION("IF('Respuestas de formulario 1'!G1437="""","""",IF(LEFT(REGEXREPLACE(TO_TEXT('Respuestas de formulario 1'!G1437),""[^0-9]"",""""),2)=""54"",""+""&amp;REGEXREPLACE(TO_TEXT('Respuestas de formulario 1'!G1437),""[^0-9]"",""""),""+54""&amp;REGEXREPLACE(TO_TEXT('Respu"&amp;"estas de formulario 1'!G1437),""[^0-9]"","""")))"),"+543516454830")</f>
        <v>+543516454830</v>
      </c>
      <c r="H1437" s="7">
        <f>'Respuestas de formulario 1'!S1437</f>
        <v>2026</v>
      </c>
      <c r="I1437" s="7" t="str">
        <f>IFERROR(__xludf.DUMMYFUNCTION("IF('Respuestas de formulario 1'!I1437="""","""",TO_TEXT('Respuestas de formulario 1'!I1437))"),"Obra social")</f>
        <v>Obra social</v>
      </c>
      <c r="J1437" s="7" t="str">
        <f>IFERROR(__xludf.DUMMYFUNCTION("IF('Respuestas de formulario 1'!J1437&lt;&gt;"""",UPPER(TRIM(TO_TEXT('Respuestas de formulario 1'!J1437))),IF('Respuestas de formulario 1'!O1437&lt;&gt;"""",UPPER(TRIM(TO_TEXT('Respuestas de formulario 1'!O1437))),""""))"),"SANCOR")</f>
        <v>SANCOR</v>
      </c>
      <c r="K1437" s="7" t="str">
        <f>IFERROR(__xludf.DUMMYFUNCTION("IF('Respuestas de formulario 1'!K1437="""","""",TO_TEXT('Respuestas de formulario 1'!K1437))"),"Si")</f>
        <v>Si</v>
      </c>
      <c r="L1437" s="7" t="str">
        <f>IFERROR(__xludf.DUMMYFUNCTION("IF('Respuestas de formulario 1'!L1437="""","""",TO_TEXT('Respuestas de formulario 1'!L1437))"),"Fútbol")</f>
        <v>Fútbol</v>
      </c>
      <c r="M1437" s="7" t="str">
        <f>IFERROR(__xludf.DUMMYFUNCTION("IF('Respuestas de formulario 1'!M1437="""","""",TO_TEXT('Respuestas de formulario 1'!M1437))"),"3 a 5 veces por semana")</f>
        <v>3 a 5 veces por semana</v>
      </c>
      <c r="N1437" s="7">
        <f t="shared" si="1"/>
        <v>2026</v>
      </c>
      <c r="O1437" s="7" t="str">
        <f t="shared" si="2"/>
        <v>febrero</v>
      </c>
      <c r="P1437" s="7" t="s">
        <v>6982</v>
      </c>
    </row>
    <row r="1438">
      <c r="A1438" s="19">
        <f>'Respuestas de formulario 1'!A1438</f>
        <v>46056.80515</v>
      </c>
      <c r="B1438" s="7" t="str">
        <f>'Respuestas de formulario 1'!B1438</f>
        <v>Castellaro</v>
      </c>
      <c r="C1438" s="7" t="str">
        <f>'Respuestas de formulario 1'!C1438</f>
        <v>Italo Gustavo</v>
      </c>
      <c r="D1438" s="7" t="str">
        <f>'Respuestas de formulario 1'!D1438</f>
        <v>gustavocastellaro@gmail,com</v>
      </c>
      <c r="E1438" s="20">
        <f>'Respuestas de formulario 1'!E1438</f>
        <v>24995</v>
      </c>
      <c r="F1438" s="7">
        <f>'Respuestas de formulario 1'!F1438</f>
        <v>20380547</v>
      </c>
      <c r="G1438" s="7" t="str">
        <f>IFERROR(__xludf.DUMMYFUNCTION("IF('Respuestas de formulario 1'!G1438="""","""",IF(LEFT(REGEXREPLACE(TO_TEXT('Respuestas de formulario 1'!G1438),""[^0-9]"",""""),2)=""54"",""+""&amp;REGEXREPLACE(TO_TEXT('Respuestas de formulario 1'!G1438),""[^0-9]"",""""),""+54""&amp;REGEXREPLACE(TO_TEXT('Respu"&amp;"estas de formulario 1'!G1438),""[^0-9]"","""")))"),"+543517193999")</f>
        <v>+543517193999</v>
      </c>
      <c r="H1438" s="7">
        <f>'Respuestas de formulario 1'!S1438</f>
        <v>2026</v>
      </c>
      <c r="I1438" s="7" t="str">
        <f>IFERROR(__xludf.DUMMYFUNCTION("IF('Respuestas de formulario 1'!I1438="""","""",TO_TEXT('Respuestas de formulario 1'!I1438))"),"Particular")</f>
        <v>Particular</v>
      </c>
      <c r="J1438" s="7" t="str">
        <f>IFERROR(__xludf.DUMMYFUNCTION("IF('Respuestas de formulario 1'!J1438&lt;&gt;"""",UPPER(TRIM(TO_TEXT('Respuestas de formulario 1'!J1438))),IF('Respuestas de formulario 1'!O1438&lt;&gt;"""",UPPER(TRIM(TO_TEXT('Respuestas de formulario 1'!O1438))),""""))"),"")</f>
        <v/>
      </c>
      <c r="K1438" s="7" t="str">
        <f>IFERROR(__xludf.DUMMYFUNCTION("IF('Respuestas de formulario 1'!K1438="""","""",TO_TEXT('Respuestas de formulario 1'!K1438))"),"Si")</f>
        <v>Si</v>
      </c>
      <c r="L1438" s="7" t="str">
        <f>IFERROR(__xludf.DUMMYFUNCTION("IF('Respuestas de formulario 1'!L1438="""","""",TO_TEXT('Respuestas de formulario 1'!L1438))"),"tenis, peregrinacion, gym ")</f>
        <v>tenis, peregrinacion, gym </v>
      </c>
      <c r="M1438" s="7" t="str">
        <f>IFERROR(__xludf.DUMMYFUNCTION("IF('Respuestas de formulario 1'!M1438="""","""",TO_TEXT('Respuestas de formulario 1'!M1438))"),"6 a 7 veces por semana")</f>
        <v>6 a 7 veces por semana</v>
      </c>
      <c r="N1438" s="7">
        <f t="shared" si="1"/>
        <v>2026</v>
      </c>
      <c r="O1438" s="7" t="str">
        <f t="shared" si="2"/>
        <v>febrero</v>
      </c>
      <c r="P1438" s="7" t="s">
        <v>6984</v>
      </c>
    </row>
    <row r="1439">
      <c r="A1439" s="19">
        <f>'Respuestas de formulario 1'!A1439</f>
        <v>46057.40729</v>
      </c>
      <c r="B1439" s="7" t="str">
        <f>'Respuestas de formulario 1'!B1439</f>
        <v>Torres</v>
      </c>
      <c r="C1439" s="7" t="str">
        <f>'Respuestas de formulario 1'!C1439</f>
        <v>Rodrigo</v>
      </c>
      <c r="D1439" s="7" t="str">
        <f>'Respuestas de formulario 1'!D1439</f>
        <v>rodritorres2006@gmail.com</v>
      </c>
      <c r="E1439" s="20">
        <f>'Respuestas de formulario 1'!E1439</f>
        <v>38784</v>
      </c>
      <c r="F1439" s="7">
        <f>'Respuestas de formulario 1'!F1439</f>
        <v>47304143</v>
      </c>
      <c r="G1439" s="7" t="str">
        <f>IFERROR(__xludf.DUMMYFUNCTION("IF('Respuestas de formulario 1'!G1439="""","""",IF(LEFT(REGEXREPLACE(TO_TEXT('Respuestas de formulario 1'!G1439),""[^0-9]"",""""),2)=""54"",""+""&amp;REGEXREPLACE(TO_TEXT('Respuestas de formulario 1'!G1439),""[^0-9]"",""""),""+54""&amp;REGEXREPLACE(TO_TEXT('Respu"&amp;"estas de formulario 1'!G1439),""[^0-9]"","""")))"),"+543517078942")</f>
        <v>+543517078942</v>
      </c>
      <c r="H1439" s="7">
        <f>'Respuestas de formulario 1'!S1439</f>
        <v>2026</v>
      </c>
      <c r="I1439" s="7" t="str">
        <f>IFERROR(__xludf.DUMMYFUNCTION("IF('Respuestas de formulario 1'!I1439="""","""",TO_TEXT('Respuestas de formulario 1'!I1439))"),"Particular")</f>
        <v>Particular</v>
      </c>
      <c r="J1439" s="7" t="str">
        <f>IFERROR(__xludf.DUMMYFUNCTION("IF('Respuestas de formulario 1'!J1439&lt;&gt;"""",UPPER(TRIM(TO_TEXT('Respuestas de formulario 1'!J1439))),IF('Respuestas de formulario 1'!O1439&lt;&gt;"""",UPPER(TRIM(TO_TEXT('Respuestas de formulario 1'!O1439))),""""))"),"")</f>
        <v/>
      </c>
      <c r="K1439" s="7" t="str">
        <f>IFERROR(__xludf.DUMMYFUNCTION("IF('Respuestas de formulario 1'!K1439="""","""",TO_TEXT('Respuestas de formulario 1'!K1439))"),"No")</f>
        <v>No</v>
      </c>
      <c r="L1439" s="7" t="str">
        <f>IFERROR(__xludf.DUMMYFUNCTION("IF('Respuestas de formulario 1'!L1439="""","""",TO_TEXT('Respuestas de formulario 1'!L1439))"),"")</f>
        <v/>
      </c>
      <c r="M1439" s="7" t="str">
        <f>IFERROR(__xludf.DUMMYFUNCTION("IF('Respuestas de formulario 1'!M1439="""","""",TO_TEXT('Respuestas de formulario 1'!M1439))"),"")</f>
        <v/>
      </c>
      <c r="N1439" s="7">
        <f t="shared" si="1"/>
        <v>2026</v>
      </c>
      <c r="O1439" s="7" t="str">
        <f t="shared" si="2"/>
        <v>febrero</v>
      </c>
      <c r="P1439" s="7" t="s">
        <v>6986</v>
      </c>
    </row>
    <row r="1440">
      <c r="A1440" s="19">
        <f>'Respuestas de formulario 1'!A1440</f>
        <v>46057.49768</v>
      </c>
      <c r="B1440" s="7" t="str">
        <f>'Respuestas de formulario 1'!B1440</f>
        <v>Ceballos </v>
      </c>
      <c r="C1440" s="7" t="str">
        <f>'Respuestas de formulario 1'!C1440</f>
        <v>Milagros</v>
      </c>
      <c r="D1440" s="7" t="str">
        <f>'Respuestas de formulario 1'!D1440</f>
        <v/>
      </c>
      <c r="E1440" s="20">
        <f>'Respuestas de formulario 1'!E1440</f>
        <v>30516</v>
      </c>
      <c r="F1440" s="7">
        <f>'Respuestas de formulario 1'!F1440</f>
        <v>34289721</v>
      </c>
      <c r="G1440" s="7" t="str">
        <f>IFERROR(__xludf.DUMMYFUNCTION("IF('Respuestas de formulario 1'!G1440="""","""",IF(LEFT(REGEXREPLACE(TO_TEXT('Respuestas de formulario 1'!G1440),""[^0-9]"",""""),2)=""54"",""+""&amp;REGEXREPLACE(TO_TEXT('Respuestas de formulario 1'!G1440),""[^0-9]"",""""),""+54""&amp;REGEXREPLACE(TO_TEXT('Respu"&amp;"estas de formulario 1'!G1440),""[^0-9]"","""")))"),"+543515516778")</f>
        <v>+543515516778</v>
      </c>
      <c r="H1440" s="7">
        <f>'Respuestas de formulario 1'!S1440</f>
        <v>2026</v>
      </c>
      <c r="I1440" s="7" t="str">
        <f>IFERROR(__xludf.DUMMYFUNCTION("IF('Respuestas de formulario 1'!I1440="""","""",TO_TEXT('Respuestas de formulario 1'!I1440))"),"Particular")</f>
        <v>Particular</v>
      </c>
      <c r="J1440" s="7" t="str">
        <f>IFERROR(__xludf.DUMMYFUNCTION("IF('Respuestas de formulario 1'!J1440&lt;&gt;"""",UPPER(TRIM(TO_TEXT('Respuestas de formulario 1'!J1440))),IF('Respuestas de formulario 1'!O1440&lt;&gt;"""",UPPER(TRIM(TO_TEXT('Respuestas de formulario 1'!O1440))),""""))"),"")</f>
        <v/>
      </c>
      <c r="K1440" s="7" t="str">
        <f>IFERROR(__xludf.DUMMYFUNCTION("IF('Respuestas de formulario 1'!K1440="""","""",TO_TEXT('Respuestas de formulario 1'!K1440))"),"Si")</f>
        <v>Si</v>
      </c>
      <c r="L1440" s="7" t="str">
        <f>IFERROR(__xludf.DUMMYFUNCTION("IF('Respuestas de formulario 1'!L1440="""","""",TO_TEXT('Respuestas de formulario 1'!L1440))"),"Gimnasio")</f>
        <v>Gimnasio</v>
      </c>
      <c r="M1440" s="7" t="str">
        <f>IFERROR(__xludf.DUMMYFUNCTION("IF('Respuestas de formulario 1'!M1440="""","""",TO_TEXT('Respuestas de formulario 1'!M1440))"),"3 a 5 veces por semana")</f>
        <v>3 a 5 veces por semana</v>
      </c>
      <c r="N1440" s="7">
        <f t="shared" si="1"/>
        <v>2026</v>
      </c>
      <c r="O1440" s="7" t="str">
        <f t="shared" si="2"/>
        <v>febrero</v>
      </c>
      <c r="P1440" s="7" t="s">
        <v>6988</v>
      </c>
    </row>
    <row r="1441">
      <c r="A1441" s="19">
        <f>'Respuestas de formulario 1'!A1441</f>
        <v>46058.5069</v>
      </c>
      <c r="B1441" s="7" t="str">
        <f>'Respuestas de formulario 1'!B1441</f>
        <v>Repetti </v>
      </c>
      <c r="C1441" s="7" t="str">
        <f>'Respuestas de formulario 1'!C1441</f>
        <v>Uma </v>
      </c>
      <c r="D1441" s="7" t="str">
        <f>'Respuestas de formulario 1'!D1441</f>
        <v>urepetti50@gmail.com</v>
      </c>
      <c r="E1441" s="20">
        <f>'Respuestas de formulario 1'!E1441</f>
        <v>39871</v>
      </c>
      <c r="F1441" s="7">
        <f>'Respuestas de formulario 1'!F1441</f>
        <v>49405623</v>
      </c>
      <c r="G1441" s="7" t="str">
        <f>IFERROR(__xludf.DUMMYFUNCTION("IF('Respuestas de formulario 1'!G1441="""","""",IF(LEFT(REGEXREPLACE(TO_TEXT('Respuestas de formulario 1'!G1441),""[^0-9]"",""""),2)=""54"",""+""&amp;REGEXREPLACE(TO_TEXT('Respuestas de formulario 1'!G1441),""[^0-9]"",""""),""+54""&amp;REGEXREPLACE(TO_TEXT('Respu"&amp;"estas de formulario 1'!G1441),""[^0-9]"","""")))"),"+543515185680")</f>
        <v>+543515185680</v>
      </c>
      <c r="H1441" s="7">
        <f>'Respuestas de formulario 1'!S1441</f>
        <v>2026</v>
      </c>
      <c r="I1441" s="7" t="str">
        <f>IFERROR(__xludf.DUMMYFUNCTION("IF('Respuestas de formulario 1'!I1441="""","""",TO_TEXT('Respuestas de formulario 1'!I1441))"),"Particular")</f>
        <v>Particular</v>
      </c>
      <c r="J1441" s="7" t="str">
        <f>IFERROR(__xludf.DUMMYFUNCTION("IF('Respuestas de formulario 1'!J1441&lt;&gt;"""",UPPER(TRIM(TO_TEXT('Respuestas de formulario 1'!J1441))),IF('Respuestas de formulario 1'!O1441&lt;&gt;"""",UPPER(TRIM(TO_TEXT('Respuestas de formulario 1'!O1441))),""""))"),"")</f>
        <v/>
      </c>
      <c r="K1441" s="7" t="str">
        <f>IFERROR(__xludf.DUMMYFUNCTION("IF('Respuestas de formulario 1'!K1441="""","""",TO_TEXT('Respuestas de formulario 1'!K1441))"),"Si")</f>
        <v>Si</v>
      </c>
      <c r="L1441" s="7" t="str">
        <f>IFERROR(__xludf.DUMMYFUNCTION("IF('Respuestas de formulario 1'!L1441="""","""",TO_TEXT('Respuestas de formulario 1'!L1441))"),"Natación de alto rendimiento ")</f>
        <v>Natación de alto rendimiento </v>
      </c>
      <c r="M1441" s="7" t="str">
        <f>IFERROR(__xludf.DUMMYFUNCTION("IF('Respuestas de formulario 1'!M1441="""","""",TO_TEXT('Respuestas de formulario 1'!M1441))"),"6 a 7 veces por semana")</f>
        <v>6 a 7 veces por semana</v>
      </c>
      <c r="N1441" s="7">
        <f t="shared" si="1"/>
        <v>2026</v>
      </c>
      <c r="O1441" s="7" t="str">
        <f t="shared" si="2"/>
        <v>febrero</v>
      </c>
      <c r="P1441" s="7" t="s">
        <v>6990</v>
      </c>
    </row>
    <row r="1442">
      <c r="A1442" s="19">
        <f>'Respuestas de formulario 1'!A1442</f>
        <v>46062.39027</v>
      </c>
      <c r="B1442" s="7" t="str">
        <f>'Respuestas de formulario 1'!B1442</f>
        <v>Campos</v>
      </c>
      <c r="C1442" s="7" t="str">
        <f>'Respuestas de formulario 1'!C1442</f>
        <v>Martina</v>
      </c>
      <c r="D1442" s="7" t="str">
        <f>'Respuestas de formulario 1'!D1442</f>
        <v>Camposmartina85@gmail.com</v>
      </c>
      <c r="E1442" s="20">
        <f>'Respuestas de formulario 1'!E1442</f>
        <v>37539</v>
      </c>
      <c r="F1442" s="7">
        <f>'Respuestas de formulario 1'!F1442</f>
        <v>44192461</v>
      </c>
      <c r="G1442" s="7" t="str">
        <f>IFERROR(__xludf.DUMMYFUNCTION("IF('Respuestas de formulario 1'!G1442="""","""",IF(LEFT(REGEXREPLACE(TO_TEXT('Respuestas de formulario 1'!G1442),""[^0-9]"",""""),2)=""54"",""+""&amp;REGEXREPLACE(TO_TEXT('Respuestas de formulario 1'!G1442),""[^0-9]"",""""),""+54""&amp;REGEXREPLACE(TO_TEXT('Respu"&amp;"estas de formulario 1'!G1442),""[^0-9]"","""")))"),"+543516362556")</f>
        <v>+543516362556</v>
      </c>
      <c r="H1442" s="7">
        <f>'Respuestas de formulario 1'!S1442</f>
        <v>2026</v>
      </c>
      <c r="I1442" s="7" t="str">
        <f>IFERROR(__xludf.DUMMYFUNCTION("IF('Respuestas de formulario 1'!I1442="""","""",TO_TEXT('Respuestas de formulario 1'!I1442))"),"Particular")</f>
        <v>Particular</v>
      </c>
      <c r="J1442" s="7" t="str">
        <f>IFERROR(__xludf.DUMMYFUNCTION("IF('Respuestas de formulario 1'!J1442&lt;&gt;"""",UPPER(TRIM(TO_TEXT('Respuestas de formulario 1'!J1442))),IF('Respuestas de formulario 1'!O1442&lt;&gt;"""",UPPER(TRIM(TO_TEXT('Respuestas de formulario 1'!O1442))),""""))"),"")</f>
        <v/>
      </c>
      <c r="K1442" s="7" t="str">
        <f>IFERROR(__xludf.DUMMYFUNCTION("IF('Respuestas de formulario 1'!K1442="""","""",TO_TEXT('Respuestas de formulario 1'!K1442))"),"Si")</f>
        <v>Si</v>
      </c>
      <c r="L1442" s="7" t="str">
        <f>IFERROR(__xludf.DUMMYFUNCTION("IF('Respuestas de formulario 1'!L1442="""","""",TO_TEXT('Respuestas de formulario 1'!L1442))"),"Gimnasio")</f>
        <v>Gimnasio</v>
      </c>
      <c r="M1442" s="7" t="str">
        <f>IFERROR(__xludf.DUMMYFUNCTION("IF('Respuestas de formulario 1'!M1442="""","""",TO_TEXT('Respuestas de formulario 1'!M1442))"),"3 a 5 veces por semana")</f>
        <v>3 a 5 veces por semana</v>
      </c>
      <c r="N1442" s="7">
        <f t="shared" si="1"/>
        <v>2026</v>
      </c>
      <c r="O1442" s="7" t="str">
        <f t="shared" si="2"/>
        <v>febrero</v>
      </c>
      <c r="P1442" s="7" t="s">
        <v>6992</v>
      </c>
    </row>
    <row r="1443">
      <c r="A1443" s="19">
        <f>'Respuestas de formulario 1'!A1443</f>
        <v>46063.51659</v>
      </c>
      <c r="B1443" s="7" t="str">
        <f>'Respuestas de formulario 1'!B1443</f>
        <v>RAMOS LARA</v>
      </c>
      <c r="C1443" s="7" t="str">
        <f>'Respuestas de formulario 1'!C1443</f>
        <v>LAURA MARGARITA</v>
      </c>
      <c r="D1443" s="7" t="str">
        <f>'Respuestas de formulario 1'!D1443</f>
        <v>TRECEDESEPTIEMBRE@GMAIL.COM</v>
      </c>
      <c r="E1443" s="20">
        <f>'Respuestas de formulario 1'!E1443</f>
        <v>-671783</v>
      </c>
      <c r="F1443" s="7">
        <f>'Respuestas de formulario 1'!F1443</f>
        <v>13951769</v>
      </c>
      <c r="G1443" s="7" t="str">
        <f>IFERROR(__xludf.DUMMYFUNCTION("IF('Respuestas de formulario 1'!G1443="""","""",IF(LEFT(REGEXREPLACE(TO_TEXT('Respuestas de formulario 1'!G1443),""[^0-9]"",""""),2)=""54"",""+""&amp;REGEXREPLACE(TO_TEXT('Respuestas de formulario 1'!G1443),""[^0-9]"",""""),""+54""&amp;REGEXREPLACE(TO_TEXT('Respu"&amp;"estas de formulario 1'!G1443),""[^0-9]"","""")))"),"+543513019701")</f>
        <v>+543513019701</v>
      </c>
      <c r="H1443" s="7">
        <f>'Respuestas de formulario 1'!S1443</f>
        <v>2026</v>
      </c>
      <c r="I1443" s="7" t="str">
        <f>IFERROR(__xludf.DUMMYFUNCTION("IF('Respuestas de formulario 1'!I1443="""","""",TO_TEXT('Respuestas de formulario 1'!I1443))"),"Obra social")</f>
        <v>Obra social</v>
      </c>
      <c r="J1443" s="7" t="str">
        <f>IFERROR(__xludf.DUMMYFUNCTION("IF('Respuestas de formulario 1'!J1443&lt;&gt;"""",UPPER(TRIM(TO_TEXT('Respuestas de formulario 1'!J1443))),IF('Respuestas de formulario 1'!O1443&lt;&gt;"""",UPPER(TRIM(TO_TEXT('Respuestas de formulario 1'!O1443))),""""))"),"")</f>
        <v/>
      </c>
      <c r="K1443" s="7" t="str">
        <f>IFERROR(__xludf.DUMMYFUNCTION("IF('Respuestas de formulario 1'!K1443="""","""",TO_TEXT('Respuestas de formulario 1'!K1443))"),"Si")</f>
        <v>Si</v>
      </c>
      <c r="L1443" s="7" t="str">
        <f>IFERROR(__xludf.DUMMYFUNCTION("IF('Respuestas de formulario 1'!L1443="""","""",TO_TEXT('Respuestas de formulario 1'!L1443))"),"Gimnasio")</f>
        <v>Gimnasio</v>
      </c>
      <c r="M1443" s="7" t="str">
        <f>IFERROR(__xludf.DUMMYFUNCTION("IF('Respuestas de formulario 1'!M1443="""","""",TO_TEXT('Respuestas de formulario 1'!M1443))"),"3 a 5 veces por semana")</f>
        <v>3 a 5 veces por semana</v>
      </c>
      <c r="N1443" s="7">
        <f t="shared" si="1"/>
        <v>2026</v>
      </c>
      <c r="O1443" s="7" t="str">
        <f t="shared" si="2"/>
        <v>febrero</v>
      </c>
      <c r="P1443" s="7" t="s">
        <v>6994</v>
      </c>
    </row>
    <row r="1444">
      <c r="A1444" s="19">
        <f>'Respuestas de formulario 1'!A1444</f>
        <v>46063.62922</v>
      </c>
      <c r="B1444" s="7" t="str">
        <f>'Respuestas de formulario 1'!B1444</f>
        <v>Varela</v>
      </c>
      <c r="C1444" s="7" t="str">
        <f>'Respuestas de formulario 1'!C1444</f>
        <v>Ethel </v>
      </c>
      <c r="D1444" s="7" t="str">
        <f>'Respuestas de formulario 1'!D1444</f>
        <v>Ethelvarela@hotmail.com</v>
      </c>
      <c r="E1444" s="20">
        <f>'Respuestas de formulario 1'!E1444</f>
        <v>21115</v>
      </c>
      <c r="F1444" s="7">
        <f>'Respuestas de formulario 1'!F1444</f>
        <v>13820097</v>
      </c>
      <c r="G1444" s="7" t="str">
        <f>IFERROR(__xludf.DUMMYFUNCTION("IF('Respuestas de formulario 1'!G1444="""","""",IF(LEFT(REGEXREPLACE(TO_TEXT('Respuestas de formulario 1'!G1444),""[^0-9]"",""""),2)=""54"",""+""&amp;REGEXREPLACE(TO_TEXT('Respuestas de formulario 1'!G1444),""[^0-9]"",""""),""+54""&amp;REGEXREPLACE(TO_TEXT('Respu"&amp;"estas de formulario 1'!G1444),""[^0-9]"","""")))"),"+543513682073")</f>
        <v>+543513682073</v>
      </c>
      <c r="H1444" s="7">
        <f>'Respuestas de formulario 1'!S1444</f>
        <v>2026</v>
      </c>
      <c r="I1444" s="7" t="str">
        <f>IFERROR(__xludf.DUMMYFUNCTION("IF('Respuestas de formulario 1'!I1444="""","""",TO_TEXT('Respuestas de formulario 1'!I1444))"),"Obra social")</f>
        <v>Obra social</v>
      </c>
      <c r="J1444" s="7" t="str">
        <f>IFERROR(__xludf.DUMMYFUNCTION("IF('Respuestas de formulario 1'!J1444&lt;&gt;"""",UPPER(TRIM(TO_TEXT('Respuestas de formulario 1'!J1444))),IF('Respuestas de formulario 1'!O1444&lt;&gt;"""",UPPER(TRIM(TO_TEXT('Respuestas de formulario 1'!O1444))),""""))"),"APROSS")</f>
        <v>APROSS</v>
      </c>
      <c r="K1444" s="7" t="str">
        <f>IFERROR(__xludf.DUMMYFUNCTION("IF('Respuestas de formulario 1'!K1444="""","""",TO_TEXT('Respuestas de formulario 1'!K1444))"),"Si")</f>
        <v>Si</v>
      </c>
      <c r="L1444" s="7" t="str">
        <f>IFERROR(__xludf.DUMMYFUNCTION("IF('Respuestas de formulario 1'!L1444="""","""",TO_TEXT('Respuestas de formulario 1'!L1444))"),"Tai chi")</f>
        <v>Tai chi</v>
      </c>
      <c r="M1444" s="7" t="str">
        <f>IFERROR(__xludf.DUMMYFUNCTION("IF('Respuestas de formulario 1'!M1444="""","""",TO_TEXT('Respuestas de formulario 1'!M1444))"),"1 a 2 veces por semana")</f>
        <v>1 a 2 veces por semana</v>
      </c>
      <c r="N1444" s="7">
        <f t="shared" si="1"/>
        <v>2026</v>
      </c>
      <c r="O1444" s="7" t="str">
        <f t="shared" si="2"/>
        <v>febrero</v>
      </c>
      <c r="P1444" s="7" t="s">
        <v>6995</v>
      </c>
    </row>
    <row r="1445">
      <c r="A1445" s="19">
        <f>'Respuestas de formulario 1'!A1445</f>
        <v>46063.72602</v>
      </c>
      <c r="B1445" s="7" t="str">
        <f>'Respuestas de formulario 1'!B1445</f>
        <v>Lazo</v>
      </c>
      <c r="C1445" s="7" t="str">
        <f>'Respuestas de formulario 1'!C1445</f>
        <v>Adriana</v>
      </c>
      <c r="D1445" s="7" t="str">
        <f>'Respuestas de formulario 1'!D1445</f>
        <v>adrilazo31@gmail.com</v>
      </c>
      <c r="E1445" s="20">
        <f>'Respuestas de formulario 1'!E1445</f>
        <v>21487</v>
      </c>
      <c r="F1445" s="7">
        <f>'Respuestas de formulario 1'!F1445</f>
        <v>12811915</v>
      </c>
      <c r="G1445" s="7" t="str">
        <f>IFERROR(__xludf.DUMMYFUNCTION("IF('Respuestas de formulario 1'!G1445="""","""",IF(LEFT(REGEXREPLACE(TO_TEXT('Respuestas de formulario 1'!G1445),""[^0-9]"",""""),2)=""54"",""+""&amp;REGEXREPLACE(TO_TEXT('Respuestas de formulario 1'!G1445),""[^0-9]"",""""),""+54""&amp;REGEXREPLACE(TO_TEXT('Respu"&amp;"estas de formulario 1'!G1445),""[^0-9]"","""")))"),"+543516842615")</f>
        <v>+543516842615</v>
      </c>
      <c r="H1445" s="7">
        <f>'Respuestas de formulario 1'!S1445</f>
        <v>2026</v>
      </c>
      <c r="I1445" s="7" t="str">
        <f>IFERROR(__xludf.DUMMYFUNCTION("IF('Respuestas de formulario 1'!I1445="""","""",TO_TEXT('Respuestas de formulario 1'!I1445))"),"Obra social")</f>
        <v>Obra social</v>
      </c>
      <c r="J1445" s="7" t="str">
        <f>IFERROR(__xludf.DUMMYFUNCTION("IF('Respuestas de formulario 1'!J1445&lt;&gt;"""",UPPER(TRIM(TO_TEXT('Respuestas de formulario 1'!J1445))),IF('Respuestas de formulario 1'!O1445&lt;&gt;"""",UPPER(TRIM(TO_TEXT('Respuestas de formulario 1'!O1445))),""""))"),"APROSS")</f>
        <v>APROSS</v>
      </c>
      <c r="K1445" s="7" t="str">
        <f>IFERROR(__xludf.DUMMYFUNCTION("IF('Respuestas de formulario 1'!K1445="""","""",TO_TEXT('Respuestas de formulario 1'!K1445))"),"Si")</f>
        <v>Si</v>
      </c>
      <c r="L1445" s="7" t="str">
        <f>IFERROR(__xludf.DUMMYFUNCTION("IF('Respuestas de formulario 1'!L1445="""","""",TO_TEXT('Respuestas de formulario 1'!L1445))"),"Yoga")</f>
        <v>Yoga</v>
      </c>
      <c r="M1445" s="7" t="str">
        <f>IFERROR(__xludf.DUMMYFUNCTION("IF('Respuestas de formulario 1'!M1445="""","""",TO_TEXT('Respuestas de formulario 1'!M1445))"),"1 a 2 veces por semana")</f>
        <v>1 a 2 veces por semana</v>
      </c>
      <c r="N1445" s="7">
        <f t="shared" si="1"/>
        <v>2026</v>
      </c>
      <c r="O1445" s="7" t="str">
        <f t="shared" si="2"/>
        <v>febrero</v>
      </c>
      <c r="P1445" s="7" t="s">
        <v>6997</v>
      </c>
    </row>
    <row r="1446">
      <c r="A1446" s="19">
        <f>'Respuestas de formulario 1'!A1446</f>
        <v>46064.73681</v>
      </c>
      <c r="B1446" s="7" t="str">
        <f>'Respuestas de formulario 1'!B1446</f>
        <v>GRAZIANI</v>
      </c>
      <c r="C1446" s="7" t="str">
        <f>'Respuestas de formulario 1'!C1446</f>
        <v>Matias</v>
      </c>
      <c r="D1446" s="7" t="str">
        <f>'Respuestas de formulario 1'!D1446</f>
        <v>matigraziani1997@gmail.com</v>
      </c>
      <c r="E1446" s="20">
        <f>'Respuestas de formulario 1'!E1446</f>
        <v>35460</v>
      </c>
      <c r="F1446" s="7">
        <f>'Respuestas de formulario 1'!F1446</f>
        <v>40109375</v>
      </c>
      <c r="G1446" s="7" t="str">
        <f>IFERROR(__xludf.DUMMYFUNCTION("IF('Respuestas de formulario 1'!G1446="""","""",IF(LEFT(REGEXREPLACE(TO_TEXT('Respuestas de formulario 1'!G1446),""[^0-9]"",""""),2)=""54"",""+""&amp;REGEXREPLACE(TO_TEXT('Respuestas de formulario 1'!G1446),""[^0-9]"",""""),""+54""&amp;REGEXREPLACE(TO_TEXT('Respu"&amp;"estas de formulario 1'!G1446),""[^0-9]"","""")))"),"+543516592467")</f>
        <v>+543516592467</v>
      </c>
      <c r="H1446" s="7">
        <f>'Respuestas de formulario 1'!S1446</f>
        <v>2026</v>
      </c>
      <c r="I1446" s="7" t="str">
        <f>IFERROR(__xludf.DUMMYFUNCTION("IF('Respuestas de formulario 1'!I1446="""","""",TO_TEXT('Respuestas de formulario 1'!I1446))"),"Particular")</f>
        <v>Particular</v>
      </c>
      <c r="J1446" s="7" t="str">
        <f>IFERROR(__xludf.DUMMYFUNCTION("IF('Respuestas de formulario 1'!J1446&lt;&gt;"""",UPPER(TRIM(TO_TEXT('Respuestas de formulario 1'!J1446))),IF('Respuestas de formulario 1'!O1446&lt;&gt;"""",UPPER(TRIM(TO_TEXT('Respuestas de formulario 1'!O1446))),""""))"),"")</f>
        <v/>
      </c>
      <c r="K1446" s="7" t="str">
        <f>IFERROR(__xludf.DUMMYFUNCTION("IF('Respuestas de formulario 1'!K1446="""","""",TO_TEXT('Respuestas de formulario 1'!K1446))"),"No")</f>
        <v>No</v>
      </c>
      <c r="L1446" s="7" t="str">
        <f>IFERROR(__xludf.DUMMYFUNCTION("IF('Respuestas de formulario 1'!L1446="""","""",TO_TEXT('Respuestas de formulario 1'!L1446))"),"")</f>
        <v/>
      </c>
      <c r="M1446" s="7" t="str">
        <f>IFERROR(__xludf.DUMMYFUNCTION("IF('Respuestas de formulario 1'!M1446="""","""",TO_TEXT('Respuestas de formulario 1'!M1446))"),"")</f>
        <v/>
      </c>
      <c r="N1446" s="7">
        <f t="shared" si="1"/>
        <v>2026</v>
      </c>
      <c r="O1446" s="7" t="str">
        <f t="shared" si="2"/>
        <v>febrero</v>
      </c>
      <c r="P1446" s="7" t="s">
        <v>6999</v>
      </c>
    </row>
    <row r="1447">
      <c r="A1447" s="19">
        <f>'Respuestas de formulario 1'!A1447</f>
        <v>46064.76242</v>
      </c>
      <c r="B1447" s="7" t="str">
        <f>'Respuestas de formulario 1'!B1447</f>
        <v>Grenon</v>
      </c>
      <c r="C1447" s="7" t="str">
        <f>'Respuestas de formulario 1'!C1447</f>
        <v>Uma</v>
      </c>
      <c r="D1447" s="7" t="str">
        <f>'Respuestas de formulario 1'!D1447</f>
        <v>Grenonuma123@gmail.com</v>
      </c>
      <c r="E1447" s="20">
        <f>'Respuestas de formulario 1'!E1447</f>
        <v>40878</v>
      </c>
      <c r="F1447" s="7">
        <f>'Respuestas de formulario 1'!F1447</f>
        <v>51277078</v>
      </c>
      <c r="G1447" s="7" t="str">
        <f>IFERROR(__xludf.DUMMYFUNCTION("IF('Respuestas de formulario 1'!G1447="""","""",IF(LEFT(REGEXREPLACE(TO_TEXT('Respuestas de formulario 1'!G1447),""[^0-9]"",""""),2)=""54"",""+""&amp;REGEXREPLACE(TO_TEXT('Respuestas de formulario 1'!G1447),""[^0-9]"",""""),""+54""&amp;REGEXREPLACE(TO_TEXT('Respu"&amp;"estas de formulario 1'!G1447),""[^0-9]"","""")))"),"+543515903053")</f>
        <v>+543515903053</v>
      </c>
      <c r="H1447" s="7">
        <f>'Respuestas de formulario 1'!S1447</f>
        <v>2026</v>
      </c>
      <c r="I1447" s="7" t="str">
        <f>IFERROR(__xludf.DUMMYFUNCTION("IF('Respuestas de formulario 1'!I1447="""","""",TO_TEXT('Respuestas de formulario 1'!I1447))"),"Particular")</f>
        <v>Particular</v>
      </c>
      <c r="J1447" s="7" t="str">
        <f>IFERROR(__xludf.DUMMYFUNCTION("IF('Respuestas de formulario 1'!J1447&lt;&gt;"""",UPPER(TRIM(TO_TEXT('Respuestas de formulario 1'!J1447))),IF('Respuestas de formulario 1'!O1447&lt;&gt;"""",UPPER(TRIM(TO_TEXT('Respuestas de formulario 1'!O1447))),""""))"),"")</f>
        <v/>
      </c>
      <c r="K1447" s="7" t="str">
        <f>IFERROR(__xludf.DUMMYFUNCTION("IF('Respuestas de formulario 1'!K1447="""","""",TO_TEXT('Respuestas de formulario 1'!K1447))"),"Si")</f>
        <v>Si</v>
      </c>
      <c r="L1447" s="7" t="str">
        <f>IFERROR(__xludf.DUMMYFUNCTION("IF('Respuestas de formulario 1'!L1447="""","""",TO_TEXT('Respuestas de formulario 1'!L1447))"),"Voley")</f>
        <v>Voley</v>
      </c>
      <c r="M1447" s="7" t="str">
        <f>IFERROR(__xludf.DUMMYFUNCTION("IF('Respuestas de formulario 1'!M1447="""","""",TO_TEXT('Respuestas de formulario 1'!M1447))"),"6 a 7 veces por semana")</f>
        <v>6 a 7 veces por semana</v>
      </c>
      <c r="N1447" s="7">
        <f t="shared" si="1"/>
        <v>2026</v>
      </c>
      <c r="O1447" s="7" t="str">
        <f t="shared" si="2"/>
        <v>febrero</v>
      </c>
      <c r="P1447" s="7" t="s">
        <v>7001</v>
      </c>
    </row>
    <row r="1448">
      <c r="A1448" s="19">
        <f>'Respuestas de formulario 1'!A1448</f>
        <v>46064.77052</v>
      </c>
      <c r="B1448" s="7" t="str">
        <f>'Respuestas de formulario 1'!B1448</f>
        <v>San roman </v>
      </c>
      <c r="C1448" s="7" t="str">
        <f>'Respuestas de formulario 1'!C1448</f>
        <v>Maria elena </v>
      </c>
      <c r="D1448" s="7" t="str">
        <f>'Respuestas de formulario 1'!D1448</f>
        <v>esanroman69@hotmail.com</v>
      </c>
      <c r="E1448" s="20">
        <f>'Respuestas de formulario 1'!E1448</f>
        <v>25033</v>
      </c>
      <c r="F1448" s="7">
        <f>'Respuestas de formulario 1'!F1448</f>
        <v>92491518</v>
      </c>
      <c r="G1448" s="7" t="str">
        <f>IFERROR(__xludf.DUMMYFUNCTION("IF('Respuestas de formulario 1'!G1448="""","""",IF(LEFT(REGEXREPLACE(TO_TEXT('Respuestas de formulario 1'!G1448),""[^0-9]"",""""),2)=""54"",""+""&amp;REGEXREPLACE(TO_TEXT('Respuestas de formulario 1'!G1448),""[^0-9]"",""""),""+54""&amp;REGEXREPLACE(TO_TEXT('Respu"&amp;"estas de formulario 1'!G1448),""[^0-9]"","""")))"),"+543515400820")</f>
        <v>+543515400820</v>
      </c>
      <c r="H1448" s="7">
        <f>'Respuestas de formulario 1'!S1448</f>
        <v>2026</v>
      </c>
      <c r="I1448" s="7" t="str">
        <f>IFERROR(__xludf.DUMMYFUNCTION("IF('Respuestas de formulario 1'!I1448="""","""",TO_TEXT('Respuestas de formulario 1'!I1448))"),"Particular")</f>
        <v>Particular</v>
      </c>
      <c r="J1448" s="7" t="str">
        <f>IFERROR(__xludf.DUMMYFUNCTION("IF('Respuestas de formulario 1'!J1448&lt;&gt;"""",UPPER(TRIM(TO_TEXT('Respuestas de formulario 1'!J1448))),IF('Respuestas de formulario 1'!O1448&lt;&gt;"""",UPPER(TRIM(TO_TEXT('Respuestas de formulario 1'!O1448))),""""))"),"")</f>
        <v/>
      </c>
      <c r="K1448" s="7" t="str">
        <f>IFERROR(__xludf.DUMMYFUNCTION("IF('Respuestas de formulario 1'!K1448="""","""",TO_TEXT('Respuestas de formulario 1'!K1448))"),"Si")</f>
        <v>Si</v>
      </c>
      <c r="L1448" s="7" t="str">
        <f>IFERROR(__xludf.DUMMYFUNCTION("IF('Respuestas de formulario 1'!L1448="""","""",TO_TEXT('Respuestas de formulario 1'!L1448))"),"Crossfit")</f>
        <v>Crossfit</v>
      </c>
      <c r="M1448" s="7" t="str">
        <f>IFERROR(__xludf.DUMMYFUNCTION("IF('Respuestas de formulario 1'!M1448="""","""",TO_TEXT('Respuestas de formulario 1'!M1448))"),"3 a 5 veces por semana")</f>
        <v>3 a 5 veces por semana</v>
      </c>
      <c r="N1448" s="7">
        <f t="shared" si="1"/>
        <v>2026</v>
      </c>
      <c r="O1448" s="7" t="str">
        <f t="shared" si="2"/>
        <v>febrero</v>
      </c>
      <c r="P1448" s="7" t="s">
        <v>7003</v>
      </c>
    </row>
    <row r="1449">
      <c r="A1449" s="19">
        <f>'Respuestas de formulario 1'!A1449</f>
        <v>46064.81638</v>
      </c>
      <c r="B1449" s="7" t="str">
        <f>'Respuestas de formulario 1'!B1449</f>
        <v>Delera</v>
      </c>
      <c r="C1449" s="7" t="str">
        <f>'Respuestas de formulario 1'!C1449</f>
        <v>Agustin</v>
      </c>
      <c r="D1449" s="7" t="str">
        <f>'Respuestas de formulario 1'!D1449</f>
        <v>agudelera@gmail.com</v>
      </c>
      <c r="E1449" s="20">
        <f>'Respuestas de formulario 1'!E1449</f>
        <v>37888</v>
      </c>
      <c r="F1449" s="7">
        <f>'Respuestas de formulario 1'!F1449</f>
        <v>44970157</v>
      </c>
      <c r="G1449" s="7" t="str">
        <f>IFERROR(__xludf.DUMMYFUNCTION("IF('Respuestas de formulario 1'!G1449="""","""",IF(LEFT(REGEXREPLACE(TO_TEXT('Respuestas de formulario 1'!G1449),""[^0-9]"",""""),2)=""54"",""+""&amp;REGEXREPLACE(TO_TEXT('Respuestas de formulario 1'!G1449),""[^0-9]"",""""),""+54""&amp;REGEXREPLACE(TO_TEXT('Respu"&amp;"estas de formulario 1'!G1449),""[^0-9]"","""")))"),"+543516886729")</f>
        <v>+543516886729</v>
      </c>
      <c r="H1449" s="7">
        <f>'Respuestas de formulario 1'!S1449</f>
        <v>2026</v>
      </c>
      <c r="I1449" s="7" t="str">
        <f>IFERROR(__xludf.DUMMYFUNCTION("IF('Respuestas de formulario 1'!I1449="""","""",TO_TEXT('Respuestas de formulario 1'!I1449))"),"Particular")</f>
        <v>Particular</v>
      </c>
      <c r="J1449" s="7" t="str">
        <f>IFERROR(__xludf.DUMMYFUNCTION("IF('Respuestas de formulario 1'!J1449&lt;&gt;"""",UPPER(TRIM(TO_TEXT('Respuestas de formulario 1'!J1449))),IF('Respuestas de formulario 1'!O1449&lt;&gt;"""",UPPER(TRIM(TO_TEXT('Respuestas de formulario 1'!O1449))),""""))"),"")</f>
        <v/>
      </c>
      <c r="K1449" s="7" t="str">
        <f>IFERROR(__xludf.DUMMYFUNCTION("IF('Respuestas de formulario 1'!K1449="""","""",TO_TEXT('Respuestas de formulario 1'!K1449))"),"Si")</f>
        <v>Si</v>
      </c>
      <c r="L1449" s="7" t="str">
        <f>IFERROR(__xludf.DUMMYFUNCTION("IF('Respuestas de formulario 1'!L1449="""","""",TO_TEXT('Respuestas de formulario 1'!L1449))"),"Fútbol")</f>
        <v>Fútbol</v>
      </c>
      <c r="M1449" s="7" t="str">
        <f>IFERROR(__xludf.DUMMYFUNCTION("IF('Respuestas de formulario 1'!M1449="""","""",TO_TEXT('Respuestas de formulario 1'!M1449))"),"1 a 2 veces por semana")</f>
        <v>1 a 2 veces por semana</v>
      </c>
      <c r="N1449" s="7">
        <f t="shared" si="1"/>
        <v>2026</v>
      </c>
      <c r="O1449" s="7" t="str">
        <f t="shared" si="2"/>
        <v>febrero</v>
      </c>
      <c r="P1449" s="7" t="s">
        <v>7005</v>
      </c>
    </row>
    <row r="1450">
      <c r="A1450" s="19">
        <f>'Respuestas de formulario 1'!A1450</f>
        <v>46064.82045</v>
      </c>
      <c r="B1450" s="7" t="str">
        <f>'Respuestas de formulario 1'!B1450</f>
        <v>Ramirez</v>
      </c>
      <c r="C1450" s="7" t="str">
        <f>'Respuestas de formulario 1'!C1450</f>
        <v>Franco</v>
      </c>
      <c r="D1450" s="7" t="str">
        <f>'Respuestas de formulario 1'!D1450</f>
        <v>brockoshark28@gmail.com</v>
      </c>
      <c r="E1450" s="20">
        <f>'Respuestas de formulario 1'!E1450</f>
        <v>34768</v>
      </c>
      <c r="F1450" s="7">
        <f>'Respuestas de formulario 1'!F1450</f>
        <v>38478548</v>
      </c>
      <c r="G1450" s="7" t="str">
        <f>IFERROR(__xludf.DUMMYFUNCTION("IF('Respuestas de formulario 1'!G1450="""","""",IF(LEFT(REGEXREPLACE(TO_TEXT('Respuestas de formulario 1'!G1450),""[^0-9]"",""""),2)=""54"",""+""&amp;REGEXREPLACE(TO_TEXT('Respuestas de formulario 1'!G1450),""[^0-9]"",""""),""+54""&amp;REGEXREPLACE(TO_TEXT('Respu"&amp;"estas de formulario 1'!G1450),""[^0-9]"","""")))"),"+543521416877")</f>
        <v>+543521416877</v>
      </c>
      <c r="H1450" s="7">
        <f>'Respuestas de formulario 1'!S1450</f>
        <v>2026</v>
      </c>
      <c r="I1450" s="7" t="str">
        <f>IFERROR(__xludf.DUMMYFUNCTION("IF('Respuestas de formulario 1'!I1450="""","""",TO_TEXT('Respuestas de formulario 1'!I1450))"),"Particular")</f>
        <v>Particular</v>
      </c>
      <c r="J1450" s="7" t="str">
        <f>IFERROR(__xludf.DUMMYFUNCTION("IF('Respuestas de formulario 1'!J1450&lt;&gt;"""",UPPER(TRIM(TO_TEXT('Respuestas de formulario 1'!J1450))),IF('Respuestas de formulario 1'!O1450&lt;&gt;"""",UPPER(TRIM(TO_TEXT('Respuestas de formulario 1'!O1450))),""""))"),"")</f>
        <v/>
      </c>
      <c r="K1450" s="7" t="str">
        <f>IFERROR(__xludf.DUMMYFUNCTION("IF('Respuestas de formulario 1'!K1450="""","""",TO_TEXT('Respuestas de formulario 1'!K1450))"),"Si")</f>
        <v>Si</v>
      </c>
      <c r="L1450" s="7" t="str">
        <f>IFERROR(__xludf.DUMMYFUNCTION("IF('Respuestas de formulario 1'!L1450="""","""",TO_TEXT('Respuestas de formulario 1'!L1450))"),"Artes marciales mixtas y gimnasio")</f>
        <v>Artes marciales mixtas y gimnasio</v>
      </c>
      <c r="M1450" s="7" t="str">
        <f>IFERROR(__xludf.DUMMYFUNCTION("IF('Respuestas de formulario 1'!M1450="""","""",TO_TEXT('Respuestas de formulario 1'!M1450))"),"3 a 5 veces por semana")</f>
        <v>3 a 5 veces por semana</v>
      </c>
      <c r="N1450" s="7">
        <f t="shared" si="1"/>
        <v>2026</v>
      </c>
      <c r="O1450" s="7" t="str">
        <f t="shared" si="2"/>
        <v>febrero</v>
      </c>
      <c r="P1450" s="7" t="s">
        <v>7007</v>
      </c>
    </row>
    <row r="1451">
      <c r="A1451" s="19">
        <f>'Respuestas de formulario 1'!A1451</f>
        <v>46065.41984</v>
      </c>
      <c r="B1451" s="7" t="str">
        <f>'Respuestas de formulario 1'!B1451</f>
        <v>Gonzalez</v>
      </c>
      <c r="C1451" s="7" t="str">
        <f>'Respuestas de formulario 1'!C1451</f>
        <v>Guadalupe</v>
      </c>
      <c r="D1451" s="7" t="str">
        <f>'Respuestas de formulario 1'!D1451</f>
        <v>gonzalezguada32@gmail.com</v>
      </c>
      <c r="E1451" s="20">
        <f>'Respuestas de formulario 1'!E1451</f>
        <v>37544</v>
      </c>
      <c r="F1451" s="7">
        <f>'Respuestas de formulario 1'!F1451</f>
        <v>44274200</v>
      </c>
      <c r="G1451" s="7" t="str">
        <f>IFERROR(__xludf.DUMMYFUNCTION("IF('Respuestas de formulario 1'!G1451="""","""",IF(LEFT(REGEXREPLACE(TO_TEXT('Respuestas de formulario 1'!G1451),""[^0-9]"",""""),2)=""54"",""+""&amp;REGEXREPLACE(TO_TEXT('Respuestas de formulario 1'!G1451),""[^0-9]"",""""),""+54""&amp;REGEXREPLACE(TO_TEXT('Respu"&amp;"estas de formulario 1'!G1451),""[^0-9]"","""")))"),"+543512036748")</f>
        <v>+543512036748</v>
      </c>
      <c r="H1451" s="7">
        <f>'Respuestas de formulario 1'!S1451</f>
        <v>2026</v>
      </c>
      <c r="I1451" s="7" t="str">
        <f>IFERROR(__xludf.DUMMYFUNCTION("IF('Respuestas de formulario 1'!I1451="""","""",TO_TEXT('Respuestas de formulario 1'!I1451))"),"Obra social")</f>
        <v>Obra social</v>
      </c>
      <c r="J1451" s="7" t="str">
        <f>IFERROR(__xludf.DUMMYFUNCTION("IF('Respuestas de formulario 1'!J1451&lt;&gt;"""",UPPER(TRIM(TO_TEXT('Respuestas de formulario 1'!J1451))),IF('Respuestas de formulario 1'!O1451&lt;&gt;"""",UPPER(TRIM(TO_TEXT('Respuestas de formulario 1'!O1451))),""""))"),"SWISS MEDICAL")</f>
        <v>SWISS MEDICAL</v>
      </c>
      <c r="K1451" s="7" t="str">
        <f>IFERROR(__xludf.DUMMYFUNCTION("IF('Respuestas de formulario 1'!K1451="""","""",TO_TEXT('Respuestas de formulario 1'!K1451))"),"No")</f>
        <v>No</v>
      </c>
      <c r="L1451" s="7" t="str">
        <f>IFERROR(__xludf.DUMMYFUNCTION("IF('Respuestas de formulario 1'!L1451="""","""",TO_TEXT('Respuestas de formulario 1'!L1451))"),"")</f>
        <v/>
      </c>
      <c r="M1451" s="7" t="str">
        <f>IFERROR(__xludf.DUMMYFUNCTION("IF('Respuestas de formulario 1'!M1451="""","""",TO_TEXT('Respuestas de formulario 1'!M1451))"),"")</f>
        <v/>
      </c>
      <c r="N1451" s="7">
        <f t="shared" si="1"/>
        <v>2026</v>
      </c>
      <c r="O1451" s="7" t="str">
        <f t="shared" si="2"/>
        <v>febrero</v>
      </c>
      <c r="P1451" s="7" t="s">
        <v>7009</v>
      </c>
    </row>
    <row r="1452">
      <c r="A1452" s="19">
        <f>'Respuestas de formulario 1'!A1452</f>
        <v>46065.76878</v>
      </c>
      <c r="B1452" s="7" t="str">
        <f>'Respuestas de formulario 1'!B1452</f>
        <v>Carrizo</v>
      </c>
      <c r="C1452" s="7" t="str">
        <f>'Respuestas de formulario 1'!C1452</f>
        <v>Julio</v>
      </c>
      <c r="D1452" s="7" t="str">
        <f>'Respuestas de formulario 1'!D1452</f>
        <v>jcarrizo76@gmail.com</v>
      </c>
      <c r="E1452" s="20">
        <f>'Respuestas de formulario 1'!E1452</f>
        <v>31751</v>
      </c>
      <c r="F1452" s="7">
        <f>'Respuestas de formulario 1'!F1452</f>
        <v>32682826</v>
      </c>
      <c r="G1452" s="7" t="str">
        <f>IFERROR(__xludf.DUMMYFUNCTION("IF('Respuestas de formulario 1'!G1452="""","""",IF(LEFT(REGEXREPLACE(TO_TEXT('Respuestas de formulario 1'!G1452),""[^0-9]"",""""),2)=""54"",""+""&amp;REGEXREPLACE(TO_TEXT('Respuestas de formulario 1'!G1452),""[^0-9]"",""""),""+54""&amp;REGEXREPLACE(TO_TEXT('Respu"&amp;"estas de formulario 1'!G1452),""[^0-9]"","""")))"),"+543513980187")</f>
        <v>+543513980187</v>
      </c>
      <c r="H1452" s="7">
        <f>'Respuestas de formulario 1'!S1452</f>
        <v>2026</v>
      </c>
      <c r="I1452" s="7" t="str">
        <f>IFERROR(__xludf.DUMMYFUNCTION("IF('Respuestas de formulario 1'!I1452="""","""",TO_TEXT('Respuestas de formulario 1'!I1452))"),"Obra social")</f>
        <v>Obra social</v>
      </c>
      <c r="J1452" s="7" t="str">
        <f>IFERROR(__xludf.DUMMYFUNCTION("IF('Respuestas de formulario 1'!J1452&lt;&gt;"""",UPPER(TRIM(TO_TEXT('Respuestas de formulario 1'!J1452))),IF('Respuestas de formulario 1'!O1452&lt;&gt;"""",UPPER(TRIM(TO_TEXT('Respuestas de formulario 1'!O1452))),""""))"),"SANCOR")</f>
        <v>SANCOR</v>
      </c>
      <c r="K1452" s="7" t="str">
        <f>IFERROR(__xludf.DUMMYFUNCTION("IF('Respuestas de formulario 1'!K1452="""","""",TO_TEXT('Respuestas de formulario 1'!K1452))"),"Si")</f>
        <v>Si</v>
      </c>
      <c r="L1452" s="7" t="str">
        <f>IFERROR(__xludf.DUMMYFUNCTION("IF('Respuestas de formulario 1'!L1452="""","""",TO_TEXT('Respuestas de formulario 1'!L1452))"),"Gimnasio")</f>
        <v>Gimnasio</v>
      </c>
      <c r="M1452" s="7" t="str">
        <f>IFERROR(__xludf.DUMMYFUNCTION("IF('Respuestas de formulario 1'!M1452="""","""",TO_TEXT('Respuestas de formulario 1'!M1452))"),"3 a 5 veces por semana")</f>
        <v>3 a 5 veces por semana</v>
      </c>
      <c r="N1452" s="7">
        <f t="shared" si="1"/>
        <v>2026</v>
      </c>
      <c r="O1452" s="7" t="str">
        <f t="shared" si="2"/>
        <v>febrero</v>
      </c>
      <c r="P1452" s="7" t="s">
        <v>7011</v>
      </c>
    </row>
    <row r="1453">
      <c r="A1453" s="19">
        <f>'Respuestas de formulario 1'!A1453</f>
        <v>46065.77141</v>
      </c>
      <c r="B1453" s="7" t="str">
        <f>'Respuestas de formulario 1'!B1453</f>
        <v>ramirez</v>
      </c>
      <c r="C1453" s="7" t="str">
        <f>'Respuestas de formulario 1'!C1453</f>
        <v>franco </v>
      </c>
      <c r="D1453" s="7" t="str">
        <f>'Respuestas de formulario 1'!D1453</f>
        <v>brockoshark20@gamil.com</v>
      </c>
      <c r="E1453" s="20">
        <f>'Respuestas de formulario 1'!E1453</f>
        <v>34768</v>
      </c>
      <c r="F1453" s="7">
        <f>'Respuestas de formulario 1'!F1453</f>
        <v>38478548</v>
      </c>
      <c r="G1453" s="7" t="str">
        <f>IFERROR(__xludf.DUMMYFUNCTION("IF('Respuestas de formulario 1'!G1453="""","""",IF(LEFT(REGEXREPLACE(TO_TEXT('Respuestas de formulario 1'!G1453),""[^0-9]"",""""),2)=""54"",""+""&amp;REGEXREPLACE(TO_TEXT('Respuestas de formulario 1'!G1453),""[^0-9]"",""""),""+54""&amp;REGEXREPLACE(TO_TEXT('Respu"&amp;"estas de formulario 1'!G1453),""[^0-9]"","""")))"),"+543521416877")</f>
        <v>+543521416877</v>
      </c>
      <c r="H1453" s="7">
        <f>'Respuestas de formulario 1'!S1453</f>
        <v>2026</v>
      </c>
      <c r="I1453" s="7" t="str">
        <f>IFERROR(__xludf.DUMMYFUNCTION("IF('Respuestas de formulario 1'!I1453="""","""",TO_TEXT('Respuestas de formulario 1'!I1453))"),"Particular")</f>
        <v>Particular</v>
      </c>
      <c r="J1453" s="7" t="str">
        <f>IFERROR(__xludf.DUMMYFUNCTION("IF('Respuestas de formulario 1'!J1453&lt;&gt;"""",UPPER(TRIM(TO_TEXT('Respuestas de formulario 1'!J1453))),IF('Respuestas de formulario 1'!O1453&lt;&gt;"""",UPPER(TRIM(TO_TEXT('Respuestas de formulario 1'!O1453))),""""))"),"")</f>
        <v/>
      </c>
      <c r="K1453" s="7" t="str">
        <f>IFERROR(__xludf.DUMMYFUNCTION("IF('Respuestas de formulario 1'!K1453="""","""",TO_TEXT('Respuestas de formulario 1'!K1453))"),"Si")</f>
        <v>Si</v>
      </c>
      <c r="L1453" s="7" t="str">
        <f>IFERROR(__xludf.DUMMYFUNCTION("IF('Respuestas de formulario 1'!L1453="""","""",TO_TEXT('Respuestas de formulario 1'!L1453))"),"mma")</f>
        <v>mma</v>
      </c>
      <c r="M1453" s="7" t="str">
        <f>IFERROR(__xludf.DUMMYFUNCTION("IF('Respuestas de formulario 1'!M1453="""","""",TO_TEXT('Respuestas de formulario 1'!M1453))"),"3 a 5 veces por semana")</f>
        <v>3 a 5 veces por semana</v>
      </c>
      <c r="N1453" s="7">
        <f t="shared" si="1"/>
        <v>2026</v>
      </c>
      <c r="O1453" s="7" t="str">
        <f t="shared" si="2"/>
        <v>febrero</v>
      </c>
      <c r="P1453" s="7" t="s">
        <v>7013</v>
      </c>
    </row>
    <row r="1454">
      <c r="A1454" s="19">
        <f>'Respuestas de formulario 1'!A1454</f>
        <v>46065.7911</v>
      </c>
      <c r="B1454" s="7" t="str">
        <f>'Respuestas de formulario 1'!B1454</f>
        <v>OVIEDO</v>
      </c>
      <c r="C1454" s="7" t="str">
        <f>'Respuestas de formulario 1'!C1454</f>
        <v>GUILLERMO</v>
      </c>
      <c r="D1454" s="7" t="str">
        <f>'Respuestas de formulario 1'!D1454</f>
        <v>oviedo.guille@gmail.com</v>
      </c>
      <c r="E1454" s="20">
        <f>'Respuestas de formulario 1'!E1454</f>
        <v>28099</v>
      </c>
      <c r="F1454" s="7">
        <f>'Respuestas de formulario 1'!F1454</f>
        <v>25247140</v>
      </c>
      <c r="G1454" s="7" t="str">
        <f>IFERROR(__xludf.DUMMYFUNCTION("IF('Respuestas de formulario 1'!G1454="""","""",IF(LEFT(REGEXREPLACE(TO_TEXT('Respuestas de formulario 1'!G1454),""[^0-9]"",""""),2)=""54"",""+""&amp;REGEXREPLACE(TO_TEXT('Respuestas de formulario 1'!G1454),""[^0-9]"",""""),""+54""&amp;REGEXREPLACE(TO_TEXT('Respu"&amp;"estas de formulario 1'!G1454),""[^0-9]"","""")))"),"+543515730089")</f>
        <v>+543515730089</v>
      </c>
      <c r="H1454" s="7">
        <f>'Respuestas de formulario 1'!S1454</f>
        <v>2026</v>
      </c>
      <c r="I1454" s="7" t="str">
        <f>IFERROR(__xludf.DUMMYFUNCTION("IF('Respuestas de formulario 1'!I1454="""","""",TO_TEXT('Respuestas de formulario 1'!I1454))"),"Obra social")</f>
        <v>Obra social</v>
      </c>
      <c r="J1454" s="7" t="str">
        <f>IFERROR(__xludf.DUMMYFUNCTION("IF('Respuestas de formulario 1'!J1454&lt;&gt;"""",UPPER(TRIM(TO_TEXT('Respuestas de formulario 1'!J1454))),IF('Respuestas de formulario 1'!O1454&lt;&gt;"""",UPPER(TRIM(TO_TEXT('Respuestas de formulario 1'!O1454))),""""))"),"CPCE")</f>
        <v>CPCE</v>
      </c>
      <c r="K1454" s="7" t="str">
        <f>IFERROR(__xludf.DUMMYFUNCTION("IF('Respuestas de formulario 1'!K1454="""","""",TO_TEXT('Respuestas de formulario 1'!K1454))"),"No")</f>
        <v>No</v>
      </c>
      <c r="L1454" s="7" t="str">
        <f>IFERROR(__xludf.DUMMYFUNCTION("IF('Respuestas de formulario 1'!L1454="""","""",TO_TEXT('Respuestas de formulario 1'!L1454))"),"")</f>
        <v/>
      </c>
      <c r="M1454" s="7" t="str">
        <f>IFERROR(__xludf.DUMMYFUNCTION("IF('Respuestas de formulario 1'!M1454="""","""",TO_TEXT('Respuestas de formulario 1'!M1454))"),"")</f>
        <v/>
      </c>
      <c r="N1454" s="7">
        <f t="shared" si="1"/>
        <v>2026</v>
      </c>
      <c r="O1454" s="7" t="str">
        <f t="shared" si="2"/>
        <v>febrero</v>
      </c>
      <c r="P1454" s="7" t="s">
        <v>7014</v>
      </c>
    </row>
    <row r="1455">
      <c r="A1455" s="19">
        <f>'Respuestas de formulario 1'!A1455</f>
        <v>46066.69091</v>
      </c>
      <c r="B1455" s="7" t="str">
        <f>'Respuestas de formulario 1'!B1455</f>
        <v>Ugarte</v>
      </c>
      <c r="C1455" s="7" t="str">
        <f>'Respuestas de formulario 1'!C1455</f>
        <v>Juan Manuel</v>
      </c>
      <c r="D1455" s="7" t="str">
        <f>'Respuestas de formulario 1'!D1455</f>
        <v>ugartejuanmanuel@hotmail.com</v>
      </c>
      <c r="E1455" s="20">
        <f>'Respuestas de formulario 1'!E1455</f>
        <v>20945</v>
      </c>
      <c r="F1455" s="7">
        <f>'Respuestas de formulario 1'!F1455</f>
        <v>13044074</v>
      </c>
      <c r="G1455" s="7" t="str">
        <f>IFERROR(__xludf.DUMMYFUNCTION("IF('Respuestas de formulario 1'!G1455="""","""",IF(LEFT(REGEXREPLACE(TO_TEXT('Respuestas de formulario 1'!G1455),""[^0-9]"",""""),2)=""54"",""+""&amp;REGEXREPLACE(TO_TEXT('Respuestas de formulario 1'!G1455),""[^0-9]"",""""),""+54""&amp;REGEXREPLACE(TO_TEXT('Respu"&amp;"estas de formulario 1'!G1455),""[^0-9]"","""")))"),"+543515642894")</f>
        <v>+543515642894</v>
      </c>
      <c r="H1455" s="7">
        <f>'Respuestas de formulario 1'!S1455</f>
        <v>2026</v>
      </c>
      <c r="I1455" s="7" t="str">
        <f>IFERROR(__xludf.DUMMYFUNCTION("IF('Respuestas de formulario 1'!I1455="""","""",TO_TEXT('Respuestas de formulario 1'!I1455))"),"Obra social")</f>
        <v>Obra social</v>
      </c>
      <c r="J1455" s="7" t="str">
        <f>IFERROR(__xludf.DUMMYFUNCTION("IF('Respuestas de formulario 1'!J1455&lt;&gt;"""",UPPER(TRIM(TO_TEXT('Respuestas de formulario 1'!J1455))),IF('Respuestas de formulario 1'!O1455&lt;&gt;"""",UPPER(TRIM(TO_TEXT('Respuestas de formulario 1'!O1455))),""""))"),"APROSS")</f>
        <v>APROSS</v>
      </c>
      <c r="K1455" s="7" t="str">
        <f>IFERROR(__xludf.DUMMYFUNCTION("IF('Respuestas de formulario 1'!K1455="""","""",TO_TEXT('Respuestas de formulario 1'!K1455))"),"Si")</f>
        <v>Si</v>
      </c>
      <c r="L1455" s="7" t="str">
        <f>IFERROR(__xludf.DUMMYFUNCTION("IF('Respuestas de formulario 1'!L1455="""","""",TO_TEXT('Respuestas de formulario 1'!L1455))"),"Caminata")</f>
        <v>Caminata</v>
      </c>
      <c r="M1455" s="7" t="str">
        <f>IFERROR(__xludf.DUMMYFUNCTION("IF('Respuestas de formulario 1'!M1455="""","""",TO_TEXT('Respuestas de formulario 1'!M1455))"),"3 a 5 veces por semana")</f>
        <v>3 a 5 veces por semana</v>
      </c>
      <c r="N1455" s="7">
        <f t="shared" si="1"/>
        <v>2026</v>
      </c>
      <c r="O1455" s="7" t="str">
        <f t="shared" si="2"/>
        <v>febrero</v>
      </c>
      <c r="P1455" s="7" t="s">
        <v>7016</v>
      </c>
    </row>
    <row r="1456">
      <c r="A1456" s="19">
        <f>'Respuestas de formulario 1'!A1456</f>
        <v>46070.788</v>
      </c>
      <c r="B1456" s="7" t="str">
        <f>'Respuestas de formulario 1'!B1456</f>
        <v>Leyba</v>
      </c>
      <c r="C1456" s="7" t="str">
        <f>'Respuestas de formulario 1'!C1456</f>
        <v>Paula</v>
      </c>
      <c r="D1456" s="7" t="str">
        <f>'Respuestas de formulario 1'!D1456</f>
        <v>Pauleyba@hotmail.com</v>
      </c>
      <c r="E1456" s="20">
        <f>'Respuestas de formulario 1'!E1456</f>
        <v>28756</v>
      </c>
      <c r="F1456" s="7">
        <f>'Respuestas de formulario 1'!F1456</f>
        <v>26903058</v>
      </c>
      <c r="G1456" s="7" t="str">
        <f>IFERROR(__xludf.DUMMYFUNCTION("IF('Respuestas de formulario 1'!G1456="""","""",IF(LEFT(REGEXREPLACE(TO_TEXT('Respuestas de formulario 1'!G1456),""[^0-9]"",""""),2)=""54"",""+""&amp;REGEXREPLACE(TO_TEXT('Respuestas de formulario 1'!G1456),""[^0-9]"",""""),""+54""&amp;REGEXREPLACE(TO_TEXT('Respu"&amp;"estas de formulario 1'!G1456),""[^0-9]"","""")))"),"+543516807354")</f>
        <v>+543516807354</v>
      </c>
      <c r="H1456" s="7">
        <f>'Respuestas de formulario 1'!S1456</f>
        <v>2026</v>
      </c>
      <c r="I1456" s="7" t="str">
        <f>IFERROR(__xludf.DUMMYFUNCTION("IF('Respuestas de formulario 1'!I1456="""","""",TO_TEXT('Respuestas de formulario 1'!I1456))"),"Particular")</f>
        <v>Particular</v>
      </c>
      <c r="J1456" s="7" t="str">
        <f>IFERROR(__xludf.DUMMYFUNCTION("IF('Respuestas de formulario 1'!J1456&lt;&gt;"""",UPPER(TRIM(TO_TEXT('Respuestas de formulario 1'!J1456))),IF('Respuestas de formulario 1'!O1456&lt;&gt;"""",UPPER(TRIM(TO_TEXT('Respuestas de formulario 1'!O1456))),""""))"),"")</f>
        <v/>
      </c>
      <c r="K1456" s="7" t="str">
        <f>IFERROR(__xludf.DUMMYFUNCTION("IF('Respuestas de formulario 1'!K1456="""","""",TO_TEXT('Respuestas de formulario 1'!K1456))"),"Si")</f>
        <v>Si</v>
      </c>
      <c r="L1456" s="7" t="str">
        <f>IFERROR(__xludf.DUMMYFUNCTION("IF('Respuestas de formulario 1'!L1456="""","""",TO_TEXT('Respuestas de formulario 1'!L1456))"),"Running")</f>
        <v>Running</v>
      </c>
      <c r="M1456" s="7" t="str">
        <f>IFERROR(__xludf.DUMMYFUNCTION("IF('Respuestas de formulario 1'!M1456="""","""",TO_TEXT('Respuestas de formulario 1'!M1456))"),"3 a 5 veces por semana")</f>
        <v>3 a 5 veces por semana</v>
      </c>
      <c r="N1456" s="7">
        <f t="shared" si="1"/>
        <v>2026</v>
      </c>
      <c r="O1456" s="7" t="str">
        <f t="shared" si="2"/>
        <v>febrero</v>
      </c>
      <c r="P1456" s="7" t="s">
        <v>7018</v>
      </c>
    </row>
    <row r="1457">
      <c r="A1457" s="19">
        <f>'Respuestas de formulario 1'!A1457</f>
        <v>46071.44649</v>
      </c>
      <c r="B1457" s="7" t="str">
        <f>'Respuestas de formulario 1'!B1457</f>
        <v>Cortizo</v>
      </c>
      <c r="C1457" s="7" t="str">
        <f>'Respuestas de formulario 1'!C1457</f>
        <v>Felipe</v>
      </c>
      <c r="D1457" s="7" t="str">
        <f>'Respuestas de formulario 1'!D1457</f>
        <v>fcortizo2006@gmail.com</v>
      </c>
      <c r="E1457" s="20">
        <f>'Respuestas de formulario 1'!E1457</f>
        <v>38776</v>
      </c>
      <c r="F1457" s="7">
        <f>'Respuestas de formulario 1'!F1457</f>
        <v>46999528</v>
      </c>
      <c r="G1457" s="7" t="str">
        <f>IFERROR(__xludf.DUMMYFUNCTION("IF('Respuestas de formulario 1'!G1457="""","""",IF(LEFT(REGEXREPLACE(TO_TEXT('Respuestas de formulario 1'!G1457),""[^0-9]"",""""),2)=""54"",""+""&amp;REGEXREPLACE(TO_TEXT('Respuestas de formulario 1'!G1457),""[^0-9]"",""""),""+54""&amp;REGEXREPLACE(TO_TEXT('Respu"&amp;"estas de formulario 1'!G1457),""[^0-9]"","""")))"),"+543512183905")</f>
        <v>+543512183905</v>
      </c>
      <c r="H1457" s="7">
        <f>'Respuestas de formulario 1'!S1457</f>
        <v>2026</v>
      </c>
      <c r="I1457" s="7" t="str">
        <f>IFERROR(__xludf.DUMMYFUNCTION("IF('Respuestas de formulario 1'!I1457="""","""",TO_TEXT('Respuestas de formulario 1'!I1457))"),"Obra social")</f>
        <v>Obra social</v>
      </c>
      <c r="J1457" s="7" t="str">
        <f>IFERROR(__xludf.DUMMYFUNCTION("IF('Respuestas de formulario 1'!J1457&lt;&gt;"""",UPPER(TRIM(TO_TEXT('Respuestas de formulario 1'!J1457))),IF('Respuestas de formulario 1'!O1457&lt;&gt;"""",UPPER(TRIM(TO_TEXT('Respuestas de formulario 1'!O1457))),""""))"),"OMINT")</f>
        <v>OMINT</v>
      </c>
      <c r="K1457" s="7" t="str">
        <f>IFERROR(__xludf.DUMMYFUNCTION("IF('Respuestas de formulario 1'!K1457="""","""",TO_TEXT('Respuestas de formulario 1'!K1457))"),"No")</f>
        <v>No</v>
      </c>
      <c r="L1457" s="7" t="str">
        <f>IFERROR(__xludf.DUMMYFUNCTION("IF('Respuestas de formulario 1'!L1457="""","""",TO_TEXT('Respuestas de formulario 1'!L1457))"),"")</f>
        <v/>
      </c>
      <c r="M1457" s="7" t="str">
        <f>IFERROR(__xludf.DUMMYFUNCTION("IF('Respuestas de formulario 1'!M1457="""","""",TO_TEXT('Respuestas de formulario 1'!M1457))"),"")</f>
        <v/>
      </c>
      <c r="N1457" s="7">
        <f t="shared" si="1"/>
        <v>2026</v>
      </c>
      <c r="O1457" s="7" t="str">
        <f t="shared" si="2"/>
        <v>febrero</v>
      </c>
      <c r="P1457" s="7" t="s">
        <v>7020</v>
      </c>
    </row>
    <row r="1458">
      <c r="A1458" s="19">
        <f>'Respuestas de formulario 1'!A1458</f>
        <v>46071.51921</v>
      </c>
      <c r="B1458" s="7" t="str">
        <f>'Respuestas de formulario 1'!B1458</f>
        <v>Cabrera</v>
      </c>
      <c r="C1458" s="7" t="str">
        <f>'Respuestas de formulario 1'!C1458</f>
        <v>Martina</v>
      </c>
      <c r="D1458" s="7" t="str">
        <f>'Respuestas de formulario 1'!D1458</f>
        <v/>
      </c>
      <c r="E1458" s="20">
        <f>'Respuestas de formulario 1'!E1458</f>
        <v>40921</v>
      </c>
      <c r="F1458" s="7">
        <f>'Respuestas de formulario 1'!F1458</f>
        <v>52052413</v>
      </c>
      <c r="G1458" s="7" t="str">
        <f>IFERROR(__xludf.DUMMYFUNCTION("IF('Respuestas de formulario 1'!G1458="""","""",IF(LEFT(REGEXREPLACE(TO_TEXT('Respuestas de formulario 1'!G1458),""[^0-9]"",""""),2)=""54"",""+""&amp;REGEXREPLACE(TO_TEXT('Respuestas de formulario 1'!G1458),""[^0-9]"",""""),""+54""&amp;REGEXREPLACE(TO_TEXT('Respu"&amp;"estas de formulario 1'!G1458),""[^0-9]"","""")))"),"+543513484249")</f>
        <v>+543513484249</v>
      </c>
      <c r="H1458" s="7">
        <f>'Respuestas de formulario 1'!S1458</f>
        <v>2026</v>
      </c>
      <c r="I1458" s="7" t="str">
        <f>IFERROR(__xludf.DUMMYFUNCTION("IF('Respuestas de formulario 1'!I1458="""","""",TO_TEXT('Respuestas de formulario 1'!I1458))"),"Obra social")</f>
        <v>Obra social</v>
      </c>
      <c r="J1458" s="7" t="str">
        <f>IFERROR(__xludf.DUMMYFUNCTION("IF('Respuestas de formulario 1'!J1458&lt;&gt;"""",UPPER(TRIM(TO_TEXT('Respuestas de formulario 1'!J1458))),IF('Respuestas de formulario 1'!O1458&lt;&gt;"""",UPPER(TRIM(TO_TEXT('Respuestas de formulario 1'!O1458))),""""))"),"APROSS")</f>
        <v>APROSS</v>
      </c>
      <c r="K1458" s="7" t="str">
        <f>IFERROR(__xludf.DUMMYFUNCTION("IF('Respuestas de formulario 1'!K1458="""","""",TO_TEXT('Respuestas de formulario 1'!K1458))"),"Si")</f>
        <v>Si</v>
      </c>
      <c r="L1458" s="7" t="str">
        <f>IFERROR(__xludf.DUMMYFUNCTION("IF('Respuestas de formulario 1'!L1458="""","""",TO_TEXT('Respuestas de formulario 1'!L1458))"),"Fútbol")</f>
        <v>Fútbol</v>
      </c>
      <c r="M1458" s="7" t="str">
        <f>IFERROR(__xludf.DUMMYFUNCTION("IF('Respuestas de formulario 1'!M1458="""","""",TO_TEXT('Respuestas de formulario 1'!M1458))"),"1 a 2 veces por semana")</f>
        <v>1 a 2 veces por semana</v>
      </c>
      <c r="N1458" s="7">
        <f t="shared" si="1"/>
        <v>2026</v>
      </c>
      <c r="O1458" s="7" t="str">
        <f t="shared" si="2"/>
        <v>febrero</v>
      </c>
      <c r="P1458" s="7" t="s">
        <v>7022</v>
      </c>
    </row>
    <row r="1459">
      <c r="A1459" s="19">
        <f>'Respuestas de formulario 1'!A1459</f>
        <v>46071.70151</v>
      </c>
      <c r="B1459" s="7" t="str">
        <f>'Respuestas de formulario 1'!B1459</f>
        <v>Loyacono</v>
      </c>
      <c r="C1459" s="7" t="str">
        <f>'Respuestas de formulario 1'!C1459</f>
        <v>Mariano</v>
      </c>
      <c r="D1459" s="7" t="str">
        <f>'Respuestas de formulario 1'!D1459</f>
        <v>marianoloyacono@gmail.com</v>
      </c>
      <c r="E1459" s="20">
        <f>'Respuestas de formulario 1'!E1459</f>
        <v>28703</v>
      </c>
      <c r="F1459" s="7">
        <f>'Respuestas de formulario 1'!F1459</f>
        <v>26744212</v>
      </c>
      <c r="G1459" s="7" t="str">
        <f>IFERROR(__xludf.DUMMYFUNCTION("IF('Respuestas de formulario 1'!G1459="""","""",IF(LEFT(REGEXREPLACE(TO_TEXT('Respuestas de formulario 1'!G1459),""[^0-9]"",""""),2)=""54"",""+""&amp;REGEXREPLACE(TO_TEXT('Respuestas de formulario 1'!G1459),""[^0-9]"",""""),""+54""&amp;REGEXREPLACE(TO_TEXT('Respu"&amp;"estas de formulario 1'!G1459),""[^0-9]"","""")))"),"+543517628428")</f>
        <v>+543517628428</v>
      </c>
      <c r="H1459" s="7">
        <f>'Respuestas de formulario 1'!S1459</f>
        <v>2026</v>
      </c>
      <c r="I1459" s="7" t="str">
        <f>IFERROR(__xludf.DUMMYFUNCTION("IF('Respuestas de formulario 1'!I1459="""","""",TO_TEXT('Respuestas de formulario 1'!I1459))"),"Obra social")</f>
        <v>Obra social</v>
      </c>
      <c r="J1459" s="7" t="str">
        <f>IFERROR(__xludf.DUMMYFUNCTION("IF('Respuestas de formulario 1'!J1459&lt;&gt;"""",UPPER(TRIM(TO_TEXT('Respuestas de formulario 1'!J1459))),IF('Respuestas de formulario 1'!O1459&lt;&gt;"""",UPPER(TRIM(TO_TEXT('Respuestas de formulario 1'!O1459))),""""))"),"PREVENCIÓN")</f>
        <v>PREVENCIÓN</v>
      </c>
      <c r="K1459" s="7" t="str">
        <f>IFERROR(__xludf.DUMMYFUNCTION("IF('Respuestas de formulario 1'!K1459="""","""",TO_TEXT('Respuestas de formulario 1'!K1459))"),"No")</f>
        <v>No</v>
      </c>
      <c r="L1459" s="7" t="str">
        <f>IFERROR(__xludf.DUMMYFUNCTION("IF('Respuestas de formulario 1'!L1459="""","""",TO_TEXT('Respuestas de formulario 1'!L1459))"),"")</f>
        <v/>
      </c>
      <c r="M1459" s="7" t="str">
        <f>IFERROR(__xludf.DUMMYFUNCTION("IF('Respuestas de formulario 1'!M1459="""","""",TO_TEXT('Respuestas de formulario 1'!M1459))"),"")</f>
        <v/>
      </c>
      <c r="N1459" s="7">
        <f t="shared" si="1"/>
        <v>2026</v>
      </c>
      <c r="O1459" s="7" t="str">
        <f t="shared" si="2"/>
        <v>febrero</v>
      </c>
      <c r="P1459" s="7" t="s">
        <v>7024</v>
      </c>
    </row>
    <row r="1460">
      <c r="A1460" s="19">
        <f>'Respuestas de formulario 1'!A1460</f>
        <v>46071.72087</v>
      </c>
      <c r="B1460" s="7" t="str">
        <f>'Respuestas de formulario 1'!B1460</f>
        <v>Albarracin</v>
      </c>
      <c r="C1460" s="7" t="str">
        <f>'Respuestas de formulario 1'!C1460</f>
        <v>Diego</v>
      </c>
      <c r="D1460" s="7" t="str">
        <f>'Respuestas de formulario 1'!D1460</f>
        <v>Diee.albaa@hotmail.com</v>
      </c>
      <c r="E1460" s="20">
        <f>'Respuestas de formulario 1'!E1460</f>
        <v>34564</v>
      </c>
      <c r="F1460" s="7">
        <f>'Respuestas de formulario 1'!F1460</f>
        <v>39074006</v>
      </c>
      <c r="G1460" s="7" t="str">
        <f>IFERROR(__xludf.DUMMYFUNCTION("IF('Respuestas de formulario 1'!G1460="""","""",IF(LEFT(REGEXREPLACE(TO_TEXT('Respuestas de formulario 1'!G1460),""[^0-9]"",""""),2)=""54"",""+""&amp;REGEXREPLACE(TO_TEXT('Respuestas de formulario 1'!G1460),""[^0-9]"",""""),""+54""&amp;REGEXREPLACE(TO_TEXT('Respu"&amp;"estas de formulario 1'!G1460),""[^0-9]"","""")))"),"+543513465689")</f>
        <v>+543513465689</v>
      </c>
      <c r="H1460" s="7">
        <f>'Respuestas de formulario 1'!S1460</f>
        <v>2026</v>
      </c>
      <c r="I1460" s="7" t="str">
        <f>IFERROR(__xludf.DUMMYFUNCTION("IF('Respuestas de formulario 1'!I1460="""","""",TO_TEXT('Respuestas de formulario 1'!I1460))"),"Particular")</f>
        <v>Particular</v>
      </c>
      <c r="J1460" s="7" t="str">
        <f>IFERROR(__xludf.DUMMYFUNCTION("IF('Respuestas de formulario 1'!J1460&lt;&gt;"""",UPPER(TRIM(TO_TEXT('Respuestas de formulario 1'!J1460))),IF('Respuestas de formulario 1'!O1460&lt;&gt;"""",UPPER(TRIM(TO_TEXT('Respuestas de formulario 1'!O1460))),""""))"),"")</f>
        <v/>
      </c>
      <c r="K1460" s="7" t="str">
        <f>IFERROR(__xludf.DUMMYFUNCTION("IF('Respuestas de formulario 1'!K1460="""","""",TO_TEXT('Respuestas de formulario 1'!K1460))"),"No")</f>
        <v>No</v>
      </c>
      <c r="L1460" s="7" t="str">
        <f>IFERROR(__xludf.DUMMYFUNCTION("IF('Respuestas de formulario 1'!L1460="""","""",TO_TEXT('Respuestas de formulario 1'!L1460))"),"")</f>
        <v/>
      </c>
      <c r="M1460" s="7" t="str">
        <f>IFERROR(__xludf.DUMMYFUNCTION("IF('Respuestas de formulario 1'!M1460="""","""",TO_TEXT('Respuestas de formulario 1'!M1460))"),"")</f>
        <v/>
      </c>
      <c r="N1460" s="7">
        <f t="shared" si="1"/>
        <v>2026</v>
      </c>
      <c r="O1460" s="7" t="str">
        <f t="shared" si="2"/>
        <v>febrero</v>
      </c>
      <c r="P1460" s="7" t="s">
        <v>7026</v>
      </c>
    </row>
    <row r="1461">
      <c r="A1461" s="19">
        <f>'Respuestas de formulario 1'!A1461</f>
        <v>46072.68095</v>
      </c>
      <c r="B1461" s="7" t="str">
        <f>'Respuestas de formulario 1'!B1461</f>
        <v>Garella</v>
      </c>
      <c r="C1461" s="7" t="str">
        <f>'Respuestas de formulario 1'!C1461</f>
        <v>Irma</v>
      </c>
      <c r="D1461" s="7" t="str">
        <f>'Respuestas de formulario 1'!D1461</f>
        <v/>
      </c>
      <c r="E1461" s="20">
        <f>'Respuestas de formulario 1'!E1461</f>
        <v>19072</v>
      </c>
      <c r="F1461" s="7">
        <f>'Respuestas de formulario 1'!F1461</f>
        <v>10445353</v>
      </c>
      <c r="G1461" s="7" t="str">
        <f>IFERROR(__xludf.DUMMYFUNCTION("IF('Respuestas de formulario 1'!G1461="""","""",IF(LEFT(REGEXREPLACE(TO_TEXT('Respuestas de formulario 1'!G1461),""[^0-9]"",""""),2)=""54"",""+""&amp;REGEXREPLACE(TO_TEXT('Respuestas de formulario 1'!G1461),""[^0-9]"",""""),""+54""&amp;REGEXREPLACE(TO_TEXT('Respu"&amp;"estas de formulario 1'!G1461),""[^0-9]"","""")))"),"+543516631581")</f>
        <v>+543516631581</v>
      </c>
      <c r="H1461" s="7">
        <f>'Respuestas de formulario 1'!S1461</f>
        <v>2026</v>
      </c>
      <c r="I1461" s="7" t="str">
        <f>IFERROR(__xludf.DUMMYFUNCTION("IF('Respuestas de formulario 1'!I1461="""","""",TO_TEXT('Respuestas de formulario 1'!I1461))"),"Particular")</f>
        <v>Particular</v>
      </c>
      <c r="J1461" s="7" t="str">
        <f>IFERROR(__xludf.DUMMYFUNCTION("IF('Respuestas de formulario 1'!J1461&lt;&gt;"""",UPPER(TRIM(TO_TEXT('Respuestas de formulario 1'!J1461))),IF('Respuestas de formulario 1'!O1461&lt;&gt;"""",UPPER(TRIM(TO_TEXT('Respuestas de formulario 1'!O1461))),""""))"),"")</f>
        <v/>
      </c>
      <c r="K1461" s="7" t="str">
        <f>IFERROR(__xludf.DUMMYFUNCTION("IF('Respuestas de formulario 1'!K1461="""","""",TO_TEXT('Respuestas de formulario 1'!K1461))"),"Si")</f>
        <v>Si</v>
      </c>
      <c r="L1461" s="7" t="str">
        <f>IFERROR(__xludf.DUMMYFUNCTION("IF('Respuestas de formulario 1'!L1461="""","""",TO_TEXT('Respuestas de formulario 1'!L1461))"),"Gimnasio")</f>
        <v>Gimnasio</v>
      </c>
      <c r="M1461" s="7" t="str">
        <f>IFERROR(__xludf.DUMMYFUNCTION("IF('Respuestas de formulario 1'!M1461="""","""",TO_TEXT('Respuestas de formulario 1'!M1461))"),"3 a 5 veces por semana")</f>
        <v>3 a 5 veces por semana</v>
      </c>
      <c r="N1461" s="7">
        <f t="shared" si="1"/>
        <v>2026</v>
      </c>
      <c r="O1461" s="7" t="str">
        <f t="shared" si="2"/>
        <v>febrero</v>
      </c>
      <c r="P1461" s="7" t="s">
        <v>7028</v>
      </c>
    </row>
    <row r="1462">
      <c r="A1462" s="19">
        <f>'Respuestas de formulario 1'!A1462</f>
        <v>46072.70219</v>
      </c>
      <c r="B1462" s="7" t="str">
        <f>'Respuestas de formulario 1'!B1462</f>
        <v>Damino</v>
      </c>
      <c r="C1462" s="7" t="str">
        <f>'Respuestas de formulario 1'!C1462</f>
        <v>Flavio Raúl </v>
      </c>
      <c r="D1462" s="7" t="str">
        <f>'Respuestas de formulario 1'!D1462</f>
        <v>flaviognc@hotmail.com</v>
      </c>
      <c r="E1462" s="20">
        <f>'Respuestas de formulario 1'!E1462</f>
        <v>21548</v>
      </c>
      <c r="F1462" s="7">
        <f>'Respuestas de formulario 1'!F1462</f>
        <v>12996505</v>
      </c>
      <c r="G1462" s="7" t="str">
        <f>IFERROR(__xludf.DUMMYFUNCTION("IF('Respuestas de formulario 1'!G1462="""","""",IF(LEFT(REGEXREPLACE(TO_TEXT('Respuestas de formulario 1'!G1462),""[^0-9]"",""""),2)=""54"",""+""&amp;REGEXREPLACE(TO_TEXT('Respuestas de formulario 1'!G1462),""[^0-9]"",""""),""+54""&amp;REGEXREPLACE(TO_TEXT('Respu"&amp;"estas de formulario 1'!G1462),""[^0-9]"","""")))"),"+543512082991")</f>
        <v>+543512082991</v>
      </c>
      <c r="H1462" s="7">
        <f>'Respuestas de formulario 1'!S1462</f>
        <v>2026</v>
      </c>
      <c r="I1462" s="7" t="str">
        <f>IFERROR(__xludf.DUMMYFUNCTION("IF('Respuestas de formulario 1'!I1462="""","""",TO_TEXT('Respuestas de formulario 1'!I1462))"),"Obra social")</f>
        <v>Obra social</v>
      </c>
      <c r="J1462" s="7" t="str">
        <f>IFERROR(__xludf.DUMMYFUNCTION("IF('Respuestas de formulario 1'!J1462&lt;&gt;"""",UPPER(TRIM(TO_TEXT('Respuestas de formulario 1'!J1462))),IF('Respuestas de formulario 1'!O1462&lt;&gt;"""",UPPER(TRIM(TO_TEXT('Respuestas de formulario 1'!O1462))),""""))"),"DASPU")</f>
        <v>DASPU</v>
      </c>
      <c r="K1462" s="7" t="str">
        <f>IFERROR(__xludf.DUMMYFUNCTION("IF('Respuestas de formulario 1'!K1462="""","""",TO_TEXT('Respuestas de formulario 1'!K1462))"),"Si")</f>
        <v>Si</v>
      </c>
      <c r="L1462" s="7" t="str">
        <f>IFERROR(__xludf.DUMMYFUNCTION("IF('Respuestas de formulario 1'!L1462="""","""",TO_TEXT('Respuestas de formulario 1'!L1462))"),"Caminata en cinta ")</f>
        <v>Caminata en cinta </v>
      </c>
      <c r="M1462" s="7" t="str">
        <f>IFERROR(__xludf.DUMMYFUNCTION("IF('Respuestas de formulario 1'!M1462="""","""",TO_TEXT('Respuestas de formulario 1'!M1462))"),"3 a 5 veces por semana")</f>
        <v>3 a 5 veces por semana</v>
      </c>
      <c r="N1462" s="7">
        <f t="shared" si="1"/>
        <v>2026</v>
      </c>
      <c r="O1462" s="7" t="str">
        <f t="shared" si="2"/>
        <v>febrero</v>
      </c>
      <c r="P1462" s="7" t="s">
        <v>7030</v>
      </c>
    </row>
    <row r="1463">
      <c r="A1463" s="19">
        <f>'Respuestas de formulario 1'!A1463</f>
        <v>46073.54015</v>
      </c>
      <c r="B1463" s="7" t="str">
        <f>'Respuestas de formulario 1'!B1463</f>
        <v>Herrera</v>
      </c>
      <c r="C1463" s="7" t="str">
        <f>'Respuestas de formulario 1'!C1463</f>
        <v>Antonella</v>
      </c>
      <c r="D1463" s="7" t="str">
        <f>'Respuestas de formulario 1'!D1463</f>
        <v>hantonella952@gmail.com</v>
      </c>
      <c r="E1463" s="20">
        <f>'Respuestas de formulario 1'!E1463</f>
        <v>37871</v>
      </c>
      <c r="F1463" s="7">
        <f>'Respuestas de formulario 1'!F1463</f>
        <v>45082742</v>
      </c>
      <c r="G1463" s="7" t="str">
        <f>IFERROR(__xludf.DUMMYFUNCTION("IF('Respuestas de formulario 1'!G1463="""","""",IF(LEFT(REGEXREPLACE(TO_TEXT('Respuestas de formulario 1'!G1463),""[^0-9]"",""""),2)=""54"",""+""&amp;REGEXREPLACE(TO_TEXT('Respuestas de formulario 1'!G1463),""[^0-9]"",""""),""+54""&amp;REGEXREPLACE(TO_TEXT('Respu"&amp;"estas de formulario 1'!G1463),""[^0-9]"","""")))"),"+543512042844")</f>
        <v>+543512042844</v>
      </c>
      <c r="H1463" s="7">
        <f>'Respuestas de formulario 1'!S1463</f>
        <v>2026</v>
      </c>
      <c r="I1463" s="7" t="str">
        <f>IFERROR(__xludf.DUMMYFUNCTION("IF('Respuestas de formulario 1'!I1463="""","""",TO_TEXT('Respuestas de formulario 1'!I1463))"),"Obra social")</f>
        <v>Obra social</v>
      </c>
      <c r="J1463" s="7" t="str">
        <f>IFERROR(__xludf.DUMMYFUNCTION("IF('Respuestas de formulario 1'!J1463&lt;&gt;"""",UPPER(TRIM(TO_TEXT('Respuestas de formulario 1'!J1463))),IF('Respuestas de formulario 1'!O1463&lt;&gt;"""",UPPER(TRIM(TO_TEXT('Respuestas de formulario 1'!O1463))),""""))"),"PREVENCIÓN")</f>
        <v>PREVENCIÓN</v>
      </c>
      <c r="K1463" s="7" t="str">
        <f>IFERROR(__xludf.DUMMYFUNCTION("IF('Respuestas de formulario 1'!K1463="""","""",TO_TEXT('Respuestas de formulario 1'!K1463))"),"No")</f>
        <v>No</v>
      </c>
      <c r="L1463" s="7" t="str">
        <f>IFERROR(__xludf.DUMMYFUNCTION("IF('Respuestas de formulario 1'!L1463="""","""",TO_TEXT('Respuestas de formulario 1'!L1463))"),"")</f>
        <v/>
      </c>
      <c r="M1463" s="7" t="str">
        <f>IFERROR(__xludf.DUMMYFUNCTION("IF('Respuestas de formulario 1'!M1463="""","""",TO_TEXT('Respuestas de formulario 1'!M1463))"),"")</f>
        <v/>
      </c>
      <c r="N1463" s="7">
        <f t="shared" si="1"/>
        <v>2026</v>
      </c>
      <c r="O1463" s="7" t="str">
        <f t="shared" si="2"/>
        <v>febrero</v>
      </c>
      <c r="P1463" s="7" t="s">
        <v>7032</v>
      </c>
    </row>
    <row r="1464">
      <c r="A1464" s="19">
        <f>'Respuestas de formulario 1'!A1464</f>
        <v>46073.57104</v>
      </c>
      <c r="B1464" s="7" t="str">
        <f>'Respuestas de formulario 1'!B1464</f>
        <v>SCOPPA</v>
      </c>
      <c r="C1464" s="7" t="str">
        <f>'Respuestas de formulario 1'!C1464</f>
        <v>JUAN MANUEL</v>
      </c>
      <c r="D1464" s="7" t="str">
        <f>'Respuestas de formulario 1'!D1464</f>
        <v>jms.agent@gmail.com</v>
      </c>
      <c r="E1464" s="20">
        <f>'Respuestas de formulario 1'!E1464</f>
        <v>31024</v>
      </c>
      <c r="F1464" s="7">
        <f>'Respuestas de formulario 1'!F1464</f>
        <v>31314235</v>
      </c>
      <c r="G1464" s="7" t="str">
        <f>IFERROR(__xludf.DUMMYFUNCTION("IF('Respuestas de formulario 1'!G1464="""","""",IF(LEFT(REGEXREPLACE(TO_TEXT('Respuestas de formulario 1'!G1464),""[^0-9]"",""""),2)=""54"",""+""&amp;REGEXREPLACE(TO_TEXT('Respuestas de formulario 1'!G1464),""[^0-9]"",""""),""+54""&amp;REGEXREPLACE(TO_TEXT('Respu"&amp;"estas de formulario 1'!G1464),""[^0-9]"","""")))"),"+543517577317")</f>
        <v>+543517577317</v>
      </c>
      <c r="H1464" s="7">
        <f>'Respuestas de formulario 1'!S1464</f>
        <v>2026</v>
      </c>
      <c r="I1464" s="7" t="str">
        <f>IFERROR(__xludf.DUMMYFUNCTION("IF('Respuestas de formulario 1'!I1464="""","""",TO_TEXT('Respuestas de formulario 1'!I1464))"),"Obra social")</f>
        <v>Obra social</v>
      </c>
      <c r="J1464" s="7" t="str">
        <f>IFERROR(__xludf.DUMMYFUNCTION("IF('Respuestas de formulario 1'!J1464&lt;&gt;"""",UPPER(TRIM(TO_TEXT('Respuestas de formulario 1'!J1464))),IF('Respuestas de formulario 1'!O1464&lt;&gt;"""",UPPER(TRIM(TO_TEXT('Respuestas de formulario 1'!O1464))),""""))"),"FEDERADA SALUD PLAN 2000")</f>
        <v>FEDERADA SALUD PLAN 2000</v>
      </c>
      <c r="K1464" s="7" t="str">
        <f>IFERROR(__xludf.DUMMYFUNCTION("IF('Respuestas de formulario 1'!K1464="""","""",TO_TEXT('Respuestas de formulario 1'!K1464))"),"Si")</f>
        <v>Si</v>
      </c>
      <c r="L1464" s="7" t="str">
        <f>IFERROR(__xludf.DUMMYFUNCTION("IF('Respuestas de formulario 1'!L1464="""","""",TO_TEXT('Respuestas de formulario 1'!L1464))"),"PADEL Y GYM MUY POCO")</f>
        <v>PADEL Y GYM MUY POCO</v>
      </c>
      <c r="M1464" s="7" t="str">
        <f>IFERROR(__xludf.DUMMYFUNCTION("IF('Respuestas de formulario 1'!M1464="""","""",TO_TEXT('Respuestas de formulario 1'!M1464))"),"1 a 2 veces por semana")</f>
        <v>1 a 2 veces por semana</v>
      </c>
      <c r="N1464" s="7">
        <f t="shared" si="1"/>
        <v>2026</v>
      </c>
      <c r="O1464" s="7" t="str">
        <f t="shared" si="2"/>
        <v>febrero</v>
      </c>
      <c r="P1464" s="7" t="s">
        <v>7034</v>
      </c>
    </row>
    <row r="1465">
      <c r="A1465" s="19">
        <f>'Respuestas de formulario 1'!A1465</f>
        <v>46073.70405</v>
      </c>
      <c r="B1465" s="7" t="str">
        <f>'Respuestas de formulario 1'!B1465</f>
        <v>ramirez</v>
      </c>
      <c r="C1465" s="7" t="str">
        <f>'Respuestas de formulario 1'!C1465</f>
        <v>paulina</v>
      </c>
      <c r="D1465" s="7" t="str">
        <f>'Respuestas de formulario 1'!D1465</f>
        <v>paulinaramirez1407@gmail.com</v>
      </c>
      <c r="E1465" s="20">
        <f>'Respuestas de formulario 1'!E1465</f>
        <v>39155</v>
      </c>
      <c r="F1465" s="7">
        <f>'Respuestas de formulario 1'!F1465</f>
        <v>47662786</v>
      </c>
      <c r="G1465" s="7" t="str">
        <f>IFERROR(__xludf.DUMMYFUNCTION("IF('Respuestas de formulario 1'!G1465="""","""",IF(LEFT(REGEXREPLACE(TO_TEXT('Respuestas de formulario 1'!G1465),""[^0-9]"",""""),2)=""54"",""+""&amp;REGEXREPLACE(TO_TEXT('Respuestas de formulario 1'!G1465),""[^0-9]"",""""),""+54""&amp;REGEXREPLACE(TO_TEXT('Respu"&amp;"estas de formulario 1'!G1465),""[^0-9]"","""")))"),"+543513325725")</f>
        <v>+543513325725</v>
      </c>
      <c r="H1465" s="7">
        <f>'Respuestas de formulario 1'!S1465</f>
        <v>2026</v>
      </c>
      <c r="I1465" s="7" t="str">
        <f>IFERROR(__xludf.DUMMYFUNCTION("IF('Respuestas de formulario 1'!I1465="""","""",TO_TEXT('Respuestas de formulario 1'!I1465))"),"Obra social")</f>
        <v>Obra social</v>
      </c>
      <c r="J1465" s="7" t="str">
        <f>IFERROR(__xludf.DUMMYFUNCTION("IF('Respuestas de formulario 1'!J1465&lt;&gt;"""",UPPER(TRIM(TO_TEXT('Respuestas de formulario 1'!J1465))),IF('Respuestas de formulario 1'!O1465&lt;&gt;"""",UPPER(TRIM(TO_TEXT('Respuestas de formulario 1'!O1465))),""""))"),"SANCOR")</f>
        <v>SANCOR</v>
      </c>
      <c r="K1465" s="7" t="str">
        <f>IFERROR(__xludf.DUMMYFUNCTION("IF('Respuestas de formulario 1'!K1465="""","""",TO_TEXT('Respuestas de formulario 1'!K1465))"),"Si")</f>
        <v>Si</v>
      </c>
      <c r="L1465" s="7" t="str">
        <f>IFERROR(__xludf.DUMMYFUNCTION("IF('Respuestas de formulario 1'!L1465="""","""",TO_TEXT('Respuestas de formulario 1'!L1465))"),"hockey")</f>
        <v>hockey</v>
      </c>
      <c r="M1465" s="7" t="str">
        <f>IFERROR(__xludf.DUMMYFUNCTION("IF('Respuestas de formulario 1'!M1465="""","""",TO_TEXT('Respuestas de formulario 1'!M1465))"),"3 a 5 veces por semana")</f>
        <v>3 a 5 veces por semana</v>
      </c>
      <c r="N1465" s="7">
        <f t="shared" si="1"/>
        <v>2026</v>
      </c>
      <c r="O1465" s="7" t="str">
        <f t="shared" si="2"/>
        <v>febrero</v>
      </c>
      <c r="P1465" s="7" t="s">
        <v>7036</v>
      </c>
    </row>
    <row r="1466">
      <c r="A1466" s="19">
        <f>'Respuestas de formulario 1'!A1466</f>
        <v>46074.53617</v>
      </c>
      <c r="B1466" s="7" t="str">
        <f>'Respuestas de formulario 1'!B1466</f>
        <v>Maidana</v>
      </c>
      <c r="C1466" s="7" t="str">
        <f>'Respuestas de formulario 1'!C1466</f>
        <v>Misael Alejandro</v>
      </c>
      <c r="D1466" s="7" t="str">
        <f>'Respuestas de formulario 1'!D1466</f>
        <v>misaelmaidana05@gmail.com</v>
      </c>
      <c r="E1466" s="20">
        <f>'Respuestas de formulario 1'!E1466</f>
        <v>34764</v>
      </c>
      <c r="F1466" s="7">
        <f>'Respuestas de formulario 1'!F1466</f>
        <v>38648464</v>
      </c>
      <c r="G1466" s="7" t="str">
        <f>IFERROR(__xludf.DUMMYFUNCTION("IF('Respuestas de formulario 1'!G1466="""","""",IF(LEFT(REGEXREPLACE(TO_TEXT('Respuestas de formulario 1'!G1466),""[^0-9]"",""""),2)=""54"",""+""&amp;REGEXREPLACE(TO_TEXT('Respuestas de formulario 1'!G1466),""[^0-9]"",""""),""+54""&amp;REGEXREPLACE(TO_TEXT('Respu"&amp;"estas de formulario 1'!G1466),""[^0-9]"","""")))"),"+543516188386")</f>
        <v>+543516188386</v>
      </c>
      <c r="H1466" s="7">
        <f>'Respuestas de formulario 1'!S1466</f>
        <v>2026</v>
      </c>
      <c r="I1466" s="7" t="str">
        <f>IFERROR(__xludf.DUMMYFUNCTION("IF('Respuestas de formulario 1'!I1466="""","""",TO_TEXT('Respuestas de formulario 1'!I1466))"),"Obra social")</f>
        <v>Obra social</v>
      </c>
      <c r="J1466" s="7" t="str">
        <f>IFERROR(__xludf.DUMMYFUNCTION("IF('Respuestas de formulario 1'!J1466&lt;&gt;"""",UPPER(TRIM(TO_TEXT('Respuestas de formulario 1'!J1466))),IF('Respuestas de formulario 1'!O1466&lt;&gt;"""",UPPER(TRIM(TO_TEXT('Respuestas de formulario 1'!O1466))),""""))"),"SWISS MEDICAL")</f>
        <v>SWISS MEDICAL</v>
      </c>
      <c r="K1466" s="7" t="str">
        <f>IFERROR(__xludf.DUMMYFUNCTION("IF('Respuestas de formulario 1'!K1466="""","""",TO_TEXT('Respuestas de formulario 1'!K1466))"),"Si")</f>
        <v>Si</v>
      </c>
      <c r="L1466" s="7" t="str">
        <f>IFERROR(__xludf.DUMMYFUNCTION("IF('Respuestas de formulario 1'!L1466="""","""",TO_TEXT('Respuestas de formulario 1'!L1466))"),"natacion")</f>
        <v>natacion</v>
      </c>
      <c r="M1466" s="7" t="str">
        <f>IFERROR(__xludf.DUMMYFUNCTION("IF('Respuestas de formulario 1'!M1466="""","""",TO_TEXT('Respuestas de formulario 1'!M1466))"),"1 a 2 veces por semana")</f>
        <v>1 a 2 veces por semana</v>
      </c>
      <c r="N1466" s="7">
        <f t="shared" si="1"/>
        <v>2026</v>
      </c>
      <c r="O1466" s="7" t="str">
        <f t="shared" si="2"/>
        <v>febrero</v>
      </c>
      <c r="P1466" s="7" t="s">
        <v>7038</v>
      </c>
    </row>
    <row r="1467">
      <c r="A1467" s="19">
        <f>'Respuestas de formulario 1'!A1467</f>
        <v>46076.70825</v>
      </c>
      <c r="B1467" s="7" t="str">
        <f>'Respuestas de formulario 1'!B1467</f>
        <v>Marchisio </v>
      </c>
      <c r="C1467" s="7" t="str">
        <f>'Respuestas de formulario 1'!C1467</f>
        <v>Cristina </v>
      </c>
      <c r="D1467" s="7" t="str">
        <f>'Respuestas de formulario 1'!D1467</f>
        <v>cristinamarchisio5@gmail.com</v>
      </c>
      <c r="E1467" s="20">
        <f>'Respuestas de formulario 1'!E1467</f>
        <v>46054</v>
      </c>
      <c r="F1467" s="7">
        <f>'Respuestas de formulario 1'!F1467</f>
        <v>13822705</v>
      </c>
      <c r="G1467" s="7" t="str">
        <f>IFERROR(__xludf.DUMMYFUNCTION("IF('Respuestas de formulario 1'!G1467="""","""",IF(LEFT(REGEXREPLACE(TO_TEXT('Respuestas de formulario 1'!G1467),""[^0-9]"",""""),2)=""54"",""+""&amp;REGEXREPLACE(TO_TEXT('Respuestas de formulario 1'!G1467),""[^0-9]"",""""),""+54""&amp;REGEXREPLACE(TO_TEXT('Respu"&amp;"estas de formulario 1'!G1467),""[^0-9]"","""")))"),"+543515126599")</f>
        <v>+543515126599</v>
      </c>
      <c r="H1467" s="7">
        <f>'Respuestas de formulario 1'!S1467</f>
        <v>2026</v>
      </c>
      <c r="I1467" s="7" t="str">
        <f>IFERROR(__xludf.DUMMYFUNCTION("IF('Respuestas de formulario 1'!I1467="""","""",TO_TEXT('Respuestas de formulario 1'!I1467))"),"Particular")</f>
        <v>Particular</v>
      </c>
      <c r="J1467" s="7" t="str">
        <f>IFERROR(__xludf.DUMMYFUNCTION("IF('Respuestas de formulario 1'!J1467&lt;&gt;"""",UPPER(TRIM(TO_TEXT('Respuestas de formulario 1'!J1467))),IF('Respuestas de formulario 1'!O1467&lt;&gt;"""",UPPER(TRIM(TO_TEXT('Respuestas de formulario 1'!O1467))),""""))"),"")</f>
        <v/>
      </c>
      <c r="K1467" s="7" t="str">
        <f>IFERROR(__xludf.DUMMYFUNCTION("IF('Respuestas de formulario 1'!K1467="""","""",TO_TEXT('Respuestas de formulario 1'!K1467))"),"Si")</f>
        <v>Si</v>
      </c>
      <c r="L1467" s="7" t="str">
        <f>IFERROR(__xludf.DUMMYFUNCTION("IF('Respuestas de formulario 1'!L1467="""","""",TO_TEXT('Respuestas de formulario 1'!L1467))"),"Aguayin")</f>
        <v>Aguayin</v>
      </c>
      <c r="M1467" s="7" t="str">
        <f>IFERROR(__xludf.DUMMYFUNCTION("IF('Respuestas de formulario 1'!M1467="""","""",TO_TEXT('Respuestas de formulario 1'!M1467))"),"1 a 2 veces por semana")</f>
        <v>1 a 2 veces por semana</v>
      </c>
      <c r="N1467" s="7">
        <f t="shared" si="1"/>
        <v>2026</v>
      </c>
      <c r="O1467" s="7" t="str">
        <f t="shared" si="2"/>
        <v>febrero</v>
      </c>
      <c r="P1467" s="7" t="s">
        <v>7040</v>
      </c>
    </row>
    <row r="1468">
      <c r="A1468" s="19">
        <f>'Respuestas de formulario 1'!A1468</f>
        <v>46077.38585</v>
      </c>
      <c r="B1468" s="7" t="str">
        <f>'Respuestas de formulario 1'!B1468</f>
        <v>CHAIJ</v>
      </c>
      <c r="C1468" s="7" t="str">
        <f>'Respuestas de formulario 1'!C1468</f>
        <v>JORGE ADRIAN</v>
      </c>
      <c r="D1468" s="7" t="str">
        <f>'Respuestas de formulario 1'!D1468</f>
        <v>adrian.chaij@gmail.com</v>
      </c>
      <c r="E1468" s="20">
        <f>'Respuestas de formulario 1'!E1468</f>
        <v>34018</v>
      </c>
      <c r="F1468" s="7">
        <f>'Respuestas de formulario 1'!F1468</f>
        <v>37315733</v>
      </c>
      <c r="G1468" s="7" t="str">
        <f>IFERROR(__xludf.DUMMYFUNCTION("IF('Respuestas de formulario 1'!G1468="""","""",IF(LEFT(REGEXREPLACE(TO_TEXT('Respuestas de formulario 1'!G1468),""[^0-9]"",""""),2)=""54"",""+""&amp;REGEXREPLACE(TO_TEXT('Respuestas de formulario 1'!G1468),""[^0-9]"",""""),""+54""&amp;REGEXREPLACE(TO_TEXT('Respu"&amp;"estas de formulario 1'!G1468),""[^0-9]"","""")))"),"+543518035483")</f>
        <v>+543518035483</v>
      </c>
      <c r="H1468" s="7">
        <f>'Respuestas de formulario 1'!S1468</f>
        <v>2026</v>
      </c>
      <c r="I1468" s="7" t="str">
        <f>IFERROR(__xludf.DUMMYFUNCTION("IF('Respuestas de formulario 1'!I1468="""","""",TO_TEXT('Respuestas de formulario 1'!I1468))"),"Obra social")</f>
        <v>Obra social</v>
      </c>
      <c r="J1468" s="7" t="str">
        <f>IFERROR(__xludf.DUMMYFUNCTION("IF('Respuestas de formulario 1'!J1468&lt;&gt;"""",UPPER(TRIM(TO_TEXT('Respuestas de formulario 1'!J1468))),IF('Respuestas de formulario 1'!O1468&lt;&gt;"""",UPPER(TRIM(TO_TEXT('Respuestas de formulario 1'!O1468))),""""))"),"SANCOR")</f>
        <v>SANCOR</v>
      </c>
      <c r="K1468" s="7" t="str">
        <f>IFERROR(__xludf.DUMMYFUNCTION("IF('Respuestas de formulario 1'!K1468="""","""",TO_TEXT('Respuestas de formulario 1'!K1468))"),"Si")</f>
        <v>Si</v>
      </c>
      <c r="L1468" s="7" t="str">
        <f>IFERROR(__xludf.DUMMYFUNCTION("IF('Respuestas de formulario 1'!L1468="""","""",TO_TEXT('Respuestas de formulario 1'!L1468))"),"NATACION")</f>
        <v>NATACION</v>
      </c>
      <c r="M1468" s="7" t="str">
        <f>IFERROR(__xludf.DUMMYFUNCTION("IF('Respuestas de formulario 1'!M1468="""","""",TO_TEXT('Respuestas de formulario 1'!M1468))"),"1 a 2 veces por semana")</f>
        <v>1 a 2 veces por semana</v>
      </c>
      <c r="N1468" s="7">
        <f t="shared" si="1"/>
        <v>2026</v>
      </c>
      <c r="O1468" s="7" t="str">
        <f t="shared" si="2"/>
        <v>febrero</v>
      </c>
      <c r="P1468" s="7" t="s">
        <v>7042</v>
      </c>
    </row>
    <row r="1469">
      <c r="A1469" s="19">
        <f>'Respuestas de formulario 1'!A1469</f>
        <v>46077.42405</v>
      </c>
      <c r="B1469" s="7" t="str">
        <f>'Respuestas de formulario 1'!B1469</f>
        <v>Mottura</v>
      </c>
      <c r="C1469" s="7" t="str">
        <f>'Respuestas de formulario 1'!C1469</f>
        <v>Valentino</v>
      </c>
      <c r="D1469" s="7" t="str">
        <f>'Respuestas de formulario 1'!D1469</f>
        <v>vmottura@gmail.com</v>
      </c>
      <c r="E1469" s="20">
        <f>'Respuestas de formulario 1'!E1469</f>
        <v>35766</v>
      </c>
      <c r="F1469" s="7">
        <f>'Respuestas de formulario 1'!F1469</f>
        <v>40802517</v>
      </c>
      <c r="G1469" s="7" t="str">
        <f>IFERROR(__xludf.DUMMYFUNCTION("IF('Respuestas de formulario 1'!G1469="""","""",IF(LEFT(REGEXREPLACE(TO_TEXT('Respuestas de formulario 1'!G1469),""[^0-9]"",""""),2)=""54"",""+""&amp;REGEXREPLACE(TO_TEXT('Respuestas de formulario 1'!G1469),""[^0-9]"",""""),""+54""&amp;REGEXREPLACE(TO_TEXT('Respu"&amp;"estas de formulario 1'!G1469),""[^0-9]"","""")))"),"+543517404946")</f>
        <v>+543517404946</v>
      </c>
      <c r="H1469" s="7">
        <f>'Respuestas de formulario 1'!S1469</f>
        <v>2026</v>
      </c>
      <c r="I1469" s="7" t="str">
        <f>IFERROR(__xludf.DUMMYFUNCTION("IF('Respuestas de formulario 1'!I1469="""","""",TO_TEXT('Respuestas de formulario 1'!I1469))"),"Obra social")</f>
        <v>Obra social</v>
      </c>
      <c r="J1469" s="7" t="str">
        <f>IFERROR(__xludf.DUMMYFUNCTION("IF('Respuestas de formulario 1'!J1469&lt;&gt;"""",UPPER(TRIM(TO_TEXT('Respuestas de formulario 1'!J1469))),IF('Respuestas de formulario 1'!O1469&lt;&gt;"""",UPPER(TRIM(TO_TEXT('Respuestas de formulario 1'!O1469))),""""))"),"SANCOR")</f>
        <v>SANCOR</v>
      </c>
      <c r="K1469" s="7" t="str">
        <f>IFERROR(__xludf.DUMMYFUNCTION("IF('Respuestas de formulario 1'!K1469="""","""",TO_TEXT('Respuestas de formulario 1'!K1469))"),"Si")</f>
        <v>Si</v>
      </c>
      <c r="L1469" s="7" t="str">
        <f>IFERROR(__xludf.DUMMYFUNCTION("IF('Respuestas de formulario 1'!L1469="""","""",TO_TEXT('Respuestas de formulario 1'!L1469))"),"Padel+Tenis+Crossfit")</f>
        <v>Padel+Tenis+Crossfit</v>
      </c>
      <c r="M1469" s="7" t="str">
        <f>IFERROR(__xludf.DUMMYFUNCTION("IF('Respuestas de formulario 1'!M1469="""","""",TO_TEXT('Respuestas de formulario 1'!M1469))"),"6 a 7 veces por semana")</f>
        <v>6 a 7 veces por semana</v>
      </c>
      <c r="N1469" s="7">
        <f t="shared" si="1"/>
        <v>2026</v>
      </c>
      <c r="O1469" s="7" t="str">
        <f t="shared" si="2"/>
        <v>febrero</v>
      </c>
      <c r="P1469" s="7" t="s">
        <v>7044</v>
      </c>
    </row>
    <row r="1470">
      <c r="A1470" s="19">
        <f>'Respuestas de formulario 1'!A1470</f>
        <v>46077.64329</v>
      </c>
      <c r="B1470" s="7" t="str">
        <f>'Respuestas de formulario 1'!B1470</f>
        <v>Oberto</v>
      </c>
      <c r="C1470" s="7" t="str">
        <f>'Respuestas de formulario 1'!C1470</f>
        <v>Fede</v>
      </c>
      <c r="D1470" s="7" t="str">
        <f>'Respuestas de formulario 1'!D1470</f>
        <v>foberto86@gmail.com</v>
      </c>
      <c r="E1470" s="20">
        <f>'Respuestas de formulario 1'!E1470</f>
        <v>36132</v>
      </c>
      <c r="F1470" s="7">
        <f>'Respuestas de formulario 1'!F1470</f>
        <v>41680993</v>
      </c>
      <c r="G1470" s="7" t="str">
        <f>IFERROR(__xludf.DUMMYFUNCTION("IF('Respuestas de formulario 1'!G1470="""","""",IF(LEFT(REGEXREPLACE(TO_TEXT('Respuestas de formulario 1'!G1470),""[^0-9]"",""""),2)=""54"",""+""&amp;REGEXREPLACE(TO_TEXT('Respuestas de formulario 1'!G1470),""[^0-9]"",""""),""+54""&amp;REGEXREPLACE(TO_TEXT('Respu"&amp;"estas de formulario 1'!G1470),""[^0-9]"","""")))"),"+543517643209")</f>
        <v>+543517643209</v>
      </c>
      <c r="H1470" s="7">
        <f>'Respuestas de formulario 1'!S1470</f>
        <v>2026</v>
      </c>
      <c r="I1470" s="7" t="str">
        <f>IFERROR(__xludf.DUMMYFUNCTION("IF('Respuestas de formulario 1'!I1470="""","""",TO_TEXT('Respuestas de formulario 1'!I1470))"),"Obra social")</f>
        <v>Obra social</v>
      </c>
      <c r="J1470" s="7" t="str">
        <f>IFERROR(__xludf.DUMMYFUNCTION("IF('Respuestas de formulario 1'!J1470&lt;&gt;"""",UPPER(TRIM(TO_TEXT('Respuestas de formulario 1'!J1470))),IF('Respuestas de formulario 1'!O1470&lt;&gt;"""",UPPER(TRIM(TO_TEXT('Respuestas de formulario 1'!O1470))),""""))"),"SANCOR")</f>
        <v>SANCOR</v>
      </c>
      <c r="K1470" s="7" t="str">
        <f>IFERROR(__xludf.DUMMYFUNCTION("IF('Respuestas de formulario 1'!K1470="""","""",TO_TEXT('Respuestas de formulario 1'!K1470))"),"No")</f>
        <v>No</v>
      </c>
      <c r="L1470" s="7" t="str">
        <f>IFERROR(__xludf.DUMMYFUNCTION("IF('Respuestas de formulario 1'!L1470="""","""",TO_TEXT('Respuestas de formulario 1'!L1470))"),"")</f>
        <v/>
      </c>
      <c r="M1470" s="7" t="str">
        <f>IFERROR(__xludf.DUMMYFUNCTION("IF('Respuestas de formulario 1'!M1470="""","""",TO_TEXT('Respuestas de formulario 1'!M1470))"),"")</f>
        <v/>
      </c>
      <c r="N1470" s="7">
        <f t="shared" si="1"/>
        <v>2026</v>
      </c>
      <c r="O1470" s="7" t="str">
        <f t="shared" si="2"/>
        <v>febrero</v>
      </c>
      <c r="P1470" s="7" t="s">
        <v>7046</v>
      </c>
    </row>
    <row r="1471">
      <c r="A1471" s="19">
        <f>'Respuestas de formulario 1'!A1471</f>
        <v>46077.653</v>
      </c>
      <c r="B1471" s="7" t="str">
        <f>'Respuestas de formulario 1'!B1471</f>
        <v>Diaz</v>
      </c>
      <c r="C1471" s="7" t="str">
        <f>'Respuestas de formulario 1'!C1471</f>
        <v>Leonel</v>
      </c>
      <c r="D1471" s="7" t="str">
        <f>'Respuestas de formulario 1'!D1471</f>
        <v>dleodiaz9@gmail.com</v>
      </c>
      <c r="E1471" s="20">
        <f>'Respuestas de formulario 1'!E1471</f>
        <v>33435</v>
      </c>
      <c r="F1471" s="7">
        <f>'Respuestas de formulario 1'!F1471</f>
        <v>35673168</v>
      </c>
      <c r="G1471" s="7" t="str">
        <f>IFERROR(__xludf.DUMMYFUNCTION("IF('Respuestas de formulario 1'!G1471="""","""",IF(LEFT(REGEXREPLACE(TO_TEXT('Respuestas de formulario 1'!G1471),""[^0-9]"",""""),2)=""54"",""+""&amp;REGEXREPLACE(TO_TEXT('Respuestas de formulario 1'!G1471),""[^0-9]"",""""),""+54""&amp;REGEXREPLACE(TO_TEXT('Respu"&amp;"estas de formulario 1'!G1471),""[^0-9]"","""")))"),"+543549435259")</f>
        <v>+543549435259</v>
      </c>
      <c r="H1471" s="7">
        <f>'Respuestas de formulario 1'!S1471</f>
        <v>2026</v>
      </c>
      <c r="I1471" s="7" t="str">
        <f>IFERROR(__xludf.DUMMYFUNCTION("IF('Respuestas de formulario 1'!I1471="""","""",TO_TEXT('Respuestas de formulario 1'!I1471))"),"Obra social")</f>
        <v>Obra social</v>
      </c>
      <c r="J1471" s="7" t="str">
        <f>IFERROR(__xludf.DUMMYFUNCTION("IF('Respuestas de formulario 1'!J1471&lt;&gt;"""",UPPER(TRIM(TO_TEXT('Respuestas de formulario 1'!J1471))),IF('Respuestas de formulario 1'!O1471&lt;&gt;"""",UPPER(TRIM(TO_TEXT('Respuestas de formulario 1'!O1471))),""""))"),"SANCOR")</f>
        <v>SANCOR</v>
      </c>
      <c r="K1471" s="7" t="str">
        <f>IFERROR(__xludf.DUMMYFUNCTION("IF('Respuestas de formulario 1'!K1471="""","""",TO_TEXT('Respuestas de formulario 1'!K1471))"),"Si")</f>
        <v>Si</v>
      </c>
      <c r="L1471" s="7" t="str">
        <f>IFERROR(__xludf.DUMMYFUNCTION("IF('Respuestas de formulario 1'!L1471="""","""",TO_TEXT('Respuestas de formulario 1'!L1471))"),"Gimnasio")</f>
        <v>Gimnasio</v>
      </c>
      <c r="M1471" s="7" t="str">
        <f>IFERROR(__xludf.DUMMYFUNCTION("IF('Respuestas de formulario 1'!M1471="""","""",TO_TEXT('Respuestas de formulario 1'!M1471))"),"3 a 5 veces por semana")</f>
        <v>3 a 5 veces por semana</v>
      </c>
      <c r="N1471" s="7">
        <f t="shared" si="1"/>
        <v>2026</v>
      </c>
      <c r="O1471" s="7" t="str">
        <f t="shared" si="2"/>
        <v>febrero</v>
      </c>
      <c r="P1471" s="7" t="s">
        <v>7048</v>
      </c>
    </row>
    <row r="1472">
      <c r="A1472" s="19">
        <f>'Respuestas de formulario 1'!A1472</f>
        <v>46077.81308</v>
      </c>
      <c r="B1472" s="7" t="str">
        <f>'Respuestas de formulario 1'!B1472</f>
        <v>Ludueña</v>
      </c>
      <c r="C1472" s="7" t="str">
        <f>'Respuestas de formulario 1'!C1472</f>
        <v>Contanza</v>
      </c>
      <c r="D1472" s="7" t="str">
        <f>'Respuestas de formulario 1'!D1472</f>
        <v>paolamoli28@gmail.com</v>
      </c>
      <c r="E1472" s="20">
        <f>'Respuestas de formulario 1'!E1472</f>
        <v>40998</v>
      </c>
      <c r="F1472" s="7">
        <f>'Respuestas de formulario 1'!F1472</f>
        <v>52157050</v>
      </c>
      <c r="G1472" s="7" t="str">
        <f>IFERROR(__xludf.DUMMYFUNCTION("IF('Respuestas de formulario 1'!G1472="""","""",IF(LEFT(REGEXREPLACE(TO_TEXT('Respuestas de formulario 1'!G1472),""[^0-9]"",""""),2)=""54"",""+""&amp;REGEXREPLACE(TO_TEXT('Respuestas de formulario 1'!G1472),""[^0-9]"",""""),""+54""&amp;REGEXREPLACE(TO_TEXT('Respu"&amp;"estas de formulario 1'!G1472),""[^0-9]"","""")))"),"+543513115361")</f>
        <v>+543513115361</v>
      </c>
      <c r="H1472" s="7">
        <f>'Respuestas de formulario 1'!S1472</f>
        <v>2026</v>
      </c>
      <c r="I1472" s="7" t="str">
        <f>IFERROR(__xludf.DUMMYFUNCTION("IF('Respuestas de formulario 1'!I1472="""","""",TO_TEXT('Respuestas de formulario 1'!I1472))"),"Particular")</f>
        <v>Particular</v>
      </c>
      <c r="J1472" s="7" t="str">
        <f>IFERROR(__xludf.DUMMYFUNCTION("IF('Respuestas de formulario 1'!J1472&lt;&gt;"""",UPPER(TRIM(TO_TEXT('Respuestas de formulario 1'!J1472))),IF('Respuestas de formulario 1'!O1472&lt;&gt;"""",UPPER(TRIM(TO_TEXT('Respuestas de formulario 1'!O1472))),""""))"),"")</f>
        <v/>
      </c>
      <c r="K1472" s="7" t="str">
        <f>IFERROR(__xludf.DUMMYFUNCTION("IF('Respuestas de formulario 1'!K1472="""","""",TO_TEXT('Respuestas de formulario 1'!K1472))"),"No")</f>
        <v>No</v>
      </c>
      <c r="L1472" s="7" t="str">
        <f>IFERROR(__xludf.DUMMYFUNCTION("IF('Respuestas de formulario 1'!L1472="""","""",TO_TEXT('Respuestas de formulario 1'!L1472))"),"")</f>
        <v/>
      </c>
      <c r="M1472" s="7" t="str">
        <f>IFERROR(__xludf.DUMMYFUNCTION("IF('Respuestas de formulario 1'!M1472="""","""",TO_TEXT('Respuestas de formulario 1'!M1472))"),"")</f>
        <v/>
      </c>
      <c r="N1472" s="7">
        <f t="shared" si="1"/>
        <v>2026</v>
      </c>
      <c r="O1472" s="7" t="str">
        <f t="shared" si="2"/>
        <v>febrero</v>
      </c>
      <c r="P1472" s="7" t="s">
        <v>7050</v>
      </c>
    </row>
    <row r="1473">
      <c r="A1473" s="19">
        <f>'Respuestas de formulario 1'!A1473</f>
        <v>46078.72855</v>
      </c>
      <c r="B1473" s="7" t="str">
        <f>'Respuestas de formulario 1'!B1473</f>
        <v>Roure</v>
      </c>
      <c r="C1473" s="7" t="str">
        <f>'Respuestas de formulario 1'!C1473</f>
        <v>Cesar</v>
      </c>
      <c r="D1473" s="7" t="str">
        <f>'Respuestas de formulario 1'!D1473</f>
        <v/>
      </c>
      <c r="E1473" s="20">
        <f>'Respuestas de formulario 1'!E1473</f>
        <v>33822</v>
      </c>
      <c r="F1473" s="7">
        <f>'Respuestas de formulario 1'!F1473</f>
        <v>36358699</v>
      </c>
      <c r="G1473" s="7" t="str">
        <f>IFERROR(__xludf.DUMMYFUNCTION("IF('Respuestas de formulario 1'!G1473="""","""",IF(LEFT(REGEXREPLACE(TO_TEXT('Respuestas de formulario 1'!G1473),""[^0-9]"",""""),2)=""54"",""+""&amp;REGEXREPLACE(TO_TEXT('Respuestas de formulario 1'!G1473),""[^0-9]"",""""),""+54""&amp;REGEXREPLACE(TO_TEXT('Respu"&amp;"estas de formulario 1'!G1473),""[^0-9]"","""")))"),"+543512695588")</f>
        <v>+543512695588</v>
      </c>
      <c r="H1473" s="7">
        <f>'Respuestas de formulario 1'!S1473</f>
        <v>2026</v>
      </c>
      <c r="I1473" s="7" t="str">
        <f>IFERROR(__xludf.DUMMYFUNCTION("IF('Respuestas de formulario 1'!I1473="""","""",TO_TEXT('Respuestas de formulario 1'!I1473))"),"Obra social")</f>
        <v>Obra social</v>
      </c>
      <c r="J1473" s="7" t="str">
        <f>IFERROR(__xludf.DUMMYFUNCTION("IF('Respuestas de formulario 1'!J1473&lt;&gt;"""",UPPER(TRIM(TO_TEXT('Respuestas de formulario 1'!J1473))),IF('Respuestas de formulario 1'!O1473&lt;&gt;"""",UPPER(TRIM(TO_TEXT('Respuestas de formulario 1'!O1473))),""""))"),"")</f>
        <v/>
      </c>
      <c r="K1473" s="7" t="str">
        <f>IFERROR(__xludf.DUMMYFUNCTION("IF('Respuestas de formulario 1'!K1473="""","""",TO_TEXT('Respuestas de formulario 1'!K1473))"),"Si")</f>
        <v>Si</v>
      </c>
      <c r="L1473" s="7" t="str">
        <f>IFERROR(__xludf.DUMMYFUNCTION("IF('Respuestas de formulario 1'!L1473="""","""",TO_TEXT('Respuestas de formulario 1'!L1473))"),"Gimnasio")</f>
        <v>Gimnasio</v>
      </c>
      <c r="M1473" s="7" t="str">
        <f>IFERROR(__xludf.DUMMYFUNCTION("IF('Respuestas de formulario 1'!M1473="""","""",TO_TEXT('Respuestas de formulario 1'!M1473))"),"3 a 5 veces por semana")</f>
        <v>3 a 5 veces por semana</v>
      </c>
      <c r="N1473" s="7">
        <f t="shared" si="1"/>
        <v>2026</v>
      </c>
      <c r="O1473" s="7" t="str">
        <f t="shared" si="2"/>
        <v>febrero</v>
      </c>
      <c r="P1473" s="7" t="s">
        <v>7052</v>
      </c>
    </row>
    <row r="1474">
      <c r="A1474" s="19">
        <f>'Respuestas de formulario 1'!A1474</f>
        <v>46078.84733</v>
      </c>
      <c r="B1474" s="7" t="str">
        <f>'Respuestas de formulario 1'!B1474</f>
        <v>villareal </v>
      </c>
      <c r="C1474" s="7" t="str">
        <f>'Respuestas de formulario 1'!C1474</f>
        <v>nicolas </v>
      </c>
      <c r="D1474" s="7" t="str">
        <f>'Respuestas de formulario 1'!D1474</f>
        <v>nicolasvillarealcrc@gmail.com</v>
      </c>
      <c r="E1474" s="20">
        <f>'Respuestas de formulario 1'!E1474</f>
        <v>36206</v>
      </c>
      <c r="F1474" s="7">
        <f>'Respuestas de formulario 1'!F1474</f>
        <v>41962137</v>
      </c>
      <c r="G1474" s="7" t="str">
        <f>IFERROR(__xludf.DUMMYFUNCTION("IF('Respuestas de formulario 1'!G1474="""","""",IF(LEFT(REGEXREPLACE(TO_TEXT('Respuestas de formulario 1'!G1474),""[^0-9]"",""""),2)=""54"",""+""&amp;REGEXREPLACE(TO_TEXT('Respuestas de formulario 1'!G1474),""[^0-9]"",""""),""+54""&amp;REGEXREPLACE(TO_TEXT('Respu"&amp;"estas de formulario 1'!G1474),""[^0-9]"","""")))"),"+543513066864")</f>
        <v>+543513066864</v>
      </c>
      <c r="H1474" s="7">
        <f>'Respuestas de formulario 1'!S1474</f>
        <v>2026</v>
      </c>
      <c r="I1474" s="7" t="str">
        <f>IFERROR(__xludf.DUMMYFUNCTION("IF('Respuestas de formulario 1'!I1474="""","""",TO_TEXT('Respuestas de formulario 1'!I1474))"),"Particular")</f>
        <v>Particular</v>
      </c>
      <c r="J1474" s="7" t="str">
        <f>IFERROR(__xludf.DUMMYFUNCTION("IF('Respuestas de formulario 1'!J1474&lt;&gt;"""",UPPER(TRIM(TO_TEXT('Respuestas de formulario 1'!J1474))),IF('Respuestas de formulario 1'!O1474&lt;&gt;"""",UPPER(TRIM(TO_TEXT('Respuestas de formulario 1'!O1474))),""""))"),"")</f>
        <v/>
      </c>
      <c r="K1474" s="7" t="str">
        <f>IFERROR(__xludf.DUMMYFUNCTION("IF('Respuestas de formulario 1'!K1474="""","""",TO_TEXT('Respuestas de formulario 1'!K1474))"),"Si")</f>
        <v>Si</v>
      </c>
      <c r="L1474" s="7" t="str">
        <f>IFERROR(__xludf.DUMMYFUNCTION("IF('Respuestas de formulario 1'!L1474="""","""",TO_TEXT('Respuestas de formulario 1'!L1474))"),"Rugby")</f>
        <v>Rugby</v>
      </c>
      <c r="M1474" s="7" t="str">
        <f>IFERROR(__xludf.DUMMYFUNCTION("IF('Respuestas de formulario 1'!M1474="""","""",TO_TEXT('Respuestas de formulario 1'!M1474))"),"6 a 7 veces por semana")</f>
        <v>6 a 7 veces por semana</v>
      </c>
      <c r="N1474" s="7">
        <f t="shared" si="1"/>
        <v>2026</v>
      </c>
      <c r="O1474" s="7" t="str">
        <f t="shared" si="2"/>
        <v>febrero</v>
      </c>
      <c r="P1474" s="7" t="s">
        <v>7054</v>
      </c>
    </row>
    <row r="1475">
      <c r="A1475" s="19">
        <f>'Respuestas de formulario 1'!A1475</f>
        <v>46079.4157</v>
      </c>
      <c r="B1475" s="7" t="str">
        <f>'Respuestas de formulario 1'!B1475</f>
        <v>Amaya</v>
      </c>
      <c r="C1475" s="7" t="str">
        <f>'Respuestas de formulario 1'!C1475</f>
        <v>Javier</v>
      </c>
      <c r="D1475" s="7" t="str">
        <f>'Respuestas de formulario 1'!D1475</f>
        <v>amayajavier@hotmail.com</v>
      </c>
      <c r="E1475" s="20">
        <f>'Respuestas de formulario 1'!E1475</f>
        <v>22158</v>
      </c>
      <c r="F1475" s="7">
        <f>'Respuestas de formulario 1'!F1475</f>
        <v>14154021</v>
      </c>
      <c r="G1475" s="7" t="str">
        <f>IFERROR(__xludf.DUMMYFUNCTION("IF('Respuestas de formulario 1'!G1475="""","""",IF(LEFT(REGEXREPLACE(TO_TEXT('Respuestas de formulario 1'!G1475),""[^0-9]"",""""),2)=""54"",""+""&amp;REGEXREPLACE(TO_TEXT('Respuestas de formulario 1'!G1475),""[^0-9]"",""""),""+54""&amp;REGEXREPLACE(TO_TEXT('Respu"&amp;"estas de formulario 1'!G1475),""[^0-9]"","""")))"),"+543515162502")</f>
        <v>+543515162502</v>
      </c>
      <c r="H1475" s="7">
        <f>'Respuestas de formulario 1'!S1475</f>
        <v>2026</v>
      </c>
      <c r="I1475" s="7" t="str">
        <f>IFERROR(__xludf.DUMMYFUNCTION("IF('Respuestas de formulario 1'!I1475="""","""",TO_TEXT('Respuestas de formulario 1'!I1475))"),"Particular")</f>
        <v>Particular</v>
      </c>
      <c r="J1475" s="7" t="str">
        <f>IFERROR(__xludf.DUMMYFUNCTION("IF('Respuestas de formulario 1'!J1475&lt;&gt;"""",UPPER(TRIM(TO_TEXT('Respuestas de formulario 1'!J1475))),IF('Respuestas de formulario 1'!O1475&lt;&gt;"""",UPPER(TRIM(TO_TEXT('Respuestas de formulario 1'!O1475))),""""))"),"")</f>
        <v/>
      </c>
      <c r="K1475" s="7" t="str">
        <f>IFERROR(__xludf.DUMMYFUNCTION("IF('Respuestas de formulario 1'!K1475="""","""",TO_TEXT('Respuestas de formulario 1'!K1475))"),"Si")</f>
        <v>Si</v>
      </c>
      <c r="L1475" s="7" t="str">
        <f>IFERROR(__xludf.DUMMYFUNCTION("IF('Respuestas de formulario 1'!L1475="""","""",TO_TEXT('Respuestas de formulario 1'!L1475))"),"Gimnasio")</f>
        <v>Gimnasio</v>
      </c>
      <c r="M1475" s="7" t="str">
        <f>IFERROR(__xludf.DUMMYFUNCTION("IF('Respuestas de formulario 1'!M1475="""","""",TO_TEXT('Respuestas de formulario 1'!M1475))"),"3 a 5 veces por semana")</f>
        <v>3 a 5 veces por semana</v>
      </c>
      <c r="N1475" s="7">
        <f t="shared" si="1"/>
        <v>2026</v>
      </c>
      <c r="O1475" s="7" t="str">
        <f t="shared" si="2"/>
        <v>febrero</v>
      </c>
      <c r="P1475" s="7" t="s">
        <v>7056</v>
      </c>
    </row>
    <row r="1476">
      <c r="A1476" s="19">
        <f>'Respuestas de formulario 1'!A1476</f>
        <v>46079.71906</v>
      </c>
      <c r="B1476" s="7" t="str">
        <f>'Respuestas de formulario 1'!B1476</f>
        <v>Jurczyszyn</v>
      </c>
      <c r="C1476" s="7" t="str">
        <f>'Respuestas de formulario 1'!C1476</f>
        <v>Tomas Agustin</v>
      </c>
      <c r="D1476" s="7" t="str">
        <f>'Respuestas de formulario 1'!D1476</f>
        <v>tomas.jurczyszyn@gmail.com</v>
      </c>
      <c r="E1476" s="20">
        <f>'Respuestas de formulario 1'!E1476</f>
        <v>34931</v>
      </c>
      <c r="F1476" s="7">
        <f>'Respuestas de formulario 1'!F1476</f>
        <v>39068231</v>
      </c>
      <c r="G1476" s="7" t="str">
        <f>IFERROR(__xludf.DUMMYFUNCTION("IF('Respuestas de formulario 1'!G1476="""","""",IF(LEFT(REGEXREPLACE(TO_TEXT('Respuestas de formulario 1'!G1476),""[^0-9]"",""""),2)=""54"",""+""&amp;REGEXREPLACE(TO_TEXT('Respuestas de formulario 1'!G1476),""[^0-9]"",""""),""+54""&amp;REGEXREPLACE(TO_TEXT('Respu"&amp;"estas de formulario 1'!G1476),""[^0-9]"","""")))"),"+543516882098")</f>
        <v>+543516882098</v>
      </c>
      <c r="H1476" s="7">
        <f>'Respuestas de formulario 1'!S1476</f>
        <v>2026</v>
      </c>
      <c r="I1476" s="7" t="str">
        <f>IFERROR(__xludf.DUMMYFUNCTION("IF('Respuestas de formulario 1'!I1476="""","""",TO_TEXT('Respuestas de formulario 1'!I1476))"),"Obra social")</f>
        <v>Obra social</v>
      </c>
      <c r="J1476" s="7" t="str">
        <f>IFERROR(__xludf.DUMMYFUNCTION("IF('Respuestas de formulario 1'!J1476&lt;&gt;"""",UPPER(TRIM(TO_TEXT('Respuestas de formulario 1'!J1476))),IF('Respuestas de formulario 1'!O1476&lt;&gt;"""",UPPER(TRIM(TO_TEXT('Respuestas de formulario 1'!O1476))),""""))"),"OSDE")</f>
        <v>OSDE</v>
      </c>
      <c r="K1476" s="7" t="str">
        <f>IFERROR(__xludf.DUMMYFUNCTION("IF('Respuestas de formulario 1'!K1476="""","""",TO_TEXT('Respuestas de formulario 1'!K1476))"),"Si")</f>
        <v>Si</v>
      </c>
      <c r="L1476" s="7" t="str">
        <f>IFERROR(__xludf.DUMMYFUNCTION("IF('Respuestas de formulario 1'!L1476="""","""",TO_TEXT('Respuestas de formulario 1'!L1476))"),"Natacion ")</f>
        <v>Natacion </v>
      </c>
      <c r="M1476" s="7" t="str">
        <f>IFERROR(__xludf.DUMMYFUNCTION("IF('Respuestas de formulario 1'!M1476="""","""",TO_TEXT('Respuestas de formulario 1'!M1476))"),"1 a 2 veces por semana")</f>
        <v>1 a 2 veces por semana</v>
      </c>
      <c r="N1476" s="7">
        <f t="shared" si="1"/>
        <v>2026</v>
      </c>
      <c r="O1476" s="7" t="str">
        <f t="shared" si="2"/>
        <v>febrero</v>
      </c>
      <c r="P1476" s="7" t="s">
        <v>7058</v>
      </c>
    </row>
    <row r="1477">
      <c r="A1477" s="19">
        <f>'Respuestas de formulario 1'!A1477</f>
        <v>46080.58597</v>
      </c>
      <c r="B1477" s="7" t="str">
        <f>'Respuestas de formulario 1'!B1477</f>
        <v>Sara</v>
      </c>
      <c r="C1477" s="7" t="str">
        <f>'Respuestas de formulario 1'!C1477</f>
        <v>Mirta Agustina</v>
      </c>
      <c r="D1477" s="7" t="str">
        <f>'Respuestas de formulario 1'!D1477</f>
        <v>laura.contreras.sara@gmail.com</v>
      </c>
      <c r="E1477" s="20">
        <f>'Respuestas de formulario 1'!E1477</f>
        <v>46080</v>
      </c>
      <c r="F1477" s="7">
        <f>'Respuestas de formulario 1'!F1477</f>
        <v>6523776</v>
      </c>
      <c r="G1477" s="7" t="str">
        <f>IFERROR(__xludf.DUMMYFUNCTION("IF('Respuestas de formulario 1'!G1477="""","""",IF(LEFT(REGEXREPLACE(TO_TEXT('Respuestas de formulario 1'!G1477),""[^0-9]"",""""),2)=""54"",""+""&amp;REGEXREPLACE(TO_TEXT('Respuestas de formulario 1'!G1477),""[^0-9]"",""""),""+54""&amp;REGEXREPLACE(TO_TEXT('Respu"&amp;"estas de formulario 1'!G1477),""[^0-9]"","""")))"),"+543516850952")</f>
        <v>+543516850952</v>
      </c>
      <c r="H1477" s="7">
        <f>'Respuestas de formulario 1'!S1477</f>
        <v>2026</v>
      </c>
      <c r="I1477" s="7" t="str">
        <f>IFERROR(__xludf.DUMMYFUNCTION("IF('Respuestas de formulario 1'!I1477="""","""",TO_TEXT('Respuestas de formulario 1'!I1477))"),"Obra social")</f>
        <v>Obra social</v>
      </c>
      <c r="J1477" s="7" t="str">
        <f>IFERROR(__xludf.DUMMYFUNCTION("IF('Respuestas de formulario 1'!J1477&lt;&gt;"""",UPPER(TRIM(TO_TEXT('Respuestas de formulario 1'!J1477))),IF('Respuestas de formulario 1'!O1477&lt;&gt;"""",UPPER(TRIM(TO_TEXT('Respuestas de formulario 1'!O1477))),""""))"),"APROSS")</f>
        <v>APROSS</v>
      </c>
      <c r="K1477" s="7" t="str">
        <f>IFERROR(__xludf.DUMMYFUNCTION("IF('Respuestas de formulario 1'!K1477="""","""",TO_TEXT('Respuestas de formulario 1'!K1477))"),"No")</f>
        <v>No</v>
      </c>
      <c r="L1477" s="7" t="str">
        <f>IFERROR(__xludf.DUMMYFUNCTION("IF('Respuestas de formulario 1'!L1477="""","""",TO_TEXT('Respuestas de formulario 1'!L1477))"),"")</f>
        <v/>
      </c>
      <c r="M1477" s="7" t="str">
        <f>IFERROR(__xludf.DUMMYFUNCTION("IF('Respuestas de formulario 1'!M1477="""","""",TO_TEXT('Respuestas de formulario 1'!M1477))"),"")</f>
        <v/>
      </c>
      <c r="N1477" s="7">
        <f t="shared" si="1"/>
        <v>2026</v>
      </c>
      <c r="O1477" s="7" t="str">
        <f t="shared" si="2"/>
        <v>febrero</v>
      </c>
      <c r="P1477" s="7" t="s">
        <v>7060</v>
      </c>
    </row>
    <row r="1478">
      <c r="A1478" s="19">
        <f>'Respuestas de formulario 1'!A1478</f>
        <v>46085.64902</v>
      </c>
      <c r="B1478" s="7" t="str">
        <f>'Respuestas de formulario 1'!B1478</f>
        <v>FIGUEROA </v>
      </c>
      <c r="C1478" s="7" t="str">
        <f>'Respuestas de formulario 1'!C1478</f>
        <v>Celina </v>
      </c>
      <c r="D1478" s="7" t="str">
        <f>'Respuestas de formulario 1'!D1478</f>
        <v>celi6044@gmail.com</v>
      </c>
      <c r="E1478" s="20">
        <f>'Respuestas de formulario 1'!E1478</f>
        <v>33236</v>
      </c>
      <c r="F1478" s="7">
        <f>'Respuestas de formulario 1'!F1478</f>
        <v>35574057</v>
      </c>
      <c r="G1478" s="7" t="str">
        <f>IFERROR(__xludf.DUMMYFUNCTION("IF('Respuestas de formulario 1'!G1478="""","""",IF(LEFT(REGEXREPLACE(TO_TEXT('Respuestas de formulario 1'!G1478),""[^0-9]"",""""),2)=""54"",""+""&amp;REGEXREPLACE(TO_TEXT('Respuestas de formulario 1'!G1478),""[^0-9]"",""""),""+54""&amp;REGEXREPLACE(TO_TEXT('Respu"&amp;"estas de formulario 1'!G1478),""[^0-9]"","""")))"),"+543515439463")</f>
        <v>+543515439463</v>
      </c>
      <c r="H1478" s="7" t="str">
        <f>'Respuestas de formulario 1'!S1478</f>
        <v/>
      </c>
      <c r="I1478" s="7" t="str">
        <f>IFERROR(__xludf.DUMMYFUNCTION("IF('Respuestas de formulario 1'!I1478="""","""",TO_TEXT('Respuestas de formulario 1'!I1478))"),"Obra social")</f>
        <v>Obra social</v>
      </c>
      <c r="J1478" s="7" t="str">
        <f>IFERROR(__xludf.DUMMYFUNCTION("IF('Respuestas de formulario 1'!J1478&lt;&gt;"""",UPPER(TRIM(TO_TEXT('Respuestas de formulario 1'!J1478))),IF('Respuestas de formulario 1'!O1478&lt;&gt;"""",UPPER(TRIM(TO_TEXT('Respuestas de formulario 1'!O1478))),""""))"),"MEDIFE")</f>
        <v>MEDIFE</v>
      </c>
      <c r="K1478" s="7" t="str">
        <f>IFERROR(__xludf.DUMMYFUNCTION("IF('Respuestas de formulario 1'!K1478="""","""",TO_TEXT('Respuestas de formulario 1'!K1478))"),"No")</f>
        <v>No</v>
      </c>
      <c r="L1478" s="7" t="str">
        <f>IFERROR(__xludf.DUMMYFUNCTION("IF('Respuestas de formulario 1'!L1478="""","""",TO_TEXT('Respuestas de formulario 1'!L1478))"),"")</f>
        <v/>
      </c>
      <c r="M1478" s="7" t="str">
        <f>IFERROR(__xludf.DUMMYFUNCTION("IF('Respuestas de formulario 1'!M1478="""","""",TO_TEXT('Respuestas de formulario 1'!M1478))"),"")</f>
        <v/>
      </c>
      <c r="N1478" s="7">
        <f t="shared" si="1"/>
        <v>2026</v>
      </c>
      <c r="O1478" s="7" t="str">
        <f t="shared" si="2"/>
        <v>marzo</v>
      </c>
      <c r="P1478" s="7" t="s">
        <v>7062</v>
      </c>
    </row>
    <row r="1479">
      <c r="A1479" s="19">
        <f>'Respuestas de formulario 1'!A1479</f>
        <v>46085.6653</v>
      </c>
      <c r="B1479" s="7" t="str">
        <f>'Respuestas de formulario 1'!B1479</f>
        <v>Acosta</v>
      </c>
      <c r="C1479" s="7" t="str">
        <f>'Respuestas de formulario 1'!C1479</f>
        <v>Vanina</v>
      </c>
      <c r="D1479" s="7" t="str">
        <f>'Respuestas de formulario 1'!D1479</f>
        <v>Profevaninaacosta@gmail.com</v>
      </c>
      <c r="E1479" s="20">
        <f>'Respuestas de formulario 1'!E1479</f>
        <v>27767</v>
      </c>
      <c r="F1479" s="7">
        <f>'Respuestas de formulario 1'!F1479</f>
        <v>25080793</v>
      </c>
      <c r="G1479" s="7" t="str">
        <f>IFERROR(__xludf.DUMMYFUNCTION("IF('Respuestas de formulario 1'!G1479="""","""",IF(LEFT(REGEXREPLACE(TO_TEXT('Respuestas de formulario 1'!G1479),""[^0-9]"",""""),2)=""54"",""+""&amp;REGEXREPLACE(TO_TEXT('Respuestas de formulario 1'!G1479),""[^0-9]"",""""),""+54""&amp;REGEXREPLACE(TO_TEXT('Respu"&amp;"estas de formulario 1'!G1479),""[^0-9]"","""")))"),"+543513821363")</f>
        <v>+543513821363</v>
      </c>
      <c r="H1479" s="7" t="str">
        <f>'Respuestas de formulario 1'!S1479</f>
        <v/>
      </c>
      <c r="I1479" s="7" t="str">
        <f>IFERROR(__xludf.DUMMYFUNCTION("IF('Respuestas de formulario 1'!I1479="""","""",TO_TEXT('Respuestas de formulario 1'!I1479))"),"Obra social")</f>
        <v>Obra social</v>
      </c>
      <c r="J1479" s="7" t="str">
        <f>IFERROR(__xludf.DUMMYFUNCTION("IF('Respuestas de formulario 1'!J1479&lt;&gt;"""",UPPER(TRIM(TO_TEXT('Respuestas de formulario 1'!J1479))),IF('Respuestas de formulario 1'!O1479&lt;&gt;"""",UPPER(TRIM(TO_TEXT('Respuestas de formulario 1'!O1479))),""""))"),"APROSS")</f>
        <v>APROSS</v>
      </c>
      <c r="K1479" s="7" t="str">
        <f>IFERROR(__xludf.DUMMYFUNCTION("IF('Respuestas de formulario 1'!K1479="""","""",TO_TEXT('Respuestas de formulario 1'!K1479))"),"No")</f>
        <v>No</v>
      </c>
      <c r="L1479" s="7" t="str">
        <f>IFERROR(__xludf.DUMMYFUNCTION("IF('Respuestas de formulario 1'!L1479="""","""",TO_TEXT('Respuestas de formulario 1'!L1479))"),"")</f>
        <v/>
      </c>
      <c r="M1479" s="7" t="str">
        <f>IFERROR(__xludf.DUMMYFUNCTION("IF('Respuestas de formulario 1'!M1479="""","""",TO_TEXT('Respuestas de formulario 1'!M1479))"),"")</f>
        <v/>
      </c>
      <c r="N1479" s="7">
        <f t="shared" si="1"/>
        <v>2026</v>
      </c>
      <c r="O1479" s="7" t="str">
        <f t="shared" si="2"/>
        <v>marzo</v>
      </c>
      <c r="P1479" s="7" t="s">
        <v>7064</v>
      </c>
    </row>
    <row r="1480">
      <c r="A1480" s="19">
        <f>'Respuestas de formulario 1'!A1480</f>
        <v>46085.79712</v>
      </c>
      <c r="B1480" s="7" t="str">
        <f>'Respuestas de formulario 1'!B1480</f>
        <v>MAIDANA </v>
      </c>
      <c r="C1480" s="7" t="str">
        <f>'Respuestas de formulario 1'!C1480</f>
        <v>CECILIA INÉS </v>
      </c>
      <c r="D1480" s="7" t="str">
        <f>'Respuestas de formulario 1'!D1480</f>
        <v>cecimaidana@hotmail.com</v>
      </c>
      <c r="E1480" s="20">
        <f>'Respuestas de formulario 1'!E1480</f>
        <v>23057</v>
      </c>
      <c r="F1480" s="21">
        <f>'Respuestas de formulario 1'!F1480</f>
        <v>16508261</v>
      </c>
      <c r="G1480" s="7" t="str">
        <f>IFERROR(__xludf.DUMMYFUNCTION("IF('Respuestas de formulario 1'!G1480="""","""",IF(LEFT(REGEXREPLACE(TO_TEXT('Respuestas de formulario 1'!G1480),""[^0-9]"",""""),2)=""54"",""+""&amp;REGEXREPLACE(TO_TEXT('Respuestas de formulario 1'!G1480),""[^0-9]"",""""),""+54""&amp;REGEXREPLACE(TO_TEXT('Respu"&amp;"estas de formulario 1'!G1480),""[^0-9]"","""")))"),"+543517573231")</f>
        <v>+543517573231</v>
      </c>
      <c r="H1480" s="7" t="str">
        <f>'Respuestas de formulario 1'!S1480</f>
        <v/>
      </c>
      <c r="I1480" s="7" t="str">
        <f>IFERROR(__xludf.DUMMYFUNCTION("IF('Respuestas de formulario 1'!I1480="""","""",TO_TEXT('Respuestas de formulario 1'!I1480))"),"Obra social")</f>
        <v>Obra social</v>
      </c>
      <c r="J1480" s="7" t="str">
        <f>IFERROR(__xludf.DUMMYFUNCTION("IF('Respuestas de formulario 1'!J1480&lt;&gt;"""",UPPER(TRIM(TO_TEXT('Respuestas de formulario 1'!J1480))),IF('Respuestas de formulario 1'!O1480&lt;&gt;"""",UPPER(TRIM(TO_TEXT('Respuestas de formulario 1'!O1480))),""""))"),"UNION PERSONAL")</f>
        <v>UNION PERSONAL</v>
      </c>
      <c r="K1480" s="7" t="str">
        <f>IFERROR(__xludf.DUMMYFUNCTION("IF('Respuestas de formulario 1'!K1480="""","""",TO_TEXT('Respuestas de formulario 1'!K1480))"),"Si")</f>
        <v>Si</v>
      </c>
      <c r="L1480" s="7" t="str">
        <f>IFERROR(__xludf.DUMMYFUNCTION("IF('Respuestas de formulario 1'!L1480="""","""",TO_TEXT('Respuestas de formulario 1'!L1480))"),"Pilates")</f>
        <v>Pilates</v>
      </c>
      <c r="M1480" s="7" t="str">
        <f>IFERROR(__xludf.DUMMYFUNCTION("IF('Respuestas de formulario 1'!M1480="""","""",TO_TEXT('Respuestas de formulario 1'!M1480))"),"3 a 5 veces por semana")</f>
        <v>3 a 5 veces por semana</v>
      </c>
      <c r="N1480" s="7">
        <f t="shared" si="1"/>
        <v>2026</v>
      </c>
      <c r="O1480" s="7" t="str">
        <f t="shared" si="2"/>
        <v>marzo</v>
      </c>
      <c r="P1480" s="7" t="s">
        <v>7066</v>
      </c>
    </row>
    <row r="1481">
      <c r="A1481" s="19">
        <f>'Respuestas de formulario 1'!A1481</f>
        <v>46085.81366</v>
      </c>
      <c r="B1481" s="7" t="str">
        <f>'Respuestas de formulario 1'!B1481</f>
        <v>Bartolini </v>
      </c>
      <c r="C1481" s="7" t="str">
        <f>'Respuestas de formulario 1'!C1481</f>
        <v>Daniela Alejandra </v>
      </c>
      <c r="D1481" s="7" t="str">
        <f>'Respuestas de formulario 1'!D1481</f>
        <v>dbartolini45@gmail.com</v>
      </c>
      <c r="E1481" s="20">
        <f>'Respuestas de formulario 1'!E1481</f>
        <v>32147</v>
      </c>
      <c r="F1481" s="7">
        <f>'Respuestas de formulario 1'!F1481</f>
        <v>33389276</v>
      </c>
      <c r="G1481" s="7" t="str">
        <f>IFERROR(__xludf.DUMMYFUNCTION("IF('Respuestas de formulario 1'!G1481="""","""",IF(LEFT(REGEXREPLACE(TO_TEXT('Respuestas de formulario 1'!G1481),""[^0-9]"",""""),2)=""54"",""+""&amp;REGEXREPLACE(TO_TEXT('Respuestas de formulario 1'!G1481),""[^0-9]"",""""),""+54""&amp;REGEXREPLACE(TO_TEXT('Respu"&amp;"estas de formulario 1'!G1481),""[^0-9]"","""")))"),"+543512192023")</f>
        <v>+543512192023</v>
      </c>
      <c r="H1481" s="7" t="str">
        <f>'Respuestas de formulario 1'!S1481</f>
        <v/>
      </c>
      <c r="I1481" s="7" t="str">
        <f>IFERROR(__xludf.DUMMYFUNCTION("IF('Respuestas de formulario 1'!I1481="""","""",TO_TEXT('Respuestas de formulario 1'!I1481))"),"Particular")</f>
        <v>Particular</v>
      </c>
      <c r="J1481" s="7" t="str">
        <f>IFERROR(__xludf.DUMMYFUNCTION("IF('Respuestas de formulario 1'!J1481&lt;&gt;"""",UPPER(TRIM(TO_TEXT('Respuestas de formulario 1'!J1481))),IF('Respuestas de formulario 1'!O1481&lt;&gt;"""",UPPER(TRIM(TO_TEXT('Respuestas de formulario 1'!O1481))),""""))"),"")</f>
        <v/>
      </c>
      <c r="K1481" s="7" t="str">
        <f>IFERROR(__xludf.DUMMYFUNCTION("IF('Respuestas de formulario 1'!K1481="""","""",TO_TEXT('Respuestas de formulario 1'!K1481))"),"Si")</f>
        <v>Si</v>
      </c>
      <c r="L1481" s="7" t="str">
        <f>IFERROR(__xludf.DUMMYFUNCTION("IF('Respuestas de formulario 1'!L1481="""","""",TO_TEXT('Respuestas de formulario 1'!L1481))"),"Gimnasio")</f>
        <v>Gimnasio</v>
      </c>
      <c r="M1481" s="7" t="str">
        <f>IFERROR(__xludf.DUMMYFUNCTION("IF('Respuestas de formulario 1'!M1481="""","""",TO_TEXT('Respuestas de formulario 1'!M1481))"),"3 a 5 veces por semana")</f>
        <v>3 a 5 veces por semana</v>
      </c>
      <c r="N1481" s="7">
        <f t="shared" si="1"/>
        <v>2026</v>
      </c>
      <c r="O1481" s="7" t="str">
        <f t="shared" si="2"/>
        <v>marzo</v>
      </c>
      <c r="P1481" s="7" t="s">
        <v>7068</v>
      </c>
    </row>
    <row r="1482">
      <c r="A1482" s="19">
        <f>'Respuestas de formulario 1'!A1482</f>
        <v>46086.71483</v>
      </c>
      <c r="B1482" s="7" t="str">
        <f>'Respuestas de formulario 1'!B1482</f>
        <v>Perez </v>
      </c>
      <c r="C1482" s="7" t="str">
        <f>'Respuestas de formulario 1'!C1482</f>
        <v>Walter </v>
      </c>
      <c r="D1482" s="7" t="str">
        <f>'Respuestas de formulario 1'!D1482</f>
        <v>walter1809perez@gmail.com</v>
      </c>
      <c r="E1482" s="20">
        <f>'Respuestas de formulario 1'!E1482</f>
        <v>23607</v>
      </c>
      <c r="F1482" s="7">
        <f>'Respuestas de formulario 1'!F1482</f>
        <v>17011812</v>
      </c>
      <c r="G1482" s="7" t="str">
        <f>IFERROR(__xludf.DUMMYFUNCTION("IF('Respuestas de formulario 1'!G1482="""","""",IF(LEFT(REGEXREPLACE(TO_TEXT('Respuestas de formulario 1'!G1482),""[^0-9]"",""""),2)=""54"",""+""&amp;REGEXREPLACE(TO_TEXT('Respuestas de formulario 1'!G1482),""[^0-9]"",""""),""+54""&amp;REGEXREPLACE(TO_TEXT('Respu"&amp;"estas de formulario 1'!G1482),""[^0-9]"","""")))"),"+543516288950")</f>
        <v>+543516288950</v>
      </c>
      <c r="H1482" s="7" t="str">
        <f>'Respuestas de formulario 1'!S1482</f>
        <v/>
      </c>
      <c r="I1482" s="7" t="str">
        <f>IFERROR(__xludf.DUMMYFUNCTION("IF('Respuestas de formulario 1'!I1482="""","""",TO_TEXT('Respuestas de formulario 1'!I1482))"),"Obra social")</f>
        <v>Obra social</v>
      </c>
      <c r="J1482" s="7" t="str">
        <f>IFERROR(__xludf.DUMMYFUNCTION("IF('Respuestas de formulario 1'!J1482&lt;&gt;"""",UPPER(TRIM(TO_TEXT('Respuestas de formulario 1'!J1482))),IF('Respuestas de formulario 1'!O1482&lt;&gt;"""",UPPER(TRIM(TO_TEXT('Respuestas de formulario 1'!O1482))),""""))"),"APROSS")</f>
        <v>APROSS</v>
      </c>
      <c r="K1482" s="7" t="str">
        <f>IFERROR(__xludf.DUMMYFUNCTION("IF('Respuestas de formulario 1'!K1482="""","""",TO_TEXT('Respuestas de formulario 1'!K1482))"),"Si")</f>
        <v>Si</v>
      </c>
      <c r="L1482" s="7" t="str">
        <f>IFERROR(__xludf.DUMMYFUNCTION("IF('Respuestas de formulario 1'!L1482="""","""",TO_TEXT('Respuestas de formulario 1'!L1482))"),"natación y yoga ")</f>
        <v>natación y yoga </v>
      </c>
      <c r="M1482" s="7" t="str">
        <f>IFERROR(__xludf.DUMMYFUNCTION("IF('Respuestas de formulario 1'!M1482="""","""",TO_TEXT('Respuestas de formulario 1'!M1482))"),"3 a 5 veces por semana")</f>
        <v>3 a 5 veces por semana</v>
      </c>
      <c r="N1482" s="7">
        <f t="shared" si="1"/>
        <v>2026</v>
      </c>
      <c r="O1482" s="7" t="str">
        <f t="shared" si="2"/>
        <v>marzo</v>
      </c>
      <c r="P1482" s="7" t="s">
        <v>7070</v>
      </c>
    </row>
    <row r="1483">
      <c r="A1483" s="19">
        <f>'Respuestas de formulario 1'!A1483</f>
        <v>46086.81016</v>
      </c>
      <c r="B1483" s="7" t="str">
        <f>'Respuestas de formulario 1'!B1483</f>
        <v>Bonayuti</v>
      </c>
      <c r="C1483" s="7" t="str">
        <f>'Respuestas de formulario 1'!C1483</f>
        <v>Florencia</v>
      </c>
      <c r="D1483" s="7" t="str">
        <f>'Respuestas de formulario 1'!D1483</f>
        <v>florencia.bonayuti@gmail.com</v>
      </c>
      <c r="E1483" s="20">
        <f>'Respuestas de formulario 1'!E1483</f>
        <v>27871</v>
      </c>
      <c r="F1483" s="7">
        <f>'Respuestas de formulario 1'!F1483</f>
        <v>25267194</v>
      </c>
      <c r="G1483" s="7" t="str">
        <f>IFERROR(__xludf.DUMMYFUNCTION("IF('Respuestas de formulario 1'!G1483="""","""",IF(LEFT(REGEXREPLACE(TO_TEXT('Respuestas de formulario 1'!G1483),""[^0-9]"",""""),2)=""54"",""+""&amp;REGEXREPLACE(TO_TEXT('Respuestas de formulario 1'!G1483),""[^0-9]"",""""),""+54""&amp;REGEXREPLACE(TO_TEXT('Respu"&amp;"estas de formulario 1'!G1483),""[^0-9]"","""")))"),"+543512383839")</f>
        <v>+543512383839</v>
      </c>
      <c r="H1483" s="7" t="str">
        <f>'Respuestas de formulario 1'!S1483</f>
        <v/>
      </c>
      <c r="I1483" s="7" t="str">
        <f>IFERROR(__xludf.DUMMYFUNCTION("IF('Respuestas de formulario 1'!I1483="""","""",TO_TEXT('Respuestas de formulario 1'!I1483))"),"Particular")</f>
        <v>Particular</v>
      </c>
      <c r="J1483" s="7" t="str">
        <f>IFERROR(__xludf.DUMMYFUNCTION("IF('Respuestas de formulario 1'!J1483&lt;&gt;"""",UPPER(TRIM(TO_TEXT('Respuestas de formulario 1'!J1483))),IF('Respuestas de formulario 1'!O1483&lt;&gt;"""",UPPER(TRIM(TO_TEXT('Respuestas de formulario 1'!O1483))),""""))"),"")</f>
        <v/>
      </c>
      <c r="K1483" s="7" t="str">
        <f>IFERROR(__xludf.DUMMYFUNCTION("IF('Respuestas de formulario 1'!K1483="""","""",TO_TEXT('Respuestas de formulario 1'!K1483))"),"Si")</f>
        <v>Si</v>
      </c>
      <c r="L1483" s="7" t="str">
        <f>IFERROR(__xludf.DUMMYFUNCTION("IF('Respuestas de formulario 1'!L1483="""","""",TO_TEXT('Respuestas de formulario 1'!L1483))"),"Padel+ Gimnasio")</f>
        <v>Padel+ Gimnasio</v>
      </c>
      <c r="M1483" s="7" t="str">
        <f>IFERROR(__xludf.DUMMYFUNCTION("IF('Respuestas de formulario 1'!M1483="""","""",TO_TEXT('Respuestas de formulario 1'!M1483))"),"3 a 5 veces por semana")</f>
        <v>3 a 5 veces por semana</v>
      </c>
      <c r="N1483" s="7">
        <f t="shared" si="1"/>
        <v>2026</v>
      </c>
      <c r="O1483" s="7" t="str">
        <f t="shared" si="2"/>
        <v>marzo</v>
      </c>
      <c r="P1483" s="7" t="s">
        <v>7072</v>
      </c>
    </row>
    <row r="1484">
      <c r="A1484" s="19">
        <f>'Respuestas de formulario 1'!A1484</f>
        <v>46087.36979</v>
      </c>
      <c r="B1484" s="7" t="str">
        <f>'Respuestas de formulario 1'!B1484</f>
        <v>Sam Sam</v>
      </c>
      <c r="C1484" s="7" t="str">
        <f>'Respuestas de formulario 1'!C1484</f>
        <v>Nahuel</v>
      </c>
      <c r="D1484" s="7" t="str">
        <f>'Respuestas de formulario 1'!D1484</f>
        <v>samsamgalera1@gmail.com</v>
      </c>
      <c r="E1484" s="20">
        <f>'Respuestas de formulario 1'!E1484</f>
        <v>37282</v>
      </c>
      <c r="F1484" s="7">
        <f>'Respuestas de formulario 1'!F1484</f>
        <v>43812763</v>
      </c>
      <c r="G1484" s="7" t="str">
        <f>IFERROR(__xludf.DUMMYFUNCTION("IF('Respuestas de formulario 1'!G1484="""","""",IF(LEFT(REGEXREPLACE(TO_TEXT('Respuestas de formulario 1'!G1484),""[^0-9]"",""""),2)=""54"",""+""&amp;REGEXREPLACE(TO_TEXT('Respuestas de formulario 1'!G1484),""[^0-9]"",""""),""+54""&amp;REGEXREPLACE(TO_TEXT('Respu"&amp;"estas de formulario 1'!G1484),""[^0-9]"","""")))"),"+543516750888")</f>
        <v>+543516750888</v>
      </c>
      <c r="H1484" s="7" t="str">
        <f>'Respuestas de formulario 1'!S1484</f>
        <v/>
      </c>
      <c r="I1484" s="7" t="str">
        <f>IFERROR(__xludf.DUMMYFUNCTION("IF('Respuestas de formulario 1'!I1484="""","""",TO_TEXT('Respuestas de formulario 1'!I1484))"),"Obra social")</f>
        <v>Obra social</v>
      </c>
      <c r="J1484" s="7" t="str">
        <f>IFERROR(__xludf.DUMMYFUNCTION("IF('Respuestas de formulario 1'!J1484&lt;&gt;"""",UPPER(TRIM(TO_TEXT('Respuestas de formulario 1'!J1484))),IF('Respuestas de formulario 1'!O1484&lt;&gt;"""",UPPER(TRIM(TO_TEXT('Respuestas de formulario 1'!O1484))),""""))"),"PREVENCIÓN")</f>
        <v>PREVENCIÓN</v>
      </c>
      <c r="K1484" s="7" t="str">
        <f>IFERROR(__xludf.DUMMYFUNCTION("IF('Respuestas de formulario 1'!K1484="""","""",TO_TEXT('Respuestas de formulario 1'!K1484))"),"Si")</f>
        <v>Si</v>
      </c>
      <c r="L1484" s="7" t="str">
        <f>IFERROR(__xludf.DUMMYFUNCTION("IF('Respuestas de formulario 1'!L1484="""","""",TO_TEXT('Respuestas de formulario 1'!L1484))"),"Fútbol")</f>
        <v>Fútbol</v>
      </c>
      <c r="M1484" s="7" t="str">
        <f>IFERROR(__xludf.DUMMYFUNCTION("IF('Respuestas de formulario 1'!M1484="""","""",TO_TEXT('Respuestas de formulario 1'!M1484))"),"3 a 5 veces por semana")</f>
        <v>3 a 5 veces por semana</v>
      </c>
      <c r="N1484" s="7">
        <f t="shared" si="1"/>
        <v>2026</v>
      </c>
      <c r="O1484" s="7" t="str">
        <f t="shared" si="2"/>
        <v>marzo</v>
      </c>
      <c r="P1484" s="7" t="s">
        <v>7074</v>
      </c>
    </row>
    <row r="1485">
      <c r="A1485" s="19">
        <f>'Respuestas de formulario 1'!A1485</f>
        <v>46087.64093</v>
      </c>
      <c r="B1485" s="7" t="str">
        <f>'Respuestas de formulario 1'!B1485</f>
        <v>Lopez</v>
      </c>
      <c r="C1485" s="7" t="str">
        <f>'Respuestas de formulario 1'!C1485</f>
        <v>Matias</v>
      </c>
      <c r="D1485" s="7" t="str">
        <f>'Respuestas de formulario 1'!D1485</f>
        <v>tankelopezcab@gmail.com</v>
      </c>
      <c r="E1485" s="20">
        <f>'Respuestas de formulario 1'!E1485</f>
        <v>35571</v>
      </c>
      <c r="F1485" s="7">
        <f>'Respuestas de formulario 1'!F1485</f>
        <v>40662539</v>
      </c>
      <c r="G1485" s="7" t="str">
        <f>IFERROR(__xludf.DUMMYFUNCTION("IF('Respuestas de formulario 1'!G1485="""","""",IF(LEFT(REGEXREPLACE(TO_TEXT('Respuestas de formulario 1'!G1485),""[^0-9]"",""""),2)=""54"",""+""&amp;REGEXREPLACE(TO_TEXT('Respuestas de formulario 1'!G1485),""[^0-9]"",""""),""+54""&amp;REGEXREPLACE(TO_TEXT('Respu"&amp;"estas de formulario 1'!G1485),""[^0-9]"","""")))"),"+543515915468")</f>
        <v>+543515915468</v>
      </c>
      <c r="H1485" s="7" t="str">
        <f>'Respuestas de formulario 1'!S1485</f>
        <v/>
      </c>
      <c r="I1485" s="7" t="str">
        <f>IFERROR(__xludf.DUMMYFUNCTION("IF('Respuestas de formulario 1'!I1485="""","""",TO_TEXT('Respuestas de formulario 1'!I1485))"),"Particular")</f>
        <v>Particular</v>
      </c>
      <c r="J1485" s="7" t="str">
        <f>IFERROR(__xludf.DUMMYFUNCTION("IF('Respuestas de formulario 1'!J1485&lt;&gt;"""",UPPER(TRIM(TO_TEXT('Respuestas de formulario 1'!J1485))),IF('Respuestas de formulario 1'!O1485&lt;&gt;"""",UPPER(TRIM(TO_TEXT('Respuestas de formulario 1'!O1485))),""""))"),"")</f>
        <v/>
      </c>
      <c r="K1485" s="7" t="str">
        <f>IFERROR(__xludf.DUMMYFUNCTION("IF('Respuestas de formulario 1'!K1485="""","""",TO_TEXT('Respuestas de formulario 1'!K1485))"),"Si")</f>
        <v>Si</v>
      </c>
      <c r="L1485" s="7" t="str">
        <f>IFERROR(__xludf.DUMMYFUNCTION("IF('Respuestas de formulario 1'!L1485="""","""",TO_TEXT('Respuestas de formulario 1'!L1485))"),"Fútbol")</f>
        <v>Fútbol</v>
      </c>
      <c r="M1485" s="7" t="str">
        <f>IFERROR(__xludf.DUMMYFUNCTION("IF('Respuestas de formulario 1'!M1485="""","""",TO_TEXT('Respuestas de formulario 1'!M1485))"),"3 a 5 veces por semana")</f>
        <v>3 a 5 veces por semana</v>
      </c>
      <c r="N1485" s="7">
        <f t="shared" si="1"/>
        <v>2026</v>
      </c>
      <c r="O1485" s="7" t="str">
        <f t="shared" si="2"/>
        <v>marzo</v>
      </c>
      <c r="P1485" s="7" t="s">
        <v>7076</v>
      </c>
    </row>
    <row r="1486">
      <c r="A1486" s="19">
        <f>'Respuestas de formulario 1'!A1486</f>
        <v>46091.41965</v>
      </c>
      <c r="B1486" s="7" t="str">
        <f>'Respuestas de formulario 1'!B1486</f>
        <v>dalpino</v>
      </c>
      <c r="C1486" s="7" t="str">
        <f>'Respuestas de formulario 1'!C1486</f>
        <v>rocio</v>
      </c>
      <c r="D1486" s="7" t="str">
        <f>'Respuestas de formulario 1'!D1486</f>
        <v>rociodalpino@gmail.com</v>
      </c>
      <c r="E1486" s="20">
        <f>'Respuestas de formulario 1'!E1486</f>
        <v>32707</v>
      </c>
      <c r="F1486" s="7">
        <f>'Respuestas de formulario 1'!F1486</f>
        <v>34601511</v>
      </c>
      <c r="G1486" s="7" t="str">
        <f>IFERROR(__xludf.DUMMYFUNCTION("IF('Respuestas de formulario 1'!G1486="""","""",IF(LEFT(REGEXREPLACE(TO_TEXT('Respuestas de formulario 1'!G1486),""[^0-9]"",""""),2)=""54"",""+""&amp;REGEXREPLACE(TO_TEXT('Respuestas de formulario 1'!G1486),""[^0-9]"",""""),""+54""&amp;REGEXREPLACE(TO_TEXT('Respu"&amp;"estas de formulario 1'!G1486),""[^0-9]"","""")))"),"+543513064473")</f>
        <v>+543513064473</v>
      </c>
      <c r="H1486" s="7" t="str">
        <f>'Respuestas de formulario 1'!S1486</f>
        <v/>
      </c>
      <c r="I1486" s="7" t="str">
        <f>IFERROR(__xludf.DUMMYFUNCTION("IF('Respuestas de formulario 1'!I1486="""","""",TO_TEXT('Respuestas de formulario 1'!I1486))"),"Obra social")</f>
        <v>Obra social</v>
      </c>
      <c r="J1486" s="7" t="str">
        <f>IFERROR(__xludf.DUMMYFUNCTION("IF('Respuestas de formulario 1'!J1486&lt;&gt;"""",UPPER(TRIM(TO_TEXT('Respuestas de formulario 1'!J1486))),IF('Respuestas de formulario 1'!O1486&lt;&gt;"""",UPPER(TRIM(TO_TEXT('Respuestas de formulario 1'!O1486))),""""))"),"CPCE")</f>
        <v>CPCE</v>
      </c>
      <c r="K1486" s="7" t="str">
        <f>IFERROR(__xludf.DUMMYFUNCTION("IF('Respuestas de formulario 1'!K1486="""","""",TO_TEXT('Respuestas de formulario 1'!K1486))"),"Si")</f>
        <v>Si</v>
      </c>
      <c r="L1486" s="7" t="str">
        <f>IFERROR(__xludf.DUMMYFUNCTION("IF('Respuestas de formulario 1'!L1486="""","""",TO_TEXT('Respuestas de formulario 1'!L1486))"),"Running")</f>
        <v>Running</v>
      </c>
      <c r="M1486" s="7" t="str">
        <f>IFERROR(__xludf.DUMMYFUNCTION("IF('Respuestas de formulario 1'!M1486="""","""",TO_TEXT('Respuestas de formulario 1'!M1486))"),"6 a 7 veces por semana")</f>
        <v>6 a 7 veces por semana</v>
      </c>
      <c r="N1486" s="7">
        <f t="shared" si="1"/>
        <v>2026</v>
      </c>
      <c r="O1486" s="7" t="str">
        <f t="shared" si="2"/>
        <v>marzo</v>
      </c>
      <c r="P1486" s="7" t="s">
        <v>7078</v>
      </c>
    </row>
    <row r="1487">
      <c r="A1487" s="19">
        <f>'Respuestas de formulario 1'!A1487</f>
        <v>46091.74706</v>
      </c>
      <c r="B1487" s="7" t="str">
        <f>'Respuestas de formulario 1'!B1487</f>
        <v>Alcalde</v>
      </c>
      <c r="C1487" s="7" t="str">
        <f>'Respuestas de formulario 1'!C1487</f>
        <v>Mariana Andrea</v>
      </c>
      <c r="D1487" s="7" t="str">
        <f>'Respuestas de formulario 1'!D1487</f>
        <v>mariana_alcalde@yahoo.com.ar</v>
      </c>
      <c r="E1487" s="20">
        <f>'Respuestas de formulario 1'!E1487</f>
        <v>27927</v>
      </c>
      <c r="F1487" s="7">
        <f>'Respuestas de formulario 1'!F1487</f>
        <v>25246330</v>
      </c>
      <c r="G1487" s="7" t="str">
        <f>IFERROR(__xludf.DUMMYFUNCTION("IF('Respuestas de formulario 1'!G1487="""","""",IF(LEFT(REGEXREPLACE(TO_TEXT('Respuestas de formulario 1'!G1487),""[^0-9]"",""""),2)=""54"",""+""&amp;REGEXREPLACE(TO_TEXT('Respuestas de formulario 1'!G1487),""[^0-9]"",""""),""+54""&amp;REGEXREPLACE(TO_TEXT('Respu"&amp;"estas de formulario 1'!G1487),""[^0-9]"","""")))"),"+543515554897")</f>
        <v>+543515554897</v>
      </c>
      <c r="H1487" s="7" t="str">
        <f>'Respuestas de formulario 1'!S1487</f>
        <v/>
      </c>
      <c r="I1487" s="7" t="str">
        <f>IFERROR(__xludf.DUMMYFUNCTION("IF('Respuestas de formulario 1'!I1487="""","""",TO_TEXT('Respuestas de formulario 1'!I1487))"),"Obra social")</f>
        <v>Obra social</v>
      </c>
      <c r="J1487" s="7" t="str">
        <f>IFERROR(__xludf.DUMMYFUNCTION("IF('Respuestas de formulario 1'!J1487&lt;&gt;"""",UPPER(TRIM(TO_TEXT('Respuestas de formulario 1'!J1487))),IF('Respuestas de formulario 1'!O1487&lt;&gt;"""",UPPER(TRIM(TO_TEXT('Respuestas de formulario 1'!O1487))),""""))"),"CPCE")</f>
        <v>CPCE</v>
      </c>
      <c r="K1487" s="7" t="str">
        <f>IFERROR(__xludf.DUMMYFUNCTION("IF('Respuestas de formulario 1'!K1487="""","""",TO_TEXT('Respuestas de formulario 1'!K1487))"),"Si")</f>
        <v>Si</v>
      </c>
      <c r="L1487" s="7" t="str">
        <f>IFERROR(__xludf.DUMMYFUNCTION("IF('Respuestas de formulario 1'!L1487="""","""",TO_TEXT('Respuestas de formulario 1'!L1487))"),"Gimnasio")</f>
        <v>Gimnasio</v>
      </c>
      <c r="M1487" s="7" t="str">
        <f>IFERROR(__xludf.DUMMYFUNCTION("IF('Respuestas de formulario 1'!M1487="""","""",TO_TEXT('Respuestas de formulario 1'!M1487))"),"3 a 5 veces por semana")</f>
        <v>3 a 5 veces por semana</v>
      </c>
      <c r="N1487" s="7">
        <f t="shared" si="1"/>
        <v>2026</v>
      </c>
      <c r="O1487" s="7" t="str">
        <f t="shared" si="2"/>
        <v>marzo</v>
      </c>
      <c r="P1487" s="7" t="s">
        <v>7080</v>
      </c>
    </row>
    <row r="1488">
      <c r="A1488" s="19">
        <f>'Respuestas de formulario 1'!A1488</f>
        <v>46092.4195</v>
      </c>
      <c r="B1488" s="7" t="str">
        <f>'Respuestas de formulario 1'!B1488</f>
        <v>Cordova </v>
      </c>
      <c r="C1488" s="7" t="str">
        <f>'Respuestas de formulario 1'!C1488</f>
        <v>Manuel Alberto </v>
      </c>
      <c r="D1488" s="7" t="str">
        <f>'Respuestas de formulario 1'!D1488</f>
        <v>Betocordova@hotmail.com</v>
      </c>
      <c r="E1488" s="20">
        <f>'Respuestas de formulario 1'!E1488</f>
        <v>30439</v>
      </c>
      <c r="F1488" s="7">
        <f>'Respuestas de formulario 1'!F1488</f>
        <v>18804092</v>
      </c>
      <c r="G1488" s="7" t="str">
        <f>IFERROR(__xludf.DUMMYFUNCTION("IF('Respuestas de formulario 1'!G1488="""","""",IF(LEFT(REGEXREPLACE(TO_TEXT('Respuestas de formulario 1'!G1488),""[^0-9]"",""""),2)=""54"",""+""&amp;REGEXREPLACE(TO_TEXT('Respuestas de formulario 1'!G1488),""[^0-9]"",""""),""+54""&amp;REGEXREPLACE(TO_TEXT('Respu"&amp;"estas de formulario 1'!G1488),""[^0-9]"","""")))"),"+543516152531")</f>
        <v>+543516152531</v>
      </c>
      <c r="H1488" s="7" t="str">
        <f>'Respuestas de formulario 1'!S1488</f>
        <v/>
      </c>
      <c r="I1488" s="7" t="str">
        <f>IFERROR(__xludf.DUMMYFUNCTION("IF('Respuestas de formulario 1'!I1488="""","""",TO_TEXT('Respuestas de formulario 1'!I1488))"),"Obra social")</f>
        <v>Obra social</v>
      </c>
      <c r="J1488" s="7" t="str">
        <f>IFERROR(__xludf.DUMMYFUNCTION("IF('Respuestas de formulario 1'!J1488&lt;&gt;"""",UPPER(TRIM(TO_TEXT('Respuestas de formulario 1'!J1488))),IF('Respuestas de formulario 1'!O1488&lt;&gt;"""",UPPER(TRIM(TO_TEXT('Respuestas de formulario 1'!O1488))),""""))"),"PREVENCIÓN")</f>
        <v>PREVENCIÓN</v>
      </c>
      <c r="K1488" s="7" t="str">
        <f>IFERROR(__xludf.DUMMYFUNCTION("IF('Respuestas de formulario 1'!K1488="""","""",TO_TEXT('Respuestas de formulario 1'!K1488))"),"Si")</f>
        <v>Si</v>
      </c>
      <c r="L1488" s="7" t="str">
        <f>IFERROR(__xludf.DUMMYFUNCTION("IF('Respuestas de formulario 1'!L1488="""","""",TO_TEXT('Respuestas de formulario 1'!L1488))"),"Crossfit")</f>
        <v>Crossfit</v>
      </c>
      <c r="M1488" s="7" t="str">
        <f>IFERROR(__xludf.DUMMYFUNCTION("IF('Respuestas de formulario 1'!M1488="""","""",TO_TEXT('Respuestas de formulario 1'!M1488))"),"3 a 5 veces por semana")</f>
        <v>3 a 5 veces por semana</v>
      </c>
      <c r="N1488" s="7">
        <f t="shared" si="1"/>
        <v>2026</v>
      </c>
      <c r="O1488" s="7" t="str">
        <f t="shared" si="2"/>
        <v>marzo</v>
      </c>
      <c r="P1488" s="7" t="s">
        <v>7082</v>
      </c>
    </row>
    <row r="1489">
      <c r="A1489" s="19">
        <f>'Respuestas de formulario 1'!A1489</f>
        <v>46092.49018</v>
      </c>
      <c r="B1489" s="7" t="str">
        <f>'Respuestas de formulario 1'!B1489</f>
        <v>Rodriguez </v>
      </c>
      <c r="C1489" s="7" t="str">
        <f>'Respuestas de formulario 1'!C1489</f>
        <v>Florencia </v>
      </c>
      <c r="D1489" s="7" t="str">
        <f>'Respuestas de formulario 1'!D1489</f>
        <v>florencia.rod05@gmail.com</v>
      </c>
      <c r="E1489" s="20">
        <f>'Respuestas de formulario 1'!E1489</f>
        <v>38551</v>
      </c>
      <c r="F1489" s="7">
        <f>'Respuestas de formulario 1'!F1489</f>
        <v>46657940</v>
      </c>
      <c r="G1489" s="7" t="str">
        <f>IFERROR(__xludf.DUMMYFUNCTION("IF('Respuestas de formulario 1'!G1489="""","""",IF(LEFT(REGEXREPLACE(TO_TEXT('Respuestas de formulario 1'!G1489),""[^0-9]"",""""),2)=""54"",""+""&amp;REGEXREPLACE(TO_TEXT('Respuestas de formulario 1'!G1489),""[^0-9]"",""""),""+54""&amp;REGEXREPLACE(TO_TEXT('Respu"&amp;"estas de formulario 1'!G1489),""[^0-9]"","""")))"),"+543513254453")</f>
        <v>+543513254453</v>
      </c>
      <c r="H1489" s="7" t="str">
        <f>'Respuestas de formulario 1'!S1489</f>
        <v/>
      </c>
      <c r="I1489" s="7" t="str">
        <f>IFERROR(__xludf.DUMMYFUNCTION("IF('Respuestas de formulario 1'!I1489="""","""",TO_TEXT('Respuestas de formulario 1'!I1489))"),"Obra social")</f>
        <v>Obra social</v>
      </c>
      <c r="J1489" s="7" t="str">
        <f>IFERROR(__xludf.DUMMYFUNCTION("IF('Respuestas de formulario 1'!J1489&lt;&gt;"""",UPPER(TRIM(TO_TEXT('Respuestas de formulario 1'!J1489))),IF('Respuestas de formulario 1'!O1489&lt;&gt;"""",UPPER(TRIM(TO_TEXT('Respuestas de formulario 1'!O1489))),""""))"),"SANCOR")</f>
        <v>SANCOR</v>
      </c>
      <c r="K1489" s="7" t="str">
        <f>IFERROR(__xludf.DUMMYFUNCTION("IF('Respuestas de formulario 1'!K1489="""","""",TO_TEXT('Respuestas de formulario 1'!K1489))"),"Si")</f>
        <v>Si</v>
      </c>
      <c r="L1489" s="7" t="str">
        <f>IFERROR(__xludf.DUMMYFUNCTION("IF('Respuestas de formulario 1'!L1489="""","""",TO_TEXT('Respuestas de formulario 1'!L1489))"),"Gimnasio")</f>
        <v>Gimnasio</v>
      </c>
      <c r="M1489" s="7" t="str">
        <f>IFERROR(__xludf.DUMMYFUNCTION("IF('Respuestas de formulario 1'!M1489="""","""",TO_TEXT('Respuestas de formulario 1'!M1489))"),"3 a 5 veces por semana")</f>
        <v>3 a 5 veces por semana</v>
      </c>
      <c r="N1489" s="7">
        <f t="shared" si="1"/>
        <v>2026</v>
      </c>
      <c r="O1489" s="7" t="str">
        <f t="shared" si="2"/>
        <v>marzo</v>
      </c>
      <c r="P1489" s="7" t="s">
        <v>7084</v>
      </c>
    </row>
    <row r="1490">
      <c r="A1490" s="19">
        <f>'Respuestas de formulario 1'!A1490</f>
        <v>46092.69646</v>
      </c>
      <c r="B1490" s="7" t="str">
        <f>'Respuestas de formulario 1'!B1490</f>
        <v>Fenoglio </v>
      </c>
      <c r="C1490" s="7" t="str">
        <f>'Respuestas de formulario 1'!C1490</f>
        <v>Jesica Muriel</v>
      </c>
      <c r="D1490" s="7" t="str">
        <f>'Respuestas de formulario 1'!D1490</f>
        <v>Jesicafenoglio@gmail.com</v>
      </c>
      <c r="E1490" s="20">
        <f>'Respuestas de formulario 1'!E1490</f>
        <v>32687</v>
      </c>
      <c r="F1490" s="7">
        <f>'Respuestas de formulario 1'!F1490</f>
        <v>34345600</v>
      </c>
      <c r="G1490" s="7" t="str">
        <f>IFERROR(__xludf.DUMMYFUNCTION("IF('Respuestas de formulario 1'!G1490="""","""",IF(LEFT(REGEXREPLACE(TO_TEXT('Respuestas de formulario 1'!G1490),""[^0-9]"",""""),2)=""54"",""+""&amp;REGEXREPLACE(TO_TEXT('Respuestas de formulario 1'!G1490),""[^0-9]"",""""),""+54""&amp;REGEXREPLACE(TO_TEXT('Respu"&amp;"estas de formulario 1'!G1490),""[^0-9]"","""")))"),"+543513793456")</f>
        <v>+543513793456</v>
      </c>
      <c r="H1490" s="7" t="str">
        <f>'Respuestas de formulario 1'!S1490</f>
        <v/>
      </c>
      <c r="I1490" s="7" t="str">
        <f>IFERROR(__xludf.DUMMYFUNCTION("IF('Respuestas de formulario 1'!I1490="""","""",TO_TEXT('Respuestas de formulario 1'!I1490))"),"Obra social")</f>
        <v>Obra social</v>
      </c>
      <c r="J1490" s="7" t="str">
        <f>IFERROR(__xludf.DUMMYFUNCTION("IF('Respuestas de formulario 1'!J1490&lt;&gt;"""",UPPER(TRIM(TO_TEXT('Respuestas de formulario 1'!J1490))),IF('Respuestas de formulario 1'!O1490&lt;&gt;"""",UPPER(TRIM(TO_TEXT('Respuestas de formulario 1'!O1490))),""""))"),"APROSS")</f>
        <v>APROSS</v>
      </c>
      <c r="K1490" s="7" t="str">
        <f>IFERROR(__xludf.DUMMYFUNCTION("IF('Respuestas de formulario 1'!K1490="""","""",TO_TEXT('Respuestas de formulario 1'!K1490))"),"No")</f>
        <v>No</v>
      </c>
      <c r="L1490" s="7" t="str">
        <f>IFERROR(__xludf.DUMMYFUNCTION("IF('Respuestas de formulario 1'!L1490="""","""",TO_TEXT('Respuestas de formulario 1'!L1490))"),"")</f>
        <v/>
      </c>
      <c r="M1490" s="7" t="str">
        <f>IFERROR(__xludf.DUMMYFUNCTION("IF('Respuestas de formulario 1'!M1490="""","""",TO_TEXT('Respuestas de formulario 1'!M1490))"),"")</f>
        <v/>
      </c>
      <c r="N1490" s="7">
        <f t="shared" si="1"/>
        <v>2026</v>
      </c>
      <c r="O1490" s="7" t="str">
        <f t="shared" si="2"/>
        <v>marzo</v>
      </c>
      <c r="P1490" s="7" t="s">
        <v>7086</v>
      </c>
    </row>
    <row r="1491">
      <c r="A1491" s="19">
        <f>'Respuestas de formulario 1'!A1491</f>
        <v>46092.71588</v>
      </c>
      <c r="B1491" s="7" t="str">
        <f>'Respuestas de formulario 1'!B1491</f>
        <v>Schroeder</v>
      </c>
      <c r="C1491" s="7" t="str">
        <f>'Respuestas de formulario 1'!C1491</f>
        <v>Valeria</v>
      </c>
      <c r="D1491" s="7" t="str">
        <f>'Respuestas de formulario 1'!D1491</f>
        <v>valita55ar@yahoo.com.ar</v>
      </c>
      <c r="E1491" s="20">
        <f>'Respuestas de formulario 1'!E1491</f>
        <v>28342</v>
      </c>
      <c r="F1491" s="7">
        <f>'Respuestas de formulario 1'!F1491</f>
        <v>18777513</v>
      </c>
      <c r="G1491" s="7" t="str">
        <f>IFERROR(__xludf.DUMMYFUNCTION("IF('Respuestas de formulario 1'!G1491="""","""",IF(LEFT(REGEXREPLACE(TO_TEXT('Respuestas de formulario 1'!G1491),""[^0-9]"",""""),2)=""54"",""+""&amp;REGEXREPLACE(TO_TEXT('Respuestas de formulario 1'!G1491),""[^0-9]"",""""),""+54""&amp;REGEXREPLACE(TO_TEXT('Respu"&amp;"estas de formulario 1'!G1491),""[^0-9]"","""")))"),"+543516204567")</f>
        <v>+543516204567</v>
      </c>
      <c r="H1491" s="7" t="str">
        <f>'Respuestas de formulario 1'!S1491</f>
        <v/>
      </c>
      <c r="I1491" s="7" t="str">
        <f>IFERROR(__xludf.DUMMYFUNCTION("IF('Respuestas de formulario 1'!I1491="""","""",TO_TEXT('Respuestas de formulario 1'!I1491))"),"Obra social")</f>
        <v>Obra social</v>
      </c>
      <c r="J1491" s="7" t="str">
        <f>IFERROR(__xludf.DUMMYFUNCTION("IF('Respuestas de formulario 1'!J1491&lt;&gt;"""",UPPER(TRIM(TO_TEXT('Respuestas de formulario 1'!J1491))),IF('Respuestas de formulario 1'!O1491&lt;&gt;"""",UPPER(TRIM(TO_TEXT('Respuestas de formulario 1'!O1491))),""""))"),"MEDIFE")</f>
        <v>MEDIFE</v>
      </c>
      <c r="K1491" s="7" t="str">
        <f>IFERROR(__xludf.DUMMYFUNCTION("IF('Respuestas de formulario 1'!K1491="""","""",TO_TEXT('Respuestas de formulario 1'!K1491))"),"Si")</f>
        <v>Si</v>
      </c>
      <c r="L1491" s="7" t="str">
        <f>IFERROR(__xludf.DUMMYFUNCTION("IF('Respuestas de formulario 1'!L1491="""","""",TO_TEXT('Respuestas de formulario 1'!L1491))"),"Gimnasio")</f>
        <v>Gimnasio</v>
      </c>
      <c r="M1491" s="7" t="str">
        <f>IFERROR(__xludf.DUMMYFUNCTION("IF('Respuestas de formulario 1'!M1491="""","""",TO_TEXT('Respuestas de formulario 1'!M1491))"),"3 a 5 veces por semana")</f>
        <v>3 a 5 veces por semana</v>
      </c>
      <c r="N1491" s="7">
        <f t="shared" si="1"/>
        <v>2026</v>
      </c>
      <c r="O1491" s="7" t="str">
        <f t="shared" si="2"/>
        <v>marzo</v>
      </c>
      <c r="P1491" s="7" t="s">
        <v>7088</v>
      </c>
    </row>
    <row r="1492">
      <c r="A1492" s="19">
        <f>'Respuestas de formulario 1'!A1492</f>
        <v>46092.82257</v>
      </c>
      <c r="B1492" s="7" t="str">
        <f>'Respuestas de formulario 1'!B1492</f>
        <v>Madoery</v>
      </c>
      <c r="C1492" s="7" t="str">
        <f>'Respuestas de formulario 1'!C1492</f>
        <v>Federico</v>
      </c>
      <c r="D1492" s="7" t="str">
        <f>'Respuestas de formulario 1'!D1492</f>
        <v>frmaldovery@gmail.com</v>
      </c>
      <c r="E1492" s="20">
        <f>'Respuestas de formulario 1'!E1492</f>
        <v>18092</v>
      </c>
      <c r="F1492" s="7">
        <f>'Respuestas de formulario 1'!F1492</f>
        <v>5534784</v>
      </c>
      <c r="G1492" s="7" t="str">
        <f>IFERROR(__xludf.DUMMYFUNCTION("IF('Respuestas de formulario 1'!G1492="""","""",IF(LEFT(REGEXREPLACE(TO_TEXT('Respuestas de formulario 1'!G1492),""[^0-9]"",""""),2)=""54"",""+""&amp;REGEXREPLACE(TO_TEXT('Respuestas de formulario 1'!G1492),""[^0-9]"",""""),""+54""&amp;REGEXREPLACE(TO_TEXT('Respu"&amp;"estas de formulario 1'!G1492),""[^0-9]"","""")))"),"+543515052553")</f>
        <v>+543515052553</v>
      </c>
      <c r="H1492" s="7" t="str">
        <f>'Respuestas de formulario 1'!S1492</f>
        <v/>
      </c>
      <c r="I1492" s="7" t="str">
        <f>IFERROR(__xludf.DUMMYFUNCTION("IF('Respuestas de formulario 1'!I1492="""","""",TO_TEXT('Respuestas de formulario 1'!I1492))"),"Obra social")</f>
        <v>Obra social</v>
      </c>
      <c r="J1492" s="7" t="str">
        <f>IFERROR(__xludf.DUMMYFUNCTION("IF('Respuestas de formulario 1'!J1492&lt;&gt;"""",UPPER(TRIM(TO_TEXT('Respuestas de formulario 1'!J1492))),IF('Respuestas de formulario 1'!O1492&lt;&gt;"""",UPPER(TRIM(TO_TEXT('Respuestas de formulario 1'!O1492))),""""))"),"APROSS")</f>
        <v>APROSS</v>
      </c>
      <c r="K1492" s="7" t="str">
        <f>IFERROR(__xludf.DUMMYFUNCTION("IF('Respuestas de formulario 1'!K1492="""","""",TO_TEXT('Respuestas de formulario 1'!K1492))"),"Si")</f>
        <v>Si</v>
      </c>
      <c r="L1492" s="7" t="str">
        <f>IFERROR(__xludf.DUMMYFUNCTION("IF('Respuestas de formulario 1'!L1492="""","""",TO_TEXT('Respuestas de formulario 1'!L1492))"),"Tenis")</f>
        <v>Tenis</v>
      </c>
      <c r="M1492" s="7" t="str">
        <f>IFERROR(__xludf.DUMMYFUNCTION("IF('Respuestas de formulario 1'!M1492="""","""",TO_TEXT('Respuestas de formulario 1'!M1492))"),"1 a 2 veces por semana")</f>
        <v>1 a 2 veces por semana</v>
      </c>
      <c r="N1492" s="7">
        <f t="shared" si="1"/>
        <v>2026</v>
      </c>
      <c r="O1492" s="7" t="str">
        <f t="shared" si="2"/>
        <v>marzo</v>
      </c>
      <c r="P1492" s="7" t="s">
        <v>7090</v>
      </c>
    </row>
    <row r="1493">
      <c r="A1493" s="19">
        <f>'Respuestas de formulario 1'!A1493</f>
        <v>46093.44805</v>
      </c>
      <c r="B1493" s="7" t="str">
        <f>'Respuestas de formulario 1'!B1493</f>
        <v>BAZAN</v>
      </c>
      <c r="C1493" s="7" t="str">
        <f>'Respuestas de formulario 1'!C1493</f>
        <v>Juan Carlos</v>
      </c>
      <c r="D1493" s="7" t="str">
        <f>'Respuestas de formulario 1'!D1493</f>
        <v/>
      </c>
      <c r="E1493" s="20">
        <f>'Respuestas de formulario 1'!E1493</f>
        <v>19934</v>
      </c>
      <c r="F1493" s="7">
        <f>'Respuestas de formulario 1'!F1493</f>
        <v>11188474</v>
      </c>
      <c r="G1493" s="7" t="str">
        <f>IFERROR(__xludf.DUMMYFUNCTION("IF('Respuestas de formulario 1'!G1493="""","""",IF(LEFT(REGEXREPLACE(TO_TEXT('Respuestas de formulario 1'!G1493),""[^0-9]"",""""),2)=""54"",""+""&amp;REGEXREPLACE(TO_TEXT('Respuestas de formulario 1'!G1493),""[^0-9]"",""""),""+54""&amp;REGEXREPLACE(TO_TEXT('Respu"&amp;"estas de formulario 1'!G1493),""[^0-9]"","""")))"),"+543513289569")</f>
        <v>+543513289569</v>
      </c>
      <c r="H1493" s="7" t="str">
        <f>'Respuestas de formulario 1'!S1493</f>
        <v/>
      </c>
      <c r="I1493" s="7" t="str">
        <f>IFERROR(__xludf.DUMMYFUNCTION("IF('Respuestas de formulario 1'!I1493="""","""",TO_TEXT('Respuestas de formulario 1'!I1493))"),"Particular")</f>
        <v>Particular</v>
      </c>
      <c r="J1493" s="7" t="str">
        <f>IFERROR(__xludf.DUMMYFUNCTION("IF('Respuestas de formulario 1'!J1493&lt;&gt;"""",UPPER(TRIM(TO_TEXT('Respuestas de formulario 1'!J1493))),IF('Respuestas de formulario 1'!O1493&lt;&gt;"""",UPPER(TRIM(TO_TEXT('Respuestas de formulario 1'!O1493))),""""))"),"")</f>
        <v/>
      </c>
      <c r="K1493" s="7" t="str">
        <f>IFERROR(__xludf.DUMMYFUNCTION("IF('Respuestas de formulario 1'!K1493="""","""",TO_TEXT('Respuestas de formulario 1'!K1493))"),"No")</f>
        <v>No</v>
      </c>
      <c r="L1493" s="7" t="str">
        <f>IFERROR(__xludf.DUMMYFUNCTION("IF('Respuestas de formulario 1'!L1493="""","""",TO_TEXT('Respuestas de formulario 1'!L1493))"),"")</f>
        <v/>
      </c>
      <c r="M1493" s="7" t="str">
        <f>IFERROR(__xludf.DUMMYFUNCTION("IF('Respuestas de formulario 1'!M1493="""","""",TO_TEXT('Respuestas de formulario 1'!M1493))"),"")</f>
        <v/>
      </c>
      <c r="N1493" s="7">
        <f t="shared" si="1"/>
        <v>2026</v>
      </c>
      <c r="O1493" s="7" t="str">
        <f t="shared" si="2"/>
        <v>marzo</v>
      </c>
      <c r="P1493" s="7" t="s">
        <v>7092</v>
      </c>
    </row>
    <row r="1494">
      <c r="A1494" s="19">
        <f>'Respuestas de formulario 1'!A1494</f>
        <v>46093.47784</v>
      </c>
      <c r="B1494" s="7" t="str">
        <f>'Respuestas de formulario 1'!B1494</f>
        <v>Ottaviani</v>
      </c>
      <c r="C1494" s="7" t="str">
        <f>'Respuestas de formulario 1'!C1494</f>
        <v>Marcela</v>
      </c>
      <c r="D1494" s="7" t="str">
        <f>'Respuestas de formulario 1'!D1494</f>
        <v>ottavianimarce@gmail.com</v>
      </c>
      <c r="E1494" s="20">
        <f>'Respuestas de formulario 1'!E1494</f>
        <v>23983</v>
      </c>
      <c r="F1494" s="7">
        <f>'Respuestas de formulario 1'!F1494</f>
        <v>18176234</v>
      </c>
      <c r="G1494" s="7" t="str">
        <f>IFERROR(__xludf.DUMMYFUNCTION("IF('Respuestas de formulario 1'!G1494="""","""",IF(LEFT(REGEXREPLACE(TO_TEXT('Respuestas de formulario 1'!G1494),""[^0-9]"",""""),2)=""54"",""+""&amp;REGEXREPLACE(TO_TEXT('Respuestas de formulario 1'!G1494),""[^0-9]"",""""),""+54""&amp;REGEXREPLACE(TO_TEXT('Respu"&amp;"estas de formulario 1'!G1494),""[^0-9]"","""")))"),"+543515948982")</f>
        <v>+543515948982</v>
      </c>
      <c r="H1494" s="7" t="str">
        <f>'Respuestas de formulario 1'!S1494</f>
        <v/>
      </c>
      <c r="I1494" s="7" t="str">
        <f>IFERROR(__xludf.DUMMYFUNCTION("IF('Respuestas de formulario 1'!I1494="""","""",TO_TEXT('Respuestas de formulario 1'!I1494))"),"Obra social")</f>
        <v>Obra social</v>
      </c>
      <c r="J1494" s="7" t="str">
        <f>IFERROR(__xludf.DUMMYFUNCTION("IF('Respuestas de formulario 1'!J1494&lt;&gt;"""",UPPER(TRIM(TO_TEXT('Respuestas de formulario 1'!J1494))),IF('Respuestas de formulario 1'!O1494&lt;&gt;"""",UPPER(TRIM(TO_TEXT('Respuestas de formulario 1'!O1494))),""""))"),"MEDIFE")</f>
        <v>MEDIFE</v>
      </c>
      <c r="K1494" s="7" t="str">
        <f>IFERROR(__xludf.DUMMYFUNCTION("IF('Respuestas de formulario 1'!K1494="""","""",TO_TEXT('Respuestas de formulario 1'!K1494))"),"Si")</f>
        <v>Si</v>
      </c>
      <c r="L1494" s="7" t="str">
        <f>IFERROR(__xludf.DUMMYFUNCTION("IF('Respuestas de formulario 1'!L1494="""","""",TO_TEXT('Respuestas de formulario 1'!L1494))"),"Gimnasio")</f>
        <v>Gimnasio</v>
      </c>
      <c r="M1494" s="7" t="str">
        <f>IFERROR(__xludf.DUMMYFUNCTION("IF('Respuestas de formulario 1'!M1494="""","""",TO_TEXT('Respuestas de formulario 1'!M1494))"),"3 a 5 veces por semana")</f>
        <v>3 a 5 veces por semana</v>
      </c>
      <c r="N1494" s="7">
        <f t="shared" si="1"/>
        <v>2026</v>
      </c>
      <c r="O1494" s="7" t="str">
        <f t="shared" si="2"/>
        <v>marzo</v>
      </c>
      <c r="P1494" s="7" t="s">
        <v>7094</v>
      </c>
    </row>
    <row r="1495">
      <c r="A1495" s="19">
        <f>'Respuestas de formulario 1'!A1495</f>
        <v>46093.72622</v>
      </c>
      <c r="B1495" s="7" t="str">
        <f>'Respuestas de formulario 1'!B1495</f>
        <v>Olguin</v>
      </c>
      <c r="C1495" s="7" t="str">
        <f>'Respuestas de formulario 1'!C1495</f>
        <v>Ricardo</v>
      </c>
      <c r="D1495" s="7" t="str">
        <f>'Respuestas de formulario 1'!D1495</f>
        <v>rolguings08@hotmail.com</v>
      </c>
      <c r="E1495" s="20">
        <f>'Respuestas de formulario 1'!E1495</f>
        <v>20270</v>
      </c>
      <c r="F1495" s="7">
        <f>'Respuestas de formulario 1'!F1495</f>
        <v>11748826</v>
      </c>
      <c r="G1495" s="7" t="str">
        <f>IFERROR(__xludf.DUMMYFUNCTION("IF('Respuestas de formulario 1'!G1495="""","""",IF(LEFT(REGEXREPLACE(TO_TEXT('Respuestas de formulario 1'!G1495),""[^0-9]"",""""),2)=""54"",""+""&amp;REGEXREPLACE(TO_TEXT('Respuestas de formulario 1'!G1495),""[^0-9]"",""""),""+54""&amp;REGEXREPLACE(TO_TEXT('Respu"&amp;"estas de formulario 1'!G1495),""[^0-9]"","""")))"),"+543512216193")</f>
        <v>+543512216193</v>
      </c>
      <c r="H1495" s="7" t="str">
        <f>'Respuestas de formulario 1'!S1495</f>
        <v/>
      </c>
      <c r="I1495" s="7" t="str">
        <f>IFERROR(__xludf.DUMMYFUNCTION("IF('Respuestas de formulario 1'!I1495="""","""",TO_TEXT('Respuestas de formulario 1'!I1495))"),"Particular")</f>
        <v>Particular</v>
      </c>
      <c r="J1495" s="7" t="str">
        <f>IFERROR(__xludf.DUMMYFUNCTION("IF('Respuestas de formulario 1'!J1495&lt;&gt;"""",UPPER(TRIM(TO_TEXT('Respuestas de formulario 1'!J1495))),IF('Respuestas de formulario 1'!O1495&lt;&gt;"""",UPPER(TRIM(TO_TEXT('Respuestas de formulario 1'!O1495))),""""))"),"")</f>
        <v/>
      </c>
      <c r="K1495" s="7" t="str">
        <f>IFERROR(__xludf.DUMMYFUNCTION("IF('Respuestas de formulario 1'!K1495="""","""",TO_TEXT('Respuestas de formulario 1'!K1495))"),"No")</f>
        <v>No</v>
      </c>
      <c r="L1495" s="7" t="str">
        <f>IFERROR(__xludf.DUMMYFUNCTION("IF('Respuestas de formulario 1'!L1495="""","""",TO_TEXT('Respuestas de formulario 1'!L1495))"),"")</f>
        <v/>
      </c>
      <c r="M1495" s="7" t="str">
        <f>IFERROR(__xludf.DUMMYFUNCTION("IF('Respuestas de formulario 1'!M1495="""","""",TO_TEXT('Respuestas de formulario 1'!M1495))"),"")</f>
        <v/>
      </c>
      <c r="N1495" s="7">
        <f t="shared" si="1"/>
        <v>2026</v>
      </c>
      <c r="O1495" s="7" t="str">
        <f t="shared" si="2"/>
        <v>marzo</v>
      </c>
      <c r="P1495" s="7" t="s">
        <v>7096</v>
      </c>
    </row>
    <row r="1496">
      <c r="A1496" s="19">
        <f>'Respuestas de formulario 1'!A1496</f>
        <v>46093.78739</v>
      </c>
      <c r="B1496" s="7" t="str">
        <f>'Respuestas de formulario 1'!B1496</f>
        <v>García Aresca</v>
      </c>
      <c r="C1496" s="7" t="str">
        <f>'Respuestas de formulario 1'!C1496</f>
        <v>Juliana</v>
      </c>
      <c r="D1496" s="7" t="str">
        <f>'Respuestas de formulario 1'!D1496</f>
        <v>mjuliana8@hotmail.com</v>
      </c>
      <c r="E1496" s="20">
        <f>'Respuestas de formulario 1'!E1496</f>
        <v>27196</v>
      </c>
      <c r="F1496" s="7">
        <f>'Respuestas de formulario 1'!F1496</f>
        <v>23935261</v>
      </c>
      <c r="G1496" s="7" t="str">
        <f>IFERROR(__xludf.DUMMYFUNCTION("IF('Respuestas de formulario 1'!G1496="""","""",IF(LEFT(REGEXREPLACE(TO_TEXT('Respuestas de formulario 1'!G1496),""[^0-9]"",""""),2)=""54"",""+""&amp;REGEXREPLACE(TO_TEXT('Respuestas de formulario 1'!G1496),""[^0-9]"",""""),""+54""&amp;REGEXREPLACE(TO_TEXT('Respu"&amp;"estas de formulario 1'!G1496),""[^0-9]"","""")))"),"+543516850005")</f>
        <v>+543516850005</v>
      </c>
      <c r="H1496" s="7" t="str">
        <f>'Respuestas de formulario 1'!S1496</f>
        <v/>
      </c>
      <c r="I1496" s="7" t="str">
        <f>IFERROR(__xludf.DUMMYFUNCTION("IF('Respuestas de formulario 1'!I1496="""","""",TO_TEXT('Respuestas de formulario 1'!I1496))"),"Obra social")</f>
        <v>Obra social</v>
      </c>
      <c r="J1496" s="7" t="str">
        <f>IFERROR(__xludf.DUMMYFUNCTION("IF('Respuestas de formulario 1'!J1496&lt;&gt;"""",UPPER(TRIM(TO_TEXT('Respuestas de formulario 1'!J1496))),IF('Respuestas de formulario 1'!O1496&lt;&gt;"""",UPPER(TRIM(TO_TEXT('Respuestas de formulario 1'!O1496))),""""))"),"APROSS")</f>
        <v>APROSS</v>
      </c>
      <c r="K1496" s="7" t="str">
        <f>IFERROR(__xludf.DUMMYFUNCTION("IF('Respuestas de formulario 1'!K1496="""","""",TO_TEXT('Respuestas de formulario 1'!K1496))"),"Si")</f>
        <v>Si</v>
      </c>
      <c r="L1496" s="7" t="str">
        <f>IFERROR(__xludf.DUMMYFUNCTION("IF('Respuestas de formulario 1'!L1496="""","""",TO_TEXT('Respuestas de formulario 1'!L1496))"),"Gimnasio")</f>
        <v>Gimnasio</v>
      </c>
      <c r="M1496" s="7" t="str">
        <f>IFERROR(__xludf.DUMMYFUNCTION("IF('Respuestas de formulario 1'!M1496="""","""",TO_TEXT('Respuestas de formulario 1'!M1496))"),"3 a 5 veces por semana")</f>
        <v>3 a 5 veces por semana</v>
      </c>
      <c r="N1496" s="7">
        <f t="shared" si="1"/>
        <v>2026</v>
      </c>
      <c r="O1496" s="7" t="str">
        <f t="shared" si="2"/>
        <v>marzo</v>
      </c>
      <c r="P1496" s="7" t="s">
        <v>7098</v>
      </c>
    </row>
    <row r="1497">
      <c r="A1497" s="19">
        <f>'Respuestas de formulario 1'!A1497</f>
        <v>46094.49715</v>
      </c>
      <c r="B1497" s="7" t="str">
        <f>'Respuestas de formulario 1'!B1497</f>
        <v>Racca</v>
      </c>
      <c r="C1497" s="7" t="str">
        <f>'Respuestas de formulario 1'!C1497</f>
        <v>Tomas</v>
      </c>
      <c r="D1497" s="7" t="str">
        <f>'Respuestas de formulario 1'!D1497</f>
        <v>tomass.racca@gmail.com</v>
      </c>
      <c r="E1497" s="20">
        <f>'Respuestas de formulario 1'!E1497</f>
        <v>38070</v>
      </c>
      <c r="F1497" s="7">
        <f>'Respuestas de formulario 1'!F1497</f>
        <v>45409360</v>
      </c>
      <c r="G1497" s="7" t="str">
        <f>IFERROR(__xludf.DUMMYFUNCTION("IF('Respuestas de formulario 1'!G1497="""","""",IF(LEFT(REGEXREPLACE(TO_TEXT('Respuestas de formulario 1'!G1497),""[^0-9]"",""""),2)=""54"",""+""&amp;REGEXREPLACE(TO_TEXT('Respuestas de formulario 1'!G1497),""[^0-9]"",""""),""+54""&amp;REGEXREPLACE(TO_TEXT('Respu"&amp;"estas de formulario 1'!G1497),""[^0-9]"","""")))"),"+543512324740")</f>
        <v>+543512324740</v>
      </c>
      <c r="H1497" s="7" t="str">
        <f>'Respuestas de formulario 1'!S1497</f>
        <v/>
      </c>
      <c r="I1497" s="7" t="str">
        <f>IFERROR(__xludf.DUMMYFUNCTION("IF('Respuestas de formulario 1'!I1497="""","""",TO_TEXT('Respuestas de formulario 1'!I1497))"),"Obra social")</f>
        <v>Obra social</v>
      </c>
      <c r="J1497" s="7" t="str">
        <f>IFERROR(__xludf.DUMMYFUNCTION("IF('Respuestas de formulario 1'!J1497&lt;&gt;"""",UPPER(TRIM(TO_TEXT('Respuestas de formulario 1'!J1497))),IF('Respuestas de formulario 1'!O1497&lt;&gt;"""",UPPER(TRIM(TO_TEXT('Respuestas de formulario 1'!O1497))),""""))"),"OSDE")</f>
        <v>OSDE</v>
      </c>
      <c r="K1497" s="7" t="str">
        <f>IFERROR(__xludf.DUMMYFUNCTION("IF('Respuestas de formulario 1'!K1497="""","""",TO_TEXT('Respuestas de formulario 1'!K1497))"),"Si")</f>
        <v>Si</v>
      </c>
      <c r="L1497" s="7" t="str">
        <f>IFERROR(__xludf.DUMMYFUNCTION("IF('Respuestas de formulario 1'!L1497="""","""",TO_TEXT('Respuestas de formulario 1'!L1497))"),"Rugby")</f>
        <v>Rugby</v>
      </c>
      <c r="M1497" s="7" t="str">
        <f>IFERROR(__xludf.DUMMYFUNCTION("IF('Respuestas de formulario 1'!M1497="""","""",TO_TEXT('Respuestas de formulario 1'!M1497))"),"1 a 2 veces por semana")</f>
        <v>1 a 2 veces por semana</v>
      </c>
      <c r="N1497" s="7">
        <f t="shared" si="1"/>
        <v>2026</v>
      </c>
      <c r="O1497" s="7" t="str">
        <f t="shared" si="2"/>
        <v>marzo</v>
      </c>
      <c r="P1497" s="7" t="s">
        <v>7100</v>
      </c>
    </row>
    <row r="1498">
      <c r="A1498" s="19">
        <f>'Respuestas de formulario 1'!A1498</f>
        <v>46097.45182</v>
      </c>
      <c r="B1498" s="7" t="str">
        <f>'Respuestas de formulario 1'!B1498</f>
        <v>Villalba </v>
      </c>
      <c r="C1498" s="7" t="str">
        <f>'Respuestas de formulario 1'!C1498</f>
        <v>Aida Hortensia </v>
      </c>
      <c r="D1498" s="7" t="str">
        <f>'Respuestas de formulario 1'!D1498</f>
        <v>mararitavelazquez@gmail.com</v>
      </c>
      <c r="E1498" s="20">
        <f>'Respuestas de formulario 1'!E1498</f>
        <v>18768</v>
      </c>
      <c r="F1498" s="7">
        <f>'Respuestas de formulario 1'!F1498</f>
        <v>6680299</v>
      </c>
      <c r="G1498" s="7" t="str">
        <f>IFERROR(__xludf.DUMMYFUNCTION("IF('Respuestas de formulario 1'!G1498="""","""",IF(LEFT(REGEXREPLACE(TO_TEXT('Respuestas de formulario 1'!G1498),""[^0-9]"",""""),2)=""54"",""+""&amp;REGEXREPLACE(TO_TEXT('Respuestas de formulario 1'!G1498),""[^0-9]"",""""),""+54""&amp;REGEXREPLACE(TO_TEXT('Respu"&amp;"estas de formulario 1'!G1498),""[^0-9]"","""")))"),"+543516064044")</f>
        <v>+543516064044</v>
      </c>
      <c r="H1498" s="7" t="str">
        <f>'Respuestas de formulario 1'!S1498</f>
        <v/>
      </c>
      <c r="I1498" s="7" t="str">
        <f>IFERROR(__xludf.DUMMYFUNCTION("IF('Respuestas de formulario 1'!I1498="""","""",TO_TEXT('Respuestas de formulario 1'!I1498))"),"Particular")</f>
        <v>Particular</v>
      </c>
      <c r="J1498" s="7" t="str">
        <f>IFERROR(__xludf.DUMMYFUNCTION("IF('Respuestas de formulario 1'!J1498&lt;&gt;"""",UPPER(TRIM(TO_TEXT('Respuestas de formulario 1'!J1498))),IF('Respuestas de formulario 1'!O1498&lt;&gt;"""",UPPER(TRIM(TO_TEXT('Respuestas de formulario 1'!O1498))),""""))"),"")</f>
        <v/>
      </c>
      <c r="K1498" s="7" t="str">
        <f>IFERROR(__xludf.DUMMYFUNCTION("IF('Respuestas de formulario 1'!K1498="""","""",TO_TEXT('Respuestas de formulario 1'!K1498))"),"Si")</f>
        <v>Si</v>
      </c>
      <c r="L1498" s="7" t="str">
        <f>IFERROR(__xludf.DUMMYFUNCTION("IF('Respuestas de formulario 1'!L1498="""","""",TO_TEXT('Respuestas de formulario 1'!L1498))"),"Natación ")</f>
        <v>Natación </v>
      </c>
      <c r="M1498" s="7" t="str">
        <f>IFERROR(__xludf.DUMMYFUNCTION("IF('Respuestas de formulario 1'!M1498="""","""",TO_TEXT('Respuestas de formulario 1'!M1498))"),"1 a 2 veces por semana")</f>
        <v>1 a 2 veces por semana</v>
      </c>
      <c r="N1498" s="7">
        <f t="shared" si="1"/>
        <v>2026</v>
      </c>
      <c r="O1498" s="7" t="str">
        <f t="shared" si="2"/>
        <v>marzo</v>
      </c>
      <c r="P1498" s="7" t="s">
        <v>7102</v>
      </c>
    </row>
    <row r="1499">
      <c r="A1499" s="19">
        <f>'Respuestas de formulario 1'!A1499</f>
        <v>46097.45999</v>
      </c>
      <c r="B1499" s="7" t="str">
        <f>'Respuestas de formulario 1'!B1499</f>
        <v>Villalba</v>
      </c>
      <c r="C1499" s="7" t="str">
        <f>'Respuestas de formulario 1'!C1499</f>
        <v>Aida Hortensia</v>
      </c>
      <c r="D1499" s="7" t="str">
        <f>'Respuestas de formulario 1'!D1499</f>
        <v>darobravi@gmail.com</v>
      </c>
      <c r="E1499" s="20">
        <f>'Respuestas de formulario 1'!E1499</f>
        <v>18768</v>
      </c>
      <c r="F1499" s="7">
        <f>'Respuestas de formulario 1'!F1499</f>
        <v>33381435</v>
      </c>
      <c r="G1499" s="7" t="str">
        <f>IFERROR(__xludf.DUMMYFUNCTION("IF('Respuestas de formulario 1'!G1499="""","""",IF(LEFT(REGEXREPLACE(TO_TEXT('Respuestas de formulario 1'!G1499),""[^0-9]"",""""),2)=""54"",""+""&amp;REGEXREPLACE(TO_TEXT('Respuestas de formulario 1'!G1499),""[^0-9]"",""""),""+54""&amp;REGEXREPLACE(TO_TEXT('Respu"&amp;"estas de formulario 1'!G1499),""[^0-9]"","""")))"),"+543516064044")</f>
        <v>+543516064044</v>
      </c>
      <c r="H1499" s="7" t="str">
        <f>'Respuestas de formulario 1'!S1499</f>
        <v/>
      </c>
      <c r="I1499" s="7" t="str">
        <f>IFERROR(__xludf.DUMMYFUNCTION("IF('Respuestas de formulario 1'!I1499="""","""",TO_TEXT('Respuestas de formulario 1'!I1499))"),"Particular")</f>
        <v>Particular</v>
      </c>
      <c r="J1499" s="7" t="str">
        <f>IFERROR(__xludf.DUMMYFUNCTION("IF('Respuestas de formulario 1'!J1499&lt;&gt;"""",UPPER(TRIM(TO_TEXT('Respuestas de formulario 1'!J1499))),IF('Respuestas de formulario 1'!O1499&lt;&gt;"""",UPPER(TRIM(TO_TEXT('Respuestas de formulario 1'!O1499))),""""))"),"")</f>
        <v/>
      </c>
      <c r="K1499" s="7" t="str">
        <f>IFERROR(__xludf.DUMMYFUNCTION("IF('Respuestas de formulario 1'!K1499="""","""",TO_TEXT('Respuestas de formulario 1'!K1499))"),"Si")</f>
        <v>Si</v>
      </c>
      <c r="L1499" s="7" t="str">
        <f>IFERROR(__xludf.DUMMYFUNCTION("IF('Respuestas de formulario 1'!L1499="""","""",TO_TEXT('Respuestas de formulario 1'!L1499))"),"Pileta")</f>
        <v>Pileta</v>
      </c>
      <c r="M1499" s="7" t="str">
        <f>IFERROR(__xludf.DUMMYFUNCTION("IF('Respuestas de formulario 1'!M1499="""","""",TO_TEXT('Respuestas de formulario 1'!M1499))"),"1 a 2 veces por semana")</f>
        <v>1 a 2 veces por semana</v>
      </c>
      <c r="N1499" s="7">
        <f t="shared" si="1"/>
        <v>2026</v>
      </c>
      <c r="O1499" s="7" t="str">
        <f t="shared" si="2"/>
        <v>marzo</v>
      </c>
      <c r="P1499" s="7" t="s">
        <v>7104</v>
      </c>
    </row>
    <row r="1500">
      <c r="A1500" s="19">
        <f>'Respuestas de formulario 1'!A1500</f>
        <v>46097.64108</v>
      </c>
      <c r="B1500" s="7" t="str">
        <f>'Respuestas de formulario 1'!B1500</f>
        <v>Lascano</v>
      </c>
      <c r="C1500" s="7" t="str">
        <f>'Respuestas de formulario 1'!C1500</f>
        <v>Raul</v>
      </c>
      <c r="D1500" s="7" t="str">
        <f>'Respuestas de formulario 1'!D1500</f>
        <v>Rmlascano@gmail.com</v>
      </c>
      <c r="E1500" s="20">
        <f>'Respuestas de formulario 1'!E1500</f>
        <v>20159</v>
      </c>
      <c r="F1500" s="7">
        <f>'Respuestas de formulario 1'!F1500</f>
        <v>11558008</v>
      </c>
      <c r="G1500" s="7" t="str">
        <f>IFERROR(__xludf.DUMMYFUNCTION("IF('Respuestas de formulario 1'!G1500="""","""",IF(LEFT(REGEXREPLACE(TO_TEXT('Respuestas de formulario 1'!G1500),""[^0-9]"",""""),2)=""54"",""+""&amp;REGEXREPLACE(TO_TEXT('Respuestas de formulario 1'!G1500),""[^0-9]"",""""),""+54""&amp;REGEXREPLACE(TO_TEXT('Respu"&amp;"estas de formulario 1'!G1500),""[^0-9]"","""")))"),"+543515911900")</f>
        <v>+543515911900</v>
      </c>
      <c r="H1500" s="7" t="str">
        <f>'Respuestas de formulario 1'!S1500</f>
        <v/>
      </c>
      <c r="I1500" s="7" t="str">
        <f>IFERROR(__xludf.DUMMYFUNCTION("IF('Respuestas de formulario 1'!I1500="""","""",TO_TEXT('Respuestas de formulario 1'!I1500))"),"Particular")</f>
        <v>Particular</v>
      </c>
      <c r="J1500" s="7" t="str">
        <f>IFERROR(__xludf.DUMMYFUNCTION("IF('Respuestas de formulario 1'!J1500&lt;&gt;"""",UPPER(TRIM(TO_TEXT('Respuestas de formulario 1'!J1500))),IF('Respuestas de formulario 1'!O1500&lt;&gt;"""",UPPER(TRIM(TO_TEXT('Respuestas de formulario 1'!O1500))),""""))"),"")</f>
        <v/>
      </c>
      <c r="K1500" s="7" t="str">
        <f>IFERROR(__xludf.DUMMYFUNCTION("IF('Respuestas de formulario 1'!K1500="""","""",TO_TEXT('Respuestas de formulario 1'!K1500))"),"No")</f>
        <v>No</v>
      </c>
      <c r="L1500" s="7" t="str">
        <f>IFERROR(__xludf.DUMMYFUNCTION("IF('Respuestas de formulario 1'!L1500="""","""",TO_TEXT('Respuestas de formulario 1'!L1500))"),"")</f>
        <v/>
      </c>
      <c r="M1500" s="7" t="str">
        <f>IFERROR(__xludf.DUMMYFUNCTION("IF('Respuestas de formulario 1'!M1500="""","""",TO_TEXT('Respuestas de formulario 1'!M1500))"),"")</f>
        <v/>
      </c>
      <c r="N1500" s="7">
        <f t="shared" si="1"/>
        <v>2026</v>
      </c>
      <c r="O1500" s="7" t="str">
        <f t="shared" si="2"/>
        <v>marzo</v>
      </c>
      <c r="P1500" s="7" t="s">
        <v>7105</v>
      </c>
    </row>
    <row r="1501">
      <c r="A1501" s="19">
        <f>'Respuestas de formulario 1'!A1501</f>
        <v>46097.85609</v>
      </c>
      <c r="B1501" s="7" t="str">
        <f>'Respuestas de formulario 1'!B1501</f>
        <v>Palacios </v>
      </c>
      <c r="C1501" s="7" t="str">
        <f>'Respuestas de formulario 1'!C1501</f>
        <v>Sandra </v>
      </c>
      <c r="D1501" s="7" t="str">
        <f>'Respuestas de formulario 1'!D1501</f>
        <v>Sandrapalacios2009@hotmail.com</v>
      </c>
      <c r="E1501" s="20">
        <f>'Respuestas de formulario 1'!E1501</f>
        <v>23896</v>
      </c>
      <c r="F1501" s="7">
        <f>'Respuestas de formulario 1'!F1501</f>
        <v>18329936</v>
      </c>
      <c r="G1501" s="7" t="str">
        <f>IFERROR(__xludf.DUMMYFUNCTION("IF('Respuestas de formulario 1'!G1501="""","""",IF(LEFT(REGEXREPLACE(TO_TEXT('Respuestas de formulario 1'!G1501),""[^0-9]"",""""),2)=""54"",""+""&amp;REGEXREPLACE(TO_TEXT('Respuestas de formulario 1'!G1501),""[^0-9]"",""""),""+54""&amp;REGEXREPLACE(TO_TEXT('Respu"&amp;"estas de formulario 1'!G1501),""[^0-9]"","""")))"),"+543518058246")</f>
        <v>+543518058246</v>
      </c>
      <c r="H1501" s="7" t="str">
        <f>'Respuestas de formulario 1'!S1501</f>
        <v/>
      </c>
      <c r="I1501" s="7" t="str">
        <f>IFERROR(__xludf.DUMMYFUNCTION("IF('Respuestas de formulario 1'!I1501="""","""",TO_TEXT('Respuestas de formulario 1'!I1501))"),"Obra social")</f>
        <v>Obra social</v>
      </c>
      <c r="J1501" s="7" t="str">
        <f>IFERROR(__xludf.DUMMYFUNCTION("IF('Respuestas de formulario 1'!J1501&lt;&gt;"""",UPPER(TRIM(TO_TEXT('Respuestas de formulario 1'!J1501))),IF('Respuestas de formulario 1'!O1501&lt;&gt;"""",UPPER(TRIM(TO_TEXT('Respuestas de formulario 1'!O1501))),""""))"),"APROSS")</f>
        <v>APROSS</v>
      </c>
      <c r="K1501" s="7" t="str">
        <f>IFERROR(__xludf.DUMMYFUNCTION("IF('Respuestas de formulario 1'!K1501="""","""",TO_TEXT('Respuestas de formulario 1'!K1501))"),"Si")</f>
        <v>Si</v>
      </c>
      <c r="L1501" s="7" t="str">
        <f>IFERROR(__xludf.DUMMYFUNCTION("IF('Respuestas de formulario 1'!L1501="""","""",TO_TEXT('Respuestas de formulario 1'!L1501))"),"Aquagym")</f>
        <v>Aquagym</v>
      </c>
      <c r="M1501" s="7" t="str">
        <f>IFERROR(__xludf.DUMMYFUNCTION("IF('Respuestas de formulario 1'!M1501="""","""",TO_TEXT('Respuestas de formulario 1'!M1501))"),"3 a 5 veces por semana")</f>
        <v>3 a 5 veces por semana</v>
      </c>
      <c r="N1501" s="7">
        <f t="shared" si="1"/>
        <v>2026</v>
      </c>
      <c r="O1501" s="7" t="str">
        <f t="shared" si="2"/>
        <v>marzo</v>
      </c>
      <c r="P1501" s="7" t="s">
        <v>7107</v>
      </c>
    </row>
    <row r="1502">
      <c r="A1502" s="19">
        <f>'Respuestas de formulario 1'!A1502</f>
        <v>46098.45635</v>
      </c>
      <c r="B1502" s="7" t="str">
        <f>'Respuestas de formulario 1'!B1502</f>
        <v>Fantini</v>
      </c>
      <c r="C1502" s="7" t="str">
        <f>'Respuestas de formulario 1'!C1502</f>
        <v>Joaquin </v>
      </c>
      <c r="D1502" s="7" t="str">
        <f>'Respuestas de formulario 1'!D1502</f>
        <v>tinfantini@gmail.com</v>
      </c>
      <c r="E1502" s="20">
        <f>'Respuestas de formulario 1'!E1502</f>
        <v>38477</v>
      </c>
      <c r="F1502" s="7">
        <f>'Respuestas de formulario 1'!F1502</f>
        <v>46452257</v>
      </c>
      <c r="G1502" s="7" t="str">
        <f>IFERROR(__xludf.DUMMYFUNCTION("IF('Respuestas de formulario 1'!G1502="""","""",IF(LEFT(REGEXREPLACE(TO_TEXT('Respuestas de formulario 1'!G1502),""[^0-9]"",""""),2)=""54"",""+""&amp;REGEXREPLACE(TO_TEXT('Respuestas de formulario 1'!G1502),""[^0-9]"",""""),""+54""&amp;REGEXREPLACE(TO_TEXT('Respu"&amp;"estas de formulario 1'!G1502),""[^0-9]"","""")))"),"+543513250822")</f>
        <v>+543513250822</v>
      </c>
      <c r="H1502" s="7" t="str">
        <f>'Respuestas de formulario 1'!S1502</f>
        <v/>
      </c>
      <c r="I1502" s="7" t="str">
        <f>IFERROR(__xludf.DUMMYFUNCTION("IF('Respuestas de formulario 1'!I1502="""","""",TO_TEXT('Respuestas de formulario 1'!I1502))"),"Obra social")</f>
        <v>Obra social</v>
      </c>
      <c r="J1502" s="7" t="str">
        <f>IFERROR(__xludf.DUMMYFUNCTION("IF('Respuestas de formulario 1'!J1502&lt;&gt;"""",UPPER(TRIM(TO_TEXT('Respuestas de formulario 1'!J1502))),IF('Respuestas de formulario 1'!O1502&lt;&gt;"""",UPPER(TRIM(TO_TEXT('Respuestas de formulario 1'!O1502))),""""))"),"APROSS")</f>
        <v>APROSS</v>
      </c>
      <c r="K1502" s="7" t="str">
        <f>IFERROR(__xludf.DUMMYFUNCTION("IF('Respuestas de formulario 1'!K1502="""","""",TO_TEXT('Respuestas de formulario 1'!K1502))"),"Si")</f>
        <v>Si</v>
      </c>
      <c r="L1502" s="7" t="str">
        <f>IFERROR(__xludf.DUMMYFUNCTION("IF('Respuestas de formulario 1'!L1502="""","""",TO_TEXT('Respuestas de formulario 1'!L1502))"),"Fútbol")</f>
        <v>Fútbol</v>
      </c>
      <c r="M1502" s="7" t="str">
        <f>IFERROR(__xludf.DUMMYFUNCTION("IF('Respuestas de formulario 1'!M1502="""","""",TO_TEXT('Respuestas de formulario 1'!M1502))"),"3 a 5 veces por semana")</f>
        <v>3 a 5 veces por semana</v>
      </c>
      <c r="N1502" s="7">
        <f t="shared" si="1"/>
        <v>2026</v>
      </c>
      <c r="O1502" s="7" t="str">
        <f t="shared" si="2"/>
        <v>marzo</v>
      </c>
      <c r="P1502" s="7" t="s">
        <v>7109</v>
      </c>
    </row>
    <row r="1503">
      <c r="A1503" s="19">
        <f>'Respuestas de formulario 1'!A1503</f>
        <v>46098.53199</v>
      </c>
      <c r="B1503" s="7" t="str">
        <f>'Respuestas de formulario 1'!B1503</f>
        <v>Puricelli </v>
      </c>
      <c r="C1503" s="7" t="str">
        <f>'Respuestas de formulario 1'!C1503</f>
        <v>Cesar Ivan </v>
      </c>
      <c r="D1503" s="7" t="str">
        <f>'Respuestas de formulario 1'!D1503</f>
        <v>pypdesinfecciones@gmail.com</v>
      </c>
      <c r="E1503" s="20">
        <f>'Respuestas de formulario 1'!E1503</f>
        <v>30098</v>
      </c>
      <c r="F1503" s="7">
        <f>'Respuestas de formulario 1'!F1503</f>
        <v>29402494</v>
      </c>
      <c r="G1503" s="7" t="str">
        <f>IFERROR(__xludf.DUMMYFUNCTION("IF('Respuestas de formulario 1'!G1503="""","""",IF(LEFT(REGEXREPLACE(TO_TEXT('Respuestas de formulario 1'!G1503),""[^0-9]"",""""),2)=""54"",""+""&amp;REGEXREPLACE(TO_TEXT('Respuestas de formulario 1'!G1503),""[^0-9]"",""""),""+54""&amp;REGEXREPLACE(TO_TEXT('Respu"&amp;"estas de formulario 1'!G1503),""[^0-9]"","""")))"),"+543516864279")</f>
        <v>+543516864279</v>
      </c>
      <c r="H1503" s="7" t="str">
        <f>'Respuestas de formulario 1'!S1503</f>
        <v/>
      </c>
      <c r="I1503" s="7" t="str">
        <f>IFERROR(__xludf.DUMMYFUNCTION("IF('Respuestas de formulario 1'!I1503="""","""",TO_TEXT('Respuestas de formulario 1'!I1503))"),"Particular")</f>
        <v>Particular</v>
      </c>
      <c r="J1503" s="7" t="str">
        <f>IFERROR(__xludf.DUMMYFUNCTION("IF('Respuestas de formulario 1'!J1503&lt;&gt;"""",UPPER(TRIM(TO_TEXT('Respuestas de formulario 1'!J1503))),IF('Respuestas de formulario 1'!O1503&lt;&gt;"""",UPPER(TRIM(TO_TEXT('Respuestas de formulario 1'!O1503))),""""))"),"")</f>
        <v/>
      </c>
      <c r="K1503" s="7" t="str">
        <f>IFERROR(__xludf.DUMMYFUNCTION("IF('Respuestas de formulario 1'!K1503="""","""",TO_TEXT('Respuestas de formulario 1'!K1503))"),"Si")</f>
        <v>Si</v>
      </c>
      <c r="L1503" s="7" t="str">
        <f>IFERROR(__xludf.DUMMYFUNCTION("IF('Respuestas de formulario 1'!L1503="""","""",TO_TEXT('Respuestas de formulario 1'!L1503))"),"Fútbol")</f>
        <v>Fútbol</v>
      </c>
      <c r="M1503" s="7" t="str">
        <f>IFERROR(__xludf.DUMMYFUNCTION("IF('Respuestas de formulario 1'!M1503="""","""",TO_TEXT('Respuestas de formulario 1'!M1503))"),"1 a 2 veces por semana")</f>
        <v>1 a 2 veces por semana</v>
      </c>
      <c r="N1503" s="7">
        <f t="shared" si="1"/>
        <v>2026</v>
      </c>
      <c r="O1503" s="7" t="str">
        <f t="shared" si="2"/>
        <v>marzo</v>
      </c>
      <c r="P1503" s="7" t="s">
        <v>7111</v>
      </c>
    </row>
    <row r="1504">
      <c r="A1504" s="19">
        <f>'Respuestas de formulario 1'!A1504</f>
        <v>46098.7614</v>
      </c>
      <c r="B1504" s="7" t="str">
        <f>'Respuestas de formulario 1'!B1504</f>
        <v>ALZATE</v>
      </c>
      <c r="C1504" s="7" t="str">
        <f>'Respuestas de formulario 1'!C1504</f>
        <v>Laura</v>
      </c>
      <c r="D1504" s="7" t="str">
        <f>'Respuestas de formulario 1'!D1504</f>
        <v/>
      </c>
      <c r="E1504" s="20">
        <f>'Respuestas de formulario 1'!E1504</f>
        <v>40194</v>
      </c>
      <c r="F1504" s="7">
        <f>'Respuestas de formulario 1'!F1504</f>
        <v>96464205</v>
      </c>
      <c r="G1504" s="7" t="str">
        <f>IFERROR(__xludf.DUMMYFUNCTION("IF('Respuestas de formulario 1'!G1504="""","""",IF(LEFT(REGEXREPLACE(TO_TEXT('Respuestas de formulario 1'!G1504),""[^0-9]"",""""),2)=""54"",""+""&amp;REGEXREPLACE(TO_TEXT('Respuestas de formulario 1'!G1504),""[^0-9]"",""""),""+54""&amp;REGEXREPLACE(TO_TEXT('Respu"&amp;"estas de formulario 1'!G1504),""[^0-9]"","""")))"),"+541171897196")</f>
        <v>+541171897196</v>
      </c>
      <c r="H1504" s="7" t="str">
        <f>'Respuestas de formulario 1'!S1504</f>
        <v/>
      </c>
      <c r="I1504" s="7" t="str">
        <f>IFERROR(__xludf.DUMMYFUNCTION("IF('Respuestas de formulario 1'!I1504="""","""",TO_TEXT('Respuestas de formulario 1'!I1504))"),"Particular")</f>
        <v>Particular</v>
      </c>
      <c r="J1504" s="7" t="str">
        <f>IFERROR(__xludf.DUMMYFUNCTION("IF('Respuestas de formulario 1'!J1504&lt;&gt;"""",UPPER(TRIM(TO_TEXT('Respuestas de formulario 1'!J1504))),IF('Respuestas de formulario 1'!O1504&lt;&gt;"""",UPPER(TRIM(TO_TEXT('Respuestas de formulario 1'!O1504))),""""))"),"")</f>
        <v/>
      </c>
      <c r="K1504" s="7" t="str">
        <f>IFERROR(__xludf.DUMMYFUNCTION("IF('Respuestas de formulario 1'!K1504="""","""",TO_TEXT('Respuestas de formulario 1'!K1504))"),"Si")</f>
        <v>Si</v>
      </c>
      <c r="L1504" s="7" t="str">
        <f>IFERROR(__xludf.DUMMYFUNCTION("IF('Respuestas de formulario 1'!L1504="""","""",TO_TEXT('Respuestas de formulario 1'!L1504))"),"Baile")</f>
        <v>Baile</v>
      </c>
      <c r="M1504" s="7" t="str">
        <f>IFERROR(__xludf.DUMMYFUNCTION("IF('Respuestas de formulario 1'!M1504="""","""",TO_TEXT('Respuestas de formulario 1'!M1504))"),"6 a 7 veces por semana")</f>
        <v>6 a 7 veces por semana</v>
      </c>
      <c r="N1504" s="7">
        <f t="shared" si="1"/>
        <v>2026</v>
      </c>
      <c r="O1504" s="7" t="str">
        <f t="shared" si="2"/>
        <v>marzo</v>
      </c>
      <c r="P1504" s="7" t="s">
        <v>7113</v>
      </c>
    </row>
    <row r="1505">
      <c r="A1505" s="19">
        <f>'Respuestas de formulario 1'!A1505</f>
        <v>46099.40749</v>
      </c>
      <c r="B1505" s="7" t="str">
        <f>'Respuestas de formulario 1'!B1505</f>
        <v>DANGELO</v>
      </c>
      <c r="C1505" s="7" t="str">
        <f>'Respuestas de formulario 1'!C1505</f>
        <v>Peter</v>
      </c>
      <c r="D1505" s="7" t="str">
        <f>'Respuestas de formulario 1'!D1505</f>
        <v>peter.dangelo0@gmail.com</v>
      </c>
      <c r="E1505" s="20">
        <f>'Respuestas de formulario 1'!E1505</f>
        <v>20320</v>
      </c>
      <c r="F1505" s="7">
        <f>'Respuestas de formulario 1'!F1505</f>
        <v>11865742</v>
      </c>
      <c r="G1505" s="7" t="str">
        <f>IFERROR(__xludf.DUMMYFUNCTION("IF('Respuestas de formulario 1'!G1505="""","""",IF(LEFT(REGEXREPLACE(TO_TEXT('Respuestas de formulario 1'!G1505),""[^0-9]"",""""),2)=""54"",""+""&amp;REGEXREPLACE(TO_TEXT('Respuestas de formulario 1'!G1505),""[^0-9]"",""""),""+54""&amp;REGEXREPLACE(TO_TEXT('Respu"&amp;"estas de formulario 1'!G1505),""[^0-9]"","""")))"),"+543515371560")</f>
        <v>+543515371560</v>
      </c>
      <c r="H1505" s="7" t="str">
        <f>'Respuestas de formulario 1'!S1505</f>
        <v/>
      </c>
      <c r="I1505" s="7" t="str">
        <f>IFERROR(__xludf.DUMMYFUNCTION("IF('Respuestas de formulario 1'!I1505="""","""",TO_TEXT('Respuestas de formulario 1'!I1505))"),"Particular")</f>
        <v>Particular</v>
      </c>
      <c r="J1505" s="7" t="str">
        <f>IFERROR(__xludf.DUMMYFUNCTION("IF('Respuestas de formulario 1'!J1505&lt;&gt;"""",UPPER(TRIM(TO_TEXT('Respuestas de formulario 1'!J1505))),IF('Respuestas de formulario 1'!O1505&lt;&gt;"""",UPPER(TRIM(TO_TEXT('Respuestas de formulario 1'!O1505))),""""))"),"")</f>
        <v/>
      </c>
      <c r="K1505" s="7" t="str">
        <f>IFERROR(__xludf.DUMMYFUNCTION("IF('Respuestas de formulario 1'!K1505="""","""",TO_TEXT('Respuestas de formulario 1'!K1505))"),"Si")</f>
        <v>Si</v>
      </c>
      <c r="L1505" s="7" t="str">
        <f>IFERROR(__xludf.DUMMYFUNCTION("IF('Respuestas de formulario 1'!L1505="""","""",TO_TEXT('Respuestas de formulario 1'!L1505))"),"Caminata")</f>
        <v>Caminata</v>
      </c>
      <c r="M1505" s="7" t="str">
        <f>IFERROR(__xludf.DUMMYFUNCTION("IF('Respuestas de formulario 1'!M1505="""","""",TO_TEXT('Respuestas de formulario 1'!M1505))"),"6 a 7 veces por semana")</f>
        <v>6 a 7 veces por semana</v>
      </c>
      <c r="N1505" s="7">
        <f t="shared" si="1"/>
        <v>2026</v>
      </c>
      <c r="O1505" s="7" t="str">
        <f t="shared" si="2"/>
        <v>marzo</v>
      </c>
      <c r="P1505" s="7" t="s">
        <v>7115</v>
      </c>
    </row>
    <row r="1506">
      <c r="A1506" s="19">
        <f>'Respuestas de formulario 1'!A1506</f>
        <v>46099.42386</v>
      </c>
      <c r="B1506" s="7" t="str">
        <f>'Respuestas de formulario 1'!B1506</f>
        <v>MASINI</v>
      </c>
      <c r="C1506" s="7" t="str">
        <f>'Respuestas de formulario 1'!C1506</f>
        <v>Osvaldo</v>
      </c>
      <c r="D1506" s="7" t="str">
        <f>'Respuestas de formulario 1'!D1506</f>
        <v>osvaldomasini@gmail..com</v>
      </c>
      <c r="E1506" s="20">
        <f>'Respuestas de formulario 1'!E1506</f>
        <v>21405</v>
      </c>
      <c r="F1506" s="7">
        <f>'Respuestas de formulario 1'!F1506</f>
        <v>12613553</v>
      </c>
      <c r="G1506" s="7" t="str">
        <f>IFERROR(__xludf.DUMMYFUNCTION("IF('Respuestas de formulario 1'!G1506="""","""",IF(LEFT(REGEXREPLACE(TO_TEXT('Respuestas de formulario 1'!G1506),""[^0-9]"",""""),2)=""54"",""+""&amp;REGEXREPLACE(TO_TEXT('Respuestas de formulario 1'!G1506),""[^0-9]"",""""),""+54""&amp;REGEXREPLACE(TO_TEXT('Respu"&amp;"estas de formulario 1'!G1506),""[^0-9]"","""")))"),"+543513420761")</f>
        <v>+543513420761</v>
      </c>
      <c r="H1506" s="7" t="str">
        <f>'Respuestas de formulario 1'!S1506</f>
        <v/>
      </c>
      <c r="I1506" s="7" t="str">
        <f>IFERROR(__xludf.DUMMYFUNCTION("IF('Respuestas de formulario 1'!I1506="""","""",TO_TEXT('Respuestas de formulario 1'!I1506))"),"Particular")</f>
        <v>Particular</v>
      </c>
      <c r="J1506" s="7" t="str">
        <f>IFERROR(__xludf.DUMMYFUNCTION("IF('Respuestas de formulario 1'!J1506&lt;&gt;"""",UPPER(TRIM(TO_TEXT('Respuestas de formulario 1'!J1506))),IF('Respuestas de formulario 1'!O1506&lt;&gt;"""",UPPER(TRIM(TO_TEXT('Respuestas de formulario 1'!O1506))),""""))"),"")</f>
        <v/>
      </c>
      <c r="K1506" s="7" t="str">
        <f>IFERROR(__xludf.DUMMYFUNCTION("IF('Respuestas de formulario 1'!K1506="""","""",TO_TEXT('Respuestas de formulario 1'!K1506))"),"Si")</f>
        <v>Si</v>
      </c>
      <c r="L1506" s="7" t="str">
        <f>IFERROR(__xludf.DUMMYFUNCTION("IF('Respuestas de formulario 1'!L1506="""","""",TO_TEXT('Respuestas de formulario 1'!L1506))"),"TPA+Natacion")</f>
        <v>TPA+Natacion</v>
      </c>
      <c r="M1506" s="7" t="str">
        <f>IFERROR(__xludf.DUMMYFUNCTION("IF('Respuestas de formulario 1'!M1506="""","""",TO_TEXT('Respuestas de formulario 1'!M1506))"),"3 a 5 veces por semana")</f>
        <v>3 a 5 veces por semana</v>
      </c>
      <c r="N1506" s="7">
        <f t="shared" si="1"/>
        <v>2026</v>
      </c>
      <c r="O1506" s="7" t="str">
        <f t="shared" si="2"/>
        <v>marzo</v>
      </c>
      <c r="P1506" s="7" t="s">
        <v>7117</v>
      </c>
    </row>
    <row r="1507">
      <c r="A1507" s="19">
        <f>'Respuestas de formulario 1'!A1507</f>
        <v>46099.46092</v>
      </c>
      <c r="B1507" s="7" t="str">
        <f>'Respuestas de formulario 1'!B1507</f>
        <v>Vives Llompart</v>
      </c>
      <c r="C1507" s="7" t="str">
        <f>'Respuestas de formulario 1'!C1507</f>
        <v>Mauro</v>
      </c>
      <c r="D1507" s="7" t="str">
        <f>'Respuestas de formulario 1'!D1507</f>
        <v>lumall@hotmail.com</v>
      </c>
      <c r="E1507" s="20">
        <f>'Respuestas de formulario 1'!E1507</f>
        <v>41312</v>
      </c>
      <c r="F1507" s="7">
        <f>'Respuestas de formulario 1'!F1507</f>
        <v>32121298</v>
      </c>
      <c r="G1507" s="7" t="str">
        <f>IFERROR(__xludf.DUMMYFUNCTION("IF('Respuestas de formulario 1'!G1507="""","""",IF(LEFT(REGEXREPLACE(TO_TEXT('Respuestas de formulario 1'!G1507),""[^0-9]"",""""),2)=""54"",""+""&amp;REGEXREPLACE(TO_TEXT('Respuestas de formulario 1'!G1507),""[^0-9]"",""""),""+54""&amp;REGEXREPLACE(TO_TEXT('Respu"&amp;"estas de formulario 1'!G1507),""[^0-9]"","""")))"),"+543513073325")</f>
        <v>+543513073325</v>
      </c>
      <c r="H1507" s="7" t="str">
        <f>'Respuestas de formulario 1'!S1507</f>
        <v/>
      </c>
      <c r="I1507" s="7" t="str">
        <f>IFERROR(__xludf.DUMMYFUNCTION("IF('Respuestas de formulario 1'!I1507="""","""",TO_TEXT('Respuestas de formulario 1'!I1507))"),"Particular")</f>
        <v>Particular</v>
      </c>
      <c r="J1507" s="7" t="str">
        <f>IFERROR(__xludf.DUMMYFUNCTION("IF('Respuestas de formulario 1'!J1507&lt;&gt;"""",UPPER(TRIM(TO_TEXT('Respuestas de formulario 1'!J1507))),IF('Respuestas de formulario 1'!O1507&lt;&gt;"""",UPPER(TRIM(TO_TEXT('Respuestas de formulario 1'!O1507))),""""))"),"")</f>
        <v/>
      </c>
      <c r="K1507" s="7" t="str">
        <f>IFERROR(__xludf.DUMMYFUNCTION("IF('Respuestas de formulario 1'!K1507="""","""",TO_TEXT('Respuestas de formulario 1'!K1507))"),"Si")</f>
        <v>Si</v>
      </c>
      <c r="L1507" s="7" t="str">
        <f>IFERROR(__xludf.DUMMYFUNCTION("IF('Respuestas de formulario 1'!L1507="""","""",TO_TEXT('Respuestas de formulario 1'!L1507))"),"Fútbol")</f>
        <v>Fútbol</v>
      </c>
      <c r="M1507" s="7" t="str">
        <f>IFERROR(__xludf.DUMMYFUNCTION("IF('Respuestas de formulario 1'!M1507="""","""",TO_TEXT('Respuestas de formulario 1'!M1507))"),"3 a 5 veces por semana")</f>
        <v>3 a 5 veces por semana</v>
      </c>
      <c r="N1507" s="7">
        <f t="shared" si="1"/>
        <v>2026</v>
      </c>
      <c r="O1507" s="7" t="str">
        <f t="shared" si="2"/>
        <v>marzo</v>
      </c>
      <c r="P1507" s="7" t="s">
        <v>7119</v>
      </c>
    </row>
    <row r="1508">
      <c r="A1508" s="19">
        <f>'Respuestas de formulario 1'!A1508</f>
        <v>46099.49456</v>
      </c>
      <c r="B1508" s="7" t="str">
        <f>'Respuestas de formulario 1'!B1508</f>
        <v>CURELLICH</v>
      </c>
      <c r="C1508" s="7" t="str">
        <f>'Respuestas de formulario 1'!C1508</f>
        <v>CRISTIAN IVAN</v>
      </c>
      <c r="D1508" s="7" t="str">
        <f>'Respuestas de formulario 1'!D1508</f>
        <v>cristiancurellich@gmail.com</v>
      </c>
      <c r="E1508" s="20">
        <f>'Respuestas de formulario 1'!E1508</f>
        <v>31695</v>
      </c>
      <c r="F1508" s="7">
        <f>'Respuestas de formulario 1'!F1508</f>
        <v>32494799</v>
      </c>
      <c r="G1508" s="7" t="str">
        <f>IFERROR(__xludf.DUMMYFUNCTION("IF('Respuestas de formulario 1'!G1508="""","""",IF(LEFT(REGEXREPLACE(TO_TEXT('Respuestas de formulario 1'!G1508),""[^0-9]"",""""),2)=""54"",""+""&amp;REGEXREPLACE(TO_TEXT('Respuestas de formulario 1'!G1508),""[^0-9]"",""""),""+54""&amp;REGEXREPLACE(TO_TEXT('Respu"&amp;"estas de formulario 1'!G1508),""[^0-9]"","""")))"),"+543515296065")</f>
        <v>+543515296065</v>
      </c>
      <c r="H1508" s="7" t="str">
        <f>'Respuestas de formulario 1'!S1508</f>
        <v/>
      </c>
      <c r="I1508" s="7" t="str">
        <f>IFERROR(__xludf.DUMMYFUNCTION("IF('Respuestas de formulario 1'!I1508="""","""",TO_TEXT('Respuestas de formulario 1'!I1508))"),"Obra social")</f>
        <v>Obra social</v>
      </c>
      <c r="J1508" s="7" t="str">
        <f>IFERROR(__xludf.DUMMYFUNCTION("IF('Respuestas de formulario 1'!J1508&lt;&gt;"""",UPPER(TRIM(TO_TEXT('Respuestas de formulario 1'!J1508))),IF('Respuestas de formulario 1'!O1508&lt;&gt;"""",UPPER(TRIM(TO_TEXT('Respuestas de formulario 1'!O1508))),""""))"),"SWISS MEDICAL POR REINTEGRO")</f>
        <v>SWISS MEDICAL POR REINTEGRO</v>
      </c>
      <c r="K1508" s="7" t="str">
        <f>IFERROR(__xludf.DUMMYFUNCTION("IF('Respuestas de formulario 1'!K1508="""","""",TO_TEXT('Respuestas de formulario 1'!K1508))"),"Si")</f>
        <v>Si</v>
      </c>
      <c r="L1508" s="7" t="str">
        <f>IFERROR(__xludf.DUMMYFUNCTION("IF('Respuestas de formulario 1'!L1508="""","""",TO_TEXT('Respuestas de formulario 1'!L1508))"),"Gimnasio")</f>
        <v>Gimnasio</v>
      </c>
      <c r="M1508" s="7" t="str">
        <f>IFERROR(__xludf.DUMMYFUNCTION("IF('Respuestas de formulario 1'!M1508="""","""",TO_TEXT('Respuestas de formulario 1'!M1508))"),"3 a 5 veces por semana")</f>
        <v>3 a 5 veces por semana</v>
      </c>
      <c r="N1508" s="7">
        <f t="shared" si="1"/>
        <v>2026</v>
      </c>
      <c r="O1508" s="7" t="str">
        <f t="shared" si="2"/>
        <v>marzo</v>
      </c>
      <c r="P1508" s="7" t="s">
        <v>7121</v>
      </c>
    </row>
    <row r="1509">
      <c r="A1509" s="19">
        <f>'Respuestas de formulario 1'!A1509</f>
        <v>46099.71038</v>
      </c>
      <c r="B1509" s="7" t="str">
        <f>'Respuestas de formulario 1'!B1509</f>
        <v>PAEZ</v>
      </c>
      <c r="C1509" s="7" t="str">
        <f>'Respuestas de formulario 1'!C1509</f>
        <v>Blanca Nieve</v>
      </c>
      <c r="D1509" s="7" t="str">
        <f>'Respuestas de formulario 1'!D1509</f>
        <v>blancarosapaez@hotmail.com</v>
      </c>
      <c r="E1509" s="20">
        <f>'Respuestas de formulario 1'!E1509</f>
        <v>14117</v>
      </c>
      <c r="F1509" s="7">
        <f>'Respuestas de formulario 1'!F1509</f>
        <v>4383840</v>
      </c>
      <c r="G1509" s="7" t="str">
        <f>IFERROR(__xludf.DUMMYFUNCTION("IF('Respuestas de formulario 1'!G1509="""","""",IF(LEFT(REGEXREPLACE(TO_TEXT('Respuestas de formulario 1'!G1509),""[^0-9]"",""""),2)=""54"",""+""&amp;REGEXREPLACE(TO_TEXT('Respuestas de formulario 1'!G1509),""[^0-9]"",""""),""+54""&amp;REGEXREPLACE(TO_TEXT('Respu"&amp;"estas de formulario 1'!G1509),""[^0-9]"","""")))"),"+543516697179")</f>
        <v>+543516697179</v>
      </c>
      <c r="H1509" s="7" t="str">
        <f>'Respuestas de formulario 1'!S1509</f>
        <v/>
      </c>
      <c r="I1509" s="7" t="str">
        <f>IFERROR(__xludf.DUMMYFUNCTION("IF('Respuestas de formulario 1'!I1509="""","""",TO_TEXT('Respuestas de formulario 1'!I1509))"),"Particular")</f>
        <v>Particular</v>
      </c>
      <c r="J1509" s="7" t="str">
        <f>IFERROR(__xludf.DUMMYFUNCTION("IF('Respuestas de formulario 1'!J1509&lt;&gt;"""",UPPER(TRIM(TO_TEXT('Respuestas de formulario 1'!J1509))),IF('Respuestas de formulario 1'!O1509&lt;&gt;"""",UPPER(TRIM(TO_TEXT('Respuestas de formulario 1'!O1509))),""""))"),"")</f>
        <v/>
      </c>
      <c r="K1509" s="7" t="str">
        <f>IFERROR(__xludf.DUMMYFUNCTION("IF('Respuestas de formulario 1'!K1509="""","""",TO_TEXT('Respuestas de formulario 1'!K1509))"),"No")</f>
        <v>No</v>
      </c>
      <c r="L1509" s="7" t="str">
        <f>IFERROR(__xludf.DUMMYFUNCTION("IF('Respuestas de formulario 1'!L1509="""","""",TO_TEXT('Respuestas de formulario 1'!L1509))"),"")</f>
        <v/>
      </c>
      <c r="M1509" s="7" t="str">
        <f>IFERROR(__xludf.DUMMYFUNCTION("IF('Respuestas de formulario 1'!M1509="""","""",TO_TEXT('Respuestas de formulario 1'!M1509))"),"")</f>
        <v/>
      </c>
      <c r="N1509" s="7">
        <f t="shared" si="1"/>
        <v>2026</v>
      </c>
      <c r="O1509" s="7" t="str">
        <f t="shared" si="2"/>
        <v>marzo</v>
      </c>
      <c r="P1509" s="7" t="s">
        <v>7123</v>
      </c>
    </row>
    <row r="1510">
      <c r="A1510" s="19">
        <f>'Respuestas de formulario 1'!A1510</f>
        <v>46100.43192</v>
      </c>
      <c r="B1510" s="7" t="str">
        <f>'Respuestas de formulario 1'!B1510</f>
        <v>Falon</v>
      </c>
      <c r="C1510" s="7" t="str">
        <f>'Respuestas de formulario 1'!C1510</f>
        <v>Luisa</v>
      </c>
      <c r="D1510" s="7" t="str">
        <f>'Respuestas de formulario 1'!D1510</f>
        <v>lizzyfalon09@gmail.com</v>
      </c>
      <c r="E1510" s="20">
        <f>'Respuestas de formulario 1'!E1510</f>
        <v>22023</v>
      </c>
      <c r="F1510" s="7">
        <f>'Respuestas de formulario 1'!F1510</f>
        <v>14293712</v>
      </c>
      <c r="G1510" s="7" t="str">
        <f>IFERROR(__xludf.DUMMYFUNCTION("IF('Respuestas de formulario 1'!G1510="""","""",IF(LEFT(REGEXREPLACE(TO_TEXT('Respuestas de formulario 1'!G1510),""[^0-9]"",""""),2)=""54"",""+""&amp;REGEXREPLACE(TO_TEXT('Respuestas de formulario 1'!G1510),""[^0-9]"",""""),""+54""&amp;REGEXREPLACE(TO_TEXT('Respu"&amp;"estas de formulario 1'!G1510),""[^0-9]"","""")))"),"+543515941872")</f>
        <v>+543515941872</v>
      </c>
      <c r="H1510" s="7" t="str">
        <f>'Respuestas de formulario 1'!S1510</f>
        <v/>
      </c>
      <c r="I1510" s="7" t="str">
        <f>IFERROR(__xludf.DUMMYFUNCTION("IF('Respuestas de formulario 1'!I1510="""","""",TO_TEXT('Respuestas de formulario 1'!I1510))"),"Obra social")</f>
        <v>Obra social</v>
      </c>
      <c r="J1510" s="7" t="str">
        <f>IFERROR(__xludf.DUMMYFUNCTION("IF('Respuestas de formulario 1'!J1510&lt;&gt;"""",UPPER(TRIM(TO_TEXT('Respuestas de formulario 1'!J1510))),IF('Respuestas de formulario 1'!O1510&lt;&gt;"""",UPPER(TRIM(TO_TEXT('Respuestas de formulario 1'!O1510))),""""))"),"DASPU")</f>
        <v>DASPU</v>
      </c>
      <c r="K1510" s="7" t="str">
        <f>IFERROR(__xludf.DUMMYFUNCTION("IF('Respuestas de formulario 1'!K1510="""","""",TO_TEXT('Respuestas de formulario 1'!K1510))"),"Si")</f>
        <v>Si</v>
      </c>
      <c r="L1510" s="7" t="str">
        <f>IFERROR(__xludf.DUMMYFUNCTION("IF('Respuestas de formulario 1'!L1510="""","""",TO_TEXT('Respuestas de formulario 1'!L1510))"),"Caminata")</f>
        <v>Caminata</v>
      </c>
      <c r="M1510" s="7" t="str">
        <f>IFERROR(__xludf.DUMMYFUNCTION("IF('Respuestas de formulario 1'!M1510="""","""",TO_TEXT('Respuestas de formulario 1'!M1510))"),"3 a 5 veces por semana")</f>
        <v>3 a 5 veces por semana</v>
      </c>
      <c r="N1510" s="7">
        <f t="shared" si="1"/>
        <v>2026</v>
      </c>
      <c r="O1510" s="7" t="str">
        <f t="shared" si="2"/>
        <v>marzo</v>
      </c>
      <c r="P1510" s="7" t="s">
        <v>7125</v>
      </c>
    </row>
    <row r="1511">
      <c r="A1511" s="19">
        <f>'Respuestas de formulario 1'!A1511</f>
        <v>46100.73646</v>
      </c>
      <c r="B1511" s="7" t="str">
        <f>'Respuestas de formulario 1'!B1511</f>
        <v>Tapia</v>
      </c>
      <c r="C1511" s="7" t="str">
        <f>'Respuestas de formulario 1'!C1511</f>
        <v>Mauricio</v>
      </c>
      <c r="D1511" s="7" t="str">
        <f>'Respuestas de formulario 1'!D1511</f>
        <v>mauriciotapiagm@gmail.com</v>
      </c>
      <c r="E1511" s="20">
        <f>'Respuestas de formulario 1'!E1511</f>
        <v>34127</v>
      </c>
      <c r="F1511" s="7">
        <f>'Respuestas de formulario 1'!F1511</f>
        <v>37733022</v>
      </c>
      <c r="G1511" s="7" t="str">
        <f>IFERROR(__xludf.DUMMYFUNCTION("IF('Respuestas de formulario 1'!G1511="""","""",IF(LEFT(REGEXREPLACE(TO_TEXT('Respuestas de formulario 1'!G1511),""[^0-9]"",""""),2)=""54"",""+""&amp;REGEXREPLACE(TO_TEXT('Respuestas de formulario 1'!G1511),""[^0-9]"",""""),""+54""&amp;REGEXREPLACE(TO_TEXT('Respu"&amp;"estas de formulario 1'!G1511),""[^0-9]"","""")))"),"+543518679766")</f>
        <v>+543518679766</v>
      </c>
      <c r="H1511" s="7" t="str">
        <f>'Respuestas de formulario 1'!S1511</f>
        <v/>
      </c>
      <c r="I1511" s="7" t="str">
        <f>IFERROR(__xludf.DUMMYFUNCTION("IF('Respuestas de formulario 1'!I1511="""","""",TO_TEXT('Respuestas de formulario 1'!I1511))"),"Obra social")</f>
        <v>Obra social</v>
      </c>
      <c r="J1511" s="7" t="str">
        <f>IFERROR(__xludf.DUMMYFUNCTION("IF('Respuestas de formulario 1'!J1511&lt;&gt;"""",UPPER(TRIM(TO_TEXT('Respuestas de formulario 1'!J1511))),IF('Respuestas de formulario 1'!O1511&lt;&gt;"""",UPPER(TRIM(TO_TEXT('Respuestas de formulario 1'!O1511))),""""))"),"MEDIFE")</f>
        <v>MEDIFE</v>
      </c>
      <c r="K1511" s="7" t="str">
        <f>IFERROR(__xludf.DUMMYFUNCTION("IF('Respuestas de formulario 1'!K1511="""","""",TO_TEXT('Respuestas de formulario 1'!K1511))"),"Si")</f>
        <v>Si</v>
      </c>
      <c r="L1511" s="7" t="str">
        <f>IFERROR(__xludf.DUMMYFUNCTION("IF('Respuestas de formulario 1'!L1511="""","""",TO_TEXT('Respuestas de formulario 1'!L1511))"),"Gimnasio y Futbol")</f>
        <v>Gimnasio y Futbol</v>
      </c>
      <c r="M1511" s="7" t="str">
        <f>IFERROR(__xludf.DUMMYFUNCTION("IF('Respuestas de formulario 1'!M1511="""","""",TO_TEXT('Respuestas de formulario 1'!M1511))"),"3 a 5 veces por semana")</f>
        <v>3 a 5 veces por semana</v>
      </c>
      <c r="N1511" s="7">
        <f t="shared" si="1"/>
        <v>2026</v>
      </c>
      <c r="O1511" s="7" t="str">
        <f t="shared" si="2"/>
        <v>marzo</v>
      </c>
      <c r="P1511" s="7" t="s">
        <v>7127</v>
      </c>
    </row>
    <row r="1512">
      <c r="A1512" s="19">
        <f>'Respuestas de formulario 1'!A1512</f>
        <v>46100.75372</v>
      </c>
      <c r="B1512" s="7" t="str">
        <f>'Respuestas de formulario 1'!B1512</f>
        <v>Arraya</v>
      </c>
      <c r="C1512" s="7" t="str">
        <f>'Respuestas de formulario 1'!C1512</f>
        <v>Guillermo</v>
      </c>
      <c r="D1512" s="7" t="str">
        <f>'Respuestas de formulario 1'!D1512</f>
        <v>guillermo.arraya@gmail.com</v>
      </c>
      <c r="E1512" s="20">
        <f>'Respuestas de formulario 1'!E1512</f>
        <v>32945</v>
      </c>
      <c r="F1512" s="7">
        <f>'Respuestas de formulario 1'!F1512</f>
        <v>35089424</v>
      </c>
      <c r="G1512" s="7" t="str">
        <f>IFERROR(__xludf.DUMMYFUNCTION("IF('Respuestas de formulario 1'!G1512="""","""",IF(LEFT(REGEXREPLACE(TO_TEXT('Respuestas de formulario 1'!G1512),""[^0-9]"",""""),2)=""54"",""+""&amp;REGEXREPLACE(TO_TEXT('Respuestas de formulario 1'!G1512),""[^0-9]"",""""),""+54""&amp;REGEXREPLACE(TO_TEXT('Respu"&amp;"estas de formulario 1'!G1512),""[^0-9]"","""")))"),"+543513905826")</f>
        <v>+543513905826</v>
      </c>
      <c r="H1512" s="7" t="str">
        <f>'Respuestas de formulario 1'!S1512</f>
        <v/>
      </c>
      <c r="I1512" s="7" t="str">
        <f>IFERROR(__xludf.DUMMYFUNCTION("IF('Respuestas de formulario 1'!I1512="""","""",TO_TEXT('Respuestas de formulario 1'!I1512))"),"Obra social")</f>
        <v>Obra social</v>
      </c>
      <c r="J1512" s="7" t="str">
        <f>IFERROR(__xludf.DUMMYFUNCTION("IF('Respuestas de formulario 1'!J1512&lt;&gt;"""",UPPER(TRIM(TO_TEXT('Respuestas de formulario 1'!J1512))),IF('Respuestas de formulario 1'!O1512&lt;&gt;"""",UPPER(TRIM(TO_TEXT('Respuestas de formulario 1'!O1512))),""""))"),"SANCOR")</f>
        <v>SANCOR</v>
      </c>
      <c r="K1512" s="7" t="str">
        <f>IFERROR(__xludf.DUMMYFUNCTION("IF('Respuestas de formulario 1'!K1512="""","""",TO_TEXT('Respuestas de formulario 1'!K1512))"),"Si")</f>
        <v>Si</v>
      </c>
      <c r="L1512" s="7" t="str">
        <f>IFERROR(__xludf.DUMMYFUNCTION("IF('Respuestas de formulario 1'!L1512="""","""",TO_TEXT('Respuestas de formulario 1'!L1512))"),"Running")</f>
        <v>Running</v>
      </c>
      <c r="M1512" s="7" t="str">
        <f>IFERROR(__xludf.DUMMYFUNCTION("IF('Respuestas de formulario 1'!M1512="""","""",TO_TEXT('Respuestas de formulario 1'!M1512))"),"3 a 5 veces por semana")</f>
        <v>3 a 5 veces por semana</v>
      </c>
      <c r="N1512" s="7">
        <f t="shared" si="1"/>
        <v>2026</v>
      </c>
      <c r="O1512" s="7" t="str">
        <f t="shared" si="2"/>
        <v>marzo</v>
      </c>
      <c r="P1512" s="7" t="s">
        <v>7129</v>
      </c>
    </row>
    <row r="1513">
      <c r="A1513" s="19">
        <f>'Respuestas de formulario 1'!A1513</f>
        <v>46101.42577</v>
      </c>
      <c r="B1513" s="7" t="str">
        <f>'Respuestas de formulario 1'!B1513</f>
        <v>kellerban</v>
      </c>
      <c r="C1513" s="7" t="str">
        <f>'Respuestas de formulario 1'!C1513</f>
        <v>Victoria</v>
      </c>
      <c r="D1513" s="7" t="str">
        <f>'Respuestas de formulario 1'!D1513</f>
        <v/>
      </c>
      <c r="E1513" s="20">
        <f>'Respuestas de formulario 1'!E1513</f>
        <v>34785</v>
      </c>
      <c r="F1513" s="7">
        <f>'Respuestas de formulario 1'!F1513</f>
        <v>94746050</v>
      </c>
      <c r="G1513" s="7" t="str">
        <f>IFERROR(__xludf.DUMMYFUNCTION("IF('Respuestas de formulario 1'!G1513="""","""",IF(LEFT(REGEXREPLACE(TO_TEXT('Respuestas de formulario 1'!G1513),""[^0-9]"",""""),2)=""54"",""+""&amp;REGEXREPLACE(TO_TEXT('Respuestas de formulario 1'!G1513),""[^0-9]"",""""),""+54""&amp;REGEXREPLACE(TO_TEXT('Respu"&amp;"estas de formulario 1'!G1513),""[^0-9]"","""")))"),"+543517629788")</f>
        <v>+543517629788</v>
      </c>
      <c r="H1513" s="7" t="str">
        <f>'Respuestas de formulario 1'!S1513</f>
        <v/>
      </c>
      <c r="I1513" s="7" t="str">
        <f>IFERROR(__xludf.DUMMYFUNCTION("IF('Respuestas de formulario 1'!I1513="""","""",TO_TEXT('Respuestas de formulario 1'!I1513))"),"Obra social")</f>
        <v>Obra social</v>
      </c>
      <c r="J1513" s="7" t="str">
        <f>IFERROR(__xludf.DUMMYFUNCTION("IF('Respuestas de formulario 1'!J1513&lt;&gt;"""",UPPER(TRIM(TO_TEXT('Respuestas de formulario 1'!J1513))),IF('Respuestas de formulario 1'!O1513&lt;&gt;"""",UPPER(TRIM(TO_TEXT('Respuestas de formulario 1'!O1513))),""""))"),"PREVENCIÓN")</f>
        <v>PREVENCIÓN</v>
      </c>
      <c r="K1513" s="7" t="str">
        <f>IFERROR(__xludf.DUMMYFUNCTION("IF('Respuestas de formulario 1'!K1513="""","""",TO_TEXT('Respuestas de formulario 1'!K1513))"),"Si")</f>
        <v>Si</v>
      </c>
      <c r="L1513" s="7" t="str">
        <f>IFERROR(__xludf.DUMMYFUNCTION("IF('Respuestas de formulario 1'!L1513="""","""",TO_TEXT('Respuestas de formulario 1'!L1513))"),"Gimnasio")</f>
        <v>Gimnasio</v>
      </c>
      <c r="M1513" s="7" t="str">
        <f>IFERROR(__xludf.DUMMYFUNCTION("IF('Respuestas de formulario 1'!M1513="""","""",TO_TEXT('Respuestas de formulario 1'!M1513))"),"3 a 5 veces por semana")</f>
        <v>3 a 5 veces por semana</v>
      </c>
      <c r="N1513" s="7">
        <f t="shared" si="1"/>
        <v>2026</v>
      </c>
      <c r="O1513" s="7" t="str">
        <f t="shared" si="2"/>
        <v>marzo</v>
      </c>
      <c r="P1513" s="7" t="s">
        <v>7131</v>
      </c>
    </row>
    <row r="1514">
      <c r="A1514" s="19">
        <f>'Respuestas de formulario 1'!A1514</f>
        <v>46101.46436</v>
      </c>
      <c r="B1514" s="7" t="str">
        <f>'Respuestas de formulario 1'!B1514</f>
        <v>Nores</v>
      </c>
      <c r="C1514" s="7" t="str">
        <f>'Respuestas de formulario 1'!C1514</f>
        <v>Guillermo Jose</v>
      </c>
      <c r="D1514" s="7" t="str">
        <f>'Respuestas de formulario 1'!D1514</f>
        <v>ludemmel@gmail.com</v>
      </c>
      <c r="E1514" s="20">
        <f>'Respuestas de formulario 1'!E1514</f>
        <v>40660</v>
      </c>
      <c r="F1514" s="7">
        <f>'Respuestas de formulario 1'!F1514</f>
        <v>50936222</v>
      </c>
      <c r="G1514" s="7" t="str">
        <f>IFERROR(__xludf.DUMMYFUNCTION("IF('Respuestas de formulario 1'!G1514="""","""",IF(LEFT(REGEXREPLACE(TO_TEXT('Respuestas de formulario 1'!G1514),""[^0-9]"",""""),2)=""54"",""+""&amp;REGEXREPLACE(TO_TEXT('Respuestas de formulario 1'!G1514),""[^0-9]"",""""),""+54""&amp;REGEXREPLACE(TO_TEXT('Respu"&amp;"estas de formulario 1'!G1514),""[^0-9]"","""")))"),"+543515641903")</f>
        <v>+543515641903</v>
      </c>
      <c r="H1514" s="7" t="str">
        <f>'Respuestas de formulario 1'!S1514</f>
        <v/>
      </c>
      <c r="I1514" s="7" t="str">
        <f>IFERROR(__xludf.DUMMYFUNCTION("IF('Respuestas de formulario 1'!I1514="""","""",TO_TEXT('Respuestas de formulario 1'!I1514))"),"Obra social")</f>
        <v>Obra social</v>
      </c>
      <c r="J1514" s="7" t="str">
        <f>IFERROR(__xludf.DUMMYFUNCTION("IF('Respuestas de formulario 1'!J1514&lt;&gt;"""",UPPER(TRIM(TO_TEXT('Respuestas de formulario 1'!J1514))),IF('Respuestas de formulario 1'!O1514&lt;&gt;"""",UPPER(TRIM(TO_TEXT('Respuestas de formulario 1'!O1514))),""""))"),"PREVENCIÓN")</f>
        <v>PREVENCIÓN</v>
      </c>
      <c r="K1514" s="7" t="str">
        <f>IFERROR(__xludf.DUMMYFUNCTION("IF('Respuestas de formulario 1'!K1514="""","""",TO_TEXT('Respuestas de formulario 1'!K1514))"),"Si")</f>
        <v>Si</v>
      </c>
      <c r="L1514" s="7" t="str">
        <f>IFERROR(__xludf.DUMMYFUNCTION("IF('Respuestas de formulario 1'!L1514="""","""",TO_TEXT('Respuestas de formulario 1'!L1514))"),"Gimasio y rugby")</f>
        <v>Gimasio y rugby</v>
      </c>
      <c r="M1514" s="7" t="str">
        <f>IFERROR(__xludf.DUMMYFUNCTION("IF('Respuestas de formulario 1'!M1514="""","""",TO_TEXT('Respuestas de formulario 1'!M1514))"),"3 a 5 veces por semana")</f>
        <v>3 a 5 veces por semana</v>
      </c>
      <c r="N1514" s="7">
        <f t="shared" si="1"/>
        <v>2026</v>
      </c>
      <c r="O1514" s="7" t="str">
        <f t="shared" si="2"/>
        <v>marzo</v>
      </c>
      <c r="P1514" s="7" t="s">
        <v>7133</v>
      </c>
    </row>
    <row r="1515">
      <c r="A1515" s="19">
        <f>'Respuestas de formulario 1'!A1515</f>
        <v>46103.5756</v>
      </c>
      <c r="B1515" s="7" t="str">
        <f>'Respuestas de formulario 1'!B1515</f>
        <v>Casas Pavon</v>
      </c>
      <c r="C1515" s="7" t="str">
        <f>'Respuestas de formulario 1'!C1515</f>
        <v>Martin Miguel</v>
      </c>
      <c r="D1515" s="7" t="str">
        <f>'Respuestas de formulario 1'!D1515</f>
        <v>Martincasas399@gmail.com</v>
      </c>
      <c r="E1515" s="20">
        <f>'Respuestas de formulario 1'!E1515</f>
        <v>39487</v>
      </c>
      <c r="F1515" s="7">
        <f>'Respuestas de formulario 1'!F1515</f>
        <v>47819675</v>
      </c>
      <c r="G1515" s="7" t="str">
        <f>IFERROR(__xludf.DUMMYFUNCTION("IF('Respuestas de formulario 1'!G1515="""","""",IF(LEFT(REGEXREPLACE(TO_TEXT('Respuestas de formulario 1'!G1515),""[^0-9]"",""""),2)=""54"",""+""&amp;REGEXREPLACE(TO_TEXT('Respuestas de formulario 1'!G1515),""[^0-9]"",""""),""+54""&amp;REGEXREPLACE(TO_TEXT('Respu"&amp;"estas de formulario 1'!G1515),""[^0-9]"","""")))"),"+543512023299")</f>
        <v>+543512023299</v>
      </c>
      <c r="H1515" s="7" t="str">
        <f>'Respuestas de formulario 1'!S1515</f>
        <v/>
      </c>
      <c r="I1515" s="7" t="str">
        <f>IFERROR(__xludf.DUMMYFUNCTION("IF('Respuestas de formulario 1'!I1515="""","""",TO_TEXT('Respuestas de formulario 1'!I1515))"),"Particular")</f>
        <v>Particular</v>
      </c>
      <c r="J1515" s="7" t="str">
        <f>IFERROR(__xludf.DUMMYFUNCTION("IF('Respuestas de formulario 1'!J1515&lt;&gt;"""",UPPER(TRIM(TO_TEXT('Respuestas de formulario 1'!J1515))),IF('Respuestas de formulario 1'!O1515&lt;&gt;"""",UPPER(TRIM(TO_TEXT('Respuestas de formulario 1'!O1515))),""""))"),"")</f>
        <v/>
      </c>
      <c r="K1515" s="7" t="str">
        <f>IFERROR(__xludf.DUMMYFUNCTION("IF('Respuestas de formulario 1'!K1515="""","""",TO_TEXT('Respuestas de formulario 1'!K1515))"),"Si")</f>
        <v>Si</v>
      </c>
      <c r="L1515" s="7" t="str">
        <f>IFERROR(__xludf.DUMMYFUNCTION("IF('Respuestas de formulario 1'!L1515="""","""",TO_TEXT('Respuestas de formulario 1'!L1515))"),"Gimnasio")</f>
        <v>Gimnasio</v>
      </c>
      <c r="M1515" s="7" t="str">
        <f>IFERROR(__xludf.DUMMYFUNCTION("IF('Respuestas de formulario 1'!M1515="""","""",TO_TEXT('Respuestas de formulario 1'!M1515))"),"3 a 5 veces por semana")</f>
        <v>3 a 5 veces por semana</v>
      </c>
      <c r="N1515" s="7">
        <f t="shared" si="1"/>
        <v>2026</v>
      </c>
      <c r="O1515" s="7" t="str">
        <f t="shared" si="2"/>
        <v>marzo</v>
      </c>
      <c r="P1515" s="7" t="s">
        <v>7135</v>
      </c>
    </row>
    <row r="1516">
      <c r="A1516" s="19">
        <f>'Respuestas de formulario 1'!A1516</f>
        <v>46103.74861</v>
      </c>
      <c r="B1516" s="7" t="str">
        <f>'Respuestas de formulario 1'!B1516</f>
        <v>Guzman</v>
      </c>
      <c r="C1516" s="7" t="str">
        <f>'Respuestas de formulario 1'!C1516</f>
        <v>Regina</v>
      </c>
      <c r="D1516" s="7" t="str">
        <f>'Respuestas de formulario 1'!D1516</f>
        <v>Pupiguzman4@gmail.com</v>
      </c>
      <c r="E1516" s="20">
        <f>'Respuestas de formulario 1'!E1516</f>
        <v>32244</v>
      </c>
      <c r="F1516" s="7">
        <f>'Respuestas de formulario 1'!F1516</f>
        <v>33700013</v>
      </c>
      <c r="G1516" s="7" t="str">
        <f>IFERROR(__xludf.DUMMYFUNCTION("IF('Respuestas de formulario 1'!G1516="""","""",IF(LEFT(REGEXREPLACE(TO_TEXT('Respuestas de formulario 1'!G1516),""[^0-9]"",""""),2)=""54"",""+""&amp;REGEXREPLACE(TO_TEXT('Respuestas de formulario 1'!G1516),""[^0-9]"",""""),""+54""&amp;REGEXREPLACE(TO_TEXT('Respu"&amp;"estas de formulario 1'!G1516),""[^0-9]"","""")))"),"+543518725353")</f>
        <v>+543518725353</v>
      </c>
      <c r="H1516" s="7" t="str">
        <f>'Respuestas de formulario 1'!S1516</f>
        <v/>
      </c>
      <c r="I1516" s="7" t="str">
        <f>IFERROR(__xludf.DUMMYFUNCTION("IF('Respuestas de formulario 1'!I1516="""","""",TO_TEXT('Respuestas de formulario 1'!I1516))"),"Particular")</f>
        <v>Particular</v>
      </c>
      <c r="J1516" s="7" t="str">
        <f>IFERROR(__xludf.DUMMYFUNCTION("IF('Respuestas de formulario 1'!J1516&lt;&gt;"""",UPPER(TRIM(TO_TEXT('Respuestas de formulario 1'!J1516))),IF('Respuestas de formulario 1'!O1516&lt;&gt;"""",UPPER(TRIM(TO_TEXT('Respuestas de formulario 1'!O1516))),""""))"),"")</f>
        <v/>
      </c>
      <c r="K1516" s="7" t="str">
        <f>IFERROR(__xludf.DUMMYFUNCTION("IF('Respuestas de formulario 1'!K1516="""","""",TO_TEXT('Respuestas de formulario 1'!K1516))"),"Si")</f>
        <v>Si</v>
      </c>
      <c r="L1516" s="7" t="str">
        <f>IFERROR(__xludf.DUMMYFUNCTION("IF('Respuestas de formulario 1'!L1516="""","""",TO_TEXT('Respuestas de formulario 1'!L1516))"),"Voley")</f>
        <v>Voley</v>
      </c>
      <c r="M1516" s="7" t="str">
        <f>IFERROR(__xludf.DUMMYFUNCTION("IF('Respuestas de formulario 1'!M1516="""","""",TO_TEXT('Respuestas de formulario 1'!M1516))"),"3 a 5 veces por semana")</f>
        <v>3 a 5 veces por semana</v>
      </c>
      <c r="N1516" s="7">
        <f t="shared" si="1"/>
        <v>2026</v>
      </c>
      <c r="O1516" s="7" t="str">
        <f t="shared" si="2"/>
        <v>marzo</v>
      </c>
      <c r="P1516" s="7" t="s">
        <v>7137</v>
      </c>
    </row>
    <row r="1517">
      <c r="A1517" s="19">
        <f>'Respuestas de formulario 1'!A1517</f>
        <v>46106.46045</v>
      </c>
      <c r="B1517" s="7" t="str">
        <f>'Respuestas de formulario 1'!B1517</f>
        <v>Oliva</v>
      </c>
      <c r="C1517" s="7" t="str">
        <f>'Respuestas de formulario 1'!C1517</f>
        <v>Lucio</v>
      </c>
      <c r="D1517" s="7" t="str">
        <f>'Respuestas de formulario 1'!D1517</f>
        <v>luchooliva.04@gmail.com</v>
      </c>
      <c r="E1517" s="20">
        <f>'Respuestas de formulario 1'!E1517</f>
        <v>37866</v>
      </c>
      <c r="F1517" s="7">
        <f>'Respuestas de formulario 1'!F1517</f>
        <v>44970035</v>
      </c>
      <c r="G1517" s="7" t="str">
        <f>IFERROR(__xludf.DUMMYFUNCTION("IF('Respuestas de formulario 1'!G1517="""","""",IF(LEFT(REGEXREPLACE(TO_TEXT('Respuestas de formulario 1'!G1517),""[^0-9]"",""""),2)=""54"",""+""&amp;REGEXREPLACE(TO_TEXT('Respuestas de formulario 1'!G1517),""[^0-9]"",""""),""+54""&amp;REGEXREPLACE(TO_TEXT('Respu"&amp;"estas de formulario 1'!G1517),""[^0-9]"","""")))"),"+543517531042")</f>
        <v>+543517531042</v>
      </c>
      <c r="H1517" s="7" t="str">
        <f>'Respuestas de formulario 1'!S1517</f>
        <v/>
      </c>
      <c r="I1517" s="7" t="str">
        <f>IFERROR(__xludf.DUMMYFUNCTION("IF('Respuestas de formulario 1'!I1517="""","""",TO_TEXT('Respuestas de formulario 1'!I1517))"),"Obra social")</f>
        <v>Obra social</v>
      </c>
      <c r="J1517" s="7" t="str">
        <f>IFERROR(__xludf.DUMMYFUNCTION("IF('Respuestas de formulario 1'!J1517&lt;&gt;"""",UPPER(TRIM(TO_TEXT('Respuestas de formulario 1'!J1517))),IF('Respuestas de formulario 1'!O1517&lt;&gt;"""",UPPER(TRIM(TO_TEXT('Respuestas de formulario 1'!O1517))),""""))"),"DASPU")</f>
        <v>DASPU</v>
      </c>
      <c r="K1517" s="7" t="str">
        <f>IFERROR(__xludf.DUMMYFUNCTION("IF('Respuestas de formulario 1'!K1517="""","""",TO_TEXT('Respuestas de formulario 1'!K1517))"),"Si")</f>
        <v>Si</v>
      </c>
      <c r="L1517" s="7" t="str">
        <f>IFERROR(__xludf.DUMMYFUNCTION("IF('Respuestas de formulario 1'!L1517="""","""",TO_TEXT('Respuestas de formulario 1'!L1517))"),"Fútbol")</f>
        <v>Fútbol</v>
      </c>
      <c r="M1517" s="7" t="str">
        <f>IFERROR(__xludf.DUMMYFUNCTION("IF('Respuestas de formulario 1'!M1517="""","""",TO_TEXT('Respuestas de formulario 1'!M1517))"),"3 a 5 veces por semana")</f>
        <v>3 a 5 veces por semana</v>
      </c>
      <c r="N1517" s="7">
        <f t="shared" si="1"/>
        <v>2026</v>
      </c>
      <c r="O1517" s="7" t="str">
        <f t="shared" si="2"/>
        <v>marzo</v>
      </c>
      <c r="P1517" s="7" t="s">
        <v>7139</v>
      </c>
    </row>
    <row r="1518">
      <c r="A1518" s="19">
        <f>'Respuestas de formulario 1'!A1518</f>
        <v>46106.65065</v>
      </c>
      <c r="B1518" s="7" t="str">
        <f>'Respuestas de formulario 1'!B1518</f>
        <v>Pautasso</v>
      </c>
      <c r="C1518" s="7" t="str">
        <f>'Respuestas de formulario 1'!C1518</f>
        <v>Francesca</v>
      </c>
      <c r="D1518" s="7" t="str">
        <f>'Respuestas de formulario 1'!D1518</f>
        <v>yaninasaldivarrossetto@gmail.com</v>
      </c>
      <c r="E1518" s="20">
        <f>'Respuestas de formulario 1'!E1518</f>
        <v>41270</v>
      </c>
      <c r="F1518" s="7">
        <f>'Respuestas de formulario 1'!F1518</f>
        <v>52469084</v>
      </c>
      <c r="G1518" s="7" t="str">
        <f>IFERROR(__xludf.DUMMYFUNCTION("IF('Respuestas de formulario 1'!G1518="""","""",IF(LEFT(REGEXREPLACE(TO_TEXT('Respuestas de formulario 1'!G1518),""[^0-9]"",""""),2)=""54"",""+""&amp;REGEXREPLACE(TO_TEXT('Respuestas de formulario 1'!G1518),""[^0-9]"",""""),""+54""&amp;REGEXREPLACE(TO_TEXT('Respu"&amp;"estas de formulario 1'!G1518),""[^0-9]"","""")))"),"+543516134808")</f>
        <v>+543516134808</v>
      </c>
      <c r="H1518" s="7" t="str">
        <f>'Respuestas de formulario 1'!S1518</f>
        <v/>
      </c>
      <c r="I1518" s="7" t="str">
        <f>IFERROR(__xludf.DUMMYFUNCTION("IF('Respuestas de formulario 1'!I1518="""","""",TO_TEXT('Respuestas de formulario 1'!I1518))"),"Particular")</f>
        <v>Particular</v>
      </c>
      <c r="J1518" s="7" t="str">
        <f>IFERROR(__xludf.DUMMYFUNCTION("IF('Respuestas de formulario 1'!J1518&lt;&gt;"""",UPPER(TRIM(TO_TEXT('Respuestas de formulario 1'!J1518))),IF('Respuestas de formulario 1'!O1518&lt;&gt;"""",UPPER(TRIM(TO_TEXT('Respuestas de formulario 1'!O1518))),""""))"),"")</f>
        <v/>
      </c>
      <c r="K1518" s="7" t="str">
        <f>IFERROR(__xludf.DUMMYFUNCTION("IF('Respuestas de formulario 1'!K1518="""","""",TO_TEXT('Respuestas de formulario 1'!K1518))"),"Si")</f>
        <v>Si</v>
      </c>
      <c r="L1518" s="7" t="str">
        <f>IFERROR(__xludf.DUMMYFUNCTION("IF('Respuestas de formulario 1'!L1518="""","""",TO_TEXT('Respuestas de formulario 1'!L1518))"),"Voley")</f>
        <v>Voley</v>
      </c>
      <c r="M1518" s="7" t="str">
        <f>IFERROR(__xludf.DUMMYFUNCTION("IF('Respuestas de formulario 1'!M1518="""","""",TO_TEXT('Respuestas de formulario 1'!M1518))"),"3 a 5 veces por semana")</f>
        <v>3 a 5 veces por semana</v>
      </c>
      <c r="N1518" s="7">
        <f t="shared" si="1"/>
        <v>2026</v>
      </c>
      <c r="O1518" s="7" t="str">
        <f t="shared" si="2"/>
        <v>marzo</v>
      </c>
      <c r="P1518" s="7" t="s">
        <v>7141</v>
      </c>
    </row>
    <row r="1519">
      <c r="A1519" s="19">
        <f>'Respuestas de formulario 1'!A1519</f>
        <v>46106.71766</v>
      </c>
      <c r="B1519" s="7" t="str">
        <f>'Respuestas de formulario 1'!B1519</f>
        <v>Depaul</v>
      </c>
      <c r="C1519" s="7" t="str">
        <f>'Respuestas de formulario 1'!C1519</f>
        <v>Francisco Joaquin</v>
      </c>
      <c r="D1519" s="7" t="str">
        <f>'Respuestas de formulario 1'!D1519</f>
        <v>joaquidepaul@gmail.com</v>
      </c>
      <c r="E1519" s="20">
        <f>'Respuestas de formulario 1'!E1519</f>
        <v>35222</v>
      </c>
      <c r="F1519" s="7">
        <f>'Respuestas de formulario 1'!F1519</f>
        <v>39689530</v>
      </c>
      <c r="G1519" s="7" t="str">
        <f>IFERROR(__xludf.DUMMYFUNCTION("IF('Respuestas de formulario 1'!G1519="""","""",IF(LEFT(REGEXREPLACE(TO_TEXT('Respuestas de formulario 1'!G1519),""[^0-9]"",""""),2)=""54"",""+""&amp;REGEXREPLACE(TO_TEXT('Respuestas de formulario 1'!G1519),""[^0-9]"",""""),""+54""&amp;REGEXREPLACE(TO_TEXT('Respu"&amp;"estas de formulario 1'!G1519),""[^0-9]"","""")))"),"+543517680759")</f>
        <v>+543517680759</v>
      </c>
      <c r="H1519" s="7" t="str">
        <f>'Respuestas de formulario 1'!S1519</f>
        <v/>
      </c>
      <c r="I1519" s="7" t="str">
        <f>IFERROR(__xludf.DUMMYFUNCTION("IF('Respuestas de formulario 1'!I1519="""","""",TO_TEXT('Respuestas de formulario 1'!I1519))"),"Obra social")</f>
        <v>Obra social</v>
      </c>
      <c r="J1519" s="7" t="str">
        <f>IFERROR(__xludf.DUMMYFUNCTION("IF('Respuestas de formulario 1'!J1519&lt;&gt;"""",UPPER(TRIM(TO_TEXT('Respuestas de formulario 1'!J1519))),IF('Respuestas de formulario 1'!O1519&lt;&gt;"""",UPPER(TRIM(TO_TEXT('Respuestas de formulario 1'!O1519))),""""))"),"SANCOR")</f>
        <v>SANCOR</v>
      </c>
      <c r="K1519" s="7" t="str">
        <f>IFERROR(__xludf.DUMMYFUNCTION("IF('Respuestas de formulario 1'!K1519="""","""",TO_TEXT('Respuestas de formulario 1'!K1519))"),"Si")</f>
        <v>Si</v>
      </c>
      <c r="L1519" s="7" t="str">
        <f>IFERROR(__xludf.DUMMYFUNCTION("IF('Respuestas de formulario 1'!L1519="""","""",TO_TEXT('Respuestas de formulario 1'!L1519))"),"Tenis+Gimnasio")</f>
        <v>Tenis+Gimnasio</v>
      </c>
      <c r="M1519" s="7" t="str">
        <f>IFERROR(__xludf.DUMMYFUNCTION("IF('Respuestas de formulario 1'!M1519="""","""",TO_TEXT('Respuestas de formulario 1'!M1519))"),"3 a 5 veces por semana")</f>
        <v>3 a 5 veces por semana</v>
      </c>
      <c r="N1519" s="7">
        <f t="shared" si="1"/>
        <v>2026</v>
      </c>
      <c r="O1519" s="7" t="str">
        <f t="shared" si="2"/>
        <v>marzo</v>
      </c>
      <c r="P1519" s="7" t="s">
        <v>7143</v>
      </c>
    </row>
    <row r="1520">
      <c r="A1520" s="19">
        <f>'Respuestas de formulario 1'!A1520</f>
        <v>46107.40406</v>
      </c>
      <c r="B1520" s="7" t="str">
        <f>'Respuestas de formulario 1'!B1520</f>
        <v>Omalley</v>
      </c>
      <c r="C1520" s="7" t="str">
        <f>'Respuestas de formulario 1'!C1520</f>
        <v>Mick</v>
      </c>
      <c r="D1520" s="7" t="str">
        <f>'Respuestas de formulario 1'!D1520</f>
        <v>Omalleymick6363@gmail.com</v>
      </c>
      <c r="E1520" s="20">
        <f>'Respuestas de formulario 1'!E1520</f>
        <v>23340</v>
      </c>
      <c r="F1520" s="7" t="str">
        <f>'Respuestas de formulario 1'!F1520</f>
        <v>PB46743</v>
      </c>
      <c r="G1520" s="7" t="str">
        <f>IFERROR(__xludf.DUMMYFUNCTION("IF('Respuestas de formulario 1'!G1520="""","""",IF(LEFT(REGEXREPLACE(TO_TEXT('Respuestas de formulario 1'!G1520),""[^0-9]"",""""),2)=""54"",""+""&amp;REGEXREPLACE(TO_TEXT('Respuestas de formulario 1'!G1520),""[^0-9]"",""""),""+54""&amp;REGEXREPLACE(TO_TEXT('Respu"&amp;"estas de formulario 1'!G1520),""[^0-9]"","""")))"),"+5461418622508")</f>
        <v>+5461418622508</v>
      </c>
      <c r="H1520" s="7" t="str">
        <f>'Respuestas de formulario 1'!S1520</f>
        <v/>
      </c>
      <c r="I1520" s="7" t="str">
        <f>IFERROR(__xludf.DUMMYFUNCTION("IF('Respuestas de formulario 1'!I1520="""","""",TO_TEXT('Respuestas de formulario 1'!I1520))"),"Particular")</f>
        <v>Particular</v>
      </c>
      <c r="J1520" s="7" t="str">
        <f>IFERROR(__xludf.DUMMYFUNCTION("IF('Respuestas de formulario 1'!J1520&lt;&gt;"""",UPPER(TRIM(TO_TEXT('Respuestas de formulario 1'!J1520))),IF('Respuestas de formulario 1'!O1520&lt;&gt;"""",UPPER(TRIM(TO_TEXT('Respuestas de formulario 1'!O1520))),""""))"),"")</f>
        <v/>
      </c>
      <c r="K1520" s="7" t="str">
        <f>IFERROR(__xludf.DUMMYFUNCTION("IF('Respuestas de formulario 1'!K1520="""","""",TO_TEXT('Respuestas de formulario 1'!K1520))"),"Si")</f>
        <v>Si</v>
      </c>
      <c r="L1520" s="7" t="str">
        <f>IFERROR(__xludf.DUMMYFUNCTION("IF('Respuestas de formulario 1'!L1520="""","""",TO_TEXT('Respuestas de formulario 1'!L1520))"),"")</f>
        <v/>
      </c>
      <c r="M1520" s="7" t="str">
        <f>IFERROR(__xludf.DUMMYFUNCTION("IF('Respuestas de formulario 1'!M1520="""","""",TO_TEXT('Respuestas de formulario 1'!M1520))"),"1 a 2 veces por semana")</f>
        <v>1 a 2 veces por semana</v>
      </c>
      <c r="N1520" s="7">
        <f t="shared" si="1"/>
        <v>2026</v>
      </c>
      <c r="O1520" s="7" t="str">
        <f t="shared" si="2"/>
        <v>marzo</v>
      </c>
      <c r="P1520" s="7" t="s">
        <v>7145</v>
      </c>
    </row>
    <row r="1521">
      <c r="A1521" s="19">
        <f>'Respuestas de formulario 1'!A1521</f>
        <v>46107.70206</v>
      </c>
      <c r="B1521" s="7" t="str">
        <f>'Respuestas de formulario 1'!B1521</f>
        <v>López </v>
      </c>
      <c r="C1521" s="7" t="str">
        <f>'Respuestas de formulario 1'!C1521</f>
        <v>Sandra </v>
      </c>
      <c r="D1521" s="7" t="str">
        <f>'Respuestas de formulario 1'!D1521</f>
        <v>2017lopezsandra@gmail.com</v>
      </c>
      <c r="E1521" s="20">
        <f>'Respuestas de formulario 1'!E1521</f>
        <v>-670059</v>
      </c>
      <c r="F1521" s="7">
        <f>'Respuestas de formulario 1'!F1521</f>
        <v>17292970</v>
      </c>
      <c r="G1521" s="7" t="str">
        <f>IFERROR(__xludf.DUMMYFUNCTION("IF('Respuestas de formulario 1'!G1521="""","""",IF(LEFT(REGEXREPLACE(TO_TEXT('Respuestas de formulario 1'!G1521),""[^0-9]"",""""),2)=""54"",""+""&amp;REGEXREPLACE(TO_TEXT('Respuestas de formulario 1'!G1521),""[^0-9]"",""""),""+54""&amp;REGEXREPLACE(TO_TEXT('Respu"&amp;"estas de formulario 1'!G1521),""[^0-9]"","""")))"),"+543515922386")</f>
        <v>+543515922386</v>
      </c>
      <c r="H1521" s="7" t="str">
        <f>'Respuestas de formulario 1'!S1521</f>
        <v/>
      </c>
      <c r="I1521" s="7" t="str">
        <f>IFERROR(__xludf.DUMMYFUNCTION("IF('Respuestas de formulario 1'!I1521="""","""",TO_TEXT('Respuestas de formulario 1'!I1521))"),"Obra social")</f>
        <v>Obra social</v>
      </c>
      <c r="J1521" s="7" t="str">
        <f>IFERROR(__xludf.DUMMYFUNCTION("IF('Respuestas de formulario 1'!J1521&lt;&gt;"""",UPPER(TRIM(TO_TEXT('Respuestas de formulario 1'!J1521))),IF('Respuestas de formulario 1'!O1521&lt;&gt;"""",UPPER(TRIM(TO_TEXT('Respuestas de formulario 1'!O1521))),""""))"),"APROSS")</f>
        <v>APROSS</v>
      </c>
      <c r="K1521" s="7" t="str">
        <f>IFERROR(__xludf.DUMMYFUNCTION("IF('Respuestas de formulario 1'!K1521="""","""",TO_TEXT('Respuestas de formulario 1'!K1521))"),"Si")</f>
        <v>Si</v>
      </c>
      <c r="L1521" s="7" t="str">
        <f>IFERROR(__xludf.DUMMYFUNCTION("IF('Respuestas de formulario 1'!L1521="""","""",TO_TEXT('Respuestas de formulario 1'!L1521))"),"Natacion ")</f>
        <v>Natacion </v>
      </c>
      <c r="M1521" s="7" t="str">
        <f>IFERROR(__xludf.DUMMYFUNCTION("IF('Respuestas de formulario 1'!M1521="""","""",TO_TEXT('Respuestas de formulario 1'!M1521))"),"3 a 5 veces por semana")</f>
        <v>3 a 5 veces por semana</v>
      </c>
      <c r="N1521" s="7">
        <f t="shared" si="1"/>
        <v>2026</v>
      </c>
      <c r="O1521" s="7" t="str">
        <f t="shared" si="2"/>
        <v>marzo</v>
      </c>
      <c r="P1521" s="7" t="s">
        <v>7147</v>
      </c>
    </row>
    <row r="1522">
      <c r="A1522" s="19">
        <f>'Respuestas de formulario 1'!A1522</f>
        <v>46107.82112</v>
      </c>
      <c r="B1522" s="7" t="str">
        <f>'Respuestas de formulario 1'!B1522</f>
        <v>WERNER </v>
      </c>
      <c r="C1522" s="7" t="str">
        <f>'Respuestas de formulario 1'!C1522</f>
        <v>Alejandro </v>
      </c>
      <c r="D1522" s="7" t="str">
        <f>'Respuestas de formulario 1'!D1522</f>
        <v>alejandromarianowerner@gmail.com</v>
      </c>
      <c r="E1522" s="20">
        <f>'Respuestas de formulario 1'!E1522</f>
        <v>27896</v>
      </c>
      <c r="F1522" s="7">
        <f>'Respuestas de formulario 1'!F1522</f>
        <v>25268139</v>
      </c>
      <c r="G1522" s="7" t="str">
        <f>IFERROR(__xludf.DUMMYFUNCTION("IF('Respuestas de formulario 1'!G1522="""","""",IF(LEFT(REGEXREPLACE(TO_TEXT('Respuestas de formulario 1'!G1522),""[^0-9]"",""""),2)=""54"",""+""&amp;REGEXREPLACE(TO_TEXT('Respuestas de formulario 1'!G1522),""[^0-9]"",""""),""+54""&amp;REGEXREPLACE(TO_TEXT('Respu"&amp;"estas de formulario 1'!G1522),""[^0-9]"","""")))"),"+543512375274")</f>
        <v>+543512375274</v>
      </c>
      <c r="H1522" s="7" t="str">
        <f>'Respuestas de formulario 1'!S1522</f>
        <v/>
      </c>
      <c r="I1522" s="7" t="str">
        <f>IFERROR(__xludf.DUMMYFUNCTION("IF('Respuestas de formulario 1'!I1522="""","""",TO_TEXT('Respuestas de formulario 1'!I1522))"),"Obra social")</f>
        <v>Obra social</v>
      </c>
      <c r="J1522" s="7" t="str">
        <f>IFERROR(__xludf.DUMMYFUNCTION("IF('Respuestas de formulario 1'!J1522&lt;&gt;"""",UPPER(TRIM(TO_TEXT('Respuestas de formulario 1'!J1522))),IF('Respuestas de formulario 1'!O1522&lt;&gt;"""",UPPER(TRIM(TO_TEXT('Respuestas de formulario 1'!O1522))),""""))"),"PREVENCIÓN")</f>
        <v>PREVENCIÓN</v>
      </c>
      <c r="K1522" s="7" t="str">
        <f>IFERROR(__xludf.DUMMYFUNCTION("IF('Respuestas de formulario 1'!K1522="""","""",TO_TEXT('Respuestas de formulario 1'!K1522))"),"Si")</f>
        <v>Si</v>
      </c>
      <c r="L1522" s="7" t="str">
        <f>IFERROR(__xludf.DUMMYFUNCTION("IF('Respuestas de formulario 1'!L1522="""","""",TO_TEXT('Respuestas de formulario 1'!L1522))"),"tenis, gimnasio")</f>
        <v>tenis, gimnasio</v>
      </c>
      <c r="M1522" s="7" t="str">
        <f>IFERROR(__xludf.DUMMYFUNCTION("IF('Respuestas de formulario 1'!M1522="""","""",TO_TEXT('Respuestas de formulario 1'!M1522))"),"3 a 5 veces por semana")</f>
        <v>3 a 5 veces por semana</v>
      </c>
      <c r="N1522" s="7">
        <f t="shared" si="1"/>
        <v>2026</v>
      </c>
      <c r="O1522" s="7" t="str">
        <f t="shared" si="2"/>
        <v>marzo</v>
      </c>
      <c r="P1522" s="7" t="s">
        <v>7149</v>
      </c>
    </row>
    <row r="1523">
      <c r="A1523" s="19">
        <f>'Respuestas de formulario 1'!A1523</f>
        <v>46108.7232</v>
      </c>
      <c r="B1523" s="7" t="str">
        <f>'Respuestas de formulario 1'!B1523</f>
        <v>Frias</v>
      </c>
      <c r="C1523" s="7" t="str">
        <f>'Respuestas de formulario 1'!C1523</f>
        <v>Jorge</v>
      </c>
      <c r="D1523" s="7" t="str">
        <f>'Respuestas de formulario 1'!D1523</f>
        <v>jorgeluisfrias@gmail.com</v>
      </c>
      <c r="E1523" s="20">
        <f>'Respuestas de formulario 1'!E1523</f>
        <v>29704</v>
      </c>
      <c r="F1523" s="7">
        <f>'Respuestas de formulario 1'!F1523</f>
        <v>28502657</v>
      </c>
      <c r="G1523" s="7" t="str">
        <f>IFERROR(__xludf.DUMMYFUNCTION("IF('Respuestas de formulario 1'!G1523="""","""",IF(LEFT(REGEXREPLACE(TO_TEXT('Respuestas de formulario 1'!G1523),""[^0-9]"",""""),2)=""54"",""+""&amp;REGEXREPLACE(TO_TEXT('Respuestas de formulario 1'!G1523),""[^0-9]"",""""),""+54""&amp;REGEXREPLACE(TO_TEXT('Respu"&amp;"estas de formulario 1'!G1523),""[^0-9]"","""")))"),"+543516985602")</f>
        <v>+543516985602</v>
      </c>
      <c r="H1523" s="7" t="str">
        <f>'Respuestas de formulario 1'!S1523</f>
        <v/>
      </c>
      <c r="I1523" s="7" t="str">
        <f>IFERROR(__xludf.DUMMYFUNCTION("IF('Respuestas de formulario 1'!I1523="""","""",TO_TEXT('Respuestas de formulario 1'!I1523))"),"Obra social")</f>
        <v>Obra social</v>
      </c>
      <c r="J1523" s="7" t="str">
        <f>IFERROR(__xludf.DUMMYFUNCTION("IF('Respuestas de formulario 1'!J1523&lt;&gt;"""",UPPER(TRIM(TO_TEXT('Respuestas de formulario 1'!J1523))),IF('Respuestas de formulario 1'!O1523&lt;&gt;"""",UPPER(TRIM(TO_TEXT('Respuestas de formulario 1'!O1523))),""""))"),"APROSS")</f>
        <v>APROSS</v>
      </c>
      <c r="K1523" s="7" t="str">
        <f>IFERROR(__xludf.DUMMYFUNCTION("IF('Respuestas de formulario 1'!K1523="""","""",TO_TEXT('Respuestas de formulario 1'!K1523))"),"Si")</f>
        <v>Si</v>
      </c>
      <c r="L1523" s="7" t="str">
        <f>IFERROR(__xludf.DUMMYFUNCTION("IF('Respuestas de formulario 1'!L1523="""","""",TO_TEXT('Respuestas de formulario 1'!L1523))"),"Running")</f>
        <v>Running</v>
      </c>
      <c r="M1523" s="7" t="str">
        <f>IFERROR(__xludf.DUMMYFUNCTION("IF('Respuestas de formulario 1'!M1523="""","""",TO_TEXT('Respuestas de formulario 1'!M1523))"),"3 a 5 veces por semana")</f>
        <v>3 a 5 veces por semana</v>
      </c>
      <c r="N1523" s="7">
        <f t="shared" si="1"/>
        <v>2026</v>
      </c>
      <c r="O1523" s="7" t="str">
        <f t="shared" si="2"/>
        <v>marzo</v>
      </c>
      <c r="P1523" s="7" t="s">
        <v>7151</v>
      </c>
    </row>
    <row r="1524">
      <c r="A1524" s="19">
        <f>'Respuestas de formulario 1'!A1524</f>
        <v>46108.7782</v>
      </c>
      <c r="B1524" s="7" t="str">
        <f>'Respuestas de formulario 1'!B1524</f>
        <v>Soto</v>
      </c>
      <c r="C1524" s="7" t="str">
        <f>'Respuestas de formulario 1'!C1524</f>
        <v>Octavio</v>
      </c>
      <c r="D1524" s="7" t="str">
        <f>'Respuestas de formulario 1'!D1524</f>
        <v/>
      </c>
      <c r="E1524" s="20">
        <f>'Respuestas de formulario 1'!E1524</f>
        <v>37673</v>
      </c>
      <c r="F1524" s="7">
        <f>'Respuestas de formulario 1'!F1524</f>
        <v>53075923</v>
      </c>
      <c r="G1524" s="7" t="str">
        <f>IFERROR(__xludf.DUMMYFUNCTION("IF('Respuestas de formulario 1'!G1524="""","""",IF(LEFT(REGEXREPLACE(TO_TEXT('Respuestas de formulario 1'!G1524),""[^0-9]"",""""),2)=""54"",""+""&amp;REGEXREPLACE(TO_TEXT('Respuestas de formulario 1'!G1524),""[^0-9]"",""""),""+54""&amp;REGEXREPLACE(TO_TEXT('Respu"&amp;"estas de formulario 1'!G1524),""[^0-9]"","""")))"),"+543515087821")</f>
        <v>+543515087821</v>
      </c>
      <c r="H1524" s="7" t="str">
        <f>'Respuestas de formulario 1'!S1524</f>
        <v/>
      </c>
      <c r="I1524" s="7" t="str">
        <f>IFERROR(__xludf.DUMMYFUNCTION("IF('Respuestas de formulario 1'!I1524="""","""",TO_TEXT('Respuestas de formulario 1'!I1524))"),"Particular")</f>
        <v>Particular</v>
      </c>
      <c r="J1524" s="7" t="str">
        <f>IFERROR(__xludf.DUMMYFUNCTION("IF('Respuestas de formulario 1'!J1524&lt;&gt;"""",UPPER(TRIM(TO_TEXT('Respuestas de formulario 1'!J1524))),IF('Respuestas de formulario 1'!O1524&lt;&gt;"""",UPPER(TRIM(TO_TEXT('Respuestas de formulario 1'!O1524))),""""))"),"")</f>
        <v/>
      </c>
      <c r="K1524" s="7" t="str">
        <f>IFERROR(__xludf.DUMMYFUNCTION("IF('Respuestas de formulario 1'!K1524="""","""",TO_TEXT('Respuestas de formulario 1'!K1524))"),"Si")</f>
        <v>Si</v>
      </c>
      <c r="L1524" s="7" t="str">
        <f>IFERROR(__xludf.DUMMYFUNCTION("IF('Respuestas de formulario 1'!L1524="""","""",TO_TEXT('Respuestas de formulario 1'!L1524))"),"Fútbol")</f>
        <v>Fútbol</v>
      </c>
      <c r="M1524" s="7" t="str">
        <f>IFERROR(__xludf.DUMMYFUNCTION("IF('Respuestas de formulario 1'!M1524="""","""",TO_TEXT('Respuestas de formulario 1'!M1524))"),"3 a 5 veces por semana")</f>
        <v>3 a 5 veces por semana</v>
      </c>
      <c r="N1524" s="7">
        <f t="shared" si="1"/>
        <v>2026</v>
      </c>
      <c r="O1524" s="7" t="str">
        <f t="shared" si="2"/>
        <v>marzo</v>
      </c>
      <c r="P1524" s="7" t="s">
        <v>7153</v>
      </c>
    </row>
    <row r="1525">
      <c r="A1525" s="19">
        <f>'Respuestas de formulario 1'!A1525</f>
        <v>46110.90652</v>
      </c>
      <c r="B1525" s="7" t="str">
        <f>'Respuestas de formulario 1'!B1525</f>
        <v>Flores Perazzone</v>
      </c>
      <c r="C1525" s="7" t="str">
        <f>'Respuestas de formulario 1'!C1525</f>
        <v>Valeria Alejandra</v>
      </c>
      <c r="D1525" s="7" t="str">
        <f>'Respuestas de formulario 1'!D1525</f>
        <v>valeriafperazzone@gmail.com</v>
      </c>
      <c r="E1525" s="20">
        <f>'Respuestas de formulario 1'!E1525</f>
        <v>29460</v>
      </c>
      <c r="F1525" s="7">
        <f>'Respuestas de formulario 1'!F1525</f>
        <v>27695691</v>
      </c>
      <c r="G1525" s="7" t="str">
        <f>IFERROR(__xludf.DUMMYFUNCTION("IF('Respuestas de formulario 1'!G1525="""","""",IF(LEFT(REGEXREPLACE(TO_TEXT('Respuestas de formulario 1'!G1525),""[^0-9]"",""""),2)=""54"",""+""&amp;REGEXREPLACE(TO_TEXT('Respuestas de formulario 1'!G1525),""[^0-9]"",""""),""+54""&amp;REGEXREPLACE(TO_TEXT('Respu"&amp;"estas de formulario 1'!G1525),""[^0-9]"","""")))"),"+543512121366")</f>
        <v>+543512121366</v>
      </c>
      <c r="H1525" s="7" t="str">
        <f>'Respuestas de formulario 1'!S1525</f>
        <v/>
      </c>
      <c r="I1525" s="7" t="str">
        <f>IFERROR(__xludf.DUMMYFUNCTION("IF('Respuestas de formulario 1'!I1525="""","""",TO_TEXT('Respuestas de formulario 1'!I1525))"),"Obra social")</f>
        <v>Obra social</v>
      </c>
      <c r="J1525" s="7" t="str">
        <f>IFERROR(__xludf.DUMMYFUNCTION("IF('Respuestas de formulario 1'!J1525&lt;&gt;"""",UPPER(TRIM(TO_TEXT('Respuestas de formulario 1'!J1525))),IF('Respuestas de formulario 1'!O1525&lt;&gt;"""",UPPER(TRIM(TO_TEXT('Respuestas de formulario 1'!O1525))),""""))"),"APROSS")</f>
        <v>APROSS</v>
      </c>
      <c r="K1525" s="7" t="str">
        <f>IFERROR(__xludf.DUMMYFUNCTION("IF('Respuestas de formulario 1'!K1525="""","""",TO_TEXT('Respuestas de formulario 1'!K1525))"),"Si")</f>
        <v>Si</v>
      </c>
      <c r="L1525" s="7" t="str">
        <f>IFERROR(__xludf.DUMMYFUNCTION("IF('Respuestas de formulario 1'!L1525="""","""",TO_TEXT('Respuestas de formulario 1'!L1525))"),"Gimnasio")</f>
        <v>Gimnasio</v>
      </c>
      <c r="M1525" s="7" t="str">
        <f>IFERROR(__xludf.DUMMYFUNCTION("IF('Respuestas de formulario 1'!M1525="""","""",TO_TEXT('Respuestas de formulario 1'!M1525))"),"1 a 2 veces por semana")</f>
        <v>1 a 2 veces por semana</v>
      </c>
      <c r="N1525" s="7">
        <f t="shared" si="1"/>
        <v>2026</v>
      </c>
      <c r="O1525" s="7" t="str">
        <f t="shared" si="2"/>
        <v>marzo</v>
      </c>
      <c r="P1525" s="7" t="s">
        <v>7155</v>
      </c>
    </row>
    <row r="1526">
      <c r="A1526" s="19">
        <f>'Respuestas de formulario 1'!A1526</f>
        <v>46111.3802</v>
      </c>
      <c r="B1526" s="7" t="str">
        <f>'Respuestas de formulario 1'!B1526</f>
        <v>Moreno</v>
      </c>
      <c r="C1526" s="7" t="str">
        <f>'Respuestas de formulario 1'!C1526</f>
        <v>Roque </v>
      </c>
      <c r="D1526" s="7" t="str">
        <f>'Respuestas de formulario 1'!D1526</f>
        <v>roquetenis@gmail.com</v>
      </c>
      <c r="E1526" s="20">
        <f>'Respuestas de formulario 1'!E1526</f>
        <v>28788</v>
      </c>
      <c r="F1526" s="7">
        <f>'Respuestas de formulario 1'!F1526</f>
        <v>26905125</v>
      </c>
      <c r="G1526" s="7" t="str">
        <f>IFERROR(__xludf.DUMMYFUNCTION("IF('Respuestas de formulario 1'!G1526="""","""",IF(LEFT(REGEXREPLACE(TO_TEXT('Respuestas de formulario 1'!G1526),""[^0-9]"",""""),2)=""54"",""+""&amp;REGEXREPLACE(TO_TEXT('Respuestas de formulario 1'!G1526),""[^0-9]"",""""),""+54""&amp;REGEXREPLACE(TO_TEXT('Respu"&amp;"estas de formulario 1'!G1526),""[^0-9]"","""")))"),"+54351106577")</f>
        <v>+54351106577</v>
      </c>
      <c r="H1526" s="7" t="str">
        <f>'Respuestas de formulario 1'!S1526</f>
        <v/>
      </c>
      <c r="I1526" s="7" t="str">
        <f>IFERROR(__xludf.DUMMYFUNCTION("IF('Respuestas de formulario 1'!I1526="""","""",TO_TEXT('Respuestas de formulario 1'!I1526))"),"Particular")</f>
        <v>Particular</v>
      </c>
      <c r="J1526" s="7" t="str">
        <f>IFERROR(__xludf.DUMMYFUNCTION("IF('Respuestas de formulario 1'!J1526&lt;&gt;"""",UPPER(TRIM(TO_TEXT('Respuestas de formulario 1'!J1526))),IF('Respuestas de formulario 1'!O1526&lt;&gt;"""",UPPER(TRIM(TO_TEXT('Respuestas de formulario 1'!O1526))),""""))"),"")</f>
        <v/>
      </c>
      <c r="K1526" s="7" t="str">
        <f>IFERROR(__xludf.DUMMYFUNCTION("IF('Respuestas de formulario 1'!K1526="""","""",TO_TEXT('Respuestas de formulario 1'!K1526))"),"Si")</f>
        <v>Si</v>
      </c>
      <c r="L1526" s="7" t="str">
        <f>IFERROR(__xludf.DUMMYFUNCTION("IF('Respuestas de formulario 1'!L1526="""","""",TO_TEXT('Respuestas de formulario 1'!L1526))"),"Padel")</f>
        <v>Padel</v>
      </c>
      <c r="M1526" s="7" t="str">
        <f>IFERROR(__xludf.DUMMYFUNCTION("IF('Respuestas de formulario 1'!M1526="""","""",TO_TEXT('Respuestas de formulario 1'!M1526))"),"3 a 5 veces por semana")</f>
        <v>3 a 5 veces por semana</v>
      </c>
      <c r="N1526" s="7">
        <f t="shared" si="1"/>
        <v>2026</v>
      </c>
      <c r="O1526" s="7" t="str">
        <f t="shared" si="2"/>
        <v>marzo</v>
      </c>
      <c r="P1526" s="7" t="s">
        <v>7157</v>
      </c>
    </row>
    <row r="1527">
      <c r="A1527" s="19">
        <f>'Respuestas de formulario 1'!A1527</f>
        <v>46111.54801</v>
      </c>
      <c r="B1527" s="7" t="str">
        <f>'Respuestas de formulario 1'!B1527</f>
        <v>Santucho </v>
      </c>
      <c r="C1527" s="7" t="str">
        <f>'Respuestas de formulario 1'!C1527</f>
        <v>Maximiliano </v>
      </c>
      <c r="D1527" s="7" t="str">
        <f>'Respuestas de formulario 1'!D1527</f>
        <v>maximilianosantucho229@gmail.com</v>
      </c>
      <c r="E1527" s="20">
        <f>'Respuestas de formulario 1'!E1527</f>
        <v>34103</v>
      </c>
      <c r="F1527" s="7">
        <f>'Respuestas de formulario 1'!F1527</f>
        <v>37475354</v>
      </c>
      <c r="G1527" s="7" t="str">
        <f>IFERROR(__xludf.DUMMYFUNCTION("IF('Respuestas de formulario 1'!G1527="""","""",IF(LEFT(REGEXREPLACE(TO_TEXT('Respuestas de formulario 1'!G1527),""[^0-9]"",""""),2)=""54"",""+""&amp;REGEXREPLACE(TO_TEXT('Respuestas de formulario 1'!G1527),""[^0-9]"",""""),""+54""&amp;REGEXREPLACE(TO_TEXT('Respu"&amp;"estas de formulario 1'!G1527),""[^0-9]"","""")))"),"+543512169653")</f>
        <v>+543512169653</v>
      </c>
      <c r="H1527" s="7" t="str">
        <f>'Respuestas de formulario 1'!S1527</f>
        <v/>
      </c>
      <c r="I1527" s="7" t="str">
        <f>IFERROR(__xludf.DUMMYFUNCTION("IF('Respuestas de formulario 1'!I1527="""","""",TO_TEXT('Respuestas de formulario 1'!I1527))"),"Obra social")</f>
        <v>Obra social</v>
      </c>
      <c r="J1527" s="7" t="str">
        <f>IFERROR(__xludf.DUMMYFUNCTION("IF('Respuestas de formulario 1'!J1527&lt;&gt;"""",UPPER(TRIM(TO_TEXT('Respuestas de formulario 1'!J1527))),IF('Respuestas de formulario 1'!O1527&lt;&gt;"""",UPPER(TRIM(TO_TEXT('Respuestas de formulario 1'!O1527))),""""))"),"APROSS")</f>
        <v>APROSS</v>
      </c>
      <c r="K1527" s="7" t="str">
        <f>IFERROR(__xludf.DUMMYFUNCTION("IF('Respuestas de formulario 1'!K1527="""","""",TO_TEXT('Respuestas de formulario 1'!K1527))"),"Si")</f>
        <v>Si</v>
      </c>
      <c r="L1527" s="7" t="str">
        <f>IFERROR(__xludf.DUMMYFUNCTION("IF('Respuestas de formulario 1'!L1527="""","""",TO_TEXT('Respuestas de formulario 1'!L1527))"),"Fútbol")</f>
        <v>Fútbol</v>
      </c>
      <c r="M1527" s="7" t="str">
        <f>IFERROR(__xludf.DUMMYFUNCTION("IF('Respuestas de formulario 1'!M1527="""","""",TO_TEXT('Respuestas de formulario 1'!M1527))"),"3 a 5 veces por semana")</f>
        <v>3 a 5 veces por semana</v>
      </c>
      <c r="N1527" s="7">
        <f t="shared" si="1"/>
        <v>2026</v>
      </c>
      <c r="O1527" s="7" t="str">
        <f t="shared" si="2"/>
        <v>marzo</v>
      </c>
      <c r="P1527" s="7" t="s">
        <v>7159</v>
      </c>
    </row>
    <row r="1528">
      <c r="A1528" s="19">
        <f>'Respuestas de formulario 1'!A1528</f>
        <v>46111.67541</v>
      </c>
      <c r="B1528" s="7" t="str">
        <f>'Respuestas de formulario 1'!B1528</f>
        <v>Frankel</v>
      </c>
      <c r="C1528" s="7" t="str">
        <f>'Respuestas de formulario 1'!C1528</f>
        <v>Marco Dolv</v>
      </c>
      <c r="D1528" s="7" t="str">
        <f>'Respuestas de formulario 1'!D1528</f>
        <v/>
      </c>
      <c r="E1528" s="20">
        <f>'Respuestas de formulario 1'!E1528</f>
        <v>19486</v>
      </c>
      <c r="F1528" s="7">
        <f>'Respuestas de formulario 1'!F1528</f>
        <v>92353839</v>
      </c>
      <c r="G1528" s="7" t="str">
        <f>IFERROR(__xludf.DUMMYFUNCTION("IF('Respuestas de formulario 1'!G1528="""","""",IF(LEFT(REGEXREPLACE(TO_TEXT('Respuestas de formulario 1'!G1528),""[^0-9]"",""""),2)=""54"",""+""&amp;REGEXREPLACE(TO_TEXT('Respuestas de formulario 1'!G1528),""[^0-9]"",""""),""+54""&amp;REGEXREPLACE(TO_TEXT('Respu"&amp;"estas de formulario 1'!G1528),""[^0-9]"","""")))"),"+543512456257")</f>
        <v>+543512456257</v>
      </c>
      <c r="H1528" s="7" t="str">
        <f>'Respuestas de formulario 1'!S1528</f>
        <v/>
      </c>
      <c r="I1528" s="7" t="str">
        <f>IFERROR(__xludf.DUMMYFUNCTION("IF('Respuestas de formulario 1'!I1528="""","""",TO_TEXT('Respuestas de formulario 1'!I1528))"),"Particular")</f>
        <v>Particular</v>
      </c>
      <c r="J1528" s="7" t="str">
        <f>IFERROR(__xludf.DUMMYFUNCTION("IF('Respuestas de formulario 1'!J1528&lt;&gt;"""",UPPER(TRIM(TO_TEXT('Respuestas de formulario 1'!J1528))),IF('Respuestas de formulario 1'!O1528&lt;&gt;"""",UPPER(TRIM(TO_TEXT('Respuestas de formulario 1'!O1528))),""""))"),"")</f>
        <v/>
      </c>
      <c r="K1528" s="7" t="str">
        <f>IFERROR(__xludf.DUMMYFUNCTION("IF('Respuestas de formulario 1'!K1528="""","""",TO_TEXT('Respuestas de formulario 1'!K1528))"),"Si")</f>
        <v>Si</v>
      </c>
      <c r="L1528" s="7" t="str">
        <f>IFERROR(__xludf.DUMMYFUNCTION("IF('Respuestas de formulario 1'!L1528="""","""",TO_TEXT('Respuestas de formulario 1'!L1528))"),"Fútbol")</f>
        <v>Fútbol</v>
      </c>
      <c r="M1528" s="7" t="str">
        <f>IFERROR(__xludf.DUMMYFUNCTION("IF('Respuestas de formulario 1'!M1528="""","""",TO_TEXT('Respuestas de formulario 1'!M1528))"),"1 a 2 veces por semana")</f>
        <v>1 a 2 veces por semana</v>
      </c>
      <c r="N1528" s="7">
        <f t="shared" si="1"/>
        <v>2026</v>
      </c>
      <c r="O1528" s="7" t="str">
        <f t="shared" si="2"/>
        <v>marzo</v>
      </c>
      <c r="P1528" s="7" t="s">
        <v>7161</v>
      </c>
    </row>
    <row r="1529">
      <c r="A1529" s="19">
        <f>'Respuestas de formulario 1'!A1529</f>
        <v>46111.81268</v>
      </c>
      <c r="B1529" s="7" t="str">
        <f>'Respuestas de formulario 1'!B1529</f>
        <v>Pace</v>
      </c>
      <c r="C1529" s="7" t="str">
        <f>'Respuestas de formulario 1'!C1529</f>
        <v>Maria florencia</v>
      </c>
      <c r="D1529" s="7" t="str">
        <f>'Respuestas de formulario 1'!D1529</f>
        <v>Paceflorencia.lic@gmail.com</v>
      </c>
      <c r="E1529" s="20">
        <f>'Respuestas de formulario 1'!E1529</f>
        <v>32852</v>
      </c>
      <c r="F1529" s="7">
        <f>'Respuestas de formulario 1'!F1529</f>
        <v>34908496</v>
      </c>
      <c r="G1529" s="7" t="str">
        <f>IFERROR(__xludf.DUMMYFUNCTION("IF('Respuestas de formulario 1'!G1529="""","""",IF(LEFT(REGEXREPLACE(TO_TEXT('Respuestas de formulario 1'!G1529),""[^0-9]"",""""),2)=""54"",""+""&amp;REGEXREPLACE(TO_TEXT('Respuestas de formulario 1'!G1529),""[^0-9]"",""""),""+54""&amp;REGEXREPLACE(TO_TEXT('Respu"&amp;"estas de formulario 1'!G1529),""[^0-9]"","""")))"),"+543516596058")</f>
        <v>+543516596058</v>
      </c>
      <c r="H1529" s="7" t="str">
        <f>'Respuestas de formulario 1'!S1529</f>
        <v/>
      </c>
      <c r="I1529" s="7" t="str">
        <f>IFERROR(__xludf.DUMMYFUNCTION("IF('Respuestas de formulario 1'!I1529="""","""",TO_TEXT('Respuestas de formulario 1'!I1529))"),"Obra social")</f>
        <v>Obra social</v>
      </c>
      <c r="J1529" s="7" t="str">
        <f>IFERROR(__xludf.DUMMYFUNCTION("IF('Respuestas de formulario 1'!J1529&lt;&gt;"""",UPPER(TRIM(TO_TEXT('Respuestas de formulario 1'!J1529))),IF('Respuestas de formulario 1'!O1529&lt;&gt;"""",UPPER(TRIM(TO_TEXT('Respuestas de formulario 1'!O1529))),""""))"),"MEDIFE")</f>
        <v>MEDIFE</v>
      </c>
      <c r="K1529" s="7" t="str">
        <f>IFERROR(__xludf.DUMMYFUNCTION("IF('Respuestas de formulario 1'!K1529="""","""",TO_TEXT('Respuestas de formulario 1'!K1529))"),"Si")</f>
        <v>Si</v>
      </c>
      <c r="L1529" s="7" t="str">
        <f>IFERROR(__xludf.DUMMYFUNCTION("IF('Respuestas de formulario 1'!L1529="""","""",TO_TEXT('Respuestas de formulario 1'!L1529))"),"Gimnasio")</f>
        <v>Gimnasio</v>
      </c>
      <c r="M1529" s="7" t="str">
        <f>IFERROR(__xludf.DUMMYFUNCTION("IF('Respuestas de formulario 1'!M1529="""","""",TO_TEXT('Respuestas de formulario 1'!M1529))"),"3 a 5 veces por semana")</f>
        <v>3 a 5 veces por semana</v>
      </c>
      <c r="N1529" s="7">
        <f t="shared" si="1"/>
        <v>2026</v>
      </c>
      <c r="O1529" s="7" t="str">
        <f t="shared" si="2"/>
        <v>marzo</v>
      </c>
      <c r="P1529" s="7" t="s">
        <v>7163</v>
      </c>
    </row>
    <row r="1530">
      <c r="A1530" s="19">
        <f>'Respuestas de formulario 1'!A1530</f>
        <v>46112.4334</v>
      </c>
      <c r="B1530" s="7" t="str">
        <f>'Respuestas de formulario 1'!B1530</f>
        <v>Vilte</v>
      </c>
      <c r="C1530" s="7" t="str">
        <f>'Respuestas de formulario 1'!C1530</f>
        <v>Isidora</v>
      </c>
      <c r="D1530" s="7" t="str">
        <f>'Respuestas de formulario 1'!D1530</f>
        <v>britos.macarena1994@gmail.com</v>
      </c>
      <c r="E1530" s="20">
        <f>'Respuestas de formulario 1'!E1530</f>
        <v>19818</v>
      </c>
      <c r="F1530" s="7">
        <f>'Respuestas de formulario 1'!F1530</f>
        <v>11663110</v>
      </c>
      <c r="G1530" s="7" t="str">
        <f>IFERROR(__xludf.DUMMYFUNCTION("IF('Respuestas de formulario 1'!G1530="""","""",IF(LEFT(REGEXREPLACE(TO_TEXT('Respuestas de formulario 1'!G1530),""[^0-9]"",""""),2)=""54"",""+""&amp;REGEXREPLACE(TO_TEXT('Respuestas de formulario 1'!G1530),""[^0-9]"",""""),""+54""&amp;REGEXREPLACE(TO_TEXT('Respu"&amp;"estas de formulario 1'!G1530),""[^0-9]"","""")))"),"+543513721994")</f>
        <v>+543513721994</v>
      </c>
      <c r="H1530" s="7" t="str">
        <f>'Respuestas de formulario 1'!S1530</f>
        <v/>
      </c>
      <c r="I1530" s="7" t="str">
        <f>IFERROR(__xludf.DUMMYFUNCTION("IF('Respuestas de formulario 1'!I1530="""","""",TO_TEXT('Respuestas de formulario 1'!I1530))"),"Particular")</f>
        <v>Particular</v>
      </c>
      <c r="J1530" s="7" t="str">
        <f>IFERROR(__xludf.DUMMYFUNCTION("IF('Respuestas de formulario 1'!J1530&lt;&gt;"""",UPPER(TRIM(TO_TEXT('Respuestas de formulario 1'!J1530))),IF('Respuestas de formulario 1'!O1530&lt;&gt;"""",UPPER(TRIM(TO_TEXT('Respuestas de formulario 1'!O1530))),""""))"),"")</f>
        <v/>
      </c>
      <c r="K1530" s="7" t="str">
        <f>IFERROR(__xludf.DUMMYFUNCTION("IF('Respuestas de formulario 1'!K1530="""","""",TO_TEXT('Respuestas de formulario 1'!K1530))"),"Si")</f>
        <v>Si</v>
      </c>
      <c r="L1530" s="7" t="str">
        <f>IFERROR(__xludf.DUMMYFUNCTION("IF('Respuestas de formulario 1'!L1530="""","""",TO_TEXT('Respuestas de formulario 1'!L1530))"),"Yoga")</f>
        <v>Yoga</v>
      </c>
      <c r="M1530" s="7" t="str">
        <f>IFERROR(__xludf.DUMMYFUNCTION("IF('Respuestas de formulario 1'!M1530="""","""",TO_TEXT('Respuestas de formulario 1'!M1530))"),"1 a 2 veces por semana")</f>
        <v>1 a 2 veces por semana</v>
      </c>
      <c r="N1530" s="7">
        <f t="shared" si="1"/>
        <v>2026</v>
      </c>
      <c r="O1530" s="7" t="str">
        <f t="shared" si="2"/>
        <v>marzo</v>
      </c>
      <c r="P1530" s="7" t="s">
        <v>7165</v>
      </c>
    </row>
    <row r="1531">
      <c r="A1531" s="19">
        <f>'Respuestas de formulario 1'!A1531</f>
        <v>46113.38407</v>
      </c>
      <c r="B1531" s="7" t="str">
        <f>'Respuestas de formulario 1'!B1531</f>
        <v>Berra</v>
      </c>
      <c r="C1531" s="7" t="str">
        <f>'Respuestas de formulario 1'!C1531</f>
        <v>gabriel</v>
      </c>
      <c r="D1531" s="7" t="str">
        <f>'Respuestas de formulario 1'!D1531</f>
        <v/>
      </c>
      <c r="E1531" s="20">
        <f>'Respuestas de formulario 1'!E1531</f>
        <v>30109</v>
      </c>
      <c r="F1531" s="7">
        <f>'Respuestas de formulario 1'!F1531</f>
        <v>29456495</v>
      </c>
      <c r="G1531" s="7" t="str">
        <f>IFERROR(__xludf.DUMMYFUNCTION("IF('Respuestas de formulario 1'!G1531="""","""",IF(LEFT(REGEXREPLACE(TO_TEXT('Respuestas de formulario 1'!G1531),""[^0-9]"",""""),2)=""54"",""+""&amp;REGEXREPLACE(TO_TEXT('Respuestas de formulario 1'!G1531),""[^0-9]"",""""),""+54""&amp;REGEXREPLACE(TO_TEXT('Respu"&amp;"estas de formulario 1'!G1531),""[^0-9]"","""")))"),"+543513085985")</f>
        <v>+543513085985</v>
      </c>
      <c r="H1531" s="7" t="str">
        <f>'Respuestas de formulario 1'!S1531</f>
        <v/>
      </c>
      <c r="I1531" s="7" t="str">
        <f>IFERROR(__xludf.DUMMYFUNCTION("IF('Respuestas de formulario 1'!I1531="""","""",TO_TEXT('Respuestas de formulario 1'!I1531))"),"Particular")</f>
        <v>Particular</v>
      </c>
      <c r="J1531" s="7" t="str">
        <f>IFERROR(__xludf.DUMMYFUNCTION("IF('Respuestas de formulario 1'!J1531&lt;&gt;"""",UPPER(TRIM(TO_TEXT('Respuestas de formulario 1'!J1531))),IF('Respuestas de formulario 1'!O1531&lt;&gt;"""",UPPER(TRIM(TO_TEXT('Respuestas de formulario 1'!O1531))),""""))"),"")</f>
        <v/>
      </c>
      <c r="K1531" s="7" t="str">
        <f>IFERROR(__xludf.DUMMYFUNCTION("IF('Respuestas de formulario 1'!K1531="""","""",TO_TEXT('Respuestas de formulario 1'!K1531))"),"Si")</f>
        <v>Si</v>
      </c>
      <c r="L1531" s="7" t="str">
        <f>IFERROR(__xludf.DUMMYFUNCTION("IF('Respuestas de formulario 1'!L1531="""","""",TO_TEXT('Respuestas de formulario 1'!L1531))"),"Gimnasio")</f>
        <v>Gimnasio</v>
      </c>
      <c r="M1531" s="7" t="str">
        <f>IFERROR(__xludf.DUMMYFUNCTION("IF('Respuestas de formulario 1'!M1531="""","""",TO_TEXT('Respuestas de formulario 1'!M1531))"),"3 a 5 veces por semana")</f>
        <v>3 a 5 veces por semana</v>
      </c>
      <c r="N1531" s="7">
        <f t="shared" si="1"/>
        <v>2026</v>
      </c>
      <c r="O1531" s="7" t="str">
        <f t="shared" si="2"/>
        <v>abril</v>
      </c>
      <c r="P1531" s="7" t="s">
        <v>7167</v>
      </c>
    </row>
    <row r="1532">
      <c r="A1532" s="19">
        <f>'Respuestas de formulario 1'!A1532</f>
        <v>46113.5101</v>
      </c>
      <c r="B1532" s="7" t="str">
        <f>'Respuestas de formulario 1'!B1532</f>
        <v>Piacenza </v>
      </c>
      <c r="C1532" s="7" t="str">
        <f>'Respuestas de formulario 1'!C1532</f>
        <v>Gaston </v>
      </c>
      <c r="D1532" s="7" t="str">
        <f>'Respuestas de formulario 1'!D1532</f>
        <v>Piacenzagastonhugo@gmail.com</v>
      </c>
      <c r="E1532" s="20">
        <f>'Respuestas de formulario 1'!E1532</f>
        <v>36998</v>
      </c>
      <c r="F1532" s="7">
        <f>'Respuestas de formulario 1'!F1532</f>
        <v>43277648</v>
      </c>
      <c r="G1532" s="7" t="str">
        <f>IFERROR(__xludf.DUMMYFUNCTION("IF('Respuestas de formulario 1'!G1532="""","""",IF(LEFT(REGEXREPLACE(TO_TEXT('Respuestas de formulario 1'!G1532),""[^0-9]"",""""),2)=""54"",""+""&amp;REGEXREPLACE(TO_TEXT('Respuestas de formulario 1'!G1532),""[^0-9]"",""""),""+54""&amp;REGEXREPLACE(TO_TEXT('Respu"&amp;"estas de formulario 1'!G1532),""[^0-9]"","""")))"),"+543827400958")</f>
        <v>+543827400958</v>
      </c>
      <c r="H1532" s="7" t="str">
        <f>'Respuestas de formulario 1'!S1532</f>
        <v/>
      </c>
      <c r="I1532" s="7" t="str">
        <f>IFERROR(__xludf.DUMMYFUNCTION("IF('Respuestas de formulario 1'!I1532="""","""",TO_TEXT('Respuestas de formulario 1'!I1532))"),"Particular")</f>
        <v>Particular</v>
      </c>
      <c r="J1532" s="7" t="str">
        <f>IFERROR(__xludf.DUMMYFUNCTION("IF('Respuestas de formulario 1'!J1532&lt;&gt;"""",UPPER(TRIM(TO_TEXT('Respuestas de formulario 1'!J1532))),IF('Respuestas de formulario 1'!O1532&lt;&gt;"""",UPPER(TRIM(TO_TEXT('Respuestas de formulario 1'!O1532))),""""))"),"")</f>
        <v/>
      </c>
      <c r="K1532" s="7" t="str">
        <f>IFERROR(__xludf.DUMMYFUNCTION("IF('Respuestas de formulario 1'!K1532="""","""",TO_TEXT('Respuestas de formulario 1'!K1532))"),"No")</f>
        <v>No</v>
      </c>
      <c r="L1532" s="7" t="str">
        <f>IFERROR(__xludf.DUMMYFUNCTION("IF('Respuestas de formulario 1'!L1532="""","""",TO_TEXT('Respuestas de formulario 1'!L1532))"),"")</f>
        <v/>
      </c>
      <c r="M1532" s="7" t="str">
        <f>IFERROR(__xludf.DUMMYFUNCTION("IF('Respuestas de formulario 1'!M1532="""","""",TO_TEXT('Respuestas de formulario 1'!M1532))"),"")</f>
        <v/>
      </c>
      <c r="N1532" s="7">
        <f t="shared" si="1"/>
        <v>2026</v>
      </c>
      <c r="O1532" s="7" t="str">
        <f t="shared" si="2"/>
        <v>abril</v>
      </c>
      <c r="P1532" s="7" t="s">
        <v>7169</v>
      </c>
    </row>
    <row r="1533">
      <c r="A1533" s="19">
        <f>'Respuestas de formulario 1'!A1533</f>
        <v>46113.65864</v>
      </c>
      <c r="B1533" s="7" t="str">
        <f>'Respuestas de formulario 1'!B1533</f>
        <v>Ramires</v>
      </c>
      <c r="C1533" s="7" t="str">
        <f>'Respuestas de formulario 1'!C1533</f>
        <v>Camila</v>
      </c>
      <c r="D1533" s="7" t="str">
        <f>'Respuestas de formulario 1'!D1533</f>
        <v>camirmoreno5@gmail.com</v>
      </c>
      <c r="E1533" s="20">
        <f>'Respuestas de formulario 1'!E1533</f>
        <v>34554</v>
      </c>
      <c r="F1533" s="7">
        <f>'Respuestas de formulario 1'!F1533</f>
        <v>38409904</v>
      </c>
      <c r="G1533" s="7" t="str">
        <f>IFERROR(__xludf.DUMMYFUNCTION("IF('Respuestas de formulario 1'!G1533="""","""",IF(LEFT(REGEXREPLACE(TO_TEXT('Respuestas de formulario 1'!G1533),""[^0-9]"",""""),2)=""54"",""+""&amp;REGEXREPLACE(TO_TEXT('Respuestas de formulario 1'!G1533),""[^0-9]"",""""),""+54""&amp;REGEXREPLACE(TO_TEXT('Respu"&amp;"estas de formulario 1'!G1533),""[^0-9]"","""")))"),"+543516814748")</f>
        <v>+543516814748</v>
      </c>
      <c r="H1533" s="7" t="str">
        <f>'Respuestas de formulario 1'!S1533</f>
        <v/>
      </c>
      <c r="I1533" s="7" t="str">
        <f>IFERROR(__xludf.DUMMYFUNCTION("IF('Respuestas de formulario 1'!I1533="""","""",TO_TEXT('Respuestas de formulario 1'!I1533))"),"Particular")</f>
        <v>Particular</v>
      </c>
      <c r="J1533" s="7" t="str">
        <f>IFERROR(__xludf.DUMMYFUNCTION("IF('Respuestas de formulario 1'!J1533&lt;&gt;"""",UPPER(TRIM(TO_TEXT('Respuestas de formulario 1'!J1533))),IF('Respuestas de formulario 1'!O1533&lt;&gt;"""",UPPER(TRIM(TO_TEXT('Respuestas de formulario 1'!O1533))),""""))"),"")</f>
        <v/>
      </c>
      <c r="K1533" s="7" t="str">
        <f>IFERROR(__xludf.DUMMYFUNCTION("IF('Respuestas de formulario 1'!K1533="""","""",TO_TEXT('Respuestas de formulario 1'!K1533))"),"Si")</f>
        <v>Si</v>
      </c>
      <c r="L1533" s="7" t="str">
        <f>IFERROR(__xludf.DUMMYFUNCTION("IF('Respuestas de formulario 1'!L1533="""","""",TO_TEXT('Respuestas de formulario 1'!L1533))"),"Gimnasio")</f>
        <v>Gimnasio</v>
      </c>
      <c r="M1533" s="7" t="str">
        <f>IFERROR(__xludf.DUMMYFUNCTION("IF('Respuestas de formulario 1'!M1533="""","""",TO_TEXT('Respuestas de formulario 1'!M1533))"),"1 a 2 veces por semana")</f>
        <v>1 a 2 veces por semana</v>
      </c>
      <c r="N1533" s="7">
        <f t="shared" si="1"/>
        <v>2026</v>
      </c>
      <c r="O1533" s="7" t="str">
        <f t="shared" si="2"/>
        <v>abril</v>
      </c>
      <c r="P1533" s="7" t="s">
        <v>7171</v>
      </c>
    </row>
    <row r="1534">
      <c r="A1534" s="19">
        <f>'Respuestas de formulario 1'!A1534</f>
        <v>46113.6655</v>
      </c>
      <c r="B1534" s="7" t="str">
        <f>'Respuestas de formulario 1'!B1534</f>
        <v>Torres</v>
      </c>
      <c r="C1534" s="7" t="str">
        <f>'Respuestas de formulario 1'!C1534</f>
        <v>Marcelo</v>
      </c>
      <c r="D1534" s="7" t="str">
        <f>'Respuestas de formulario 1'!D1534</f>
        <v>rodritorres2006@gmail.com</v>
      </c>
      <c r="E1534" s="20">
        <f>'Respuestas de formulario 1'!E1534</f>
        <v>29395</v>
      </c>
      <c r="F1534" s="7">
        <f>'Respuestas de formulario 1'!F1534</f>
        <v>28118402</v>
      </c>
      <c r="G1534" s="7" t="str">
        <f>IFERROR(__xludf.DUMMYFUNCTION("IF('Respuestas de formulario 1'!G1534="""","""",IF(LEFT(REGEXREPLACE(TO_TEXT('Respuestas de formulario 1'!G1534),""[^0-9]"",""""),2)=""54"",""+""&amp;REGEXREPLACE(TO_TEXT('Respuestas de formulario 1'!G1534),""[^0-9]"",""""),""+54""&amp;REGEXREPLACE(TO_TEXT('Respu"&amp;"estas de formulario 1'!G1534),""[^0-9]"","""")))"),"+543543607392")</f>
        <v>+543543607392</v>
      </c>
      <c r="H1534" s="7" t="str">
        <f>'Respuestas de formulario 1'!S1534</f>
        <v/>
      </c>
      <c r="I1534" s="7" t="str">
        <f>IFERROR(__xludf.DUMMYFUNCTION("IF('Respuestas de formulario 1'!I1534="""","""",TO_TEXT('Respuestas de formulario 1'!I1534))"),"Particular")</f>
        <v>Particular</v>
      </c>
      <c r="J1534" s="7" t="str">
        <f>IFERROR(__xludf.DUMMYFUNCTION("IF('Respuestas de formulario 1'!J1534&lt;&gt;"""",UPPER(TRIM(TO_TEXT('Respuestas de formulario 1'!J1534))),IF('Respuestas de formulario 1'!O1534&lt;&gt;"""",UPPER(TRIM(TO_TEXT('Respuestas de formulario 1'!O1534))),""""))"),"")</f>
        <v/>
      </c>
      <c r="K1534" s="7" t="str">
        <f>IFERROR(__xludf.DUMMYFUNCTION("IF('Respuestas de formulario 1'!K1534="""","""",TO_TEXT('Respuestas de formulario 1'!K1534))"),"No")</f>
        <v>No</v>
      </c>
      <c r="L1534" s="7" t="str">
        <f>IFERROR(__xludf.DUMMYFUNCTION("IF('Respuestas de formulario 1'!L1534="""","""",TO_TEXT('Respuestas de formulario 1'!L1534))"),"")</f>
        <v/>
      </c>
      <c r="M1534" s="7" t="str">
        <f>IFERROR(__xludf.DUMMYFUNCTION("IF('Respuestas de formulario 1'!M1534="""","""",TO_TEXT('Respuestas de formulario 1'!M1534))"),"")</f>
        <v/>
      </c>
      <c r="N1534" s="7">
        <f t="shared" si="1"/>
        <v>2026</v>
      </c>
      <c r="O1534" s="7" t="str">
        <f t="shared" si="2"/>
        <v>abril</v>
      </c>
      <c r="P1534" s="7" t="s">
        <v>7173</v>
      </c>
    </row>
    <row r="1535">
      <c r="A1535" s="19">
        <f>'Respuestas de formulario 1'!A1535</f>
        <v>46113.70143</v>
      </c>
      <c r="B1535" s="7" t="str">
        <f>'Respuestas de formulario 1'!B1535</f>
        <v>Montesco</v>
      </c>
      <c r="C1535" s="7" t="str">
        <f>'Respuestas de formulario 1'!C1535</f>
        <v>Jose Francisco</v>
      </c>
      <c r="D1535" s="7" t="str">
        <f>'Respuestas de formulario 1'!D1535</f>
        <v>joseiacc21@hotmail.com</v>
      </c>
      <c r="E1535" s="20">
        <f>'Respuestas de formulario 1'!E1535</f>
        <v>30231</v>
      </c>
      <c r="F1535" s="7">
        <f>'Respuestas de formulario 1'!F1535</f>
        <v>29712331</v>
      </c>
      <c r="G1535" s="7" t="str">
        <f>IFERROR(__xludf.DUMMYFUNCTION("IF('Respuestas de formulario 1'!G1535="""","""",IF(LEFT(REGEXREPLACE(TO_TEXT('Respuestas de formulario 1'!G1535),""[^0-9]"",""""),2)=""54"",""+""&amp;REGEXREPLACE(TO_TEXT('Respuestas de formulario 1'!G1535),""[^0-9]"",""""),""+54""&amp;REGEXREPLACE(TO_TEXT('Respu"&amp;"estas de formulario 1'!G1535),""[^0-9]"","""")))"),"+543516427743")</f>
        <v>+543516427743</v>
      </c>
      <c r="H1535" s="7" t="str">
        <f>'Respuestas de formulario 1'!S1535</f>
        <v/>
      </c>
      <c r="I1535" s="7" t="str">
        <f>IFERROR(__xludf.DUMMYFUNCTION("IF('Respuestas de formulario 1'!I1535="""","""",TO_TEXT('Respuestas de formulario 1'!I1535))"),"Particular")</f>
        <v>Particular</v>
      </c>
      <c r="J1535" s="7" t="str">
        <f>IFERROR(__xludf.DUMMYFUNCTION("IF('Respuestas de formulario 1'!J1535&lt;&gt;"""",UPPER(TRIM(TO_TEXT('Respuestas de formulario 1'!J1535))),IF('Respuestas de formulario 1'!O1535&lt;&gt;"""",UPPER(TRIM(TO_TEXT('Respuestas de formulario 1'!O1535))),""""))"),"")</f>
        <v/>
      </c>
      <c r="K1535" s="7" t="str">
        <f>IFERROR(__xludf.DUMMYFUNCTION("IF('Respuestas de formulario 1'!K1535="""","""",TO_TEXT('Respuestas de formulario 1'!K1535))"),"Si")</f>
        <v>Si</v>
      </c>
      <c r="L1535" s="7" t="str">
        <f>IFERROR(__xludf.DUMMYFUNCTION("IF('Respuestas de formulario 1'!L1535="""","""",TO_TEXT('Respuestas de formulario 1'!L1535))"),"Gimnasio+Futbol")</f>
        <v>Gimnasio+Futbol</v>
      </c>
      <c r="M1535" s="7" t="str">
        <f>IFERROR(__xludf.DUMMYFUNCTION("IF('Respuestas de formulario 1'!M1535="""","""",TO_TEXT('Respuestas de formulario 1'!M1535))"),"3 a 5 veces por semana")</f>
        <v>3 a 5 veces por semana</v>
      </c>
      <c r="N1535" s="7">
        <f t="shared" si="1"/>
        <v>2026</v>
      </c>
      <c r="O1535" s="7" t="str">
        <f t="shared" si="2"/>
        <v>abril</v>
      </c>
      <c r="P1535" s="7" t="s">
        <v>7175</v>
      </c>
    </row>
    <row r="1536">
      <c r="A1536" s="19">
        <f>'Respuestas de formulario 1'!A1536</f>
        <v>46113.73431</v>
      </c>
      <c r="B1536" s="7" t="str">
        <f>'Respuestas de formulario 1'!B1536</f>
        <v>Cordoba </v>
      </c>
      <c r="C1536" s="7" t="str">
        <f>'Respuestas de formulario 1'!C1536</f>
        <v>María Cristina </v>
      </c>
      <c r="D1536" s="7" t="str">
        <f>'Respuestas de formulario 1'!D1536</f>
        <v>mcristina.cordoba48@gmail.com</v>
      </c>
      <c r="E1536" s="20">
        <f>'Respuestas de formulario 1'!E1536</f>
        <v>46136</v>
      </c>
      <c r="F1536" s="7">
        <f>'Respuestas de formulario 1'!F1536</f>
        <v>5748270</v>
      </c>
      <c r="G1536" s="7" t="str">
        <f>IFERROR(__xludf.DUMMYFUNCTION("IF('Respuestas de formulario 1'!G1536="""","""",IF(LEFT(REGEXREPLACE(TO_TEXT('Respuestas de formulario 1'!G1536),""[^0-9]"",""""),2)=""54"",""+""&amp;REGEXREPLACE(TO_TEXT('Respuestas de formulario 1'!G1536),""[^0-9]"",""""),""+54""&amp;REGEXREPLACE(TO_TEXT('Respu"&amp;"estas de formulario 1'!G1536),""[^0-9]"","""")))"),"+543541573138")</f>
        <v>+543541573138</v>
      </c>
      <c r="H1536" s="7" t="str">
        <f>'Respuestas de formulario 1'!S1536</f>
        <v/>
      </c>
      <c r="I1536" s="7" t="str">
        <f>IFERROR(__xludf.DUMMYFUNCTION("IF('Respuestas de formulario 1'!I1536="""","""",TO_TEXT('Respuestas de formulario 1'!I1536))"),"Particular")</f>
        <v>Particular</v>
      </c>
      <c r="J1536" s="7" t="str">
        <f>IFERROR(__xludf.DUMMYFUNCTION("IF('Respuestas de formulario 1'!J1536&lt;&gt;"""",UPPER(TRIM(TO_TEXT('Respuestas de formulario 1'!J1536))),IF('Respuestas de formulario 1'!O1536&lt;&gt;"""",UPPER(TRIM(TO_TEXT('Respuestas de formulario 1'!O1536))),""""))"),"")</f>
        <v/>
      </c>
      <c r="K1536" s="7" t="str">
        <f>IFERROR(__xludf.DUMMYFUNCTION("IF('Respuestas de formulario 1'!K1536="""","""",TO_TEXT('Respuestas de formulario 1'!K1536))"),"Si")</f>
        <v>Si</v>
      </c>
      <c r="L1536" s="7" t="str">
        <f>IFERROR(__xludf.DUMMYFUNCTION("IF('Respuestas de formulario 1'!L1536="""","""",TO_TEXT('Respuestas de formulario 1'!L1536))"),"")</f>
        <v/>
      </c>
      <c r="M1536" s="7" t="str">
        <f>IFERROR(__xludf.DUMMYFUNCTION("IF('Respuestas de formulario 1'!M1536="""","""",TO_TEXT('Respuestas de formulario 1'!M1536))"),"1 a 2 veces por semana")</f>
        <v>1 a 2 veces por semana</v>
      </c>
      <c r="N1536" s="7">
        <f t="shared" si="1"/>
        <v>2026</v>
      </c>
      <c r="O1536" s="7" t="str">
        <f t="shared" si="2"/>
        <v>abril</v>
      </c>
      <c r="P1536" s="7" t="s">
        <v>7177</v>
      </c>
    </row>
    <row r="1537">
      <c r="A1537" s="19">
        <f>'Respuestas de formulario 1'!A1537</f>
        <v>46113.82397</v>
      </c>
      <c r="B1537" s="7" t="str">
        <f>'Respuestas de formulario 1'!B1537</f>
        <v>parra</v>
      </c>
      <c r="C1537" s="7" t="str">
        <f>'Respuestas de formulario 1'!C1537</f>
        <v>mauricio german</v>
      </c>
      <c r="D1537" s="7" t="str">
        <f>'Respuestas de formulario 1'!D1537</f>
        <v>mauriciooparra40@gmail.com</v>
      </c>
      <c r="E1537" s="20">
        <f>'Respuestas de formulario 1'!E1537</f>
        <v>33917</v>
      </c>
      <c r="F1537" s="7">
        <f>'Respuestas de formulario 1'!F1537</f>
        <v>36431649</v>
      </c>
      <c r="G1537" s="7" t="str">
        <f>IFERROR(__xludf.DUMMYFUNCTION("IF('Respuestas de formulario 1'!G1537="""","""",IF(LEFT(REGEXREPLACE(TO_TEXT('Respuestas de formulario 1'!G1537),""[^0-9]"",""""),2)=""54"",""+""&amp;REGEXREPLACE(TO_TEXT('Respuestas de formulario 1'!G1537),""[^0-9]"",""""),""+54""&amp;REGEXREPLACE(TO_TEXT('Respu"&amp;"estas de formulario 1'!G1537),""[^0-9]"","""")))"),"+543513781992")</f>
        <v>+543513781992</v>
      </c>
      <c r="H1537" s="7" t="str">
        <f>'Respuestas de formulario 1'!S1537</f>
        <v/>
      </c>
      <c r="I1537" s="7" t="str">
        <f>IFERROR(__xludf.DUMMYFUNCTION("IF('Respuestas de formulario 1'!I1537="""","""",TO_TEXT('Respuestas de formulario 1'!I1537))"),"Obra social")</f>
        <v>Obra social</v>
      </c>
      <c r="J1537" s="7" t="str">
        <f>IFERROR(__xludf.DUMMYFUNCTION("IF('Respuestas de formulario 1'!J1537&lt;&gt;"""",UPPER(TRIM(TO_TEXT('Respuestas de formulario 1'!J1537))),IF('Respuestas de formulario 1'!O1537&lt;&gt;"""",UPPER(TRIM(TO_TEXT('Respuestas de formulario 1'!O1537))),""""))"),"SANCOR")</f>
        <v>SANCOR</v>
      </c>
      <c r="K1537" s="7" t="str">
        <f>IFERROR(__xludf.DUMMYFUNCTION("IF('Respuestas de formulario 1'!K1537="""","""",TO_TEXT('Respuestas de formulario 1'!K1537))"),"Si")</f>
        <v>Si</v>
      </c>
      <c r="L1537" s="7" t="str">
        <f>IFERROR(__xludf.DUMMYFUNCTION("IF('Respuestas de formulario 1'!L1537="""","""",TO_TEXT('Respuestas de formulario 1'!L1537))"),"Running")</f>
        <v>Running</v>
      </c>
      <c r="M1537" s="7" t="str">
        <f>IFERROR(__xludf.DUMMYFUNCTION("IF('Respuestas de formulario 1'!M1537="""","""",TO_TEXT('Respuestas de formulario 1'!M1537))"),"3 a 5 veces por semana")</f>
        <v>3 a 5 veces por semana</v>
      </c>
      <c r="N1537" s="7">
        <f t="shared" si="1"/>
        <v>2026</v>
      </c>
      <c r="O1537" s="7" t="str">
        <f t="shared" si="2"/>
        <v>abril</v>
      </c>
      <c r="P1537" s="7" t="s">
        <v>7179</v>
      </c>
    </row>
    <row r="1538">
      <c r="A1538" s="19">
        <f>'Respuestas de formulario 1'!A1538</f>
        <v>46118.67</v>
      </c>
      <c r="B1538" s="7" t="str">
        <f>'Respuestas de formulario 1'!B1538</f>
        <v>TORRES</v>
      </c>
      <c r="C1538" s="7" t="str">
        <f>'Respuestas de formulario 1'!C1538</f>
        <v>Marcelo</v>
      </c>
      <c r="D1538" s="7" t="str">
        <f>'Respuestas de formulario 1'!D1538</f>
        <v/>
      </c>
      <c r="E1538" s="20">
        <f>'Respuestas de formulario 1'!E1538</f>
        <v>28856</v>
      </c>
      <c r="F1538" s="7">
        <f>'Respuestas de formulario 1'!F1538</f>
        <v>28118402</v>
      </c>
      <c r="G1538" s="7" t="str">
        <f>IFERROR(__xludf.DUMMYFUNCTION("IF('Respuestas de formulario 1'!G1538="""","""",IF(LEFT(REGEXREPLACE(TO_TEXT('Respuestas de formulario 1'!G1538),""[^0-9]"",""""),2)=""54"",""+""&amp;REGEXREPLACE(TO_TEXT('Respuestas de formulario 1'!G1538),""[^0-9]"",""""),""+54""&amp;REGEXREPLACE(TO_TEXT('Respu"&amp;"estas de formulario 1'!G1538),""[^0-9]"","""")))"),"+543543607392")</f>
        <v>+543543607392</v>
      </c>
      <c r="H1538" s="7" t="str">
        <f>'Respuestas de formulario 1'!S1538</f>
        <v/>
      </c>
      <c r="I1538" s="7" t="str">
        <f>IFERROR(__xludf.DUMMYFUNCTION("IF('Respuestas de formulario 1'!I1538="""","""",TO_TEXT('Respuestas de formulario 1'!I1538))"),"Particular")</f>
        <v>Particular</v>
      </c>
      <c r="J1538" s="7" t="str">
        <f>IFERROR(__xludf.DUMMYFUNCTION("IF('Respuestas de formulario 1'!J1538&lt;&gt;"""",UPPER(TRIM(TO_TEXT('Respuestas de formulario 1'!J1538))),IF('Respuestas de formulario 1'!O1538&lt;&gt;"""",UPPER(TRIM(TO_TEXT('Respuestas de formulario 1'!O1538))),""""))"),"")</f>
        <v/>
      </c>
      <c r="K1538" s="7" t="str">
        <f>IFERROR(__xludf.DUMMYFUNCTION("IF('Respuestas de formulario 1'!K1538="""","""",TO_TEXT('Respuestas de formulario 1'!K1538))"),"No")</f>
        <v>No</v>
      </c>
      <c r="L1538" s="7" t="str">
        <f>IFERROR(__xludf.DUMMYFUNCTION("IF('Respuestas de formulario 1'!L1538="""","""",TO_TEXT('Respuestas de formulario 1'!L1538))"),"")</f>
        <v/>
      </c>
      <c r="M1538" s="7" t="str">
        <f>IFERROR(__xludf.DUMMYFUNCTION("IF('Respuestas de formulario 1'!M1538="""","""",TO_TEXT('Respuestas de formulario 1'!M1538))"),"")</f>
        <v/>
      </c>
      <c r="N1538" s="7">
        <f t="shared" si="1"/>
        <v>2026</v>
      </c>
      <c r="O1538" s="7" t="str">
        <f t="shared" si="2"/>
        <v>abril</v>
      </c>
      <c r="P1538" s="7" t="s">
        <v>7181</v>
      </c>
    </row>
    <row r="1539">
      <c r="A1539" s="19">
        <f>'Respuestas de formulario 1'!A1539</f>
        <v>46118.8279</v>
      </c>
      <c r="B1539" s="7" t="str">
        <f>'Respuestas de formulario 1'!B1539</f>
        <v>Molina</v>
      </c>
      <c r="C1539" s="7" t="str">
        <f>'Respuestas de formulario 1'!C1539</f>
        <v>Luciana</v>
      </c>
      <c r="D1539" s="7" t="str">
        <f>'Respuestas de formulario 1'!D1539</f>
        <v>lucianamolina1990@gmail.com</v>
      </c>
      <c r="E1539" s="20">
        <f>'Respuestas de formulario 1'!E1539</f>
        <v>32965</v>
      </c>
      <c r="F1539" s="7">
        <f>'Respuestas de formulario 1'!F1539</f>
        <v>35179255</v>
      </c>
      <c r="G1539" s="7" t="str">
        <f>IFERROR(__xludf.DUMMYFUNCTION("IF('Respuestas de formulario 1'!G1539="""","""",IF(LEFT(REGEXREPLACE(TO_TEXT('Respuestas de formulario 1'!G1539),""[^0-9]"",""""),2)=""54"",""+""&amp;REGEXREPLACE(TO_TEXT('Respuestas de formulario 1'!G1539),""[^0-9]"",""""),""+54""&amp;REGEXREPLACE(TO_TEXT('Respu"&amp;"estas de formulario 1'!G1539),""[^0-9]"","""")))"),"+543512245384")</f>
        <v>+543512245384</v>
      </c>
      <c r="H1539" s="7" t="str">
        <f>'Respuestas de formulario 1'!S1539</f>
        <v/>
      </c>
      <c r="I1539" s="7" t="str">
        <f>IFERROR(__xludf.DUMMYFUNCTION("IF('Respuestas de formulario 1'!I1539="""","""",TO_TEXT('Respuestas de formulario 1'!I1539))"),"Particular")</f>
        <v>Particular</v>
      </c>
      <c r="J1539" s="7" t="str">
        <f>IFERROR(__xludf.DUMMYFUNCTION("IF('Respuestas de formulario 1'!J1539&lt;&gt;"""",UPPER(TRIM(TO_TEXT('Respuestas de formulario 1'!J1539))),IF('Respuestas de formulario 1'!O1539&lt;&gt;"""",UPPER(TRIM(TO_TEXT('Respuestas de formulario 1'!O1539))),""""))"),"")</f>
        <v/>
      </c>
      <c r="K1539" s="7" t="str">
        <f>IFERROR(__xludf.DUMMYFUNCTION("IF('Respuestas de formulario 1'!K1539="""","""",TO_TEXT('Respuestas de formulario 1'!K1539))"),"Si")</f>
        <v>Si</v>
      </c>
      <c r="L1539" s="7" t="str">
        <f>IFERROR(__xludf.DUMMYFUNCTION("IF('Respuestas de formulario 1'!L1539="""","""",TO_TEXT('Respuestas de formulario 1'!L1539))"),"Futbol y pilates")</f>
        <v>Futbol y pilates</v>
      </c>
      <c r="M1539" s="7" t="str">
        <f>IFERROR(__xludf.DUMMYFUNCTION("IF('Respuestas de formulario 1'!M1539="""","""",TO_TEXT('Respuestas de formulario 1'!M1539))"),"3 a 5 veces por semana")</f>
        <v>3 a 5 veces por semana</v>
      </c>
      <c r="N1539" s="7">
        <f t="shared" si="1"/>
        <v>2026</v>
      </c>
      <c r="O1539" s="7" t="str">
        <f t="shared" si="2"/>
        <v>abril</v>
      </c>
      <c r="P1539" s="7" t="s">
        <v>7182</v>
      </c>
    </row>
    <row r="1540">
      <c r="A1540" s="19">
        <f>'Respuestas de formulario 1'!A1540</f>
        <v>46119.43237</v>
      </c>
      <c r="B1540" s="7" t="str">
        <f>'Respuestas de formulario 1'!B1540</f>
        <v>Masini</v>
      </c>
      <c r="C1540" s="7" t="str">
        <f>'Respuestas de formulario 1'!C1540</f>
        <v>Erica</v>
      </c>
      <c r="D1540" s="7" t="str">
        <f>'Respuestas de formulario 1'!D1540</f>
        <v/>
      </c>
      <c r="E1540" s="20">
        <f>'Respuestas de formulario 1'!E1540</f>
        <v>32777</v>
      </c>
      <c r="F1540" s="7">
        <f>'Respuestas de formulario 1'!F1540</f>
        <v>34768768</v>
      </c>
      <c r="G1540" s="7" t="str">
        <f>IFERROR(__xludf.DUMMYFUNCTION("IF('Respuestas de formulario 1'!G1540="""","""",IF(LEFT(REGEXREPLACE(TO_TEXT('Respuestas de formulario 1'!G1540),""[^0-9]"",""""),2)=""54"",""+""&amp;REGEXREPLACE(TO_TEXT('Respuestas de formulario 1'!G1540),""[^0-9]"",""""),""+54""&amp;REGEXREPLACE(TO_TEXT('Respu"&amp;"estas de formulario 1'!G1540),""[^0-9]"","""")))"),"+543516426757")</f>
        <v>+543516426757</v>
      </c>
      <c r="H1540" s="7" t="str">
        <f>'Respuestas de formulario 1'!S1540</f>
        <v/>
      </c>
      <c r="I1540" s="7" t="str">
        <f>IFERROR(__xludf.DUMMYFUNCTION("IF('Respuestas de formulario 1'!I1540="""","""",TO_TEXT('Respuestas de formulario 1'!I1540))"),"Particular")</f>
        <v>Particular</v>
      </c>
      <c r="J1540" s="7" t="str">
        <f>IFERROR(__xludf.DUMMYFUNCTION("IF('Respuestas de formulario 1'!J1540&lt;&gt;"""",UPPER(TRIM(TO_TEXT('Respuestas de formulario 1'!J1540))),IF('Respuestas de formulario 1'!O1540&lt;&gt;"""",UPPER(TRIM(TO_TEXT('Respuestas de formulario 1'!O1540))),""""))"),"")</f>
        <v/>
      </c>
      <c r="K1540" s="7" t="str">
        <f>IFERROR(__xludf.DUMMYFUNCTION("IF('Respuestas de formulario 1'!K1540="""","""",TO_TEXT('Respuestas de formulario 1'!K1540))"),"Si")</f>
        <v>Si</v>
      </c>
      <c r="L1540" s="7" t="str">
        <f>IFERROR(__xludf.DUMMYFUNCTION("IF('Respuestas de formulario 1'!L1540="""","""",TO_TEXT('Respuestas de formulario 1'!L1540))"),"")</f>
        <v/>
      </c>
      <c r="M1540" s="7" t="str">
        <f>IFERROR(__xludf.DUMMYFUNCTION("IF('Respuestas de formulario 1'!M1540="""","""",TO_TEXT('Respuestas de formulario 1'!M1540))"),"1 a 2 veces por semana")</f>
        <v>1 a 2 veces por semana</v>
      </c>
      <c r="N1540" s="7">
        <f t="shared" si="1"/>
        <v>2026</v>
      </c>
      <c r="O1540" s="7" t="str">
        <f t="shared" si="2"/>
        <v>abril</v>
      </c>
      <c r="P1540" s="7" t="s">
        <v>7184</v>
      </c>
    </row>
    <row r="1541">
      <c r="A1541" s="19">
        <f>'Respuestas de formulario 1'!A1541</f>
        <v>46119.67643</v>
      </c>
      <c r="B1541" s="7" t="str">
        <f>'Respuestas de formulario 1'!B1541</f>
        <v>VEGA, BALAT</v>
      </c>
      <c r="C1541" s="7" t="str">
        <f>'Respuestas de formulario 1'!C1541</f>
        <v>Leticia </v>
      </c>
      <c r="D1541" s="7" t="str">
        <f>'Respuestas de formulario 1'!D1541</f>
        <v>Lety1818@hotmail.com</v>
      </c>
      <c r="E1541" s="20">
        <f>'Respuestas de formulario 1'!E1541</f>
        <v>30541</v>
      </c>
      <c r="F1541" s="7">
        <f>'Respuestas de formulario 1'!F1541</f>
        <v>30331816</v>
      </c>
      <c r="G1541" s="7" t="str">
        <f>IFERROR(__xludf.DUMMYFUNCTION("IF('Respuestas de formulario 1'!G1541="""","""",IF(LEFT(REGEXREPLACE(TO_TEXT('Respuestas de formulario 1'!G1541),""[^0-9]"",""""),2)=""54"",""+""&amp;REGEXREPLACE(TO_TEXT('Respuestas de formulario 1'!G1541),""[^0-9]"",""""),""+54""&amp;REGEXREPLACE(TO_TEXT('Respu"&amp;"estas de formulario 1'!G1541),""[^0-9]"","""")))"),"+54351299758")</f>
        <v>+54351299758</v>
      </c>
      <c r="H1541" s="7" t="str">
        <f>'Respuestas de formulario 1'!S1541</f>
        <v/>
      </c>
      <c r="I1541" s="7" t="str">
        <f>IFERROR(__xludf.DUMMYFUNCTION("IF('Respuestas de formulario 1'!I1541="""","""",TO_TEXT('Respuestas de formulario 1'!I1541))"),"Particular")</f>
        <v>Particular</v>
      </c>
      <c r="J1541" s="7" t="str">
        <f>IFERROR(__xludf.DUMMYFUNCTION("IF('Respuestas de formulario 1'!J1541&lt;&gt;"""",UPPER(TRIM(TO_TEXT('Respuestas de formulario 1'!J1541))),IF('Respuestas de formulario 1'!O1541&lt;&gt;"""",UPPER(TRIM(TO_TEXT('Respuestas de formulario 1'!O1541))),""""))"),"")</f>
        <v/>
      </c>
      <c r="K1541" s="7" t="str">
        <f>IFERROR(__xludf.DUMMYFUNCTION("IF('Respuestas de formulario 1'!K1541="""","""",TO_TEXT('Respuestas de formulario 1'!K1541))"),"No")</f>
        <v>No</v>
      </c>
      <c r="L1541" s="7" t="str">
        <f>IFERROR(__xludf.DUMMYFUNCTION("IF('Respuestas de formulario 1'!L1541="""","""",TO_TEXT('Respuestas de formulario 1'!L1541))"),"")</f>
        <v/>
      </c>
      <c r="M1541" s="7" t="str">
        <f>IFERROR(__xludf.DUMMYFUNCTION("IF('Respuestas de formulario 1'!M1541="""","""",TO_TEXT('Respuestas de formulario 1'!M1541))"),"")</f>
        <v/>
      </c>
      <c r="N1541" s="7">
        <f t="shared" si="1"/>
        <v>2026</v>
      </c>
      <c r="O1541" s="7" t="str">
        <f t="shared" si="2"/>
        <v>abril</v>
      </c>
      <c r="P1541" s="7" t="s">
        <v>7186</v>
      </c>
    </row>
    <row r="1542">
      <c r="A1542" s="19">
        <f>'Respuestas de formulario 1'!A1542</f>
        <v>46119.69934</v>
      </c>
      <c r="B1542" s="7" t="str">
        <f>'Respuestas de formulario 1'!B1542</f>
        <v>ROLOTTI</v>
      </c>
      <c r="C1542" s="7" t="str">
        <f>'Respuestas de formulario 1'!C1542</f>
        <v>TRINIDAD</v>
      </c>
      <c r="D1542" s="7" t="str">
        <f>'Respuestas de formulario 1'!D1542</f>
        <v>rolottitrinidad@gmail.com</v>
      </c>
      <c r="E1542" s="20">
        <f>'Respuestas de formulario 1'!E1542</f>
        <v>38535</v>
      </c>
      <c r="F1542" s="7">
        <f>'Respuestas de formulario 1'!F1542</f>
        <v>46127485</v>
      </c>
      <c r="G1542" s="7" t="str">
        <f>IFERROR(__xludf.DUMMYFUNCTION("IF('Respuestas de formulario 1'!G1542="""","""",IF(LEFT(REGEXREPLACE(TO_TEXT('Respuestas de formulario 1'!G1542),""[^0-9]"",""""),2)=""54"",""+""&amp;REGEXREPLACE(TO_TEXT('Respuestas de formulario 1'!G1542),""[^0-9]"",""""),""+54""&amp;REGEXREPLACE(TO_TEXT('Respu"&amp;"estas de formulario 1'!G1542),""[^0-9]"","""")))"),"+543512036872")</f>
        <v>+543512036872</v>
      </c>
      <c r="H1542" s="7" t="str">
        <f>'Respuestas de formulario 1'!S1542</f>
        <v/>
      </c>
      <c r="I1542" s="7" t="str">
        <f>IFERROR(__xludf.DUMMYFUNCTION("IF('Respuestas de formulario 1'!I1542="""","""",TO_TEXT('Respuestas de formulario 1'!I1542))"),"Obra social")</f>
        <v>Obra social</v>
      </c>
      <c r="J1542" s="7" t="str">
        <f>IFERROR(__xludf.DUMMYFUNCTION("IF('Respuestas de formulario 1'!J1542&lt;&gt;"""",UPPER(TRIM(TO_TEXT('Respuestas de formulario 1'!J1542))),IF('Respuestas de formulario 1'!O1542&lt;&gt;"""",UPPER(TRIM(TO_TEXT('Respuestas de formulario 1'!O1542))),""""))"),"CPCE")</f>
        <v>CPCE</v>
      </c>
      <c r="K1542" s="7" t="str">
        <f>IFERROR(__xludf.DUMMYFUNCTION("IF('Respuestas de formulario 1'!K1542="""","""",TO_TEXT('Respuestas de formulario 1'!K1542))"),"Si")</f>
        <v>Si</v>
      </c>
      <c r="L1542" s="7" t="str">
        <f>IFERROR(__xludf.DUMMYFUNCTION("IF('Respuestas de formulario 1'!L1542="""","""",TO_TEXT('Respuestas de formulario 1'!L1542))"),"Fútbol")</f>
        <v>Fútbol</v>
      </c>
      <c r="M1542" s="7" t="str">
        <f>IFERROR(__xludf.DUMMYFUNCTION("IF('Respuestas de formulario 1'!M1542="""","""",TO_TEXT('Respuestas de formulario 1'!M1542))"),"3 a 5 veces por semana")</f>
        <v>3 a 5 veces por semana</v>
      </c>
      <c r="N1542" s="7">
        <f t="shared" si="1"/>
        <v>2026</v>
      </c>
      <c r="O1542" s="7" t="str">
        <f t="shared" si="2"/>
        <v>abril</v>
      </c>
      <c r="P1542" s="7" t="s">
        <v>7188</v>
      </c>
    </row>
    <row r="1543">
      <c r="A1543" s="19">
        <f>'Respuestas de formulario 1'!A1543</f>
        <v>46121.55308</v>
      </c>
      <c r="B1543" s="7" t="str">
        <f>'Respuestas de formulario 1'!B1543</f>
        <v>Roberts</v>
      </c>
      <c r="C1543" s="7" t="str">
        <f>'Respuestas de formulario 1'!C1543</f>
        <v>Andrea monica</v>
      </c>
      <c r="D1543" s="7" t="str">
        <f>'Respuestas de formulario 1'!D1543</f>
        <v>andreamroberts28@gmail.com</v>
      </c>
      <c r="E1543" s="20">
        <f>'Respuestas de formulario 1'!E1543</f>
        <v>25777</v>
      </c>
      <c r="F1543" s="7">
        <f>'Respuestas de formulario 1'!F1543</f>
        <v>21629318</v>
      </c>
      <c r="G1543" s="7" t="str">
        <f>IFERROR(__xludf.DUMMYFUNCTION("IF('Respuestas de formulario 1'!G1543="""","""",IF(LEFT(REGEXREPLACE(TO_TEXT('Respuestas de formulario 1'!G1543),""[^0-9]"",""""),2)=""54"",""+""&amp;REGEXREPLACE(TO_TEXT('Respuestas de formulario 1'!G1543),""[^0-9]"",""""),""+54""&amp;REGEXREPLACE(TO_TEXT('Respu"&amp;"estas de formulario 1'!G1543),""[^0-9]"","""")))"),"+543515224541")</f>
        <v>+543515224541</v>
      </c>
      <c r="H1543" s="7" t="str">
        <f>'Respuestas de formulario 1'!S1543</f>
        <v/>
      </c>
      <c r="I1543" s="7" t="str">
        <f>IFERROR(__xludf.DUMMYFUNCTION("IF('Respuestas de formulario 1'!I1543="""","""",TO_TEXT('Respuestas de formulario 1'!I1543))"),"Particular")</f>
        <v>Particular</v>
      </c>
      <c r="J1543" s="7" t="str">
        <f>IFERROR(__xludf.DUMMYFUNCTION("IF('Respuestas de formulario 1'!J1543&lt;&gt;"""",UPPER(TRIM(TO_TEXT('Respuestas de formulario 1'!J1543))),IF('Respuestas de formulario 1'!O1543&lt;&gt;"""",UPPER(TRIM(TO_TEXT('Respuestas de formulario 1'!O1543))),""""))"),"")</f>
        <v/>
      </c>
      <c r="K1543" s="7" t="str">
        <f>IFERROR(__xludf.DUMMYFUNCTION("IF('Respuestas de formulario 1'!K1543="""","""",TO_TEXT('Respuestas de formulario 1'!K1543))"),"Si")</f>
        <v>Si</v>
      </c>
      <c r="L1543" s="7" t="str">
        <f>IFERROR(__xludf.DUMMYFUNCTION("IF('Respuestas de formulario 1'!L1543="""","""",TO_TEXT('Respuestas de formulario 1'!L1543))"),"Gimnasio")</f>
        <v>Gimnasio</v>
      </c>
      <c r="M1543" s="7" t="str">
        <f>IFERROR(__xludf.DUMMYFUNCTION("IF('Respuestas de formulario 1'!M1543="""","""",TO_TEXT('Respuestas de formulario 1'!M1543))"),"3 a 5 veces por semana")</f>
        <v>3 a 5 veces por semana</v>
      </c>
      <c r="N1543" s="7">
        <f t="shared" si="1"/>
        <v>2026</v>
      </c>
      <c r="O1543" s="7" t="str">
        <f t="shared" si="2"/>
        <v>abril</v>
      </c>
      <c r="P1543" s="7" t="s">
        <v>7190</v>
      </c>
    </row>
    <row r="1544">
      <c r="A1544" s="19">
        <f>'Respuestas de formulario 1'!A1544</f>
        <v>46121.59709</v>
      </c>
      <c r="B1544" s="7" t="str">
        <f>'Respuestas de formulario 1'!B1544</f>
        <v>Jaime </v>
      </c>
      <c r="C1544" s="7" t="str">
        <f>'Respuestas de formulario 1'!C1544</f>
        <v>Fidel Adolfo</v>
      </c>
      <c r="D1544" s="7" t="str">
        <f>'Respuestas de formulario 1'!D1544</f>
        <v>filijaime42@gmail.com</v>
      </c>
      <c r="E1544" s="20">
        <f>'Respuestas de formulario 1'!E1544</f>
        <v>24925</v>
      </c>
      <c r="F1544" s="7">
        <f>'Respuestas de formulario 1'!F1544</f>
        <v>20345212</v>
      </c>
      <c r="G1544" s="7" t="str">
        <f>IFERROR(__xludf.DUMMYFUNCTION("IF('Respuestas de formulario 1'!G1544="""","""",IF(LEFT(REGEXREPLACE(TO_TEXT('Respuestas de formulario 1'!G1544),""[^0-9]"",""""),2)=""54"",""+""&amp;REGEXREPLACE(TO_TEXT('Respuestas de formulario 1'!G1544),""[^0-9]"",""""),""+54""&amp;REGEXREPLACE(TO_TEXT('Respu"&amp;"estas de formulario 1'!G1544),""[^0-9]"","""")))"),"+543516841508")</f>
        <v>+543516841508</v>
      </c>
      <c r="H1544" s="7" t="str">
        <f>'Respuestas de formulario 1'!S1544</f>
        <v/>
      </c>
      <c r="I1544" s="7" t="str">
        <f>IFERROR(__xludf.DUMMYFUNCTION("IF('Respuestas de formulario 1'!I1544="""","""",TO_TEXT('Respuestas de formulario 1'!I1544))"),"Particular")</f>
        <v>Particular</v>
      </c>
      <c r="J1544" s="7" t="str">
        <f>IFERROR(__xludf.DUMMYFUNCTION("IF('Respuestas de formulario 1'!J1544&lt;&gt;"""",UPPER(TRIM(TO_TEXT('Respuestas de formulario 1'!J1544))),IF('Respuestas de formulario 1'!O1544&lt;&gt;"""",UPPER(TRIM(TO_TEXT('Respuestas de formulario 1'!O1544))),""""))"),"")</f>
        <v/>
      </c>
      <c r="K1544" s="7" t="str">
        <f>IFERROR(__xludf.DUMMYFUNCTION("IF('Respuestas de formulario 1'!K1544="""","""",TO_TEXT('Respuestas de formulario 1'!K1544))"),"No")</f>
        <v>No</v>
      </c>
      <c r="L1544" s="7" t="str">
        <f>IFERROR(__xludf.DUMMYFUNCTION("IF('Respuestas de formulario 1'!L1544="""","""",TO_TEXT('Respuestas de formulario 1'!L1544))"),"")</f>
        <v/>
      </c>
      <c r="M1544" s="7" t="str">
        <f>IFERROR(__xludf.DUMMYFUNCTION("IF('Respuestas de formulario 1'!M1544="""","""",TO_TEXT('Respuestas de formulario 1'!M1544))"),"")</f>
        <v/>
      </c>
      <c r="N1544" s="7">
        <f t="shared" si="1"/>
        <v>2026</v>
      </c>
      <c r="O1544" s="7" t="str">
        <f t="shared" si="2"/>
        <v>abril</v>
      </c>
      <c r="P1544" s="7" t="s">
        <v>7192</v>
      </c>
    </row>
    <row r="1545">
      <c r="A1545" s="19">
        <f>'Respuestas de formulario 1'!A1545</f>
        <v>46121.82777</v>
      </c>
      <c r="B1545" s="7" t="str">
        <f>'Respuestas de formulario 1'!B1545</f>
        <v>PALACIOS</v>
      </c>
      <c r="C1545" s="7" t="str">
        <f>'Respuestas de formulario 1'!C1545</f>
        <v>Ana Paula </v>
      </c>
      <c r="D1545" s="7" t="str">
        <f>'Respuestas de formulario 1'!D1545</f>
        <v>anapaulapalacios17@gmail.com </v>
      </c>
      <c r="E1545" s="20">
        <f>'Respuestas de formulario 1'!E1545</f>
        <v>38594</v>
      </c>
      <c r="F1545" s="7">
        <f>'Respuestas de formulario 1'!F1545</f>
        <v>46127662</v>
      </c>
      <c r="G1545" s="7" t="str">
        <f>IFERROR(__xludf.DUMMYFUNCTION("IF('Respuestas de formulario 1'!G1545="""","""",IF(LEFT(REGEXREPLACE(TO_TEXT('Respuestas de formulario 1'!G1545),""[^0-9]"",""""),2)=""54"",""+""&amp;REGEXREPLACE(TO_TEXT('Respuestas de formulario 1'!G1545),""[^0-9]"",""""),""+54""&amp;REGEXREPLACE(TO_TEXT('Respu"&amp;"estas de formulario 1'!G1545),""[^0-9]"","""")))"),"+543517357423")</f>
        <v>+543517357423</v>
      </c>
      <c r="H1545" s="7" t="str">
        <f>'Respuestas de formulario 1'!S1545</f>
        <v/>
      </c>
      <c r="I1545" s="7" t="str">
        <f>IFERROR(__xludf.DUMMYFUNCTION("IF('Respuestas de formulario 1'!I1545="""","""",TO_TEXT('Respuestas de formulario 1'!I1545))"),"Obra social")</f>
        <v>Obra social</v>
      </c>
      <c r="J1545" s="7" t="str">
        <f>IFERROR(__xludf.DUMMYFUNCTION("IF('Respuestas de formulario 1'!J1545&lt;&gt;"""",UPPER(TRIM(TO_TEXT('Respuestas de formulario 1'!J1545))),IF('Respuestas de formulario 1'!O1545&lt;&gt;"""",UPPER(TRIM(TO_TEXT('Respuestas de formulario 1'!O1545))),""""))"),"APROSS")</f>
        <v>APROSS</v>
      </c>
      <c r="K1545" s="7" t="str">
        <f>IFERROR(__xludf.DUMMYFUNCTION("IF('Respuestas de formulario 1'!K1545="""","""",TO_TEXT('Respuestas de formulario 1'!K1545))"),"Si")</f>
        <v>Si</v>
      </c>
      <c r="L1545" s="7" t="str">
        <f>IFERROR(__xludf.DUMMYFUNCTION("IF('Respuestas de formulario 1'!L1545="""","""",TO_TEXT('Respuestas de formulario 1'!L1545))"),"pilates ")</f>
        <v>pilates </v>
      </c>
      <c r="M1545" s="7" t="str">
        <f>IFERROR(__xludf.DUMMYFUNCTION("IF('Respuestas de formulario 1'!M1545="""","""",TO_TEXT('Respuestas de formulario 1'!M1545))"),"3 a 5 veces por semana")</f>
        <v>3 a 5 veces por semana</v>
      </c>
      <c r="N1545" s="7">
        <f t="shared" si="1"/>
        <v>2026</v>
      </c>
      <c r="O1545" s="7" t="str">
        <f t="shared" si="2"/>
        <v>abril</v>
      </c>
      <c r="P1545" s="7" t="s">
        <v>7194</v>
      </c>
    </row>
    <row r="1546">
      <c r="A1546" s="19">
        <f>'Respuestas de formulario 1'!A1546</f>
        <v>46121.90034</v>
      </c>
      <c r="B1546" s="7" t="str">
        <f>'Respuestas de formulario 1'!B1546</f>
        <v>Carretero</v>
      </c>
      <c r="C1546" s="7" t="str">
        <f>'Respuestas de formulario 1'!C1546</f>
        <v>Julieta </v>
      </c>
      <c r="D1546" s="7" t="str">
        <f>'Respuestas de formulario 1'!D1546</f>
        <v>julietacarretero@gmail.com</v>
      </c>
      <c r="E1546" s="20">
        <f>'Respuestas de formulario 1'!E1546</f>
        <v>28651</v>
      </c>
      <c r="F1546" s="7">
        <f>'Respuestas de formulario 1'!F1546</f>
        <v>26484892</v>
      </c>
      <c r="G1546" s="7" t="str">
        <f>IFERROR(__xludf.DUMMYFUNCTION("IF('Respuestas de formulario 1'!G1546="""","""",IF(LEFT(REGEXREPLACE(TO_TEXT('Respuestas de formulario 1'!G1546),""[^0-9]"",""""),2)=""54"",""+""&amp;REGEXREPLACE(TO_TEXT('Respuestas de formulario 1'!G1546),""[^0-9]"",""""),""+54""&amp;REGEXREPLACE(TO_TEXT('Respu"&amp;"estas de formulario 1'!G1546),""[^0-9]"","""")))"),"+543512470920")</f>
        <v>+543512470920</v>
      </c>
      <c r="H1546" s="7" t="str">
        <f>'Respuestas de formulario 1'!S1546</f>
        <v/>
      </c>
      <c r="I1546" s="7" t="str">
        <f>IFERROR(__xludf.DUMMYFUNCTION("IF('Respuestas de formulario 1'!I1546="""","""",TO_TEXT('Respuestas de formulario 1'!I1546))"),"Obra social")</f>
        <v>Obra social</v>
      </c>
      <c r="J1546" s="7" t="str">
        <f>IFERROR(__xludf.DUMMYFUNCTION("IF('Respuestas de formulario 1'!J1546&lt;&gt;"""",UPPER(TRIM(TO_TEXT('Respuestas de formulario 1'!J1546))),IF('Respuestas de formulario 1'!O1546&lt;&gt;"""",UPPER(TRIM(TO_TEXT('Respuestas de formulario 1'!O1546))),""""))"),"DASPU")</f>
        <v>DASPU</v>
      </c>
      <c r="K1546" s="7" t="str">
        <f>IFERROR(__xludf.DUMMYFUNCTION("IF('Respuestas de formulario 1'!K1546="""","""",TO_TEXT('Respuestas de formulario 1'!K1546))"),"Si")</f>
        <v>Si</v>
      </c>
      <c r="L1546" s="7" t="str">
        <f>IFERROR(__xludf.DUMMYFUNCTION("IF('Respuestas de formulario 1'!L1546="""","""",TO_TEXT('Respuestas de formulario 1'!L1546))"),"Gimnasio")</f>
        <v>Gimnasio</v>
      </c>
      <c r="M1546" s="7" t="str">
        <f>IFERROR(__xludf.DUMMYFUNCTION("IF('Respuestas de formulario 1'!M1546="""","""",TO_TEXT('Respuestas de formulario 1'!M1546))"),"1 a 2 veces por semana")</f>
        <v>1 a 2 veces por semana</v>
      </c>
      <c r="N1546" s="7">
        <f t="shared" si="1"/>
        <v>2026</v>
      </c>
      <c r="O1546" s="7" t="str">
        <f t="shared" si="2"/>
        <v>abril</v>
      </c>
      <c r="P1546" s="7" t="s">
        <v>7195</v>
      </c>
    </row>
    <row r="1547">
      <c r="A1547" s="19">
        <f>'Respuestas de formulario 1'!A1547</f>
        <v>46122.47198</v>
      </c>
      <c r="B1547" s="7" t="str">
        <f>'Respuestas de formulario 1'!B1547</f>
        <v>Acosta</v>
      </c>
      <c r="C1547" s="7" t="str">
        <f>'Respuestas de formulario 1'!C1547</f>
        <v>Lucas</v>
      </c>
      <c r="D1547" s="7" t="str">
        <f>'Respuestas de formulario 1'!D1547</f>
        <v>mauricioacostalucas15@gmail.com</v>
      </c>
      <c r="E1547" s="20">
        <f>'Respuestas de formulario 1'!E1547</f>
        <v>34770</v>
      </c>
      <c r="F1547" s="7">
        <f>'Respuestas de formulario 1'!F1547</f>
        <v>38009408</v>
      </c>
      <c r="G1547" s="7" t="str">
        <f>IFERROR(__xludf.DUMMYFUNCTION("IF('Respuestas de formulario 1'!G1547="""","""",IF(LEFT(REGEXREPLACE(TO_TEXT('Respuestas de formulario 1'!G1547),""[^0-9]"",""""),2)=""54"",""+""&amp;REGEXREPLACE(TO_TEXT('Respuestas de formulario 1'!G1547),""[^0-9]"",""""),""+54""&amp;REGEXREPLACE(TO_TEXT('Respu"&amp;"estas de formulario 1'!G1547),""[^0-9]"","""")))"),"+542364222018")</f>
        <v>+542364222018</v>
      </c>
      <c r="H1547" s="7" t="str">
        <f>'Respuestas de formulario 1'!S1547</f>
        <v/>
      </c>
      <c r="I1547" s="7" t="str">
        <f>IFERROR(__xludf.DUMMYFUNCTION("IF('Respuestas de formulario 1'!I1547="""","""",TO_TEXT('Respuestas de formulario 1'!I1547))"),"Particular")</f>
        <v>Particular</v>
      </c>
      <c r="J1547" s="7" t="str">
        <f>IFERROR(__xludf.DUMMYFUNCTION("IF('Respuestas de formulario 1'!J1547&lt;&gt;"""",UPPER(TRIM(TO_TEXT('Respuestas de formulario 1'!J1547))),IF('Respuestas de formulario 1'!O1547&lt;&gt;"""",UPPER(TRIM(TO_TEXT('Respuestas de formulario 1'!O1547))),""""))"),"")</f>
        <v/>
      </c>
      <c r="K1547" s="7" t="str">
        <f>IFERROR(__xludf.DUMMYFUNCTION("IF('Respuestas de formulario 1'!K1547="""","""",TO_TEXT('Respuestas de formulario 1'!K1547))"),"Si")</f>
        <v>Si</v>
      </c>
      <c r="L1547" s="7" t="str">
        <f>IFERROR(__xludf.DUMMYFUNCTION("IF('Respuestas de formulario 1'!L1547="""","""",TO_TEXT('Respuestas de formulario 1'!L1547))"),"Fútbol")</f>
        <v>Fútbol</v>
      </c>
      <c r="M1547" s="7" t="str">
        <f>IFERROR(__xludf.DUMMYFUNCTION("IF('Respuestas de formulario 1'!M1547="""","""",TO_TEXT('Respuestas de formulario 1'!M1547))"),"6 a 7 veces por semana")</f>
        <v>6 a 7 veces por semana</v>
      </c>
      <c r="N1547" s="7">
        <f t="shared" si="1"/>
        <v>2026</v>
      </c>
      <c r="O1547" s="7" t="str">
        <f t="shared" si="2"/>
        <v>abril</v>
      </c>
      <c r="P1547" s="7" t="s">
        <v>7197</v>
      </c>
    </row>
    <row r="1548">
      <c r="A1548" s="7" t="str">
        <f>'Respuestas de formulario 1'!A1661</f>
        <v/>
      </c>
      <c r="B1548" s="7" t="str">
        <f>'Respuestas de formulario 1'!B1661</f>
        <v/>
      </c>
      <c r="C1548" s="7" t="str">
        <f>'Respuestas de formulario 1'!C1661</f>
        <v/>
      </c>
      <c r="D1548" s="7" t="str">
        <f>'Respuestas de formulario 1'!D1661</f>
        <v/>
      </c>
      <c r="E1548" s="7" t="str">
        <f>'Respuestas de formulario 1'!E1661</f>
        <v/>
      </c>
      <c r="F1548" s="7" t="str">
        <f>'Respuestas de formulario 1'!F1661</f>
        <v/>
      </c>
      <c r="G1548" s="7" t="str">
        <f>IFERROR(__xludf.DUMMYFUNCTION("IF('Respuestas de formulario 1'!G1661="""","""",IF(LEFT(REGEXREPLACE(TO_TEXT('Respuestas de formulario 1'!G1661),""[^0-9]"",""""),2)=""54"",""+""&amp;REGEXREPLACE(TO_TEXT('Respuestas de formulario 1'!G1661),""[^0-9]"",""""),""+54""&amp;REGEXREPLACE(TO_TEXT('Respu"&amp;"estas de formulario 1'!G1661),""[^0-9]"","""")))"),"")</f>
        <v/>
      </c>
      <c r="H1548" s="7" t="str">
        <f>'Respuestas de formulario 1'!S1661</f>
        <v/>
      </c>
      <c r="I1548" s="7" t="str">
        <f>IFERROR(__xludf.DUMMYFUNCTION("IF('Respuestas de formulario 1'!I1661="""","""",TO_TEXT('Respuestas de formulario 1'!I1661))"),"")</f>
        <v/>
      </c>
      <c r="J1548" s="7" t="str">
        <f>IFERROR(__xludf.DUMMYFUNCTION("IF('Respuestas de formulario 1'!J1661&lt;&gt;"""",UPPER(TRIM(TO_TEXT('Respuestas de formulario 1'!J1661))),IF('Respuestas de formulario 1'!O1661&lt;&gt;"""",UPPER(TRIM(TO_TEXT('Respuestas de formulario 1'!O1661))),""""))"),"")</f>
        <v/>
      </c>
      <c r="K1548" s="7" t="str">
        <f>IFERROR(__xludf.DUMMYFUNCTION("IF('Respuestas de formulario 1'!K1661="""","""",TO_TEXT('Respuestas de formulario 1'!K1661))"),"")</f>
        <v/>
      </c>
      <c r="L1548" s="7" t="str">
        <f>IFERROR(__xludf.DUMMYFUNCTION("IF('Respuestas de formulario 1'!L1661="""","""",TO_TEXT('Respuestas de formulario 1'!L1661))"),"")</f>
        <v/>
      </c>
      <c r="M1548" s="7" t="str">
        <f>IFERROR(__xludf.DUMMYFUNCTION("IF('Respuestas de formulario 1'!M1661="""","""",TO_TEXT('Respuestas de formulario 1'!M1661))"),"")</f>
        <v/>
      </c>
      <c r="N1548" s="7" t="str">
        <f t="shared" si="1"/>
        <v/>
      </c>
      <c r="O1548" s="7" t="str">
        <f t="shared" si="2"/>
        <v/>
      </c>
      <c r="P1548" s="7"/>
    </row>
    <row r="1549">
      <c r="A1549" s="7" t="str">
        <f>'Respuestas de formulario 1'!A1662</f>
        <v/>
      </c>
      <c r="B1549" s="7" t="str">
        <f>'Respuestas de formulario 1'!B1662</f>
        <v/>
      </c>
      <c r="C1549" s="7" t="str">
        <f>'Respuestas de formulario 1'!C1662</f>
        <v/>
      </c>
      <c r="D1549" s="7" t="str">
        <f>'Respuestas de formulario 1'!D1662</f>
        <v/>
      </c>
      <c r="E1549" s="7" t="str">
        <f>'Respuestas de formulario 1'!E1662</f>
        <v/>
      </c>
      <c r="F1549" s="7" t="str">
        <f>'Respuestas de formulario 1'!F1662</f>
        <v/>
      </c>
      <c r="G1549" s="7" t="str">
        <f>IFERROR(__xludf.DUMMYFUNCTION("IF('Respuestas de formulario 1'!G1662="""","""",IF(LEFT(REGEXREPLACE(TO_TEXT('Respuestas de formulario 1'!G1662),""[^0-9]"",""""),2)=""54"",""+""&amp;REGEXREPLACE(TO_TEXT('Respuestas de formulario 1'!G1662),""[^0-9]"",""""),""+54""&amp;REGEXREPLACE(TO_TEXT('Respu"&amp;"estas de formulario 1'!G1662),""[^0-9]"","""")))"),"")</f>
        <v/>
      </c>
      <c r="H1549" s="7" t="str">
        <f>'Respuestas de formulario 1'!S1662</f>
        <v/>
      </c>
      <c r="I1549" s="7" t="str">
        <f>IFERROR(__xludf.DUMMYFUNCTION("IF('Respuestas de formulario 1'!I1662="""","""",TO_TEXT('Respuestas de formulario 1'!I1662))"),"")</f>
        <v/>
      </c>
      <c r="J1549" s="7" t="str">
        <f>IFERROR(__xludf.DUMMYFUNCTION("IF('Respuestas de formulario 1'!J1662&lt;&gt;"""",UPPER(TRIM(TO_TEXT('Respuestas de formulario 1'!J1662))),IF('Respuestas de formulario 1'!O1662&lt;&gt;"""",UPPER(TRIM(TO_TEXT('Respuestas de formulario 1'!O1662))),""""))"),"")</f>
        <v/>
      </c>
      <c r="K1549" s="7" t="str">
        <f>IFERROR(__xludf.DUMMYFUNCTION("IF('Respuestas de formulario 1'!K1662="""","""",TO_TEXT('Respuestas de formulario 1'!K1662))"),"")</f>
        <v/>
      </c>
      <c r="L1549" s="7" t="str">
        <f>IFERROR(__xludf.DUMMYFUNCTION("IF('Respuestas de formulario 1'!L1662="""","""",TO_TEXT('Respuestas de formulario 1'!L1662))"),"")</f>
        <v/>
      </c>
      <c r="M1549" s="7" t="str">
        <f>IFERROR(__xludf.DUMMYFUNCTION("IF('Respuestas de formulario 1'!M1662="""","""",TO_TEXT('Respuestas de formulario 1'!M1662))"),"")</f>
        <v/>
      </c>
      <c r="N1549" s="7" t="str">
        <f t="shared" si="1"/>
        <v/>
      </c>
      <c r="O1549" s="7" t="str">
        <f t="shared" si="2"/>
        <v/>
      </c>
      <c r="P1549" s="7"/>
    </row>
    <row r="1550">
      <c r="A1550" s="7" t="str">
        <f>'Respuestas de formulario 1'!A1663</f>
        <v/>
      </c>
      <c r="B1550" s="7" t="str">
        <f>'Respuestas de formulario 1'!B1663</f>
        <v/>
      </c>
      <c r="C1550" s="7" t="str">
        <f>'Respuestas de formulario 1'!C1663</f>
        <v/>
      </c>
      <c r="D1550" s="7" t="str">
        <f>'Respuestas de formulario 1'!D1663</f>
        <v/>
      </c>
      <c r="E1550" s="7" t="str">
        <f>'Respuestas de formulario 1'!E1663</f>
        <v/>
      </c>
      <c r="F1550" s="7" t="str">
        <f>'Respuestas de formulario 1'!F1663</f>
        <v/>
      </c>
      <c r="G1550" s="7" t="str">
        <f>IFERROR(__xludf.DUMMYFUNCTION("IF('Respuestas de formulario 1'!G1663="""","""",IF(LEFT(REGEXREPLACE(TO_TEXT('Respuestas de formulario 1'!G1663),""[^0-9]"",""""),2)=""54"",""+""&amp;REGEXREPLACE(TO_TEXT('Respuestas de formulario 1'!G1663),""[^0-9]"",""""),""+54""&amp;REGEXREPLACE(TO_TEXT('Respu"&amp;"estas de formulario 1'!G1663),""[^0-9]"","""")))"),"")</f>
        <v/>
      </c>
      <c r="H1550" s="7" t="str">
        <f>'Respuestas de formulario 1'!S1663</f>
        <v/>
      </c>
      <c r="I1550" s="7" t="str">
        <f>IFERROR(__xludf.DUMMYFUNCTION("IF('Respuestas de formulario 1'!I1663="""","""",TO_TEXT('Respuestas de formulario 1'!I1663))"),"")</f>
        <v/>
      </c>
      <c r="J1550" s="7" t="str">
        <f>IFERROR(__xludf.DUMMYFUNCTION("IF('Respuestas de formulario 1'!J1663&lt;&gt;"""",UPPER(TRIM(TO_TEXT('Respuestas de formulario 1'!J1663))),IF('Respuestas de formulario 1'!O1663&lt;&gt;"""",UPPER(TRIM(TO_TEXT('Respuestas de formulario 1'!O1663))),""""))"),"")</f>
        <v/>
      </c>
      <c r="K1550" s="7" t="str">
        <f>IFERROR(__xludf.DUMMYFUNCTION("IF('Respuestas de formulario 1'!K1663="""","""",TO_TEXT('Respuestas de formulario 1'!K1663))"),"")</f>
        <v/>
      </c>
      <c r="L1550" s="7" t="str">
        <f>IFERROR(__xludf.DUMMYFUNCTION("IF('Respuestas de formulario 1'!L1663="""","""",TO_TEXT('Respuestas de formulario 1'!L1663))"),"")</f>
        <v/>
      </c>
      <c r="M1550" s="7" t="str">
        <f>IFERROR(__xludf.DUMMYFUNCTION("IF('Respuestas de formulario 1'!M1663="""","""",TO_TEXT('Respuestas de formulario 1'!M1663))"),"")</f>
        <v/>
      </c>
      <c r="N1550" s="7" t="str">
        <f t="shared" si="1"/>
        <v/>
      </c>
      <c r="O1550" s="7" t="str">
        <f t="shared" si="2"/>
        <v/>
      </c>
      <c r="P1550" s="7"/>
    </row>
    <row r="1551">
      <c r="A1551" s="7" t="str">
        <f>'Respuestas de formulario 1'!A1664</f>
        <v/>
      </c>
      <c r="B1551" s="7" t="str">
        <f>'Respuestas de formulario 1'!B1664</f>
        <v/>
      </c>
      <c r="C1551" s="7" t="str">
        <f>'Respuestas de formulario 1'!C1664</f>
        <v/>
      </c>
      <c r="D1551" s="7" t="str">
        <f>'Respuestas de formulario 1'!D1664</f>
        <v/>
      </c>
      <c r="E1551" s="7" t="str">
        <f>'Respuestas de formulario 1'!E1664</f>
        <v/>
      </c>
      <c r="F1551" s="7" t="str">
        <f>'Respuestas de formulario 1'!F1664</f>
        <v/>
      </c>
      <c r="G1551" s="7" t="str">
        <f>IFERROR(__xludf.DUMMYFUNCTION("IF('Respuestas de formulario 1'!G1664="""","""",IF(LEFT(REGEXREPLACE(TO_TEXT('Respuestas de formulario 1'!G1664),""[^0-9]"",""""),2)=""54"",""+""&amp;REGEXREPLACE(TO_TEXT('Respuestas de formulario 1'!G1664),""[^0-9]"",""""),""+54""&amp;REGEXREPLACE(TO_TEXT('Respu"&amp;"estas de formulario 1'!G1664),""[^0-9]"","""")))"),"")</f>
        <v/>
      </c>
      <c r="H1551" s="7" t="str">
        <f>'Respuestas de formulario 1'!S1664</f>
        <v/>
      </c>
      <c r="I1551" s="7" t="str">
        <f>IFERROR(__xludf.DUMMYFUNCTION("IF('Respuestas de formulario 1'!I1664="""","""",TO_TEXT('Respuestas de formulario 1'!I1664))"),"")</f>
        <v/>
      </c>
      <c r="J1551" s="7" t="str">
        <f>IFERROR(__xludf.DUMMYFUNCTION("IF('Respuestas de formulario 1'!J1664&lt;&gt;"""",UPPER(TRIM(TO_TEXT('Respuestas de formulario 1'!J1664))),IF('Respuestas de formulario 1'!O1664&lt;&gt;"""",UPPER(TRIM(TO_TEXT('Respuestas de formulario 1'!O1664))),""""))"),"")</f>
        <v/>
      </c>
      <c r="K1551" s="7" t="str">
        <f>IFERROR(__xludf.DUMMYFUNCTION("IF('Respuestas de formulario 1'!K1664="""","""",TO_TEXT('Respuestas de formulario 1'!K1664))"),"")</f>
        <v/>
      </c>
      <c r="L1551" s="7" t="str">
        <f>IFERROR(__xludf.DUMMYFUNCTION("IF('Respuestas de formulario 1'!L1664="""","""",TO_TEXT('Respuestas de formulario 1'!L1664))"),"")</f>
        <v/>
      </c>
      <c r="M1551" s="7" t="str">
        <f>IFERROR(__xludf.DUMMYFUNCTION("IF('Respuestas de formulario 1'!M1664="""","""",TO_TEXT('Respuestas de formulario 1'!M1664))"),"")</f>
        <v/>
      </c>
      <c r="N1551" s="7" t="str">
        <f t="shared" si="1"/>
        <v/>
      </c>
      <c r="O1551" s="7" t="str">
        <f t="shared" si="2"/>
        <v/>
      </c>
      <c r="P1551" s="7"/>
    </row>
    <row r="1552">
      <c r="A1552" s="7" t="str">
        <f>'Respuestas de formulario 1'!A1665</f>
        <v/>
      </c>
      <c r="B1552" s="7" t="str">
        <f>'Respuestas de formulario 1'!B1665</f>
        <v/>
      </c>
      <c r="C1552" s="7" t="str">
        <f>'Respuestas de formulario 1'!C1665</f>
        <v/>
      </c>
      <c r="D1552" s="7" t="str">
        <f>'Respuestas de formulario 1'!D1665</f>
        <v/>
      </c>
      <c r="E1552" s="7" t="str">
        <f>'Respuestas de formulario 1'!E1665</f>
        <v/>
      </c>
      <c r="F1552" s="7" t="str">
        <f>'Respuestas de formulario 1'!F1665</f>
        <v/>
      </c>
      <c r="G1552" s="7" t="str">
        <f>IFERROR(__xludf.DUMMYFUNCTION("IF('Respuestas de formulario 1'!G1665="""","""",IF(LEFT(REGEXREPLACE(TO_TEXT('Respuestas de formulario 1'!G1665),""[^0-9]"",""""),2)=""54"",""+""&amp;REGEXREPLACE(TO_TEXT('Respuestas de formulario 1'!G1665),""[^0-9]"",""""),""+54""&amp;REGEXREPLACE(TO_TEXT('Respu"&amp;"estas de formulario 1'!G1665),""[^0-9]"","""")))"),"")</f>
        <v/>
      </c>
      <c r="H1552" s="7" t="str">
        <f>'Respuestas de formulario 1'!S1665</f>
        <v/>
      </c>
      <c r="I1552" s="7" t="str">
        <f>IFERROR(__xludf.DUMMYFUNCTION("IF('Respuestas de formulario 1'!I1665="""","""",TO_TEXT('Respuestas de formulario 1'!I1665))"),"")</f>
        <v/>
      </c>
      <c r="J1552" s="7" t="str">
        <f>IFERROR(__xludf.DUMMYFUNCTION("IF('Respuestas de formulario 1'!J1665&lt;&gt;"""",UPPER(TRIM(TO_TEXT('Respuestas de formulario 1'!J1665))),IF('Respuestas de formulario 1'!O1665&lt;&gt;"""",UPPER(TRIM(TO_TEXT('Respuestas de formulario 1'!O1665))),""""))"),"")</f>
        <v/>
      </c>
      <c r="K1552" s="7" t="str">
        <f>IFERROR(__xludf.DUMMYFUNCTION("IF('Respuestas de formulario 1'!K1665="""","""",TO_TEXT('Respuestas de formulario 1'!K1665))"),"")</f>
        <v/>
      </c>
      <c r="L1552" s="7" t="str">
        <f>IFERROR(__xludf.DUMMYFUNCTION("IF('Respuestas de formulario 1'!L1665="""","""",TO_TEXT('Respuestas de formulario 1'!L1665))"),"")</f>
        <v/>
      </c>
      <c r="M1552" s="7" t="str">
        <f>IFERROR(__xludf.DUMMYFUNCTION("IF('Respuestas de formulario 1'!M1665="""","""",TO_TEXT('Respuestas de formulario 1'!M1665))"),"")</f>
        <v/>
      </c>
      <c r="N1552" s="7" t="str">
        <f t="shared" si="1"/>
        <v/>
      </c>
      <c r="O1552" s="7" t="str">
        <f t="shared" si="2"/>
        <v/>
      </c>
      <c r="P1552" s="7"/>
    </row>
    <row r="1553">
      <c r="A1553" s="7" t="str">
        <f>'Respuestas de formulario 1'!A1666</f>
        <v/>
      </c>
      <c r="B1553" s="7" t="str">
        <f>'Respuestas de formulario 1'!B1666</f>
        <v/>
      </c>
      <c r="C1553" s="7" t="str">
        <f>'Respuestas de formulario 1'!C1666</f>
        <v/>
      </c>
      <c r="D1553" s="7" t="str">
        <f>'Respuestas de formulario 1'!D1666</f>
        <v/>
      </c>
      <c r="E1553" s="7" t="str">
        <f>'Respuestas de formulario 1'!E1666</f>
        <v/>
      </c>
      <c r="F1553" s="7" t="str">
        <f>'Respuestas de formulario 1'!F1666</f>
        <v/>
      </c>
      <c r="G1553" s="7" t="str">
        <f>IFERROR(__xludf.DUMMYFUNCTION("IF('Respuestas de formulario 1'!G1666="""","""",IF(LEFT(REGEXREPLACE(TO_TEXT('Respuestas de formulario 1'!G1666),""[^0-9]"",""""),2)=""54"",""+""&amp;REGEXREPLACE(TO_TEXT('Respuestas de formulario 1'!G1666),""[^0-9]"",""""),""+54""&amp;REGEXREPLACE(TO_TEXT('Respu"&amp;"estas de formulario 1'!G1666),""[^0-9]"","""")))"),"")</f>
        <v/>
      </c>
      <c r="H1553" s="7" t="str">
        <f>'Respuestas de formulario 1'!S1666</f>
        <v/>
      </c>
      <c r="I1553" s="7" t="str">
        <f>IFERROR(__xludf.DUMMYFUNCTION("IF('Respuestas de formulario 1'!I1666="""","""",TO_TEXT('Respuestas de formulario 1'!I1666))"),"")</f>
        <v/>
      </c>
      <c r="J1553" s="7" t="str">
        <f>IFERROR(__xludf.DUMMYFUNCTION("IF('Respuestas de formulario 1'!J1666&lt;&gt;"""",UPPER(TRIM(TO_TEXT('Respuestas de formulario 1'!J1666))),IF('Respuestas de formulario 1'!O1666&lt;&gt;"""",UPPER(TRIM(TO_TEXT('Respuestas de formulario 1'!O1666))),""""))"),"")</f>
        <v/>
      </c>
      <c r="K1553" s="7" t="str">
        <f>IFERROR(__xludf.DUMMYFUNCTION("IF('Respuestas de formulario 1'!K1666="""","""",TO_TEXT('Respuestas de formulario 1'!K1666))"),"")</f>
        <v/>
      </c>
      <c r="L1553" s="7" t="str">
        <f>IFERROR(__xludf.DUMMYFUNCTION("IF('Respuestas de formulario 1'!L1666="""","""",TO_TEXT('Respuestas de formulario 1'!L1666))"),"")</f>
        <v/>
      </c>
      <c r="M1553" s="7" t="str">
        <f>IFERROR(__xludf.DUMMYFUNCTION("IF('Respuestas de formulario 1'!M1666="""","""",TO_TEXT('Respuestas de formulario 1'!M1666))"),"")</f>
        <v/>
      </c>
      <c r="N1553" s="7" t="str">
        <f t="shared" si="1"/>
        <v/>
      </c>
      <c r="O1553" s="7" t="str">
        <f t="shared" si="2"/>
        <v/>
      </c>
      <c r="P1553" s="7"/>
    </row>
    <row r="1554">
      <c r="A1554" s="7" t="str">
        <f>'Respuestas de formulario 1'!A1667</f>
        <v/>
      </c>
      <c r="B1554" s="7" t="str">
        <f>'Respuestas de formulario 1'!B1667</f>
        <v/>
      </c>
      <c r="C1554" s="7" t="str">
        <f>'Respuestas de formulario 1'!C1667</f>
        <v/>
      </c>
      <c r="D1554" s="7" t="str">
        <f>'Respuestas de formulario 1'!D1667</f>
        <v/>
      </c>
      <c r="E1554" s="7" t="str">
        <f>'Respuestas de formulario 1'!E1667</f>
        <v/>
      </c>
      <c r="F1554" s="7" t="str">
        <f>'Respuestas de formulario 1'!F1667</f>
        <v/>
      </c>
      <c r="G1554" s="7" t="str">
        <f>IFERROR(__xludf.DUMMYFUNCTION("IF('Respuestas de formulario 1'!G1667="""","""",IF(LEFT(REGEXREPLACE(TO_TEXT('Respuestas de formulario 1'!G1667),""[^0-9]"",""""),2)=""54"",""+""&amp;REGEXREPLACE(TO_TEXT('Respuestas de formulario 1'!G1667),""[^0-9]"",""""),""+54""&amp;REGEXREPLACE(TO_TEXT('Respu"&amp;"estas de formulario 1'!G1667),""[^0-9]"","""")))"),"")</f>
        <v/>
      </c>
      <c r="H1554" s="7" t="str">
        <f>'Respuestas de formulario 1'!S1667</f>
        <v/>
      </c>
      <c r="I1554" s="7" t="str">
        <f>IFERROR(__xludf.DUMMYFUNCTION("IF('Respuestas de formulario 1'!I1667="""","""",TO_TEXT('Respuestas de formulario 1'!I1667))"),"")</f>
        <v/>
      </c>
      <c r="J1554" s="7" t="str">
        <f>IFERROR(__xludf.DUMMYFUNCTION("IF('Respuestas de formulario 1'!J1667&lt;&gt;"""",UPPER(TRIM(TO_TEXT('Respuestas de formulario 1'!J1667))),IF('Respuestas de formulario 1'!O1667&lt;&gt;"""",UPPER(TRIM(TO_TEXT('Respuestas de formulario 1'!O1667))),""""))"),"")</f>
        <v/>
      </c>
      <c r="K1554" s="7" t="str">
        <f>IFERROR(__xludf.DUMMYFUNCTION("IF('Respuestas de formulario 1'!K1667="""","""",TO_TEXT('Respuestas de formulario 1'!K1667))"),"")</f>
        <v/>
      </c>
      <c r="L1554" s="7" t="str">
        <f>IFERROR(__xludf.DUMMYFUNCTION("IF('Respuestas de formulario 1'!L1667="""","""",TO_TEXT('Respuestas de formulario 1'!L1667))"),"")</f>
        <v/>
      </c>
      <c r="M1554" s="7" t="str">
        <f>IFERROR(__xludf.DUMMYFUNCTION("IF('Respuestas de formulario 1'!M1667="""","""",TO_TEXT('Respuestas de formulario 1'!M1667))"),"")</f>
        <v/>
      </c>
      <c r="N1554" s="7" t="str">
        <f t="shared" si="1"/>
        <v/>
      </c>
      <c r="O1554" s="7" t="str">
        <f t="shared" si="2"/>
        <v/>
      </c>
      <c r="P1554" s="7"/>
    </row>
    <row r="1555">
      <c r="A1555" s="7" t="str">
        <f>'Respuestas de formulario 1'!A1668</f>
        <v/>
      </c>
      <c r="B1555" s="7" t="str">
        <f>'Respuestas de formulario 1'!B1668</f>
        <v/>
      </c>
      <c r="C1555" s="7" t="str">
        <f>'Respuestas de formulario 1'!C1668</f>
        <v/>
      </c>
      <c r="D1555" s="7" t="str">
        <f>'Respuestas de formulario 1'!D1668</f>
        <v/>
      </c>
      <c r="E1555" s="7" t="str">
        <f>'Respuestas de formulario 1'!E1668</f>
        <v/>
      </c>
      <c r="F1555" s="7" t="str">
        <f>'Respuestas de formulario 1'!F1668</f>
        <v/>
      </c>
      <c r="G1555" s="7" t="str">
        <f>IFERROR(__xludf.DUMMYFUNCTION("IF('Respuestas de formulario 1'!G1668="""","""",IF(LEFT(REGEXREPLACE(TO_TEXT('Respuestas de formulario 1'!G1668),""[^0-9]"",""""),2)=""54"",""+""&amp;REGEXREPLACE(TO_TEXT('Respuestas de formulario 1'!G1668),""[^0-9]"",""""),""+54""&amp;REGEXREPLACE(TO_TEXT('Respu"&amp;"estas de formulario 1'!G1668),""[^0-9]"","""")))"),"")</f>
        <v/>
      </c>
      <c r="H1555" s="7" t="str">
        <f>'Respuestas de formulario 1'!S1668</f>
        <v/>
      </c>
      <c r="I1555" s="7" t="str">
        <f>IFERROR(__xludf.DUMMYFUNCTION("IF('Respuestas de formulario 1'!I1668="""","""",TO_TEXT('Respuestas de formulario 1'!I1668))"),"")</f>
        <v/>
      </c>
      <c r="J1555" s="7" t="str">
        <f>IFERROR(__xludf.DUMMYFUNCTION("IF('Respuestas de formulario 1'!J1668&lt;&gt;"""",UPPER(TRIM(TO_TEXT('Respuestas de formulario 1'!J1668))),IF('Respuestas de formulario 1'!O1668&lt;&gt;"""",UPPER(TRIM(TO_TEXT('Respuestas de formulario 1'!O1668))),""""))"),"")</f>
        <v/>
      </c>
      <c r="K1555" s="7" t="str">
        <f>IFERROR(__xludf.DUMMYFUNCTION("IF('Respuestas de formulario 1'!K1668="""","""",TO_TEXT('Respuestas de formulario 1'!K1668))"),"")</f>
        <v/>
      </c>
      <c r="L1555" s="7" t="str">
        <f>IFERROR(__xludf.DUMMYFUNCTION("IF('Respuestas de formulario 1'!L1668="""","""",TO_TEXT('Respuestas de formulario 1'!L1668))"),"")</f>
        <v/>
      </c>
      <c r="M1555" s="7" t="str">
        <f>IFERROR(__xludf.DUMMYFUNCTION("IF('Respuestas de formulario 1'!M1668="""","""",TO_TEXT('Respuestas de formulario 1'!M1668))"),"")</f>
        <v/>
      </c>
      <c r="N1555" s="7" t="str">
        <f t="shared" si="1"/>
        <v/>
      </c>
      <c r="O1555" s="7" t="str">
        <f t="shared" si="2"/>
        <v/>
      </c>
      <c r="P1555" s="7"/>
    </row>
    <row r="1556">
      <c r="A1556" s="7" t="str">
        <f>'Respuestas de formulario 1'!A1669</f>
        <v/>
      </c>
      <c r="B1556" s="7" t="str">
        <f>'Respuestas de formulario 1'!B1669</f>
        <v/>
      </c>
      <c r="C1556" s="7" t="str">
        <f>'Respuestas de formulario 1'!C1669</f>
        <v/>
      </c>
      <c r="D1556" s="7" t="str">
        <f>'Respuestas de formulario 1'!D1669</f>
        <v/>
      </c>
      <c r="E1556" s="7" t="str">
        <f>'Respuestas de formulario 1'!E1669</f>
        <v/>
      </c>
      <c r="F1556" s="7" t="str">
        <f>'Respuestas de formulario 1'!F1669</f>
        <v/>
      </c>
      <c r="G1556" s="7" t="str">
        <f>IFERROR(__xludf.DUMMYFUNCTION("IF('Respuestas de formulario 1'!G1669="""","""",IF(LEFT(REGEXREPLACE(TO_TEXT('Respuestas de formulario 1'!G1669),""[^0-9]"",""""),2)=""54"",""+""&amp;REGEXREPLACE(TO_TEXT('Respuestas de formulario 1'!G1669),""[^0-9]"",""""),""+54""&amp;REGEXREPLACE(TO_TEXT('Respu"&amp;"estas de formulario 1'!G1669),""[^0-9]"","""")))"),"")</f>
        <v/>
      </c>
      <c r="H1556" s="7" t="str">
        <f>'Respuestas de formulario 1'!S1669</f>
        <v/>
      </c>
      <c r="I1556" s="7" t="str">
        <f>IFERROR(__xludf.DUMMYFUNCTION("IF('Respuestas de formulario 1'!I1669="""","""",TO_TEXT('Respuestas de formulario 1'!I1669))"),"")</f>
        <v/>
      </c>
      <c r="J1556" s="7" t="str">
        <f>IFERROR(__xludf.DUMMYFUNCTION("IF('Respuestas de formulario 1'!J1669&lt;&gt;"""",UPPER(TRIM(TO_TEXT('Respuestas de formulario 1'!J1669))),IF('Respuestas de formulario 1'!O1669&lt;&gt;"""",UPPER(TRIM(TO_TEXT('Respuestas de formulario 1'!O1669))),""""))"),"")</f>
        <v/>
      </c>
      <c r="K1556" s="7" t="str">
        <f>IFERROR(__xludf.DUMMYFUNCTION("IF('Respuestas de formulario 1'!K1669="""","""",TO_TEXT('Respuestas de formulario 1'!K1669))"),"")</f>
        <v/>
      </c>
      <c r="L1556" s="7" t="str">
        <f>IFERROR(__xludf.DUMMYFUNCTION("IF('Respuestas de formulario 1'!L1669="""","""",TO_TEXT('Respuestas de formulario 1'!L1669))"),"")</f>
        <v/>
      </c>
      <c r="M1556" s="7" t="str">
        <f>IFERROR(__xludf.DUMMYFUNCTION("IF('Respuestas de formulario 1'!M1669="""","""",TO_TEXT('Respuestas de formulario 1'!M1669))"),"")</f>
        <v/>
      </c>
      <c r="N1556" s="7" t="str">
        <f t="shared" si="1"/>
        <v/>
      </c>
      <c r="O1556" s="7" t="str">
        <f t="shared" si="2"/>
        <v/>
      </c>
      <c r="P1556" s="7"/>
    </row>
    <row r="1557">
      <c r="A1557" s="7" t="str">
        <f>'Respuestas de formulario 1'!A1670</f>
        <v/>
      </c>
      <c r="B1557" s="7" t="str">
        <f>'Respuestas de formulario 1'!B1670</f>
        <v/>
      </c>
      <c r="C1557" s="7" t="str">
        <f>'Respuestas de formulario 1'!C1670</f>
        <v/>
      </c>
      <c r="D1557" s="7" t="str">
        <f>'Respuestas de formulario 1'!D1670</f>
        <v/>
      </c>
      <c r="E1557" s="7" t="str">
        <f>'Respuestas de formulario 1'!E1670</f>
        <v/>
      </c>
      <c r="F1557" s="7" t="str">
        <f>'Respuestas de formulario 1'!F1670</f>
        <v/>
      </c>
      <c r="G1557" s="7" t="str">
        <f>IFERROR(__xludf.DUMMYFUNCTION("IF('Respuestas de formulario 1'!G1670="""","""",IF(LEFT(REGEXREPLACE(TO_TEXT('Respuestas de formulario 1'!G1670),""[^0-9]"",""""),2)=""54"",""+""&amp;REGEXREPLACE(TO_TEXT('Respuestas de formulario 1'!G1670),""[^0-9]"",""""),""+54""&amp;REGEXREPLACE(TO_TEXT('Respu"&amp;"estas de formulario 1'!G1670),""[^0-9]"","""")))"),"")</f>
        <v/>
      </c>
      <c r="H1557" s="7" t="str">
        <f>'Respuestas de formulario 1'!S1670</f>
        <v/>
      </c>
      <c r="I1557" s="7" t="str">
        <f>IFERROR(__xludf.DUMMYFUNCTION("IF('Respuestas de formulario 1'!I1670="""","""",TO_TEXT('Respuestas de formulario 1'!I1670))"),"")</f>
        <v/>
      </c>
      <c r="J1557" s="7" t="str">
        <f>IFERROR(__xludf.DUMMYFUNCTION("IF('Respuestas de formulario 1'!J1670&lt;&gt;"""",UPPER(TRIM(TO_TEXT('Respuestas de formulario 1'!J1670))),IF('Respuestas de formulario 1'!O1670&lt;&gt;"""",UPPER(TRIM(TO_TEXT('Respuestas de formulario 1'!O1670))),""""))"),"")</f>
        <v/>
      </c>
      <c r="K1557" s="7" t="str">
        <f>IFERROR(__xludf.DUMMYFUNCTION("IF('Respuestas de formulario 1'!K1670="""","""",TO_TEXT('Respuestas de formulario 1'!K1670))"),"")</f>
        <v/>
      </c>
      <c r="L1557" s="7" t="str">
        <f>IFERROR(__xludf.DUMMYFUNCTION("IF('Respuestas de formulario 1'!L1670="""","""",TO_TEXT('Respuestas de formulario 1'!L1670))"),"")</f>
        <v/>
      </c>
      <c r="M1557" s="7" t="str">
        <f>IFERROR(__xludf.DUMMYFUNCTION("IF('Respuestas de formulario 1'!M1670="""","""",TO_TEXT('Respuestas de formulario 1'!M1670))"),"")</f>
        <v/>
      </c>
      <c r="N1557" s="7" t="str">
        <f t="shared" si="1"/>
        <v/>
      </c>
      <c r="O1557" s="7" t="str">
        <f t="shared" si="2"/>
        <v/>
      </c>
      <c r="P1557" s="7"/>
    </row>
    <row r="1558">
      <c r="A1558" s="7" t="str">
        <f>'Respuestas de formulario 1'!A1671</f>
        <v/>
      </c>
      <c r="B1558" s="7" t="str">
        <f>'Respuestas de formulario 1'!B1671</f>
        <v/>
      </c>
      <c r="C1558" s="7" t="str">
        <f>'Respuestas de formulario 1'!C1671</f>
        <v/>
      </c>
      <c r="D1558" s="7" t="str">
        <f>'Respuestas de formulario 1'!D1671</f>
        <v/>
      </c>
      <c r="E1558" s="7" t="str">
        <f>'Respuestas de formulario 1'!E1671</f>
        <v/>
      </c>
      <c r="F1558" s="7" t="str">
        <f>'Respuestas de formulario 1'!F1671</f>
        <v/>
      </c>
      <c r="G1558" s="7" t="str">
        <f>IFERROR(__xludf.DUMMYFUNCTION("IF('Respuestas de formulario 1'!G1671="""","""",IF(LEFT(REGEXREPLACE(TO_TEXT('Respuestas de formulario 1'!G1671),""[^0-9]"",""""),2)=""54"",""+""&amp;REGEXREPLACE(TO_TEXT('Respuestas de formulario 1'!G1671),""[^0-9]"",""""),""+54""&amp;REGEXREPLACE(TO_TEXT('Respu"&amp;"estas de formulario 1'!G1671),""[^0-9]"","""")))"),"")</f>
        <v/>
      </c>
      <c r="H1558" s="7" t="str">
        <f>'Respuestas de formulario 1'!S1671</f>
        <v/>
      </c>
      <c r="I1558" s="7" t="str">
        <f>IFERROR(__xludf.DUMMYFUNCTION("IF('Respuestas de formulario 1'!I1671="""","""",TO_TEXT('Respuestas de formulario 1'!I1671))"),"")</f>
        <v/>
      </c>
      <c r="J1558" s="7" t="str">
        <f>IFERROR(__xludf.DUMMYFUNCTION("IF('Respuestas de formulario 1'!J1671&lt;&gt;"""",UPPER(TRIM(TO_TEXT('Respuestas de formulario 1'!J1671))),IF('Respuestas de formulario 1'!O1671&lt;&gt;"""",UPPER(TRIM(TO_TEXT('Respuestas de formulario 1'!O1671))),""""))"),"")</f>
        <v/>
      </c>
      <c r="K1558" s="7" t="str">
        <f>IFERROR(__xludf.DUMMYFUNCTION("IF('Respuestas de formulario 1'!K1671="""","""",TO_TEXT('Respuestas de formulario 1'!K1671))"),"")</f>
        <v/>
      </c>
      <c r="L1558" s="7" t="str">
        <f>IFERROR(__xludf.DUMMYFUNCTION("IF('Respuestas de formulario 1'!L1671="""","""",TO_TEXT('Respuestas de formulario 1'!L1671))"),"")</f>
        <v/>
      </c>
      <c r="M1558" s="7" t="str">
        <f>IFERROR(__xludf.DUMMYFUNCTION("IF('Respuestas de formulario 1'!M1671="""","""",TO_TEXT('Respuestas de formulario 1'!M1671))"),"")</f>
        <v/>
      </c>
      <c r="N1558" s="7" t="str">
        <f t="shared" si="1"/>
        <v/>
      </c>
      <c r="O1558" s="7" t="str">
        <f t="shared" si="2"/>
        <v/>
      </c>
      <c r="P1558" s="7"/>
    </row>
    <row r="1559">
      <c r="A1559" s="7" t="str">
        <f>'Respuestas de formulario 1'!A1672</f>
        <v/>
      </c>
      <c r="B1559" s="7" t="str">
        <f>'Respuestas de formulario 1'!B1672</f>
        <v/>
      </c>
      <c r="C1559" s="7" t="str">
        <f>'Respuestas de formulario 1'!C1672</f>
        <v/>
      </c>
      <c r="D1559" s="7" t="str">
        <f>'Respuestas de formulario 1'!D1672</f>
        <v/>
      </c>
      <c r="E1559" s="7" t="str">
        <f>'Respuestas de formulario 1'!E1672</f>
        <v/>
      </c>
      <c r="F1559" s="7" t="str">
        <f>'Respuestas de formulario 1'!F1672</f>
        <v/>
      </c>
      <c r="G1559" s="7" t="str">
        <f>IFERROR(__xludf.DUMMYFUNCTION("IF('Respuestas de formulario 1'!G1672="""","""",IF(LEFT(REGEXREPLACE(TO_TEXT('Respuestas de formulario 1'!G1672),""[^0-9]"",""""),2)=""54"",""+""&amp;REGEXREPLACE(TO_TEXT('Respuestas de formulario 1'!G1672),""[^0-9]"",""""),""+54""&amp;REGEXREPLACE(TO_TEXT('Respu"&amp;"estas de formulario 1'!G1672),""[^0-9]"","""")))"),"")</f>
        <v/>
      </c>
      <c r="H1559" s="7" t="str">
        <f>'Respuestas de formulario 1'!S1672</f>
        <v/>
      </c>
      <c r="I1559" s="7" t="str">
        <f>IFERROR(__xludf.DUMMYFUNCTION("IF('Respuestas de formulario 1'!I1672="""","""",TO_TEXT('Respuestas de formulario 1'!I1672))"),"")</f>
        <v/>
      </c>
      <c r="J1559" s="7" t="str">
        <f>IFERROR(__xludf.DUMMYFUNCTION("IF('Respuestas de formulario 1'!J1672&lt;&gt;"""",UPPER(TRIM(TO_TEXT('Respuestas de formulario 1'!J1672))),IF('Respuestas de formulario 1'!O1672&lt;&gt;"""",UPPER(TRIM(TO_TEXT('Respuestas de formulario 1'!O1672))),""""))"),"")</f>
        <v/>
      </c>
      <c r="K1559" s="7" t="str">
        <f>IFERROR(__xludf.DUMMYFUNCTION("IF('Respuestas de formulario 1'!K1672="""","""",TO_TEXT('Respuestas de formulario 1'!K1672))"),"")</f>
        <v/>
      </c>
      <c r="L1559" s="7" t="str">
        <f>IFERROR(__xludf.DUMMYFUNCTION("IF('Respuestas de formulario 1'!L1672="""","""",TO_TEXT('Respuestas de formulario 1'!L1672))"),"")</f>
        <v/>
      </c>
      <c r="M1559" s="7" t="str">
        <f>IFERROR(__xludf.DUMMYFUNCTION("IF('Respuestas de formulario 1'!M1672="""","""",TO_TEXT('Respuestas de formulario 1'!M1672))"),"")</f>
        <v/>
      </c>
      <c r="N1559" s="7" t="str">
        <f t="shared" si="1"/>
        <v/>
      </c>
      <c r="O1559" s="7" t="str">
        <f t="shared" si="2"/>
        <v/>
      </c>
      <c r="P1559" s="7"/>
    </row>
    <row r="1560">
      <c r="A1560" s="7" t="str">
        <f>'Respuestas de formulario 1'!A1673</f>
        <v/>
      </c>
      <c r="B1560" s="7" t="str">
        <f>'Respuestas de formulario 1'!B1673</f>
        <v/>
      </c>
      <c r="C1560" s="7" t="str">
        <f>'Respuestas de formulario 1'!C1673</f>
        <v/>
      </c>
      <c r="D1560" s="7" t="str">
        <f>'Respuestas de formulario 1'!D1673</f>
        <v/>
      </c>
      <c r="E1560" s="7" t="str">
        <f>'Respuestas de formulario 1'!E1673</f>
        <v/>
      </c>
      <c r="F1560" s="7" t="str">
        <f>'Respuestas de formulario 1'!F1673</f>
        <v/>
      </c>
      <c r="G1560" s="7" t="str">
        <f>IFERROR(__xludf.DUMMYFUNCTION("IF('Respuestas de formulario 1'!G1673="""","""",IF(LEFT(REGEXREPLACE(TO_TEXT('Respuestas de formulario 1'!G1673),""[^0-9]"",""""),2)=""54"",""+""&amp;REGEXREPLACE(TO_TEXT('Respuestas de formulario 1'!G1673),""[^0-9]"",""""),""+54""&amp;REGEXREPLACE(TO_TEXT('Respu"&amp;"estas de formulario 1'!G1673),""[^0-9]"","""")))"),"")</f>
        <v/>
      </c>
      <c r="H1560" s="7" t="str">
        <f>'Respuestas de formulario 1'!S1673</f>
        <v/>
      </c>
      <c r="I1560" s="7" t="str">
        <f>IFERROR(__xludf.DUMMYFUNCTION("IF('Respuestas de formulario 1'!I1673="""","""",TO_TEXT('Respuestas de formulario 1'!I1673))"),"")</f>
        <v/>
      </c>
      <c r="J1560" s="7" t="str">
        <f>IFERROR(__xludf.DUMMYFUNCTION("IF('Respuestas de formulario 1'!J1673&lt;&gt;"""",UPPER(TRIM(TO_TEXT('Respuestas de formulario 1'!J1673))),IF('Respuestas de formulario 1'!O1673&lt;&gt;"""",UPPER(TRIM(TO_TEXT('Respuestas de formulario 1'!O1673))),""""))"),"")</f>
        <v/>
      </c>
      <c r="K1560" s="7" t="str">
        <f>IFERROR(__xludf.DUMMYFUNCTION("IF('Respuestas de formulario 1'!K1673="""","""",TO_TEXT('Respuestas de formulario 1'!K1673))"),"")</f>
        <v/>
      </c>
      <c r="L1560" s="7" t="str">
        <f>IFERROR(__xludf.DUMMYFUNCTION("IF('Respuestas de formulario 1'!L1673="""","""",TO_TEXT('Respuestas de formulario 1'!L1673))"),"")</f>
        <v/>
      </c>
      <c r="M1560" s="7" t="str">
        <f>IFERROR(__xludf.DUMMYFUNCTION("IF('Respuestas de formulario 1'!M1673="""","""",TO_TEXT('Respuestas de formulario 1'!M1673))"),"")</f>
        <v/>
      </c>
      <c r="N1560" s="7" t="str">
        <f t="shared" si="1"/>
        <v/>
      </c>
      <c r="O1560" s="7" t="str">
        <f t="shared" si="2"/>
        <v/>
      </c>
      <c r="P1560" s="7"/>
    </row>
    <row r="1561">
      <c r="A1561" s="7" t="str">
        <f>'Respuestas de formulario 1'!A1674</f>
        <v/>
      </c>
      <c r="B1561" s="7" t="str">
        <f>'Respuestas de formulario 1'!B1674</f>
        <v/>
      </c>
      <c r="C1561" s="7" t="str">
        <f>'Respuestas de formulario 1'!C1674</f>
        <v/>
      </c>
      <c r="D1561" s="7" t="str">
        <f>'Respuestas de formulario 1'!D1674</f>
        <v/>
      </c>
      <c r="E1561" s="7" t="str">
        <f>'Respuestas de formulario 1'!E1674</f>
        <v/>
      </c>
      <c r="F1561" s="7" t="str">
        <f>'Respuestas de formulario 1'!F1674</f>
        <v/>
      </c>
      <c r="G1561" s="7" t="str">
        <f>IFERROR(__xludf.DUMMYFUNCTION("IF('Respuestas de formulario 1'!G1674="""","""",IF(LEFT(REGEXREPLACE(TO_TEXT('Respuestas de formulario 1'!G1674),""[^0-9]"",""""),2)=""54"",""+""&amp;REGEXREPLACE(TO_TEXT('Respuestas de formulario 1'!G1674),""[^0-9]"",""""),""+54""&amp;REGEXREPLACE(TO_TEXT('Respu"&amp;"estas de formulario 1'!G1674),""[^0-9]"","""")))"),"")</f>
        <v/>
      </c>
      <c r="H1561" s="7" t="str">
        <f>'Respuestas de formulario 1'!S1674</f>
        <v/>
      </c>
      <c r="I1561" s="7" t="str">
        <f>IFERROR(__xludf.DUMMYFUNCTION("IF('Respuestas de formulario 1'!I1674="""","""",TO_TEXT('Respuestas de formulario 1'!I1674))"),"")</f>
        <v/>
      </c>
      <c r="J1561" s="7" t="str">
        <f>IFERROR(__xludf.DUMMYFUNCTION("IF('Respuestas de formulario 1'!J1674&lt;&gt;"""",UPPER(TRIM(TO_TEXT('Respuestas de formulario 1'!J1674))),IF('Respuestas de formulario 1'!O1674&lt;&gt;"""",UPPER(TRIM(TO_TEXT('Respuestas de formulario 1'!O1674))),""""))"),"")</f>
        <v/>
      </c>
      <c r="K1561" s="7" t="str">
        <f>IFERROR(__xludf.DUMMYFUNCTION("IF('Respuestas de formulario 1'!K1674="""","""",TO_TEXT('Respuestas de formulario 1'!K1674))"),"")</f>
        <v/>
      </c>
      <c r="L1561" s="7" t="str">
        <f>IFERROR(__xludf.DUMMYFUNCTION("IF('Respuestas de formulario 1'!L1674="""","""",TO_TEXT('Respuestas de formulario 1'!L1674))"),"")</f>
        <v/>
      </c>
      <c r="M1561" s="7" t="str">
        <f>IFERROR(__xludf.DUMMYFUNCTION("IF('Respuestas de formulario 1'!M1674="""","""",TO_TEXT('Respuestas de formulario 1'!M1674))"),"")</f>
        <v/>
      </c>
      <c r="N1561" s="7" t="str">
        <f t="shared" si="1"/>
        <v/>
      </c>
      <c r="O1561" s="7" t="str">
        <f t="shared" si="2"/>
        <v/>
      </c>
      <c r="P1561" s="7"/>
    </row>
    <row r="1562">
      <c r="A1562" s="7" t="str">
        <f>'Respuestas de formulario 1'!A1675</f>
        <v/>
      </c>
      <c r="B1562" s="7" t="str">
        <f>'Respuestas de formulario 1'!B1675</f>
        <v/>
      </c>
      <c r="C1562" s="7" t="str">
        <f>'Respuestas de formulario 1'!C1675</f>
        <v/>
      </c>
      <c r="D1562" s="7" t="str">
        <f>'Respuestas de formulario 1'!D1675</f>
        <v/>
      </c>
      <c r="E1562" s="7" t="str">
        <f>'Respuestas de formulario 1'!E1675</f>
        <v/>
      </c>
      <c r="F1562" s="7" t="str">
        <f>'Respuestas de formulario 1'!F1675</f>
        <v/>
      </c>
      <c r="G1562" s="7" t="str">
        <f>IFERROR(__xludf.DUMMYFUNCTION("IF('Respuestas de formulario 1'!G1675="""","""",IF(LEFT(REGEXREPLACE(TO_TEXT('Respuestas de formulario 1'!G1675),""[^0-9]"",""""),2)=""54"",""+""&amp;REGEXREPLACE(TO_TEXT('Respuestas de formulario 1'!G1675),""[^0-9]"",""""),""+54""&amp;REGEXREPLACE(TO_TEXT('Respu"&amp;"estas de formulario 1'!G1675),""[^0-9]"","""")))"),"")</f>
        <v/>
      </c>
      <c r="H1562" s="7" t="str">
        <f>'Respuestas de formulario 1'!S1675</f>
        <v/>
      </c>
      <c r="I1562" s="7" t="str">
        <f>IFERROR(__xludf.DUMMYFUNCTION("IF('Respuestas de formulario 1'!I1675="""","""",TO_TEXT('Respuestas de formulario 1'!I1675))"),"")</f>
        <v/>
      </c>
      <c r="J1562" s="7" t="str">
        <f>IFERROR(__xludf.DUMMYFUNCTION("IF('Respuestas de formulario 1'!J1675&lt;&gt;"""",UPPER(TRIM(TO_TEXT('Respuestas de formulario 1'!J1675))),IF('Respuestas de formulario 1'!O1675&lt;&gt;"""",UPPER(TRIM(TO_TEXT('Respuestas de formulario 1'!O1675))),""""))"),"")</f>
        <v/>
      </c>
      <c r="K1562" s="7" t="str">
        <f>IFERROR(__xludf.DUMMYFUNCTION("IF('Respuestas de formulario 1'!K1675="""","""",TO_TEXT('Respuestas de formulario 1'!K1675))"),"")</f>
        <v/>
      </c>
      <c r="L1562" s="7" t="str">
        <f>IFERROR(__xludf.DUMMYFUNCTION("IF('Respuestas de formulario 1'!L1675="""","""",TO_TEXT('Respuestas de formulario 1'!L1675))"),"")</f>
        <v/>
      </c>
      <c r="M1562" s="7" t="str">
        <f>IFERROR(__xludf.DUMMYFUNCTION("IF('Respuestas de formulario 1'!M1675="""","""",TO_TEXT('Respuestas de formulario 1'!M1675))"),"")</f>
        <v/>
      </c>
      <c r="N1562" s="7" t="str">
        <f t="shared" si="1"/>
        <v/>
      </c>
      <c r="O1562" s="7" t="str">
        <f t="shared" si="2"/>
        <v/>
      </c>
      <c r="P1562" s="7"/>
    </row>
    <row r="1563">
      <c r="A1563" s="7" t="str">
        <f>'Respuestas de formulario 1'!A1676</f>
        <v/>
      </c>
      <c r="B1563" s="7" t="str">
        <f>'Respuestas de formulario 1'!B1676</f>
        <v/>
      </c>
      <c r="C1563" s="7" t="str">
        <f>'Respuestas de formulario 1'!C1676</f>
        <v/>
      </c>
      <c r="D1563" s="7" t="str">
        <f>'Respuestas de formulario 1'!D1676</f>
        <v/>
      </c>
      <c r="E1563" s="7" t="str">
        <f>'Respuestas de formulario 1'!E1676</f>
        <v/>
      </c>
      <c r="F1563" s="7" t="str">
        <f>'Respuestas de formulario 1'!F1676</f>
        <v/>
      </c>
      <c r="G1563" s="7" t="str">
        <f>IFERROR(__xludf.DUMMYFUNCTION("IF('Respuestas de formulario 1'!G1676="""","""",IF(LEFT(REGEXREPLACE(TO_TEXT('Respuestas de formulario 1'!G1676),""[^0-9]"",""""),2)=""54"",""+""&amp;REGEXREPLACE(TO_TEXT('Respuestas de formulario 1'!G1676),""[^0-9]"",""""),""+54""&amp;REGEXREPLACE(TO_TEXT('Respu"&amp;"estas de formulario 1'!G1676),""[^0-9]"","""")))"),"")</f>
        <v/>
      </c>
      <c r="H1563" s="7" t="str">
        <f>'Respuestas de formulario 1'!S1676</f>
        <v/>
      </c>
      <c r="I1563" s="7" t="str">
        <f>IFERROR(__xludf.DUMMYFUNCTION("IF('Respuestas de formulario 1'!I1676="""","""",TO_TEXT('Respuestas de formulario 1'!I1676))"),"")</f>
        <v/>
      </c>
      <c r="J1563" s="7" t="str">
        <f>IFERROR(__xludf.DUMMYFUNCTION("IF('Respuestas de formulario 1'!J1676&lt;&gt;"""",UPPER(TRIM(TO_TEXT('Respuestas de formulario 1'!J1676))),IF('Respuestas de formulario 1'!O1676&lt;&gt;"""",UPPER(TRIM(TO_TEXT('Respuestas de formulario 1'!O1676))),""""))"),"")</f>
        <v/>
      </c>
      <c r="K1563" s="7" t="str">
        <f>IFERROR(__xludf.DUMMYFUNCTION("IF('Respuestas de formulario 1'!K1676="""","""",TO_TEXT('Respuestas de formulario 1'!K1676))"),"")</f>
        <v/>
      </c>
      <c r="L1563" s="7" t="str">
        <f>IFERROR(__xludf.DUMMYFUNCTION("IF('Respuestas de formulario 1'!L1676="""","""",TO_TEXT('Respuestas de formulario 1'!L1676))"),"")</f>
        <v/>
      </c>
      <c r="M1563" s="7" t="str">
        <f>IFERROR(__xludf.DUMMYFUNCTION("IF('Respuestas de formulario 1'!M1676="""","""",TO_TEXT('Respuestas de formulario 1'!M1676))"),"")</f>
        <v/>
      </c>
      <c r="N1563" s="7" t="str">
        <f t="shared" si="1"/>
        <v/>
      </c>
      <c r="O1563" s="7" t="str">
        <f t="shared" si="2"/>
        <v/>
      </c>
      <c r="P1563" s="7"/>
    </row>
    <row r="1564">
      <c r="A1564" s="7" t="str">
        <f>'Respuestas de formulario 1'!A1677</f>
        <v/>
      </c>
      <c r="B1564" s="7" t="str">
        <f>'Respuestas de formulario 1'!B1677</f>
        <v/>
      </c>
      <c r="C1564" s="7" t="str">
        <f>'Respuestas de formulario 1'!C1677</f>
        <v/>
      </c>
      <c r="D1564" s="7" t="str">
        <f>'Respuestas de formulario 1'!D1677</f>
        <v/>
      </c>
      <c r="E1564" s="7" t="str">
        <f>'Respuestas de formulario 1'!E1677</f>
        <v/>
      </c>
      <c r="F1564" s="7" t="str">
        <f>'Respuestas de formulario 1'!F1677</f>
        <v/>
      </c>
      <c r="G1564" s="7" t="str">
        <f>IFERROR(__xludf.DUMMYFUNCTION("IF('Respuestas de formulario 1'!G1677="""","""",IF(LEFT(REGEXREPLACE(TO_TEXT('Respuestas de formulario 1'!G1677),""[^0-9]"",""""),2)=""54"",""+""&amp;REGEXREPLACE(TO_TEXT('Respuestas de formulario 1'!G1677),""[^0-9]"",""""),""+54""&amp;REGEXREPLACE(TO_TEXT('Respu"&amp;"estas de formulario 1'!G1677),""[^0-9]"","""")))"),"")</f>
        <v/>
      </c>
      <c r="H1564" s="7" t="str">
        <f>'Respuestas de formulario 1'!S1677</f>
        <v/>
      </c>
      <c r="I1564" s="7" t="str">
        <f>IFERROR(__xludf.DUMMYFUNCTION("IF('Respuestas de formulario 1'!I1677="""","""",TO_TEXT('Respuestas de formulario 1'!I1677))"),"")</f>
        <v/>
      </c>
      <c r="J1564" s="7" t="str">
        <f>IFERROR(__xludf.DUMMYFUNCTION("IF('Respuestas de formulario 1'!J1677&lt;&gt;"""",UPPER(TRIM(TO_TEXT('Respuestas de formulario 1'!J1677))),IF('Respuestas de formulario 1'!O1677&lt;&gt;"""",UPPER(TRIM(TO_TEXT('Respuestas de formulario 1'!O1677))),""""))"),"")</f>
        <v/>
      </c>
      <c r="K1564" s="7" t="str">
        <f>IFERROR(__xludf.DUMMYFUNCTION("IF('Respuestas de formulario 1'!K1677="""","""",TO_TEXT('Respuestas de formulario 1'!K1677))"),"")</f>
        <v/>
      </c>
      <c r="L1564" s="7" t="str">
        <f>IFERROR(__xludf.DUMMYFUNCTION("IF('Respuestas de formulario 1'!L1677="""","""",TO_TEXT('Respuestas de formulario 1'!L1677))"),"")</f>
        <v/>
      </c>
      <c r="M1564" s="7" t="str">
        <f>IFERROR(__xludf.DUMMYFUNCTION("IF('Respuestas de formulario 1'!M1677="""","""",TO_TEXT('Respuestas de formulario 1'!M1677))"),"")</f>
        <v/>
      </c>
      <c r="N1564" s="7" t="str">
        <f t="shared" si="1"/>
        <v/>
      </c>
      <c r="O1564" s="7" t="str">
        <f t="shared" si="2"/>
        <v/>
      </c>
      <c r="P1564" s="7"/>
    </row>
    <row r="1565">
      <c r="A1565" s="7" t="str">
        <f>'Respuestas de formulario 1'!A1678</f>
        <v/>
      </c>
      <c r="B1565" s="7" t="str">
        <f>'Respuestas de formulario 1'!B1678</f>
        <v/>
      </c>
      <c r="C1565" s="7" t="str">
        <f>'Respuestas de formulario 1'!C1678</f>
        <v/>
      </c>
      <c r="D1565" s="7" t="str">
        <f>'Respuestas de formulario 1'!D1678</f>
        <v/>
      </c>
      <c r="E1565" s="7" t="str">
        <f>'Respuestas de formulario 1'!E1678</f>
        <v/>
      </c>
      <c r="F1565" s="7" t="str">
        <f>'Respuestas de formulario 1'!F1678</f>
        <v/>
      </c>
      <c r="G1565" s="7" t="str">
        <f>IFERROR(__xludf.DUMMYFUNCTION("IF('Respuestas de formulario 1'!G1678="""","""",IF(LEFT(REGEXREPLACE(TO_TEXT('Respuestas de formulario 1'!G1678),""[^0-9]"",""""),2)=""54"",""+""&amp;REGEXREPLACE(TO_TEXT('Respuestas de formulario 1'!G1678),""[^0-9]"",""""),""+54""&amp;REGEXREPLACE(TO_TEXT('Respu"&amp;"estas de formulario 1'!G1678),""[^0-9]"","""")))"),"")</f>
        <v/>
      </c>
      <c r="H1565" s="7" t="str">
        <f>'Respuestas de formulario 1'!S1678</f>
        <v/>
      </c>
      <c r="I1565" s="7" t="str">
        <f>IFERROR(__xludf.DUMMYFUNCTION("IF('Respuestas de formulario 1'!I1678="""","""",TO_TEXT('Respuestas de formulario 1'!I1678))"),"")</f>
        <v/>
      </c>
      <c r="J1565" s="7" t="str">
        <f>IFERROR(__xludf.DUMMYFUNCTION("IF('Respuestas de formulario 1'!J1678&lt;&gt;"""",UPPER(TRIM(TO_TEXT('Respuestas de formulario 1'!J1678))),IF('Respuestas de formulario 1'!O1678&lt;&gt;"""",UPPER(TRIM(TO_TEXT('Respuestas de formulario 1'!O1678))),""""))"),"")</f>
        <v/>
      </c>
      <c r="K1565" s="7" t="str">
        <f>IFERROR(__xludf.DUMMYFUNCTION("IF('Respuestas de formulario 1'!K1678="""","""",TO_TEXT('Respuestas de formulario 1'!K1678))"),"")</f>
        <v/>
      </c>
      <c r="L1565" s="7" t="str">
        <f>IFERROR(__xludf.DUMMYFUNCTION("IF('Respuestas de formulario 1'!L1678="""","""",TO_TEXT('Respuestas de formulario 1'!L1678))"),"")</f>
        <v/>
      </c>
      <c r="M1565" s="7" t="str">
        <f>IFERROR(__xludf.DUMMYFUNCTION("IF('Respuestas de formulario 1'!M1678="""","""",TO_TEXT('Respuestas de formulario 1'!M1678))"),"")</f>
        <v/>
      </c>
      <c r="N1565" s="7" t="str">
        <f t="shared" si="1"/>
        <v/>
      </c>
      <c r="O1565" s="7" t="str">
        <f t="shared" si="2"/>
        <v/>
      </c>
      <c r="P1565" s="7"/>
    </row>
    <row r="1566">
      <c r="A1566" s="7" t="str">
        <f>'Respuestas de formulario 1'!A1679</f>
        <v/>
      </c>
      <c r="B1566" s="7" t="str">
        <f>'Respuestas de formulario 1'!B1679</f>
        <v/>
      </c>
      <c r="C1566" s="7" t="str">
        <f>'Respuestas de formulario 1'!C1679</f>
        <v/>
      </c>
      <c r="D1566" s="7" t="str">
        <f>'Respuestas de formulario 1'!D1679</f>
        <v/>
      </c>
      <c r="E1566" s="7" t="str">
        <f>'Respuestas de formulario 1'!E1679</f>
        <v/>
      </c>
      <c r="F1566" s="7" t="str">
        <f>'Respuestas de formulario 1'!F1679</f>
        <v/>
      </c>
      <c r="G1566" s="7" t="str">
        <f>IFERROR(__xludf.DUMMYFUNCTION("IF('Respuestas de formulario 1'!G1679="""","""",IF(LEFT(REGEXREPLACE(TO_TEXT('Respuestas de formulario 1'!G1679),""[^0-9]"",""""),2)=""54"",""+""&amp;REGEXREPLACE(TO_TEXT('Respuestas de formulario 1'!G1679),""[^0-9]"",""""),""+54""&amp;REGEXREPLACE(TO_TEXT('Respu"&amp;"estas de formulario 1'!G1679),""[^0-9]"","""")))"),"")</f>
        <v/>
      </c>
      <c r="H1566" s="7" t="str">
        <f>'Respuestas de formulario 1'!S1679</f>
        <v/>
      </c>
      <c r="I1566" s="7" t="str">
        <f>IFERROR(__xludf.DUMMYFUNCTION("IF('Respuestas de formulario 1'!I1679="""","""",TO_TEXT('Respuestas de formulario 1'!I1679))"),"")</f>
        <v/>
      </c>
      <c r="J1566" s="7" t="str">
        <f>IFERROR(__xludf.DUMMYFUNCTION("IF('Respuestas de formulario 1'!J1679&lt;&gt;"""",UPPER(TRIM(TO_TEXT('Respuestas de formulario 1'!J1679))),IF('Respuestas de formulario 1'!O1679&lt;&gt;"""",UPPER(TRIM(TO_TEXT('Respuestas de formulario 1'!O1679))),""""))"),"")</f>
        <v/>
      </c>
      <c r="K1566" s="7" t="str">
        <f>IFERROR(__xludf.DUMMYFUNCTION("IF('Respuestas de formulario 1'!K1679="""","""",TO_TEXT('Respuestas de formulario 1'!K1679))"),"")</f>
        <v/>
      </c>
      <c r="L1566" s="7" t="str">
        <f>IFERROR(__xludf.DUMMYFUNCTION("IF('Respuestas de formulario 1'!L1679="""","""",TO_TEXT('Respuestas de formulario 1'!L1679))"),"")</f>
        <v/>
      </c>
      <c r="M1566" s="7" t="str">
        <f>IFERROR(__xludf.DUMMYFUNCTION("IF('Respuestas de formulario 1'!M1679="""","""",TO_TEXT('Respuestas de formulario 1'!M1679))"),"")</f>
        <v/>
      </c>
      <c r="N1566" s="7" t="str">
        <f t="shared" si="1"/>
        <v/>
      </c>
      <c r="O1566" s="7" t="str">
        <f t="shared" si="2"/>
        <v/>
      </c>
      <c r="P1566" s="7"/>
    </row>
    <row r="1567">
      <c r="A1567" s="7" t="str">
        <f>'Respuestas de formulario 1'!A1680</f>
        <v/>
      </c>
      <c r="B1567" s="7" t="str">
        <f>'Respuestas de formulario 1'!B1680</f>
        <v/>
      </c>
      <c r="C1567" s="7" t="str">
        <f>'Respuestas de formulario 1'!C1680</f>
        <v/>
      </c>
      <c r="D1567" s="7" t="str">
        <f>'Respuestas de formulario 1'!D1680</f>
        <v/>
      </c>
      <c r="E1567" s="7" t="str">
        <f>'Respuestas de formulario 1'!E1680</f>
        <v/>
      </c>
      <c r="F1567" s="7" t="str">
        <f>'Respuestas de formulario 1'!F1680</f>
        <v/>
      </c>
      <c r="G1567" s="7" t="str">
        <f>IFERROR(__xludf.DUMMYFUNCTION("IF('Respuestas de formulario 1'!G1680="""","""",IF(LEFT(REGEXREPLACE(TO_TEXT('Respuestas de formulario 1'!G1680),""[^0-9]"",""""),2)=""54"",""+""&amp;REGEXREPLACE(TO_TEXT('Respuestas de formulario 1'!G1680),""[^0-9]"",""""),""+54""&amp;REGEXREPLACE(TO_TEXT('Respu"&amp;"estas de formulario 1'!G1680),""[^0-9]"","""")))"),"")</f>
        <v/>
      </c>
      <c r="H1567" s="7" t="str">
        <f>'Respuestas de formulario 1'!S1680</f>
        <v/>
      </c>
      <c r="I1567" s="7" t="str">
        <f>IFERROR(__xludf.DUMMYFUNCTION("IF('Respuestas de formulario 1'!I1680="""","""",TO_TEXT('Respuestas de formulario 1'!I1680))"),"")</f>
        <v/>
      </c>
      <c r="J1567" s="7" t="str">
        <f>IFERROR(__xludf.DUMMYFUNCTION("IF('Respuestas de formulario 1'!J1680&lt;&gt;"""",UPPER(TRIM(TO_TEXT('Respuestas de formulario 1'!J1680))),IF('Respuestas de formulario 1'!O1680&lt;&gt;"""",UPPER(TRIM(TO_TEXT('Respuestas de formulario 1'!O1680))),""""))"),"")</f>
        <v/>
      </c>
      <c r="K1567" s="7" t="str">
        <f>IFERROR(__xludf.DUMMYFUNCTION("IF('Respuestas de formulario 1'!K1680="""","""",TO_TEXT('Respuestas de formulario 1'!K1680))"),"")</f>
        <v/>
      </c>
      <c r="L1567" s="7" t="str">
        <f>IFERROR(__xludf.DUMMYFUNCTION("IF('Respuestas de formulario 1'!L1680="""","""",TO_TEXT('Respuestas de formulario 1'!L1680))"),"")</f>
        <v/>
      </c>
      <c r="M1567" s="7" t="str">
        <f>IFERROR(__xludf.DUMMYFUNCTION("IF('Respuestas de formulario 1'!M1680="""","""",TO_TEXT('Respuestas de formulario 1'!M1680))"),"")</f>
        <v/>
      </c>
      <c r="N1567" s="7" t="str">
        <f t="shared" si="1"/>
        <v/>
      </c>
      <c r="O1567" s="7" t="str">
        <f t="shared" si="2"/>
        <v/>
      </c>
      <c r="P1567" s="7"/>
    </row>
    <row r="1568">
      <c r="A1568" s="7" t="str">
        <f>'Respuestas de formulario 1'!A1681</f>
        <v/>
      </c>
      <c r="B1568" s="7" t="str">
        <f>'Respuestas de formulario 1'!B1681</f>
        <v/>
      </c>
      <c r="C1568" s="7" t="str">
        <f>'Respuestas de formulario 1'!C1681</f>
        <v/>
      </c>
      <c r="D1568" s="7" t="str">
        <f>'Respuestas de formulario 1'!D1681</f>
        <v/>
      </c>
      <c r="E1568" s="7" t="str">
        <f>'Respuestas de formulario 1'!E1681</f>
        <v/>
      </c>
      <c r="F1568" s="7" t="str">
        <f>'Respuestas de formulario 1'!F1681</f>
        <v/>
      </c>
      <c r="G1568" s="7" t="str">
        <f>IFERROR(__xludf.DUMMYFUNCTION("IF('Respuestas de formulario 1'!G1681="""","""",IF(LEFT(REGEXREPLACE(TO_TEXT('Respuestas de formulario 1'!G1681),""[^0-9]"",""""),2)=""54"",""+""&amp;REGEXREPLACE(TO_TEXT('Respuestas de formulario 1'!G1681),""[^0-9]"",""""),""+54""&amp;REGEXREPLACE(TO_TEXT('Respu"&amp;"estas de formulario 1'!G1681),""[^0-9]"","""")))"),"")</f>
        <v/>
      </c>
      <c r="H1568" s="7" t="str">
        <f>'Respuestas de formulario 1'!S1681</f>
        <v/>
      </c>
      <c r="I1568" s="7" t="str">
        <f>IFERROR(__xludf.DUMMYFUNCTION("IF('Respuestas de formulario 1'!I1681="""","""",TO_TEXT('Respuestas de formulario 1'!I1681))"),"")</f>
        <v/>
      </c>
      <c r="J1568" s="7" t="str">
        <f>IFERROR(__xludf.DUMMYFUNCTION("IF('Respuestas de formulario 1'!J1681&lt;&gt;"""",UPPER(TRIM(TO_TEXT('Respuestas de formulario 1'!J1681))),IF('Respuestas de formulario 1'!O1681&lt;&gt;"""",UPPER(TRIM(TO_TEXT('Respuestas de formulario 1'!O1681))),""""))"),"")</f>
        <v/>
      </c>
      <c r="K1568" s="7" t="str">
        <f>IFERROR(__xludf.DUMMYFUNCTION("IF('Respuestas de formulario 1'!K1681="""","""",TO_TEXT('Respuestas de formulario 1'!K1681))"),"")</f>
        <v/>
      </c>
      <c r="L1568" s="7" t="str">
        <f>IFERROR(__xludf.DUMMYFUNCTION("IF('Respuestas de formulario 1'!L1681="""","""",TO_TEXT('Respuestas de formulario 1'!L1681))"),"")</f>
        <v/>
      </c>
      <c r="M1568" s="7" t="str">
        <f>IFERROR(__xludf.DUMMYFUNCTION("IF('Respuestas de formulario 1'!M1681="""","""",TO_TEXT('Respuestas de formulario 1'!M1681))"),"")</f>
        <v/>
      </c>
      <c r="N1568" s="7" t="str">
        <f t="shared" si="1"/>
        <v/>
      </c>
      <c r="O1568" s="7" t="str">
        <f t="shared" si="2"/>
        <v/>
      </c>
      <c r="P1568" s="7"/>
    </row>
    <row r="1569">
      <c r="A1569" s="7" t="str">
        <f>'Respuestas de formulario 1'!A1682</f>
        <v/>
      </c>
      <c r="B1569" s="7" t="str">
        <f>'Respuestas de formulario 1'!B1682</f>
        <v/>
      </c>
      <c r="C1569" s="7" t="str">
        <f>'Respuestas de formulario 1'!C1682</f>
        <v/>
      </c>
      <c r="D1569" s="7" t="str">
        <f>'Respuestas de formulario 1'!D1682</f>
        <v/>
      </c>
      <c r="E1569" s="7" t="str">
        <f>'Respuestas de formulario 1'!E1682</f>
        <v/>
      </c>
      <c r="F1569" s="7" t="str">
        <f>'Respuestas de formulario 1'!F1682</f>
        <v/>
      </c>
      <c r="G1569" s="7" t="str">
        <f>IFERROR(__xludf.DUMMYFUNCTION("IF('Respuestas de formulario 1'!G1682="""","""",IF(LEFT(REGEXREPLACE(TO_TEXT('Respuestas de formulario 1'!G1682),""[^0-9]"",""""),2)=""54"",""+""&amp;REGEXREPLACE(TO_TEXT('Respuestas de formulario 1'!G1682),""[^0-9]"",""""),""+54""&amp;REGEXREPLACE(TO_TEXT('Respu"&amp;"estas de formulario 1'!G1682),""[^0-9]"","""")))"),"")</f>
        <v/>
      </c>
      <c r="H1569" s="7" t="str">
        <f>'Respuestas de formulario 1'!S1682</f>
        <v/>
      </c>
      <c r="I1569" s="7" t="str">
        <f>IFERROR(__xludf.DUMMYFUNCTION("IF('Respuestas de formulario 1'!I1682="""","""",TO_TEXT('Respuestas de formulario 1'!I1682))"),"")</f>
        <v/>
      </c>
      <c r="J1569" s="7" t="str">
        <f>IFERROR(__xludf.DUMMYFUNCTION("IF('Respuestas de formulario 1'!J1682&lt;&gt;"""",UPPER(TRIM(TO_TEXT('Respuestas de formulario 1'!J1682))),IF('Respuestas de formulario 1'!O1682&lt;&gt;"""",UPPER(TRIM(TO_TEXT('Respuestas de formulario 1'!O1682))),""""))"),"")</f>
        <v/>
      </c>
      <c r="K1569" s="7" t="str">
        <f>IFERROR(__xludf.DUMMYFUNCTION("IF('Respuestas de formulario 1'!K1682="""","""",TO_TEXT('Respuestas de formulario 1'!K1682))"),"")</f>
        <v/>
      </c>
      <c r="L1569" s="7" t="str">
        <f>IFERROR(__xludf.DUMMYFUNCTION("IF('Respuestas de formulario 1'!L1682="""","""",TO_TEXT('Respuestas de formulario 1'!L1682))"),"")</f>
        <v/>
      </c>
      <c r="M1569" s="7" t="str">
        <f>IFERROR(__xludf.DUMMYFUNCTION("IF('Respuestas de formulario 1'!M1682="""","""",TO_TEXT('Respuestas de formulario 1'!M1682))"),"")</f>
        <v/>
      </c>
      <c r="N1569" s="7" t="str">
        <f t="shared" si="1"/>
        <v/>
      </c>
      <c r="O1569" s="7" t="str">
        <f t="shared" si="2"/>
        <v/>
      </c>
      <c r="P1569" s="7"/>
    </row>
    <row r="1570">
      <c r="A1570" s="7" t="str">
        <f>'Respuestas de formulario 1'!A1683</f>
        <v/>
      </c>
      <c r="B1570" s="7" t="str">
        <f>'Respuestas de formulario 1'!B1683</f>
        <v/>
      </c>
      <c r="C1570" s="7" t="str">
        <f>'Respuestas de formulario 1'!C1683</f>
        <v/>
      </c>
      <c r="D1570" s="7" t="str">
        <f>'Respuestas de formulario 1'!D1683</f>
        <v/>
      </c>
      <c r="E1570" s="7" t="str">
        <f>'Respuestas de formulario 1'!E1683</f>
        <v/>
      </c>
      <c r="F1570" s="7" t="str">
        <f>'Respuestas de formulario 1'!F1683</f>
        <v/>
      </c>
      <c r="G1570" s="7" t="str">
        <f>IFERROR(__xludf.DUMMYFUNCTION("IF('Respuestas de formulario 1'!G1683="""","""",IF(LEFT(REGEXREPLACE(TO_TEXT('Respuestas de formulario 1'!G1683),""[^0-9]"",""""),2)=""54"",""+""&amp;REGEXREPLACE(TO_TEXT('Respuestas de formulario 1'!G1683),""[^0-9]"",""""),""+54""&amp;REGEXREPLACE(TO_TEXT('Respu"&amp;"estas de formulario 1'!G1683),""[^0-9]"","""")))"),"")</f>
        <v/>
      </c>
      <c r="H1570" s="7" t="str">
        <f>'Respuestas de formulario 1'!S1683</f>
        <v/>
      </c>
      <c r="I1570" s="7" t="str">
        <f>IFERROR(__xludf.DUMMYFUNCTION("IF('Respuestas de formulario 1'!I1683="""","""",TO_TEXT('Respuestas de formulario 1'!I1683))"),"")</f>
        <v/>
      </c>
      <c r="J1570" s="7" t="str">
        <f>IFERROR(__xludf.DUMMYFUNCTION("IF('Respuestas de formulario 1'!J1683&lt;&gt;"""",UPPER(TRIM(TO_TEXT('Respuestas de formulario 1'!J1683))),IF('Respuestas de formulario 1'!O1683&lt;&gt;"""",UPPER(TRIM(TO_TEXT('Respuestas de formulario 1'!O1683))),""""))"),"")</f>
        <v/>
      </c>
      <c r="K1570" s="7" t="str">
        <f>IFERROR(__xludf.DUMMYFUNCTION("IF('Respuestas de formulario 1'!K1683="""","""",TO_TEXT('Respuestas de formulario 1'!K1683))"),"")</f>
        <v/>
      </c>
      <c r="L1570" s="7" t="str">
        <f>IFERROR(__xludf.DUMMYFUNCTION("IF('Respuestas de formulario 1'!L1683="""","""",TO_TEXT('Respuestas de formulario 1'!L1683))"),"")</f>
        <v/>
      </c>
      <c r="M1570" s="7" t="str">
        <f>IFERROR(__xludf.DUMMYFUNCTION("IF('Respuestas de formulario 1'!M1683="""","""",TO_TEXT('Respuestas de formulario 1'!M1683))"),"")</f>
        <v/>
      </c>
      <c r="N1570" s="7" t="str">
        <f t="shared" si="1"/>
        <v/>
      </c>
      <c r="O1570" s="7" t="str">
        <f t="shared" si="2"/>
        <v/>
      </c>
      <c r="P1570" s="7"/>
    </row>
    <row r="1571">
      <c r="A1571" s="7" t="str">
        <f>'Respuestas de formulario 1'!A1684</f>
        <v/>
      </c>
      <c r="B1571" s="7" t="str">
        <f>'Respuestas de formulario 1'!B1684</f>
        <v/>
      </c>
      <c r="C1571" s="7" t="str">
        <f>'Respuestas de formulario 1'!C1684</f>
        <v/>
      </c>
      <c r="D1571" s="7" t="str">
        <f>'Respuestas de formulario 1'!D1684</f>
        <v/>
      </c>
      <c r="E1571" s="7" t="str">
        <f>'Respuestas de formulario 1'!E1684</f>
        <v/>
      </c>
      <c r="F1571" s="7" t="str">
        <f>'Respuestas de formulario 1'!F1684</f>
        <v/>
      </c>
      <c r="G1571" s="7" t="str">
        <f>IFERROR(__xludf.DUMMYFUNCTION("IF('Respuestas de formulario 1'!G1684="""","""",IF(LEFT(REGEXREPLACE(TO_TEXT('Respuestas de formulario 1'!G1684),""[^0-9]"",""""),2)=""54"",""+""&amp;REGEXREPLACE(TO_TEXT('Respuestas de formulario 1'!G1684),""[^0-9]"",""""),""+54""&amp;REGEXREPLACE(TO_TEXT('Respu"&amp;"estas de formulario 1'!G1684),""[^0-9]"","""")))"),"")</f>
        <v/>
      </c>
      <c r="H1571" s="7" t="str">
        <f>'Respuestas de formulario 1'!S1684</f>
        <v/>
      </c>
      <c r="I1571" s="7" t="str">
        <f>IFERROR(__xludf.DUMMYFUNCTION("IF('Respuestas de formulario 1'!I1684="""","""",TO_TEXT('Respuestas de formulario 1'!I1684))"),"")</f>
        <v/>
      </c>
      <c r="J1571" s="7" t="str">
        <f>IFERROR(__xludf.DUMMYFUNCTION("IF('Respuestas de formulario 1'!J1684&lt;&gt;"""",UPPER(TRIM(TO_TEXT('Respuestas de formulario 1'!J1684))),IF('Respuestas de formulario 1'!O1684&lt;&gt;"""",UPPER(TRIM(TO_TEXT('Respuestas de formulario 1'!O1684))),""""))"),"")</f>
        <v/>
      </c>
      <c r="K1571" s="7" t="str">
        <f>IFERROR(__xludf.DUMMYFUNCTION("IF('Respuestas de formulario 1'!K1684="""","""",TO_TEXT('Respuestas de formulario 1'!K1684))"),"")</f>
        <v/>
      </c>
      <c r="L1571" s="7" t="str">
        <f>IFERROR(__xludf.DUMMYFUNCTION("IF('Respuestas de formulario 1'!L1684="""","""",TO_TEXT('Respuestas de formulario 1'!L1684))"),"")</f>
        <v/>
      </c>
      <c r="M1571" s="7" t="str">
        <f>IFERROR(__xludf.DUMMYFUNCTION("IF('Respuestas de formulario 1'!M1684="""","""",TO_TEXT('Respuestas de formulario 1'!M1684))"),"")</f>
        <v/>
      </c>
      <c r="N1571" s="7" t="str">
        <f t="shared" si="1"/>
        <v/>
      </c>
      <c r="O1571" s="7" t="str">
        <f t="shared" si="2"/>
        <v/>
      </c>
      <c r="P1571" s="7"/>
    </row>
    <row r="1572">
      <c r="A1572" s="7" t="str">
        <f>'Respuestas de formulario 1'!A1685</f>
        <v/>
      </c>
      <c r="B1572" s="7" t="str">
        <f>'Respuestas de formulario 1'!B1685</f>
        <v/>
      </c>
      <c r="C1572" s="7" t="str">
        <f>'Respuestas de formulario 1'!C1685</f>
        <v/>
      </c>
      <c r="D1572" s="7" t="str">
        <f>'Respuestas de formulario 1'!D1685</f>
        <v/>
      </c>
      <c r="E1572" s="7" t="str">
        <f>'Respuestas de formulario 1'!E1685</f>
        <v/>
      </c>
      <c r="F1572" s="7" t="str">
        <f>'Respuestas de formulario 1'!F1685</f>
        <v/>
      </c>
      <c r="G1572" s="7" t="str">
        <f>IFERROR(__xludf.DUMMYFUNCTION("IF('Respuestas de formulario 1'!G1685="""","""",IF(LEFT(REGEXREPLACE(TO_TEXT('Respuestas de formulario 1'!G1685),""[^0-9]"",""""),2)=""54"",""+""&amp;REGEXREPLACE(TO_TEXT('Respuestas de formulario 1'!G1685),""[^0-9]"",""""),""+54""&amp;REGEXREPLACE(TO_TEXT('Respu"&amp;"estas de formulario 1'!G1685),""[^0-9]"","""")))"),"")</f>
        <v/>
      </c>
      <c r="H1572" s="7" t="str">
        <f>'Respuestas de formulario 1'!S1685</f>
        <v/>
      </c>
      <c r="I1572" s="7" t="str">
        <f>IFERROR(__xludf.DUMMYFUNCTION("IF('Respuestas de formulario 1'!I1685="""","""",TO_TEXT('Respuestas de formulario 1'!I1685))"),"")</f>
        <v/>
      </c>
      <c r="J1572" s="7" t="str">
        <f>IFERROR(__xludf.DUMMYFUNCTION("IF('Respuestas de formulario 1'!J1685&lt;&gt;"""",UPPER(TRIM(TO_TEXT('Respuestas de formulario 1'!J1685))),IF('Respuestas de formulario 1'!O1685&lt;&gt;"""",UPPER(TRIM(TO_TEXT('Respuestas de formulario 1'!O1685))),""""))"),"")</f>
        <v/>
      </c>
      <c r="K1572" s="7" t="str">
        <f>IFERROR(__xludf.DUMMYFUNCTION("IF('Respuestas de formulario 1'!K1685="""","""",TO_TEXT('Respuestas de formulario 1'!K1685))"),"")</f>
        <v/>
      </c>
      <c r="L1572" s="7" t="str">
        <f>IFERROR(__xludf.DUMMYFUNCTION("IF('Respuestas de formulario 1'!L1685="""","""",TO_TEXT('Respuestas de formulario 1'!L1685))"),"")</f>
        <v/>
      </c>
      <c r="M1572" s="7" t="str">
        <f>IFERROR(__xludf.DUMMYFUNCTION("IF('Respuestas de formulario 1'!M1685="""","""",TO_TEXT('Respuestas de formulario 1'!M1685))"),"")</f>
        <v/>
      </c>
      <c r="N1572" s="7" t="str">
        <f t="shared" si="1"/>
        <v/>
      </c>
      <c r="O1572" s="7" t="str">
        <f t="shared" si="2"/>
        <v/>
      </c>
      <c r="P1572" s="7"/>
    </row>
    <row r="1573">
      <c r="A1573" s="7" t="str">
        <f>'Respuestas de formulario 1'!A1686</f>
        <v/>
      </c>
      <c r="B1573" s="7" t="str">
        <f>'Respuestas de formulario 1'!B1686</f>
        <v/>
      </c>
      <c r="C1573" s="7" t="str">
        <f>'Respuestas de formulario 1'!C1686</f>
        <v/>
      </c>
      <c r="D1573" s="7" t="str">
        <f>'Respuestas de formulario 1'!D1686</f>
        <v/>
      </c>
      <c r="E1573" s="7" t="str">
        <f>'Respuestas de formulario 1'!E1686</f>
        <v/>
      </c>
      <c r="F1573" s="7" t="str">
        <f>'Respuestas de formulario 1'!F1686</f>
        <v/>
      </c>
      <c r="G1573" s="7" t="str">
        <f>IFERROR(__xludf.DUMMYFUNCTION("IF('Respuestas de formulario 1'!G1686="""","""",IF(LEFT(REGEXREPLACE(TO_TEXT('Respuestas de formulario 1'!G1686),""[^0-9]"",""""),2)=""54"",""+""&amp;REGEXREPLACE(TO_TEXT('Respuestas de formulario 1'!G1686),""[^0-9]"",""""),""+54""&amp;REGEXREPLACE(TO_TEXT('Respu"&amp;"estas de formulario 1'!G1686),""[^0-9]"","""")))"),"")</f>
        <v/>
      </c>
      <c r="H1573" s="7" t="str">
        <f>'Respuestas de formulario 1'!S1686</f>
        <v/>
      </c>
      <c r="I1573" s="7" t="str">
        <f>IFERROR(__xludf.DUMMYFUNCTION("IF('Respuestas de formulario 1'!I1686="""","""",TO_TEXT('Respuestas de formulario 1'!I1686))"),"")</f>
        <v/>
      </c>
      <c r="J1573" s="7" t="str">
        <f>IFERROR(__xludf.DUMMYFUNCTION("IF('Respuestas de formulario 1'!J1686&lt;&gt;"""",UPPER(TRIM(TO_TEXT('Respuestas de formulario 1'!J1686))),IF('Respuestas de formulario 1'!O1686&lt;&gt;"""",UPPER(TRIM(TO_TEXT('Respuestas de formulario 1'!O1686))),""""))"),"")</f>
        <v/>
      </c>
      <c r="K1573" s="7" t="str">
        <f>IFERROR(__xludf.DUMMYFUNCTION("IF('Respuestas de formulario 1'!K1686="""","""",TO_TEXT('Respuestas de formulario 1'!K1686))"),"")</f>
        <v/>
      </c>
      <c r="L1573" s="7" t="str">
        <f>IFERROR(__xludf.DUMMYFUNCTION("IF('Respuestas de formulario 1'!L1686="""","""",TO_TEXT('Respuestas de formulario 1'!L1686))"),"")</f>
        <v/>
      </c>
      <c r="M1573" s="7" t="str">
        <f>IFERROR(__xludf.DUMMYFUNCTION("IF('Respuestas de formulario 1'!M1686="""","""",TO_TEXT('Respuestas de formulario 1'!M1686))"),"")</f>
        <v/>
      </c>
      <c r="N1573" s="7" t="str">
        <f t="shared" si="1"/>
        <v/>
      </c>
      <c r="O1573" s="7" t="str">
        <f t="shared" si="2"/>
        <v/>
      </c>
      <c r="P1573" s="7"/>
    </row>
    <row r="1574">
      <c r="A1574" s="7" t="str">
        <f>'Respuestas de formulario 1'!A1687</f>
        <v/>
      </c>
      <c r="B1574" s="7" t="str">
        <f>'Respuestas de formulario 1'!B1687</f>
        <v/>
      </c>
      <c r="C1574" s="7" t="str">
        <f>'Respuestas de formulario 1'!C1687</f>
        <v/>
      </c>
      <c r="D1574" s="7" t="str">
        <f>'Respuestas de formulario 1'!D1687</f>
        <v/>
      </c>
      <c r="E1574" s="7" t="str">
        <f>'Respuestas de formulario 1'!E1687</f>
        <v/>
      </c>
      <c r="F1574" s="7" t="str">
        <f>'Respuestas de formulario 1'!F1687</f>
        <v/>
      </c>
      <c r="G1574" s="7" t="str">
        <f>IFERROR(__xludf.DUMMYFUNCTION("IF('Respuestas de formulario 1'!G1687="""","""",IF(LEFT(REGEXREPLACE(TO_TEXT('Respuestas de formulario 1'!G1687),""[^0-9]"",""""),2)=""54"",""+""&amp;REGEXREPLACE(TO_TEXT('Respuestas de formulario 1'!G1687),""[^0-9]"",""""),""+54""&amp;REGEXREPLACE(TO_TEXT('Respu"&amp;"estas de formulario 1'!G1687),""[^0-9]"","""")))"),"")</f>
        <v/>
      </c>
      <c r="H1574" s="7" t="str">
        <f>'Respuestas de formulario 1'!S1687</f>
        <v/>
      </c>
      <c r="I1574" s="7" t="str">
        <f>IFERROR(__xludf.DUMMYFUNCTION("IF('Respuestas de formulario 1'!I1687="""","""",TO_TEXT('Respuestas de formulario 1'!I1687))"),"")</f>
        <v/>
      </c>
      <c r="J1574" s="7" t="str">
        <f>IFERROR(__xludf.DUMMYFUNCTION("IF('Respuestas de formulario 1'!J1687&lt;&gt;"""",UPPER(TRIM(TO_TEXT('Respuestas de formulario 1'!J1687))),IF('Respuestas de formulario 1'!O1687&lt;&gt;"""",UPPER(TRIM(TO_TEXT('Respuestas de formulario 1'!O1687))),""""))"),"")</f>
        <v/>
      </c>
      <c r="K1574" s="7" t="str">
        <f>IFERROR(__xludf.DUMMYFUNCTION("IF('Respuestas de formulario 1'!K1687="""","""",TO_TEXT('Respuestas de formulario 1'!K1687))"),"")</f>
        <v/>
      </c>
      <c r="L1574" s="7" t="str">
        <f>IFERROR(__xludf.DUMMYFUNCTION("IF('Respuestas de formulario 1'!L1687="""","""",TO_TEXT('Respuestas de formulario 1'!L1687))"),"")</f>
        <v/>
      </c>
      <c r="M1574" s="7" t="str">
        <f>IFERROR(__xludf.DUMMYFUNCTION("IF('Respuestas de formulario 1'!M1687="""","""",TO_TEXT('Respuestas de formulario 1'!M1687))"),"")</f>
        <v/>
      </c>
      <c r="N1574" s="7" t="str">
        <f t="shared" si="1"/>
        <v/>
      </c>
      <c r="O1574" s="7" t="str">
        <f t="shared" si="2"/>
        <v/>
      </c>
      <c r="P1574" s="7"/>
    </row>
    <row r="1575">
      <c r="A1575" s="7" t="str">
        <f>'Respuestas de formulario 1'!A1688</f>
        <v/>
      </c>
      <c r="B1575" s="7" t="str">
        <f>'Respuestas de formulario 1'!B1688</f>
        <v/>
      </c>
      <c r="C1575" s="7" t="str">
        <f>'Respuestas de formulario 1'!C1688</f>
        <v/>
      </c>
      <c r="D1575" s="7" t="str">
        <f>'Respuestas de formulario 1'!D1688</f>
        <v/>
      </c>
      <c r="E1575" s="7" t="str">
        <f>'Respuestas de formulario 1'!E1688</f>
        <v/>
      </c>
      <c r="F1575" s="7" t="str">
        <f>'Respuestas de formulario 1'!F1688</f>
        <v/>
      </c>
      <c r="G1575" s="7" t="str">
        <f>IFERROR(__xludf.DUMMYFUNCTION("IF('Respuestas de formulario 1'!G1688="""","""",IF(LEFT(REGEXREPLACE(TO_TEXT('Respuestas de formulario 1'!G1688),""[^0-9]"",""""),2)=""54"",""+""&amp;REGEXREPLACE(TO_TEXT('Respuestas de formulario 1'!G1688),""[^0-9]"",""""),""+54""&amp;REGEXREPLACE(TO_TEXT('Respu"&amp;"estas de formulario 1'!G1688),""[^0-9]"","""")))"),"")</f>
        <v/>
      </c>
      <c r="H1575" s="7" t="str">
        <f>'Respuestas de formulario 1'!S1688</f>
        <v/>
      </c>
      <c r="I1575" s="7" t="str">
        <f>IFERROR(__xludf.DUMMYFUNCTION("IF('Respuestas de formulario 1'!I1688="""","""",TO_TEXT('Respuestas de formulario 1'!I1688))"),"")</f>
        <v/>
      </c>
      <c r="J1575" s="7" t="str">
        <f>IFERROR(__xludf.DUMMYFUNCTION("IF('Respuestas de formulario 1'!J1688&lt;&gt;"""",UPPER(TRIM(TO_TEXT('Respuestas de formulario 1'!J1688))),IF('Respuestas de formulario 1'!O1688&lt;&gt;"""",UPPER(TRIM(TO_TEXT('Respuestas de formulario 1'!O1688))),""""))"),"")</f>
        <v/>
      </c>
      <c r="K1575" s="7" t="str">
        <f>IFERROR(__xludf.DUMMYFUNCTION("IF('Respuestas de formulario 1'!K1688="""","""",TO_TEXT('Respuestas de formulario 1'!K1688))"),"")</f>
        <v/>
      </c>
      <c r="L1575" s="7" t="str">
        <f>IFERROR(__xludf.DUMMYFUNCTION("IF('Respuestas de formulario 1'!L1688="""","""",TO_TEXT('Respuestas de formulario 1'!L1688))"),"")</f>
        <v/>
      </c>
      <c r="M1575" s="7" t="str">
        <f>IFERROR(__xludf.DUMMYFUNCTION("IF('Respuestas de formulario 1'!M1688="""","""",TO_TEXT('Respuestas de formulario 1'!M1688))"),"")</f>
        <v/>
      </c>
      <c r="N1575" s="7" t="str">
        <f t="shared" si="1"/>
        <v/>
      </c>
      <c r="O1575" s="7" t="str">
        <f t="shared" si="2"/>
        <v/>
      </c>
      <c r="P1575" s="7"/>
    </row>
    <row r="1576">
      <c r="A1576" s="7" t="str">
        <f>'Respuestas de formulario 1'!A1689</f>
        <v/>
      </c>
      <c r="B1576" s="7" t="str">
        <f>'Respuestas de formulario 1'!B1689</f>
        <v/>
      </c>
      <c r="C1576" s="7" t="str">
        <f>'Respuestas de formulario 1'!C1689</f>
        <v/>
      </c>
      <c r="D1576" s="7" t="str">
        <f>'Respuestas de formulario 1'!D1689</f>
        <v/>
      </c>
      <c r="E1576" s="7" t="str">
        <f>'Respuestas de formulario 1'!E1689</f>
        <v/>
      </c>
      <c r="F1576" s="7" t="str">
        <f>'Respuestas de formulario 1'!F1689</f>
        <v/>
      </c>
      <c r="G1576" s="7" t="str">
        <f>IFERROR(__xludf.DUMMYFUNCTION("IF('Respuestas de formulario 1'!G1689="""","""",IF(LEFT(REGEXREPLACE(TO_TEXT('Respuestas de formulario 1'!G1689),""[^0-9]"",""""),2)=""54"",""+""&amp;REGEXREPLACE(TO_TEXT('Respuestas de formulario 1'!G1689),""[^0-9]"",""""),""+54""&amp;REGEXREPLACE(TO_TEXT('Respu"&amp;"estas de formulario 1'!G1689),""[^0-9]"","""")))"),"")</f>
        <v/>
      </c>
      <c r="H1576" s="7" t="str">
        <f>'Respuestas de formulario 1'!S1689</f>
        <v/>
      </c>
      <c r="I1576" s="7" t="str">
        <f>IFERROR(__xludf.DUMMYFUNCTION("IF('Respuestas de formulario 1'!I1689="""","""",TO_TEXT('Respuestas de formulario 1'!I1689))"),"")</f>
        <v/>
      </c>
      <c r="J1576" s="7" t="str">
        <f>IFERROR(__xludf.DUMMYFUNCTION("IF('Respuestas de formulario 1'!J1689&lt;&gt;"""",UPPER(TRIM(TO_TEXT('Respuestas de formulario 1'!J1689))),IF('Respuestas de formulario 1'!O1689&lt;&gt;"""",UPPER(TRIM(TO_TEXT('Respuestas de formulario 1'!O1689))),""""))"),"")</f>
        <v/>
      </c>
      <c r="K1576" s="7" t="str">
        <f>IFERROR(__xludf.DUMMYFUNCTION("IF('Respuestas de formulario 1'!K1689="""","""",TO_TEXT('Respuestas de formulario 1'!K1689))"),"")</f>
        <v/>
      </c>
      <c r="L1576" s="7" t="str">
        <f>IFERROR(__xludf.DUMMYFUNCTION("IF('Respuestas de formulario 1'!L1689="""","""",TO_TEXT('Respuestas de formulario 1'!L1689))"),"")</f>
        <v/>
      </c>
      <c r="M1576" s="7" t="str">
        <f>IFERROR(__xludf.DUMMYFUNCTION("IF('Respuestas de formulario 1'!M1689="""","""",TO_TEXT('Respuestas de formulario 1'!M1689))"),"")</f>
        <v/>
      </c>
      <c r="N1576" s="7" t="str">
        <f t="shared" si="1"/>
        <v/>
      </c>
      <c r="O1576" s="7" t="str">
        <f t="shared" si="2"/>
        <v/>
      </c>
      <c r="P1576" s="7"/>
    </row>
    <row r="1577">
      <c r="A1577" s="7" t="str">
        <f>'Respuestas de formulario 1'!A1690</f>
        <v/>
      </c>
      <c r="B1577" s="7" t="str">
        <f>'Respuestas de formulario 1'!B1690</f>
        <v/>
      </c>
      <c r="C1577" s="7" t="str">
        <f>'Respuestas de formulario 1'!C1690</f>
        <v/>
      </c>
      <c r="D1577" s="7" t="str">
        <f>'Respuestas de formulario 1'!D1690</f>
        <v/>
      </c>
      <c r="E1577" s="7" t="str">
        <f>'Respuestas de formulario 1'!E1690</f>
        <v/>
      </c>
      <c r="F1577" s="7" t="str">
        <f>'Respuestas de formulario 1'!F1690</f>
        <v/>
      </c>
      <c r="G1577" s="7" t="str">
        <f>IFERROR(__xludf.DUMMYFUNCTION("IF('Respuestas de formulario 1'!G1690="""","""",IF(LEFT(REGEXREPLACE(TO_TEXT('Respuestas de formulario 1'!G1690),""[^0-9]"",""""),2)=""54"",""+""&amp;REGEXREPLACE(TO_TEXT('Respuestas de formulario 1'!G1690),""[^0-9]"",""""),""+54""&amp;REGEXREPLACE(TO_TEXT('Respu"&amp;"estas de formulario 1'!G1690),""[^0-9]"","""")))"),"")</f>
        <v/>
      </c>
      <c r="H1577" s="7" t="str">
        <f>'Respuestas de formulario 1'!S1690</f>
        <v/>
      </c>
      <c r="I1577" s="7" t="str">
        <f>IFERROR(__xludf.DUMMYFUNCTION("IF('Respuestas de formulario 1'!I1690="""","""",TO_TEXT('Respuestas de formulario 1'!I1690))"),"")</f>
        <v/>
      </c>
      <c r="J1577" s="7" t="str">
        <f>IFERROR(__xludf.DUMMYFUNCTION("IF('Respuestas de formulario 1'!J1690&lt;&gt;"""",UPPER(TRIM(TO_TEXT('Respuestas de formulario 1'!J1690))),IF('Respuestas de formulario 1'!O1690&lt;&gt;"""",UPPER(TRIM(TO_TEXT('Respuestas de formulario 1'!O1690))),""""))"),"")</f>
        <v/>
      </c>
      <c r="K1577" s="7" t="str">
        <f>IFERROR(__xludf.DUMMYFUNCTION("IF('Respuestas de formulario 1'!K1690="""","""",TO_TEXT('Respuestas de formulario 1'!K1690))"),"")</f>
        <v/>
      </c>
      <c r="L1577" s="7" t="str">
        <f>IFERROR(__xludf.DUMMYFUNCTION("IF('Respuestas de formulario 1'!L1690="""","""",TO_TEXT('Respuestas de formulario 1'!L1690))"),"")</f>
        <v/>
      </c>
      <c r="M1577" s="7" t="str">
        <f>IFERROR(__xludf.DUMMYFUNCTION("IF('Respuestas de formulario 1'!M1690="""","""",TO_TEXT('Respuestas de formulario 1'!M1690))"),"")</f>
        <v/>
      </c>
      <c r="N1577" s="7" t="str">
        <f t="shared" si="1"/>
        <v/>
      </c>
      <c r="O1577" s="7" t="str">
        <f t="shared" si="2"/>
        <v/>
      </c>
      <c r="P1577" s="7"/>
    </row>
    <row r="1578">
      <c r="A1578" s="7" t="str">
        <f>'Respuestas de formulario 1'!A1691</f>
        <v/>
      </c>
      <c r="B1578" s="7" t="str">
        <f>'Respuestas de formulario 1'!B1691</f>
        <v/>
      </c>
      <c r="C1578" s="7" t="str">
        <f>'Respuestas de formulario 1'!C1691</f>
        <v/>
      </c>
      <c r="D1578" s="7" t="str">
        <f>'Respuestas de formulario 1'!D1691</f>
        <v/>
      </c>
      <c r="E1578" s="7" t="str">
        <f>'Respuestas de formulario 1'!E1691</f>
        <v/>
      </c>
      <c r="F1578" s="7" t="str">
        <f>'Respuestas de formulario 1'!F1691</f>
        <v/>
      </c>
      <c r="G1578" s="7" t="str">
        <f>IFERROR(__xludf.DUMMYFUNCTION("IF('Respuestas de formulario 1'!G1691="""","""",IF(LEFT(REGEXREPLACE(TO_TEXT('Respuestas de formulario 1'!G1691),""[^0-9]"",""""),2)=""54"",""+""&amp;REGEXREPLACE(TO_TEXT('Respuestas de formulario 1'!G1691),""[^0-9]"",""""),""+54""&amp;REGEXREPLACE(TO_TEXT('Respu"&amp;"estas de formulario 1'!G1691),""[^0-9]"","""")))"),"")</f>
        <v/>
      </c>
      <c r="H1578" s="7" t="str">
        <f>'Respuestas de formulario 1'!S1691</f>
        <v/>
      </c>
      <c r="I1578" s="7" t="str">
        <f>IFERROR(__xludf.DUMMYFUNCTION("IF('Respuestas de formulario 1'!I1691="""","""",TO_TEXT('Respuestas de formulario 1'!I1691))"),"")</f>
        <v/>
      </c>
      <c r="J1578" s="7" t="str">
        <f>IFERROR(__xludf.DUMMYFUNCTION("IF('Respuestas de formulario 1'!J1691&lt;&gt;"""",UPPER(TRIM(TO_TEXT('Respuestas de formulario 1'!J1691))),IF('Respuestas de formulario 1'!O1691&lt;&gt;"""",UPPER(TRIM(TO_TEXT('Respuestas de formulario 1'!O1691))),""""))"),"")</f>
        <v/>
      </c>
      <c r="K1578" s="7" t="str">
        <f>IFERROR(__xludf.DUMMYFUNCTION("IF('Respuestas de formulario 1'!K1691="""","""",TO_TEXT('Respuestas de formulario 1'!K1691))"),"")</f>
        <v/>
      </c>
      <c r="L1578" s="7" t="str">
        <f>IFERROR(__xludf.DUMMYFUNCTION("IF('Respuestas de formulario 1'!L1691="""","""",TO_TEXT('Respuestas de formulario 1'!L1691))"),"")</f>
        <v/>
      </c>
      <c r="M1578" s="7" t="str">
        <f>IFERROR(__xludf.DUMMYFUNCTION("IF('Respuestas de formulario 1'!M1691="""","""",TO_TEXT('Respuestas de formulario 1'!M1691))"),"")</f>
        <v/>
      </c>
      <c r="N1578" s="7" t="str">
        <f t="shared" si="1"/>
        <v/>
      </c>
      <c r="O1578" s="7" t="str">
        <f t="shared" si="2"/>
        <v/>
      </c>
      <c r="P1578" s="7"/>
    </row>
    <row r="1579">
      <c r="A1579" s="7" t="str">
        <f>'Respuestas de formulario 1'!A1692</f>
        <v/>
      </c>
      <c r="B1579" s="7" t="str">
        <f>'Respuestas de formulario 1'!B1692</f>
        <v/>
      </c>
      <c r="C1579" s="7" t="str">
        <f>'Respuestas de formulario 1'!C1692</f>
        <v/>
      </c>
      <c r="D1579" s="7" t="str">
        <f>'Respuestas de formulario 1'!D1692</f>
        <v/>
      </c>
      <c r="E1579" s="7" t="str">
        <f>'Respuestas de formulario 1'!E1692</f>
        <v/>
      </c>
      <c r="F1579" s="7" t="str">
        <f>'Respuestas de formulario 1'!F1692</f>
        <v/>
      </c>
      <c r="G1579" s="7" t="str">
        <f>IFERROR(__xludf.DUMMYFUNCTION("IF('Respuestas de formulario 1'!G1692="""","""",IF(LEFT(REGEXREPLACE(TO_TEXT('Respuestas de formulario 1'!G1692),""[^0-9]"",""""),2)=""54"",""+""&amp;REGEXREPLACE(TO_TEXT('Respuestas de formulario 1'!G1692),""[^0-9]"",""""),""+54""&amp;REGEXREPLACE(TO_TEXT('Respu"&amp;"estas de formulario 1'!G1692),""[^0-9]"","""")))"),"")</f>
        <v/>
      </c>
      <c r="H1579" s="7" t="str">
        <f>'Respuestas de formulario 1'!S1692</f>
        <v/>
      </c>
      <c r="I1579" s="7" t="str">
        <f>IFERROR(__xludf.DUMMYFUNCTION("IF('Respuestas de formulario 1'!I1692="""","""",TO_TEXT('Respuestas de formulario 1'!I1692))"),"")</f>
        <v/>
      </c>
      <c r="J1579" s="7" t="str">
        <f>IFERROR(__xludf.DUMMYFUNCTION("IF('Respuestas de formulario 1'!J1692&lt;&gt;"""",UPPER(TRIM(TO_TEXT('Respuestas de formulario 1'!J1692))),IF('Respuestas de formulario 1'!O1692&lt;&gt;"""",UPPER(TRIM(TO_TEXT('Respuestas de formulario 1'!O1692))),""""))"),"")</f>
        <v/>
      </c>
      <c r="K1579" s="7" t="str">
        <f>IFERROR(__xludf.DUMMYFUNCTION("IF('Respuestas de formulario 1'!K1692="""","""",TO_TEXT('Respuestas de formulario 1'!K1692))"),"")</f>
        <v/>
      </c>
      <c r="L1579" s="7" t="str">
        <f>IFERROR(__xludf.DUMMYFUNCTION("IF('Respuestas de formulario 1'!L1692="""","""",TO_TEXT('Respuestas de formulario 1'!L1692))"),"")</f>
        <v/>
      </c>
      <c r="M1579" s="7" t="str">
        <f>IFERROR(__xludf.DUMMYFUNCTION("IF('Respuestas de formulario 1'!M1692="""","""",TO_TEXT('Respuestas de formulario 1'!M1692))"),"")</f>
        <v/>
      </c>
      <c r="N1579" s="7" t="str">
        <f t="shared" si="1"/>
        <v/>
      </c>
      <c r="O1579" s="7" t="str">
        <f t="shared" si="2"/>
        <v/>
      </c>
      <c r="P1579" s="7"/>
    </row>
    <row r="1580">
      <c r="A1580" s="7" t="str">
        <f>'Respuestas de formulario 1'!A1693</f>
        <v/>
      </c>
      <c r="B1580" s="7" t="str">
        <f>'Respuestas de formulario 1'!B1693</f>
        <v/>
      </c>
      <c r="C1580" s="7" t="str">
        <f>'Respuestas de formulario 1'!C1693</f>
        <v/>
      </c>
      <c r="D1580" s="7" t="str">
        <f>'Respuestas de formulario 1'!D1693</f>
        <v/>
      </c>
      <c r="E1580" s="7" t="str">
        <f>'Respuestas de formulario 1'!E1693</f>
        <v/>
      </c>
      <c r="F1580" s="7" t="str">
        <f>'Respuestas de formulario 1'!F1693</f>
        <v/>
      </c>
      <c r="G1580" s="7" t="str">
        <f>IFERROR(__xludf.DUMMYFUNCTION("IF('Respuestas de formulario 1'!G1693="""","""",IF(LEFT(REGEXREPLACE(TO_TEXT('Respuestas de formulario 1'!G1693),""[^0-9]"",""""),2)=""54"",""+""&amp;REGEXREPLACE(TO_TEXT('Respuestas de formulario 1'!G1693),""[^0-9]"",""""),""+54""&amp;REGEXREPLACE(TO_TEXT('Respu"&amp;"estas de formulario 1'!G1693),""[^0-9]"","""")))"),"")</f>
        <v/>
      </c>
      <c r="H1580" s="7" t="str">
        <f>'Respuestas de formulario 1'!S1693</f>
        <v/>
      </c>
      <c r="I1580" s="7" t="str">
        <f>IFERROR(__xludf.DUMMYFUNCTION("IF('Respuestas de formulario 1'!I1693="""","""",TO_TEXT('Respuestas de formulario 1'!I1693))"),"")</f>
        <v/>
      </c>
      <c r="J1580" s="7" t="str">
        <f>IFERROR(__xludf.DUMMYFUNCTION("IF('Respuestas de formulario 1'!J1693&lt;&gt;"""",UPPER(TRIM(TO_TEXT('Respuestas de formulario 1'!J1693))),IF('Respuestas de formulario 1'!O1693&lt;&gt;"""",UPPER(TRIM(TO_TEXT('Respuestas de formulario 1'!O1693))),""""))"),"")</f>
        <v/>
      </c>
      <c r="K1580" s="7" t="str">
        <f>IFERROR(__xludf.DUMMYFUNCTION("IF('Respuestas de formulario 1'!K1693="""","""",TO_TEXT('Respuestas de formulario 1'!K1693))"),"")</f>
        <v/>
      </c>
      <c r="L1580" s="7" t="str">
        <f>IFERROR(__xludf.DUMMYFUNCTION("IF('Respuestas de formulario 1'!L1693="""","""",TO_TEXT('Respuestas de formulario 1'!L1693))"),"")</f>
        <v/>
      </c>
      <c r="M1580" s="7" t="str">
        <f>IFERROR(__xludf.DUMMYFUNCTION("IF('Respuestas de formulario 1'!M1693="""","""",TO_TEXT('Respuestas de formulario 1'!M1693))"),"")</f>
        <v/>
      </c>
      <c r="N1580" s="7" t="str">
        <f t="shared" si="1"/>
        <v/>
      </c>
      <c r="O1580" s="7" t="str">
        <f t="shared" si="2"/>
        <v/>
      </c>
      <c r="P1580" s="7"/>
    </row>
    <row r="1581">
      <c r="A1581" s="7" t="str">
        <f>'Respuestas de formulario 1'!A1694</f>
        <v/>
      </c>
      <c r="B1581" s="7" t="str">
        <f>'Respuestas de formulario 1'!B1694</f>
        <v/>
      </c>
      <c r="C1581" s="7" t="str">
        <f>'Respuestas de formulario 1'!C1694</f>
        <v/>
      </c>
      <c r="D1581" s="7" t="str">
        <f>'Respuestas de formulario 1'!D1694</f>
        <v/>
      </c>
      <c r="E1581" s="7" t="str">
        <f>'Respuestas de formulario 1'!E1694</f>
        <v/>
      </c>
      <c r="F1581" s="7" t="str">
        <f>'Respuestas de formulario 1'!F1694</f>
        <v/>
      </c>
      <c r="G1581" s="7" t="str">
        <f>IFERROR(__xludf.DUMMYFUNCTION("IF('Respuestas de formulario 1'!G1694="""","""",IF(LEFT(REGEXREPLACE(TO_TEXT('Respuestas de formulario 1'!G1694),""[^0-9]"",""""),2)=""54"",""+""&amp;REGEXREPLACE(TO_TEXT('Respuestas de formulario 1'!G1694),""[^0-9]"",""""),""+54""&amp;REGEXREPLACE(TO_TEXT('Respu"&amp;"estas de formulario 1'!G1694),""[^0-9]"","""")))"),"")</f>
        <v/>
      </c>
      <c r="H1581" s="7" t="str">
        <f>'Respuestas de formulario 1'!S1694</f>
        <v/>
      </c>
      <c r="I1581" s="7" t="str">
        <f>IFERROR(__xludf.DUMMYFUNCTION("IF('Respuestas de formulario 1'!I1694="""","""",TO_TEXT('Respuestas de formulario 1'!I1694))"),"")</f>
        <v/>
      </c>
      <c r="J1581" s="7" t="str">
        <f>IFERROR(__xludf.DUMMYFUNCTION("IF('Respuestas de formulario 1'!J1694&lt;&gt;"""",UPPER(TRIM(TO_TEXT('Respuestas de formulario 1'!J1694))),IF('Respuestas de formulario 1'!O1694&lt;&gt;"""",UPPER(TRIM(TO_TEXT('Respuestas de formulario 1'!O1694))),""""))"),"")</f>
        <v/>
      </c>
      <c r="K1581" s="7" t="str">
        <f>IFERROR(__xludf.DUMMYFUNCTION("IF('Respuestas de formulario 1'!K1694="""","""",TO_TEXT('Respuestas de formulario 1'!K1694))"),"")</f>
        <v/>
      </c>
      <c r="L1581" s="7" t="str">
        <f>IFERROR(__xludf.DUMMYFUNCTION("IF('Respuestas de formulario 1'!L1694="""","""",TO_TEXT('Respuestas de formulario 1'!L1694))"),"")</f>
        <v/>
      </c>
      <c r="M1581" s="7" t="str">
        <f>IFERROR(__xludf.DUMMYFUNCTION("IF('Respuestas de formulario 1'!M1694="""","""",TO_TEXT('Respuestas de formulario 1'!M1694))"),"")</f>
        <v/>
      </c>
      <c r="N1581" s="7" t="str">
        <f t="shared" si="1"/>
        <v/>
      </c>
      <c r="O1581" s="7" t="str">
        <f t="shared" si="2"/>
        <v/>
      </c>
      <c r="P1581" s="7"/>
    </row>
    <row r="1582">
      <c r="A1582" s="7" t="str">
        <f>'Respuestas de formulario 1'!A1695</f>
        <v/>
      </c>
      <c r="B1582" s="7" t="str">
        <f>'Respuestas de formulario 1'!B1695</f>
        <v/>
      </c>
      <c r="C1582" s="7" t="str">
        <f>'Respuestas de formulario 1'!C1695</f>
        <v/>
      </c>
      <c r="D1582" s="7" t="str">
        <f>'Respuestas de formulario 1'!D1695</f>
        <v/>
      </c>
      <c r="E1582" s="7" t="str">
        <f>'Respuestas de formulario 1'!E1695</f>
        <v/>
      </c>
      <c r="F1582" s="7" t="str">
        <f>'Respuestas de formulario 1'!F1695</f>
        <v/>
      </c>
      <c r="G1582" s="7" t="str">
        <f>IFERROR(__xludf.DUMMYFUNCTION("IF('Respuestas de formulario 1'!G1695="""","""",IF(LEFT(REGEXREPLACE(TO_TEXT('Respuestas de formulario 1'!G1695),""[^0-9]"",""""),2)=""54"",""+""&amp;REGEXREPLACE(TO_TEXT('Respuestas de formulario 1'!G1695),""[^0-9]"",""""),""+54""&amp;REGEXREPLACE(TO_TEXT('Respu"&amp;"estas de formulario 1'!G1695),""[^0-9]"","""")))"),"")</f>
        <v/>
      </c>
      <c r="H1582" s="7" t="str">
        <f>'Respuestas de formulario 1'!S1695</f>
        <v/>
      </c>
      <c r="I1582" s="7" t="str">
        <f>IFERROR(__xludf.DUMMYFUNCTION("IF('Respuestas de formulario 1'!I1695="""","""",TO_TEXT('Respuestas de formulario 1'!I1695))"),"")</f>
        <v/>
      </c>
      <c r="J1582" s="7" t="str">
        <f>IFERROR(__xludf.DUMMYFUNCTION("IF('Respuestas de formulario 1'!J1695&lt;&gt;"""",UPPER(TRIM(TO_TEXT('Respuestas de formulario 1'!J1695))),IF('Respuestas de formulario 1'!O1695&lt;&gt;"""",UPPER(TRIM(TO_TEXT('Respuestas de formulario 1'!O1695))),""""))"),"")</f>
        <v/>
      </c>
      <c r="K1582" s="7" t="str">
        <f>IFERROR(__xludf.DUMMYFUNCTION("IF('Respuestas de formulario 1'!K1695="""","""",TO_TEXT('Respuestas de formulario 1'!K1695))"),"")</f>
        <v/>
      </c>
      <c r="L1582" s="7" t="str">
        <f>IFERROR(__xludf.DUMMYFUNCTION("IF('Respuestas de formulario 1'!L1695="""","""",TO_TEXT('Respuestas de formulario 1'!L1695))"),"")</f>
        <v/>
      </c>
      <c r="M1582" s="7" t="str">
        <f>IFERROR(__xludf.DUMMYFUNCTION("IF('Respuestas de formulario 1'!M1695="""","""",TO_TEXT('Respuestas de formulario 1'!M1695))"),"")</f>
        <v/>
      </c>
      <c r="N1582" s="7" t="str">
        <f t="shared" si="1"/>
        <v/>
      </c>
      <c r="O1582" s="7" t="str">
        <f t="shared" si="2"/>
        <v/>
      </c>
      <c r="P1582" s="7"/>
    </row>
    <row r="1583">
      <c r="A1583" s="7" t="str">
        <f>'Respuestas de formulario 1'!A1696</f>
        <v/>
      </c>
      <c r="B1583" s="7" t="str">
        <f>'Respuestas de formulario 1'!B1696</f>
        <v/>
      </c>
      <c r="C1583" s="7" t="str">
        <f>'Respuestas de formulario 1'!C1696</f>
        <v/>
      </c>
      <c r="D1583" s="7" t="str">
        <f>'Respuestas de formulario 1'!D1696</f>
        <v/>
      </c>
      <c r="E1583" s="7" t="str">
        <f>'Respuestas de formulario 1'!E1696</f>
        <v/>
      </c>
      <c r="F1583" s="7" t="str">
        <f>'Respuestas de formulario 1'!F1696</f>
        <v/>
      </c>
      <c r="G1583" s="7" t="str">
        <f>IFERROR(__xludf.DUMMYFUNCTION("IF('Respuestas de formulario 1'!G1696="""","""",IF(LEFT(REGEXREPLACE(TO_TEXT('Respuestas de formulario 1'!G1696),""[^0-9]"",""""),2)=""54"",""+""&amp;REGEXREPLACE(TO_TEXT('Respuestas de formulario 1'!G1696),""[^0-9]"",""""),""+54""&amp;REGEXREPLACE(TO_TEXT('Respu"&amp;"estas de formulario 1'!G1696),""[^0-9]"","""")))"),"")</f>
        <v/>
      </c>
      <c r="H1583" s="7" t="str">
        <f>'Respuestas de formulario 1'!S1696</f>
        <v/>
      </c>
      <c r="I1583" s="7" t="str">
        <f>IFERROR(__xludf.DUMMYFUNCTION("IF('Respuestas de formulario 1'!I1696="""","""",TO_TEXT('Respuestas de formulario 1'!I1696))"),"")</f>
        <v/>
      </c>
      <c r="J1583" s="7" t="str">
        <f>IFERROR(__xludf.DUMMYFUNCTION("IF('Respuestas de formulario 1'!J1696&lt;&gt;"""",UPPER(TRIM(TO_TEXT('Respuestas de formulario 1'!J1696))),IF('Respuestas de formulario 1'!O1696&lt;&gt;"""",UPPER(TRIM(TO_TEXT('Respuestas de formulario 1'!O1696))),""""))"),"")</f>
        <v/>
      </c>
      <c r="K1583" s="7" t="str">
        <f>IFERROR(__xludf.DUMMYFUNCTION("IF('Respuestas de formulario 1'!K1696="""","""",TO_TEXT('Respuestas de formulario 1'!K1696))"),"")</f>
        <v/>
      </c>
      <c r="L1583" s="7" t="str">
        <f>IFERROR(__xludf.DUMMYFUNCTION("IF('Respuestas de formulario 1'!L1696="""","""",TO_TEXT('Respuestas de formulario 1'!L1696))"),"")</f>
        <v/>
      </c>
      <c r="M1583" s="7" t="str">
        <f>IFERROR(__xludf.DUMMYFUNCTION("IF('Respuestas de formulario 1'!M1696="""","""",TO_TEXT('Respuestas de formulario 1'!M1696))"),"")</f>
        <v/>
      </c>
      <c r="N1583" s="7" t="str">
        <f t="shared" si="1"/>
        <v/>
      </c>
      <c r="O1583" s="7" t="str">
        <f t="shared" si="2"/>
        <v/>
      </c>
      <c r="P1583" s="7"/>
    </row>
    <row r="1584">
      <c r="A1584" s="7" t="str">
        <f>'Respuestas de formulario 1'!A1697</f>
        <v/>
      </c>
      <c r="B1584" s="7" t="str">
        <f>'Respuestas de formulario 1'!B1697</f>
        <v/>
      </c>
      <c r="C1584" s="7" t="str">
        <f>'Respuestas de formulario 1'!C1697</f>
        <v/>
      </c>
      <c r="D1584" s="7" t="str">
        <f>'Respuestas de formulario 1'!D1697</f>
        <v/>
      </c>
      <c r="E1584" s="7" t="str">
        <f>'Respuestas de formulario 1'!E1697</f>
        <v/>
      </c>
      <c r="F1584" s="7" t="str">
        <f>'Respuestas de formulario 1'!F1697</f>
        <v/>
      </c>
      <c r="G1584" s="7" t="str">
        <f>IFERROR(__xludf.DUMMYFUNCTION("IF('Respuestas de formulario 1'!G1697="""","""",IF(LEFT(REGEXREPLACE(TO_TEXT('Respuestas de formulario 1'!G1697),""[^0-9]"",""""),2)=""54"",""+""&amp;REGEXREPLACE(TO_TEXT('Respuestas de formulario 1'!G1697),""[^0-9]"",""""),""+54""&amp;REGEXREPLACE(TO_TEXT('Respu"&amp;"estas de formulario 1'!G1697),""[^0-9]"","""")))"),"")</f>
        <v/>
      </c>
      <c r="H1584" s="7" t="str">
        <f>'Respuestas de formulario 1'!S1697</f>
        <v/>
      </c>
      <c r="I1584" s="7" t="str">
        <f>IFERROR(__xludf.DUMMYFUNCTION("IF('Respuestas de formulario 1'!I1697="""","""",TO_TEXT('Respuestas de formulario 1'!I1697))"),"")</f>
        <v/>
      </c>
      <c r="J1584" s="7" t="str">
        <f>IFERROR(__xludf.DUMMYFUNCTION("IF('Respuestas de formulario 1'!J1697&lt;&gt;"""",UPPER(TRIM(TO_TEXT('Respuestas de formulario 1'!J1697))),IF('Respuestas de formulario 1'!O1697&lt;&gt;"""",UPPER(TRIM(TO_TEXT('Respuestas de formulario 1'!O1697))),""""))"),"")</f>
        <v/>
      </c>
      <c r="K1584" s="7" t="str">
        <f>IFERROR(__xludf.DUMMYFUNCTION("IF('Respuestas de formulario 1'!K1697="""","""",TO_TEXT('Respuestas de formulario 1'!K1697))"),"")</f>
        <v/>
      </c>
      <c r="L1584" s="7" t="str">
        <f>IFERROR(__xludf.DUMMYFUNCTION("IF('Respuestas de formulario 1'!L1697="""","""",TO_TEXT('Respuestas de formulario 1'!L1697))"),"")</f>
        <v/>
      </c>
      <c r="M1584" s="7" t="str">
        <f>IFERROR(__xludf.DUMMYFUNCTION("IF('Respuestas de formulario 1'!M1697="""","""",TO_TEXT('Respuestas de formulario 1'!M1697))"),"")</f>
        <v/>
      </c>
      <c r="N1584" s="7" t="str">
        <f t="shared" si="1"/>
        <v/>
      </c>
      <c r="O1584" s="7" t="str">
        <f t="shared" si="2"/>
        <v/>
      </c>
      <c r="P1584" s="7"/>
    </row>
    <row r="1585">
      <c r="A1585" s="7" t="str">
        <f>'Respuestas de formulario 1'!A1698</f>
        <v/>
      </c>
      <c r="B1585" s="7" t="str">
        <f>'Respuestas de formulario 1'!B1698</f>
        <v/>
      </c>
      <c r="C1585" s="7" t="str">
        <f>'Respuestas de formulario 1'!C1698</f>
        <v/>
      </c>
      <c r="D1585" s="7" t="str">
        <f>'Respuestas de formulario 1'!D1698</f>
        <v/>
      </c>
      <c r="E1585" s="7" t="str">
        <f>'Respuestas de formulario 1'!E1698</f>
        <v/>
      </c>
      <c r="F1585" s="7" t="str">
        <f>'Respuestas de formulario 1'!F1698</f>
        <v/>
      </c>
      <c r="G1585" s="7" t="str">
        <f>IFERROR(__xludf.DUMMYFUNCTION("IF('Respuestas de formulario 1'!G1698="""","""",IF(LEFT(REGEXREPLACE(TO_TEXT('Respuestas de formulario 1'!G1698),""[^0-9]"",""""),2)=""54"",""+""&amp;REGEXREPLACE(TO_TEXT('Respuestas de formulario 1'!G1698),""[^0-9]"",""""),""+54""&amp;REGEXREPLACE(TO_TEXT('Respu"&amp;"estas de formulario 1'!G1698),""[^0-9]"","""")))"),"")</f>
        <v/>
      </c>
      <c r="H1585" s="7" t="str">
        <f>'Respuestas de formulario 1'!S1698</f>
        <v/>
      </c>
      <c r="I1585" s="7" t="str">
        <f>IFERROR(__xludf.DUMMYFUNCTION("IF('Respuestas de formulario 1'!I1698="""","""",TO_TEXT('Respuestas de formulario 1'!I1698))"),"")</f>
        <v/>
      </c>
      <c r="J1585" s="7" t="str">
        <f>IFERROR(__xludf.DUMMYFUNCTION("IF('Respuestas de formulario 1'!J1698&lt;&gt;"""",UPPER(TRIM(TO_TEXT('Respuestas de formulario 1'!J1698))),IF('Respuestas de formulario 1'!O1698&lt;&gt;"""",UPPER(TRIM(TO_TEXT('Respuestas de formulario 1'!O1698))),""""))"),"")</f>
        <v/>
      </c>
      <c r="K1585" s="7" t="str">
        <f>IFERROR(__xludf.DUMMYFUNCTION("IF('Respuestas de formulario 1'!K1698="""","""",TO_TEXT('Respuestas de formulario 1'!K1698))"),"")</f>
        <v/>
      </c>
      <c r="L1585" s="7" t="str">
        <f>IFERROR(__xludf.DUMMYFUNCTION("IF('Respuestas de formulario 1'!L1698="""","""",TO_TEXT('Respuestas de formulario 1'!L1698))"),"")</f>
        <v/>
      </c>
      <c r="M1585" s="7" t="str">
        <f>IFERROR(__xludf.DUMMYFUNCTION("IF('Respuestas de formulario 1'!M1698="""","""",TO_TEXT('Respuestas de formulario 1'!M1698))"),"")</f>
        <v/>
      </c>
      <c r="N1585" s="7" t="str">
        <f t="shared" si="1"/>
        <v/>
      </c>
      <c r="O1585" s="7" t="str">
        <f t="shared" si="2"/>
        <v/>
      </c>
      <c r="P1585" s="7"/>
    </row>
    <row r="1586">
      <c r="A1586" s="7" t="str">
        <f>'Respuestas de formulario 1'!A1699</f>
        <v/>
      </c>
      <c r="B1586" s="7" t="str">
        <f>'Respuestas de formulario 1'!B1699</f>
        <v/>
      </c>
      <c r="C1586" s="7" t="str">
        <f>'Respuestas de formulario 1'!C1699</f>
        <v/>
      </c>
      <c r="D1586" s="7" t="str">
        <f>'Respuestas de formulario 1'!D1699</f>
        <v/>
      </c>
      <c r="E1586" s="7" t="str">
        <f>'Respuestas de formulario 1'!E1699</f>
        <v/>
      </c>
      <c r="F1586" s="7" t="str">
        <f>'Respuestas de formulario 1'!F1699</f>
        <v/>
      </c>
      <c r="G1586" s="7" t="str">
        <f>IFERROR(__xludf.DUMMYFUNCTION("IF('Respuestas de formulario 1'!G1699="""","""",IF(LEFT(REGEXREPLACE(TO_TEXT('Respuestas de formulario 1'!G1699),""[^0-9]"",""""),2)=""54"",""+""&amp;REGEXREPLACE(TO_TEXT('Respuestas de formulario 1'!G1699),""[^0-9]"",""""),""+54""&amp;REGEXREPLACE(TO_TEXT('Respu"&amp;"estas de formulario 1'!G1699),""[^0-9]"","""")))"),"")</f>
        <v/>
      </c>
      <c r="H1586" s="7" t="str">
        <f>'Respuestas de formulario 1'!S1699</f>
        <v/>
      </c>
      <c r="I1586" s="7" t="str">
        <f>IFERROR(__xludf.DUMMYFUNCTION("IF('Respuestas de formulario 1'!I1699="""","""",TO_TEXT('Respuestas de formulario 1'!I1699))"),"")</f>
        <v/>
      </c>
      <c r="J1586" s="7" t="str">
        <f>IFERROR(__xludf.DUMMYFUNCTION("IF('Respuestas de formulario 1'!J1699&lt;&gt;"""",UPPER(TRIM(TO_TEXT('Respuestas de formulario 1'!J1699))),IF('Respuestas de formulario 1'!O1699&lt;&gt;"""",UPPER(TRIM(TO_TEXT('Respuestas de formulario 1'!O1699))),""""))"),"")</f>
        <v/>
      </c>
      <c r="K1586" s="7" t="str">
        <f>IFERROR(__xludf.DUMMYFUNCTION("IF('Respuestas de formulario 1'!K1699="""","""",TO_TEXT('Respuestas de formulario 1'!K1699))"),"")</f>
        <v/>
      </c>
      <c r="L1586" s="7" t="str">
        <f>IFERROR(__xludf.DUMMYFUNCTION("IF('Respuestas de formulario 1'!L1699="""","""",TO_TEXT('Respuestas de formulario 1'!L1699))"),"")</f>
        <v/>
      </c>
      <c r="M1586" s="7" t="str">
        <f>IFERROR(__xludf.DUMMYFUNCTION("IF('Respuestas de formulario 1'!M1699="""","""",TO_TEXT('Respuestas de formulario 1'!M1699))"),"")</f>
        <v/>
      </c>
      <c r="N1586" s="7" t="str">
        <f t="shared" si="1"/>
        <v/>
      </c>
      <c r="O1586" s="7" t="str">
        <f t="shared" si="2"/>
        <v/>
      </c>
      <c r="P1586" s="7"/>
    </row>
    <row r="1587">
      <c r="A1587" s="7" t="str">
        <f>'Respuestas de formulario 1'!A1700</f>
        <v/>
      </c>
      <c r="B1587" s="7" t="str">
        <f>'Respuestas de formulario 1'!B1700</f>
        <v/>
      </c>
      <c r="C1587" s="7" t="str">
        <f>'Respuestas de formulario 1'!C1700</f>
        <v/>
      </c>
      <c r="D1587" s="7" t="str">
        <f>'Respuestas de formulario 1'!D1700</f>
        <v/>
      </c>
      <c r="E1587" s="7" t="str">
        <f>'Respuestas de formulario 1'!E1700</f>
        <v/>
      </c>
      <c r="F1587" s="7" t="str">
        <f>'Respuestas de formulario 1'!F1700</f>
        <v/>
      </c>
      <c r="G1587" s="7" t="str">
        <f>IFERROR(__xludf.DUMMYFUNCTION("IF('Respuestas de formulario 1'!G1700="""","""",IF(LEFT(REGEXREPLACE(TO_TEXT('Respuestas de formulario 1'!G1700),""[^0-9]"",""""),2)=""54"",""+""&amp;REGEXREPLACE(TO_TEXT('Respuestas de formulario 1'!G1700),""[^0-9]"",""""),""+54""&amp;REGEXREPLACE(TO_TEXT('Respu"&amp;"estas de formulario 1'!G1700),""[^0-9]"","""")))"),"")</f>
        <v/>
      </c>
      <c r="H1587" s="7" t="str">
        <f>'Respuestas de formulario 1'!S1700</f>
        <v/>
      </c>
      <c r="I1587" s="7" t="str">
        <f>IFERROR(__xludf.DUMMYFUNCTION("IF('Respuestas de formulario 1'!I1700="""","""",TO_TEXT('Respuestas de formulario 1'!I1700))"),"")</f>
        <v/>
      </c>
      <c r="J1587" s="7" t="str">
        <f>IFERROR(__xludf.DUMMYFUNCTION("IF('Respuestas de formulario 1'!J1700&lt;&gt;"""",UPPER(TRIM(TO_TEXT('Respuestas de formulario 1'!J1700))),IF('Respuestas de formulario 1'!O1700&lt;&gt;"""",UPPER(TRIM(TO_TEXT('Respuestas de formulario 1'!O1700))),""""))"),"")</f>
        <v/>
      </c>
      <c r="K1587" s="7" t="str">
        <f>IFERROR(__xludf.DUMMYFUNCTION("IF('Respuestas de formulario 1'!K1700="""","""",TO_TEXT('Respuestas de formulario 1'!K1700))"),"")</f>
        <v/>
      </c>
      <c r="L1587" s="7" t="str">
        <f>IFERROR(__xludf.DUMMYFUNCTION("IF('Respuestas de formulario 1'!L1700="""","""",TO_TEXT('Respuestas de formulario 1'!L1700))"),"")</f>
        <v/>
      </c>
      <c r="M1587" s="7" t="str">
        <f>IFERROR(__xludf.DUMMYFUNCTION("IF('Respuestas de formulario 1'!M1700="""","""",TO_TEXT('Respuestas de formulario 1'!M1700))"),"")</f>
        <v/>
      </c>
      <c r="N1587" s="7" t="str">
        <f t="shared" si="1"/>
        <v/>
      </c>
      <c r="O1587" s="7" t="str">
        <f t="shared" si="2"/>
        <v/>
      </c>
      <c r="P1587" s="7"/>
    </row>
    <row r="1588">
      <c r="A1588" s="7" t="str">
        <f>'Respuestas de formulario 1'!A1701</f>
        <v/>
      </c>
      <c r="B1588" s="7" t="str">
        <f>'Respuestas de formulario 1'!B1701</f>
        <v/>
      </c>
      <c r="C1588" s="7" t="str">
        <f>'Respuestas de formulario 1'!C1701</f>
        <v/>
      </c>
      <c r="D1588" s="7" t="str">
        <f>'Respuestas de formulario 1'!D1701</f>
        <v/>
      </c>
      <c r="E1588" s="7" t="str">
        <f>'Respuestas de formulario 1'!E1701</f>
        <v/>
      </c>
      <c r="F1588" s="7" t="str">
        <f>'Respuestas de formulario 1'!F1701</f>
        <v/>
      </c>
      <c r="G1588" s="7" t="str">
        <f>IFERROR(__xludf.DUMMYFUNCTION("IF('Respuestas de formulario 1'!G1701="""","""",IF(LEFT(REGEXREPLACE(TO_TEXT('Respuestas de formulario 1'!G1701),""[^0-9]"",""""),2)=""54"",""+""&amp;REGEXREPLACE(TO_TEXT('Respuestas de formulario 1'!G1701),""[^0-9]"",""""),""+54""&amp;REGEXREPLACE(TO_TEXT('Respu"&amp;"estas de formulario 1'!G1701),""[^0-9]"","""")))"),"")</f>
        <v/>
      </c>
      <c r="H1588" s="7" t="str">
        <f>'Respuestas de formulario 1'!S1701</f>
        <v/>
      </c>
      <c r="I1588" s="7" t="str">
        <f>IFERROR(__xludf.DUMMYFUNCTION("IF('Respuestas de formulario 1'!I1701="""","""",TO_TEXT('Respuestas de formulario 1'!I1701))"),"")</f>
        <v/>
      </c>
      <c r="J1588" s="7" t="str">
        <f>IFERROR(__xludf.DUMMYFUNCTION("IF('Respuestas de formulario 1'!J1701&lt;&gt;"""",UPPER(TRIM(TO_TEXT('Respuestas de formulario 1'!J1701))),IF('Respuestas de formulario 1'!O1701&lt;&gt;"""",UPPER(TRIM(TO_TEXT('Respuestas de formulario 1'!O1701))),""""))"),"")</f>
        <v/>
      </c>
      <c r="K1588" s="7" t="str">
        <f>IFERROR(__xludf.DUMMYFUNCTION("IF('Respuestas de formulario 1'!K1701="""","""",TO_TEXT('Respuestas de formulario 1'!K1701))"),"")</f>
        <v/>
      </c>
      <c r="L1588" s="7" t="str">
        <f>IFERROR(__xludf.DUMMYFUNCTION("IF('Respuestas de formulario 1'!L1701="""","""",TO_TEXT('Respuestas de formulario 1'!L1701))"),"")</f>
        <v/>
      </c>
      <c r="M1588" s="7" t="str">
        <f>IFERROR(__xludf.DUMMYFUNCTION("IF('Respuestas de formulario 1'!M1701="""","""",TO_TEXT('Respuestas de formulario 1'!M1701))"),"")</f>
        <v/>
      </c>
      <c r="N1588" s="7" t="str">
        <f t="shared" si="1"/>
        <v/>
      </c>
      <c r="O1588" s="7" t="str">
        <f t="shared" si="2"/>
        <v/>
      </c>
      <c r="P1588" s="7"/>
    </row>
    <row r="1589">
      <c r="A1589" s="7" t="str">
        <f>'Respuestas de formulario 1'!A1702</f>
        <v/>
      </c>
      <c r="B1589" s="7" t="str">
        <f>'Respuestas de formulario 1'!B1702</f>
        <v/>
      </c>
      <c r="C1589" s="7" t="str">
        <f>'Respuestas de formulario 1'!C1702</f>
        <v/>
      </c>
      <c r="D1589" s="7" t="str">
        <f>'Respuestas de formulario 1'!D1702</f>
        <v/>
      </c>
      <c r="E1589" s="7" t="str">
        <f>'Respuestas de formulario 1'!E1702</f>
        <v/>
      </c>
      <c r="F1589" s="7" t="str">
        <f>'Respuestas de formulario 1'!F1702</f>
        <v/>
      </c>
      <c r="G1589" s="7" t="str">
        <f>IFERROR(__xludf.DUMMYFUNCTION("IF('Respuestas de formulario 1'!G1702="""","""",IF(LEFT(REGEXREPLACE(TO_TEXT('Respuestas de formulario 1'!G1702),""[^0-9]"",""""),2)=""54"",""+""&amp;REGEXREPLACE(TO_TEXT('Respuestas de formulario 1'!G1702),""[^0-9]"",""""),""+54""&amp;REGEXREPLACE(TO_TEXT('Respu"&amp;"estas de formulario 1'!G1702),""[^0-9]"","""")))"),"")</f>
        <v/>
      </c>
      <c r="H1589" s="7" t="str">
        <f>'Respuestas de formulario 1'!S1702</f>
        <v/>
      </c>
      <c r="I1589" s="7" t="str">
        <f>IFERROR(__xludf.DUMMYFUNCTION("IF('Respuestas de formulario 1'!I1702="""","""",TO_TEXT('Respuestas de formulario 1'!I1702))"),"")</f>
        <v/>
      </c>
      <c r="J1589" s="7" t="str">
        <f>IFERROR(__xludf.DUMMYFUNCTION("IF('Respuestas de formulario 1'!J1702&lt;&gt;"""",UPPER(TRIM(TO_TEXT('Respuestas de formulario 1'!J1702))),IF('Respuestas de formulario 1'!O1702&lt;&gt;"""",UPPER(TRIM(TO_TEXT('Respuestas de formulario 1'!O1702))),""""))"),"")</f>
        <v/>
      </c>
      <c r="K1589" s="7" t="str">
        <f>IFERROR(__xludf.DUMMYFUNCTION("IF('Respuestas de formulario 1'!K1702="""","""",TO_TEXT('Respuestas de formulario 1'!K1702))"),"")</f>
        <v/>
      </c>
      <c r="L1589" s="7" t="str">
        <f>IFERROR(__xludf.DUMMYFUNCTION("IF('Respuestas de formulario 1'!L1702="""","""",TO_TEXT('Respuestas de formulario 1'!L1702))"),"")</f>
        <v/>
      </c>
      <c r="M1589" s="7" t="str">
        <f>IFERROR(__xludf.DUMMYFUNCTION("IF('Respuestas de formulario 1'!M1702="""","""",TO_TEXT('Respuestas de formulario 1'!M1702))"),"")</f>
        <v/>
      </c>
      <c r="N1589" s="7" t="str">
        <f t="shared" si="1"/>
        <v/>
      </c>
      <c r="O1589" s="7" t="str">
        <f t="shared" si="2"/>
        <v/>
      </c>
      <c r="P1589" s="7"/>
    </row>
    <row r="1590">
      <c r="A1590" s="7" t="str">
        <f>'Respuestas de formulario 1'!A1703</f>
        <v/>
      </c>
      <c r="B1590" s="7" t="str">
        <f>'Respuestas de formulario 1'!B1703</f>
        <v/>
      </c>
      <c r="C1590" s="7" t="str">
        <f>'Respuestas de formulario 1'!C1703</f>
        <v/>
      </c>
      <c r="D1590" s="7" t="str">
        <f>'Respuestas de formulario 1'!D1703</f>
        <v/>
      </c>
      <c r="E1590" s="7" t="str">
        <f>'Respuestas de formulario 1'!E1703</f>
        <v/>
      </c>
      <c r="F1590" s="7" t="str">
        <f>'Respuestas de formulario 1'!F1703</f>
        <v/>
      </c>
      <c r="G1590" s="7" t="str">
        <f>IFERROR(__xludf.DUMMYFUNCTION("IF('Respuestas de formulario 1'!G1703="""","""",IF(LEFT(REGEXREPLACE(TO_TEXT('Respuestas de formulario 1'!G1703),""[^0-9]"",""""),2)=""54"",""+""&amp;REGEXREPLACE(TO_TEXT('Respuestas de formulario 1'!G1703),""[^0-9]"",""""),""+54""&amp;REGEXREPLACE(TO_TEXT('Respu"&amp;"estas de formulario 1'!G1703),""[^0-9]"","""")))"),"")</f>
        <v/>
      </c>
      <c r="H1590" s="7" t="str">
        <f>'Respuestas de formulario 1'!S1703</f>
        <v/>
      </c>
      <c r="I1590" s="7" t="str">
        <f>IFERROR(__xludf.DUMMYFUNCTION("IF('Respuestas de formulario 1'!I1703="""","""",TO_TEXT('Respuestas de formulario 1'!I1703))"),"")</f>
        <v/>
      </c>
      <c r="J1590" s="7" t="str">
        <f>IFERROR(__xludf.DUMMYFUNCTION("IF('Respuestas de formulario 1'!J1703&lt;&gt;"""",UPPER(TRIM(TO_TEXT('Respuestas de formulario 1'!J1703))),IF('Respuestas de formulario 1'!O1703&lt;&gt;"""",UPPER(TRIM(TO_TEXT('Respuestas de formulario 1'!O1703))),""""))"),"")</f>
        <v/>
      </c>
      <c r="K1590" s="7" t="str">
        <f>IFERROR(__xludf.DUMMYFUNCTION("IF('Respuestas de formulario 1'!K1703="""","""",TO_TEXT('Respuestas de formulario 1'!K1703))"),"")</f>
        <v/>
      </c>
      <c r="L1590" s="7" t="str">
        <f>IFERROR(__xludf.DUMMYFUNCTION("IF('Respuestas de formulario 1'!L1703="""","""",TO_TEXT('Respuestas de formulario 1'!L1703))"),"")</f>
        <v/>
      </c>
      <c r="M1590" s="7" t="str">
        <f>IFERROR(__xludf.DUMMYFUNCTION("IF('Respuestas de formulario 1'!M1703="""","""",TO_TEXT('Respuestas de formulario 1'!M1703))"),"")</f>
        <v/>
      </c>
      <c r="N1590" s="7" t="str">
        <f t="shared" si="1"/>
        <v/>
      </c>
      <c r="O1590" s="7" t="str">
        <f t="shared" si="2"/>
        <v/>
      </c>
      <c r="P1590" s="7"/>
    </row>
    <row r="1591">
      <c r="A1591" s="7" t="str">
        <f>'Respuestas de formulario 1'!A1704</f>
        <v/>
      </c>
      <c r="B1591" s="7" t="str">
        <f>'Respuestas de formulario 1'!B1704</f>
        <v/>
      </c>
      <c r="C1591" s="7" t="str">
        <f>'Respuestas de formulario 1'!C1704</f>
        <v/>
      </c>
      <c r="D1591" s="7" t="str">
        <f>'Respuestas de formulario 1'!D1704</f>
        <v/>
      </c>
      <c r="E1591" s="7" t="str">
        <f>'Respuestas de formulario 1'!E1704</f>
        <v/>
      </c>
      <c r="F1591" s="7" t="str">
        <f>'Respuestas de formulario 1'!F1704</f>
        <v/>
      </c>
      <c r="G1591" s="7" t="str">
        <f>IFERROR(__xludf.DUMMYFUNCTION("IF('Respuestas de formulario 1'!G1704="""","""",IF(LEFT(REGEXREPLACE(TO_TEXT('Respuestas de formulario 1'!G1704),""[^0-9]"",""""),2)=""54"",""+""&amp;REGEXREPLACE(TO_TEXT('Respuestas de formulario 1'!G1704),""[^0-9]"",""""),""+54""&amp;REGEXREPLACE(TO_TEXT('Respu"&amp;"estas de formulario 1'!G1704),""[^0-9]"","""")))"),"")</f>
        <v/>
      </c>
      <c r="H1591" s="7" t="str">
        <f>'Respuestas de formulario 1'!S1704</f>
        <v/>
      </c>
      <c r="I1591" s="7" t="str">
        <f>IFERROR(__xludf.DUMMYFUNCTION("IF('Respuestas de formulario 1'!I1704="""","""",TO_TEXT('Respuestas de formulario 1'!I1704))"),"")</f>
        <v/>
      </c>
      <c r="J1591" s="7" t="str">
        <f>IFERROR(__xludf.DUMMYFUNCTION("IF('Respuestas de formulario 1'!J1704&lt;&gt;"""",UPPER(TRIM(TO_TEXT('Respuestas de formulario 1'!J1704))),IF('Respuestas de formulario 1'!O1704&lt;&gt;"""",UPPER(TRIM(TO_TEXT('Respuestas de formulario 1'!O1704))),""""))"),"")</f>
        <v/>
      </c>
      <c r="K1591" s="7" t="str">
        <f>IFERROR(__xludf.DUMMYFUNCTION("IF('Respuestas de formulario 1'!K1704="""","""",TO_TEXT('Respuestas de formulario 1'!K1704))"),"")</f>
        <v/>
      </c>
      <c r="L1591" s="7" t="str">
        <f>IFERROR(__xludf.DUMMYFUNCTION("IF('Respuestas de formulario 1'!L1704="""","""",TO_TEXT('Respuestas de formulario 1'!L1704))"),"")</f>
        <v/>
      </c>
      <c r="M1591" s="7" t="str">
        <f>IFERROR(__xludf.DUMMYFUNCTION("IF('Respuestas de formulario 1'!M1704="""","""",TO_TEXT('Respuestas de formulario 1'!M1704))"),"")</f>
        <v/>
      </c>
      <c r="N1591" s="7" t="str">
        <f t="shared" si="1"/>
        <v/>
      </c>
      <c r="O1591" s="7" t="str">
        <f t="shared" si="2"/>
        <v/>
      </c>
      <c r="P1591" s="7"/>
    </row>
    <row r="1592">
      <c r="A1592" s="7" t="str">
        <f>'Respuestas de formulario 1'!A1705</f>
        <v/>
      </c>
      <c r="B1592" s="7" t="str">
        <f>'Respuestas de formulario 1'!B1705</f>
        <v/>
      </c>
      <c r="C1592" s="7" t="str">
        <f>'Respuestas de formulario 1'!C1705</f>
        <v/>
      </c>
      <c r="D1592" s="7" t="str">
        <f>'Respuestas de formulario 1'!D1705</f>
        <v/>
      </c>
      <c r="E1592" s="7" t="str">
        <f>'Respuestas de formulario 1'!E1705</f>
        <v/>
      </c>
      <c r="F1592" s="7" t="str">
        <f>'Respuestas de formulario 1'!F1705</f>
        <v/>
      </c>
      <c r="G1592" s="7" t="str">
        <f>IFERROR(__xludf.DUMMYFUNCTION("IF('Respuestas de formulario 1'!G1705="""","""",IF(LEFT(REGEXREPLACE(TO_TEXT('Respuestas de formulario 1'!G1705),""[^0-9]"",""""),2)=""54"",""+""&amp;REGEXREPLACE(TO_TEXT('Respuestas de formulario 1'!G1705),""[^0-9]"",""""),""+54""&amp;REGEXREPLACE(TO_TEXT('Respu"&amp;"estas de formulario 1'!G1705),""[^0-9]"","""")))"),"")</f>
        <v/>
      </c>
      <c r="H1592" s="7" t="str">
        <f>'Respuestas de formulario 1'!S1705</f>
        <v/>
      </c>
      <c r="I1592" s="7" t="str">
        <f>IFERROR(__xludf.DUMMYFUNCTION("IF('Respuestas de formulario 1'!I1705="""","""",TO_TEXT('Respuestas de formulario 1'!I1705))"),"")</f>
        <v/>
      </c>
      <c r="J1592" s="7" t="str">
        <f>IFERROR(__xludf.DUMMYFUNCTION("IF('Respuestas de formulario 1'!J1705&lt;&gt;"""",UPPER(TRIM(TO_TEXT('Respuestas de formulario 1'!J1705))),IF('Respuestas de formulario 1'!O1705&lt;&gt;"""",UPPER(TRIM(TO_TEXT('Respuestas de formulario 1'!O1705))),""""))"),"")</f>
        <v/>
      </c>
      <c r="K1592" s="7" t="str">
        <f>IFERROR(__xludf.DUMMYFUNCTION("IF('Respuestas de formulario 1'!K1705="""","""",TO_TEXT('Respuestas de formulario 1'!K1705))"),"")</f>
        <v/>
      </c>
      <c r="L1592" s="7" t="str">
        <f>IFERROR(__xludf.DUMMYFUNCTION("IF('Respuestas de formulario 1'!L1705="""","""",TO_TEXT('Respuestas de formulario 1'!L1705))"),"")</f>
        <v/>
      </c>
      <c r="M1592" s="7" t="str">
        <f>IFERROR(__xludf.DUMMYFUNCTION("IF('Respuestas de formulario 1'!M1705="""","""",TO_TEXT('Respuestas de formulario 1'!M1705))"),"")</f>
        <v/>
      </c>
      <c r="N1592" s="7" t="str">
        <f t="shared" si="1"/>
        <v/>
      </c>
      <c r="O1592" s="7" t="str">
        <f t="shared" si="2"/>
        <v/>
      </c>
      <c r="P1592" s="7"/>
    </row>
    <row r="1593">
      <c r="A1593" s="7" t="str">
        <f>'Respuestas de formulario 1'!A1706</f>
        <v/>
      </c>
      <c r="B1593" s="7" t="str">
        <f>'Respuestas de formulario 1'!B1706</f>
        <v/>
      </c>
      <c r="C1593" s="7" t="str">
        <f>'Respuestas de formulario 1'!C1706</f>
        <v/>
      </c>
      <c r="D1593" s="7" t="str">
        <f>'Respuestas de formulario 1'!D1706</f>
        <v/>
      </c>
      <c r="E1593" s="7" t="str">
        <f>'Respuestas de formulario 1'!E1706</f>
        <v/>
      </c>
      <c r="F1593" s="7" t="str">
        <f>'Respuestas de formulario 1'!F1706</f>
        <v/>
      </c>
      <c r="G1593" s="7" t="str">
        <f>IFERROR(__xludf.DUMMYFUNCTION("IF('Respuestas de formulario 1'!G1706="""","""",IF(LEFT(REGEXREPLACE(TO_TEXT('Respuestas de formulario 1'!G1706),""[^0-9]"",""""),2)=""54"",""+""&amp;REGEXREPLACE(TO_TEXT('Respuestas de formulario 1'!G1706),""[^0-9]"",""""),""+54""&amp;REGEXREPLACE(TO_TEXT('Respu"&amp;"estas de formulario 1'!G1706),""[^0-9]"","""")))"),"")</f>
        <v/>
      </c>
      <c r="H1593" s="7" t="str">
        <f>'Respuestas de formulario 1'!S1706</f>
        <v/>
      </c>
      <c r="I1593" s="7" t="str">
        <f>IFERROR(__xludf.DUMMYFUNCTION("IF('Respuestas de formulario 1'!I1706="""","""",TO_TEXT('Respuestas de formulario 1'!I1706))"),"")</f>
        <v/>
      </c>
      <c r="J1593" s="7" t="str">
        <f>IFERROR(__xludf.DUMMYFUNCTION("IF('Respuestas de formulario 1'!J1706&lt;&gt;"""",UPPER(TRIM(TO_TEXT('Respuestas de formulario 1'!J1706))),IF('Respuestas de formulario 1'!O1706&lt;&gt;"""",UPPER(TRIM(TO_TEXT('Respuestas de formulario 1'!O1706))),""""))"),"")</f>
        <v/>
      </c>
      <c r="K1593" s="7" t="str">
        <f>IFERROR(__xludf.DUMMYFUNCTION("IF('Respuestas de formulario 1'!K1706="""","""",TO_TEXT('Respuestas de formulario 1'!K1706))"),"")</f>
        <v/>
      </c>
      <c r="L1593" s="7" t="str">
        <f>IFERROR(__xludf.DUMMYFUNCTION("IF('Respuestas de formulario 1'!L1706="""","""",TO_TEXT('Respuestas de formulario 1'!L1706))"),"")</f>
        <v/>
      </c>
      <c r="M1593" s="7" t="str">
        <f>IFERROR(__xludf.DUMMYFUNCTION("IF('Respuestas de formulario 1'!M1706="""","""",TO_TEXT('Respuestas de formulario 1'!M1706))"),"")</f>
        <v/>
      </c>
      <c r="N1593" s="7" t="str">
        <f t="shared" si="1"/>
        <v/>
      </c>
      <c r="O1593" s="7" t="str">
        <f t="shared" si="2"/>
        <v/>
      </c>
      <c r="P1593" s="7"/>
    </row>
    <row r="1594">
      <c r="A1594" s="7" t="str">
        <f>'Respuestas de formulario 1'!A1707</f>
        <v/>
      </c>
      <c r="B1594" s="7" t="str">
        <f>'Respuestas de formulario 1'!B1707</f>
        <v/>
      </c>
      <c r="C1594" s="7" t="str">
        <f>'Respuestas de formulario 1'!C1707</f>
        <v/>
      </c>
      <c r="D1594" s="7" t="str">
        <f>'Respuestas de formulario 1'!D1707</f>
        <v/>
      </c>
      <c r="E1594" s="7" t="str">
        <f>'Respuestas de formulario 1'!E1707</f>
        <v/>
      </c>
      <c r="F1594" s="7" t="str">
        <f>'Respuestas de formulario 1'!F1707</f>
        <v/>
      </c>
      <c r="G1594" s="7" t="str">
        <f>IFERROR(__xludf.DUMMYFUNCTION("IF('Respuestas de formulario 1'!G1707="""","""",IF(LEFT(REGEXREPLACE(TO_TEXT('Respuestas de formulario 1'!G1707),""[^0-9]"",""""),2)=""54"",""+""&amp;REGEXREPLACE(TO_TEXT('Respuestas de formulario 1'!G1707),""[^0-9]"",""""),""+54""&amp;REGEXREPLACE(TO_TEXT('Respu"&amp;"estas de formulario 1'!G1707),""[^0-9]"","""")))"),"")</f>
        <v/>
      </c>
      <c r="H1594" s="7" t="str">
        <f>'Respuestas de formulario 1'!S1707</f>
        <v/>
      </c>
      <c r="I1594" s="7" t="str">
        <f>IFERROR(__xludf.DUMMYFUNCTION("IF('Respuestas de formulario 1'!I1707="""","""",TO_TEXT('Respuestas de formulario 1'!I1707))"),"")</f>
        <v/>
      </c>
      <c r="J1594" s="7" t="str">
        <f>IFERROR(__xludf.DUMMYFUNCTION("IF('Respuestas de formulario 1'!J1707&lt;&gt;"""",UPPER(TRIM(TO_TEXT('Respuestas de formulario 1'!J1707))),IF('Respuestas de formulario 1'!O1707&lt;&gt;"""",UPPER(TRIM(TO_TEXT('Respuestas de formulario 1'!O1707))),""""))"),"")</f>
        <v/>
      </c>
      <c r="K1594" s="7" t="str">
        <f>IFERROR(__xludf.DUMMYFUNCTION("IF('Respuestas de formulario 1'!K1707="""","""",TO_TEXT('Respuestas de formulario 1'!K1707))"),"")</f>
        <v/>
      </c>
      <c r="L1594" s="7" t="str">
        <f>IFERROR(__xludf.DUMMYFUNCTION("IF('Respuestas de formulario 1'!L1707="""","""",TO_TEXT('Respuestas de formulario 1'!L1707))"),"")</f>
        <v/>
      </c>
      <c r="M1594" s="7" t="str">
        <f>IFERROR(__xludf.DUMMYFUNCTION("IF('Respuestas de formulario 1'!M1707="""","""",TO_TEXT('Respuestas de formulario 1'!M1707))"),"")</f>
        <v/>
      </c>
      <c r="N1594" s="7" t="str">
        <f t="shared" si="1"/>
        <v/>
      </c>
      <c r="O1594" s="7" t="str">
        <f t="shared" si="2"/>
        <v/>
      </c>
      <c r="P1594" s="7"/>
    </row>
    <row r="1595">
      <c r="A1595" s="7" t="str">
        <f>'Respuestas de formulario 1'!A1708</f>
        <v/>
      </c>
      <c r="B1595" s="7" t="str">
        <f>'Respuestas de formulario 1'!B1708</f>
        <v/>
      </c>
      <c r="C1595" s="7" t="str">
        <f>'Respuestas de formulario 1'!C1708</f>
        <v/>
      </c>
      <c r="D1595" s="7" t="str">
        <f>'Respuestas de formulario 1'!D1708</f>
        <v/>
      </c>
      <c r="E1595" s="7" t="str">
        <f>'Respuestas de formulario 1'!E1708</f>
        <v/>
      </c>
      <c r="F1595" s="7" t="str">
        <f>'Respuestas de formulario 1'!F1708</f>
        <v/>
      </c>
      <c r="G1595" s="7" t="str">
        <f>IFERROR(__xludf.DUMMYFUNCTION("IF('Respuestas de formulario 1'!G1708="""","""",IF(LEFT(REGEXREPLACE(TO_TEXT('Respuestas de formulario 1'!G1708),""[^0-9]"",""""),2)=""54"",""+""&amp;REGEXREPLACE(TO_TEXT('Respuestas de formulario 1'!G1708),""[^0-9]"",""""),""+54""&amp;REGEXREPLACE(TO_TEXT('Respu"&amp;"estas de formulario 1'!G1708),""[^0-9]"","""")))"),"")</f>
        <v/>
      </c>
      <c r="H1595" s="7" t="str">
        <f>'Respuestas de formulario 1'!S1708</f>
        <v/>
      </c>
      <c r="I1595" s="7" t="str">
        <f>IFERROR(__xludf.DUMMYFUNCTION("IF('Respuestas de formulario 1'!I1708="""","""",TO_TEXT('Respuestas de formulario 1'!I1708))"),"")</f>
        <v/>
      </c>
      <c r="J1595" s="7" t="str">
        <f>IFERROR(__xludf.DUMMYFUNCTION("IF('Respuestas de formulario 1'!J1708&lt;&gt;"""",UPPER(TRIM(TO_TEXT('Respuestas de formulario 1'!J1708))),IF('Respuestas de formulario 1'!O1708&lt;&gt;"""",UPPER(TRIM(TO_TEXT('Respuestas de formulario 1'!O1708))),""""))"),"")</f>
        <v/>
      </c>
      <c r="K1595" s="7" t="str">
        <f>IFERROR(__xludf.DUMMYFUNCTION("IF('Respuestas de formulario 1'!K1708="""","""",TO_TEXT('Respuestas de formulario 1'!K1708))"),"")</f>
        <v/>
      </c>
      <c r="L1595" s="7" t="str">
        <f>IFERROR(__xludf.DUMMYFUNCTION("IF('Respuestas de formulario 1'!L1708="""","""",TO_TEXT('Respuestas de formulario 1'!L1708))"),"")</f>
        <v/>
      </c>
      <c r="M1595" s="7" t="str">
        <f>IFERROR(__xludf.DUMMYFUNCTION("IF('Respuestas de formulario 1'!M1708="""","""",TO_TEXT('Respuestas de formulario 1'!M1708))"),"")</f>
        <v/>
      </c>
      <c r="N1595" s="7" t="str">
        <f t="shared" si="1"/>
        <v/>
      </c>
      <c r="O1595" s="7" t="str">
        <f t="shared" si="2"/>
        <v/>
      </c>
      <c r="P1595" s="7"/>
    </row>
    <row r="1596">
      <c r="A1596" s="7" t="str">
        <f>'Respuestas de formulario 1'!A1709</f>
        <v/>
      </c>
      <c r="B1596" s="7" t="str">
        <f>'Respuestas de formulario 1'!B1709</f>
        <v/>
      </c>
      <c r="C1596" s="7" t="str">
        <f>'Respuestas de formulario 1'!C1709</f>
        <v/>
      </c>
      <c r="D1596" s="7" t="str">
        <f>'Respuestas de formulario 1'!D1709</f>
        <v/>
      </c>
      <c r="E1596" s="7" t="str">
        <f>'Respuestas de formulario 1'!E1709</f>
        <v/>
      </c>
      <c r="F1596" s="7" t="str">
        <f>'Respuestas de formulario 1'!F1709</f>
        <v/>
      </c>
      <c r="G1596" s="7" t="str">
        <f>IFERROR(__xludf.DUMMYFUNCTION("IF('Respuestas de formulario 1'!G1709="""","""",IF(LEFT(REGEXREPLACE(TO_TEXT('Respuestas de formulario 1'!G1709),""[^0-9]"",""""),2)=""54"",""+""&amp;REGEXREPLACE(TO_TEXT('Respuestas de formulario 1'!G1709),""[^0-9]"",""""),""+54""&amp;REGEXREPLACE(TO_TEXT('Respu"&amp;"estas de formulario 1'!G1709),""[^0-9]"","""")))"),"")</f>
        <v/>
      </c>
      <c r="H1596" s="7" t="str">
        <f>'Respuestas de formulario 1'!S1709</f>
        <v/>
      </c>
      <c r="I1596" s="7" t="str">
        <f>IFERROR(__xludf.DUMMYFUNCTION("IF('Respuestas de formulario 1'!I1709="""","""",TO_TEXT('Respuestas de formulario 1'!I1709))"),"")</f>
        <v/>
      </c>
      <c r="J1596" s="7" t="str">
        <f>IFERROR(__xludf.DUMMYFUNCTION("IF('Respuestas de formulario 1'!J1709&lt;&gt;"""",UPPER(TRIM(TO_TEXT('Respuestas de formulario 1'!J1709))),IF('Respuestas de formulario 1'!O1709&lt;&gt;"""",UPPER(TRIM(TO_TEXT('Respuestas de formulario 1'!O1709))),""""))"),"")</f>
        <v/>
      </c>
      <c r="K1596" s="7" t="str">
        <f>IFERROR(__xludf.DUMMYFUNCTION("IF('Respuestas de formulario 1'!K1709="""","""",TO_TEXT('Respuestas de formulario 1'!K1709))"),"")</f>
        <v/>
      </c>
      <c r="L1596" s="7" t="str">
        <f>IFERROR(__xludf.DUMMYFUNCTION("IF('Respuestas de formulario 1'!L1709="""","""",TO_TEXT('Respuestas de formulario 1'!L1709))"),"")</f>
        <v/>
      </c>
      <c r="M1596" s="7" t="str">
        <f>IFERROR(__xludf.DUMMYFUNCTION("IF('Respuestas de formulario 1'!M1709="""","""",TO_TEXT('Respuestas de formulario 1'!M1709))"),"")</f>
        <v/>
      </c>
      <c r="N1596" s="7" t="str">
        <f t="shared" si="1"/>
        <v/>
      </c>
      <c r="O1596" s="7" t="str">
        <f t="shared" si="2"/>
        <v/>
      </c>
      <c r="P1596" s="7"/>
    </row>
    <row r="1597">
      <c r="A1597" s="7" t="str">
        <f>'Respuestas de formulario 1'!A1710</f>
        <v/>
      </c>
      <c r="B1597" s="7" t="str">
        <f>'Respuestas de formulario 1'!B1710</f>
        <v/>
      </c>
      <c r="C1597" s="7" t="str">
        <f>'Respuestas de formulario 1'!C1710</f>
        <v/>
      </c>
      <c r="D1597" s="7" t="str">
        <f>'Respuestas de formulario 1'!D1710</f>
        <v/>
      </c>
      <c r="E1597" s="7" t="str">
        <f>'Respuestas de formulario 1'!E1710</f>
        <v/>
      </c>
      <c r="F1597" s="7" t="str">
        <f>'Respuestas de formulario 1'!F1710</f>
        <v/>
      </c>
      <c r="G1597" s="7" t="str">
        <f>IFERROR(__xludf.DUMMYFUNCTION("IF('Respuestas de formulario 1'!G1710="""","""",IF(LEFT(REGEXREPLACE(TO_TEXT('Respuestas de formulario 1'!G1710),""[^0-9]"",""""),2)=""54"",""+""&amp;REGEXREPLACE(TO_TEXT('Respuestas de formulario 1'!G1710),""[^0-9]"",""""),""+54""&amp;REGEXREPLACE(TO_TEXT('Respu"&amp;"estas de formulario 1'!G1710),""[^0-9]"","""")))"),"")</f>
        <v/>
      </c>
      <c r="H1597" s="7" t="str">
        <f>'Respuestas de formulario 1'!S1710</f>
        <v/>
      </c>
      <c r="I1597" s="7" t="str">
        <f>IFERROR(__xludf.DUMMYFUNCTION("IF('Respuestas de formulario 1'!I1710="""","""",TO_TEXT('Respuestas de formulario 1'!I1710))"),"")</f>
        <v/>
      </c>
      <c r="J1597" s="7" t="str">
        <f>IFERROR(__xludf.DUMMYFUNCTION("IF('Respuestas de formulario 1'!J1710&lt;&gt;"""",UPPER(TRIM(TO_TEXT('Respuestas de formulario 1'!J1710))),IF('Respuestas de formulario 1'!O1710&lt;&gt;"""",UPPER(TRIM(TO_TEXT('Respuestas de formulario 1'!O1710))),""""))"),"")</f>
        <v/>
      </c>
      <c r="K1597" s="7" t="str">
        <f>IFERROR(__xludf.DUMMYFUNCTION("IF('Respuestas de formulario 1'!K1710="""","""",TO_TEXT('Respuestas de formulario 1'!K1710))"),"")</f>
        <v/>
      </c>
      <c r="L1597" s="7" t="str">
        <f>IFERROR(__xludf.DUMMYFUNCTION("IF('Respuestas de formulario 1'!L1710="""","""",TO_TEXT('Respuestas de formulario 1'!L1710))"),"")</f>
        <v/>
      </c>
      <c r="M1597" s="7" t="str">
        <f>IFERROR(__xludf.DUMMYFUNCTION("IF('Respuestas de formulario 1'!M1710="""","""",TO_TEXT('Respuestas de formulario 1'!M1710))"),"")</f>
        <v/>
      </c>
      <c r="N1597" s="7" t="str">
        <f t="shared" si="1"/>
        <v/>
      </c>
      <c r="O1597" s="7" t="str">
        <f t="shared" si="2"/>
        <v/>
      </c>
      <c r="P1597" s="7"/>
    </row>
    <row r="1598">
      <c r="A1598" s="7" t="str">
        <f>'Respuestas de formulario 1'!A1711</f>
        <v/>
      </c>
      <c r="B1598" s="7" t="str">
        <f>'Respuestas de formulario 1'!B1711</f>
        <v/>
      </c>
      <c r="C1598" s="7" t="str">
        <f>'Respuestas de formulario 1'!C1711</f>
        <v/>
      </c>
      <c r="D1598" s="7" t="str">
        <f>'Respuestas de formulario 1'!D1711</f>
        <v/>
      </c>
      <c r="E1598" s="7" t="str">
        <f>'Respuestas de formulario 1'!E1711</f>
        <v/>
      </c>
      <c r="F1598" s="7" t="str">
        <f>'Respuestas de formulario 1'!F1711</f>
        <v/>
      </c>
      <c r="G1598" s="7" t="str">
        <f>IFERROR(__xludf.DUMMYFUNCTION("IF('Respuestas de formulario 1'!G1711="""","""",IF(LEFT(REGEXREPLACE(TO_TEXT('Respuestas de formulario 1'!G1711),""[^0-9]"",""""),2)=""54"",""+""&amp;REGEXREPLACE(TO_TEXT('Respuestas de formulario 1'!G1711),""[^0-9]"",""""),""+54""&amp;REGEXREPLACE(TO_TEXT('Respu"&amp;"estas de formulario 1'!G1711),""[^0-9]"","""")))"),"")</f>
        <v/>
      </c>
      <c r="H1598" s="7" t="str">
        <f>'Respuestas de formulario 1'!S1711</f>
        <v/>
      </c>
      <c r="I1598" s="7" t="str">
        <f>IFERROR(__xludf.DUMMYFUNCTION("IF('Respuestas de formulario 1'!I1711="""","""",TO_TEXT('Respuestas de formulario 1'!I1711))"),"")</f>
        <v/>
      </c>
      <c r="J1598" s="7" t="str">
        <f>IFERROR(__xludf.DUMMYFUNCTION("IF('Respuestas de formulario 1'!J1711&lt;&gt;"""",UPPER(TRIM(TO_TEXT('Respuestas de formulario 1'!J1711))),IF('Respuestas de formulario 1'!O1711&lt;&gt;"""",UPPER(TRIM(TO_TEXT('Respuestas de formulario 1'!O1711))),""""))"),"")</f>
        <v/>
      </c>
      <c r="K1598" s="7" t="str">
        <f>IFERROR(__xludf.DUMMYFUNCTION("IF('Respuestas de formulario 1'!K1711="""","""",TO_TEXT('Respuestas de formulario 1'!K1711))"),"")</f>
        <v/>
      </c>
      <c r="L1598" s="7" t="str">
        <f>IFERROR(__xludf.DUMMYFUNCTION("IF('Respuestas de formulario 1'!L1711="""","""",TO_TEXT('Respuestas de formulario 1'!L1711))"),"")</f>
        <v/>
      </c>
      <c r="M1598" s="7" t="str">
        <f>IFERROR(__xludf.DUMMYFUNCTION("IF('Respuestas de formulario 1'!M1711="""","""",TO_TEXT('Respuestas de formulario 1'!M1711))"),"")</f>
        <v/>
      </c>
      <c r="N1598" s="7" t="str">
        <f t="shared" si="1"/>
        <v/>
      </c>
      <c r="O1598" s="7" t="str">
        <f t="shared" si="2"/>
        <v/>
      </c>
      <c r="P1598" s="7"/>
    </row>
    <row r="1599">
      <c r="A1599" s="7" t="str">
        <f>'Respuestas de formulario 1'!A1712</f>
        <v/>
      </c>
      <c r="B1599" s="7" t="str">
        <f>'Respuestas de formulario 1'!B1712</f>
        <v/>
      </c>
      <c r="C1599" s="7" t="str">
        <f>'Respuestas de formulario 1'!C1712</f>
        <v/>
      </c>
      <c r="D1599" s="7" t="str">
        <f>'Respuestas de formulario 1'!D1712</f>
        <v/>
      </c>
      <c r="E1599" s="7" t="str">
        <f>'Respuestas de formulario 1'!E1712</f>
        <v/>
      </c>
      <c r="F1599" s="7" t="str">
        <f>'Respuestas de formulario 1'!F1712</f>
        <v/>
      </c>
      <c r="G1599" s="7" t="str">
        <f>IFERROR(__xludf.DUMMYFUNCTION("IF('Respuestas de formulario 1'!G1712="""","""",IF(LEFT(REGEXREPLACE(TO_TEXT('Respuestas de formulario 1'!G1712),""[^0-9]"",""""),2)=""54"",""+""&amp;REGEXREPLACE(TO_TEXT('Respuestas de formulario 1'!G1712),""[^0-9]"",""""),""+54""&amp;REGEXREPLACE(TO_TEXT('Respu"&amp;"estas de formulario 1'!G1712),""[^0-9]"","""")))"),"")</f>
        <v/>
      </c>
      <c r="H1599" s="7" t="str">
        <f>'Respuestas de formulario 1'!S1712</f>
        <v/>
      </c>
      <c r="I1599" s="7" t="str">
        <f>IFERROR(__xludf.DUMMYFUNCTION("IF('Respuestas de formulario 1'!I1712="""","""",TO_TEXT('Respuestas de formulario 1'!I1712))"),"")</f>
        <v/>
      </c>
      <c r="J1599" s="7" t="str">
        <f>IFERROR(__xludf.DUMMYFUNCTION("IF('Respuestas de formulario 1'!J1712&lt;&gt;"""",UPPER(TRIM(TO_TEXT('Respuestas de formulario 1'!J1712))),IF('Respuestas de formulario 1'!O1712&lt;&gt;"""",UPPER(TRIM(TO_TEXT('Respuestas de formulario 1'!O1712))),""""))"),"")</f>
        <v/>
      </c>
      <c r="K1599" s="7" t="str">
        <f>IFERROR(__xludf.DUMMYFUNCTION("IF('Respuestas de formulario 1'!K1712="""","""",TO_TEXT('Respuestas de formulario 1'!K1712))"),"")</f>
        <v/>
      </c>
      <c r="L1599" s="7" t="str">
        <f>IFERROR(__xludf.DUMMYFUNCTION("IF('Respuestas de formulario 1'!L1712="""","""",TO_TEXT('Respuestas de formulario 1'!L1712))"),"")</f>
        <v/>
      </c>
      <c r="M1599" s="7" t="str">
        <f>IFERROR(__xludf.DUMMYFUNCTION("IF('Respuestas de formulario 1'!M1712="""","""",TO_TEXT('Respuestas de formulario 1'!M1712))"),"")</f>
        <v/>
      </c>
      <c r="N1599" s="7" t="str">
        <f t="shared" si="1"/>
        <v/>
      </c>
      <c r="O1599" s="7" t="str">
        <f t="shared" si="2"/>
        <v/>
      </c>
      <c r="P1599" s="7"/>
    </row>
    <row r="1600">
      <c r="A1600" s="7" t="str">
        <f>'Respuestas de formulario 1'!A1713</f>
        <v/>
      </c>
      <c r="B1600" s="7" t="str">
        <f>'Respuestas de formulario 1'!B1713</f>
        <v/>
      </c>
      <c r="C1600" s="7" t="str">
        <f>'Respuestas de formulario 1'!C1713</f>
        <v/>
      </c>
      <c r="D1600" s="7" t="str">
        <f>'Respuestas de formulario 1'!D1713</f>
        <v/>
      </c>
      <c r="E1600" s="7" t="str">
        <f>'Respuestas de formulario 1'!E1713</f>
        <v/>
      </c>
      <c r="F1600" s="7" t="str">
        <f>'Respuestas de formulario 1'!F1713</f>
        <v/>
      </c>
      <c r="G1600" s="7" t="str">
        <f>IFERROR(__xludf.DUMMYFUNCTION("IF('Respuestas de formulario 1'!G1713="""","""",IF(LEFT(REGEXREPLACE(TO_TEXT('Respuestas de formulario 1'!G1713),""[^0-9]"",""""),2)=""54"",""+""&amp;REGEXREPLACE(TO_TEXT('Respuestas de formulario 1'!G1713),""[^0-9]"",""""),""+54""&amp;REGEXREPLACE(TO_TEXT('Respu"&amp;"estas de formulario 1'!G1713),""[^0-9]"","""")))"),"")</f>
        <v/>
      </c>
      <c r="H1600" s="7" t="str">
        <f>'Respuestas de formulario 1'!S1713</f>
        <v/>
      </c>
      <c r="I1600" s="7" t="str">
        <f>IFERROR(__xludf.DUMMYFUNCTION("IF('Respuestas de formulario 1'!I1713="""","""",TO_TEXT('Respuestas de formulario 1'!I1713))"),"")</f>
        <v/>
      </c>
      <c r="J1600" s="7" t="str">
        <f>IFERROR(__xludf.DUMMYFUNCTION("IF('Respuestas de formulario 1'!J1713&lt;&gt;"""",UPPER(TRIM(TO_TEXT('Respuestas de formulario 1'!J1713))),IF('Respuestas de formulario 1'!O1713&lt;&gt;"""",UPPER(TRIM(TO_TEXT('Respuestas de formulario 1'!O1713))),""""))"),"")</f>
        <v/>
      </c>
      <c r="K1600" s="7" t="str">
        <f>IFERROR(__xludf.DUMMYFUNCTION("IF('Respuestas de formulario 1'!K1713="""","""",TO_TEXT('Respuestas de formulario 1'!K1713))"),"")</f>
        <v/>
      </c>
      <c r="L1600" s="7" t="str">
        <f>IFERROR(__xludf.DUMMYFUNCTION("IF('Respuestas de formulario 1'!L1713="""","""",TO_TEXT('Respuestas de formulario 1'!L1713))"),"")</f>
        <v/>
      </c>
      <c r="M1600" s="7" t="str">
        <f>IFERROR(__xludf.DUMMYFUNCTION("IF('Respuestas de formulario 1'!M1713="""","""",TO_TEXT('Respuestas de formulario 1'!M1713))"),"")</f>
        <v/>
      </c>
      <c r="N1600" s="7" t="str">
        <f t="shared" si="1"/>
        <v/>
      </c>
      <c r="O1600" s="7" t="str">
        <f t="shared" si="2"/>
        <v/>
      </c>
      <c r="P1600" s="7"/>
    </row>
    <row r="1601">
      <c r="A1601" s="7" t="str">
        <f>'Respuestas de formulario 1'!A1714</f>
        <v/>
      </c>
      <c r="B1601" s="7" t="str">
        <f>'Respuestas de formulario 1'!B1714</f>
        <v/>
      </c>
      <c r="C1601" s="7" t="str">
        <f>'Respuestas de formulario 1'!C1714</f>
        <v/>
      </c>
      <c r="D1601" s="7" t="str">
        <f>'Respuestas de formulario 1'!D1714</f>
        <v/>
      </c>
      <c r="E1601" s="7" t="str">
        <f>'Respuestas de formulario 1'!E1714</f>
        <v/>
      </c>
      <c r="F1601" s="7" t="str">
        <f>'Respuestas de formulario 1'!F1714</f>
        <v/>
      </c>
      <c r="G1601" s="7" t="str">
        <f>IFERROR(__xludf.DUMMYFUNCTION("IF('Respuestas de formulario 1'!G1714="""","""",IF(LEFT(REGEXREPLACE(TO_TEXT('Respuestas de formulario 1'!G1714),""[^0-9]"",""""),2)=""54"",""+""&amp;REGEXREPLACE(TO_TEXT('Respuestas de formulario 1'!G1714),""[^0-9]"",""""),""+54""&amp;REGEXREPLACE(TO_TEXT('Respu"&amp;"estas de formulario 1'!G1714),""[^0-9]"","""")))"),"")</f>
        <v/>
      </c>
      <c r="H1601" s="7" t="str">
        <f>'Respuestas de formulario 1'!S1714</f>
        <v/>
      </c>
      <c r="I1601" s="7" t="str">
        <f>IFERROR(__xludf.DUMMYFUNCTION("IF('Respuestas de formulario 1'!I1714="""","""",TO_TEXT('Respuestas de formulario 1'!I1714))"),"")</f>
        <v/>
      </c>
      <c r="J1601" s="7" t="str">
        <f>IFERROR(__xludf.DUMMYFUNCTION("IF('Respuestas de formulario 1'!J1714&lt;&gt;"""",UPPER(TRIM(TO_TEXT('Respuestas de formulario 1'!J1714))),IF('Respuestas de formulario 1'!O1714&lt;&gt;"""",UPPER(TRIM(TO_TEXT('Respuestas de formulario 1'!O1714))),""""))"),"")</f>
        <v/>
      </c>
      <c r="K1601" s="7" t="str">
        <f>IFERROR(__xludf.DUMMYFUNCTION("IF('Respuestas de formulario 1'!K1714="""","""",TO_TEXT('Respuestas de formulario 1'!K1714))"),"")</f>
        <v/>
      </c>
      <c r="L1601" s="7" t="str">
        <f>IFERROR(__xludf.DUMMYFUNCTION("IF('Respuestas de formulario 1'!L1714="""","""",TO_TEXT('Respuestas de formulario 1'!L1714))"),"")</f>
        <v/>
      </c>
      <c r="M1601" s="7" t="str">
        <f>IFERROR(__xludf.DUMMYFUNCTION("IF('Respuestas de formulario 1'!M1714="""","""",TO_TEXT('Respuestas de formulario 1'!M1714))"),"")</f>
        <v/>
      </c>
      <c r="N1601" s="7" t="str">
        <f t="shared" si="1"/>
        <v/>
      </c>
      <c r="O1601" s="7" t="str">
        <f t="shared" si="2"/>
        <v/>
      </c>
      <c r="P1601" s="7"/>
    </row>
    <row r="1602">
      <c r="A1602" s="7" t="str">
        <f>'Respuestas de formulario 1'!A1715</f>
        <v/>
      </c>
      <c r="B1602" s="7" t="str">
        <f>'Respuestas de formulario 1'!B1715</f>
        <v/>
      </c>
      <c r="C1602" s="7" t="str">
        <f>'Respuestas de formulario 1'!C1715</f>
        <v/>
      </c>
      <c r="D1602" s="7" t="str">
        <f>'Respuestas de formulario 1'!D1715</f>
        <v/>
      </c>
      <c r="E1602" s="7" t="str">
        <f>'Respuestas de formulario 1'!E1715</f>
        <v/>
      </c>
      <c r="F1602" s="7" t="str">
        <f>'Respuestas de formulario 1'!F1715</f>
        <v/>
      </c>
      <c r="G1602" s="7" t="str">
        <f>IFERROR(__xludf.DUMMYFUNCTION("IF('Respuestas de formulario 1'!G1715="""","""",IF(LEFT(REGEXREPLACE(TO_TEXT('Respuestas de formulario 1'!G1715),""[^0-9]"",""""),2)=""54"",""+""&amp;REGEXREPLACE(TO_TEXT('Respuestas de formulario 1'!G1715),""[^0-9]"",""""),""+54""&amp;REGEXREPLACE(TO_TEXT('Respu"&amp;"estas de formulario 1'!G1715),""[^0-9]"","""")))"),"")</f>
        <v/>
      </c>
      <c r="H1602" s="7" t="str">
        <f>'Respuestas de formulario 1'!S1715</f>
        <v/>
      </c>
      <c r="I1602" s="7" t="str">
        <f>IFERROR(__xludf.DUMMYFUNCTION("IF('Respuestas de formulario 1'!I1715="""","""",TO_TEXT('Respuestas de formulario 1'!I1715))"),"")</f>
        <v/>
      </c>
      <c r="J1602" s="7" t="str">
        <f>IFERROR(__xludf.DUMMYFUNCTION("IF('Respuestas de formulario 1'!J1715&lt;&gt;"""",UPPER(TRIM(TO_TEXT('Respuestas de formulario 1'!J1715))),IF('Respuestas de formulario 1'!O1715&lt;&gt;"""",UPPER(TRIM(TO_TEXT('Respuestas de formulario 1'!O1715))),""""))"),"")</f>
        <v/>
      </c>
      <c r="K1602" s="7" t="str">
        <f>IFERROR(__xludf.DUMMYFUNCTION("IF('Respuestas de formulario 1'!K1715="""","""",TO_TEXT('Respuestas de formulario 1'!K1715))"),"")</f>
        <v/>
      </c>
      <c r="L1602" s="7" t="str">
        <f>IFERROR(__xludf.DUMMYFUNCTION("IF('Respuestas de formulario 1'!L1715="""","""",TO_TEXT('Respuestas de formulario 1'!L1715))"),"")</f>
        <v/>
      </c>
      <c r="M1602" s="7" t="str">
        <f>IFERROR(__xludf.DUMMYFUNCTION("IF('Respuestas de formulario 1'!M1715="""","""",TO_TEXT('Respuestas de formulario 1'!M1715))"),"")</f>
        <v/>
      </c>
      <c r="N1602" s="7" t="str">
        <f t="shared" si="1"/>
        <v/>
      </c>
      <c r="O1602" s="7" t="str">
        <f t="shared" si="2"/>
        <v/>
      </c>
      <c r="P1602" s="7"/>
    </row>
    <row r="1603">
      <c r="A1603" s="7" t="str">
        <f>'Respuestas de formulario 1'!A1716</f>
        <v/>
      </c>
      <c r="B1603" s="7" t="str">
        <f>'Respuestas de formulario 1'!B1716</f>
        <v/>
      </c>
      <c r="C1603" s="7" t="str">
        <f>'Respuestas de formulario 1'!C1716</f>
        <v/>
      </c>
      <c r="D1603" s="7" t="str">
        <f>'Respuestas de formulario 1'!D1716</f>
        <v/>
      </c>
      <c r="E1603" s="7" t="str">
        <f>'Respuestas de formulario 1'!E1716</f>
        <v/>
      </c>
      <c r="F1603" s="7" t="str">
        <f>'Respuestas de formulario 1'!F1716</f>
        <v/>
      </c>
      <c r="G1603" s="7" t="str">
        <f>IFERROR(__xludf.DUMMYFUNCTION("IF('Respuestas de formulario 1'!G1716="""","""",IF(LEFT(REGEXREPLACE(TO_TEXT('Respuestas de formulario 1'!G1716),""[^0-9]"",""""),2)=""54"",""+""&amp;REGEXREPLACE(TO_TEXT('Respuestas de formulario 1'!G1716),""[^0-9]"",""""),""+54""&amp;REGEXREPLACE(TO_TEXT('Respu"&amp;"estas de formulario 1'!G1716),""[^0-9]"","""")))"),"")</f>
        <v/>
      </c>
      <c r="H1603" s="7" t="str">
        <f>'Respuestas de formulario 1'!S1716</f>
        <v/>
      </c>
      <c r="I1603" s="7" t="str">
        <f>IFERROR(__xludf.DUMMYFUNCTION("IF('Respuestas de formulario 1'!I1716="""","""",TO_TEXT('Respuestas de formulario 1'!I1716))"),"")</f>
        <v/>
      </c>
      <c r="J1603" s="7" t="str">
        <f>IFERROR(__xludf.DUMMYFUNCTION("IF('Respuestas de formulario 1'!J1716&lt;&gt;"""",UPPER(TRIM(TO_TEXT('Respuestas de formulario 1'!J1716))),IF('Respuestas de formulario 1'!O1716&lt;&gt;"""",UPPER(TRIM(TO_TEXT('Respuestas de formulario 1'!O1716))),""""))"),"")</f>
        <v/>
      </c>
      <c r="K1603" s="7" t="str">
        <f>IFERROR(__xludf.DUMMYFUNCTION("IF('Respuestas de formulario 1'!K1716="""","""",TO_TEXT('Respuestas de formulario 1'!K1716))"),"")</f>
        <v/>
      </c>
      <c r="L1603" s="7" t="str">
        <f>IFERROR(__xludf.DUMMYFUNCTION("IF('Respuestas de formulario 1'!L1716="""","""",TO_TEXT('Respuestas de formulario 1'!L1716))"),"")</f>
        <v/>
      </c>
      <c r="M1603" s="7" t="str">
        <f>IFERROR(__xludf.DUMMYFUNCTION("IF('Respuestas de formulario 1'!M1716="""","""",TO_TEXT('Respuestas de formulario 1'!M1716))"),"")</f>
        <v/>
      </c>
      <c r="N1603" s="7" t="str">
        <f t="shared" si="1"/>
        <v/>
      </c>
      <c r="O1603" s="7" t="str">
        <f t="shared" si="2"/>
        <v/>
      </c>
      <c r="P1603" s="7"/>
    </row>
    <row r="1604">
      <c r="A1604" s="7" t="str">
        <f>'Respuestas de formulario 1'!A1717</f>
        <v/>
      </c>
      <c r="B1604" s="7" t="str">
        <f>'Respuestas de formulario 1'!B1717</f>
        <v/>
      </c>
      <c r="C1604" s="7" t="str">
        <f>'Respuestas de formulario 1'!C1717</f>
        <v/>
      </c>
      <c r="D1604" s="7" t="str">
        <f>'Respuestas de formulario 1'!D1717</f>
        <v/>
      </c>
      <c r="E1604" s="7" t="str">
        <f>'Respuestas de formulario 1'!E1717</f>
        <v/>
      </c>
      <c r="F1604" s="7" t="str">
        <f>'Respuestas de formulario 1'!F1717</f>
        <v/>
      </c>
      <c r="G1604" s="7" t="str">
        <f>IFERROR(__xludf.DUMMYFUNCTION("IF('Respuestas de formulario 1'!G1717="""","""",IF(LEFT(REGEXREPLACE(TO_TEXT('Respuestas de formulario 1'!G1717),""[^0-9]"",""""),2)=""54"",""+""&amp;REGEXREPLACE(TO_TEXT('Respuestas de formulario 1'!G1717),""[^0-9]"",""""),""+54""&amp;REGEXREPLACE(TO_TEXT('Respu"&amp;"estas de formulario 1'!G1717),""[^0-9]"","""")))"),"")</f>
        <v/>
      </c>
      <c r="H1604" s="7" t="str">
        <f>'Respuestas de formulario 1'!S1717</f>
        <v/>
      </c>
      <c r="I1604" s="7" t="str">
        <f>IFERROR(__xludf.DUMMYFUNCTION("IF('Respuestas de formulario 1'!I1717="""","""",TO_TEXT('Respuestas de formulario 1'!I1717))"),"")</f>
        <v/>
      </c>
      <c r="J1604" s="7" t="str">
        <f>IFERROR(__xludf.DUMMYFUNCTION("IF('Respuestas de formulario 1'!J1717&lt;&gt;"""",UPPER(TRIM(TO_TEXT('Respuestas de formulario 1'!J1717))),IF('Respuestas de formulario 1'!O1717&lt;&gt;"""",UPPER(TRIM(TO_TEXT('Respuestas de formulario 1'!O1717))),""""))"),"")</f>
        <v/>
      </c>
      <c r="K1604" s="7" t="str">
        <f>IFERROR(__xludf.DUMMYFUNCTION("IF('Respuestas de formulario 1'!K1717="""","""",TO_TEXT('Respuestas de formulario 1'!K1717))"),"")</f>
        <v/>
      </c>
      <c r="L1604" s="7" t="str">
        <f>IFERROR(__xludf.DUMMYFUNCTION("IF('Respuestas de formulario 1'!L1717="""","""",TO_TEXT('Respuestas de formulario 1'!L1717))"),"")</f>
        <v/>
      </c>
      <c r="M1604" s="7" t="str">
        <f>IFERROR(__xludf.DUMMYFUNCTION("IF('Respuestas de formulario 1'!M1717="""","""",TO_TEXT('Respuestas de formulario 1'!M1717))"),"")</f>
        <v/>
      </c>
      <c r="N1604" s="7" t="str">
        <f t="shared" si="1"/>
        <v/>
      </c>
      <c r="O1604" s="7" t="str">
        <f t="shared" si="2"/>
        <v/>
      </c>
      <c r="P1604" s="7"/>
    </row>
    <row r="1605">
      <c r="A1605" s="7" t="str">
        <f>'Respuestas de formulario 1'!A1718</f>
        <v/>
      </c>
      <c r="B1605" s="7" t="str">
        <f>'Respuestas de formulario 1'!B1718</f>
        <v/>
      </c>
      <c r="C1605" s="7" t="str">
        <f>'Respuestas de formulario 1'!C1718</f>
        <v/>
      </c>
      <c r="D1605" s="7" t="str">
        <f>'Respuestas de formulario 1'!D1718</f>
        <v/>
      </c>
      <c r="E1605" s="7" t="str">
        <f>'Respuestas de formulario 1'!E1718</f>
        <v/>
      </c>
      <c r="F1605" s="7" t="str">
        <f>'Respuestas de formulario 1'!F1718</f>
        <v/>
      </c>
      <c r="G1605" s="7" t="str">
        <f>IFERROR(__xludf.DUMMYFUNCTION("IF('Respuestas de formulario 1'!G1718="""","""",IF(LEFT(REGEXREPLACE(TO_TEXT('Respuestas de formulario 1'!G1718),""[^0-9]"",""""),2)=""54"",""+""&amp;REGEXREPLACE(TO_TEXT('Respuestas de formulario 1'!G1718),""[^0-9]"",""""),""+54""&amp;REGEXREPLACE(TO_TEXT('Respu"&amp;"estas de formulario 1'!G1718),""[^0-9]"","""")))"),"")</f>
        <v/>
      </c>
      <c r="H1605" s="7" t="str">
        <f>'Respuestas de formulario 1'!S1718</f>
        <v/>
      </c>
      <c r="I1605" s="7" t="str">
        <f>IFERROR(__xludf.DUMMYFUNCTION("IF('Respuestas de formulario 1'!I1718="""","""",TO_TEXT('Respuestas de formulario 1'!I1718))"),"")</f>
        <v/>
      </c>
      <c r="J1605" s="7" t="str">
        <f>IFERROR(__xludf.DUMMYFUNCTION("IF('Respuestas de formulario 1'!J1718&lt;&gt;"""",UPPER(TRIM(TO_TEXT('Respuestas de formulario 1'!J1718))),IF('Respuestas de formulario 1'!O1718&lt;&gt;"""",UPPER(TRIM(TO_TEXT('Respuestas de formulario 1'!O1718))),""""))"),"")</f>
        <v/>
      </c>
      <c r="K1605" s="7" t="str">
        <f>IFERROR(__xludf.DUMMYFUNCTION("IF('Respuestas de formulario 1'!K1718="""","""",TO_TEXT('Respuestas de formulario 1'!K1718))"),"")</f>
        <v/>
      </c>
      <c r="L1605" s="7" t="str">
        <f>IFERROR(__xludf.DUMMYFUNCTION("IF('Respuestas de formulario 1'!L1718="""","""",TO_TEXT('Respuestas de formulario 1'!L1718))"),"")</f>
        <v/>
      </c>
      <c r="M1605" s="7" t="str">
        <f>IFERROR(__xludf.DUMMYFUNCTION("IF('Respuestas de formulario 1'!M1718="""","""",TO_TEXT('Respuestas de formulario 1'!M1718))"),"")</f>
        <v/>
      </c>
      <c r="N1605" s="7" t="str">
        <f t="shared" si="1"/>
        <v/>
      </c>
      <c r="O1605" s="7" t="str">
        <f t="shared" si="2"/>
        <v/>
      </c>
      <c r="P1605" s="7"/>
    </row>
    <row r="1606">
      <c r="A1606" s="7" t="str">
        <f>'Respuestas de formulario 1'!A1719</f>
        <v/>
      </c>
      <c r="B1606" s="7" t="str">
        <f>'Respuestas de formulario 1'!B1719</f>
        <v/>
      </c>
      <c r="C1606" s="7" t="str">
        <f>'Respuestas de formulario 1'!C1719</f>
        <v/>
      </c>
      <c r="D1606" s="7" t="str">
        <f>'Respuestas de formulario 1'!D1719</f>
        <v/>
      </c>
      <c r="E1606" s="7" t="str">
        <f>'Respuestas de formulario 1'!E1719</f>
        <v/>
      </c>
      <c r="F1606" s="7" t="str">
        <f>'Respuestas de formulario 1'!F1719</f>
        <v/>
      </c>
      <c r="G1606" s="7" t="str">
        <f>IFERROR(__xludf.DUMMYFUNCTION("IF('Respuestas de formulario 1'!G1719="""","""",IF(LEFT(REGEXREPLACE(TO_TEXT('Respuestas de formulario 1'!G1719),""[^0-9]"",""""),2)=""54"",""+""&amp;REGEXREPLACE(TO_TEXT('Respuestas de formulario 1'!G1719),""[^0-9]"",""""),""+54""&amp;REGEXREPLACE(TO_TEXT('Respu"&amp;"estas de formulario 1'!G1719),""[^0-9]"","""")))"),"")</f>
        <v/>
      </c>
      <c r="H1606" s="7" t="str">
        <f>'Respuestas de formulario 1'!S1719</f>
        <v/>
      </c>
      <c r="I1606" s="7" t="str">
        <f>IFERROR(__xludf.DUMMYFUNCTION("IF('Respuestas de formulario 1'!I1719="""","""",TO_TEXT('Respuestas de formulario 1'!I1719))"),"")</f>
        <v/>
      </c>
      <c r="J1606" s="7" t="str">
        <f>IFERROR(__xludf.DUMMYFUNCTION("IF('Respuestas de formulario 1'!J1719&lt;&gt;"""",UPPER(TRIM(TO_TEXT('Respuestas de formulario 1'!J1719))),IF('Respuestas de formulario 1'!O1719&lt;&gt;"""",UPPER(TRIM(TO_TEXT('Respuestas de formulario 1'!O1719))),""""))"),"")</f>
        <v/>
      </c>
      <c r="K1606" s="7" t="str">
        <f>IFERROR(__xludf.DUMMYFUNCTION("IF('Respuestas de formulario 1'!K1719="""","""",TO_TEXT('Respuestas de formulario 1'!K1719))"),"")</f>
        <v/>
      </c>
      <c r="L1606" s="7" t="str">
        <f>IFERROR(__xludf.DUMMYFUNCTION("IF('Respuestas de formulario 1'!L1719="""","""",TO_TEXT('Respuestas de formulario 1'!L1719))"),"")</f>
        <v/>
      </c>
      <c r="M1606" s="7" t="str">
        <f>IFERROR(__xludf.DUMMYFUNCTION("IF('Respuestas de formulario 1'!M1719="""","""",TO_TEXT('Respuestas de formulario 1'!M1719))"),"")</f>
        <v/>
      </c>
      <c r="N1606" s="7" t="str">
        <f t="shared" si="1"/>
        <v/>
      </c>
      <c r="O1606" s="7" t="str">
        <f t="shared" si="2"/>
        <v/>
      </c>
      <c r="P1606" s="7"/>
    </row>
    <row r="1607">
      <c r="A1607" s="7" t="str">
        <f>'Respuestas de formulario 1'!A1720</f>
        <v/>
      </c>
      <c r="B1607" s="7" t="str">
        <f>'Respuestas de formulario 1'!B1720</f>
        <v/>
      </c>
      <c r="C1607" s="7" t="str">
        <f>'Respuestas de formulario 1'!C1720</f>
        <v/>
      </c>
      <c r="D1607" s="7" t="str">
        <f>'Respuestas de formulario 1'!D1720</f>
        <v/>
      </c>
      <c r="E1607" s="7" t="str">
        <f>'Respuestas de formulario 1'!E1720</f>
        <v/>
      </c>
      <c r="F1607" s="7" t="str">
        <f>'Respuestas de formulario 1'!F1720</f>
        <v/>
      </c>
      <c r="G1607" s="7" t="str">
        <f>IFERROR(__xludf.DUMMYFUNCTION("IF('Respuestas de formulario 1'!G1720="""","""",IF(LEFT(REGEXREPLACE(TO_TEXT('Respuestas de formulario 1'!G1720),""[^0-9]"",""""),2)=""54"",""+""&amp;REGEXREPLACE(TO_TEXT('Respuestas de formulario 1'!G1720),""[^0-9]"",""""),""+54""&amp;REGEXREPLACE(TO_TEXT('Respu"&amp;"estas de formulario 1'!G1720),""[^0-9]"","""")))"),"")</f>
        <v/>
      </c>
      <c r="H1607" s="7" t="str">
        <f>'Respuestas de formulario 1'!S1720</f>
        <v/>
      </c>
      <c r="I1607" s="7" t="str">
        <f>IFERROR(__xludf.DUMMYFUNCTION("IF('Respuestas de formulario 1'!I1720="""","""",TO_TEXT('Respuestas de formulario 1'!I1720))"),"")</f>
        <v/>
      </c>
      <c r="J1607" s="7" t="str">
        <f>IFERROR(__xludf.DUMMYFUNCTION("IF('Respuestas de formulario 1'!J1720&lt;&gt;"""",UPPER(TRIM(TO_TEXT('Respuestas de formulario 1'!J1720))),IF('Respuestas de formulario 1'!O1720&lt;&gt;"""",UPPER(TRIM(TO_TEXT('Respuestas de formulario 1'!O1720))),""""))"),"")</f>
        <v/>
      </c>
      <c r="K1607" s="7" t="str">
        <f>IFERROR(__xludf.DUMMYFUNCTION("IF('Respuestas de formulario 1'!K1720="""","""",TO_TEXT('Respuestas de formulario 1'!K1720))"),"")</f>
        <v/>
      </c>
      <c r="L1607" s="7" t="str">
        <f>IFERROR(__xludf.DUMMYFUNCTION("IF('Respuestas de formulario 1'!L1720="""","""",TO_TEXT('Respuestas de formulario 1'!L1720))"),"")</f>
        <v/>
      </c>
      <c r="M1607" s="7" t="str">
        <f>IFERROR(__xludf.DUMMYFUNCTION("IF('Respuestas de formulario 1'!M1720="""","""",TO_TEXT('Respuestas de formulario 1'!M1720))"),"")</f>
        <v/>
      </c>
      <c r="N1607" s="7" t="str">
        <f t="shared" si="1"/>
        <v/>
      </c>
      <c r="O1607" s="7" t="str">
        <f t="shared" si="2"/>
        <v/>
      </c>
      <c r="P1607" s="7"/>
    </row>
    <row r="1608">
      <c r="A1608" s="7" t="str">
        <f>'Respuestas de formulario 1'!A1721</f>
        <v/>
      </c>
      <c r="B1608" s="7" t="str">
        <f>'Respuestas de formulario 1'!B1721</f>
        <v/>
      </c>
      <c r="C1608" s="7" t="str">
        <f>'Respuestas de formulario 1'!C1721</f>
        <v/>
      </c>
      <c r="D1608" s="7" t="str">
        <f>'Respuestas de formulario 1'!D1721</f>
        <v/>
      </c>
      <c r="E1608" s="7" t="str">
        <f>'Respuestas de formulario 1'!E1721</f>
        <v/>
      </c>
      <c r="F1608" s="7" t="str">
        <f>'Respuestas de formulario 1'!F1721</f>
        <v/>
      </c>
      <c r="G1608" s="7" t="str">
        <f>IFERROR(__xludf.DUMMYFUNCTION("IF('Respuestas de formulario 1'!G1721="""","""",IF(LEFT(REGEXREPLACE(TO_TEXT('Respuestas de formulario 1'!G1721),""[^0-9]"",""""),2)=""54"",""+""&amp;REGEXREPLACE(TO_TEXT('Respuestas de formulario 1'!G1721),""[^0-9]"",""""),""+54""&amp;REGEXREPLACE(TO_TEXT('Respu"&amp;"estas de formulario 1'!G1721),""[^0-9]"","""")))"),"")</f>
        <v/>
      </c>
      <c r="H1608" s="7" t="str">
        <f>'Respuestas de formulario 1'!S1721</f>
        <v/>
      </c>
      <c r="I1608" s="7" t="str">
        <f>IFERROR(__xludf.DUMMYFUNCTION("IF('Respuestas de formulario 1'!I1721="""","""",TO_TEXT('Respuestas de formulario 1'!I1721))"),"")</f>
        <v/>
      </c>
      <c r="J1608" s="7" t="str">
        <f>IFERROR(__xludf.DUMMYFUNCTION("IF('Respuestas de formulario 1'!J1721&lt;&gt;"""",UPPER(TRIM(TO_TEXT('Respuestas de formulario 1'!J1721))),IF('Respuestas de formulario 1'!O1721&lt;&gt;"""",UPPER(TRIM(TO_TEXT('Respuestas de formulario 1'!O1721))),""""))"),"")</f>
        <v/>
      </c>
      <c r="K1608" s="7" t="str">
        <f>IFERROR(__xludf.DUMMYFUNCTION("IF('Respuestas de formulario 1'!K1721="""","""",TO_TEXT('Respuestas de formulario 1'!K1721))"),"")</f>
        <v/>
      </c>
      <c r="L1608" s="7" t="str">
        <f>IFERROR(__xludf.DUMMYFUNCTION("IF('Respuestas de formulario 1'!L1721="""","""",TO_TEXT('Respuestas de formulario 1'!L1721))"),"")</f>
        <v/>
      </c>
      <c r="M1608" s="7" t="str">
        <f>IFERROR(__xludf.DUMMYFUNCTION("IF('Respuestas de formulario 1'!M1721="""","""",TO_TEXT('Respuestas de formulario 1'!M1721))"),"")</f>
        <v/>
      </c>
      <c r="N1608" s="7" t="str">
        <f t="shared" si="1"/>
        <v/>
      </c>
      <c r="O1608" s="7" t="str">
        <f t="shared" si="2"/>
        <v/>
      </c>
      <c r="P1608" s="7"/>
    </row>
    <row r="1609">
      <c r="A1609" s="7" t="str">
        <f>'Respuestas de formulario 1'!A1722</f>
        <v/>
      </c>
      <c r="B1609" s="7" t="str">
        <f>'Respuestas de formulario 1'!B1722</f>
        <v/>
      </c>
      <c r="C1609" s="7" t="str">
        <f>'Respuestas de formulario 1'!C1722</f>
        <v/>
      </c>
      <c r="D1609" s="7" t="str">
        <f>'Respuestas de formulario 1'!D1722</f>
        <v/>
      </c>
      <c r="E1609" s="7" t="str">
        <f>'Respuestas de formulario 1'!E1722</f>
        <v/>
      </c>
      <c r="F1609" s="7" t="str">
        <f>'Respuestas de formulario 1'!F1722</f>
        <v/>
      </c>
      <c r="G1609" s="7" t="str">
        <f>IFERROR(__xludf.DUMMYFUNCTION("IF('Respuestas de formulario 1'!G1722="""","""",IF(LEFT(REGEXREPLACE(TO_TEXT('Respuestas de formulario 1'!G1722),""[^0-9]"",""""),2)=""54"",""+""&amp;REGEXREPLACE(TO_TEXT('Respuestas de formulario 1'!G1722),""[^0-9]"",""""),""+54""&amp;REGEXREPLACE(TO_TEXT('Respu"&amp;"estas de formulario 1'!G1722),""[^0-9]"","""")))"),"")</f>
        <v/>
      </c>
      <c r="H1609" s="7" t="str">
        <f>'Respuestas de formulario 1'!S1722</f>
        <v/>
      </c>
      <c r="I1609" s="7" t="str">
        <f>IFERROR(__xludf.DUMMYFUNCTION("IF('Respuestas de formulario 1'!I1722="""","""",TO_TEXT('Respuestas de formulario 1'!I1722))"),"")</f>
        <v/>
      </c>
      <c r="J1609" s="7" t="str">
        <f>IFERROR(__xludf.DUMMYFUNCTION("IF('Respuestas de formulario 1'!J1722&lt;&gt;"""",UPPER(TRIM(TO_TEXT('Respuestas de formulario 1'!J1722))),IF('Respuestas de formulario 1'!O1722&lt;&gt;"""",UPPER(TRIM(TO_TEXT('Respuestas de formulario 1'!O1722))),""""))"),"")</f>
        <v/>
      </c>
      <c r="K1609" s="7" t="str">
        <f>IFERROR(__xludf.DUMMYFUNCTION("IF('Respuestas de formulario 1'!K1722="""","""",TO_TEXT('Respuestas de formulario 1'!K1722))"),"")</f>
        <v/>
      </c>
      <c r="L1609" s="7" t="str">
        <f>IFERROR(__xludf.DUMMYFUNCTION("IF('Respuestas de formulario 1'!L1722="""","""",TO_TEXT('Respuestas de formulario 1'!L1722))"),"")</f>
        <v/>
      </c>
      <c r="M1609" s="7" t="str">
        <f>IFERROR(__xludf.DUMMYFUNCTION("IF('Respuestas de formulario 1'!M1722="""","""",TO_TEXT('Respuestas de formulario 1'!M1722))"),"")</f>
        <v/>
      </c>
      <c r="N1609" s="7" t="str">
        <f t="shared" si="1"/>
        <v/>
      </c>
      <c r="O1609" s="7" t="str">
        <f t="shared" si="2"/>
        <v/>
      </c>
      <c r="P1609" s="7"/>
    </row>
    <row r="1610">
      <c r="A1610" s="7" t="str">
        <f>'Respuestas de formulario 1'!A1723</f>
        <v/>
      </c>
      <c r="B1610" s="7" t="str">
        <f>'Respuestas de formulario 1'!B1723</f>
        <v/>
      </c>
      <c r="C1610" s="7" t="str">
        <f>'Respuestas de formulario 1'!C1723</f>
        <v/>
      </c>
      <c r="D1610" s="7" t="str">
        <f>'Respuestas de formulario 1'!D1723</f>
        <v/>
      </c>
      <c r="E1610" s="7" t="str">
        <f>'Respuestas de formulario 1'!E1723</f>
        <v/>
      </c>
      <c r="F1610" s="7" t="str">
        <f>'Respuestas de formulario 1'!F1723</f>
        <v/>
      </c>
      <c r="G1610" s="7" t="str">
        <f>IFERROR(__xludf.DUMMYFUNCTION("IF('Respuestas de formulario 1'!G1723="""","""",IF(LEFT(REGEXREPLACE(TO_TEXT('Respuestas de formulario 1'!G1723),""[^0-9]"",""""),2)=""54"",""+""&amp;REGEXREPLACE(TO_TEXT('Respuestas de formulario 1'!G1723),""[^0-9]"",""""),""+54""&amp;REGEXREPLACE(TO_TEXT('Respu"&amp;"estas de formulario 1'!G1723),""[^0-9]"","""")))"),"")</f>
        <v/>
      </c>
      <c r="H1610" s="7" t="str">
        <f>'Respuestas de formulario 1'!S1723</f>
        <v/>
      </c>
      <c r="I1610" s="7" t="str">
        <f>IFERROR(__xludf.DUMMYFUNCTION("IF('Respuestas de formulario 1'!I1723="""","""",TO_TEXT('Respuestas de formulario 1'!I1723))"),"")</f>
        <v/>
      </c>
      <c r="J1610" s="7" t="str">
        <f>IFERROR(__xludf.DUMMYFUNCTION("IF('Respuestas de formulario 1'!J1723&lt;&gt;"""",UPPER(TRIM(TO_TEXT('Respuestas de formulario 1'!J1723))),IF('Respuestas de formulario 1'!O1723&lt;&gt;"""",UPPER(TRIM(TO_TEXT('Respuestas de formulario 1'!O1723))),""""))"),"")</f>
        <v/>
      </c>
      <c r="K1610" s="7" t="str">
        <f>IFERROR(__xludf.DUMMYFUNCTION("IF('Respuestas de formulario 1'!K1723="""","""",TO_TEXT('Respuestas de formulario 1'!K1723))"),"")</f>
        <v/>
      </c>
      <c r="L1610" s="7" t="str">
        <f>IFERROR(__xludf.DUMMYFUNCTION("IF('Respuestas de formulario 1'!L1723="""","""",TO_TEXT('Respuestas de formulario 1'!L1723))"),"")</f>
        <v/>
      </c>
      <c r="M1610" s="7" t="str">
        <f>IFERROR(__xludf.DUMMYFUNCTION("IF('Respuestas de formulario 1'!M1723="""","""",TO_TEXT('Respuestas de formulario 1'!M1723))"),"")</f>
        <v/>
      </c>
      <c r="N1610" s="7" t="str">
        <f t="shared" si="1"/>
        <v/>
      </c>
      <c r="O1610" s="7" t="str">
        <f t="shared" si="2"/>
        <v/>
      </c>
      <c r="P1610" s="7"/>
    </row>
    <row r="1611">
      <c r="A1611" s="7" t="str">
        <f>'Respuestas de formulario 1'!A1724</f>
        <v/>
      </c>
      <c r="B1611" s="7" t="str">
        <f>'Respuestas de formulario 1'!B1724</f>
        <v/>
      </c>
      <c r="C1611" s="7" t="str">
        <f>'Respuestas de formulario 1'!C1724</f>
        <v/>
      </c>
      <c r="D1611" s="7" t="str">
        <f>'Respuestas de formulario 1'!D1724</f>
        <v/>
      </c>
      <c r="E1611" s="7" t="str">
        <f>'Respuestas de formulario 1'!E1724</f>
        <v/>
      </c>
      <c r="F1611" s="7" t="str">
        <f>'Respuestas de formulario 1'!F1724</f>
        <v/>
      </c>
      <c r="G1611" s="7" t="str">
        <f>IFERROR(__xludf.DUMMYFUNCTION("IF('Respuestas de formulario 1'!G1724="""","""",IF(LEFT(REGEXREPLACE(TO_TEXT('Respuestas de formulario 1'!G1724),""[^0-9]"",""""),2)=""54"",""+""&amp;REGEXREPLACE(TO_TEXT('Respuestas de formulario 1'!G1724),""[^0-9]"",""""),""+54""&amp;REGEXREPLACE(TO_TEXT('Respu"&amp;"estas de formulario 1'!G1724),""[^0-9]"","""")))"),"")</f>
        <v/>
      </c>
      <c r="H1611" s="7" t="str">
        <f>'Respuestas de formulario 1'!S1724</f>
        <v/>
      </c>
      <c r="I1611" s="7" t="str">
        <f>IFERROR(__xludf.DUMMYFUNCTION("IF('Respuestas de formulario 1'!I1724="""","""",TO_TEXT('Respuestas de formulario 1'!I1724))"),"")</f>
        <v/>
      </c>
      <c r="J1611" s="7" t="str">
        <f>IFERROR(__xludf.DUMMYFUNCTION("IF('Respuestas de formulario 1'!J1724&lt;&gt;"""",UPPER(TRIM(TO_TEXT('Respuestas de formulario 1'!J1724))),IF('Respuestas de formulario 1'!O1724&lt;&gt;"""",UPPER(TRIM(TO_TEXT('Respuestas de formulario 1'!O1724))),""""))"),"")</f>
        <v/>
      </c>
      <c r="K1611" s="7" t="str">
        <f>IFERROR(__xludf.DUMMYFUNCTION("IF('Respuestas de formulario 1'!K1724="""","""",TO_TEXT('Respuestas de formulario 1'!K1724))"),"")</f>
        <v/>
      </c>
      <c r="L1611" s="7" t="str">
        <f>IFERROR(__xludf.DUMMYFUNCTION("IF('Respuestas de formulario 1'!L1724="""","""",TO_TEXT('Respuestas de formulario 1'!L1724))"),"")</f>
        <v/>
      </c>
      <c r="M1611" s="7" t="str">
        <f>IFERROR(__xludf.DUMMYFUNCTION("IF('Respuestas de formulario 1'!M1724="""","""",TO_TEXT('Respuestas de formulario 1'!M1724))"),"")</f>
        <v/>
      </c>
      <c r="N1611" s="7" t="str">
        <f t="shared" si="1"/>
        <v/>
      </c>
      <c r="O1611" s="7" t="str">
        <f t="shared" si="2"/>
        <v/>
      </c>
      <c r="P1611" s="7"/>
    </row>
    <row r="1612">
      <c r="A1612" s="7" t="str">
        <f>'Respuestas de formulario 1'!A1725</f>
        <v/>
      </c>
      <c r="B1612" s="7" t="str">
        <f>'Respuestas de formulario 1'!B1725</f>
        <v/>
      </c>
      <c r="C1612" s="7" t="str">
        <f>'Respuestas de formulario 1'!C1725</f>
        <v/>
      </c>
      <c r="D1612" s="7" t="str">
        <f>'Respuestas de formulario 1'!D1725</f>
        <v/>
      </c>
      <c r="E1612" s="7" t="str">
        <f>'Respuestas de formulario 1'!E1725</f>
        <v/>
      </c>
      <c r="F1612" s="7" t="str">
        <f>'Respuestas de formulario 1'!F1725</f>
        <v/>
      </c>
      <c r="G1612" s="7" t="str">
        <f>IFERROR(__xludf.DUMMYFUNCTION("IF('Respuestas de formulario 1'!G1725="""","""",IF(LEFT(REGEXREPLACE(TO_TEXT('Respuestas de formulario 1'!G1725),""[^0-9]"",""""),2)=""54"",""+""&amp;REGEXREPLACE(TO_TEXT('Respuestas de formulario 1'!G1725),""[^0-9]"",""""),""+54""&amp;REGEXREPLACE(TO_TEXT('Respu"&amp;"estas de formulario 1'!G1725),""[^0-9]"","""")))"),"")</f>
        <v/>
      </c>
      <c r="H1612" s="7" t="str">
        <f>'Respuestas de formulario 1'!S1725</f>
        <v/>
      </c>
      <c r="I1612" s="7" t="str">
        <f>IFERROR(__xludf.DUMMYFUNCTION("IF('Respuestas de formulario 1'!I1725="""","""",TO_TEXT('Respuestas de formulario 1'!I1725))"),"")</f>
        <v/>
      </c>
      <c r="J1612" s="7" t="str">
        <f>IFERROR(__xludf.DUMMYFUNCTION("IF('Respuestas de formulario 1'!J1725&lt;&gt;"""",UPPER(TRIM(TO_TEXT('Respuestas de formulario 1'!J1725))),IF('Respuestas de formulario 1'!O1725&lt;&gt;"""",UPPER(TRIM(TO_TEXT('Respuestas de formulario 1'!O1725))),""""))"),"")</f>
        <v/>
      </c>
      <c r="K1612" s="7" t="str">
        <f>IFERROR(__xludf.DUMMYFUNCTION("IF('Respuestas de formulario 1'!K1725="""","""",TO_TEXT('Respuestas de formulario 1'!K1725))"),"")</f>
        <v/>
      </c>
      <c r="L1612" s="7" t="str">
        <f>IFERROR(__xludf.DUMMYFUNCTION("IF('Respuestas de formulario 1'!L1725="""","""",TO_TEXT('Respuestas de formulario 1'!L1725))"),"")</f>
        <v/>
      </c>
      <c r="M1612" s="7" t="str">
        <f>IFERROR(__xludf.DUMMYFUNCTION("IF('Respuestas de formulario 1'!M1725="""","""",TO_TEXT('Respuestas de formulario 1'!M1725))"),"")</f>
        <v/>
      </c>
      <c r="N1612" s="7" t="str">
        <f t="shared" si="1"/>
        <v/>
      </c>
      <c r="O1612" s="7" t="str">
        <f t="shared" si="2"/>
        <v/>
      </c>
      <c r="P1612" s="7"/>
    </row>
    <row r="1613">
      <c r="A1613" s="7" t="str">
        <f>'Respuestas de formulario 1'!A1726</f>
        <v/>
      </c>
      <c r="B1613" s="7" t="str">
        <f>'Respuestas de formulario 1'!B1726</f>
        <v/>
      </c>
      <c r="C1613" s="7" t="str">
        <f>'Respuestas de formulario 1'!C1726</f>
        <v/>
      </c>
      <c r="D1613" s="7" t="str">
        <f>'Respuestas de formulario 1'!D1726</f>
        <v/>
      </c>
      <c r="E1613" s="7" t="str">
        <f>'Respuestas de formulario 1'!E1726</f>
        <v/>
      </c>
      <c r="F1613" s="7" t="str">
        <f>'Respuestas de formulario 1'!F1726</f>
        <v/>
      </c>
      <c r="G1613" s="7" t="str">
        <f>IFERROR(__xludf.DUMMYFUNCTION("IF('Respuestas de formulario 1'!G1726="""","""",IF(LEFT(REGEXREPLACE(TO_TEXT('Respuestas de formulario 1'!G1726),""[^0-9]"",""""),2)=""54"",""+""&amp;REGEXREPLACE(TO_TEXT('Respuestas de formulario 1'!G1726),""[^0-9]"",""""),""+54""&amp;REGEXREPLACE(TO_TEXT('Respu"&amp;"estas de formulario 1'!G1726),""[^0-9]"","""")))"),"")</f>
        <v/>
      </c>
      <c r="H1613" s="7" t="str">
        <f>'Respuestas de formulario 1'!S1726</f>
        <v/>
      </c>
      <c r="I1613" s="7" t="str">
        <f>IFERROR(__xludf.DUMMYFUNCTION("IF('Respuestas de formulario 1'!I1726="""","""",TO_TEXT('Respuestas de formulario 1'!I1726))"),"")</f>
        <v/>
      </c>
      <c r="J1613" s="7" t="str">
        <f>IFERROR(__xludf.DUMMYFUNCTION("IF('Respuestas de formulario 1'!J1726&lt;&gt;"""",UPPER(TRIM(TO_TEXT('Respuestas de formulario 1'!J1726))),IF('Respuestas de formulario 1'!O1726&lt;&gt;"""",UPPER(TRIM(TO_TEXT('Respuestas de formulario 1'!O1726))),""""))"),"")</f>
        <v/>
      </c>
      <c r="K1613" s="7" t="str">
        <f>IFERROR(__xludf.DUMMYFUNCTION("IF('Respuestas de formulario 1'!K1726="""","""",TO_TEXT('Respuestas de formulario 1'!K1726))"),"")</f>
        <v/>
      </c>
      <c r="L1613" s="7" t="str">
        <f>IFERROR(__xludf.DUMMYFUNCTION("IF('Respuestas de formulario 1'!L1726="""","""",TO_TEXT('Respuestas de formulario 1'!L1726))"),"")</f>
        <v/>
      </c>
      <c r="M1613" s="7" t="str">
        <f>IFERROR(__xludf.DUMMYFUNCTION("IF('Respuestas de formulario 1'!M1726="""","""",TO_TEXT('Respuestas de formulario 1'!M1726))"),"")</f>
        <v/>
      </c>
      <c r="N1613" s="7" t="str">
        <f t="shared" si="1"/>
        <v/>
      </c>
      <c r="O1613" s="7" t="str">
        <f t="shared" si="2"/>
        <v/>
      </c>
      <c r="P1613" s="7"/>
    </row>
    <row r="1614">
      <c r="A1614" s="7" t="str">
        <f>'Respuestas de formulario 1'!A1727</f>
        <v/>
      </c>
      <c r="B1614" s="7" t="str">
        <f>'Respuestas de formulario 1'!B1727</f>
        <v/>
      </c>
      <c r="C1614" s="7" t="str">
        <f>'Respuestas de formulario 1'!C1727</f>
        <v/>
      </c>
      <c r="D1614" s="7" t="str">
        <f>'Respuestas de formulario 1'!D1727</f>
        <v/>
      </c>
      <c r="E1614" s="7" t="str">
        <f>'Respuestas de formulario 1'!E1727</f>
        <v/>
      </c>
      <c r="F1614" s="7" t="str">
        <f>'Respuestas de formulario 1'!F1727</f>
        <v/>
      </c>
      <c r="G1614" s="7" t="str">
        <f>IFERROR(__xludf.DUMMYFUNCTION("IF('Respuestas de formulario 1'!G1727="""","""",IF(LEFT(REGEXREPLACE(TO_TEXT('Respuestas de formulario 1'!G1727),""[^0-9]"",""""),2)=""54"",""+""&amp;REGEXREPLACE(TO_TEXT('Respuestas de formulario 1'!G1727),""[^0-9]"",""""),""+54""&amp;REGEXREPLACE(TO_TEXT('Respu"&amp;"estas de formulario 1'!G1727),""[^0-9]"","""")))"),"")</f>
        <v/>
      </c>
      <c r="H1614" s="7" t="str">
        <f>'Respuestas de formulario 1'!S1727</f>
        <v/>
      </c>
      <c r="I1614" s="7" t="str">
        <f>IFERROR(__xludf.DUMMYFUNCTION("IF('Respuestas de formulario 1'!I1727="""","""",TO_TEXT('Respuestas de formulario 1'!I1727))"),"")</f>
        <v/>
      </c>
      <c r="J1614" s="7" t="str">
        <f>IFERROR(__xludf.DUMMYFUNCTION("IF('Respuestas de formulario 1'!J1727&lt;&gt;"""",UPPER(TRIM(TO_TEXT('Respuestas de formulario 1'!J1727))),IF('Respuestas de formulario 1'!O1727&lt;&gt;"""",UPPER(TRIM(TO_TEXT('Respuestas de formulario 1'!O1727))),""""))"),"")</f>
        <v/>
      </c>
      <c r="K1614" s="7" t="str">
        <f>IFERROR(__xludf.DUMMYFUNCTION("IF('Respuestas de formulario 1'!K1727="""","""",TO_TEXT('Respuestas de formulario 1'!K1727))"),"")</f>
        <v/>
      </c>
      <c r="L1614" s="7" t="str">
        <f>IFERROR(__xludf.DUMMYFUNCTION("IF('Respuestas de formulario 1'!L1727="""","""",TO_TEXT('Respuestas de formulario 1'!L1727))"),"")</f>
        <v/>
      </c>
      <c r="M1614" s="7" t="str">
        <f>IFERROR(__xludf.DUMMYFUNCTION("IF('Respuestas de formulario 1'!M1727="""","""",TO_TEXT('Respuestas de formulario 1'!M1727))"),"")</f>
        <v/>
      </c>
      <c r="N1614" s="7" t="str">
        <f t="shared" si="1"/>
        <v/>
      </c>
      <c r="O1614" s="7" t="str">
        <f t="shared" si="2"/>
        <v/>
      </c>
      <c r="P1614" s="7"/>
    </row>
    <row r="1615">
      <c r="A1615" s="7" t="str">
        <f>'Respuestas de formulario 1'!A1728</f>
        <v/>
      </c>
      <c r="B1615" s="7" t="str">
        <f>'Respuestas de formulario 1'!B1728</f>
        <v/>
      </c>
      <c r="C1615" s="7" t="str">
        <f>'Respuestas de formulario 1'!C1728</f>
        <v/>
      </c>
      <c r="D1615" s="7" t="str">
        <f>'Respuestas de formulario 1'!D1728</f>
        <v/>
      </c>
      <c r="E1615" s="7" t="str">
        <f>'Respuestas de formulario 1'!E1728</f>
        <v/>
      </c>
      <c r="F1615" s="7" t="str">
        <f>'Respuestas de formulario 1'!F1728</f>
        <v/>
      </c>
      <c r="G1615" s="7" t="str">
        <f>IFERROR(__xludf.DUMMYFUNCTION("IF('Respuestas de formulario 1'!G1728="""","""",IF(LEFT(REGEXREPLACE(TO_TEXT('Respuestas de formulario 1'!G1728),""[^0-9]"",""""),2)=""54"",""+""&amp;REGEXREPLACE(TO_TEXT('Respuestas de formulario 1'!G1728),""[^0-9]"",""""),""+54""&amp;REGEXREPLACE(TO_TEXT('Respu"&amp;"estas de formulario 1'!G1728),""[^0-9]"","""")))"),"")</f>
        <v/>
      </c>
      <c r="H1615" s="7" t="str">
        <f>'Respuestas de formulario 1'!S1728</f>
        <v/>
      </c>
      <c r="I1615" s="7" t="str">
        <f>IFERROR(__xludf.DUMMYFUNCTION("IF('Respuestas de formulario 1'!I1728="""","""",TO_TEXT('Respuestas de formulario 1'!I1728))"),"")</f>
        <v/>
      </c>
      <c r="J1615" s="7" t="str">
        <f>IFERROR(__xludf.DUMMYFUNCTION("IF('Respuestas de formulario 1'!J1728&lt;&gt;"""",UPPER(TRIM(TO_TEXT('Respuestas de formulario 1'!J1728))),IF('Respuestas de formulario 1'!O1728&lt;&gt;"""",UPPER(TRIM(TO_TEXT('Respuestas de formulario 1'!O1728))),""""))"),"")</f>
        <v/>
      </c>
      <c r="K1615" s="7" t="str">
        <f>IFERROR(__xludf.DUMMYFUNCTION("IF('Respuestas de formulario 1'!K1728="""","""",TO_TEXT('Respuestas de formulario 1'!K1728))"),"")</f>
        <v/>
      </c>
      <c r="L1615" s="7" t="str">
        <f>IFERROR(__xludf.DUMMYFUNCTION("IF('Respuestas de formulario 1'!L1728="""","""",TO_TEXT('Respuestas de formulario 1'!L1728))"),"")</f>
        <v/>
      </c>
      <c r="M1615" s="7" t="str">
        <f>IFERROR(__xludf.DUMMYFUNCTION("IF('Respuestas de formulario 1'!M1728="""","""",TO_TEXT('Respuestas de formulario 1'!M1728))"),"")</f>
        <v/>
      </c>
      <c r="N1615" s="7" t="str">
        <f t="shared" si="1"/>
        <v/>
      </c>
      <c r="O1615" s="7" t="str">
        <f t="shared" si="2"/>
        <v/>
      </c>
      <c r="P1615" s="7"/>
    </row>
    <row r="1616">
      <c r="A1616" s="7" t="str">
        <f>'Respuestas de formulario 1'!A1729</f>
        <v/>
      </c>
      <c r="B1616" s="7" t="str">
        <f>'Respuestas de formulario 1'!B1729</f>
        <v/>
      </c>
      <c r="C1616" s="7" t="str">
        <f>'Respuestas de formulario 1'!C1729</f>
        <v/>
      </c>
      <c r="D1616" s="7" t="str">
        <f>'Respuestas de formulario 1'!D1729</f>
        <v/>
      </c>
      <c r="E1616" s="7" t="str">
        <f>'Respuestas de formulario 1'!E1729</f>
        <v/>
      </c>
      <c r="F1616" s="7" t="str">
        <f>'Respuestas de formulario 1'!F1729</f>
        <v/>
      </c>
      <c r="G1616" s="7" t="str">
        <f>IFERROR(__xludf.DUMMYFUNCTION("IF('Respuestas de formulario 1'!G1729="""","""",IF(LEFT(REGEXREPLACE(TO_TEXT('Respuestas de formulario 1'!G1729),""[^0-9]"",""""),2)=""54"",""+""&amp;REGEXREPLACE(TO_TEXT('Respuestas de formulario 1'!G1729),""[^0-9]"",""""),""+54""&amp;REGEXREPLACE(TO_TEXT('Respu"&amp;"estas de formulario 1'!G1729),""[^0-9]"","""")))"),"")</f>
        <v/>
      </c>
      <c r="H1616" s="7" t="str">
        <f>'Respuestas de formulario 1'!S1729</f>
        <v/>
      </c>
      <c r="I1616" s="7" t="str">
        <f>IFERROR(__xludf.DUMMYFUNCTION("IF('Respuestas de formulario 1'!I1729="""","""",TO_TEXT('Respuestas de formulario 1'!I1729))"),"")</f>
        <v/>
      </c>
      <c r="J1616" s="7" t="str">
        <f>IFERROR(__xludf.DUMMYFUNCTION("IF('Respuestas de formulario 1'!J1729&lt;&gt;"""",UPPER(TRIM(TO_TEXT('Respuestas de formulario 1'!J1729))),IF('Respuestas de formulario 1'!O1729&lt;&gt;"""",UPPER(TRIM(TO_TEXT('Respuestas de formulario 1'!O1729))),""""))"),"")</f>
        <v/>
      </c>
      <c r="K1616" s="7" t="str">
        <f>IFERROR(__xludf.DUMMYFUNCTION("IF('Respuestas de formulario 1'!K1729="""","""",TO_TEXT('Respuestas de formulario 1'!K1729))"),"")</f>
        <v/>
      </c>
      <c r="L1616" s="7" t="str">
        <f>IFERROR(__xludf.DUMMYFUNCTION("IF('Respuestas de formulario 1'!L1729="""","""",TO_TEXT('Respuestas de formulario 1'!L1729))"),"")</f>
        <v/>
      </c>
      <c r="M1616" s="7" t="str">
        <f>IFERROR(__xludf.DUMMYFUNCTION("IF('Respuestas de formulario 1'!M1729="""","""",TO_TEXT('Respuestas de formulario 1'!M1729))"),"")</f>
        <v/>
      </c>
      <c r="N1616" s="7" t="str">
        <f t="shared" si="1"/>
        <v/>
      </c>
      <c r="O1616" s="7" t="str">
        <f t="shared" si="2"/>
        <v/>
      </c>
      <c r="P1616" s="7"/>
    </row>
    <row r="1617">
      <c r="A1617" s="7" t="str">
        <f>'Respuestas de formulario 1'!A1730</f>
        <v/>
      </c>
      <c r="B1617" s="7" t="str">
        <f>'Respuestas de formulario 1'!B1730</f>
        <v/>
      </c>
      <c r="C1617" s="7" t="str">
        <f>'Respuestas de formulario 1'!C1730</f>
        <v/>
      </c>
      <c r="D1617" s="7" t="str">
        <f>'Respuestas de formulario 1'!D1730</f>
        <v/>
      </c>
      <c r="E1617" s="7" t="str">
        <f>'Respuestas de formulario 1'!E1730</f>
        <v/>
      </c>
      <c r="F1617" s="7" t="str">
        <f>'Respuestas de formulario 1'!F1730</f>
        <v/>
      </c>
      <c r="G1617" s="7" t="str">
        <f>IFERROR(__xludf.DUMMYFUNCTION("IF('Respuestas de formulario 1'!G1730="""","""",IF(LEFT(REGEXREPLACE(TO_TEXT('Respuestas de formulario 1'!G1730),""[^0-9]"",""""),2)=""54"",""+""&amp;REGEXREPLACE(TO_TEXT('Respuestas de formulario 1'!G1730),""[^0-9]"",""""),""+54""&amp;REGEXREPLACE(TO_TEXT('Respu"&amp;"estas de formulario 1'!G1730),""[^0-9]"","""")))"),"")</f>
        <v/>
      </c>
      <c r="H1617" s="7" t="str">
        <f>'Respuestas de formulario 1'!S1730</f>
        <v/>
      </c>
      <c r="I1617" s="7" t="str">
        <f>IFERROR(__xludf.DUMMYFUNCTION("IF('Respuestas de formulario 1'!I1730="""","""",TO_TEXT('Respuestas de formulario 1'!I1730))"),"")</f>
        <v/>
      </c>
      <c r="J1617" s="7" t="str">
        <f>IFERROR(__xludf.DUMMYFUNCTION("IF('Respuestas de formulario 1'!J1730&lt;&gt;"""",UPPER(TRIM(TO_TEXT('Respuestas de formulario 1'!J1730))),IF('Respuestas de formulario 1'!O1730&lt;&gt;"""",UPPER(TRIM(TO_TEXT('Respuestas de formulario 1'!O1730))),""""))"),"")</f>
        <v/>
      </c>
      <c r="K1617" s="7" t="str">
        <f>IFERROR(__xludf.DUMMYFUNCTION("IF('Respuestas de formulario 1'!K1730="""","""",TO_TEXT('Respuestas de formulario 1'!K1730))"),"")</f>
        <v/>
      </c>
      <c r="L1617" s="7" t="str">
        <f>IFERROR(__xludf.DUMMYFUNCTION("IF('Respuestas de formulario 1'!L1730="""","""",TO_TEXT('Respuestas de formulario 1'!L1730))"),"")</f>
        <v/>
      </c>
      <c r="M1617" s="7" t="str">
        <f>IFERROR(__xludf.DUMMYFUNCTION("IF('Respuestas de formulario 1'!M1730="""","""",TO_TEXT('Respuestas de formulario 1'!M1730))"),"")</f>
        <v/>
      </c>
      <c r="N1617" s="7" t="str">
        <f t="shared" si="1"/>
        <v/>
      </c>
      <c r="O1617" s="7" t="str">
        <f t="shared" si="2"/>
        <v/>
      </c>
      <c r="P1617" s="7"/>
    </row>
    <row r="1618">
      <c r="A1618" s="7" t="str">
        <f>'Respuestas de formulario 1'!A1731</f>
        <v/>
      </c>
      <c r="B1618" s="7" t="str">
        <f>'Respuestas de formulario 1'!B1731</f>
        <v/>
      </c>
      <c r="C1618" s="7" t="str">
        <f>'Respuestas de formulario 1'!C1731</f>
        <v/>
      </c>
      <c r="D1618" s="7" t="str">
        <f>'Respuestas de formulario 1'!D1731</f>
        <v/>
      </c>
      <c r="E1618" s="7" t="str">
        <f>'Respuestas de formulario 1'!E1731</f>
        <v/>
      </c>
      <c r="F1618" s="7" t="str">
        <f>'Respuestas de formulario 1'!F1731</f>
        <v/>
      </c>
      <c r="G1618" s="7" t="str">
        <f>IFERROR(__xludf.DUMMYFUNCTION("IF('Respuestas de formulario 1'!G1731="""","""",IF(LEFT(REGEXREPLACE(TO_TEXT('Respuestas de formulario 1'!G1731),""[^0-9]"",""""),2)=""54"",""+""&amp;REGEXREPLACE(TO_TEXT('Respuestas de formulario 1'!G1731),""[^0-9]"",""""),""+54""&amp;REGEXREPLACE(TO_TEXT('Respu"&amp;"estas de formulario 1'!G1731),""[^0-9]"","""")))"),"")</f>
        <v/>
      </c>
      <c r="H1618" s="7" t="str">
        <f>'Respuestas de formulario 1'!S1731</f>
        <v/>
      </c>
      <c r="I1618" s="7" t="str">
        <f>IFERROR(__xludf.DUMMYFUNCTION("IF('Respuestas de formulario 1'!I1731="""","""",TO_TEXT('Respuestas de formulario 1'!I1731))"),"")</f>
        <v/>
      </c>
      <c r="J1618" s="7" t="str">
        <f>IFERROR(__xludf.DUMMYFUNCTION("IF('Respuestas de formulario 1'!J1731&lt;&gt;"""",UPPER(TRIM(TO_TEXT('Respuestas de formulario 1'!J1731))),IF('Respuestas de formulario 1'!O1731&lt;&gt;"""",UPPER(TRIM(TO_TEXT('Respuestas de formulario 1'!O1731))),""""))"),"")</f>
        <v/>
      </c>
      <c r="K1618" s="7" t="str">
        <f>IFERROR(__xludf.DUMMYFUNCTION("IF('Respuestas de formulario 1'!K1731="""","""",TO_TEXT('Respuestas de formulario 1'!K1731))"),"")</f>
        <v/>
      </c>
      <c r="L1618" s="7" t="str">
        <f>IFERROR(__xludf.DUMMYFUNCTION("IF('Respuestas de formulario 1'!L1731="""","""",TO_TEXT('Respuestas de formulario 1'!L1731))"),"")</f>
        <v/>
      </c>
      <c r="M1618" s="7" t="str">
        <f>IFERROR(__xludf.DUMMYFUNCTION("IF('Respuestas de formulario 1'!M1731="""","""",TO_TEXT('Respuestas de formulario 1'!M1731))"),"")</f>
        <v/>
      </c>
      <c r="N1618" s="7" t="str">
        <f t="shared" si="1"/>
        <v/>
      </c>
      <c r="O1618" s="7" t="str">
        <f t="shared" si="2"/>
        <v/>
      </c>
      <c r="P1618" s="7"/>
    </row>
    <row r="1619">
      <c r="A1619" s="7" t="str">
        <f>'Respuestas de formulario 1'!A1732</f>
        <v/>
      </c>
      <c r="B1619" s="7" t="str">
        <f>'Respuestas de formulario 1'!B1732</f>
        <v/>
      </c>
      <c r="C1619" s="7" t="str">
        <f>'Respuestas de formulario 1'!C1732</f>
        <v/>
      </c>
      <c r="D1619" s="7" t="str">
        <f>'Respuestas de formulario 1'!D1732</f>
        <v/>
      </c>
      <c r="E1619" s="7" t="str">
        <f>'Respuestas de formulario 1'!E1732</f>
        <v/>
      </c>
      <c r="F1619" s="7" t="str">
        <f>'Respuestas de formulario 1'!F1732</f>
        <v/>
      </c>
      <c r="G1619" s="7" t="str">
        <f>IFERROR(__xludf.DUMMYFUNCTION("IF('Respuestas de formulario 1'!G1732="""","""",IF(LEFT(REGEXREPLACE(TO_TEXT('Respuestas de formulario 1'!G1732),""[^0-9]"",""""),2)=""54"",""+""&amp;REGEXREPLACE(TO_TEXT('Respuestas de formulario 1'!G1732),""[^0-9]"",""""),""+54""&amp;REGEXREPLACE(TO_TEXT('Respu"&amp;"estas de formulario 1'!G1732),""[^0-9]"","""")))"),"")</f>
        <v/>
      </c>
      <c r="H1619" s="7" t="str">
        <f>'Respuestas de formulario 1'!S1732</f>
        <v/>
      </c>
      <c r="I1619" s="7" t="str">
        <f>IFERROR(__xludf.DUMMYFUNCTION("IF('Respuestas de formulario 1'!I1732="""","""",TO_TEXT('Respuestas de formulario 1'!I1732))"),"")</f>
        <v/>
      </c>
      <c r="J1619" s="7" t="str">
        <f>IFERROR(__xludf.DUMMYFUNCTION("IF('Respuestas de formulario 1'!J1732&lt;&gt;"""",UPPER(TRIM(TO_TEXT('Respuestas de formulario 1'!J1732))),IF('Respuestas de formulario 1'!O1732&lt;&gt;"""",UPPER(TRIM(TO_TEXT('Respuestas de formulario 1'!O1732))),""""))"),"")</f>
        <v/>
      </c>
      <c r="K1619" s="7" t="str">
        <f>IFERROR(__xludf.DUMMYFUNCTION("IF('Respuestas de formulario 1'!K1732="""","""",TO_TEXT('Respuestas de formulario 1'!K1732))"),"")</f>
        <v/>
      </c>
      <c r="L1619" s="7" t="str">
        <f>IFERROR(__xludf.DUMMYFUNCTION("IF('Respuestas de formulario 1'!L1732="""","""",TO_TEXT('Respuestas de formulario 1'!L1732))"),"")</f>
        <v/>
      </c>
      <c r="M1619" s="7" t="str">
        <f>IFERROR(__xludf.DUMMYFUNCTION("IF('Respuestas de formulario 1'!M1732="""","""",TO_TEXT('Respuestas de formulario 1'!M1732))"),"")</f>
        <v/>
      </c>
      <c r="N1619" s="7" t="str">
        <f t="shared" si="1"/>
        <v/>
      </c>
      <c r="O1619" s="7" t="str">
        <f t="shared" si="2"/>
        <v/>
      </c>
      <c r="P1619" s="7"/>
    </row>
    <row r="1620">
      <c r="A1620" s="7" t="str">
        <f>'Respuestas de formulario 1'!A1733</f>
        <v/>
      </c>
      <c r="B1620" s="7" t="str">
        <f>'Respuestas de formulario 1'!B1733</f>
        <v/>
      </c>
      <c r="C1620" s="7" t="str">
        <f>'Respuestas de formulario 1'!C1733</f>
        <v/>
      </c>
      <c r="D1620" s="7" t="str">
        <f>'Respuestas de formulario 1'!D1733</f>
        <v/>
      </c>
      <c r="E1620" s="7" t="str">
        <f>'Respuestas de formulario 1'!E1733</f>
        <v/>
      </c>
      <c r="F1620" s="7" t="str">
        <f>'Respuestas de formulario 1'!F1733</f>
        <v/>
      </c>
      <c r="G1620" s="7" t="str">
        <f>IFERROR(__xludf.DUMMYFUNCTION("IF('Respuestas de formulario 1'!G1733="""","""",IF(LEFT(REGEXREPLACE(TO_TEXT('Respuestas de formulario 1'!G1733),""[^0-9]"",""""),2)=""54"",""+""&amp;REGEXREPLACE(TO_TEXT('Respuestas de formulario 1'!G1733),""[^0-9]"",""""),""+54""&amp;REGEXREPLACE(TO_TEXT('Respu"&amp;"estas de formulario 1'!G1733),""[^0-9]"","""")))"),"")</f>
        <v/>
      </c>
      <c r="H1620" s="7" t="str">
        <f>'Respuestas de formulario 1'!S1733</f>
        <v/>
      </c>
      <c r="I1620" s="7" t="str">
        <f>IFERROR(__xludf.DUMMYFUNCTION("IF('Respuestas de formulario 1'!I1733="""","""",TO_TEXT('Respuestas de formulario 1'!I1733))"),"")</f>
        <v/>
      </c>
      <c r="J1620" s="7" t="str">
        <f>IFERROR(__xludf.DUMMYFUNCTION("IF('Respuestas de formulario 1'!J1733&lt;&gt;"""",UPPER(TRIM(TO_TEXT('Respuestas de formulario 1'!J1733))),IF('Respuestas de formulario 1'!O1733&lt;&gt;"""",UPPER(TRIM(TO_TEXT('Respuestas de formulario 1'!O1733))),""""))"),"")</f>
        <v/>
      </c>
      <c r="K1620" s="7" t="str">
        <f>IFERROR(__xludf.DUMMYFUNCTION("IF('Respuestas de formulario 1'!K1733="""","""",TO_TEXT('Respuestas de formulario 1'!K1733))"),"")</f>
        <v/>
      </c>
      <c r="L1620" s="7" t="str">
        <f>IFERROR(__xludf.DUMMYFUNCTION("IF('Respuestas de formulario 1'!L1733="""","""",TO_TEXT('Respuestas de formulario 1'!L1733))"),"")</f>
        <v/>
      </c>
      <c r="M1620" s="7" t="str">
        <f>IFERROR(__xludf.DUMMYFUNCTION("IF('Respuestas de formulario 1'!M1733="""","""",TO_TEXT('Respuestas de formulario 1'!M1733))"),"")</f>
        <v/>
      </c>
      <c r="N1620" s="7" t="str">
        <f t="shared" si="1"/>
        <v/>
      </c>
      <c r="O1620" s="7" t="str">
        <f t="shared" si="2"/>
        <v/>
      </c>
      <c r="P1620" s="7"/>
    </row>
    <row r="1621">
      <c r="A1621" s="7" t="str">
        <f>'Respuestas de formulario 1'!A1734</f>
        <v/>
      </c>
      <c r="B1621" s="7" t="str">
        <f>'Respuestas de formulario 1'!B1734</f>
        <v/>
      </c>
      <c r="C1621" s="7" t="str">
        <f>'Respuestas de formulario 1'!C1734</f>
        <v/>
      </c>
      <c r="D1621" s="7" t="str">
        <f>'Respuestas de formulario 1'!D1734</f>
        <v/>
      </c>
      <c r="E1621" s="7" t="str">
        <f>'Respuestas de formulario 1'!E1734</f>
        <v/>
      </c>
      <c r="F1621" s="7" t="str">
        <f>'Respuestas de formulario 1'!F1734</f>
        <v/>
      </c>
      <c r="G1621" s="7" t="str">
        <f>IFERROR(__xludf.DUMMYFUNCTION("IF('Respuestas de formulario 1'!G1734="""","""",IF(LEFT(REGEXREPLACE(TO_TEXT('Respuestas de formulario 1'!G1734),""[^0-9]"",""""),2)=""54"",""+""&amp;REGEXREPLACE(TO_TEXT('Respuestas de formulario 1'!G1734),""[^0-9]"",""""),""+54""&amp;REGEXREPLACE(TO_TEXT('Respu"&amp;"estas de formulario 1'!G1734),""[^0-9]"","""")))"),"")</f>
        <v/>
      </c>
      <c r="H1621" s="7" t="str">
        <f>'Respuestas de formulario 1'!S1734</f>
        <v/>
      </c>
      <c r="I1621" s="7" t="str">
        <f>IFERROR(__xludf.DUMMYFUNCTION("IF('Respuestas de formulario 1'!I1734="""","""",TO_TEXT('Respuestas de formulario 1'!I1734))"),"")</f>
        <v/>
      </c>
      <c r="J1621" s="7" t="str">
        <f>IFERROR(__xludf.DUMMYFUNCTION("IF('Respuestas de formulario 1'!J1734&lt;&gt;"""",UPPER(TRIM(TO_TEXT('Respuestas de formulario 1'!J1734))),IF('Respuestas de formulario 1'!O1734&lt;&gt;"""",UPPER(TRIM(TO_TEXT('Respuestas de formulario 1'!O1734))),""""))"),"")</f>
        <v/>
      </c>
      <c r="K1621" s="7" t="str">
        <f>IFERROR(__xludf.DUMMYFUNCTION("IF('Respuestas de formulario 1'!K1734="""","""",TO_TEXT('Respuestas de formulario 1'!K1734))"),"")</f>
        <v/>
      </c>
      <c r="L1621" s="7" t="str">
        <f>IFERROR(__xludf.DUMMYFUNCTION("IF('Respuestas de formulario 1'!L1734="""","""",TO_TEXT('Respuestas de formulario 1'!L1734))"),"")</f>
        <v/>
      </c>
      <c r="M1621" s="7" t="str">
        <f>IFERROR(__xludf.DUMMYFUNCTION("IF('Respuestas de formulario 1'!M1734="""","""",TO_TEXT('Respuestas de formulario 1'!M1734))"),"")</f>
        <v/>
      </c>
      <c r="N1621" s="7" t="str">
        <f t="shared" si="1"/>
        <v/>
      </c>
      <c r="O1621" s="7" t="str">
        <f t="shared" si="2"/>
        <v/>
      </c>
      <c r="P1621" s="7"/>
    </row>
    <row r="1622">
      <c r="A1622" s="7" t="str">
        <f>'Respuestas de formulario 1'!A1735</f>
        <v/>
      </c>
      <c r="B1622" s="7" t="str">
        <f>'Respuestas de formulario 1'!B1735</f>
        <v/>
      </c>
      <c r="C1622" s="7" t="str">
        <f>'Respuestas de formulario 1'!C1735</f>
        <v/>
      </c>
      <c r="D1622" s="7" t="str">
        <f>'Respuestas de formulario 1'!D1735</f>
        <v/>
      </c>
      <c r="E1622" s="7" t="str">
        <f>'Respuestas de formulario 1'!E1735</f>
        <v/>
      </c>
      <c r="F1622" s="7" t="str">
        <f>'Respuestas de formulario 1'!F1735</f>
        <v/>
      </c>
      <c r="G1622" s="7" t="str">
        <f>IFERROR(__xludf.DUMMYFUNCTION("IF('Respuestas de formulario 1'!G1735="""","""",IF(LEFT(REGEXREPLACE(TO_TEXT('Respuestas de formulario 1'!G1735),""[^0-9]"",""""),2)=""54"",""+""&amp;REGEXREPLACE(TO_TEXT('Respuestas de formulario 1'!G1735),""[^0-9]"",""""),""+54""&amp;REGEXREPLACE(TO_TEXT('Respu"&amp;"estas de formulario 1'!G1735),""[^0-9]"","""")))"),"")</f>
        <v/>
      </c>
      <c r="H1622" s="7" t="str">
        <f>'Respuestas de formulario 1'!S1735</f>
        <v/>
      </c>
      <c r="I1622" s="7" t="str">
        <f>IFERROR(__xludf.DUMMYFUNCTION("IF('Respuestas de formulario 1'!I1735="""","""",TO_TEXT('Respuestas de formulario 1'!I1735))"),"")</f>
        <v/>
      </c>
      <c r="J1622" s="7" t="str">
        <f>IFERROR(__xludf.DUMMYFUNCTION("IF('Respuestas de formulario 1'!J1735&lt;&gt;"""",UPPER(TRIM(TO_TEXT('Respuestas de formulario 1'!J1735))),IF('Respuestas de formulario 1'!O1735&lt;&gt;"""",UPPER(TRIM(TO_TEXT('Respuestas de formulario 1'!O1735))),""""))"),"")</f>
        <v/>
      </c>
      <c r="K1622" s="7" t="str">
        <f>IFERROR(__xludf.DUMMYFUNCTION("IF('Respuestas de formulario 1'!K1735="""","""",TO_TEXT('Respuestas de formulario 1'!K1735))"),"")</f>
        <v/>
      </c>
      <c r="L1622" s="7" t="str">
        <f>IFERROR(__xludf.DUMMYFUNCTION("IF('Respuestas de formulario 1'!L1735="""","""",TO_TEXT('Respuestas de formulario 1'!L1735))"),"")</f>
        <v/>
      </c>
      <c r="M1622" s="7" t="str">
        <f>IFERROR(__xludf.DUMMYFUNCTION("IF('Respuestas de formulario 1'!M1735="""","""",TO_TEXT('Respuestas de formulario 1'!M1735))"),"")</f>
        <v/>
      </c>
      <c r="N1622" s="7" t="str">
        <f t="shared" si="1"/>
        <v/>
      </c>
      <c r="O1622" s="7" t="str">
        <f t="shared" si="2"/>
        <v/>
      </c>
      <c r="P1622" s="7"/>
    </row>
    <row r="1623">
      <c r="A1623" s="7" t="str">
        <f>'Respuestas de formulario 1'!A1736</f>
        <v/>
      </c>
      <c r="B1623" s="7" t="str">
        <f>'Respuestas de formulario 1'!B1736</f>
        <v/>
      </c>
      <c r="C1623" s="7" t="str">
        <f>'Respuestas de formulario 1'!C1736</f>
        <v/>
      </c>
      <c r="D1623" s="7" t="str">
        <f>'Respuestas de formulario 1'!D1736</f>
        <v/>
      </c>
      <c r="E1623" s="7" t="str">
        <f>'Respuestas de formulario 1'!E1736</f>
        <v/>
      </c>
      <c r="F1623" s="7" t="str">
        <f>'Respuestas de formulario 1'!F1736</f>
        <v/>
      </c>
      <c r="G1623" s="7" t="str">
        <f>IFERROR(__xludf.DUMMYFUNCTION("IF('Respuestas de formulario 1'!G1736="""","""",IF(LEFT(REGEXREPLACE(TO_TEXT('Respuestas de formulario 1'!G1736),""[^0-9]"",""""),2)=""54"",""+""&amp;REGEXREPLACE(TO_TEXT('Respuestas de formulario 1'!G1736),""[^0-9]"",""""),""+54""&amp;REGEXREPLACE(TO_TEXT('Respu"&amp;"estas de formulario 1'!G1736),""[^0-9]"","""")))"),"")</f>
        <v/>
      </c>
      <c r="H1623" s="7" t="str">
        <f>'Respuestas de formulario 1'!S1736</f>
        <v/>
      </c>
      <c r="I1623" s="7" t="str">
        <f>IFERROR(__xludf.DUMMYFUNCTION("IF('Respuestas de formulario 1'!I1736="""","""",TO_TEXT('Respuestas de formulario 1'!I1736))"),"")</f>
        <v/>
      </c>
      <c r="J1623" s="7" t="str">
        <f>IFERROR(__xludf.DUMMYFUNCTION("IF('Respuestas de formulario 1'!J1736&lt;&gt;"""",UPPER(TRIM(TO_TEXT('Respuestas de formulario 1'!J1736))),IF('Respuestas de formulario 1'!O1736&lt;&gt;"""",UPPER(TRIM(TO_TEXT('Respuestas de formulario 1'!O1736))),""""))"),"")</f>
        <v/>
      </c>
      <c r="K1623" s="7" t="str">
        <f>IFERROR(__xludf.DUMMYFUNCTION("IF('Respuestas de formulario 1'!K1736="""","""",TO_TEXT('Respuestas de formulario 1'!K1736))"),"")</f>
        <v/>
      </c>
      <c r="L1623" s="7" t="str">
        <f>IFERROR(__xludf.DUMMYFUNCTION("IF('Respuestas de formulario 1'!L1736="""","""",TO_TEXT('Respuestas de formulario 1'!L1736))"),"")</f>
        <v/>
      </c>
      <c r="M1623" s="7" t="str">
        <f>IFERROR(__xludf.DUMMYFUNCTION("IF('Respuestas de formulario 1'!M1736="""","""",TO_TEXT('Respuestas de formulario 1'!M1736))"),"")</f>
        <v/>
      </c>
      <c r="N1623" s="7" t="str">
        <f t="shared" si="1"/>
        <v/>
      </c>
      <c r="O1623" s="7" t="str">
        <f t="shared" si="2"/>
        <v/>
      </c>
      <c r="P1623" s="7"/>
    </row>
    <row r="1624">
      <c r="A1624" s="7" t="str">
        <f>'Respuestas de formulario 1'!A1737</f>
        <v/>
      </c>
      <c r="B1624" s="7" t="str">
        <f>'Respuestas de formulario 1'!B1737</f>
        <v/>
      </c>
      <c r="C1624" s="7" t="str">
        <f>'Respuestas de formulario 1'!C1737</f>
        <v/>
      </c>
      <c r="D1624" s="7" t="str">
        <f>'Respuestas de formulario 1'!D1737</f>
        <v/>
      </c>
      <c r="E1624" s="7" t="str">
        <f>'Respuestas de formulario 1'!E1737</f>
        <v/>
      </c>
      <c r="F1624" s="7" t="str">
        <f>'Respuestas de formulario 1'!F1737</f>
        <v/>
      </c>
      <c r="G1624" s="7" t="str">
        <f>IFERROR(__xludf.DUMMYFUNCTION("IF('Respuestas de formulario 1'!G1737="""","""",IF(LEFT(REGEXREPLACE(TO_TEXT('Respuestas de formulario 1'!G1737),""[^0-9]"",""""),2)=""54"",""+""&amp;REGEXREPLACE(TO_TEXT('Respuestas de formulario 1'!G1737),""[^0-9]"",""""),""+54""&amp;REGEXREPLACE(TO_TEXT('Respu"&amp;"estas de formulario 1'!G1737),""[^0-9]"","""")))"),"")</f>
        <v/>
      </c>
      <c r="H1624" s="7" t="str">
        <f>'Respuestas de formulario 1'!S1737</f>
        <v/>
      </c>
      <c r="I1624" s="7" t="str">
        <f>IFERROR(__xludf.DUMMYFUNCTION("IF('Respuestas de formulario 1'!I1737="""","""",TO_TEXT('Respuestas de formulario 1'!I1737))"),"")</f>
        <v/>
      </c>
      <c r="J1624" s="7" t="str">
        <f>IFERROR(__xludf.DUMMYFUNCTION("IF('Respuestas de formulario 1'!J1737&lt;&gt;"""",UPPER(TRIM(TO_TEXT('Respuestas de formulario 1'!J1737))),IF('Respuestas de formulario 1'!O1737&lt;&gt;"""",UPPER(TRIM(TO_TEXT('Respuestas de formulario 1'!O1737))),""""))"),"")</f>
        <v/>
      </c>
      <c r="K1624" s="7" t="str">
        <f>IFERROR(__xludf.DUMMYFUNCTION("IF('Respuestas de formulario 1'!K1737="""","""",TO_TEXT('Respuestas de formulario 1'!K1737))"),"")</f>
        <v/>
      </c>
      <c r="L1624" s="7" t="str">
        <f>IFERROR(__xludf.DUMMYFUNCTION("IF('Respuestas de formulario 1'!L1737="""","""",TO_TEXT('Respuestas de formulario 1'!L1737))"),"")</f>
        <v/>
      </c>
      <c r="M1624" s="7" t="str">
        <f>IFERROR(__xludf.DUMMYFUNCTION("IF('Respuestas de formulario 1'!M1737="""","""",TO_TEXT('Respuestas de formulario 1'!M1737))"),"")</f>
        <v/>
      </c>
      <c r="N1624" s="7" t="str">
        <f t="shared" si="1"/>
        <v/>
      </c>
      <c r="O1624" s="7" t="str">
        <f t="shared" si="2"/>
        <v/>
      </c>
      <c r="P1624" s="7"/>
    </row>
    <row r="1625">
      <c r="A1625" s="7" t="str">
        <f>'Respuestas de formulario 1'!A1738</f>
        <v/>
      </c>
      <c r="B1625" s="7" t="str">
        <f>'Respuestas de formulario 1'!B1738</f>
        <v/>
      </c>
      <c r="C1625" s="7" t="str">
        <f>'Respuestas de formulario 1'!C1738</f>
        <v/>
      </c>
      <c r="D1625" s="7" t="str">
        <f>'Respuestas de formulario 1'!D1738</f>
        <v/>
      </c>
      <c r="E1625" s="7" t="str">
        <f>'Respuestas de formulario 1'!E1738</f>
        <v/>
      </c>
      <c r="F1625" s="7" t="str">
        <f>'Respuestas de formulario 1'!F1738</f>
        <v/>
      </c>
      <c r="G1625" s="7" t="str">
        <f>IFERROR(__xludf.DUMMYFUNCTION("IF('Respuestas de formulario 1'!G1738="""","""",IF(LEFT(REGEXREPLACE(TO_TEXT('Respuestas de formulario 1'!G1738),""[^0-9]"",""""),2)=""54"",""+""&amp;REGEXREPLACE(TO_TEXT('Respuestas de formulario 1'!G1738),""[^0-9]"",""""),""+54""&amp;REGEXREPLACE(TO_TEXT('Respu"&amp;"estas de formulario 1'!G1738),""[^0-9]"","""")))"),"")</f>
        <v/>
      </c>
      <c r="H1625" s="7" t="str">
        <f>'Respuestas de formulario 1'!S1738</f>
        <v/>
      </c>
      <c r="I1625" s="7" t="str">
        <f>IFERROR(__xludf.DUMMYFUNCTION("IF('Respuestas de formulario 1'!I1738="""","""",TO_TEXT('Respuestas de formulario 1'!I1738))"),"")</f>
        <v/>
      </c>
      <c r="J1625" s="7" t="str">
        <f>IFERROR(__xludf.DUMMYFUNCTION("IF('Respuestas de formulario 1'!J1738&lt;&gt;"""",UPPER(TRIM(TO_TEXT('Respuestas de formulario 1'!J1738))),IF('Respuestas de formulario 1'!O1738&lt;&gt;"""",UPPER(TRIM(TO_TEXT('Respuestas de formulario 1'!O1738))),""""))"),"")</f>
        <v/>
      </c>
      <c r="K1625" s="7" t="str">
        <f>IFERROR(__xludf.DUMMYFUNCTION("IF('Respuestas de formulario 1'!K1738="""","""",TO_TEXT('Respuestas de formulario 1'!K1738))"),"")</f>
        <v/>
      </c>
      <c r="L1625" s="7" t="str">
        <f>IFERROR(__xludf.DUMMYFUNCTION("IF('Respuestas de formulario 1'!L1738="""","""",TO_TEXT('Respuestas de formulario 1'!L1738))"),"")</f>
        <v/>
      </c>
      <c r="M1625" s="7" t="str">
        <f>IFERROR(__xludf.DUMMYFUNCTION("IF('Respuestas de formulario 1'!M1738="""","""",TO_TEXT('Respuestas de formulario 1'!M1738))"),"")</f>
        <v/>
      </c>
      <c r="N1625" s="7" t="str">
        <f t="shared" si="1"/>
        <v/>
      </c>
      <c r="O1625" s="7" t="str">
        <f t="shared" si="2"/>
        <v/>
      </c>
      <c r="P1625" s="7"/>
    </row>
    <row r="1626">
      <c r="A1626" s="7" t="str">
        <f>'Respuestas de formulario 1'!A1739</f>
        <v/>
      </c>
      <c r="B1626" s="7" t="str">
        <f>'Respuestas de formulario 1'!B1739</f>
        <v/>
      </c>
      <c r="C1626" s="7" t="str">
        <f>'Respuestas de formulario 1'!C1739</f>
        <v/>
      </c>
      <c r="D1626" s="7" t="str">
        <f>'Respuestas de formulario 1'!D1739</f>
        <v/>
      </c>
      <c r="E1626" s="7" t="str">
        <f>'Respuestas de formulario 1'!E1739</f>
        <v/>
      </c>
      <c r="F1626" s="7" t="str">
        <f>'Respuestas de formulario 1'!F1739</f>
        <v/>
      </c>
      <c r="G1626" s="7" t="str">
        <f>IFERROR(__xludf.DUMMYFUNCTION("IF('Respuestas de formulario 1'!G1739="""","""",IF(LEFT(REGEXREPLACE(TO_TEXT('Respuestas de formulario 1'!G1739),""[^0-9]"",""""),2)=""54"",""+""&amp;REGEXREPLACE(TO_TEXT('Respuestas de formulario 1'!G1739),""[^0-9]"",""""),""+54""&amp;REGEXREPLACE(TO_TEXT('Respu"&amp;"estas de formulario 1'!G1739),""[^0-9]"","""")))"),"")</f>
        <v/>
      </c>
      <c r="H1626" s="7" t="str">
        <f>'Respuestas de formulario 1'!S1739</f>
        <v/>
      </c>
      <c r="I1626" s="7" t="str">
        <f>IFERROR(__xludf.DUMMYFUNCTION("IF('Respuestas de formulario 1'!I1739="""","""",TO_TEXT('Respuestas de formulario 1'!I1739))"),"")</f>
        <v/>
      </c>
      <c r="J1626" s="7" t="str">
        <f>IFERROR(__xludf.DUMMYFUNCTION("IF('Respuestas de formulario 1'!J1739&lt;&gt;"""",UPPER(TRIM(TO_TEXT('Respuestas de formulario 1'!J1739))),IF('Respuestas de formulario 1'!O1739&lt;&gt;"""",UPPER(TRIM(TO_TEXT('Respuestas de formulario 1'!O1739))),""""))"),"")</f>
        <v/>
      </c>
      <c r="K1626" s="7" t="str">
        <f>IFERROR(__xludf.DUMMYFUNCTION("IF('Respuestas de formulario 1'!K1739="""","""",TO_TEXT('Respuestas de formulario 1'!K1739))"),"")</f>
        <v/>
      </c>
      <c r="L1626" s="7" t="str">
        <f>IFERROR(__xludf.DUMMYFUNCTION("IF('Respuestas de formulario 1'!L1739="""","""",TO_TEXT('Respuestas de formulario 1'!L1739))"),"")</f>
        <v/>
      </c>
      <c r="M1626" s="7" t="str">
        <f>IFERROR(__xludf.DUMMYFUNCTION("IF('Respuestas de formulario 1'!M1739="""","""",TO_TEXT('Respuestas de formulario 1'!M1739))"),"")</f>
        <v/>
      </c>
      <c r="N1626" s="7" t="str">
        <f t="shared" si="1"/>
        <v/>
      </c>
      <c r="O1626" s="7" t="str">
        <f t="shared" si="2"/>
        <v/>
      </c>
      <c r="P1626" s="7"/>
    </row>
    <row r="1627">
      <c r="A1627" s="7" t="str">
        <f>'Respuestas de formulario 1'!A1740</f>
        <v/>
      </c>
      <c r="B1627" s="7" t="str">
        <f>'Respuestas de formulario 1'!B1740</f>
        <v/>
      </c>
      <c r="C1627" s="7" t="str">
        <f>'Respuestas de formulario 1'!C1740</f>
        <v/>
      </c>
      <c r="D1627" s="7" t="str">
        <f>'Respuestas de formulario 1'!D1740</f>
        <v/>
      </c>
      <c r="E1627" s="7" t="str">
        <f>'Respuestas de formulario 1'!E1740</f>
        <v/>
      </c>
      <c r="F1627" s="7" t="str">
        <f>'Respuestas de formulario 1'!F1740</f>
        <v/>
      </c>
      <c r="G1627" s="7" t="str">
        <f>IFERROR(__xludf.DUMMYFUNCTION("IF('Respuestas de formulario 1'!G1740="""","""",IF(LEFT(REGEXREPLACE(TO_TEXT('Respuestas de formulario 1'!G1740),""[^0-9]"",""""),2)=""54"",""+""&amp;REGEXREPLACE(TO_TEXT('Respuestas de formulario 1'!G1740),""[^0-9]"",""""),""+54""&amp;REGEXREPLACE(TO_TEXT('Respu"&amp;"estas de formulario 1'!G1740),""[^0-9]"","""")))"),"")</f>
        <v/>
      </c>
      <c r="H1627" s="7" t="str">
        <f>'Respuestas de formulario 1'!S1740</f>
        <v/>
      </c>
      <c r="I1627" s="7" t="str">
        <f>IFERROR(__xludf.DUMMYFUNCTION("IF('Respuestas de formulario 1'!I1740="""","""",TO_TEXT('Respuestas de formulario 1'!I1740))"),"")</f>
        <v/>
      </c>
      <c r="J1627" s="7" t="str">
        <f>IFERROR(__xludf.DUMMYFUNCTION("IF('Respuestas de formulario 1'!J1740&lt;&gt;"""",UPPER(TRIM(TO_TEXT('Respuestas de formulario 1'!J1740))),IF('Respuestas de formulario 1'!O1740&lt;&gt;"""",UPPER(TRIM(TO_TEXT('Respuestas de formulario 1'!O1740))),""""))"),"")</f>
        <v/>
      </c>
      <c r="K1627" s="7" t="str">
        <f>IFERROR(__xludf.DUMMYFUNCTION("IF('Respuestas de formulario 1'!K1740="""","""",TO_TEXT('Respuestas de formulario 1'!K1740))"),"")</f>
        <v/>
      </c>
      <c r="L1627" s="7" t="str">
        <f>IFERROR(__xludf.DUMMYFUNCTION("IF('Respuestas de formulario 1'!L1740="""","""",TO_TEXT('Respuestas de formulario 1'!L1740))"),"")</f>
        <v/>
      </c>
      <c r="M1627" s="7" t="str">
        <f>IFERROR(__xludf.DUMMYFUNCTION("IF('Respuestas de formulario 1'!M1740="""","""",TO_TEXT('Respuestas de formulario 1'!M1740))"),"")</f>
        <v/>
      </c>
      <c r="N1627" s="7" t="str">
        <f t="shared" si="1"/>
        <v/>
      </c>
      <c r="O1627" s="7" t="str">
        <f t="shared" si="2"/>
        <v/>
      </c>
      <c r="P1627" s="7"/>
    </row>
    <row r="1628">
      <c r="A1628" s="7" t="str">
        <f>'Respuestas de formulario 1'!A1741</f>
        <v/>
      </c>
      <c r="B1628" s="7" t="str">
        <f>'Respuestas de formulario 1'!B1741</f>
        <v/>
      </c>
      <c r="C1628" s="7" t="str">
        <f>'Respuestas de formulario 1'!C1741</f>
        <v/>
      </c>
      <c r="D1628" s="7" t="str">
        <f>'Respuestas de formulario 1'!D1741</f>
        <v/>
      </c>
      <c r="E1628" s="7" t="str">
        <f>'Respuestas de formulario 1'!E1741</f>
        <v/>
      </c>
      <c r="F1628" s="7" t="str">
        <f>'Respuestas de formulario 1'!F1741</f>
        <v/>
      </c>
      <c r="G1628" s="7" t="str">
        <f>IFERROR(__xludf.DUMMYFUNCTION("IF('Respuestas de formulario 1'!G1741="""","""",IF(LEFT(REGEXREPLACE(TO_TEXT('Respuestas de formulario 1'!G1741),""[^0-9]"",""""),2)=""54"",""+""&amp;REGEXREPLACE(TO_TEXT('Respuestas de formulario 1'!G1741),""[^0-9]"",""""),""+54""&amp;REGEXREPLACE(TO_TEXT('Respu"&amp;"estas de formulario 1'!G1741),""[^0-9]"","""")))"),"")</f>
        <v/>
      </c>
      <c r="H1628" s="7" t="str">
        <f>'Respuestas de formulario 1'!S1741</f>
        <v/>
      </c>
      <c r="I1628" s="7" t="str">
        <f>IFERROR(__xludf.DUMMYFUNCTION("IF('Respuestas de formulario 1'!I1741="""","""",TO_TEXT('Respuestas de formulario 1'!I1741))"),"")</f>
        <v/>
      </c>
      <c r="J1628" s="7" t="str">
        <f>IFERROR(__xludf.DUMMYFUNCTION("IF('Respuestas de formulario 1'!J1741&lt;&gt;"""",UPPER(TRIM(TO_TEXT('Respuestas de formulario 1'!J1741))),IF('Respuestas de formulario 1'!O1741&lt;&gt;"""",UPPER(TRIM(TO_TEXT('Respuestas de formulario 1'!O1741))),""""))"),"")</f>
        <v/>
      </c>
      <c r="K1628" s="7" t="str">
        <f>IFERROR(__xludf.DUMMYFUNCTION("IF('Respuestas de formulario 1'!K1741="""","""",TO_TEXT('Respuestas de formulario 1'!K1741))"),"")</f>
        <v/>
      </c>
      <c r="L1628" s="7" t="str">
        <f>IFERROR(__xludf.DUMMYFUNCTION("IF('Respuestas de formulario 1'!L1741="""","""",TO_TEXT('Respuestas de formulario 1'!L1741))"),"")</f>
        <v/>
      </c>
      <c r="M1628" s="7" t="str">
        <f>IFERROR(__xludf.DUMMYFUNCTION("IF('Respuestas de formulario 1'!M1741="""","""",TO_TEXT('Respuestas de formulario 1'!M1741))"),"")</f>
        <v/>
      </c>
      <c r="N1628" s="7" t="str">
        <f t="shared" si="1"/>
        <v/>
      </c>
      <c r="O1628" s="7" t="str">
        <f t="shared" si="2"/>
        <v/>
      </c>
      <c r="P1628" s="7"/>
    </row>
    <row r="1629">
      <c r="A1629" s="7" t="str">
        <f>'Respuestas de formulario 1'!A1742</f>
        <v/>
      </c>
      <c r="B1629" s="7" t="str">
        <f>'Respuestas de formulario 1'!B1742</f>
        <v/>
      </c>
      <c r="C1629" s="7" t="str">
        <f>'Respuestas de formulario 1'!C1742</f>
        <v/>
      </c>
      <c r="D1629" s="7" t="str">
        <f>'Respuestas de formulario 1'!D1742</f>
        <v/>
      </c>
      <c r="E1629" s="7" t="str">
        <f>'Respuestas de formulario 1'!E1742</f>
        <v/>
      </c>
      <c r="F1629" s="7" t="str">
        <f>'Respuestas de formulario 1'!F1742</f>
        <v/>
      </c>
      <c r="G1629" s="7" t="str">
        <f>IFERROR(__xludf.DUMMYFUNCTION("IF('Respuestas de formulario 1'!G1742="""","""",IF(LEFT(REGEXREPLACE(TO_TEXT('Respuestas de formulario 1'!G1742),""[^0-9]"",""""),2)=""54"",""+""&amp;REGEXREPLACE(TO_TEXT('Respuestas de formulario 1'!G1742),""[^0-9]"",""""),""+54""&amp;REGEXREPLACE(TO_TEXT('Respu"&amp;"estas de formulario 1'!G1742),""[^0-9]"","""")))"),"")</f>
        <v/>
      </c>
      <c r="H1629" s="7" t="str">
        <f>'Respuestas de formulario 1'!S1742</f>
        <v/>
      </c>
      <c r="I1629" s="7" t="str">
        <f>IFERROR(__xludf.DUMMYFUNCTION("IF('Respuestas de formulario 1'!I1742="""","""",TO_TEXT('Respuestas de formulario 1'!I1742))"),"")</f>
        <v/>
      </c>
      <c r="J1629" s="7" t="str">
        <f>IFERROR(__xludf.DUMMYFUNCTION("IF('Respuestas de formulario 1'!J1742&lt;&gt;"""",UPPER(TRIM(TO_TEXT('Respuestas de formulario 1'!J1742))),IF('Respuestas de formulario 1'!O1742&lt;&gt;"""",UPPER(TRIM(TO_TEXT('Respuestas de formulario 1'!O1742))),""""))"),"")</f>
        <v/>
      </c>
      <c r="K1629" s="7" t="str">
        <f>IFERROR(__xludf.DUMMYFUNCTION("IF('Respuestas de formulario 1'!K1742="""","""",TO_TEXT('Respuestas de formulario 1'!K1742))"),"")</f>
        <v/>
      </c>
      <c r="L1629" s="7" t="str">
        <f>IFERROR(__xludf.DUMMYFUNCTION("IF('Respuestas de formulario 1'!L1742="""","""",TO_TEXT('Respuestas de formulario 1'!L1742))"),"")</f>
        <v/>
      </c>
      <c r="M1629" s="7" t="str">
        <f>IFERROR(__xludf.DUMMYFUNCTION("IF('Respuestas de formulario 1'!M1742="""","""",TO_TEXT('Respuestas de formulario 1'!M1742))"),"")</f>
        <v/>
      </c>
      <c r="N1629" s="7" t="str">
        <f t="shared" si="1"/>
        <v/>
      </c>
      <c r="O1629" s="7" t="str">
        <f t="shared" si="2"/>
        <v/>
      </c>
      <c r="P1629" s="7"/>
    </row>
    <row r="1630">
      <c r="A1630" s="7" t="str">
        <f>'Respuestas de formulario 1'!A1743</f>
        <v/>
      </c>
      <c r="B1630" s="7" t="str">
        <f>'Respuestas de formulario 1'!B1743</f>
        <v/>
      </c>
      <c r="C1630" s="7" t="str">
        <f>'Respuestas de formulario 1'!C1743</f>
        <v/>
      </c>
      <c r="D1630" s="7" t="str">
        <f>'Respuestas de formulario 1'!D1743</f>
        <v/>
      </c>
      <c r="E1630" s="7" t="str">
        <f>'Respuestas de formulario 1'!E1743</f>
        <v/>
      </c>
      <c r="F1630" s="7" t="str">
        <f>'Respuestas de formulario 1'!F1743</f>
        <v/>
      </c>
      <c r="G1630" s="7" t="str">
        <f>IFERROR(__xludf.DUMMYFUNCTION("IF('Respuestas de formulario 1'!G1743="""","""",IF(LEFT(REGEXREPLACE(TO_TEXT('Respuestas de formulario 1'!G1743),""[^0-9]"",""""),2)=""54"",""+""&amp;REGEXREPLACE(TO_TEXT('Respuestas de formulario 1'!G1743),""[^0-9]"",""""),""+54""&amp;REGEXREPLACE(TO_TEXT('Respu"&amp;"estas de formulario 1'!G1743),""[^0-9]"","""")))"),"")</f>
        <v/>
      </c>
      <c r="H1630" s="7" t="str">
        <f>'Respuestas de formulario 1'!S1743</f>
        <v/>
      </c>
      <c r="I1630" s="7" t="str">
        <f>IFERROR(__xludf.DUMMYFUNCTION("IF('Respuestas de formulario 1'!I1743="""","""",TO_TEXT('Respuestas de formulario 1'!I1743))"),"")</f>
        <v/>
      </c>
      <c r="J1630" s="7" t="str">
        <f>IFERROR(__xludf.DUMMYFUNCTION("IF('Respuestas de formulario 1'!J1743&lt;&gt;"""",UPPER(TRIM(TO_TEXT('Respuestas de formulario 1'!J1743))),IF('Respuestas de formulario 1'!O1743&lt;&gt;"""",UPPER(TRIM(TO_TEXT('Respuestas de formulario 1'!O1743))),""""))"),"")</f>
        <v/>
      </c>
      <c r="K1630" s="7" t="str">
        <f>IFERROR(__xludf.DUMMYFUNCTION("IF('Respuestas de formulario 1'!K1743="""","""",TO_TEXT('Respuestas de formulario 1'!K1743))"),"")</f>
        <v/>
      </c>
      <c r="L1630" s="7" t="str">
        <f>IFERROR(__xludf.DUMMYFUNCTION("IF('Respuestas de formulario 1'!L1743="""","""",TO_TEXT('Respuestas de formulario 1'!L1743))"),"")</f>
        <v/>
      </c>
      <c r="M1630" s="7" t="str">
        <f>IFERROR(__xludf.DUMMYFUNCTION("IF('Respuestas de formulario 1'!M1743="""","""",TO_TEXT('Respuestas de formulario 1'!M1743))"),"")</f>
        <v/>
      </c>
      <c r="N1630" s="7" t="str">
        <f t="shared" si="1"/>
        <v/>
      </c>
      <c r="O1630" s="7" t="str">
        <f t="shared" si="2"/>
        <v/>
      </c>
      <c r="P1630" s="7"/>
    </row>
    <row r="1631">
      <c r="A1631" s="7" t="str">
        <f>'Respuestas de formulario 1'!A1744</f>
        <v/>
      </c>
      <c r="B1631" s="7" t="str">
        <f>'Respuestas de formulario 1'!B1744</f>
        <v/>
      </c>
      <c r="C1631" s="7" t="str">
        <f>'Respuestas de formulario 1'!C1744</f>
        <v/>
      </c>
      <c r="D1631" s="7" t="str">
        <f>'Respuestas de formulario 1'!D1744</f>
        <v/>
      </c>
      <c r="E1631" s="7" t="str">
        <f>'Respuestas de formulario 1'!E1744</f>
        <v/>
      </c>
      <c r="F1631" s="7" t="str">
        <f>'Respuestas de formulario 1'!F1744</f>
        <v/>
      </c>
      <c r="G1631" s="7" t="str">
        <f>IFERROR(__xludf.DUMMYFUNCTION("IF('Respuestas de formulario 1'!G1744="""","""",IF(LEFT(REGEXREPLACE(TO_TEXT('Respuestas de formulario 1'!G1744),""[^0-9]"",""""),2)=""54"",""+""&amp;REGEXREPLACE(TO_TEXT('Respuestas de formulario 1'!G1744),""[^0-9]"",""""),""+54""&amp;REGEXREPLACE(TO_TEXT('Respu"&amp;"estas de formulario 1'!G1744),""[^0-9]"","""")))"),"")</f>
        <v/>
      </c>
      <c r="H1631" s="7" t="str">
        <f>'Respuestas de formulario 1'!S1744</f>
        <v/>
      </c>
      <c r="I1631" s="7" t="str">
        <f>IFERROR(__xludf.DUMMYFUNCTION("IF('Respuestas de formulario 1'!I1744="""","""",TO_TEXT('Respuestas de formulario 1'!I1744))"),"")</f>
        <v/>
      </c>
      <c r="J1631" s="7" t="str">
        <f>IFERROR(__xludf.DUMMYFUNCTION("IF('Respuestas de formulario 1'!J1744&lt;&gt;"""",UPPER(TRIM(TO_TEXT('Respuestas de formulario 1'!J1744))),IF('Respuestas de formulario 1'!O1744&lt;&gt;"""",UPPER(TRIM(TO_TEXT('Respuestas de formulario 1'!O1744))),""""))"),"")</f>
        <v/>
      </c>
      <c r="K1631" s="7" t="str">
        <f>IFERROR(__xludf.DUMMYFUNCTION("IF('Respuestas de formulario 1'!K1744="""","""",TO_TEXT('Respuestas de formulario 1'!K1744))"),"")</f>
        <v/>
      </c>
      <c r="L1631" s="7" t="str">
        <f>IFERROR(__xludf.DUMMYFUNCTION("IF('Respuestas de formulario 1'!L1744="""","""",TO_TEXT('Respuestas de formulario 1'!L1744))"),"")</f>
        <v/>
      </c>
      <c r="M1631" s="7" t="str">
        <f>IFERROR(__xludf.DUMMYFUNCTION("IF('Respuestas de formulario 1'!M1744="""","""",TO_TEXT('Respuestas de formulario 1'!M1744))"),"")</f>
        <v/>
      </c>
      <c r="N1631" s="7" t="str">
        <f t="shared" si="1"/>
        <v/>
      </c>
      <c r="O1631" s="7" t="str">
        <f t="shared" si="2"/>
        <v/>
      </c>
      <c r="P1631" s="7"/>
    </row>
    <row r="1632">
      <c r="A1632" s="7" t="str">
        <f>'Respuestas de formulario 1'!A1745</f>
        <v/>
      </c>
      <c r="B1632" s="7" t="str">
        <f>'Respuestas de formulario 1'!B1745</f>
        <v/>
      </c>
      <c r="C1632" s="7" t="str">
        <f>'Respuestas de formulario 1'!C1745</f>
        <v/>
      </c>
      <c r="D1632" s="7" t="str">
        <f>'Respuestas de formulario 1'!D1745</f>
        <v/>
      </c>
      <c r="E1632" s="7" t="str">
        <f>'Respuestas de formulario 1'!E1745</f>
        <v/>
      </c>
      <c r="F1632" s="7" t="str">
        <f>'Respuestas de formulario 1'!F1745</f>
        <v/>
      </c>
      <c r="G1632" s="7" t="str">
        <f>IFERROR(__xludf.DUMMYFUNCTION("IF('Respuestas de formulario 1'!G1745="""","""",IF(LEFT(REGEXREPLACE(TO_TEXT('Respuestas de formulario 1'!G1745),""[^0-9]"",""""),2)=""54"",""+""&amp;REGEXREPLACE(TO_TEXT('Respuestas de formulario 1'!G1745),""[^0-9]"",""""),""+54""&amp;REGEXREPLACE(TO_TEXT('Respu"&amp;"estas de formulario 1'!G1745),""[^0-9]"","""")))"),"")</f>
        <v/>
      </c>
      <c r="H1632" s="7" t="str">
        <f>'Respuestas de formulario 1'!S1745</f>
        <v/>
      </c>
      <c r="I1632" s="7" t="str">
        <f>IFERROR(__xludf.DUMMYFUNCTION("IF('Respuestas de formulario 1'!I1745="""","""",TO_TEXT('Respuestas de formulario 1'!I1745))"),"")</f>
        <v/>
      </c>
      <c r="J1632" s="7" t="str">
        <f>IFERROR(__xludf.DUMMYFUNCTION("IF('Respuestas de formulario 1'!J1745&lt;&gt;"""",UPPER(TRIM(TO_TEXT('Respuestas de formulario 1'!J1745))),IF('Respuestas de formulario 1'!O1745&lt;&gt;"""",UPPER(TRIM(TO_TEXT('Respuestas de formulario 1'!O1745))),""""))"),"")</f>
        <v/>
      </c>
      <c r="K1632" s="7" t="str">
        <f>IFERROR(__xludf.DUMMYFUNCTION("IF('Respuestas de formulario 1'!K1745="""","""",TO_TEXT('Respuestas de formulario 1'!K1745))"),"")</f>
        <v/>
      </c>
      <c r="L1632" s="7" t="str">
        <f>IFERROR(__xludf.DUMMYFUNCTION("IF('Respuestas de formulario 1'!L1745="""","""",TO_TEXT('Respuestas de formulario 1'!L1745))"),"")</f>
        <v/>
      </c>
      <c r="M1632" s="7" t="str">
        <f>IFERROR(__xludf.DUMMYFUNCTION("IF('Respuestas de formulario 1'!M1745="""","""",TO_TEXT('Respuestas de formulario 1'!M1745))"),"")</f>
        <v/>
      </c>
      <c r="N1632" s="7" t="str">
        <f t="shared" si="1"/>
        <v/>
      </c>
      <c r="O1632" s="7" t="str">
        <f t="shared" si="2"/>
        <v/>
      </c>
      <c r="P1632" s="7"/>
    </row>
    <row r="1633">
      <c r="A1633" s="7" t="str">
        <f>'Respuestas de formulario 1'!A1746</f>
        <v/>
      </c>
      <c r="B1633" s="7" t="str">
        <f>'Respuestas de formulario 1'!B1746</f>
        <v/>
      </c>
      <c r="C1633" s="7" t="str">
        <f>'Respuestas de formulario 1'!C1746</f>
        <v/>
      </c>
      <c r="D1633" s="7" t="str">
        <f>'Respuestas de formulario 1'!D1746</f>
        <v/>
      </c>
      <c r="E1633" s="7" t="str">
        <f>'Respuestas de formulario 1'!E1746</f>
        <v/>
      </c>
      <c r="F1633" s="7" t="str">
        <f>'Respuestas de formulario 1'!F1746</f>
        <v/>
      </c>
      <c r="G1633" s="7" t="str">
        <f>IFERROR(__xludf.DUMMYFUNCTION("IF('Respuestas de formulario 1'!G1746="""","""",IF(LEFT(REGEXREPLACE(TO_TEXT('Respuestas de formulario 1'!G1746),""[^0-9]"",""""),2)=""54"",""+""&amp;REGEXREPLACE(TO_TEXT('Respuestas de formulario 1'!G1746),""[^0-9]"",""""),""+54""&amp;REGEXREPLACE(TO_TEXT('Respu"&amp;"estas de formulario 1'!G1746),""[^0-9]"","""")))"),"")</f>
        <v/>
      </c>
      <c r="H1633" s="7" t="str">
        <f>'Respuestas de formulario 1'!S1746</f>
        <v/>
      </c>
      <c r="I1633" s="7" t="str">
        <f>IFERROR(__xludf.DUMMYFUNCTION("IF('Respuestas de formulario 1'!I1746="""","""",TO_TEXT('Respuestas de formulario 1'!I1746))"),"")</f>
        <v/>
      </c>
      <c r="J1633" s="7" t="str">
        <f>IFERROR(__xludf.DUMMYFUNCTION("IF('Respuestas de formulario 1'!J1746&lt;&gt;"""",UPPER(TRIM(TO_TEXT('Respuestas de formulario 1'!J1746))),IF('Respuestas de formulario 1'!O1746&lt;&gt;"""",UPPER(TRIM(TO_TEXT('Respuestas de formulario 1'!O1746))),""""))"),"")</f>
        <v/>
      </c>
      <c r="K1633" s="7" t="str">
        <f>IFERROR(__xludf.DUMMYFUNCTION("IF('Respuestas de formulario 1'!K1746="""","""",TO_TEXT('Respuestas de formulario 1'!K1746))"),"")</f>
        <v/>
      </c>
      <c r="L1633" s="7" t="str">
        <f>IFERROR(__xludf.DUMMYFUNCTION("IF('Respuestas de formulario 1'!L1746="""","""",TO_TEXT('Respuestas de formulario 1'!L1746))"),"")</f>
        <v/>
      </c>
      <c r="M1633" s="7" t="str">
        <f>IFERROR(__xludf.DUMMYFUNCTION("IF('Respuestas de formulario 1'!M1746="""","""",TO_TEXT('Respuestas de formulario 1'!M1746))"),"")</f>
        <v/>
      </c>
      <c r="N1633" s="7" t="str">
        <f t="shared" si="1"/>
        <v/>
      </c>
      <c r="O1633" s="7" t="str">
        <f t="shared" si="2"/>
        <v/>
      </c>
      <c r="P1633" s="7"/>
    </row>
    <row r="1634">
      <c r="A1634" s="7" t="str">
        <f>'Respuestas de formulario 1'!A1747</f>
        <v/>
      </c>
      <c r="B1634" s="7" t="str">
        <f>'Respuestas de formulario 1'!B1747</f>
        <v/>
      </c>
      <c r="C1634" s="7" t="str">
        <f>'Respuestas de formulario 1'!C1747</f>
        <v/>
      </c>
      <c r="D1634" s="7" t="str">
        <f>'Respuestas de formulario 1'!D1747</f>
        <v/>
      </c>
      <c r="E1634" s="7" t="str">
        <f>'Respuestas de formulario 1'!E1747</f>
        <v/>
      </c>
      <c r="F1634" s="7" t="str">
        <f>'Respuestas de formulario 1'!F1747</f>
        <v/>
      </c>
      <c r="G1634" s="7" t="str">
        <f>IFERROR(__xludf.DUMMYFUNCTION("IF('Respuestas de formulario 1'!G1747="""","""",IF(LEFT(REGEXREPLACE(TO_TEXT('Respuestas de formulario 1'!G1747),""[^0-9]"",""""),2)=""54"",""+""&amp;REGEXREPLACE(TO_TEXT('Respuestas de formulario 1'!G1747),""[^0-9]"",""""),""+54""&amp;REGEXREPLACE(TO_TEXT('Respu"&amp;"estas de formulario 1'!G1747),""[^0-9]"","""")))"),"")</f>
        <v/>
      </c>
      <c r="H1634" s="7" t="str">
        <f>'Respuestas de formulario 1'!S1747</f>
        <v/>
      </c>
      <c r="I1634" s="7" t="str">
        <f>IFERROR(__xludf.DUMMYFUNCTION("IF('Respuestas de formulario 1'!I1747="""","""",TO_TEXT('Respuestas de formulario 1'!I1747))"),"")</f>
        <v/>
      </c>
      <c r="J1634" s="7" t="str">
        <f>IFERROR(__xludf.DUMMYFUNCTION("IF('Respuestas de formulario 1'!J1747&lt;&gt;"""",UPPER(TRIM(TO_TEXT('Respuestas de formulario 1'!J1747))),IF('Respuestas de formulario 1'!O1747&lt;&gt;"""",UPPER(TRIM(TO_TEXT('Respuestas de formulario 1'!O1747))),""""))"),"")</f>
        <v/>
      </c>
      <c r="K1634" s="7" t="str">
        <f>IFERROR(__xludf.DUMMYFUNCTION("IF('Respuestas de formulario 1'!K1747="""","""",TO_TEXT('Respuestas de formulario 1'!K1747))"),"")</f>
        <v/>
      </c>
      <c r="L1634" s="7" t="str">
        <f>IFERROR(__xludf.DUMMYFUNCTION("IF('Respuestas de formulario 1'!L1747="""","""",TO_TEXT('Respuestas de formulario 1'!L1747))"),"")</f>
        <v/>
      </c>
      <c r="M1634" s="7" t="str">
        <f>IFERROR(__xludf.DUMMYFUNCTION("IF('Respuestas de formulario 1'!M1747="""","""",TO_TEXT('Respuestas de formulario 1'!M1747))"),"")</f>
        <v/>
      </c>
      <c r="N1634" s="7" t="str">
        <f t="shared" si="1"/>
        <v/>
      </c>
      <c r="O1634" s="7" t="str">
        <f t="shared" si="2"/>
        <v/>
      </c>
      <c r="P1634" s="7"/>
    </row>
    <row r="1635">
      <c r="A1635" s="7" t="str">
        <f>'Respuestas de formulario 1'!A1748</f>
        <v/>
      </c>
      <c r="B1635" s="7" t="str">
        <f>'Respuestas de formulario 1'!B1748</f>
        <v/>
      </c>
      <c r="C1635" s="7" t="str">
        <f>'Respuestas de formulario 1'!C1748</f>
        <v/>
      </c>
      <c r="D1635" s="7" t="str">
        <f>'Respuestas de formulario 1'!D1748</f>
        <v/>
      </c>
      <c r="E1635" s="7" t="str">
        <f>'Respuestas de formulario 1'!E1748</f>
        <v/>
      </c>
      <c r="F1635" s="7" t="str">
        <f>'Respuestas de formulario 1'!F1748</f>
        <v/>
      </c>
      <c r="G1635" s="7" t="str">
        <f>IFERROR(__xludf.DUMMYFUNCTION("IF('Respuestas de formulario 1'!G1748="""","""",IF(LEFT(REGEXREPLACE(TO_TEXT('Respuestas de formulario 1'!G1748),""[^0-9]"",""""),2)=""54"",""+""&amp;REGEXREPLACE(TO_TEXT('Respuestas de formulario 1'!G1748),""[^0-9]"",""""),""+54""&amp;REGEXREPLACE(TO_TEXT('Respu"&amp;"estas de formulario 1'!G1748),""[^0-9]"","""")))"),"")</f>
        <v/>
      </c>
      <c r="H1635" s="7" t="str">
        <f>'Respuestas de formulario 1'!S1748</f>
        <v/>
      </c>
      <c r="I1635" s="7" t="str">
        <f>IFERROR(__xludf.DUMMYFUNCTION("IF('Respuestas de formulario 1'!I1748="""","""",TO_TEXT('Respuestas de formulario 1'!I1748))"),"")</f>
        <v/>
      </c>
      <c r="J1635" s="7" t="str">
        <f>IFERROR(__xludf.DUMMYFUNCTION("IF('Respuestas de formulario 1'!J1748&lt;&gt;"""",UPPER(TRIM(TO_TEXT('Respuestas de formulario 1'!J1748))),IF('Respuestas de formulario 1'!O1748&lt;&gt;"""",UPPER(TRIM(TO_TEXT('Respuestas de formulario 1'!O1748))),""""))"),"")</f>
        <v/>
      </c>
      <c r="K1635" s="7" t="str">
        <f>IFERROR(__xludf.DUMMYFUNCTION("IF('Respuestas de formulario 1'!K1748="""","""",TO_TEXT('Respuestas de formulario 1'!K1748))"),"")</f>
        <v/>
      </c>
      <c r="L1635" s="7" t="str">
        <f>IFERROR(__xludf.DUMMYFUNCTION("IF('Respuestas de formulario 1'!L1748="""","""",TO_TEXT('Respuestas de formulario 1'!L1748))"),"")</f>
        <v/>
      </c>
      <c r="M1635" s="7" t="str">
        <f>IFERROR(__xludf.DUMMYFUNCTION("IF('Respuestas de formulario 1'!M1748="""","""",TO_TEXT('Respuestas de formulario 1'!M1748))"),"")</f>
        <v/>
      </c>
      <c r="N1635" s="7" t="str">
        <f t="shared" si="1"/>
        <v/>
      </c>
      <c r="O1635" s="7" t="str">
        <f t="shared" si="2"/>
        <v/>
      </c>
      <c r="P1635" s="7"/>
    </row>
    <row r="1636">
      <c r="A1636" s="7" t="str">
        <f>'Respuestas de formulario 1'!A1749</f>
        <v/>
      </c>
      <c r="B1636" s="7" t="str">
        <f>'Respuestas de formulario 1'!B1749</f>
        <v/>
      </c>
      <c r="C1636" s="7" t="str">
        <f>'Respuestas de formulario 1'!C1749</f>
        <v/>
      </c>
      <c r="D1636" s="7" t="str">
        <f>'Respuestas de formulario 1'!D1749</f>
        <v/>
      </c>
      <c r="E1636" s="7" t="str">
        <f>'Respuestas de formulario 1'!E1749</f>
        <v/>
      </c>
      <c r="F1636" s="7" t="str">
        <f>'Respuestas de formulario 1'!F1749</f>
        <v/>
      </c>
      <c r="G1636" s="7" t="str">
        <f>IFERROR(__xludf.DUMMYFUNCTION("IF('Respuestas de formulario 1'!G1749="""","""",IF(LEFT(REGEXREPLACE(TO_TEXT('Respuestas de formulario 1'!G1749),""[^0-9]"",""""),2)=""54"",""+""&amp;REGEXREPLACE(TO_TEXT('Respuestas de formulario 1'!G1749),""[^0-9]"",""""),""+54""&amp;REGEXREPLACE(TO_TEXT('Respu"&amp;"estas de formulario 1'!G1749),""[^0-9]"","""")))"),"")</f>
        <v/>
      </c>
      <c r="H1636" s="7" t="str">
        <f>'Respuestas de formulario 1'!S1749</f>
        <v/>
      </c>
      <c r="I1636" s="7" t="str">
        <f>IFERROR(__xludf.DUMMYFUNCTION("IF('Respuestas de formulario 1'!I1749="""","""",TO_TEXT('Respuestas de formulario 1'!I1749))"),"")</f>
        <v/>
      </c>
      <c r="J1636" s="7" t="str">
        <f>IFERROR(__xludf.DUMMYFUNCTION("IF('Respuestas de formulario 1'!J1749&lt;&gt;"""",UPPER(TRIM(TO_TEXT('Respuestas de formulario 1'!J1749))),IF('Respuestas de formulario 1'!O1749&lt;&gt;"""",UPPER(TRIM(TO_TEXT('Respuestas de formulario 1'!O1749))),""""))"),"")</f>
        <v/>
      </c>
      <c r="K1636" s="7" t="str">
        <f>IFERROR(__xludf.DUMMYFUNCTION("IF('Respuestas de formulario 1'!K1749="""","""",TO_TEXT('Respuestas de formulario 1'!K1749))"),"")</f>
        <v/>
      </c>
      <c r="L1636" s="7" t="str">
        <f>IFERROR(__xludf.DUMMYFUNCTION("IF('Respuestas de formulario 1'!L1749="""","""",TO_TEXT('Respuestas de formulario 1'!L1749))"),"")</f>
        <v/>
      </c>
      <c r="M1636" s="7" t="str">
        <f>IFERROR(__xludf.DUMMYFUNCTION("IF('Respuestas de formulario 1'!M1749="""","""",TO_TEXT('Respuestas de formulario 1'!M1749))"),"")</f>
        <v/>
      </c>
      <c r="N1636" s="7" t="str">
        <f t="shared" si="1"/>
        <v/>
      </c>
      <c r="O1636" s="7" t="str">
        <f t="shared" si="2"/>
        <v/>
      </c>
      <c r="P1636" s="7"/>
    </row>
    <row r="1637">
      <c r="A1637" s="7" t="str">
        <f>'Respuestas de formulario 1'!A1750</f>
        <v/>
      </c>
      <c r="B1637" s="7" t="str">
        <f>'Respuestas de formulario 1'!B1750</f>
        <v/>
      </c>
      <c r="C1637" s="7" t="str">
        <f>'Respuestas de formulario 1'!C1750</f>
        <v/>
      </c>
      <c r="D1637" s="7" t="str">
        <f>'Respuestas de formulario 1'!D1750</f>
        <v/>
      </c>
      <c r="E1637" s="7" t="str">
        <f>'Respuestas de formulario 1'!E1750</f>
        <v/>
      </c>
      <c r="F1637" s="7" t="str">
        <f>'Respuestas de formulario 1'!F1750</f>
        <v/>
      </c>
      <c r="G1637" s="7" t="str">
        <f>IFERROR(__xludf.DUMMYFUNCTION("IF('Respuestas de formulario 1'!G1750="""","""",IF(LEFT(REGEXREPLACE(TO_TEXT('Respuestas de formulario 1'!G1750),""[^0-9]"",""""),2)=""54"",""+""&amp;REGEXREPLACE(TO_TEXT('Respuestas de formulario 1'!G1750),""[^0-9]"",""""),""+54""&amp;REGEXREPLACE(TO_TEXT('Respu"&amp;"estas de formulario 1'!G1750),""[^0-9]"","""")))"),"")</f>
        <v/>
      </c>
      <c r="H1637" s="7" t="str">
        <f>'Respuestas de formulario 1'!S1750</f>
        <v/>
      </c>
      <c r="I1637" s="7" t="str">
        <f>IFERROR(__xludf.DUMMYFUNCTION("IF('Respuestas de formulario 1'!I1750="""","""",TO_TEXT('Respuestas de formulario 1'!I1750))"),"")</f>
        <v/>
      </c>
      <c r="J1637" s="7" t="str">
        <f>IFERROR(__xludf.DUMMYFUNCTION("IF('Respuestas de formulario 1'!J1750&lt;&gt;"""",UPPER(TRIM(TO_TEXT('Respuestas de formulario 1'!J1750))),IF('Respuestas de formulario 1'!O1750&lt;&gt;"""",UPPER(TRIM(TO_TEXT('Respuestas de formulario 1'!O1750))),""""))"),"")</f>
        <v/>
      </c>
      <c r="K1637" s="7" t="str">
        <f>IFERROR(__xludf.DUMMYFUNCTION("IF('Respuestas de formulario 1'!K1750="""","""",TO_TEXT('Respuestas de formulario 1'!K1750))"),"")</f>
        <v/>
      </c>
      <c r="L1637" s="7" t="str">
        <f>IFERROR(__xludf.DUMMYFUNCTION("IF('Respuestas de formulario 1'!L1750="""","""",TO_TEXT('Respuestas de formulario 1'!L1750))"),"")</f>
        <v/>
      </c>
      <c r="M1637" s="7" t="str">
        <f>IFERROR(__xludf.DUMMYFUNCTION("IF('Respuestas de formulario 1'!M1750="""","""",TO_TEXT('Respuestas de formulario 1'!M1750))"),"")</f>
        <v/>
      </c>
      <c r="N1637" s="7" t="str">
        <f t="shared" si="1"/>
        <v/>
      </c>
      <c r="O1637" s="7" t="str">
        <f t="shared" si="2"/>
        <v/>
      </c>
      <c r="P1637" s="7"/>
    </row>
    <row r="1638">
      <c r="A1638" s="7" t="str">
        <f>'Respuestas de formulario 1'!A1751</f>
        <v/>
      </c>
      <c r="B1638" s="7" t="str">
        <f>'Respuestas de formulario 1'!B1751</f>
        <v/>
      </c>
      <c r="C1638" s="7" t="str">
        <f>'Respuestas de formulario 1'!C1751</f>
        <v/>
      </c>
      <c r="D1638" s="7" t="str">
        <f>'Respuestas de formulario 1'!D1751</f>
        <v/>
      </c>
      <c r="E1638" s="7" t="str">
        <f>'Respuestas de formulario 1'!E1751</f>
        <v/>
      </c>
      <c r="F1638" s="7" t="str">
        <f>'Respuestas de formulario 1'!F1751</f>
        <v/>
      </c>
      <c r="G1638" s="7" t="str">
        <f>IFERROR(__xludf.DUMMYFUNCTION("IF('Respuestas de formulario 1'!G1751="""","""",IF(LEFT(REGEXREPLACE(TO_TEXT('Respuestas de formulario 1'!G1751),""[^0-9]"",""""),2)=""54"",""+""&amp;REGEXREPLACE(TO_TEXT('Respuestas de formulario 1'!G1751),""[^0-9]"",""""),""+54""&amp;REGEXREPLACE(TO_TEXT('Respu"&amp;"estas de formulario 1'!G1751),""[^0-9]"","""")))"),"")</f>
        <v/>
      </c>
      <c r="H1638" s="7" t="str">
        <f>'Respuestas de formulario 1'!S1751</f>
        <v/>
      </c>
      <c r="I1638" s="7" t="str">
        <f>IFERROR(__xludf.DUMMYFUNCTION("IF('Respuestas de formulario 1'!I1751="""","""",TO_TEXT('Respuestas de formulario 1'!I1751))"),"")</f>
        <v/>
      </c>
      <c r="J1638" s="7" t="str">
        <f>IFERROR(__xludf.DUMMYFUNCTION("IF('Respuestas de formulario 1'!J1751&lt;&gt;"""",UPPER(TRIM(TO_TEXT('Respuestas de formulario 1'!J1751))),IF('Respuestas de formulario 1'!O1751&lt;&gt;"""",UPPER(TRIM(TO_TEXT('Respuestas de formulario 1'!O1751))),""""))"),"")</f>
        <v/>
      </c>
      <c r="K1638" s="7" t="str">
        <f>IFERROR(__xludf.DUMMYFUNCTION("IF('Respuestas de formulario 1'!K1751="""","""",TO_TEXT('Respuestas de formulario 1'!K1751))"),"")</f>
        <v/>
      </c>
      <c r="L1638" s="7" t="str">
        <f>IFERROR(__xludf.DUMMYFUNCTION("IF('Respuestas de formulario 1'!L1751="""","""",TO_TEXT('Respuestas de formulario 1'!L1751))"),"")</f>
        <v/>
      </c>
      <c r="M1638" s="7" t="str">
        <f>IFERROR(__xludf.DUMMYFUNCTION("IF('Respuestas de formulario 1'!M1751="""","""",TO_TEXT('Respuestas de formulario 1'!M1751))"),"")</f>
        <v/>
      </c>
      <c r="N1638" s="7" t="str">
        <f t="shared" si="1"/>
        <v/>
      </c>
      <c r="O1638" s="7" t="str">
        <f t="shared" si="2"/>
        <v/>
      </c>
      <c r="P1638" s="7"/>
    </row>
    <row r="1639">
      <c r="A1639" s="7" t="str">
        <f>'Respuestas de formulario 1'!A1752</f>
        <v/>
      </c>
      <c r="B1639" s="7" t="str">
        <f>'Respuestas de formulario 1'!B1752</f>
        <v/>
      </c>
      <c r="C1639" s="7" t="str">
        <f>'Respuestas de formulario 1'!C1752</f>
        <v/>
      </c>
      <c r="D1639" s="7" t="str">
        <f>'Respuestas de formulario 1'!D1752</f>
        <v/>
      </c>
      <c r="E1639" s="7" t="str">
        <f>'Respuestas de formulario 1'!E1752</f>
        <v/>
      </c>
      <c r="F1639" s="7" t="str">
        <f>'Respuestas de formulario 1'!F1752</f>
        <v/>
      </c>
      <c r="G1639" s="7" t="str">
        <f>IFERROR(__xludf.DUMMYFUNCTION("IF('Respuestas de formulario 1'!G1752="""","""",IF(LEFT(REGEXREPLACE(TO_TEXT('Respuestas de formulario 1'!G1752),""[^0-9]"",""""),2)=""54"",""+""&amp;REGEXREPLACE(TO_TEXT('Respuestas de formulario 1'!G1752),""[^0-9]"",""""),""+54""&amp;REGEXREPLACE(TO_TEXT('Respu"&amp;"estas de formulario 1'!G1752),""[^0-9]"","""")))"),"")</f>
        <v/>
      </c>
      <c r="H1639" s="7" t="str">
        <f>'Respuestas de formulario 1'!S1752</f>
        <v/>
      </c>
      <c r="I1639" s="7" t="str">
        <f>IFERROR(__xludf.DUMMYFUNCTION("IF('Respuestas de formulario 1'!I1752="""","""",TO_TEXT('Respuestas de formulario 1'!I1752))"),"")</f>
        <v/>
      </c>
      <c r="J1639" s="7" t="str">
        <f>IFERROR(__xludf.DUMMYFUNCTION("IF('Respuestas de formulario 1'!J1752&lt;&gt;"""",UPPER(TRIM(TO_TEXT('Respuestas de formulario 1'!J1752))),IF('Respuestas de formulario 1'!O1752&lt;&gt;"""",UPPER(TRIM(TO_TEXT('Respuestas de formulario 1'!O1752))),""""))"),"")</f>
        <v/>
      </c>
      <c r="K1639" s="7" t="str">
        <f>IFERROR(__xludf.DUMMYFUNCTION("IF('Respuestas de formulario 1'!K1752="""","""",TO_TEXT('Respuestas de formulario 1'!K1752))"),"")</f>
        <v/>
      </c>
      <c r="L1639" s="7" t="str">
        <f>IFERROR(__xludf.DUMMYFUNCTION("IF('Respuestas de formulario 1'!L1752="""","""",TO_TEXT('Respuestas de formulario 1'!L1752))"),"")</f>
        <v/>
      </c>
      <c r="M1639" s="7" t="str">
        <f>IFERROR(__xludf.DUMMYFUNCTION("IF('Respuestas de formulario 1'!M1752="""","""",TO_TEXT('Respuestas de formulario 1'!M1752))"),"")</f>
        <v/>
      </c>
      <c r="N1639" s="7" t="str">
        <f t="shared" si="1"/>
        <v/>
      </c>
      <c r="O1639" s="7" t="str">
        <f t="shared" si="2"/>
        <v/>
      </c>
      <c r="P1639" s="7"/>
    </row>
    <row r="1640">
      <c r="A1640" s="7" t="str">
        <f>'Respuestas de formulario 1'!A1753</f>
        <v/>
      </c>
      <c r="B1640" s="7" t="str">
        <f>'Respuestas de formulario 1'!B1753</f>
        <v/>
      </c>
      <c r="C1640" s="7" t="str">
        <f>'Respuestas de formulario 1'!C1753</f>
        <v/>
      </c>
      <c r="D1640" s="7" t="str">
        <f>'Respuestas de formulario 1'!D1753</f>
        <v/>
      </c>
      <c r="E1640" s="7" t="str">
        <f>'Respuestas de formulario 1'!E1753</f>
        <v/>
      </c>
      <c r="F1640" s="7" t="str">
        <f>'Respuestas de formulario 1'!F1753</f>
        <v/>
      </c>
      <c r="G1640" s="7" t="str">
        <f>IFERROR(__xludf.DUMMYFUNCTION("IF('Respuestas de formulario 1'!G1753="""","""",IF(LEFT(REGEXREPLACE(TO_TEXT('Respuestas de formulario 1'!G1753),""[^0-9]"",""""),2)=""54"",""+""&amp;REGEXREPLACE(TO_TEXT('Respuestas de formulario 1'!G1753),""[^0-9]"",""""),""+54""&amp;REGEXREPLACE(TO_TEXT('Respu"&amp;"estas de formulario 1'!G1753),""[^0-9]"","""")))"),"")</f>
        <v/>
      </c>
      <c r="H1640" s="7" t="str">
        <f>'Respuestas de formulario 1'!S1753</f>
        <v/>
      </c>
      <c r="I1640" s="7" t="str">
        <f>IFERROR(__xludf.DUMMYFUNCTION("IF('Respuestas de formulario 1'!I1753="""","""",TO_TEXT('Respuestas de formulario 1'!I1753))"),"")</f>
        <v/>
      </c>
      <c r="J1640" s="7" t="str">
        <f>IFERROR(__xludf.DUMMYFUNCTION("IF('Respuestas de formulario 1'!J1753&lt;&gt;"""",UPPER(TRIM(TO_TEXT('Respuestas de formulario 1'!J1753))),IF('Respuestas de formulario 1'!O1753&lt;&gt;"""",UPPER(TRIM(TO_TEXT('Respuestas de formulario 1'!O1753))),""""))"),"")</f>
        <v/>
      </c>
      <c r="K1640" s="7" t="str">
        <f>IFERROR(__xludf.DUMMYFUNCTION("IF('Respuestas de formulario 1'!K1753="""","""",TO_TEXT('Respuestas de formulario 1'!K1753))"),"")</f>
        <v/>
      </c>
      <c r="L1640" s="7" t="str">
        <f>IFERROR(__xludf.DUMMYFUNCTION("IF('Respuestas de formulario 1'!L1753="""","""",TO_TEXT('Respuestas de formulario 1'!L1753))"),"")</f>
        <v/>
      </c>
      <c r="M1640" s="7" t="str">
        <f>IFERROR(__xludf.DUMMYFUNCTION("IF('Respuestas de formulario 1'!M1753="""","""",TO_TEXT('Respuestas de formulario 1'!M1753))"),"")</f>
        <v/>
      </c>
      <c r="N1640" s="7" t="str">
        <f t="shared" si="1"/>
        <v/>
      </c>
      <c r="O1640" s="7" t="str">
        <f t="shared" si="2"/>
        <v/>
      </c>
      <c r="P1640" s="7"/>
    </row>
    <row r="1641">
      <c r="A1641" s="7" t="str">
        <f>'Respuestas de formulario 1'!A1754</f>
        <v/>
      </c>
      <c r="B1641" s="7" t="str">
        <f>'Respuestas de formulario 1'!B1754</f>
        <v/>
      </c>
      <c r="C1641" s="7" t="str">
        <f>'Respuestas de formulario 1'!C1754</f>
        <v/>
      </c>
      <c r="D1641" s="7" t="str">
        <f>'Respuestas de formulario 1'!D1754</f>
        <v/>
      </c>
      <c r="E1641" s="7" t="str">
        <f>'Respuestas de formulario 1'!E1754</f>
        <v/>
      </c>
      <c r="F1641" s="7" t="str">
        <f>'Respuestas de formulario 1'!F1754</f>
        <v/>
      </c>
      <c r="G1641" s="7" t="str">
        <f>IFERROR(__xludf.DUMMYFUNCTION("IF('Respuestas de formulario 1'!G1754="""","""",IF(LEFT(REGEXREPLACE(TO_TEXT('Respuestas de formulario 1'!G1754),""[^0-9]"",""""),2)=""54"",""+""&amp;REGEXREPLACE(TO_TEXT('Respuestas de formulario 1'!G1754),""[^0-9]"",""""),""+54""&amp;REGEXREPLACE(TO_TEXT('Respu"&amp;"estas de formulario 1'!G1754),""[^0-9]"","""")))"),"")</f>
        <v/>
      </c>
      <c r="H1641" s="7" t="str">
        <f>'Respuestas de formulario 1'!S1754</f>
        <v/>
      </c>
      <c r="I1641" s="7" t="str">
        <f>IFERROR(__xludf.DUMMYFUNCTION("IF('Respuestas de formulario 1'!I1754="""","""",TO_TEXT('Respuestas de formulario 1'!I1754))"),"")</f>
        <v/>
      </c>
      <c r="J1641" s="7" t="str">
        <f>IFERROR(__xludf.DUMMYFUNCTION("IF('Respuestas de formulario 1'!J1754&lt;&gt;"""",UPPER(TRIM(TO_TEXT('Respuestas de formulario 1'!J1754))),IF('Respuestas de formulario 1'!O1754&lt;&gt;"""",UPPER(TRIM(TO_TEXT('Respuestas de formulario 1'!O1754))),""""))"),"")</f>
        <v/>
      </c>
      <c r="K1641" s="7" t="str">
        <f>IFERROR(__xludf.DUMMYFUNCTION("IF('Respuestas de formulario 1'!K1754="""","""",TO_TEXT('Respuestas de formulario 1'!K1754))"),"")</f>
        <v/>
      </c>
      <c r="L1641" s="7" t="str">
        <f>IFERROR(__xludf.DUMMYFUNCTION("IF('Respuestas de formulario 1'!L1754="""","""",TO_TEXT('Respuestas de formulario 1'!L1754))"),"")</f>
        <v/>
      </c>
      <c r="M1641" s="7" t="str">
        <f>IFERROR(__xludf.DUMMYFUNCTION("IF('Respuestas de formulario 1'!M1754="""","""",TO_TEXT('Respuestas de formulario 1'!M1754))"),"")</f>
        <v/>
      </c>
      <c r="N1641" s="7" t="str">
        <f t="shared" si="1"/>
        <v/>
      </c>
      <c r="O1641" s="7" t="str">
        <f t="shared" si="2"/>
        <v/>
      </c>
      <c r="P1641" s="7"/>
    </row>
    <row r="1642">
      <c r="A1642" s="7" t="str">
        <f>'Respuestas de formulario 1'!A1755</f>
        <v/>
      </c>
      <c r="B1642" s="7" t="str">
        <f>'Respuestas de formulario 1'!B1755</f>
        <v/>
      </c>
      <c r="C1642" s="7" t="str">
        <f>'Respuestas de formulario 1'!C1755</f>
        <v/>
      </c>
      <c r="D1642" s="7" t="str">
        <f>'Respuestas de formulario 1'!D1755</f>
        <v/>
      </c>
      <c r="E1642" s="7" t="str">
        <f>'Respuestas de formulario 1'!E1755</f>
        <v/>
      </c>
      <c r="F1642" s="7" t="str">
        <f>'Respuestas de formulario 1'!F1755</f>
        <v/>
      </c>
      <c r="G1642" s="7" t="str">
        <f>IFERROR(__xludf.DUMMYFUNCTION("IF('Respuestas de formulario 1'!G1755="""","""",IF(LEFT(REGEXREPLACE(TO_TEXT('Respuestas de formulario 1'!G1755),""[^0-9]"",""""),2)=""54"",""+""&amp;REGEXREPLACE(TO_TEXT('Respuestas de formulario 1'!G1755),""[^0-9]"",""""),""+54""&amp;REGEXREPLACE(TO_TEXT('Respu"&amp;"estas de formulario 1'!G1755),""[^0-9]"","""")))"),"")</f>
        <v/>
      </c>
      <c r="H1642" s="7" t="str">
        <f>'Respuestas de formulario 1'!S1755</f>
        <v/>
      </c>
      <c r="I1642" s="7" t="str">
        <f>IFERROR(__xludf.DUMMYFUNCTION("IF('Respuestas de formulario 1'!I1755="""","""",TO_TEXT('Respuestas de formulario 1'!I1755))"),"")</f>
        <v/>
      </c>
      <c r="J1642" s="7" t="str">
        <f>IFERROR(__xludf.DUMMYFUNCTION("IF('Respuestas de formulario 1'!J1755&lt;&gt;"""",UPPER(TRIM(TO_TEXT('Respuestas de formulario 1'!J1755))),IF('Respuestas de formulario 1'!O1755&lt;&gt;"""",UPPER(TRIM(TO_TEXT('Respuestas de formulario 1'!O1755))),""""))"),"")</f>
        <v/>
      </c>
      <c r="K1642" s="7" t="str">
        <f>IFERROR(__xludf.DUMMYFUNCTION("IF('Respuestas de formulario 1'!K1755="""","""",TO_TEXT('Respuestas de formulario 1'!K1755))"),"")</f>
        <v/>
      </c>
      <c r="L1642" s="7" t="str">
        <f>IFERROR(__xludf.DUMMYFUNCTION("IF('Respuestas de formulario 1'!L1755="""","""",TO_TEXT('Respuestas de formulario 1'!L1755))"),"")</f>
        <v/>
      </c>
      <c r="M1642" s="7" t="str">
        <f>IFERROR(__xludf.DUMMYFUNCTION("IF('Respuestas de formulario 1'!M1755="""","""",TO_TEXT('Respuestas de formulario 1'!M1755))"),"")</f>
        <v/>
      </c>
      <c r="N1642" s="7" t="str">
        <f t="shared" si="1"/>
        <v/>
      </c>
      <c r="O1642" s="7" t="str">
        <f t="shared" si="2"/>
        <v/>
      </c>
      <c r="P1642" s="7"/>
    </row>
    <row r="1643">
      <c r="A1643" s="7" t="str">
        <f>'Respuestas de formulario 1'!A1756</f>
        <v/>
      </c>
      <c r="B1643" s="7" t="str">
        <f>'Respuestas de formulario 1'!B1756</f>
        <v/>
      </c>
      <c r="C1643" s="7" t="str">
        <f>'Respuestas de formulario 1'!C1756</f>
        <v/>
      </c>
      <c r="D1643" s="7" t="str">
        <f>'Respuestas de formulario 1'!D1756</f>
        <v/>
      </c>
      <c r="E1643" s="7" t="str">
        <f>'Respuestas de formulario 1'!E1756</f>
        <v/>
      </c>
      <c r="F1643" s="7" t="str">
        <f>'Respuestas de formulario 1'!F1756</f>
        <v/>
      </c>
      <c r="G1643" s="7" t="str">
        <f>IFERROR(__xludf.DUMMYFUNCTION("IF('Respuestas de formulario 1'!G1756="""","""",IF(LEFT(REGEXREPLACE(TO_TEXT('Respuestas de formulario 1'!G1756),""[^0-9]"",""""),2)=""54"",""+""&amp;REGEXREPLACE(TO_TEXT('Respuestas de formulario 1'!G1756),""[^0-9]"",""""),""+54""&amp;REGEXREPLACE(TO_TEXT('Respu"&amp;"estas de formulario 1'!G1756),""[^0-9]"","""")))"),"")</f>
        <v/>
      </c>
      <c r="H1643" s="7" t="str">
        <f>'Respuestas de formulario 1'!S1756</f>
        <v/>
      </c>
      <c r="I1643" s="7" t="str">
        <f>IFERROR(__xludf.DUMMYFUNCTION("IF('Respuestas de formulario 1'!I1756="""","""",TO_TEXT('Respuestas de formulario 1'!I1756))"),"")</f>
        <v/>
      </c>
      <c r="J1643" s="7" t="str">
        <f>IFERROR(__xludf.DUMMYFUNCTION("IF('Respuestas de formulario 1'!J1756&lt;&gt;"""",UPPER(TRIM(TO_TEXT('Respuestas de formulario 1'!J1756))),IF('Respuestas de formulario 1'!O1756&lt;&gt;"""",UPPER(TRIM(TO_TEXT('Respuestas de formulario 1'!O1756))),""""))"),"")</f>
        <v/>
      </c>
      <c r="K1643" s="7" t="str">
        <f>IFERROR(__xludf.DUMMYFUNCTION("IF('Respuestas de formulario 1'!K1756="""","""",TO_TEXT('Respuestas de formulario 1'!K1756))"),"")</f>
        <v/>
      </c>
      <c r="L1643" s="7" t="str">
        <f>IFERROR(__xludf.DUMMYFUNCTION("IF('Respuestas de formulario 1'!L1756="""","""",TO_TEXT('Respuestas de formulario 1'!L1756))"),"")</f>
        <v/>
      </c>
      <c r="M1643" s="7" t="str">
        <f>IFERROR(__xludf.DUMMYFUNCTION("IF('Respuestas de formulario 1'!M1756="""","""",TO_TEXT('Respuestas de formulario 1'!M1756))"),"")</f>
        <v/>
      </c>
      <c r="N1643" s="7" t="str">
        <f t="shared" si="1"/>
        <v/>
      </c>
      <c r="O1643" s="7" t="str">
        <f t="shared" si="2"/>
        <v/>
      </c>
      <c r="P1643" s="7"/>
    </row>
    <row r="1644">
      <c r="A1644" s="7" t="str">
        <f>'Respuestas de formulario 1'!A1757</f>
        <v/>
      </c>
      <c r="B1644" s="7" t="str">
        <f>'Respuestas de formulario 1'!B1757</f>
        <v/>
      </c>
      <c r="C1644" s="7" t="str">
        <f>'Respuestas de formulario 1'!C1757</f>
        <v/>
      </c>
      <c r="D1644" s="7" t="str">
        <f>'Respuestas de formulario 1'!D1757</f>
        <v/>
      </c>
      <c r="E1644" s="7" t="str">
        <f>'Respuestas de formulario 1'!E1757</f>
        <v/>
      </c>
      <c r="F1644" s="7" t="str">
        <f>'Respuestas de formulario 1'!F1757</f>
        <v/>
      </c>
      <c r="G1644" s="7" t="str">
        <f>IFERROR(__xludf.DUMMYFUNCTION("IF('Respuestas de formulario 1'!G1757="""","""",IF(LEFT(REGEXREPLACE(TO_TEXT('Respuestas de formulario 1'!G1757),""[^0-9]"",""""),2)=""54"",""+""&amp;REGEXREPLACE(TO_TEXT('Respuestas de formulario 1'!G1757),""[^0-9]"",""""),""+54""&amp;REGEXREPLACE(TO_TEXT('Respu"&amp;"estas de formulario 1'!G1757),""[^0-9]"","""")))"),"")</f>
        <v/>
      </c>
      <c r="H1644" s="7" t="str">
        <f>'Respuestas de formulario 1'!S1757</f>
        <v/>
      </c>
      <c r="I1644" s="7" t="str">
        <f>IFERROR(__xludf.DUMMYFUNCTION("IF('Respuestas de formulario 1'!I1757="""","""",TO_TEXT('Respuestas de formulario 1'!I1757))"),"")</f>
        <v/>
      </c>
      <c r="J1644" s="7" t="str">
        <f>IFERROR(__xludf.DUMMYFUNCTION("IF('Respuestas de formulario 1'!J1757&lt;&gt;"""",UPPER(TRIM(TO_TEXT('Respuestas de formulario 1'!J1757))),IF('Respuestas de formulario 1'!O1757&lt;&gt;"""",UPPER(TRIM(TO_TEXT('Respuestas de formulario 1'!O1757))),""""))"),"")</f>
        <v/>
      </c>
      <c r="K1644" s="7" t="str">
        <f>IFERROR(__xludf.DUMMYFUNCTION("IF('Respuestas de formulario 1'!K1757="""","""",TO_TEXT('Respuestas de formulario 1'!K1757))"),"")</f>
        <v/>
      </c>
      <c r="L1644" s="7" t="str">
        <f>IFERROR(__xludf.DUMMYFUNCTION("IF('Respuestas de formulario 1'!L1757="""","""",TO_TEXT('Respuestas de formulario 1'!L1757))"),"")</f>
        <v/>
      </c>
      <c r="M1644" s="7" t="str">
        <f>IFERROR(__xludf.DUMMYFUNCTION("IF('Respuestas de formulario 1'!M1757="""","""",TO_TEXT('Respuestas de formulario 1'!M1757))"),"")</f>
        <v/>
      </c>
      <c r="N1644" s="7" t="str">
        <f t="shared" si="1"/>
        <v/>
      </c>
      <c r="O1644" s="7" t="str">
        <f t="shared" si="2"/>
        <v/>
      </c>
      <c r="P1644" s="7"/>
    </row>
    <row r="1645">
      <c r="A1645" s="7" t="str">
        <f>'Respuestas de formulario 1'!A1758</f>
        <v/>
      </c>
      <c r="B1645" s="7" t="str">
        <f>'Respuestas de formulario 1'!B1758</f>
        <v/>
      </c>
      <c r="C1645" s="7" t="str">
        <f>'Respuestas de formulario 1'!C1758</f>
        <v/>
      </c>
      <c r="D1645" s="7" t="str">
        <f>'Respuestas de formulario 1'!D1758</f>
        <v/>
      </c>
      <c r="E1645" s="7" t="str">
        <f>'Respuestas de formulario 1'!E1758</f>
        <v/>
      </c>
      <c r="F1645" s="7" t="str">
        <f>'Respuestas de formulario 1'!F1758</f>
        <v/>
      </c>
      <c r="G1645" s="7" t="str">
        <f>IFERROR(__xludf.DUMMYFUNCTION("IF('Respuestas de formulario 1'!G1758="""","""",IF(LEFT(REGEXREPLACE(TO_TEXT('Respuestas de formulario 1'!G1758),""[^0-9]"",""""),2)=""54"",""+""&amp;REGEXREPLACE(TO_TEXT('Respuestas de formulario 1'!G1758),""[^0-9]"",""""),""+54""&amp;REGEXREPLACE(TO_TEXT('Respu"&amp;"estas de formulario 1'!G1758),""[^0-9]"","""")))"),"")</f>
        <v/>
      </c>
      <c r="H1645" s="7" t="str">
        <f>'Respuestas de formulario 1'!S1758</f>
        <v/>
      </c>
      <c r="I1645" s="7" t="str">
        <f>IFERROR(__xludf.DUMMYFUNCTION("IF('Respuestas de formulario 1'!I1758="""","""",TO_TEXT('Respuestas de formulario 1'!I1758))"),"")</f>
        <v/>
      </c>
      <c r="J1645" s="7" t="str">
        <f>IFERROR(__xludf.DUMMYFUNCTION("IF('Respuestas de formulario 1'!J1758&lt;&gt;"""",UPPER(TRIM(TO_TEXT('Respuestas de formulario 1'!J1758))),IF('Respuestas de formulario 1'!O1758&lt;&gt;"""",UPPER(TRIM(TO_TEXT('Respuestas de formulario 1'!O1758))),""""))"),"")</f>
        <v/>
      </c>
      <c r="K1645" s="7" t="str">
        <f>IFERROR(__xludf.DUMMYFUNCTION("IF('Respuestas de formulario 1'!K1758="""","""",TO_TEXT('Respuestas de formulario 1'!K1758))"),"")</f>
        <v/>
      </c>
      <c r="L1645" s="7" t="str">
        <f>IFERROR(__xludf.DUMMYFUNCTION("IF('Respuestas de formulario 1'!L1758="""","""",TO_TEXT('Respuestas de formulario 1'!L1758))"),"")</f>
        <v/>
      </c>
      <c r="M1645" s="7" t="str">
        <f>IFERROR(__xludf.DUMMYFUNCTION("IF('Respuestas de formulario 1'!M1758="""","""",TO_TEXT('Respuestas de formulario 1'!M1758))"),"")</f>
        <v/>
      </c>
      <c r="N1645" s="7" t="str">
        <f t="shared" si="1"/>
        <v/>
      </c>
      <c r="O1645" s="7" t="str">
        <f t="shared" si="2"/>
        <v/>
      </c>
      <c r="P1645" s="7"/>
    </row>
    <row r="1646">
      <c r="A1646" s="7" t="str">
        <f>'Respuestas de formulario 1'!A1759</f>
        <v/>
      </c>
      <c r="B1646" s="7" t="str">
        <f>'Respuestas de formulario 1'!B1759</f>
        <v/>
      </c>
      <c r="C1646" s="7" t="str">
        <f>'Respuestas de formulario 1'!C1759</f>
        <v/>
      </c>
      <c r="D1646" s="7" t="str">
        <f>'Respuestas de formulario 1'!D1759</f>
        <v/>
      </c>
      <c r="E1646" s="7" t="str">
        <f>'Respuestas de formulario 1'!E1759</f>
        <v/>
      </c>
      <c r="F1646" s="7" t="str">
        <f>'Respuestas de formulario 1'!F1759</f>
        <v/>
      </c>
      <c r="G1646" s="7" t="str">
        <f>IFERROR(__xludf.DUMMYFUNCTION("IF('Respuestas de formulario 1'!G1759="""","""",IF(LEFT(REGEXREPLACE(TO_TEXT('Respuestas de formulario 1'!G1759),""[^0-9]"",""""),2)=""54"",""+""&amp;REGEXREPLACE(TO_TEXT('Respuestas de formulario 1'!G1759),""[^0-9]"",""""),""+54""&amp;REGEXREPLACE(TO_TEXT('Respu"&amp;"estas de formulario 1'!G1759),""[^0-9]"","""")))"),"")</f>
        <v/>
      </c>
      <c r="H1646" s="7" t="str">
        <f>'Respuestas de formulario 1'!S1759</f>
        <v/>
      </c>
      <c r="I1646" s="7" t="str">
        <f>IFERROR(__xludf.DUMMYFUNCTION("IF('Respuestas de formulario 1'!I1759="""","""",TO_TEXT('Respuestas de formulario 1'!I1759))"),"")</f>
        <v/>
      </c>
      <c r="J1646" s="7" t="str">
        <f>IFERROR(__xludf.DUMMYFUNCTION("IF('Respuestas de formulario 1'!J1759&lt;&gt;"""",UPPER(TRIM(TO_TEXT('Respuestas de formulario 1'!J1759))),IF('Respuestas de formulario 1'!O1759&lt;&gt;"""",UPPER(TRIM(TO_TEXT('Respuestas de formulario 1'!O1759))),""""))"),"")</f>
        <v/>
      </c>
      <c r="K1646" s="7" t="str">
        <f>IFERROR(__xludf.DUMMYFUNCTION("IF('Respuestas de formulario 1'!K1759="""","""",TO_TEXT('Respuestas de formulario 1'!K1759))"),"")</f>
        <v/>
      </c>
      <c r="L1646" s="7" t="str">
        <f>IFERROR(__xludf.DUMMYFUNCTION("IF('Respuestas de formulario 1'!L1759="""","""",TO_TEXT('Respuestas de formulario 1'!L1759))"),"")</f>
        <v/>
      </c>
      <c r="M1646" s="7" t="str">
        <f>IFERROR(__xludf.DUMMYFUNCTION("IF('Respuestas de formulario 1'!M1759="""","""",TO_TEXT('Respuestas de formulario 1'!M1759))"),"")</f>
        <v/>
      </c>
      <c r="N1646" s="7" t="str">
        <f t="shared" si="1"/>
        <v/>
      </c>
      <c r="O1646" s="7" t="str">
        <f t="shared" si="2"/>
        <v/>
      </c>
      <c r="P1646" s="7"/>
    </row>
    <row r="1647">
      <c r="A1647" s="7" t="str">
        <f>'Respuestas de formulario 1'!A1760</f>
        <v/>
      </c>
      <c r="B1647" s="7" t="str">
        <f>'Respuestas de formulario 1'!B1760</f>
        <v/>
      </c>
      <c r="C1647" s="7" t="str">
        <f>'Respuestas de formulario 1'!C1760</f>
        <v/>
      </c>
      <c r="D1647" s="7" t="str">
        <f>'Respuestas de formulario 1'!D1760</f>
        <v/>
      </c>
      <c r="E1647" s="7" t="str">
        <f>'Respuestas de formulario 1'!E1760</f>
        <v/>
      </c>
      <c r="F1647" s="7" t="str">
        <f>'Respuestas de formulario 1'!F1760</f>
        <v/>
      </c>
      <c r="G1647" s="7" t="str">
        <f>IFERROR(__xludf.DUMMYFUNCTION("IF('Respuestas de formulario 1'!G1760="""","""",IF(LEFT(REGEXREPLACE(TO_TEXT('Respuestas de formulario 1'!G1760),""[^0-9]"",""""),2)=""54"",""+""&amp;REGEXREPLACE(TO_TEXT('Respuestas de formulario 1'!G1760),""[^0-9]"",""""),""+54""&amp;REGEXREPLACE(TO_TEXT('Respu"&amp;"estas de formulario 1'!G1760),""[^0-9]"","""")))"),"")</f>
        <v/>
      </c>
      <c r="H1647" s="7" t="str">
        <f>'Respuestas de formulario 1'!S1760</f>
        <v/>
      </c>
      <c r="I1647" s="7" t="str">
        <f>IFERROR(__xludf.DUMMYFUNCTION("IF('Respuestas de formulario 1'!I1760="""","""",TO_TEXT('Respuestas de formulario 1'!I1760))"),"")</f>
        <v/>
      </c>
      <c r="J1647" s="7" t="str">
        <f>IFERROR(__xludf.DUMMYFUNCTION("IF('Respuestas de formulario 1'!J1760&lt;&gt;"""",UPPER(TRIM(TO_TEXT('Respuestas de formulario 1'!J1760))),IF('Respuestas de formulario 1'!O1760&lt;&gt;"""",UPPER(TRIM(TO_TEXT('Respuestas de formulario 1'!O1760))),""""))"),"")</f>
        <v/>
      </c>
      <c r="K1647" s="7" t="str">
        <f>IFERROR(__xludf.DUMMYFUNCTION("IF('Respuestas de formulario 1'!K1760="""","""",TO_TEXT('Respuestas de formulario 1'!K1760))"),"")</f>
        <v/>
      </c>
      <c r="L1647" s="7" t="str">
        <f>IFERROR(__xludf.DUMMYFUNCTION("IF('Respuestas de formulario 1'!L1760="""","""",TO_TEXT('Respuestas de formulario 1'!L1760))"),"")</f>
        <v/>
      </c>
      <c r="M1647" s="7" t="str">
        <f>IFERROR(__xludf.DUMMYFUNCTION("IF('Respuestas de formulario 1'!M1760="""","""",TO_TEXT('Respuestas de formulario 1'!M1760))"),"")</f>
        <v/>
      </c>
      <c r="N1647" s="7" t="str">
        <f t="shared" si="1"/>
        <v/>
      </c>
      <c r="O1647" s="7" t="str">
        <f t="shared" si="2"/>
        <v/>
      </c>
      <c r="P1647" s="7"/>
    </row>
    <row r="1648">
      <c r="A1648" s="7" t="str">
        <f>'Respuestas de formulario 1'!A1761</f>
        <v/>
      </c>
      <c r="B1648" s="7" t="str">
        <f>'Respuestas de formulario 1'!B1761</f>
        <v/>
      </c>
      <c r="C1648" s="7" t="str">
        <f>'Respuestas de formulario 1'!C1761</f>
        <v/>
      </c>
      <c r="D1648" s="7" t="str">
        <f>'Respuestas de formulario 1'!D1761</f>
        <v/>
      </c>
      <c r="E1648" s="7" t="str">
        <f>'Respuestas de formulario 1'!E1761</f>
        <v/>
      </c>
      <c r="F1648" s="7" t="str">
        <f>'Respuestas de formulario 1'!F1761</f>
        <v/>
      </c>
      <c r="G1648" s="7" t="str">
        <f>IFERROR(__xludf.DUMMYFUNCTION("IF('Respuestas de formulario 1'!G1761="""","""",IF(LEFT(REGEXREPLACE(TO_TEXT('Respuestas de formulario 1'!G1761),""[^0-9]"",""""),2)=""54"",""+""&amp;REGEXREPLACE(TO_TEXT('Respuestas de formulario 1'!G1761),""[^0-9]"",""""),""+54""&amp;REGEXREPLACE(TO_TEXT('Respu"&amp;"estas de formulario 1'!G1761),""[^0-9]"","""")))"),"")</f>
        <v/>
      </c>
      <c r="H1648" s="7" t="str">
        <f>'Respuestas de formulario 1'!S1761</f>
        <v/>
      </c>
      <c r="I1648" s="7" t="str">
        <f>IFERROR(__xludf.DUMMYFUNCTION("IF('Respuestas de formulario 1'!I1761="""","""",TO_TEXT('Respuestas de formulario 1'!I1761))"),"")</f>
        <v/>
      </c>
      <c r="J1648" s="7" t="str">
        <f>IFERROR(__xludf.DUMMYFUNCTION("IF('Respuestas de formulario 1'!J1761&lt;&gt;"""",UPPER(TRIM(TO_TEXT('Respuestas de formulario 1'!J1761))),IF('Respuestas de formulario 1'!O1761&lt;&gt;"""",UPPER(TRIM(TO_TEXT('Respuestas de formulario 1'!O1761))),""""))"),"")</f>
        <v/>
      </c>
      <c r="K1648" s="7" t="str">
        <f>IFERROR(__xludf.DUMMYFUNCTION("IF('Respuestas de formulario 1'!K1761="""","""",TO_TEXT('Respuestas de formulario 1'!K1761))"),"")</f>
        <v/>
      </c>
      <c r="L1648" s="7" t="str">
        <f>IFERROR(__xludf.DUMMYFUNCTION("IF('Respuestas de formulario 1'!L1761="""","""",TO_TEXT('Respuestas de formulario 1'!L1761))"),"")</f>
        <v/>
      </c>
      <c r="M1648" s="7" t="str">
        <f>IFERROR(__xludf.DUMMYFUNCTION("IF('Respuestas de formulario 1'!M1761="""","""",TO_TEXT('Respuestas de formulario 1'!M1761))"),"")</f>
        <v/>
      </c>
      <c r="N1648" s="7" t="str">
        <f t="shared" si="1"/>
        <v/>
      </c>
      <c r="O1648" s="7" t="str">
        <f t="shared" si="2"/>
        <v/>
      </c>
      <c r="P1648" s="7"/>
    </row>
    <row r="1649">
      <c r="A1649" s="7" t="str">
        <f>'Respuestas de formulario 1'!A1762</f>
        <v/>
      </c>
      <c r="B1649" s="7" t="str">
        <f>'Respuestas de formulario 1'!B1762</f>
        <v/>
      </c>
      <c r="C1649" s="7" t="str">
        <f>'Respuestas de formulario 1'!C1762</f>
        <v/>
      </c>
      <c r="D1649" s="7" t="str">
        <f>'Respuestas de formulario 1'!D1762</f>
        <v/>
      </c>
      <c r="E1649" s="7" t="str">
        <f>'Respuestas de formulario 1'!E1762</f>
        <v/>
      </c>
      <c r="F1649" s="7" t="str">
        <f>'Respuestas de formulario 1'!F1762</f>
        <v/>
      </c>
      <c r="G1649" s="7" t="str">
        <f>IFERROR(__xludf.DUMMYFUNCTION("IF('Respuestas de formulario 1'!G1762="""","""",IF(LEFT(REGEXREPLACE(TO_TEXT('Respuestas de formulario 1'!G1762),""[^0-9]"",""""),2)=""54"",""+""&amp;REGEXREPLACE(TO_TEXT('Respuestas de formulario 1'!G1762),""[^0-9]"",""""),""+54""&amp;REGEXREPLACE(TO_TEXT('Respu"&amp;"estas de formulario 1'!G1762),""[^0-9]"","""")))"),"")</f>
        <v/>
      </c>
      <c r="H1649" s="7" t="str">
        <f>'Respuestas de formulario 1'!S1762</f>
        <v/>
      </c>
      <c r="I1649" s="7" t="str">
        <f>IFERROR(__xludf.DUMMYFUNCTION("IF('Respuestas de formulario 1'!I1762="""","""",TO_TEXT('Respuestas de formulario 1'!I1762))"),"")</f>
        <v/>
      </c>
      <c r="J1649" s="7" t="str">
        <f>IFERROR(__xludf.DUMMYFUNCTION("IF('Respuestas de formulario 1'!J1762&lt;&gt;"""",UPPER(TRIM(TO_TEXT('Respuestas de formulario 1'!J1762))),IF('Respuestas de formulario 1'!O1762&lt;&gt;"""",UPPER(TRIM(TO_TEXT('Respuestas de formulario 1'!O1762))),""""))"),"")</f>
        <v/>
      </c>
      <c r="K1649" s="7" t="str">
        <f>IFERROR(__xludf.DUMMYFUNCTION("IF('Respuestas de formulario 1'!K1762="""","""",TO_TEXT('Respuestas de formulario 1'!K1762))"),"")</f>
        <v/>
      </c>
      <c r="L1649" s="7" t="str">
        <f>IFERROR(__xludf.DUMMYFUNCTION("IF('Respuestas de formulario 1'!L1762="""","""",TO_TEXT('Respuestas de formulario 1'!L1762))"),"")</f>
        <v/>
      </c>
      <c r="M1649" s="7" t="str">
        <f>IFERROR(__xludf.DUMMYFUNCTION("IF('Respuestas de formulario 1'!M1762="""","""",TO_TEXT('Respuestas de formulario 1'!M1762))"),"")</f>
        <v/>
      </c>
      <c r="N1649" s="7" t="str">
        <f t="shared" si="1"/>
        <v/>
      </c>
      <c r="O1649" s="7" t="str">
        <f t="shared" si="2"/>
        <v/>
      </c>
      <c r="P1649" s="7"/>
    </row>
    <row r="1650">
      <c r="A1650" s="7" t="str">
        <f>'Respuestas de formulario 1'!A1763</f>
        <v/>
      </c>
      <c r="B1650" s="7" t="str">
        <f>'Respuestas de formulario 1'!B1763</f>
        <v/>
      </c>
      <c r="C1650" s="7" t="str">
        <f>'Respuestas de formulario 1'!C1763</f>
        <v/>
      </c>
      <c r="D1650" s="7" t="str">
        <f>'Respuestas de formulario 1'!D1763</f>
        <v/>
      </c>
      <c r="E1650" s="7" t="str">
        <f>'Respuestas de formulario 1'!E1763</f>
        <v/>
      </c>
      <c r="F1650" s="7" t="str">
        <f>'Respuestas de formulario 1'!F1763</f>
        <v/>
      </c>
      <c r="G1650" s="7" t="str">
        <f>IFERROR(__xludf.DUMMYFUNCTION("IF('Respuestas de formulario 1'!G1763="""","""",IF(LEFT(REGEXREPLACE(TO_TEXT('Respuestas de formulario 1'!G1763),""[^0-9]"",""""),2)=""54"",""+""&amp;REGEXREPLACE(TO_TEXT('Respuestas de formulario 1'!G1763),""[^0-9]"",""""),""+54""&amp;REGEXREPLACE(TO_TEXT('Respu"&amp;"estas de formulario 1'!G1763),""[^0-9]"","""")))"),"")</f>
        <v/>
      </c>
      <c r="H1650" s="7" t="str">
        <f>'Respuestas de formulario 1'!S1763</f>
        <v/>
      </c>
      <c r="I1650" s="7" t="str">
        <f>IFERROR(__xludf.DUMMYFUNCTION("IF('Respuestas de formulario 1'!I1763="""","""",TO_TEXT('Respuestas de formulario 1'!I1763))"),"")</f>
        <v/>
      </c>
      <c r="J1650" s="7" t="str">
        <f>IFERROR(__xludf.DUMMYFUNCTION("IF('Respuestas de formulario 1'!J1763&lt;&gt;"""",UPPER(TRIM(TO_TEXT('Respuestas de formulario 1'!J1763))),IF('Respuestas de formulario 1'!O1763&lt;&gt;"""",UPPER(TRIM(TO_TEXT('Respuestas de formulario 1'!O1763))),""""))"),"")</f>
        <v/>
      </c>
      <c r="K1650" s="7" t="str">
        <f>IFERROR(__xludf.DUMMYFUNCTION("IF('Respuestas de formulario 1'!K1763="""","""",TO_TEXT('Respuestas de formulario 1'!K1763))"),"")</f>
        <v/>
      </c>
      <c r="L1650" s="7" t="str">
        <f>IFERROR(__xludf.DUMMYFUNCTION("IF('Respuestas de formulario 1'!L1763="""","""",TO_TEXT('Respuestas de formulario 1'!L1763))"),"")</f>
        <v/>
      </c>
      <c r="M1650" s="7" t="str">
        <f>IFERROR(__xludf.DUMMYFUNCTION("IF('Respuestas de formulario 1'!M1763="""","""",TO_TEXT('Respuestas de formulario 1'!M1763))"),"")</f>
        <v/>
      </c>
      <c r="N1650" s="7" t="str">
        <f t="shared" si="1"/>
        <v/>
      </c>
      <c r="O1650" s="7" t="str">
        <f t="shared" si="2"/>
        <v/>
      </c>
      <c r="P1650" s="7"/>
    </row>
    <row r="1651">
      <c r="A1651" s="7" t="str">
        <f>'Respuestas de formulario 1'!A1764</f>
        <v/>
      </c>
      <c r="B1651" s="7" t="str">
        <f>'Respuestas de formulario 1'!B1764</f>
        <v/>
      </c>
      <c r="C1651" s="7" t="str">
        <f>'Respuestas de formulario 1'!C1764</f>
        <v/>
      </c>
      <c r="D1651" s="7" t="str">
        <f>'Respuestas de formulario 1'!D1764</f>
        <v/>
      </c>
      <c r="E1651" s="7" t="str">
        <f>'Respuestas de formulario 1'!E1764</f>
        <v/>
      </c>
      <c r="F1651" s="7" t="str">
        <f>'Respuestas de formulario 1'!F1764</f>
        <v/>
      </c>
      <c r="G1651" s="7" t="str">
        <f>IFERROR(__xludf.DUMMYFUNCTION("IF('Respuestas de formulario 1'!G1764="""","""",IF(LEFT(REGEXREPLACE(TO_TEXT('Respuestas de formulario 1'!G1764),""[^0-9]"",""""),2)=""54"",""+""&amp;REGEXREPLACE(TO_TEXT('Respuestas de formulario 1'!G1764),""[^0-9]"",""""),""+54""&amp;REGEXREPLACE(TO_TEXT('Respu"&amp;"estas de formulario 1'!G1764),""[^0-9]"","""")))"),"")</f>
        <v/>
      </c>
      <c r="H1651" s="7" t="str">
        <f>'Respuestas de formulario 1'!S1764</f>
        <v/>
      </c>
      <c r="I1651" s="7" t="str">
        <f>IFERROR(__xludf.DUMMYFUNCTION("IF('Respuestas de formulario 1'!I1764="""","""",TO_TEXT('Respuestas de formulario 1'!I1764))"),"")</f>
        <v/>
      </c>
      <c r="J1651" s="7" t="str">
        <f>IFERROR(__xludf.DUMMYFUNCTION("IF('Respuestas de formulario 1'!J1764&lt;&gt;"""",UPPER(TRIM(TO_TEXT('Respuestas de formulario 1'!J1764))),IF('Respuestas de formulario 1'!O1764&lt;&gt;"""",UPPER(TRIM(TO_TEXT('Respuestas de formulario 1'!O1764))),""""))"),"")</f>
        <v/>
      </c>
      <c r="K1651" s="7" t="str">
        <f>IFERROR(__xludf.DUMMYFUNCTION("IF('Respuestas de formulario 1'!K1764="""","""",TO_TEXT('Respuestas de formulario 1'!K1764))"),"")</f>
        <v/>
      </c>
      <c r="L1651" s="7" t="str">
        <f>IFERROR(__xludf.DUMMYFUNCTION("IF('Respuestas de formulario 1'!L1764="""","""",TO_TEXT('Respuestas de formulario 1'!L1764))"),"")</f>
        <v/>
      </c>
      <c r="M1651" s="7" t="str">
        <f>IFERROR(__xludf.DUMMYFUNCTION("IF('Respuestas de formulario 1'!M1764="""","""",TO_TEXT('Respuestas de formulario 1'!M1764))"),"")</f>
        <v/>
      </c>
      <c r="N1651" s="7" t="str">
        <f t="shared" si="1"/>
        <v/>
      </c>
      <c r="O1651" s="7" t="str">
        <f t="shared" si="2"/>
        <v/>
      </c>
      <c r="P1651" s="7"/>
    </row>
    <row r="1652">
      <c r="A1652" s="7" t="str">
        <f>'Respuestas de formulario 1'!A1765</f>
        <v/>
      </c>
      <c r="B1652" s="7" t="str">
        <f>'Respuestas de formulario 1'!B1765</f>
        <v/>
      </c>
      <c r="C1652" s="7" t="str">
        <f>'Respuestas de formulario 1'!C1765</f>
        <v/>
      </c>
      <c r="D1652" s="7" t="str">
        <f>'Respuestas de formulario 1'!D1765</f>
        <v/>
      </c>
      <c r="E1652" s="7" t="str">
        <f>'Respuestas de formulario 1'!E1765</f>
        <v/>
      </c>
      <c r="F1652" s="7" t="str">
        <f>'Respuestas de formulario 1'!F1765</f>
        <v/>
      </c>
      <c r="G1652" s="7" t="str">
        <f>IFERROR(__xludf.DUMMYFUNCTION("IF('Respuestas de formulario 1'!G1765="""","""",IF(LEFT(REGEXREPLACE(TO_TEXT('Respuestas de formulario 1'!G1765),""[^0-9]"",""""),2)=""54"",""+""&amp;REGEXREPLACE(TO_TEXT('Respuestas de formulario 1'!G1765),""[^0-9]"",""""),""+54""&amp;REGEXREPLACE(TO_TEXT('Respu"&amp;"estas de formulario 1'!G1765),""[^0-9]"","""")))"),"")</f>
        <v/>
      </c>
      <c r="H1652" s="7" t="str">
        <f>'Respuestas de formulario 1'!S1765</f>
        <v/>
      </c>
      <c r="I1652" s="7" t="str">
        <f>IFERROR(__xludf.DUMMYFUNCTION("IF('Respuestas de formulario 1'!I1765="""","""",TO_TEXT('Respuestas de formulario 1'!I1765))"),"")</f>
        <v/>
      </c>
      <c r="J1652" s="7" t="str">
        <f>IFERROR(__xludf.DUMMYFUNCTION("IF('Respuestas de formulario 1'!J1765&lt;&gt;"""",UPPER(TRIM(TO_TEXT('Respuestas de formulario 1'!J1765))),IF('Respuestas de formulario 1'!O1765&lt;&gt;"""",UPPER(TRIM(TO_TEXT('Respuestas de formulario 1'!O1765))),""""))"),"")</f>
        <v/>
      </c>
      <c r="K1652" s="7" t="str">
        <f>IFERROR(__xludf.DUMMYFUNCTION("IF('Respuestas de formulario 1'!K1765="""","""",TO_TEXT('Respuestas de formulario 1'!K1765))"),"")</f>
        <v/>
      </c>
      <c r="L1652" s="7" t="str">
        <f>IFERROR(__xludf.DUMMYFUNCTION("IF('Respuestas de formulario 1'!L1765="""","""",TO_TEXT('Respuestas de formulario 1'!L1765))"),"")</f>
        <v/>
      </c>
      <c r="M1652" s="7" t="str">
        <f>IFERROR(__xludf.DUMMYFUNCTION("IF('Respuestas de formulario 1'!M1765="""","""",TO_TEXT('Respuestas de formulario 1'!M1765))"),"")</f>
        <v/>
      </c>
      <c r="N1652" s="7" t="str">
        <f t="shared" si="1"/>
        <v/>
      </c>
      <c r="O1652" s="7" t="str">
        <f t="shared" si="2"/>
        <v/>
      </c>
      <c r="P1652" s="7"/>
    </row>
    <row r="1653">
      <c r="A1653" s="7" t="str">
        <f>'Respuestas de formulario 1'!A1766</f>
        <v/>
      </c>
      <c r="B1653" s="7" t="str">
        <f>'Respuestas de formulario 1'!B1766</f>
        <v/>
      </c>
      <c r="C1653" s="7" t="str">
        <f>'Respuestas de formulario 1'!C1766</f>
        <v/>
      </c>
      <c r="D1653" s="7" t="str">
        <f>'Respuestas de formulario 1'!D1766</f>
        <v/>
      </c>
      <c r="E1653" s="7" t="str">
        <f>'Respuestas de formulario 1'!E1766</f>
        <v/>
      </c>
      <c r="F1653" s="7" t="str">
        <f>'Respuestas de formulario 1'!F1766</f>
        <v/>
      </c>
      <c r="G1653" s="7" t="str">
        <f>IFERROR(__xludf.DUMMYFUNCTION("IF('Respuestas de formulario 1'!G1766="""","""",IF(LEFT(REGEXREPLACE(TO_TEXT('Respuestas de formulario 1'!G1766),""[^0-9]"",""""),2)=""54"",""+""&amp;REGEXREPLACE(TO_TEXT('Respuestas de formulario 1'!G1766),""[^0-9]"",""""),""+54""&amp;REGEXREPLACE(TO_TEXT('Respu"&amp;"estas de formulario 1'!G1766),""[^0-9]"","""")))"),"")</f>
        <v/>
      </c>
      <c r="H1653" s="7" t="str">
        <f>'Respuestas de formulario 1'!S1766</f>
        <v/>
      </c>
      <c r="I1653" s="7" t="str">
        <f>IFERROR(__xludf.DUMMYFUNCTION("IF('Respuestas de formulario 1'!I1766="""","""",TO_TEXT('Respuestas de formulario 1'!I1766))"),"")</f>
        <v/>
      </c>
      <c r="J1653" s="7" t="str">
        <f>IFERROR(__xludf.DUMMYFUNCTION("IF('Respuestas de formulario 1'!J1766&lt;&gt;"""",UPPER(TRIM(TO_TEXT('Respuestas de formulario 1'!J1766))),IF('Respuestas de formulario 1'!O1766&lt;&gt;"""",UPPER(TRIM(TO_TEXT('Respuestas de formulario 1'!O1766))),""""))"),"")</f>
        <v/>
      </c>
      <c r="K1653" s="7" t="str">
        <f>IFERROR(__xludf.DUMMYFUNCTION("IF('Respuestas de formulario 1'!K1766="""","""",TO_TEXT('Respuestas de formulario 1'!K1766))"),"")</f>
        <v/>
      </c>
      <c r="L1653" s="7" t="str">
        <f>IFERROR(__xludf.DUMMYFUNCTION("IF('Respuestas de formulario 1'!L1766="""","""",TO_TEXT('Respuestas de formulario 1'!L1766))"),"")</f>
        <v/>
      </c>
      <c r="M1653" s="7" t="str">
        <f>IFERROR(__xludf.DUMMYFUNCTION("IF('Respuestas de formulario 1'!M1766="""","""",TO_TEXT('Respuestas de formulario 1'!M1766))"),"")</f>
        <v/>
      </c>
      <c r="N1653" s="7" t="str">
        <f t="shared" si="1"/>
        <v/>
      </c>
      <c r="O1653" s="7" t="str">
        <f t="shared" si="2"/>
        <v/>
      </c>
      <c r="P1653" s="7"/>
    </row>
    <row r="1654">
      <c r="A1654" s="7" t="str">
        <f>'Respuestas de formulario 1'!A1767</f>
        <v/>
      </c>
      <c r="B1654" s="7" t="str">
        <f>'Respuestas de formulario 1'!B1767</f>
        <v/>
      </c>
      <c r="C1654" s="7" t="str">
        <f>'Respuestas de formulario 1'!C1767</f>
        <v/>
      </c>
      <c r="D1654" s="7" t="str">
        <f>'Respuestas de formulario 1'!D1767</f>
        <v/>
      </c>
      <c r="E1654" s="7" t="str">
        <f>'Respuestas de formulario 1'!E1767</f>
        <v/>
      </c>
      <c r="F1654" s="7" t="str">
        <f>'Respuestas de formulario 1'!F1767</f>
        <v/>
      </c>
      <c r="G1654" s="7" t="str">
        <f>IFERROR(__xludf.DUMMYFUNCTION("IF('Respuestas de formulario 1'!G1767="""","""",IF(LEFT(REGEXREPLACE(TO_TEXT('Respuestas de formulario 1'!G1767),""[^0-9]"",""""),2)=""54"",""+""&amp;REGEXREPLACE(TO_TEXT('Respuestas de formulario 1'!G1767),""[^0-9]"",""""),""+54""&amp;REGEXREPLACE(TO_TEXT('Respu"&amp;"estas de formulario 1'!G1767),""[^0-9]"","""")))"),"")</f>
        <v/>
      </c>
      <c r="H1654" s="7" t="str">
        <f>'Respuestas de formulario 1'!S1767</f>
        <v/>
      </c>
      <c r="I1654" s="7" t="str">
        <f>IFERROR(__xludf.DUMMYFUNCTION("IF('Respuestas de formulario 1'!I1767="""","""",TO_TEXT('Respuestas de formulario 1'!I1767))"),"")</f>
        <v/>
      </c>
      <c r="J1654" s="7" t="str">
        <f>IFERROR(__xludf.DUMMYFUNCTION("IF('Respuestas de formulario 1'!J1767&lt;&gt;"""",UPPER(TRIM(TO_TEXT('Respuestas de formulario 1'!J1767))),IF('Respuestas de formulario 1'!O1767&lt;&gt;"""",UPPER(TRIM(TO_TEXT('Respuestas de formulario 1'!O1767))),""""))"),"")</f>
        <v/>
      </c>
      <c r="K1654" s="7" t="str">
        <f>IFERROR(__xludf.DUMMYFUNCTION("IF('Respuestas de formulario 1'!K1767="""","""",TO_TEXT('Respuestas de formulario 1'!K1767))"),"")</f>
        <v/>
      </c>
      <c r="L1654" s="7" t="str">
        <f>IFERROR(__xludf.DUMMYFUNCTION("IF('Respuestas de formulario 1'!L1767="""","""",TO_TEXT('Respuestas de formulario 1'!L1767))"),"")</f>
        <v/>
      </c>
      <c r="M1654" s="7" t="str">
        <f>IFERROR(__xludf.DUMMYFUNCTION("IF('Respuestas de formulario 1'!M1767="""","""",TO_TEXT('Respuestas de formulario 1'!M1767))"),"")</f>
        <v/>
      </c>
      <c r="N1654" s="7" t="str">
        <f t="shared" si="1"/>
        <v/>
      </c>
      <c r="O1654" s="7" t="str">
        <f t="shared" si="2"/>
        <v/>
      </c>
      <c r="P1654" s="7"/>
    </row>
    <row r="1655">
      <c r="A1655" s="7" t="str">
        <f>'Respuestas de formulario 1'!A1768</f>
        <v/>
      </c>
      <c r="B1655" s="7" t="str">
        <f>'Respuestas de formulario 1'!B1768</f>
        <v/>
      </c>
      <c r="C1655" s="7" t="str">
        <f>'Respuestas de formulario 1'!C1768</f>
        <v/>
      </c>
      <c r="D1655" s="7" t="str">
        <f>'Respuestas de formulario 1'!D1768</f>
        <v/>
      </c>
      <c r="E1655" s="7" t="str">
        <f>'Respuestas de formulario 1'!E1768</f>
        <v/>
      </c>
      <c r="F1655" s="7" t="str">
        <f>'Respuestas de formulario 1'!F1768</f>
        <v/>
      </c>
      <c r="G1655" s="7" t="str">
        <f>IFERROR(__xludf.DUMMYFUNCTION("IF('Respuestas de formulario 1'!G1768="""","""",IF(LEFT(REGEXREPLACE(TO_TEXT('Respuestas de formulario 1'!G1768),""[^0-9]"",""""),2)=""54"",""+""&amp;REGEXREPLACE(TO_TEXT('Respuestas de formulario 1'!G1768),""[^0-9]"",""""),""+54""&amp;REGEXREPLACE(TO_TEXT('Respu"&amp;"estas de formulario 1'!G1768),""[^0-9]"","""")))"),"")</f>
        <v/>
      </c>
      <c r="H1655" s="7" t="str">
        <f>'Respuestas de formulario 1'!S1768</f>
        <v/>
      </c>
      <c r="I1655" s="7" t="str">
        <f>IFERROR(__xludf.DUMMYFUNCTION("IF('Respuestas de formulario 1'!I1768="""","""",TO_TEXT('Respuestas de formulario 1'!I1768))"),"")</f>
        <v/>
      </c>
      <c r="J1655" s="7" t="str">
        <f>IFERROR(__xludf.DUMMYFUNCTION("IF('Respuestas de formulario 1'!J1768&lt;&gt;"""",UPPER(TRIM(TO_TEXT('Respuestas de formulario 1'!J1768))),IF('Respuestas de formulario 1'!O1768&lt;&gt;"""",UPPER(TRIM(TO_TEXT('Respuestas de formulario 1'!O1768))),""""))"),"")</f>
        <v/>
      </c>
      <c r="K1655" s="7" t="str">
        <f>IFERROR(__xludf.DUMMYFUNCTION("IF('Respuestas de formulario 1'!K1768="""","""",TO_TEXT('Respuestas de formulario 1'!K1768))"),"")</f>
        <v/>
      </c>
      <c r="L1655" s="7" t="str">
        <f>IFERROR(__xludf.DUMMYFUNCTION("IF('Respuestas de formulario 1'!L1768="""","""",TO_TEXT('Respuestas de formulario 1'!L1768))"),"")</f>
        <v/>
      </c>
      <c r="M1655" s="7" t="str">
        <f>IFERROR(__xludf.DUMMYFUNCTION("IF('Respuestas de formulario 1'!M1768="""","""",TO_TEXT('Respuestas de formulario 1'!M1768))"),"")</f>
        <v/>
      </c>
      <c r="N1655" s="7" t="str">
        <f t="shared" si="1"/>
        <v/>
      </c>
      <c r="O1655" s="7" t="str">
        <f t="shared" si="2"/>
        <v/>
      </c>
      <c r="P1655" s="7"/>
    </row>
    <row r="1656">
      <c r="A1656" s="7" t="str">
        <f>'Respuestas de formulario 1'!A1769</f>
        <v/>
      </c>
      <c r="B1656" s="7" t="str">
        <f>'Respuestas de formulario 1'!B1769</f>
        <v/>
      </c>
      <c r="C1656" s="7" t="str">
        <f>'Respuestas de formulario 1'!C1769</f>
        <v/>
      </c>
      <c r="D1656" s="7" t="str">
        <f>'Respuestas de formulario 1'!D1769</f>
        <v/>
      </c>
      <c r="E1656" s="7" t="str">
        <f>'Respuestas de formulario 1'!E1769</f>
        <v/>
      </c>
      <c r="F1656" s="7" t="str">
        <f>'Respuestas de formulario 1'!F1769</f>
        <v/>
      </c>
      <c r="G1656" s="7" t="str">
        <f>IFERROR(__xludf.DUMMYFUNCTION("IF('Respuestas de formulario 1'!G1769="""","""",IF(LEFT(REGEXREPLACE(TO_TEXT('Respuestas de formulario 1'!G1769),""[^0-9]"",""""),2)=""54"",""+""&amp;REGEXREPLACE(TO_TEXT('Respuestas de formulario 1'!G1769),""[^0-9]"",""""),""+54""&amp;REGEXREPLACE(TO_TEXT('Respu"&amp;"estas de formulario 1'!G1769),""[^0-9]"","""")))"),"")</f>
        <v/>
      </c>
      <c r="H1656" s="7" t="str">
        <f>'Respuestas de formulario 1'!S1769</f>
        <v/>
      </c>
      <c r="I1656" s="7" t="str">
        <f>IFERROR(__xludf.DUMMYFUNCTION("IF('Respuestas de formulario 1'!I1769="""","""",TO_TEXT('Respuestas de formulario 1'!I1769))"),"")</f>
        <v/>
      </c>
      <c r="J1656" s="7" t="str">
        <f>IFERROR(__xludf.DUMMYFUNCTION("IF('Respuestas de formulario 1'!J1769&lt;&gt;"""",UPPER(TRIM(TO_TEXT('Respuestas de formulario 1'!J1769))),IF('Respuestas de formulario 1'!O1769&lt;&gt;"""",UPPER(TRIM(TO_TEXT('Respuestas de formulario 1'!O1769))),""""))"),"")</f>
        <v/>
      </c>
      <c r="K1656" s="7" t="str">
        <f>IFERROR(__xludf.DUMMYFUNCTION("IF('Respuestas de formulario 1'!K1769="""","""",TO_TEXT('Respuestas de formulario 1'!K1769))"),"")</f>
        <v/>
      </c>
      <c r="L1656" s="7" t="str">
        <f>IFERROR(__xludf.DUMMYFUNCTION("IF('Respuestas de formulario 1'!L1769="""","""",TO_TEXT('Respuestas de formulario 1'!L1769))"),"")</f>
        <v/>
      </c>
      <c r="M1656" s="7" t="str">
        <f>IFERROR(__xludf.DUMMYFUNCTION("IF('Respuestas de formulario 1'!M1769="""","""",TO_TEXT('Respuestas de formulario 1'!M1769))"),"")</f>
        <v/>
      </c>
      <c r="N1656" s="7" t="str">
        <f t="shared" si="1"/>
        <v/>
      </c>
      <c r="O1656" s="7" t="str">
        <f t="shared" si="2"/>
        <v/>
      </c>
      <c r="P1656" s="7"/>
    </row>
    <row r="1657">
      <c r="A1657" s="7" t="str">
        <f>'Respuestas de formulario 1'!A1770</f>
        <v/>
      </c>
      <c r="B1657" s="7" t="str">
        <f>'Respuestas de formulario 1'!B1770</f>
        <v/>
      </c>
      <c r="C1657" s="7" t="str">
        <f>'Respuestas de formulario 1'!C1770</f>
        <v/>
      </c>
      <c r="D1657" s="7" t="str">
        <f>'Respuestas de formulario 1'!D1770</f>
        <v/>
      </c>
      <c r="E1657" s="7" t="str">
        <f>'Respuestas de formulario 1'!E1770</f>
        <v/>
      </c>
      <c r="F1657" s="7" t="str">
        <f>'Respuestas de formulario 1'!F1770</f>
        <v/>
      </c>
      <c r="G1657" s="7" t="str">
        <f>IFERROR(__xludf.DUMMYFUNCTION("IF('Respuestas de formulario 1'!G1770="""","""",IF(LEFT(REGEXREPLACE(TO_TEXT('Respuestas de formulario 1'!G1770),""[^0-9]"",""""),2)=""54"",""+""&amp;REGEXREPLACE(TO_TEXT('Respuestas de formulario 1'!G1770),""[^0-9]"",""""),""+54""&amp;REGEXREPLACE(TO_TEXT('Respu"&amp;"estas de formulario 1'!G1770),""[^0-9]"","""")))"),"")</f>
        <v/>
      </c>
      <c r="H1657" s="7" t="str">
        <f>'Respuestas de formulario 1'!S1770</f>
        <v/>
      </c>
      <c r="I1657" s="7" t="str">
        <f>IFERROR(__xludf.DUMMYFUNCTION("IF('Respuestas de formulario 1'!I1770="""","""",TO_TEXT('Respuestas de formulario 1'!I1770))"),"")</f>
        <v/>
      </c>
      <c r="J1657" s="7" t="str">
        <f>IFERROR(__xludf.DUMMYFUNCTION("IF('Respuestas de formulario 1'!J1770&lt;&gt;"""",UPPER(TRIM(TO_TEXT('Respuestas de formulario 1'!J1770))),IF('Respuestas de formulario 1'!O1770&lt;&gt;"""",UPPER(TRIM(TO_TEXT('Respuestas de formulario 1'!O1770))),""""))"),"")</f>
        <v/>
      </c>
      <c r="K1657" s="7" t="str">
        <f>IFERROR(__xludf.DUMMYFUNCTION("IF('Respuestas de formulario 1'!K1770="""","""",TO_TEXT('Respuestas de formulario 1'!K1770))"),"")</f>
        <v/>
      </c>
      <c r="L1657" s="7" t="str">
        <f>IFERROR(__xludf.DUMMYFUNCTION("IF('Respuestas de formulario 1'!L1770="""","""",TO_TEXT('Respuestas de formulario 1'!L1770))"),"")</f>
        <v/>
      </c>
      <c r="M1657" s="7" t="str">
        <f>IFERROR(__xludf.DUMMYFUNCTION("IF('Respuestas de formulario 1'!M1770="""","""",TO_TEXT('Respuestas de formulario 1'!M1770))"),"")</f>
        <v/>
      </c>
      <c r="N1657" s="7" t="str">
        <f t="shared" si="1"/>
        <v/>
      </c>
      <c r="O1657" s="7" t="str">
        <f t="shared" si="2"/>
        <v/>
      </c>
      <c r="P1657" s="7"/>
    </row>
    <row r="1658">
      <c r="A1658" s="7" t="str">
        <f>'Respuestas de formulario 1'!A1771</f>
        <v/>
      </c>
      <c r="B1658" s="7" t="str">
        <f>'Respuestas de formulario 1'!B1771</f>
        <v/>
      </c>
      <c r="C1658" s="7" t="str">
        <f>'Respuestas de formulario 1'!C1771</f>
        <v/>
      </c>
      <c r="D1658" s="7" t="str">
        <f>'Respuestas de formulario 1'!D1771</f>
        <v/>
      </c>
      <c r="E1658" s="7" t="str">
        <f>'Respuestas de formulario 1'!E1771</f>
        <v/>
      </c>
      <c r="F1658" s="7" t="str">
        <f>'Respuestas de formulario 1'!F1771</f>
        <v/>
      </c>
      <c r="G1658" s="7" t="str">
        <f>IFERROR(__xludf.DUMMYFUNCTION("IF('Respuestas de formulario 1'!G1771="""","""",IF(LEFT(REGEXREPLACE(TO_TEXT('Respuestas de formulario 1'!G1771),""[^0-9]"",""""),2)=""54"",""+""&amp;REGEXREPLACE(TO_TEXT('Respuestas de formulario 1'!G1771),""[^0-9]"",""""),""+54""&amp;REGEXREPLACE(TO_TEXT('Respu"&amp;"estas de formulario 1'!G1771),""[^0-9]"","""")))"),"")</f>
        <v/>
      </c>
      <c r="H1658" s="7" t="str">
        <f>'Respuestas de formulario 1'!S1771</f>
        <v/>
      </c>
      <c r="I1658" s="7" t="str">
        <f>IFERROR(__xludf.DUMMYFUNCTION("IF('Respuestas de formulario 1'!I1771="""","""",TO_TEXT('Respuestas de formulario 1'!I1771))"),"")</f>
        <v/>
      </c>
      <c r="J1658" s="7" t="str">
        <f>IFERROR(__xludf.DUMMYFUNCTION("IF('Respuestas de formulario 1'!J1771&lt;&gt;"""",UPPER(TRIM(TO_TEXT('Respuestas de formulario 1'!J1771))),IF('Respuestas de formulario 1'!O1771&lt;&gt;"""",UPPER(TRIM(TO_TEXT('Respuestas de formulario 1'!O1771))),""""))"),"")</f>
        <v/>
      </c>
      <c r="K1658" s="7" t="str">
        <f>IFERROR(__xludf.DUMMYFUNCTION("IF('Respuestas de formulario 1'!K1771="""","""",TO_TEXT('Respuestas de formulario 1'!K1771))"),"")</f>
        <v/>
      </c>
      <c r="L1658" s="7" t="str">
        <f>IFERROR(__xludf.DUMMYFUNCTION("IF('Respuestas de formulario 1'!L1771="""","""",TO_TEXT('Respuestas de formulario 1'!L1771))"),"")</f>
        <v/>
      </c>
      <c r="M1658" s="7" t="str">
        <f>IFERROR(__xludf.DUMMYFUNCTION("IF('Respuestas de formulario 1'!M1771="""","""",TO_TEXT('Respuestas de formulario 1'!M1771))"),"")</f>
        <v/>
      </c>
      <c r="N1658" s="7" t="str">
        <f t="shared" si="1"/>
        <v/>
      </c>
      <c r="O1658" s="7" t="str">
        <f t="shared" si="2"/>
        <v/>
      </c>
      <c r="P1658" s="7"/>
    </row>
    <row r="1659">
      <c r="A1659" s="7" t="str">
        <f>'Respuestas de formulario 1'!A1772</f>
        <v/>
      </c>
      <c r="B1659" s="7" t="str">
        <f>'Respuestas de formulario 1'!B1772</f>
        <v/>
      </c>
      <c r="C1659" s="7" t="str">
        <f>'Respuestas de formulario 1'!C1772</f>
        <v/>
      </c>
      <c r="D1659" s="7" t="str">
        <f>'Respuestas de formulario 1'!D1772</f>
        <v/>
      </c>
      <c r="E1659" s="7" t="str">
        <f>'Respuestas de formulario 1'!E1772</f>
        <v/>
      </c>
      <c r="F1659" s="7" t="str">
        <f>'Respuestas de formulario 1'!F1772</f>
        <v/>
      </c>
      <c r="G1659" s="7" t="str">
        <f>IFERROR(__xludf.DUMMYFUNCTION("IF('Respuestas de formulario 1'!G1772="""","""",IF(LEFT(REGEXREPLACE(TO_TEXT('Respuestas de formulario 1'!G1772),""[^0-9]"",""""),2)=""54"",""+""&amp;REGEXREPLACE(TO_TEXT('Respuestas de formulario 1'!G1772),""[^0-9]"",""""),""+54""&amp;REGEXREPLACE(TO_TEXT('Respu"&amp;"estas de formulario 1'!G1772),""[^0-9]"","""")))"),"")</f>
        <v/>
      </c>
      <c r="H1659" s="7" t="str">
        <f>'Respuestas de formulario 1'!S1772</f>
        <v/>
      </c>
      <c r="I1659" s="7" t="str">
        <f>IFERROR(__xludf.DUMMYFUNCTION("IF('Respuestas de formulario 1'!I1772="""","""",TO_TEXT('Respuestas de formulario 1'!I1772))"),"")</f>
        <v/>
      </c>
      <c r="J1659" s="7" t="str">
        <f>IFERROR(__xludf.DUMMYFUNCTION("IF('Respuestas de formulario 1'!J1772&lt;&gt;"""",UPPER(TRIM(TO_TEXT('Respuestas de formulario 1'!J1772))),IF('Respuestas de formulario 1'!O1772&lt;&gt;"""",UPPER(TRIM(TO_TEXT('Respuestas de formulario 1'!O1772))),""""))"),"")</f>
        <v/>
      </c>
      <c r="K1659" s="7" t="str">
        <f>IFERROR(__xludf.DUMMYFUNCTION("IF('Respuestas de formulario 1'!K1772="""","""",TO_TEXT('Respuestas de formulario 1'!K1772))"),"")</f>
        <v/>
      </c>
      <c r="L1659" s="7" t="str">
        <f>IFERROR(__xludf.DUMMYFUNCTION("IF('Respuestas de formulario 1'!L1772="""","""",TO_TEXT('Respuestas de formulario 1'!L1772))"),"")</f>
        <v/>
      </c>
      <c r="M1659" s="7" t="str">
        <f>IFERROR(__xludf.DUMMYFUNCTION("IF('Respuestas de formulario 1'!M1772="""","""",TO_TEXT('Respuestas de formulario 1'!M1772))"),"")</f>
        <v/>
      </c>
      <c r="N1659" s="7" t="str">
        <f t="shared" si="1"/>
        <v/>
      </c>
      <c r="O1659" s="7" t="str">
        <f t="shared" si="2"/>
        <v/>
      </c>
      <c r="P1659" s="7"/>
    </row>
    <row r="1660">
      <c r="A1660" s="7" t="str">
        <f>'Respuestas de formulario 1'!A1773</f>
        <v/>
      </c>
      <c r="B1660" s="7" t="str">
        <f>'Respuestas de formulario 1'!B1773</f>
        <v/>
      </c>
      <c r="C1660" s="7" t="str">
        <f>'Respuestas de formulario 1'!C1773</f>
        <v/>
      </c>
      <c r="D1660" s="7" t="str">
        <f>'Respuestas de formulario 1'!D1773</f>
        <v/>
      </c>
      <c r="E1660" s="7" t="str">
        <f>'Respuestas de formulario 1'!E1773</f>
        <v/>
      </c>
      <c r="F1660" s="7" t="str">
        <f>'Respuestas de formulario 1'!F1773</f>
        <v/>
      </c>
      <c r="G1660" s="7" t="str">
        <f>IFERROR(__xludf.DUMMYFUNCTION("IF('Respuestas de formulario 1'!G1773="""","""",IF(LEFT(REGEXREPLACE(TO_TEXT('Respuestas de formulario 1'!G1773),""[^0-9]"",""""),2)=""54"",""+""&amp;REGEXREPLACE(TO_TEXT('Respuestas de formulario 1'!G1773),""[^0-9]"",""""),""+54""&amp;REGEXREPLACE(TO_TEXT('Respu"&amp;"estas de formulario 1'!G1773),""[^0-9]"","""")))"),"")</f>
        <v/>
      </c>
      <c r="H1660" s="7" t="str">
        <f>'Respuestas de formulario 1'!S1773</f>
        <v/>
      </c>
      <c r="I1660" s="7" t="str">
        <f>IFERROR(__xludf.DUMMYFUNCTION("IF('Respuestas de formulario 1'!I1773="""","""",TO_TEXT('Respuestas de formulario 1'!I1773))"),"")</f>
        <v/>
      </c>
      <c r="J1660" s="7" t="str">
        <f>IFERROR(__xludf.DUMMYFUNCTION("IF('Respuestas de formulario 1'!J1773&lt;&gt;"""",UPPER(TRIM(TO_TEXT('Respuestas de formulario 1'!J1773))),IF('Respuestas de formulario 1'!O1773&lt;&gt;"""",UPPER(TRIM(TO_TEXT('Respuestas de formulario 1'!O1773))),""""))"),"")</f>
        <v/>
      </c>
      <c r="K1660" s="7" t="str">
        <f>IFERROR(__xludf.DUMMYFUNCTION("IF('Respuestas de formulario 1'!K1773="""","""",TO_TEXT('Respuestas de formulario 1'!K1773))"),"")</f>
        <v/>
      </c>
      <c r="L1660" s="7" t="str">
        <f>IFERROR(__xludf.DUMMYFUNCTION("IF('Respuestas de formulario 1'!L1773="""","""",TO_TEXT('Respuestas de formulario 1'!L1773))"),"")</f>
        <v/>
      </c>
      <c r="M1660" s="7" t="str">
        <f>IFERROR(__xludf.DUMMYFUNCTION("IF('Respuestas de formulario 1'!M1773="""","""",TO_TEXT('Respuestas de formulario 1'!M1773))"),"")</f>
        <v/>
      </c>
      <c r="N1660" s="7" t="str">
        <f t="shared" si="1"/>
        <v/>
      </c>
      <c r="O1660" s="7" t="str">
        <f t="shared" si="2"/>
        <v/>
      </c>
      <c r="P1660" s="7"/>
    </row>
    <row r="1661">
      <c r="A1661" s="7" t="str">
        <f>'Respuestas de formulario 1'!A1774</f>
        <v/>
      </c>
      <c r="B1661" s="7" t="str">
        <f>'Respuestas de formulario 1'!B1774</f>
        <v/>
      </c>
      <c r="C1661" s="7" t="str">
        <f>'Respuestas de formulario 1'!C1774</f>
        <v/>
      </c>
      <c r="D1661" s="7" t="str">
        <f>'Respuestas de formulario 1'!D1774</f>
        <v/>
      </c>
      <c r="E1661" s="7" t="str">
        <f>'Respuestas de formulario 1'!E1774</f>
        <v/>
      </c>
      <c r="F1661" s="7" t="str">
        <f>'Respuestas de formulario 1'!F1774</f>
        <v/>
      </c>
      <c r="G1661" s="7" t="str">
        <f>IFERROR(__xludf.DUMMYFUNCTION("IF('Respuestas de formulario 1'!G1774="""","""",IF(LEFT(REGEXREPLACE(TO_TEXT('Respuestas de formulario 1'!G1774),""[^0-9]"",""""),2)=""54"",""+""&amp;REGEXREPLACE(TO_TEXT('Respuestas de formulario 1'!G1774),""[^0-9]"",""""),""+54""&amp;REGEXREPLACE(TO_TEXT('Respu"&amp;"estas de formulario 1'!G1774),""[^0-9]"","""")))"),"")</f>
        <v/>
      </c>
      <c r="H1661" s="7" t="str">
        <f>'Respuestas de formulario 1'!S1774</f>
        <v/>
      </c>
      <c r="I1661" s="7" t="str">
        <f>IFERROR(__xludf.DUMMYFUNCTION("IF('Respuestas de formulario 1'!I1774="""","""",TO_TEXT('Respuestas de formulario 1'!I1774))"),"")</f>
        <v/>
      </c>
      <c r="J1661" s="7" t="str">
        <f>IFERROR(__xludf.DUMMYFUNCTION("IF('Respuestas de formulario 1'!J1774&lt;&gt;"""",UPPER(TRIM(TO_TEXT('Respuestas de formulario 1'!J1774))),IF('Respuestas de formulario 1'!O1774&lt;&gt;"""",UPPER(TRIM(TO_TEXT('Respuestas de formulario 1'!O1774))),""""))"),"")</f>
        <v/>
      </c>
      <c r="K1661" s="7" t="str">
        <f>IFERROR(__xludf.DUMMYFUNCTION("IF('Respuestas de formulario 1'!K1774="""","""",TO_TEXT('Respuestas de formulario 1'!K1774))"),"")</f>
        <v/>
      </c>
      <c r="L1661" s="7" t="str">
        <f>IFERROR(__xludf.DUMMYFUNCTION("IF('Respuestas de formulario 1'!L1774="""","""",TO_TEXT('Respuestas de formulario 1'!L1774))"),"")</f>
        <v/>
      </c>
      <c r="M1661" s="7" t="str">
        <f>IFERROR(__xludf.DUMMYFUNCTION("IF('Respuestas de formulario 1'!M1774="""","""",TO_TEXT('Respuestas de formulario 1'!M1774))"),"")</f>
        <v/>
      </c>
      <c r="N1661" s="7" t="str">
        <f t="shared" si="1"/>
        <v/>
      </c>
      <c r="O1661" s="7" t="str">
        <f t="shared" si="2"/>
        <v/>
      </c>
      <c r="P1661" s="7"/>
    </row>
    <row r="1662">
      <c r="A1662" s="7" t="str">
        <f>'Respuestas de formulario 1'!A1775</f>
        <v/>
      </c>
      <c r="B1662" s="7" t="str">
        <f>'Respuestas de formulario 1'!B1775</f>
        <v/>
      </c>
      <c r="C1662" s="7" t="str">
        <f>'Respuestas de formulario 1'!C1775</f>
        <v/>
      </c>
      <c r="D1662" s="7" t="str">
        <f>'Respuestas de formulario 1'!D1775</f>
        <v/>
      </c>
      <c r="E1662" s="7" t="str">
        <f>'Respuestas de formulario 1'!E1775</f>
        <v/>
      </c>
      <c r="F1662" s="7" t="str">
        <f>'Respuestas de formulario 1'!F1775</f>
        <v/>
      </c>
      <c r="G1662" s="7" t="str">
        <f>IFERROR(__xludf.DUMMYFUNCTION("IF('Respuestas de formulario 1'!G1775="""","""",IF(LEFT(REGEXREPLACE(TO_TEXT('Respuestas de formulario 1'!G1775),""[^0-9]"",""""),2)=""54"",""+""&amp;REGEXREPLACE(TO_TEXT('Respuestas de formulario 1'!G1775),""[^0-9]"",""""),""+54""&amp;REGEXREPLACE(TO_TEXT('Respu"&amp;"estas de formulario 1'!G1775),""[^0-9]"","""")))"),"")</f>
        <v/>
      </c>
      <c r="H1662" s="7" t="str">
        <f>'Respuestas de formulario 1'!S1775</f>
        <v/>
      </c>
      <c r="I1662" s="7" t="str">
        <f>IFERROR(__xludf.DUMMYFUNCTION("IF('Respuestas de formulario 1'!I1775="""","""",TO_TEXT('Respuestas de formulario 1'!I1775))"),"")</f>
        <v/>
      </c>
      <c r="J1662" s="7" t="str">
        <f>IFERROR(__xludf.DUMMYFUNCTION("IF('Respuestas de formulario 1'!J1775&lt;&gt;"""",UPPER(TRIM(TO_TEXT('Respuestas de formulario 1'!J1775))),IF('Respuestas de formulario 1'!O1775&lt;&gt;"""",UPPER(TRIM(TO_TEXT('Respuestas de formulario 1'!O1775))),""""))"),"")</f>
        <v/>
      </c>
      <c r="K1662" s="7" t="str">
        <f>IFERROR(__xludf.DUMMYFUNCTION("IF('Respuestas de formulario 1'!K1775="""","""",TO_TEXT('Respuestas de formulario 1'!K1775))"),"")</f>
        <v/>
      </c>
      <c r="L1662" s="7" t="str">
        <f>IFERROR(__xludf.DUMMYFUNCTION("IF('Respuestas de formulario 1'!L1775="""","""",TO_TEXT('Respuestas de formulario 1'!L1775))"),"")</f>
        <v/>
      </c>
      <c r="M1662" s="7" t="str">
        <f>IFERROR(__xludf.DUMMYFUNCTION("IF('Respuestas de formulario 1'!M1775="""","""",TO_TEXT('Respuestas de formulario 1'!M1775))"),"")</f>
        <v/>
      </c>
      <c r="N1662" s="7" t="str">
        <f t="shared" si="1"/>
        <v/>
      </c>
      <c r="O1662" s="7" t="str">
        <f t="shared" si="2"/>
        <v/>
      </c>
      <c r="P1662" s="7"/>
    </row>
    <row r="1663">
      <c r="A1663" s="7" t="str">
        <f>'Respuestas de formulario 1'!A1776</f>
        <v/>
      </c>
      <c r="B1663" s="7" t="str">
        <f>'Respuestas de formulario 1'!B1776</f>
        <v/>
      </c>
      <c r="C1663" s="7" t="str">
        <f>'Respuestas de formulario 1'!C1776</f>
        <v/>
      </c>
      <c r="D1663" s="7" t="str">
        <f>'Respuestas de formulario 1'!D1776</f>
        <v/>
      </c>
      <c r="E1663" s="7" t="str">
        <f>'Respuestas de formulario 1'!E1776</f>
        <v/>
      </c>
      <c r="F1663" s="7" t="str">
        <f>'Respuestas de formulario 1'!F1776</f>
        <v/>
      </c>
      <c r="G1663" s="7" t="str">
        <f>IFERROR(__xludf.DUMMYFUNCTION("IF('Respuestas de formulario 1'!G1776="""","""",IF(LEFT(REGEXREPLACE(TO_TEXT('Respuestas de formulario 1'!G1776),""[^0-9]"",""""),2)=""54"",""+""&amp;REGEXREPLACE(TO_TEXT('Respuestas de formulario 1'!G1776),""[^0-9]"",""""),""+54""&amp;REGEXREPLACE(TO_TEXT('Respu"&amp;"estas de formulario 1'!G1776),""[^0-9]"","""")))"),"")</f>
        <v/>
      </c>
      <c r="H1663" s="7" t="str">
        <f>'Respuestas de formulario 1'!S1776</f>
        <v/>
      </c>
      <c r="I1663" s="7" t="str">
        <f>IFERROR(__xludf.DUMMYFUNCTION("IF('Respuestas de formulario 1'!I1776="""","""",TO_TEXT('Respuestas de formulario 1'!I1776))"),"")</f>
        <v/>
      </c>
      <c r="J1663" s="7" t="str">
        <f>IFERROR(__xludf.DUMMYFUNCTION("IF('Respuestas de formulario 1'!J1776&lt;&gt;"""",UPPER(TRIM(TO_TEXT('Respuestas de formulario 1'!J1776))),IF('Respuestas de formulario 1'!O1776&lt;&gt;"""",UPPER(TRIM(TO_TEXT('Respuestas de formulario 1'!O1776))),""""))"),"")</f>
        <v/>
      </c>
      <c r="K1663" s="7" t="str">
        <f>IFERROR(__xludf.DUMMYFUNCTION("IF('Respuestas de formulario 1'!K1776="""","""",TO_TEXT('Respuestas de formulario 1'!K1776))"),"")</f>
        <v/>
      </c>
      <c r="L1663" s="7" t="str">
        <f>IFERROR(__xludf.DUMMYFUNCTION("IF('Respuestas de formulario 1'!L1776="""","""",TO_TEXT('Respuestas de formulario 1'!L1776))"),"")</f>
        <v/>
      </c>
      <c r="M1663" s="7" t="str">
        <f>IFERROR(__xludf.DUMMYFUNCTION("IF('Respuestas de formulario 1'!M1776="""","""",TO_TEXT('Respuestas de formulario 1'!M1776))"),"")</f>
        <v/>
      </c>
      <c r="N1663" s="7" t="str">
        <f t="shared" si="1"/>
        <v/>
      </c>
      <c r="O1663" s="7" t="str">
        <f t="shared" si="2"/>
        <v/>
      </c>
      <c r="P1663" s="7"/>
    </row>
    <row r="1664">
      <c r="A1664" s="7" t="str">
        <f>'Respuestas de formulario 1'!A1777</f>
        <v/>
      </c>
      <c r="B1664" s="7" t="str">
        <f>'Respuestas de formulario 1'!B1777</f>
        <v/>
      </c>
      <c r="C1664" s="7" t="str">
        <f>'Respuestas de formulario 1'!C1777</f>
        <v/>
      </c>
      <c r="D1664" s="7" t="str">
        <f>'Respuestas de formulario 1'!D1777</f>
        <v/>
      </c>
      <c r="E1664" s="7" t="str">
        <f>'Respuestas de formulario 1'!E1777</f>
        <v/>
      </c>
      <c r="F1664" s="7" t="str">
        <f>'Respuestas de formulario 1'!F1777</f>
        <v/>
      </c>
      <c r="G1664" s="7" t="str">
        <f>IFERROR(__xludf.DUMMYFUNCTION("IF('Respuestas de formulario 1'!G1777="""","""",IF(LEFT(REGEXREPLACE(TO_TEXT('Respuestas de formulario 1'!G1777),""[^0-9]"",""""),2)=""54"",""+""&amp;REGEXREPLACE(TO_TEXT('Respuestas de formulario 1'!G1777),""[^0-9]"",""""),""+54""&amp;REGEXREPLACE(TO_TEXT('Respu"&amp;"estas de formulario 1'!G1777),""[^0-9]"","""")))"),"")</f>
        <v/>
      </c>
      <c r="H1664" s="7" t="str">
        <f>'Respuestas de formulario 1'!S1777</f>
        <v/>
      </c>
      <c r="I1664" s="7" t="str">
        <f>IFERROR(__xludf.DUMMYFUNCTION("IF('Respuestas de formulario 1'!I1777="""","""",TO_TEXT('Respuestas de formulario 1'!I1777))"),"")</f>
        <v/>
      </c>
      <c r="J1664" s="7" t="str">
        <f>IFERROR(__xludf.DUMMYFUNCTION("IF('Respuestas de formulario 1'!J1777&lt;&gt;"""",UPPER(TRIM(TO_TEXT('Respuestas de formulario 1'!J1777))),IF('Respuestas de formulario 1'!O1777&lt;&gt;"""",UPPER(TRIM(TO_TEXT('Respuestas de formulario 1'!O1777))),""""))"),"")</f>
        <v/>
      </c>
      <c r="K1664" s="7" t="str">
        <f>IFERROR(__xludf.DUMMYFUNCTION("IF('Respuestas de formulario 1'!K1777="""","""",TO_TEXT('Respuestas de formulario 1'!K1777))"),"")</f>
        <v/>
      </c>
      <c r="L1664" s="7" t="str">
        <f>IFERROR(__xludf.DUMMYFUNCTION("IF('Respuestas de formulario 1'!L1777="""","""",TO_TEXT('Respuestas de formulario 1'!L1777))"),"")</f>
        <v/>
      </c>
      <c r="M1664" s="7" t="str">
        <f>IFERROR(__xludf.DUMMYFUNCTION("IF('Respuestas de formulario 1'!M1777="""","""",TO_TEXT('Respuestas de formulario 1'!M1777))"),"")</f>
        <v/>
      </c>
      <c r="N1664" s="7" t="str">
        <f t="shared" si="1"/>
        <v/>
      </c>
      <c r="O1664" s="7" t="str">
        <f t="shared" si="2"/>
        <v/>
      </c>
      <c r="P1664" s="7"/>
    </row>
    <row r="1665">
      <c r="A1665" s="7" t="str">
        <f>'Respuestas de formulario 1'!A1778</f>
        <v/>
      </c>
      <c r="B1665" s="7" t="str">
        <f>'Respuestas de formulario 1'!B1778</f>
        <v/>
      </c>
      <c r="C1665" s="7" t="str">
        <f>'Respuestas de formulario 1'!C1778</f>
        <v/>
      </c>
      <c r="D1665" s="7" t="str">
        <f>'Respuestas de formulario 1'!D1778</f>
        <v/>
      </c>
      <c r="E1665" s="7" t="str">
        <f>'Respuestas de formulario 1'!E1778</f>
        <v/>
      </c>
      <c r="F1665" s="7" t="str">
        <f>'Respuestas de formulario 1'!F1778</f>
        <v/>
      </c>
      <c r="G1665" s="7" t="str">
        <f>IFERROR(__xludf.DUMMYFUNCTION("IF('Respuestas de formulario 1'!G1778="""","""",IF(LEFT(REGEXREPLACE(TO_TEXT('Respuestas de formulario 1'!G1778),""[^0-9]"",""""),2)=""54"",""+""&amp;REGEXREPLACE(TO_TEXT('Respuestas de formulario 1'!G1778),""[^0-9]"",""""),""+54""&amp;REGEXREPLACE(TO_TEXT('Respu"&amp;"estas de formulario 1'!G1778),""[^0-9]"","""")))"),"")</f>
        <v/>
      </c>
      <c r="H1665" s="7" t="str">
        <f>'Respuestas de formulario 1'!S1778</f>
        <v/>
      </c>
      <c r="I1665" s="7" t="str">
        <f>IFERROR(__xludf.DUMMYFUNCTION("IF('Respuestas de formulario 1'!I1778="""","""",TO_TEXT('Respuestas de formulario 1'!I1778))"),"")</f>
        <v/>
      </c>
      <c r="J1665" s="7" t="str">
        <f>IFERROR(__xludf.DUMMYFUNCTION("IF('Respuestas de formulario 1'!J1778&lt;&gt;"""",UPPER(TRIM(TO_TEXT('Respuestas de formulario 1'!J1778))),IF('Respuestas de formulario 1'!O1778&lt;&gt;"""",UPPER(TRIM(TO_TEXT('Respuestas de formulario 1'!O1778))),""""))"),"")</f>
        <v/>
      </c>
      <c r="K1665" s="7" t="str">
        <f>IFERROR(__xludf.DUMMYFUNCTION("IF('Respuestas de formulario 1'!K1778="""","""",TO_TEXT('Respuestas de formulario 1'!K1778))"),"")</f>
        <v/>
      </c>
      <c r="L1665" s="7" t="str">
        <f>IFERROR(__xludf.DUMMYFUNCTION("IF('Respuestas de formulario 1'!L1778="""","""",TO_TEXT('Respuestas de formulario 1'!L1778))"),"")</f>
        <v/>
      </c>
      <c r="M1665" s="7" t="str">
        <f>IFERROR(__xludf.DUMMYFUNCTION("IF('Respuestas de formulario 1'!M1778="""","""",TO_TEXT('Respuestas de formulario 1'!M1778))"),"")</f>
        <v/>
      </c>
      <c r="N1665" s="7" t="str">
        <f t="shared" si="1"/>
        <v/>
      </c>
      <c r="O1665" s="7" t="str">
        <f t="shared" si="2"/>
        <v/>
      </c>
      <c r="P1665" s="7"/>
    </row>
    <row r="1666">
      <c r="A1666" s="7" t="str">
        <f>'Respuestas de formulario 1'!A1779</f>
        <v/>
      </c>
      <c r="B1666" s="7" t="str">
        <f>'Respuestas de formulario 1'!B1779</f>
        <v/>
      </c>
      <c r="C1666" s="7" t="str">
        <f>'Respuestas de formulario 1'!C1779</f>
        <v/>
      </c>
      <c r="D1666" s="7" t="str">
        <f>'Respuestas de formulario 1'!D1779</f>
        <v/>
      </c>
      <c r="E1666" s="7" t="str">
        <f>'Respuestas de formulario 1'!E1779</f>
        <v/>
      </c>
      <c r="F1666" s="7" t="str">
        <f>'Respuestas de formulario 1'!F1779</f>
        <v/>
      </c>
      <c r="G1666" s="7" t="str">
        <f>IFERROR(__xludf.DUMMYFUNCTION("IF('Respuestas de formulario 1'!G1779="""","""",IF(LEFT(REGEXREPLACE(TO_TEXT('Respuestas de formulario 1'!G1779),""[^0-9]"",""""),2)=""54"",""+""&amp;REGEXREPLACE(TO_TEXT('Respuestas de formulario 1'!G1779),""[^0-9]"",""""),""+54""&amp;REGEXREPLACE(TO_TEXT('Respu"&amp;"estas de formulario 1'!G1779),""[^0-9]"","""")))"),"")</f>
        <v/>
      </c>
      <c r="H1666" s="7" t="str">
        <f>'Respuestas de formulario 1'!S1779</f>
        <v/>
      </c>
      <c r="I1666" s="7" t="str">
        <f>IFERROR(__xludf.DUMMYFUNCTION("IF('Respuestas de formulario 1'!I1779="""","""",TO_TEXT('Respuestas de formulario 1'!I1779))"),"")</f>
        <v/>
      </c>
      <c r="J1666" s="7" t="str">
        <f>IFERROR(__xludf.DUMMYFUNCTION("IF('Respuestas de formulario 1'!J1779&lt;&gt;"""",UPPER(TRIM(TO_TEXT('Respuestas de formulario 1'!J1779))),IF('Respuestas de formulario 1'!O1779&lt;&gt;"""",UPPER(TRIM(TO_TEXT('Respuestas de formulario 1'!O1779))),""""))"),"")</f>
        <v/>
      </c>
      <c r="K1666" s="7" t="str">
        <f>IFERROR(__xludf.DUMMYFUNCTION("IF('Respuestas de formulario 1'!K1779="""","""",TO_TEXT('Respuestas de formulario 1'!K1779))"),"")</f>
        <v/>
      </c>
      <c r="L1666" s="7" t="str">
        <f>IFERROR(__xludf.DUMMYFUNCTION("IF('Respuestas de formulario 1'!L1779="""","""",TO_TEXT('Respuestas de formulario 1'!L1779))"),"")</f>
        <v/>
      </c>
      <c r="M1666" s="7" t="str">
        <f>IFERROR(__xludf.DUMMYFUNCTION("IF('Respuestas de formulario 1'!M1779="""","""",TO_TEXT('Respuestas de formulario 1'!M1779))"),"")</f>
        <v/>
      </c>
      <c r="N1666" s="7" t="str">
        <f t="shared" si="1"/>
        <v/>
      </c>
      <c r="O1666" s="7" t="str">
        <f t="shared" si="2"/>
        <v/>
      </c>
      <c r="P1666" s="7"/>
    </row>
    <row r="1667">
      <c r="A1667" s="7" t="str">
        <f>'Respuestas de formulario 1'!A1780</f>
        <v/>
      </c>
      <c r="B1667" s="7" t="str">
        <f>'Respuestas de formulario 1'!B1780</f>
        <v/>
      </c>
      <c r="C1667" s="7" t="str">
        <f>'Respuestas de formulario 1'!C1780</f>
        <v/>
      </c>
      <c r="D1667" s="7" t="str">
        <f>'Respuestas de formulario 1'!D1780</f>
        <v/>
      </c>
      <c r="E1667" s="7" t="str">
        <f>'Respuestas de formulario 1'!E1780</f>
        <v/>
      </c>
      <c r="F1667" s="7" t="str">
        <f>'Respuestas de formulario 1'!F1780</f>
        <v/>
      </c>
      <c r="G1667" s="7" t="str">
        <f>IFERROR(__xludf.DUMMYFUNCTION("IF('Respuestas de formulario 1'!G1780="""","""",IF(LEFT(REGEXREPLACE(TO_TEXT('Respuestas de formulario 1'!G1780),""[^0-9]"",""""),2)=""54"",""+""&amp;REGEXREPLACE(TO_TEXT('Respuestas de formulario 1'!G1780),""[^0-9]"",""""),""+54""&amp;REGEXREPLACE(TO_TEXT('Respu"&amp;"estas de formulario 1'!G1780),""[^0-9]"","""")))"),"")</f>
        <v/>
      </c>
      <c r="H1667" s="7" t="str">
        <f>'Respuestas de formulario 1'!S1780</f>
        <v/>
      </c>
      <c r="I1667" s="7" t="str">
        <f>IFERROR(__xludf.DUMMYFUNCTION("IF('Respuestas de formulario 1'!I1780="""","""",TO_TEXT('Respuestas de formulario 1'!I1780))"),"")</f>
        <v/>
      </c>
      <c r="J1667" s="7" t="str">
        <f>IFERROR(__xludf.DUMMYFUNCTION("IF('Respuestas de formulario 1'!J1780&lt;&gt;"""",UPPER(TRIM(TO_TEXT('Respuestas de formulario 1'!J1780))),IF('Respuestas de formulario 1'!O1780&lt;&gt;"""",UPPER(TRIM(TO_TEXT('Respuestas de formulario 1'!O1780))),""""))"),"")</f>
        <v/>
      </c>
      <c r="K1667" s="7" t="str">
        <f>IFERROR(__xludf.DUMMYFUNCTION("IF('Respuestas de formulario 1'!K1780="""","""",TO_TEXT('Respuestas de formulario 1'!K1780))"),"")</f>
        <v/>
      </c>
      <c r="L1667" s="7" t="str">
        <f>IFERROR(__xludf.DUMMYFUNCTION("IF('Respuestas de formulario 1'!L1780="""","""",TO_TEXT('Respuestas de formulario 1'!L1780))"),"")</f>
        <v/>
      </c>
      <c r="M1667" s="7" t="str">
        <f>IFERROR(__xludf.DUMMYFUNCTION("IF('Respuestas de formulario 1'!M1780="""","""",TO_TEXT('Respuestas de formulario 1'!M1780))"),"")</f>
        <v/>
      </c>
      <c r="N1667" s="7" t="str">
        <f t="shared" si="1"/>
        <v/>
      </c>
      <c r="O1667" s="7" t="str">
        <f t="shared" si="2"/>
        <v/>
      </c>
      <c r="P1667" s="7"/>
    </row>
    <row r="1668">
      <c r="A1668" s="7" t="str">
        <f>'Respuestas de formulario 1'!A1781</f>
        <v/>
      </c>
      <c r="B1668" s="7" t="str">
        <f>'Respuestas de formulario 1'!B1781</f>
        <v/>
      </c>
      <c r="C1668" s="7" t="str">
        <f>'Respuestas de formulario 1'!C1781</f>
        <v/>
      </c>
      <c r="D1668" s="7" t="str">
        <f>'Respuestas de formulario 1'!D1781</f>
        <v/>
      </c>
      <c r="E1668" s="7" t="str">
        <f>'Respuestas de formulario 1'!E1781</f>
        <v/>
      </c>
      <c r="F1668" s="7" t="str">
        <f>'Respuestas de formulario 1'!F1781</f>
        <v/>
      </c>
      <c r="G1668" s="7" t="str">
        <f>IFERROR(__xludf.DUMMYFUNCTION("IF('Respuestas de formulario 1'!G1781="""","""",IF(LEFT(REGEXREPLACE(TO_TEXT('Respuestas de formulario 1'!G1781),""[^0-9]"",""""),2)=""54"",""+""&amp;REGEXREPLACE(TO_TEXT('Respuestas de formulario 1'!G1781),""[^0-9]"",""""),""+54""&amp;REGEXREPLACE(TO_TEXT('Respu"&amp;"estas de formulario 1'!G1781),""[^0-9]"","""")))"),"")</f>
        <v/>
      </c>
      <c r="H1668" s="7" t="str">
        <f>'Respuestas de formulario 1'!S1781</f>
        <v/>
      </c>
      <c r="I1668" s="7" t="str">
        <f>IFERROR(__xludf.DUMMYFUNCTION("IF('Respuestas de formulario 1'!I1781="""","""",TO_TEXT('Respuestas de formulario 1'!I1781))"),"")</f>
        <v/>
      </c>
      <c r="J1668" s="7" t="str">
        <f>IFERROR(__xludf.DUMMYFUNCTION("IF('Respuestas de formulario 1'!J1781&lt;&gt;"""",UPPER(TRIM(TO_TEXT('Respuestas de formulario 1'!J1781))),IF('Respuestas de formulario 1'!O1781&lt;&gt;"""",UPPER(TRIM(TO_TEXT('Respuestas de formulario 1'!O1781))),""""))"),"")</f>
        <v/>
      </c>
      <c r="K1668" s="7" t="str">
        <f>IFERROR(__xludf.DUMMYFUNCTION("IF('Respuestas de formulario 1'!K1781="""","""",TO_TEXT('Respuestas de formulario 1'!K1781))"),"")</f>
        <v/>
      </c>
      <c r="L1668" s="7" t="str">
        <f>IFERROR(__xludf.DUMMYFUNCTION("IF('Respuestas de formulario 1'!L1781="""","""",TO_TEXT('Respuestas de formulario 1'!L1781))"),"")</f>
        <v/>
      </c>
      <c r="M1668" s="7" t="str">
        <f>IFERROR(__xludf.DUMMYFUNCTION("IF('Respuestas de formulario 1'!M1781="""","""",TO_TEXT('Respuestas de formulario 1'!M1781))"),"")</f>
        <v/>
      </c>
      <c r="N1668" s="7" t="str">
        <f t="shared" si="1"/>
        <v/>
      </c>
      <c r="O1668" s="7" t="str">
        <f t="shared" si="2"/>
        <v/>
      </c>
      <c r="P1668" s="7"/>
    </row>
    <row r="1669">
      <c r="A1669" s="7" t="str">
        <f>'Respuestas de formulario 1'!A1782</f>
        <v/>
      </c>
      <c r="B1669" s="7" t="str">
        <f>'Respuestas de formulario 1'!B1782</f>
        <v/>
      </c>
      <c r="C1669" s="7" t="str">
        <f>'Respuestas de formulario 1'!C1782</f>
        <v/>
      </c>
      <c r="D1669" s="7" t="str">
        <f>'Respuestas de formulario 1'!D1782</f>
        <v/>
      </c>
      <c r="E1669" s="7" t="str">
        <f>'Respuestas de formulario 1'!E1782</f>
        <v/>
      </c>
      <c r="F1669" s="7" t="str">
        <f>'Respuestas de formulario 1'!F1782</f>
        <v/>
      </c>
      <c r="G1669" s="7" t="str">
        <f>IFERROR(__xludf.DUMMYFUNCTION("IF('Respuestas de formulario 1'!G1782="""","""",IF(LEFT(REGEXREPLACE(TO_TEXT('Respuestas de formulario 1'!G1782),""[^0-9]"",""""),2)=""54"",""+""&amp;REGEXREPLACE(TO_TEXT('Respuestas de formulario 1'!G1782),""[^0-9]"",""""),""+54""&amp;REGEXREPLACE(TO_TEXT('Respu"&amp;"estas de formulario 1'!G1782),""[^0-9]"","""")))"),"")</f>
        <v/>
      </c>
      <c r="H1669" s="7" t="str">
        <f>'Respuestas de formulario 1'!S1782</f>
        <v/>
      </c>
      <c r="I1669" s="7" t="str">
        <f>IFERROR(__xludf.DUMMYFUNCTION("IF('Respuestas de formulario 1'!I1782="""","""",TO_TEXT('Respuestas de formulario 1'!I1782))"),"")</f>
        <v/>
      </c>
      <c r="J1669" s="7" t="str">
        <f>IFERROR(__xludf.DUMMYFUNCTION("IF('Respuestas de formulario 1'!J1782&lt;&gt;"""",UPPER(TRIM(TO_TEXT('Respuestas de formulario 1'!J1782))),IF('Respuestas de formulario 1'!O1782&lt;&gt;"""",UPPER(TRIM(TO_TEXT('Respuestas de formulario 1'!O1782))),""""))"),"")</f>
        <v/>
      </c>
      <c r="K1669" s="7" t="str">
        <f>IFERROR(__xludf.DUMMYFUNCTION("IF('Respuestas de formulario 1'!K1782="""","""",TO_TEXT('Respuestas de formulario 1'!K1782))"),"")</f>
        <v/>
      </c>
      <c r="L1669" s="7" t="str">
        <f>IFERROR(__xludf.DUMMYFUNCTION("IF('Respuestas de formulario 1'!L1782="""","""",TO_TEXT('Respuestas de formulario 1'!L1782))"),"")</f>
        <v/>
      </c>
      <c r="M1669" s="7" t="str">
        <f>IFERROR(__xludf.DUMMYFUNCTION("IF('Respuestas de formulario 1'!M1782="""","""",TO_TEXT('Respuestas de formulario 1'!M1782))"),"")</f>
        <v/>
      </c>
      <c r="N1669" s="7" t="str">
        <f t="shared" si="1"/>
        <v/>
      </c>
      <c r="O1669" s="7" t="str">
        <f t="shared" si="2"/>
        <v/>
      </c>
      <c r="P1669" s="7"/>
    </row>
    <row r="1670">
      <c r="A1670" s="7" t="str">
        <f>'Respuestas de formulario 1'!A1783</f>
        <v/>
      </c>
      <c r="B1670" s="7" t="str">
        <f>'Respuestas de formulario 1'!B1783</f>
        <v/>
      </c>
      <c r="C1670" s="7" t="str">
        <f>'Respuestas de formulario 1'!C1783</f>
        <v/>
      </c>
      <c r="D1670" s="7" t="str">
        <f>'Respuestas de formulario 1'!D1783</f>
        <v/>
      </c>
      <c r="E1670" s="7" t="str">
        <f>'Respuestas de formulario 1'!E1783</f>
        <v/>
      </c>
      <c r="F1670" s="7" t="str">
        <f>'Respuestas de formulario 1'!F1783</f>
        <v/>
      </c>
      <c r="G1670" s="7" t="str">
        <f>IFERROR(__xludf.DUMMYFUNCTION("IF('Respuestas de formulario 1'!G1783="""","""",IF(LEFT(REGEXREPLACE(TO_TEXT('Respuestas de formulario 1'!G1783),""[^0-9]"",""""),2)=""54"",""+""&amp;REGEXREPLACE(TO_TEXT('Respuestas de formulario 1'!G1783),""[^0-9]"",""""),""+54""&amp;REGEXREPLACE(TO_TEXT('Respu"&amp;"estas de formulario 1'!G1783),""[^0-9]"","""")))"),"")</f>
        <v/>
      </c>
      <c r="H1670" s="7" t="str">
        <f>'Respuestas de formulario 1'!S1783</f>
        <v/>
      </c>
      <c r="I1670" s="7" t="str">
        <f>IFERROR(__xludf.DUMMYFUNCTION("IF('Respuestas de formulario 1'!I1783="""","""",TO_TEXT('Respuestas de formulario 1'!I1783))"),"")</f>
        <v/>
      </c>
      <c r="J1670" s="7" t="str">
        <f>IFERROR(__xludf.DUMMYFUNCTION("IF('Respuestas de formulario 1'!J1783&lt;&gt;"""",UPPER(TRIM(TO_TEXT('Respuestas de formulario 1'!J1783))),IF('Respuestas de formulario 1'!O1783&lt;&gt;"""",UPPER(TRIM(TO_TEXT('Respuestas de formulario 1'!O1783))),""""))"),"")</f>
        <v/>
      </c>
      <c r="K1670" s="7" t="str">
        <f>IFERROR(__xludf.DUMMYFUNCTION("IF('Respuestas de formulario 1'!K1783="""","""",TO_TEXT('Respuestas de formulario 1'!K1783))"),"")</f>
        <v/>
      </c>
      <c r="L1670" s="7" t="str">
        <f>IFERROR(__xludf.DUMMYFUNCTION("IF('Respuestas de formulario 1'!L1783="""","""",TO_TEXT('Respuestas de formulario 1'!L1783))"),"")</f>
        <v/>
      </c>
      <c r="M1670" s="7" t="str">
        <f>IFERROR(__xludf.DUMMYFUNCTION("IF('Respuestas de formulario 1'!M1783="""","""",TO_TEXT('Respuestas de formulario 1'!M1783))"),"")</f>
        <v/>
      </c>
      <c r="N1670" s="7" t="str">
        <f t="shared" si="1"/>
        <v/>
      </c>
      <c r="O1670" s="7" t="str">
        <f t="shared" si="2"/>
        <v/>
      </c>
      <c r="P1670" s="7"/>
    </row>
    <row r="1671">
      <c r="A1671" s="7" t="str">
        <f>'Respuestas de formulario 1'!A1784</f>
        <v/>
      </c>
      <c r="B1671" s="7" t="str">
        <f>'Respuestas de formulario 1'!B1784</f>
        <v/>
      </c>
      <c r="C1671" s="7" t="str">
        <f>'Respuestas de formulario 1'!C1784</f>
        <v/>
      </c>
      <c r="D1671" s="7" t="str">
        <f>'Respuestas de formulario 1'!D1784</f>
        <v/>
      </c>
      <c r="E1671" s="7" t="str">
        <f>'Respuestas de formulario 1'!E1784</f>
        <v/>
      </c>
      <c r="F1671" s="7" t="str">
        <f>'Respuestas de formulario 1'!F1784</f>
        <v/>
      </c>
      <c r="G1671" s="7" t="str">
        <f>IFERROR(__xludf.DUMMYFUNCTION("IF('Respuestas de formulario 1'!G1784="""","""",IF(LEFT(REGEXREPLACE(TO_TEXT('Respuestas de formulario 1'!G1784),""[^0-9]"",""""),2)=""54"",""+""&amp;REGEXREPLACE(TO_TEXT('Respuestas de formulario 1'!G1784),""[^0-9]"",""""),""+54""&amp;REGEXREPLACE(TO_TEXT('Respu"&amp;"estas de formulario 1'!G1784),""[^0-9]"","""")))"),"")</f>
        <v/>
      </c>
      <c r="H1671" s="7" t="str">
        <f>'Respuestas de formulario 1'!S1784</f>
        <v/>
      </c>
      <c r="I1671" s="7" t="str">
        <f>IFERROR(__xludf.DUMMYFUNCTION("IF('Respuestas de formulario 1'!I1784="""","""",TO_TEXT('Respuestas de formulario 1'!I1784))"),"")</f>
        <v/>
      </c>
      <c r="J1671" s="7" t="str">
        <f>IFERROR(__xludf.DUMMYFUNCTION("IF('Respuestas de formulario 1'!J1784&lt;&gt;"""",UPPER(TRIM(TO_TEXT('Respuestas de formulario 1'!J1784))),IF('Respuestas de formulario 1'!O1784&lt;&gt;"""",UPPER(TRIM(TO_TEXT('Respuestas de formulario 1'!O1784))),""""))"),"")</f>
        <v/>
      </c>
      <c r="K1671" s="7" t="str">
        <f>IFERROR(__xludf.DUMMYFUNCTION("IF('Respuestas de formulario 1'!K1784="""","""",TO_TEXT('Respuestas de formulario 1'!K1784))"),"")</f>
        <v/>
      </c>
      <c r="L1671" s="7" t="str">
        <f>IFERROR(__xludf.DUMMYFUNCTION("IF('Respuestas de formulario 1'!L1784="""","""",TO_TEXT('Respuestas de formulario 1'!L1784))"),"")</f>
        <v/>
      </c>
      <c r="M1671" s="7" t="str">
        <f>IFERROR(__xludf.DUMMYFUNCTION("IF('Respuestas de formulario 1'!M1784="""","""",TO_TEXT('Respuestas de formulario 1'!M1784))"),"")</f>
        <v/>
      </c>
      <c r="N1671" s="7" t="str">
        <f t="shared" si="1"/>
        <v/>
      </c>
      <c r="O1671" s="7" t="str">
        <f t="shared" si="2"/>
        <v/>
      </c>
      <c r="P1671" s="7"/>
    </row>
    <row r="1672">
      <c r="A1672" s="7" t="str">
        <f>'Respuestas de formulario 1'!A1785</f>
        <v/>
      </c>
      <c r="B1672" s="7" t="str">
        <f>'Respuestas de formulario 1'!B1785</f>
        <v/>
      </c>
      <c r="C1672" s="7" t="str">
        <f>'Respuestas de formulario 1'!C1785</f>
        <v/>
      </c>
      <c r="D1672" s="7" t="str">
        <f>'Respuestas de formulario 1'!D1785</f>
        <v/>
      </c>
      <c r="E1672" s="7" t="str">
        <f>'Respuestas de formulario 1'!E1785</f>
        <v/>
      </c>
      <c r="F1672" s="7" t="str">
        <f>'Respuestas de formulario 1'!F1785</f>
        <v/>
      </c>
      <c r="G1672" s="7" t="str">
        <f>IFERROR(__xludf.DUMMYFUNCTION("IF('Respuestas de formulario 1'!G1785="""","""",IF(LEFT(REGEXREPLACE(TO_TEXT('Respuestas de formulario 1'!G1785),""[^0-9]"",""""),2)=""54"",""+""&amp;REGEXREPLACE(TO_TEXT('Respuestas de formulario 1'!G1785),""[^0-9]"",""""),""+54""&amp;REGEXREPLACE(TO_TEXT('Respu"&amp;"estas de formulario 1'!G1785),""[^0-9]"","""")))"),"")</f>
        <v/>
      </c>
      <c r="H1672" s="7" t="str">
        <f>'Respuestas de formulario 1'!S1785</f>
        <v/>
      </c>
      <c r="I1672" s="7" t="str">
        <f>IFERROR(__xludf.DUMMYFUNCTION("IF('Respuestas de formulario 1'!I1785="""","""",TO_TEXT('Respuestas de formulario 1'!I1785))"),"")</f>
        <v/>
      </c>
      <c r="J1672" s="7" t="str">
        <f>IFERROR(__xludf.DUMMYFUNCTION("IF('Respuestas de formulario 1'!J1785&lt;&gt;"""",UPPER(TRIM(TO_TEXT('Respuestas de formulario 1'!J1785))),IF('Respuestas de formulario 1'!O1785&lt;&gt;"""",UPPER(TRIM(TO_TEXT('Respuestas de formulario 1'!O1785))),""""))"),"")</f>
        <v/>
      </c>
      <c r="K1672" s="7" t="str">
        <f>IFERROR(__xludf.DUMMYFUNCTION("IF('Respuestas de formulario 1'!K1785="""","""",TO_TEXT('Respuestas de formulario 1'!K1785))"),"")</f>
        <v/>
      </c>
      <c r="L1672" s="7" t="str">
        <f>IFERROR(__xludf.DUMMYFUNCTION("IF('Respuestas de formulario 1'!L1785="""","""",TO_TEXT('Respuestas de formulario 1'!L1785))"),"")</f>
        <v/>
      </c>
      <c r="M1672" s="7" t="str">
        <f>IFERROR(__xludf.DUMMYFUNCTION("IF('Respuestas de formulario 1'!M1785="""","""",TO_TEXT('Respuestas de formulario 1'!M1785))"),"")</f>
        <v/>
      </c>
      <c r="N1672" s="7" t="str">
        <f t="shared" si="1"/>
        <v/>
      </c>
      <c r="O1672" s="7" t="str">
        <f t="shared" si="2"/>
        <v/>
      </c>
      <c r="P1672" s="7"/>
    </row>
    <row r="1673">
      <c r="A1673" s="7" t="str">
        <f>'Respuestas de formulario 1'!A1786</f>
        <v/>
      </c>
      <c r="B1673" s="7" t="str">
        <f>'Respuestas de formulario 1'!B1786</f>
        <v/>
      </c>
      <c r="C1673" s="7" t="str">
        <f>'Respuestas de formulario 1'!C1786</f>
        <v/>
      </c>
      <c r="D1673" s="7" t="str">
        <f>'Respuestas de formulario 1'!D1786</f>
        <v/>
      </c>
      <c r="E1673" s="7" t="str">
        <f>'Respuestas de formulario 1'!E1786</f>
        <v/>
      </c>
      <c r="F1673" s="7" t="str">
        <f>'Respuestas de formulario 1'!F1786</f>
        <v/>
      </c>
      <c r="G1673" s="7" t="str">
        <f>IFERROR(__xludf.DUMMYFUNCTION("IF('Respuestas de formulario 1'!G1786="""","""",IF(LEFT(REGEXREPLACE(TO_TEXT('Respuestas de formulario 1'!G1786),""[^0-9]"",""""),2)=""54"",""+""&amp;REGEXREPLACE(TO_TEXT('Respuestas de formulario 1'!G1786),""[^0-9]"",""""),""+54""&amp;REGEXREPLACE(TO_TEXT('Respu"&amp;"estas de formulario 1'!G1786),""[^0-9]"","""")))"),"")</f>
        <v/>
      </c>
      <c r="H1673" s="7" t="str">
        <f>'Respuestas de formulario 1'!S1786</f>
        <v/>
      </c>
      <c r="I1673" s="7" t="str">
        <f>IFERROR(__xludf.DUMMYFUNCTION("IF('Respuestas de formulario 1'!I1786="""","""",TO_TEXT('Respuestas de formulario 1'!I1786))"),"")</f>
        <v/>
      </c>
      <c r="J1673" s="7" t="str">
        <f>IFERROR(__xludf.DUMMYFUNCTION("IF('Respuestas de formulario 1'!J1786&lt;&gt;"""",UPPER(TRIM(TO_TEXT('Respuestas de formulario 1'!J1786))),IF('Respuestas de formulario 1'!O1786&lt;&gt;"""",UPPER(TRIM(TO_TEXT('Respuestas de formulario 1'!O1786))),""""))"),"")</f>
        <v/>
      </c>
      <c r="K1673" s="7" t="str">
        <f>IFERROR(__xludf.DUMMYFUNCTION("IF('Respuestas de formulario 1'!K1786="""","""",TO_TEXT('Respuestas de formulario 1'!K1786))"),"")</f>
        <v/>
      </c>
      <c r="L1673" s="7" t="str">
        <f>IFERROR(__xludf.DUMMYFUNCTION("IF('Respuestas de formulario 1'!L1786="""","""",TO_TEXT('Respuestas de formulario 1'!L1786))"),"")</f>
        <v/>
      </c>
      <c r="M1673" s="7" t="str">
        <f>IFERROR(__xludf.DUMMYFUNCTION("IF('Respuestas de formulario 1'!M1786="""","""",TO_TEXT('Respuestas de formulario 1'!M1786))"),"")</f>
        <v/>
      </c>
      <c r="N1673" s="7" t="str">
        <f t="shared" si="1"/>
        <v/>
      </c>
      <c r="O1673" s="7" t="str">
        <f t="shared" si="2"/>
        <v/>
      </c>
      <c r="P1673" s="7"/>
    </row>
    <row r="1674">
      <c r="A1674" s="7" t="str">
        <f>'Respuestas de formulario 1'!A1787</f>
        <v/>
      </c>
      <c r="B1674" s="7" t="str">
        <f>'Respuestas de formulario 1'!B1787</f>
        <v/>
      </c>
      <c r="C1674" s="7" t="str">
        <f>'Respuestas de formulario 1'!C1787</f>
        <v/>
      </c>
      <c r="D1674" s="7" t="str">
        <f>'Respuestas de formulario 1'!D1787</f>
        <v/>
      </c>
      <c r="E1674" s="7" t="str">
        <f>'Respuestas de formulario 1'!E1787</f>
        <v/>
      </c>
      <c r="F1674" s="7" t="str">
        <f>'Respuestas de formulario 1'!F1787</f>
        <v/>
      </c>
      <c r="G1674" s="7" t="str">
        <f>IFERROR(__xludf.DUMMYFUNCTION("IF('Respuestas de formulario 1'!G1787="""","""",IF(LEFT(REGEXREPLACE(TO_TEXT('Respuestas de formulario 1'!G1787),""[^0-9]"",""""),2)=""54"",""+""&amp;REGEXREPLACE(TO_TEXT('Respuestas de formulario 1'!G1787),""[^0-9]"",""""),""+54""&amp;REGEXREPLACE(TO_TEXT('Respu"&amp;"estas de formulario 1'!G1787),""[^0-9]"","""")))"),"")</f>
        <v/>
      </c>
      <c r="H1674" s="7" t="str">
        <f>'Respuestas de formulario 1'!S1787</f>
        <v/>
      </c>
      <c r="I1674" s="7" t="str">
        <f>IFERROR(__xludf.DUMMYFUNCTION("IF('Respuestas de formulario 1'!I1787="""","""",TO_TEXT('Respuestas de formulario 1'!I1787))"),"")</f>
        <v/>
      </c>
      <c r="J1674" s="7" t="str">
        <f>IFERROR(__xludf.DUMMYFUNCTION("IF('Respuestas de formulario 1'!J1787&lt;&gt;"""",UPPER(TRIM(TO_TEXT('Respuestas de formulario 1'!J1787))),IF('Respuestas de formulario 1'!O1787&lt;&gt;"""",UPPER(TRIM(TO_TEXT('Respuestas de formulario 1'!O1787))),""""))"),"")</f>
        <v/>
      </c>
      <c r="K1674" s="7" t="str">
        <f>IFERROR(__xludf.DUMMYFUNCTION("IF('Respuestas de formulario 1'!K1787="""","""",TO_TEXT('Respuestas de formulario 1'!K1787))"),"")</f>
        <v/>
      </c>
      <c r="L1674" s="7" t="str">
        <f>IFERROR(__xludf.DUMMYFUNCTION("IF('Respuestas de formulario 1'!L1787="""","""",TO_TEXT('Respuestas de formulario 1'!L1787))"),"")</f>
        <v/>
      </c>
      <c r="M1674" s="7" t="str">
        <f>IFERROR(__xludf.DUMMYFUNCTION("IF('Respuestas de formulario 1'!M1787="""","""",TO_TEXT('Respuestas de formulario 1'!M1787))"),"")</f>
        <v/>
      </c>
      <c r="N1674" s="7" t="str">
        <f t="shared" si="1"/>
        <v/>
      </c>
      <c r="O1674" s="7" t="str">
        <f t="shared" si="2"/>
        <v/>
      </c>
      <c r="P1674" s="7"/>
    </row>
    <row r="1675">
      <c r="A1675" s="7" t="str">
        <f>'Respuestas de formulario 1'!A1788</f>
        <v/>
      </c>
      <c r="B1675" s="7" t="str">
        <f>'Respuestas de formulario 1'!B1788</f>
        <v/>
      </c>
      <c r="C1675" s="7" t="str">
        <f>'Respuestas de formulario 1'!C1788</f>
        <v/>
      </c>
      <c r="D1675" s="7" t="str">
        <f>'Respuestas de formulario 1'!D1788</f>
        <v/>
      </c>
      <c r="E1675" s="7" t="str">
        <f>'Respuestas de formulario 1'!E1788</f>
        <v/>
      </c>
      <c r="F1675" s="7" t="str">
        <f>'Respuestas de formulario 1'!F1788</f>
        <v/>
      </c>
      <c r="G1675" s="7" t="str">
        <f>IFERROR(__xludf.DUMMYFUNCTION("IF('Respuestas de formulario 1'!G1788="""","""",IF(LEFT(REGEXREPLACE(TO_TEXT('Respuestas de formulario 1'!G1788),""[^0-9]"",""""),2)=""54"",""+""&amp;REGEXREPLACE(TO_TEXT('Respuestas de formulario 1'!G1788),""[^0-9]"",""""),""+54""&amp;REGEXREPLACE(TO_TEXT('Respu"&amp;"estas de formulario 1'!G1788),""[^0-9]"","""")))"),"")</f>
        <v/>
      </c>
      <c r="H1675" s="7" t="str">
        <f>'Respuestas de formulario 1'!S1788</f>
        <v/>
      </c>
      <c r="I1675" s="7" t="str">
        <f>IFERROR(__xludf.DUMMYFUNCTION("IF('Respuestas de formulario 1'!I1788="""","""",TO_TEXT('Respuestas de formulario 1'!I1788))"),"")</f>
        <v/>
      </c>
      <c r="J1675" s="7" t="str">
        <f>IFERROR(__xludf.DUMMYFUNCTION("IF('Respuestas de formulario 1'!J1788&lt;&gt;"""",UPPER(TRIM(TO_TEXT('Respuestas de formulario 1'!J1788))),IF('Respuestas de formulario 1'!O1788&lt;&gt;"""",UPPER(TRIM(TO_TEXT('Respuestas de formulario 1'!O1788))),""""))"),"")</f>
        <v/>
      </c>
      <c r="K1675" s="7" t="str">
        <f>IFERROR(__xludf.DUMMYFUNCTION("IF('Respuestas de formulario 1'!K1788="""","""",TO_TEXT('Respuestas de formulario 1'!K1788))"),"")</f>
        <v/>
      </c>
      <c r="L1675" s="7" t="str">
        <f>IFERROR(__xludf.DUMMYFUNCTION("IF('Respuestas de formulario 1'!L1788="""","""",TO_TEXT('Respuestas de formulario 1'!L1788))"),"")</f>
        <v/>
      </c>
      <c r="M1675" s="7" t="str">
        <f>IFERROR(__xludf.DUMMYFUNCTION("IF('Respuestas de formulario 1'!M1788="""","""",TO_TEXT('Respuestas de formulario 1'!M1788))"),"")</f>
        <v/>
      </c>
      <c r="N1675" s="7" t="str">
        <f t="shared" si="1"/>
        <v/>
      </c>
      <c r="O1675" s="7" t="str">
        <f t="shared" si="2"/>
        <v/>
      </c>
      <c r="P1675" s="7"/>
    </row>
    <row r="1676">
      <c r="A1676" s="7" t="str">
        <f>'Respuestas de formulario 1'!A1789</f>
        <v/>
      </c>
      <c r="B1676" s="7" t="str">
        <f>'Respuestas de formulario 1'!B1789</f>
        <v/>
      </c>
      <c r="C1676" s="7" t="str">
        <f>'Respuestas de formulario 1'!C1789</f>
        <v/>
      </c>
      <c r="D1676" s="7" t="str">
        <f>'Respuestas de formulario 1'!D1789</f>
        <v/>
      </c>
      <c r="E1676" s="7" t="str">
        <f>'Respuestas de formulario 1'!E1789</f>
        <v/>
      </c>
      <c r="F1676" s="7" t="str">
        <f>'Respuestas de formulario 1'!F1789</f>
        <v/>
      </c>
      <c r="G1676" s="7" t="str">
        <f>IFERROR(__xludf.DUMMYFUNCTION("IF('Respuestas de formulario 1'!G1789="""","""",IF(LEFT(REGEXREPLACE(TO_TEXT('Respuestas de formulario 1'!G1789),""[^0-9]"",""""),2)=""54"",""+""&amp;REGEXREPLACE(TO_TEXT('Respuestas de formulario 1'!G1789),""[^0-9]"",""""),""+54""&amp;REGEXREPLACE(TO_TEXT('Respu"&amp;"estas de formulario 1'!G1789),""[^0-9]"","""")))"),"")</f>
        <v/>
      </c>
      <c r="H1676" s="7" t="str">
        <f>'Respuestas de formulario 1'!S1789</f>
        <v/>
      </c>
      <c r="I1676" s="7" t="str">
        <f>IFERROR(__xludf.DUMMYFUNCTION("IF('Respuestas de formulario 1'!I1789="""","""",TO_TEXT('Respuestas de formulario 1'!I1789))"),"")</f>
        <v/>
      </c>
      <c r="J1676" s="7" t="str">
        <f>IFERROR(__xludf.DUMMYFUNCTION("IF('Respuestas de formulario 1'!J1789&lt;&gt;"""",UPPER(TRIM(TO_TEXT('Respuestas de formulario 1'!J1789))),IF('Respuestas de formulario 1'!O1789&lt;&gt;"""",UPPER(TRIM(TO_TEXT('Respuestas de formulario 1'!O1789))),""""))"),"")</f>
        <v/>
      </c>
      <c r="K1676" s="7" t="str">
        <f>IFERROR(__xludf.DUMMYFUNCTION("IF('Respuestas de formulario 1'!K1789="""","""",TO_TEXT('Respuestas de formulario 1'!K1789))"),"")</f>
        <v/>
      </c>
      <c r="L1676" s="7" t="str">
        <f>IFERROR(__xludf.DUMMYFUNCTION("IF('Respuestas de formulario 1'!L1789="""","""",TO_TEXT('Respuestas de formulario 1'!L1789))"),"")</f>
        <v/>
      </c>
      <c r="M1676" s="7" t="str">
        <f>IFERROR(__xludf.DUMMYFUNCTION("IF('Respuestas de formulario 1'!M1789="""","""",TO_TEXT('Respuestas de formulario 1'!M1789))"),"")</f>
        <v/>
      </c>
      <c r="N1676" s="7" t="str">
        <f t="shared" si="1"/>
        <v/>
      </c>
      <c r="O1676" s="7" t="str">
        <f t="shared" si="2"/>
        <v/>
      </c>
      <c r="P1676" s="7"/>
    </row>
    <row r="1677">
      <c r="A1677" s="7" t="str">
        <f>'Respuestas de formulario 1'!A1790</f>
        <v/>
      </c>
      <c r="B1677" s="7" t="str">
        <f>'Respuestas de formulario 1'!B1790</f>
        <v/>
      </c>
      <c r="C1677" s="7" t="str">
        <f>'Respuestas de formulario 1'!C1790</f>
        <v/>
      </c>
      <c r="D1677" s="7" t="str">
        <f>'Respuestas de formulario 1'!D1790</f>
        <v/>
      </c>
      <c r="E1677" s="7" t="str">
        <f>'Respuestas de formulario 1'!E1790</f>
        <v/>
      </c>
      <c r="F1677" s="7" t="str">
        <f>'Respuestas de formulario 1'!F1790</f>
        <v/>
      </c>
      <c r="G1677" s="7" t="str">
        <f>IFERROR(__xludf.DUMMYFUNCTION("IF('Respuestas de formulario 1'!G1790="""","""",IF(LEFT(REGEXREPLACE(TO_TEXT('Respuestas de formulario 1'!G1790),""[^0-9]"",""""),2)=""54"",""+""&amp;REGEXREPLACE(TO_TEXT('Respuestas de formulario 1'!G1790),""[^0-9]"",""""),""+54""&amp;REGEXREPLACE(TO_TEXT('Respu"&amp;"estas de formulario 1'!G1790),""[^0-9]"","""")))"),"")</f>
        <v/>
      </c>
      <c r="H1677" s="7" t="str">
        <f>'Respuestas de formulario 1'!S1790</f>
        <v/>
      </c>
      <c r="I1677" s="7" t="str">
        <f>IFERROR(__xludf.DUMMYFUNCTION("IF('Respuestas de formulario 1'!I1790="""","""",TO_TEXT('Respuestas de formulario 1'!I1790))"),"")</f>
        <v/>
      </c>
      <c r="J1677" s="7" t="str">
        <f>IFERROR(__xludf.DUMMYFUNCTION("IF('Respuestas de formulario 1'!J1790&lt;&gt;"""",UPPER(TRIM(TO_TEXT('Respuestas de formulario 1'!J1790))),IF('Respuestas de formulario 1'!O1790&lt;&gt;"""",UPPER(TRIM(TO_TEXT('Respuestas de formulario 1'!O1790))),""""))"),"")</f>
        <v/>
      </c>
      <c r="K1677" s="7" t="str">
        <f>IFERROR(__xludf.DUMMYFUNCTION("IF('Respuestas de formulario 1'!K1790="""","""",TO_TEXT('Respuestas de formulario 1'!K1790))"),"")</f>
        <v/>
      </c>
      <c r="L1677" s="7" t="str">
        <f>IFERROR(__xludf.DUMMYFUNCTION("IF('Respuestas de formulario 1'!L1790="""","""",TO_TEXT('Respuestas de formulario 1'!L1790))"),"")</f>
        <v/>
      </c>
      <c r="M1677" s="7" t="str">
        <f>IFERROR(__xludf.DUMMYFUNCTION("IF('Respuestas de formulario 1'!M1790="""","""",TO_TEXT('Respuestas de formulario 1'!M1790))"),"")</f>
        <v/>
      </c>
      <c r="N1677" s="7" t="str">
        <f t="shared" si="1"/>
        <v/>
      </c>
      <c r="O1677" s="7" t="str">
        <f t="shared" si="2"/>
        <v/>
      </c>
      <c r="P1677" s="7"/>
    </row>
    <row r="1678">
      <c r="A1678" s="7" t="str">
        <f>'Respuestas de formulario 1'!A1791</f>
        <v/>
      </c>
      <c r="B1678" s="7" t="str">
        <f>'Respuestas de formulario 1'!B1791</f>
        <v/>
      </c>
      <c r="C1678" s="7" t="str">
        <f>'Respuestas de formulario 1'!C1791</f>
        <v/>
      </c>
      <c r="D1678" s="7" t="str">
        <f>'Respuestas de formulario 1'!D1791</f>
        <v/>
      </c>
      <c r="E1678" s="7" t="str">
        <f>'Respuestas de formulario 1'!E1791</f>
        <v/>
      </c>
      <c r="F1678" s="7" t="str">
        <f>'Respuestas de formulario 1'!F1791</f>
        <v/>
      </c>
      <c r="G1678" s="7" t="str">
        <f>IFERROR(__xludf.DUMMYFUNCTION("IF('Respuestas de formulario 1'!G1791="""","""",IF(LEFT(REGEXREPLACE(TO_TEXT('Respuestas de formulario 1'!G1791),""[^0-9]"",""""),2)=""54"",""+""&amp;REGEXREPLACE(TO_TEXT('Respuestas de formulario 1'!G1791),""[^0-9]"",""""),""+54""&amp;REGEXREPLACE(TO_TEXT('Respu"&amp;"estas de formulario 1'!G1791),""[^0-9]"","""")))"),"")</f>
        <v/>
      </c>
      <c r="H1678" s="7" t="str">
        <f>'Respuestas de formulario 1'!S1791</f>
        <v/>
      </c>
      <c r="I1678" s="7" t="str">
        <f>IFERROR(__xludf.DUMMYFUNCTION("IF('Respuestas de formulario 1'!I1791="""","""",TO_TEXT('Respuestas de formulario 1'!I1791))"),"")</f>
        <v/>
      </c>
      <c r="J1678" s="7" t="str">
        <f>IFERROR(__xludf.DUMMYFUNCTION("IF('Respuestas de formulario 1'!J1791&lt;&gt;"""",UPPER(TRIM(TO_TEXT('Respuestas de formulario 1'!J1791))),IF('Respuestas de formulario 1'!O1791&lt;&gt;"""",UPPER(TRIM(TO_TEXT('Respuestas de formulario 1'!O1791))),""""))"),"")</f>
        <v/>
      </c>
      <c r="K1678" s="7" t="str">
        <f>IFERROR(__xludf.DUMMYFUNCTION("IF('Respuestas de formulario 1'!K1791="""","""",TO_TEXT('Respuestas de formulario 1'!K1791))"),"")</f>
        <v/>
      </c>
      <c r="L1678" s="7" t="str">
        <f>IFERROR(__xludf.DUMMYFUNCTION("IF('Respuestas de formulario 1'!L1791="""","""",TO_TEXT('Respuestas de formulario 1'!L1791))"),"")</f>
        <v/>
      </c>
      <c r="M1678" s="7" t="str">
        <f>IFERROR(__xludf.DUMMYFUNCTION("IF('Respuestas de formulario 1'!M1791="""","""",TO_TEXT('Respuestas de formulario 1'!M1791))"),"")</f>
        <v/>
      </c>
      <c r="N1678" s="7" t="str">
        <f t="shared" si="1"/>
        <v/>
      </c>
      <c r="O1678" s="7" t="str">
        <f t="shared" si="2"/>
        <v/>
      </c>
      <c r="P1678" s="7"/>
    </row>
    <row r="1679">
      <c r="A1679" s="7" t="str">
        <f>'Respuestas de formulario 1'!A1792</f>
        <v/>
      </c>
      <c r="B1679" s="7" t="str">
        <f>'Respuestas de formulario 1'!B1792</f>
        <v/>
      </c>
      <c r="C1679" s="7" t="str">
        <f>'Respuestas de formulario 1'!C1792</f>
        <v/>
      </c>
      <c r="D1679" s="7" t="str">
        <f>'Respuestas de formulario 1'!D1792</f>
        <v/>
      </c>
      <c r="E1679" s="7" t="str">
        <f>'Respuestas de formulario 1'!E1792</f>
        <v/>
      </c>
      <c r="F1679" s="7" t="str">
        <f>'Respuestas de formulario 1'!F1792</f>
        <v/>
      </c>
      <c r="G1679" s="7" t="str">
        <f>IFERROR(__xludf.DUMMYFUNCTION("IF('Respuestas de formulario 1'!G1792="""","""",IF(LEFT(REGEXREPLACE(TO_TEXT('Respuestas de formulario 1'!G1792),""[^0-9]"",""""),2)=""54"",""+""&amp;REGEXREPLACE(TO_TEXT('Respuestas de formulario 1'!G1792),""[^0-9]"",""""),""+54""&amp;REGEXREPLACE(TO_TEXT('Respu"&amp;"estas de formulario 1'!G1792),""[^0-9]"","""")))"),"")</f>
        <v/>
      </c>
      <c r="H1679" s="7" t="str">
        <f>'Respuestas de formulario 1'!S1792</f>
        <v/>
      </c>
      <c r="I1679" s="7" t="str">
        <f>IFERROR(__xludf.DUMMYFUNCTION("IF('Respuestas de formulario 1'!I1792="""","""",TO_TEXT('Respuestas de formulario 1'!I1792))"),"")</f>
        <v/>
      </c>
      <c r="J1679" s="7" t="str">
        <f>IFERROR(__xludf.DUMMYFUNCTION("IF('Respuestas de formulario 1'!J1792&lt;&gt;"""",UPPER(TRIM(TO_TEXT('Respuestas de formulario 1'!J1792))),IF('Respuestas de formulario 1'!O1792&lt;&gt;"""",UPPER(TRIM(TO_TEXT('Respuestas de formulario 1'!O1792))),""""))"),"")</f>
        <v/>
      </c>
      <c r="K1679" s="7" t="str">
        <f>IFERROR(__xludf.DUMMYFUNCTION("IF('Respuestas de formulario 1'!K1792="""","""",TO_TEXT('Respuestas de formulario 1'!K1792))"),"")</f>
        <v/>
      </c>
      <c r="L1679" s="7" t="str">
        <f>IFERROR(__xludf.DUMMYFUNCTION("IF('Respuestas de formulario 1'!L1792="""","""",TO_TEXT('Respuestas de formulario 1'!L1792))"),"")</f>
        <v/>
      </c>
      <c r="M1679" s="7" t="str">
        <f>IFERROR(__xludf.DUMMYFUNCTION("IF('Respuestas de formulario 1'!M1792="""","""",TO_TEXT('Respuestas de formulario 1'!M1792))"),"")</f>
        <v/>
      </c>
      <c r="N1679" s="7" t="str">
        <f t="shared" si="1"/>
        <v/>
      </c>
      <c r="O1679" s="7" t="str">
        <f t="shared" si="2"/>
        <v/>
      </c>
      <c r="P1679" s="7"/>
    </row>
    <row r="1680">
      <c r="A1680" s="7" t="str">
        <f>'Respuestas de formulario 1'!A1793</f>
        <v/>
      </c>
      <c r="B1680" s="7" t="str">
        <f>'Respuestas de formulario 1'!B1793</f>
        <v/>
      </c>
      <c r="C1680" s="7" t="str">
        <f>'Respuestas de formulario 1'!C1793</f>
        <v/>
      </c>
      <c r="D1680" s="7" t="str">
        <f>'Respuestas de formulario 1'!D1793</f>
        <v/>
      </c>
      <c r="E1680" s="7" t="str">
        <f>'Respuestas de formulario 1'!E1793</f>
        <v/>
      </c>
      <c r="F1680" s="7" t="str">
        <f>'Respuestas de formulario 1'!F1793</f>
        <v/>
      </c>
      <c r="G1680" s="7" t="str">
        <f>IFERROR(__xludf.DUMMYFUNCTION("IF('Respuestas de formulario 1'!G1793="""","""",IF(LEFT(REGEXREPLACE(TO_TEXT('Respuestas de formulario 1'!G1793),""[^0-9]"",""""),2)=""54"",""+""&amp;REGEXREPLACE(TO_TEXT('Respuestas de formulario 1'!G1793),""[^0-9]"",""""),""+54""&amp;REGEXREPLACE(TO_TEXT('Respu"&amp;"estas de formulario 1'!G1793),""[^0-9]"","""")))"),"")</f>
        <v/>
      </c>
      <c r="H1680" s="7" t="str">
        <f>'Respuestas de formulario 1'!S1793</f>
        <v/>
      </c>
      <c r="I1680" s="7" t="str">
        <f>IFERROR(__xludf.DUMMYFUNCTION("IF('Respuestas de formulario 1'!I1793="""","""",TO_TEXT('Respuestas de formulario 1'!I1793))"),"")</f>
        <v/>
      </c>
      <c r="J1680" s="7" t="str">
        <f>IFERROR(__xludf.DUMMYFUNCTION("IF('Respuestas de formulario 1'!J1793&lt;&gt;"""",UPPER(TRIM(TO_TEXT('Respuestas de formulario 1'!J1793))),IF('Respuestas de formulario 1'!O1793&lt;&gt;"""",UPPER(TRIM(TO_TEXT('Respuestas de formulario 1'!O1793))),""""))"),"")</f>
        <v/>
      </c>
      <c r="K1680" s="7" t="str">
        <f>IFERROR(__xludf.DUMMYFUNCTION("IF('Respuestas de formulario 1'!K1793="""","""",TO_TEXT('Respuestas de formulario 1'!K1793))"),"")</f>
        <v/>
      </c>
      <c r="L1680" s="7" t="str">
        <f>IFERROR(__xludf.DUMMYFUNCTION("IF('Respuestas de formulario 1'!L1793="""","""",TO_TEXT('Respuestas de formulario 1'!L1793))"),"")</f>
        <v/>
      </c>
      <c r="M1680" s="7" t="str">
        <f>IFERROR(__xludf.DUMMYFUNCTION("IF('Respuestas de formulario 1'!M1793="""","""",TO_TEXT('Respuestas de formulario 1'!M1793))"),"")</f>
        <v/>
      </c>
      <c r="N1680" s="7" t="str">
        <f t="shared" si="1"/>
        <v/>
      </c>
      <c r="O1680" s="7" t="str">
        <f t="shared" si="2"/>
        <v/>
      </c>
      <c r="P1680" s="7"/>
    </row>
    <row r="1681">
      <c r="A1681" s="7" t="str">
        <f>'Respuestas de formulario 1'!A1794</f>
        <v/>
      </c>
      <c r="B1681" s="7" t="str">
        <f>'Respuestas de formulario 1'!B1794</f>
        <v/>
      </c>
      <c r="C1681" s="7" t="str">
        <f>'Respuestas de formulario 1'!C1794</f>
        <v/>
      </c>
      <c r="D1681" s="7" t="str">
        <f>'Respuestas de formulario 1'!D1794</f>
        <v/>
      </c>
      <c r="E1681" s="7" t="str">
        <f>'Respuestas de formulario 1'!E1794</f>
        <v/>
      </c>
      <c r="F1681" s="7" t="str">
        <f>'Respuestas de formulario 1'!F1794</f>
        <v/>
      </c>
      <c r="G1681" s="7" t="str">
        <f>IFERROR(__xludf.DUMMYFUNCTION("IF('Respuestas de formulario 1'!G1794="""","""",IF(LEFT(REGEXREPLACE(TO_TEXT('Respuestas de formulario 1'!G1794),""[^0-9]"",""""),2)=""54"",""+""&amp;REGEXREPLACE(TO_TEXT('Respuestas de formulario 1'!G1794),""[^0-9]"",""""),""+54""&amp;REGEXREPLACE(TO_TEXT('Respu"&amp;"estas de formulario 1'!G1794),""[^0-9]"","""")))"),"")</f>
        <v/>
      </c>
      <c r="H1681" s="7" t="str">
        <f>'Respuestas de formulario 1'!S1794</f>
        <v/>
      </c>
      <c r="I1681" s="7" t="str">
        <f>IFERROR(__xludf.DUMMYFUNCTION("IF('Respuestas de formulario 1'!I1794="""","""",TO_TEXT('Respuestas de formulario 1'!I1794))"),"")</f>
        <v/>
      </c>
      <c r="J1681" s="7" t="str">
        <f>IFERROR(__xludf.DUMMYFUNCTION("IF('Respuestas de formulario 1'!J1794&lt;&gt;"""",UPPER(TRIM(TO_TEXT('Respuestas de formulario 1'!J1794))),IF('Respuestas de formulario 1'!O1794&lt;&gt;"""",UPPER(TRIM(TO_TEXT('Respuestas de formulario 1'!O1794))),""""))"),"")</f>
        <v/>
      </c>
      <c r="K1681" s="7" t="str">
        <f>IFERROR(__xludf.DUMMYFUNCTION("IF('Respuestas de formulario 1'!K1794="""","""",TO_TEXT('Respuestas de formulario 1'!K1794))"),"")</f>
        <v/>
      </c>
      <c r="L1681" s="7" t="str">
        <f>IFERROR(__xludf.DUMMYFUNCTION("IF('Respuestas de formulario 1'!L1794="""","""",TO_TEXT('Respuestas de formulario 1'!L1794))"),"")</f>
        <v/>
      </c>
      <c r="M1681" s="7" t="str">
        <f>IFERROR(__xludf.DUMMYFUNCTION("IF('Respuestas de formulario 1'!M1794="""","""",TO_TEXT('Respuestas de formulario 1'!M1794))"),"")</f>
        <v/>
      </c>
      <c r="N1681" s="7" t="str">
        <f t="shared" si="1"/>
        <v/>
      </c>
      <c r="O1681" s="7" t="str">
        <f t="shared" si="2"/>
        <v/>
      </c>
      <c r="P1681" s="7"/>
    </row>
    <row r="1682">
      <c r="A1682" s="7" t="str">
        <f>'Respuestas de formulario 1'!A1795</f>
        <v/>
      </c>
      <c r="B1682" s="7" t="str">
        <f>'Respuestas de formulario 1'!B1795</f>
        <v/>
      </c>
      <c r="C1682" s="7" t="str">
        <f>'Respuestas de formulario 1'!C1795</f>
        <v/>
      </c>
      <c r="D1682" s="7" t="str">
        <f>'Respuestas de formulario 1'!D1795</f>
        <v/>
      </c>
      <c r="E1682" s="7" t="str">
        <f>'Respuestas de formulario 1'!E1795</f>
        <v/>
      </c>
      <c r="F1682" s="7" t="str">
        <f>'Respuestas de formulario 1'!F1795</f>
        <v/>
      </c>
      <c r="G1682" s="7" t="str">
        <f>IFERROR(__xludf.DUMMYFUNCTION("IF('Respuestas de formulario 1'!G1795="""","""",IF(LEFT(REGEXREPLACE(TO_TEXT('Respuestas de formulario 1'!G1795),""[^0-9]"",""""),2)=""54"",""+""&amp;REGEXREPLACE(TO_TEXT('Respuestas de formulario 1'!G1795),""[^0-9]"",""""),""+54""&amp;REGEXREPLACE(TO_TEXT('Respu"&amp;"estas de formulario 1'!G1795),""[^0-9]"","""")))"),"")</f>
        <v/>
      </c>
      <c r="H1682" s="7" t="str">
        <f>'Respuestas de formulario 1'!S1795</f>
        <v/>
      </c>
      <c r="I1682" s="7" t="str">
        <f>IFERROR(__xludf.DUMMYFUNCTION("IF('Respuestas de formulario 1'!I1795="""","""",TO_TEXT('Respuestas de formulario 1'!I1795))"),"")</f>
        <v/>
      </c>
      <c r="J1682" s="7" t="str">
        <f>IFERROR(__xludf.DUMMYFUNCTION("IF('Respuestas de formulario 1'!J1795&lt;&gt;"""",UPPER(TRIM(TO_TEXT('Respuestas de formulario 1'!J1795))),IF('Respuestas de formulario 1'!O1795&lt;&gt;"""",UPPER(TRIM(TO_TEXT('Respuestas de formulario 1'!O1795))),""""))"),"")</f>
        <v/>
      </c>
      <c r="K1682" s="7" t="str">
        <f>IFERROR(__xludf.DUMMYFUNCTION("IF('Respuestas de formulario 1'!K1795="""","""",TO_TEXT('Respuestas de formulario 1'!K1795))"),"")</f>
        <v/>
      </c>
      <c r="L1682" s="7" t="str">
        <f>IFERROR(__xludf.DUMMYFUNCTION("IF('Respuestas de formulario 1'!L1795="""","""",TO_TEXT('Respuestas de formulario 1'!L1795))"),"")</f>
        <v/>
      </c>
      <c r="M1682" s="7" t="str">
        <f>IFERROR(__xludf.DUMMYFUNCTION("IF('Respuestas de formulario 1'!M1795="""","""",TO_TEXT('Respuestas de formulario 1'!M1795))"),"")</f>
        <v/>
      </c>
      <c r="N1682" s="7" t="str">
        <f t="shared" si="1"/>
        <v/>
      </c>
      <c r="O1682" s="7" t="str">
        <f t="shared" si="2"/>
        <v/>
      </c>
      <c r="P1682" s="7"/>
    </row>
    <row r="1683">
      <c r="A1683" s="7" t="str">
        <f>'Respuestas de formulario 1'!A1796</f>
        <v/>
      </c>
      <c r="B1683" s="7" t="str">
        <f>'Respuestas de formulario 1'!B1796</f>
        <v/>
      </c>
      <c r="C1683" s="7" t="str">
        <f>'Respuestas de formulario 1'!C1796</f>
        <v/>
      </c>
      <c r="D1683" s="7" t="str">
        <f>'Respuestas de formulario 1'!D1796</f>
        <v/>
      </c>
      <c r="E1683" s="7" t="str">
        <f>'Respuestas de formulario 1'!E1796</f>
        <v/>
      </c>
      <c r="F1683" s="7" t="str">
        <f>'Respuestas de formulario 1'!F1796</f>
        <v/>
      </c>
      <c r="G1683" s="7" t="str">
        <f>IFERROR(__xludf.DUMMYFUNCTION("IF('Respuestas de formulario 1'!G1796="""","""",IF(LEFT(REGEXREPLACE(TO_TEXT('Respuestas de formulario 1'!G1796),""[^0-9]"",""""),2)=""54"",""+""&amp;REGEXREPLACE(TO_TEXT('Respuestas de formulario 1'!G1796),""[^0-9]"",""""),""+54""&amp;REGEXREPLACE(TO_TEXT('Respu"&amp;"estas de formulario 1'!G1796),""[^0-9]"","""")))"),"")</f>
        <v/>
      </c>
      <c r="H1683" s="7" t="str">
        <f>'Respuestas de formulario 1'!S1796</f>
        <v/>
      </c>
      <c r="I1683" s="7" t="str">
        <f>IFERROR(__xludf.DUMMYFUNCTION("IF('Respuestas de formulario 1'!I1796="""","""",TO_TEXT('Respuestas de formulario 1'!I1796))"),"")</f>
        <v/>
      </c>
      <c r="J1683" s="7" t="str">
        <f>IFERROR(__xludf.DUMMYFUNCTION("IF('Respuestas de formulario 1'!J1796&lt;&gt;"""",UPPER(TRIM(TO_TEXT('Respuestas de formulario 1'!J1796))),IF('Respuestas de formulario 1'!O1796&lt;&gt;"""",UPPER(TRIM(TO_TEXT('Respuestas de formulario 1'!O1796))),""""))"),"")</f>
        <v/>
      </c>
      <c r="K1683" s="7" t="str">
        <f>IFERROR(__xludf.DUMMYFUNCTION("IF('Respuestas de formulario 1'!K1796="""","""",TO_TEXT('Respuestas de formulario 1'!K1796))"),"")</f>
        <v/>
      </c>
      <c r="L1683" s="7" t="str">
        <f>IFERROR(__xludf.DUMMYFUNCTION("IF('Respuestas de formulario 1'!L1796="""","""",TO_TEXT('Respuestas de formulario 1'!L1796))"),"")</f>
        <v/>
      </c>
      <c r="M1683" s="7" t="str">
        <f>IFERROR(__xludf.DUMMYFUNCTION("IF('Respuestas de formulario 1'!M1796="""","""",TO_TEXT('Respuestas de formulario 1'!M1796))"),"")</f>
        <v/>
      </c>
      <c r="N1683" s="7" t="str">
        <f t="shared" si="1"/>
        <v/>
      </c>
      <c r="O1683" s="7" t="str">
        <f t="shared" si="2"/>
        <v/>
      </c>
      <c r="P1683" s="7"/>
    </row>
    <row r="1684">
      <c r="A1684" s="7" t="str">
        <f>'Respuestas de formulario 1'!A1797</f>
        <v/>
      </c>
      <c r="B1684" s="7" t="str">
        <f>'Respuestas de formulario 1'!B1797</f>
        <v/>
      </c>
      <c r="C1684" s="7" t="str">
        <f>'Respuestas de formulario 1'!C1797</f>
        <v/>
      </c>
      <c r="D1684" s="7" t="str">
        <f>'Respuestas de formulario 1'!D1797</f>
        <v/>
      </c>
      <c r="E1684" s="7" t="str">
        <f>'Respuestas de formulario 1'!E1797</f>
        <v/>
      </c>
      <c r="F1684" s="7" t="str">
        <f>'Respuestas de formulario 1'!F1797</f>
        <v/>
      </c>
      <c r="G1684" s="7" t="str">
        <f>IFERROR(__xludf.DUMMYFUNCTION("IF('Respuestas de formulario 1'!G1797="""","""",IF(LEFT(REGEXREPLACE(TO_TEXT('Respuestas de formulario 1'!G1797),""[^0-9]"",""""),2)=""54"",""+""&amp;REGEXREPLACE(TO_TEXT('Respuestas de formulario 1'!G1797),""[^0-9]"",""""),""+54""&amp;REGEXREPLACE(TO_TEXT('Respu"&amp;"estas de formulario 1'!G1797),""[^0-9]"","""")))"),"")</f>
        <v/>
      </c>
      <c r="H1684" s="7" t="str">
        <f>'Respuestas de formulario 1'!S1797</f>
        <v/>
      </c>
      <c r="I1684" s="7" t="str">
        <f>IFERROR(__xludf.DUMMYFUNCTION("IF('Respuestas de formulario 1'!I1797="""","""",TO_TEXT('Respuestas de formulario 1'!I1797))"),"")</f>
        <v/>
      </c>
      <c r="J1684" s="7" t="str">
        <f>IFERROR(__xludf.DUMMYFUNCTION("IF('Respuestas de formulario 1'!J1797&lt;&gt;"""",UPPER(TRIM(TO_TEXT('Respuestas de formulario 1'!J1797))),IF('Respuestas de formulario 1'!O1797&lt;&gt;"""",UPPER(TRIM(TO_TEXT('Respuestas de formulario 1'!O1797))),""""))"),"")</f>
        <v/>
      </c>
      <c r="K1684" s="7" t="str">
        <f>IFERROR(__xludf.DUMMYFUNCTION("IF('Respuestas de formulario 1'!K1797="""","""",TO_TEXT('Respuestas de formulario 1'!K1797))"),"")</f>
        <v/>
      </c>
      <c r="L1684" s="7" t="str">
        <f>IFERROR(__xludf.DUMMYFUNCTION("IF('Respuestas de formulario 1'!L1797="""","""",TO_TEXT('Respuestas de formulario 1'!L1797))"),"")</f>
        <v/>
      </c>
      <c r="M1684" s="7" t="str">
        <f>IFERROR(__xludf.DUMMYFUNCTION("IF('Respuestas de formulario 1'!M1797="""","""",TO_TEXT('Respuestas de formulario 1'!M1797))"),"")</f>
        <v/>
      </c>
      <c r="N1684" s="7" t="str">
        <f t="shared" si="1"/>
        <v/>
      </c>
      <c r="O1684" s="7" t="str">
        <f t="shared" si="2"/>
        <v/>
      </c>
      <c r="P1684" s="7"/>
    </row>
    <row r="1685">
      <c r="A1685" s="7" t="str">
        <f>'Respuestas de formulario 1'!A1798</f>
        <v/>
      </c>
      <c r="B1685" s="7" t="str">
        <f>'Respuestas de formulario 1'!B1798</f>
        <v/>
      </c>
      <c r="C1685" s="7" t="str">
        <f>'Respuestas de formulario 1'!C1798</f>
        <v/>
      </c>
      <c r="D1685" s="7" t="str">
        <f>'Respuestas de formulario 1'!D1798</f>
        <v/>
      </c>
      <c r="E1685" s="7" t="str">
        <f>'Respuestas de formulario 1'!E1798</f>
        <v/>
      </c>
      <c r="F1685" s="7" t="str">
        <f>'Respuestas de formulario 1'!F1798</f>
        <v/>
      </c>
      <c r="G1685" s="7" t="str">
        <f>IFERROR(__xludf.DUMMYFUNCTION("IF('Respuestas de formulario 1'!G1798="""","""",IF(LEFT(REGEXREPLACE(TO_TEXT('Respuestas de formulario 1'!G1798),""[^0-9]"",""""),2)=""54"",""+""&amp;REGEXREPLACE(TO_TEXT('Respuestas de formulario 1'!G1798),""[^0-9]"",""""),""+54""&amp;REGEXREPLACE(TO_TEXT('Respu"&amp;"estas de formulario 1'!G1798),""[^0-9]"","""")))"),"")</f>
        <v/>
      </c>
      <c r="H1685" s="7" t="str">
        <f>'Respuestas de formulario 1'!S1798</f>
        <v/>
      </c>
      <c r="I1685" s="7" t="str">
        <f>IFERROR(__xludf.DUMMYFUNCTION("IF('Respuestas de formulario 1'!I1798="""","""",TO_TEXT('Respuestas de formulario 1'!I1798))"),"")</f>
        <v/>
      </c>
      <c r="J1685" s="7" t="str">
        <f>IFERROR(__xludf.DUMMYFUNCTION("IF('Respuestas de formulario 1'!J1798&lt;&gt;"""",UPPER(TRIM(TO_TEXT('Respuestas de formulario 1'!J1798))),IF('Respuestas de formulario 1'!O1798&lt;&gt;"""",UPPER(TRIM(TO_TEXT('Respuestas de formulario 1'!O1798))),""""))"),"")</f>
        <v/>
      </c>
      <c r="K1685" s="7" t="str">
        <f>IFERROR(__xludf.DUMMYFUNCTION("IF('Respuestas de formulario 1'!K1798="""","""",TO_TEXT('Respuestas de formulario 1'!K1798))"),"")</f>
        <v/>
      </c>
      <c r="L1685" s="7" t="str">
        <f>IFERROR(__xludf.DUMMYFUNCTION("IF('Respuestas de formulario 1'!L1798="""","""",TO_TEXT('Respuestas de formulario 1'!L1798))"),"")</f>
        <v/>
      </c>
      <c r="M1685" s="7" t="str">
        <f>IFERROR(__xludf.DUMMYFUNCTION("IF('Respuestas de formulario 1'!M1798="""","""",TO_TEXT('Respuestas de formulario 1'!M1798))"),"")</f>
        <v/>
      </c>
      <c r="N1685" s="7" t="str">
        <f t="shared" si="1"/>
        <v/>
      </c>
      <c r="O1685" s="7" t="str">
        <f t="shared" si="2"/>
        <v/>
      </c>
      <c r="P1685" s="7"/>
    </row>
    <row r="1686">
      <c r="A1686" s="7" t="str">
        <f>'Respuestas de formulario 1'!A1799</f>
        <v/>
      </c>
      <c r="B1686" s="7" t="str">
        <f>'Respuestas de formulario 1'!B1799</f>
        <v/>
      </c>
      <c r="C1686" s="7" t="str">
        <f>'Respuestas de formulario 1'!C1799</f>
        <v/>
      </c>
      <c r="D1686" s="7" t="str">
        <f>'Respuestas de formulario 1'!D1799</f>
        <v/>
      </c>
      <c r="E1686" s="7" t="str">
        <f>'Respuestas de formulario 1'!E1799</f>
        <v/>
      </c>
      <c r="F1686" s="7" t="str">
        <f>'Respuestas de formulario 1'!F1799</f>
        <v/>
      </c>
      <c r="G1686" s="7" t="str">
        <f>IFERROR(__xludf.DUMMYFUNCTION("IF('Respuestas de formulario 1'!G1799="""","""",IF(LEFT(REGEXREPLACE(TO_TEXT('Respuestas de formulario 1'!G1799),""[^0-9]"",""""),2)=""54"",""+""&amp;REGEXREPLACE(TO_TEXT('Respuestas de formulario 1'!G1799),""[^0-9]"",""""),""+54""&amp;REGEXREPLACE(TO_TEXT('Respu"&amp;"estas de formulario 1'!G1799),""[^0-9]"","""")))"),"")</f>
        <v/>
      </c>
      <c r="H1686" s="7" t="str">
        <f>'Respuestas de formulario 1'!S1799</f>
        <v/>
      </c>
      <c r="I1686" s="7" t="str">
        <f>IFERROR(__xludf.DUMMYFUNCTION("IF('Respuestas de formulario 1'!I1799="""","""",TO_TEXT('Respuestas de formulario 1'!I1799))"),"")</f>
        <v/>
      </c>
      <c r="J1686" s="7" t="str">
        <f>IFERROR(__xludf.DUMMYFUNCTION("IF('Respuestas de formulario 1'!J1799&lt;&gt;"""",UPPER(TRIM(TO_TEXT('Respuestas de formulario 1'!J1799))),IF('Respuestas de formulario 1'!O1799&lt;&gt;"""",UPPER(TRIM(TO_TEXT('Respuestas de formulario 1'!O1799))),""""))"),"")</f>
        <v/>
      </c>
      <c r="K1686" s="7" t="str">
        <f>IFERROR(__xludf.DUMMYFUNCTION("IF('Respuestas de formulario 1'!K1799="""","""",TO_TEXT('Respuestas de formulario 1'!K1799))"),"")</f>
        <v/>
      </c>
      <c r="L1686" s="7" t="str">
        <f>IFERROR(__xludf.DUMMYFUNCTION("IF('Respuestas de formulario 1'!L1799="""","""",TO_TEXT('Respuestas de formulario 1'!L1799))"),"")</f>
        <v/>
      </c>
      <c r="M1686" s="7" t="str">
        <f>IFERROR(__xludf.DUMMYFUNCTION("IF('Respuestas de formulario 1'!M1799="""","""",TO_TEXT('Respuestas de formulario 1'!M1799))"),"")</f>
        <v/>
      </c>
      <c r="N1686" s="7" t="str">
        <f t="shared" si="1"/>
        <v/>
      </c>
      <c r="O1686" s="7" t="str">
        <f t="shared" si="2"/>
        <v/>
      </c>
      <c r="P1686" s="7"/>
    </row>
    <row r="1687">
      <c r="A1687" s="7" t="str">
        <f>'Respuestas de formulario 1'!A1800</f>
        <v/>
      </c>
      <c r="B1687" s="7" t="str">
        <f>'Respuestas de formulario 1'!B1800</f>
        <v/>
      </c>
      <c r="C1687" s="7" t="str">
        <f>'Respuestas de formulario 1'!C1800</f>
        <v/>
      </c>
      <c r="D1687" s="7" t="str">
        <f>'Respuestas de formulario 1'!D1800</f>
        <v/>
      </c>
      <c r="E1687" s="7" t="str">
        <f>'Respuestas de formulario 1'!E1800</f>
        <v/>
      </c>
      <c r="F1687" s="7" t="str">
        <f>'Respuestas de formulario 1'!F1800</f>
        <v/>
      </c>
      <c r="G1687" s="7" t="str">
        <f>IFERROR(__xludf.DUMMYFUNCTION("IF('Respuestas de formulario 1'!G1800="""","""",IF(LEFT(REGEXREPLACE(TO_TEXT('Respuestas de formulario 1'!G1800),""[^0-9]"",""""),2)=""54"",""+""&amp;REGEXREPLACE(TO_TEXT('Respuestas de formulario 1'!G1800),""[^0-9]"",""""),""+54""&amp;REGEXREPLACE(TO_TEXT('Respu"&amp;"estas de formulario 1'!G1800),""[^0-9]"","""")))"),"")</f>
        <v/>
      </c>
      <c r="H1687" s="7" t="str">
        <f>'Respuestas de formulario 1'!S1800</f>
        <v/>
      </c>
      <c r="I1687" s="7" t="str">
        <f>IFERROR(__xludf.DUMMYFUNCTION("IF('Respuestas de formulario 1'!I1800="""","""",TO_TEXT('Respuestas de formulario 1'!I1800))"),"")</f>
        <v/>
      </c>
      <c r="J1687" s="7" t="str">
        <f>IFERROR(__xludf.DUMMYFUNCTION("IF('Respuestas de formulario 1'!J1800&lt;&gt;"""",UPPER(TRIM(TO_TEXT('Respuestas de formulario 1'!J1800))),IF('Respuestas de formulario 1'!O1800&lt;&gt;"""",UPPER(TRIM(TO_TEXT('Respuestas de formulario 1'!O1800))),""""))"),"")</f>
        <v/>
      </c>
      <c r="K1687" s="7" t="str">
        <f>IFERROR(__xludf.DUMMYFUNCTION("IF('Respuestas de formulario 1'!K1800="""","""",TO_TEXT('Respuestas de formulario 1'!K1800))"),"")</f>
        <v/>
      </c>
      <c r="L1687" s="7" t="str">
        <f>IFERROR(__xludf.DUMMYFUNCTION("IF('Respuestas de formulario 1'!L1800="""","""",TO_TEXT('Respuestas de formulario 1'!L1800))"),"")</f>
        <v/>
      </c>
      <c r="M1687" s="7" t="str">
        <f>IFERROR(__xludf.DUMMYFUNCTION("IF('Respuestas de formulario 1'!M1800="""","""",TO_TEXT('Respuestas de formulario 1'!M1800))"),"")</f>
        <v/>
      </c>
      <c r="N1687" s="7" t="str">
        <f t="shared" si="1"/>
        <v/>
      </c>
      <c r="O1687" s="7" t="str">
        <f t="shared" si="2"/>
        <v/>
      </c>
      <c r="P1687" s="7"/>
    </row>
    <row r="1688">
      <c r="A1688" s="7" t="str">
        <f>'Respuestas de formulario 1'!A1801</f>
        <v/>
      </c>
      <c r="B1688" s="7" t="str">
        <f>'Respuestas de formulario 1'!B1801</f>
        <v/>
      </c>
      <c r="C1688" s="7" t="str">
        <f>'Respuestas de formulario 1'!C1801</f>
        <v/>
      </c>
      <c r="D1688" s="7" t="str">
        <f>'Respuestas de formulario 1'!D1801</f>
        <v/>
      </c>
      <c r="E1688" s="7" t="str">
        <f>'Respuestas de formulario 1'!E1801</f>
        <v/>
      </c>
      <c r="F1688" s="7" t="str">
        <f>'Respuestas de formulario 1'!F1801</f>
        <v/>
      </c>
      <c r="G1688" s="7" t="str">
        <f>IFERROR(__xludf.DUMMYFUNCTION("IF('Respuestas de formulario 1'!G1801="""","""",IF(LEFT(REGEXREPLACE(TO_TEXT('Respuestas de formulario 1'!G1801),""[^0-9]"",""""),2)=""54"",""+""&amp;REGEXREPLACE(TO_TEXT('Respuestas de formulario 1'!G1801),""[^0-9]"",""""),""+54""&amp;REGEXREPLACE(TO_TEXT('Respu"&amp;"estas de formulario 1'!G1801),""[^0-9]"","""")))"),"")</f>
        <v/>
      </c>
      <c r="H1688" s="7" t="str">
        <f>'Respuestas de formulario 1'!S1801</f>
        <v/>
      </c>
      <c r="I1688" s="7" t="str">
        <f>IFERROR(__xludf.DUMMYFUNCTION("IF('Respuestas de formulario 1'!I1801="""","""",TO_TEXT('Respuestas de formulario 1'!I1801))"),"")</f>
        <v/>
      </c>
      <c r="J1688" s="7" t="str">
        <f>IFERROR(__xludf.DUMMYFUNCTION("IF('Respuestas de formulario 1'!J1801&lt;&gt;"""",UPPER(TRIM(TO_TEXT('Respuestas de formulario 1'!J1801))),IF('Respuestas de formulario 1'!O1801&lt;&gt;"""",UPPER(TRIM(TO_TEXT('Respuestas de formulario 1'!O1801))),""""))"),"")</f>
        <v/>
      </c>
      <c r="K1688" s="7" t="str">
        <f>IFERROR(__xludf.DUMMYFUNCTION("IF('Respuestas de formulario 1'!K1801="""","""",TO_TEXT('Respuestas de formulario 1'!K1801))"),"")</f>
        <v/>
      </c>
      <c r="L1688" s="7" t="str">
        <f>IFERROR(__xludf.DUMMYFUNCTION("IF('Respuestas de formulario 1'!L1801="""","""",TO_TEXT('Respuestas de formulario 1'!L1801))"),"")</f>
        <v/>
      </c>
      <c r="M1688" s="7" t="str">
        <f>IFERROR(__xludf.DUMMYFUNCTION("IF('Respuestas de formulario 1'!M1801="""","""",TO_TEXT('Respuestas de formulario 1'!M1801))"),"")</f>
        <v/>
      </c>
      <c r="N1688" s="7" t="str">
        <f t="shared" si="1"/>
        <v/>
      </c>
      <c r="O1688" s="7" t="str">
        <f t="shared" si="2"/>
        <v/>
      </c>
      <c r="P1688" s="7"/>
    </row>
    <row r="1689">
      <c r="A1689" s="7" t="str">
        <f>'Respuestas de formulario 1'!A1802</f>
        <v/>
      </c>
      <c r="B1689" s="7" t="str">
        <f>'Respuestas de formulario 1'!B1802</f>
        <v/>
      </c>
      <c r="C1689" s="7" t="str">
        <f>'Respuestas de formulario 1'!C1802</f>
        <v/>
      </c>
      <c r="D1689" s="7" t="str">
        <f>'Respuestas de formulario 1'!D1802</f>
        <v/>
      </c>
      <c r="E1689" s="7" t="str">
        <f>'Respuestas de formulario 1'!E1802</f>
        <v/>
      </c>
      <c r="F1689" s="7" t="str">
        <f>'Respuestas de formulario 1'!F1802</f>
        <v/>
      </c>
      <c r="G1689" s="7" t="str">
        <f>IFERROR(__xludf.DUMMYFUNCTION("IF('Respuestas de formulario 1'!G1802="""","""",IF(LEFT(REGEXREPLACE(TO_TEXT('Respuestas de formulario 1'!G1802),""[^0-9]"",""""),2)=""54"",""+""&amp;REGEXREPLACE(TO_TEXT('Respuestas de formulario 1'!G1802),""[^0-9]"",""""),""+54""&amp;REGEXREPLACE(TO_TEXT('Respu"&amp;"estas de formulario 1'!G1802),""[^0-9]"","""")))"),"")</f>
        <v/>
      </c>
      <c r="H1689" s="7" t="str">
        <f>'Respuestas de formulario 1'!S1802</f>
        <v/>
      </c>
      <c r="I1689" s="7" t="str">
        <f>IFERROR(__xludf.DUMMYFUNCTION("IF('Respuestas de formulario 1'!I1802="""","""",TO_TEXT('Respuestas de formulario 1'!I1802))"),"")</f>
        <v/>
      </c>
      <c r="J1689" s="7" t="str">
        <f>IFERROR(__xludf.DUMMYFUNCTION("IF('Respuestas de formulario 1'!J1802&lt;&gt;"""",UPPER(TRIM(TO_TEXT('Respuestas de formulario 1'!J1802))),IF('Respuestas de formulario 1'!O1802&lt;&gt;"""",UPPER(TRIM(TO_TEXT('Respuestas de formulario 1'!O1802))),""""))"),"")</f>
        <v/>
      </c>
      <c r="K1689" s="7" t="str">
        <f>IFERROR(__xludf.DUMMYFUNCTION("IF('Respuestas de formulario 1'!K1802="""","""",TO_TEXT('Respuestas de formulario 1'!K1802))"),"")</f>
        <v/>
      </c>
      <c r="L1689" s="7" t="str">
        <f>IFERROR(__xludf.DUMMYFUNCTION("IF('Respuestas de formulario 1'!L1802="""","""",TO_TEXT('Respuestas de formulario 1'!L1802))"),"")</f>
        <v/>
      </c>
      <c r="M1689" s="7" t="str">
        <f>IFERROR(__xludf.DUMMYFUNCTION("IF('Respuestas de formulario 1'!M1802="""","""",TO_TEXT('Respuestas de formulario 1'!M1802))"),"")</f>
        <v/>
      </c>
      <c r="N1689" s="7" t="str">
        <f t="shared" si="1"/>
        <v/>
      </c>
      <c r="O1689" s="7" t="str">
        <f t="shared" si="2"/>
        <v/>
      </c>
      <c r="P1689" s="7"/>
    </row>
    <row r="1690">
      <c r="A1690" s="7" t="str">
        <f>'Respuestas de formulario 1'!A1803</f>
        <v/>
      </c>
      <c r="B1690" s="7" t="str">
        <f>'Respuestas de formulario 1'!B1803</f>
        <v/>
      </c>
      <c r="C1690" s="7" t="str">
        <f>'Respuestas de formulario 1'!C1803</f>
        <v/>
      </c>
      <c r="D1690" s="7" t="str">
        <f>'Respuestas de formulario 1'!D1803</f>
        <v/>
      </c>
      <c r="E1690" s="7" t="str">
        <f>'Respuestas de formulario 1'!E1803</f>
        <v/>
      </c>
      <c r="F1690" s="7" t="str">
        <f>'Respuestas de formulario 1'!F1803</f>
        <v/>
      </c>
      <c r="G1690" s="7" t="str">
        <f>IFERROR(__xludf.DUMMYFUNCTION("IF('Respuestas de formulario 1'!G1803="""","""",IF(LEFT(REGEXREPLACE(TO_TEXT('Respuestas de formulario 1'!G1803),""[^0-9]"",""""),2)=""54"",""+""&amp;REGEXREPLACE(TO_TEXT('Respuestas de formulario 1'!G1803),""[^0-9]"",""""),""+54""&amp;REGEXREPLACE(TO_TEXT('Respu"&amp;"estas de formulario 1'!G1803),""[^0-9]"","""")))"),"")</f>
        <v/>
      </c>
      <c r="H1690" s="7" t="str">
        <f>'Respuestas de formulario 1'!S1803</f>
        <v/>
      </c>
      <c r="I1690" s="7" t="str">
        <f>IFERROR(__xludf.DUMMYFUNCTION("IF('Respuestas de formulario 1'!I1803="""","""",TO_TEXT('Respuestas de formulario 1'!I1803))"),"")</f>
        <v/>
      </c>
      <c r="J1690" s="7" t="str">
        <f>IFERROR(__xludf.DUMMYFUNCTION("IF('Respuestas de formulario 1'!J1803&lt;&gt;"""",UPPER(TRIM(TO_TEXT('Respuestas de formulario 1'!J1803))),IF('Respuestas de formulario 1'!O1803&lt;&gt;"""",UPPER(TRIM(TO_TEXT('Respuestas de formulario 1'!O1803))),""""))"),"")</f>
        <v/>
      </c>
      <c r="K1690" s="7" t="str">
        <f>IFERROR(__xludf.DUMMYFUNCTION("IF('Respuestas de formulario 1'!K1803="""","""",TO_TEXT('Respuestas de formulario 1'!K1803))"),"")</f>
        <v/>
      </c>
      <c r="L1690" s="7" t="str">
        <f>IFERROR(__xludf.DUMMYFUNCTION("IF('Respuestas de formulario 1'!L1803="""","""",TO_TEXT('Respuestas de formulario 1'!L1803))"),"")</f>
        <v/>
      </c>
      <c r="M1690" s="7" t="str">
        <f>IFERROR(__xludf.DUMMYFUNCTION("IF('Respuestas de formulario 1'!M1803="""","""",TO_TEXT('Respuestas de formulario 1'!M1803))"),"")</f>
        <v/>
      </c>
      <c r="N1690" s="7" t="str">
        <f t="shared" si="1"/>
        <v/>
      </c>
      <c r="O1690" s="7" t="str">
        <f t="shared" si="2"/>
        <v/>
      </c>
      <c r="P1690" s="7"/>
    </row>
    <row r="1691">
      <c r="A1691" s="7" t="str">
        <f>'Respuestas de formulario 1'!A1804</f>
        <v/>
      </c>
      <c r="B1691" s="7" t="str">
        <f>'Respuestas de formulario 1'!B1804</f>
        <v/>
      </c>
      <c r="C1691" s="7" t="str">
        <f>'Respuestas de formulario 1'!C1804</f>
        <v/>
      </c>
      <c r="D1691" s="7" t="str">
        <f>'Respuestas de formulario 1'!D1804</f>
        <v/>
      </c>
      <c r="E1691" s="7" t="str">
        <f>'Respuestas de formulario 1'!E1804</f>
        <v/>
      </c>
      <c r="F1691" s="7" t="str">
        <f>'Respuestas de formulario 1'!F1804</f>
        <v/>
      </c>
      <c r="G1691" s="7" t="str">
        <f>IFERROR(__xludf.DUMMYFUNCTION("IF('Respuestas de formulario 1'!G1804="""","""",IF(LEFT(REGEXREPLACE(TO_TEXT('Respuestas de formulario 1'!G1804),""[^0-9]"",""""),2)=""54"",""+""&amp;REGEXREPLACE(TO_TEXT('Respuestas de formulario 1'!G1804),""[^0-9]"",""""),""+54""&amp;REGEXREPLACE(TO_TEXT('Respu"&amp;"estas de formulario 1'!G1804),""[^0-9]"","""")))"),"")</f>
        <v/>
      </c>
      <c r="H1691" s="7" t="str">
        <f>'Respuestas de formulario 1'!S1804</f>
        <v/>
      </c>
      <c r="I1691" s="7" t="str">
        <f>IFERROR(__xludf.DUMMYFUNCTION("IF('Respuestas de formulario 1'!I1804="""","""",TO_TEXT('Respuestas de formulario 1'!I1804))"),"")</f>
        <v/>
      </c>
      <c r="J1691" s="7" t="str">
        <f>IFERROR(__xludf.DUMMYFUNCTION("IF('Respuestas de formulario 1'!J1804&lt;&gt;"""",UPPER(TRIM(TO_TEXT('Respuestas de formulario 1'!J1804))),IF('Respuestas de formulario 1'!O1804&lt;&gt;"""",UPPER(TRIM(TO_TEXT('Respuestas de formulario 1'!O1804))),""""))"),"")</f>
        <v/>
      </c>
      <c r="K1691" s="7" t="str">
        <f>IFERROR(__xludf.DUMMYFUNCTION("IF('Respuestas de formulario 1'!K1804="""","""",TO_TEXT('Respuestas de formulario 1'!K1804))"),"")</f>
        <v/>
      </c>
      <c r="L1691" s="7" t="str">
        <f>IFERROR(__xludf.DUMMYFUNCTION("IF('Respuestas de formulario 1'!L1804="""","""",TO_TEXT('Respuestas de formulario 1'!L1804))"),"")</f>
        <v/>
      </c>
      <c r="M1691" s="7" t="str">
        <f>IFERROR(__xludf.DUMMYFUNCTION("IF('Respuestas de formulario 1'!M1804="""","""",TO_TEXT('Respuestas de formulario 1'!M1804))"),"")</f>
        <v/>
      </c>
      <c r="N1691" s="7" t="str">
        <f t="shared" si="1"/>
        <v/>
      </c>
      <c r="O1691" s="7" t="str">
        <f t="shared" si="2"/>
        <v/>
      </c>
      <c r="P1691" s="7"/>
    </row>
    <row r="1692">
      <c r="A1692" s="7" t="str">
        <f>'Respuestas de formulario 1'!A1805</f>
        <v/>
      </c>
      <c r="B1692" s="7" t="str">
        <f>'Respuestas de formulario 1'!B1805</f>
        <v/>
      </c>
      <c r="C1692" s="7" t="str">
        <f>'Respuestas de formulario 1'!C1805</f>
        <v/>
      </c>
      <c r="D1692" s="7" t="str">
        <f>'Respuestas de formulario 1'!D1805</f>
        <v/>
      </c>
      <c r="E1692" s="7" t="str">
        <f>'Respuestas de formulario 1'!E1805</f>
        <v/>
      </c>
      <c r="F1692" s="7" t="str">
        <f>'Respuestas de formulario 1'!F1805</f>
        <v/>
      </c>
      <c r="G1692" s="7" t="str">
        <f>IFERROR(__xludf.DUMMYFUNCTION("IF('Respuestas de formulario 1'!G1805="""","""",IF(LEFT(REGEXREPLACE(TO_TEXT('Respuestas de formulario 1'!G1805),""[^0-9]"",""""),2)=""54"",""+""&amp;REGEXREPLACE(TO_TEXT('Respuestas de formulario 1'!G1805),""[^0-9]"",""""),""+54""&amp;REGEXREPLACE(TO_TEXT('Respu"&amp;"estas de formulario 1'!G1805),""[^0-9]"","""")))"),"")</f>
        <v/>
      </c>
      <c r="H1692" s="7" t="str">
        <f>'Respuestas de formulario 1'!S1805</f>
        <v/>
      </c>
      <c r="I1692" s="7" t="str">
        <f>IFERROR(__xludf.DUMMYFUNCTION("IF('Respuestas de formulario 1'!I1805="""","""",TO_TEXT('Respuestas de formulario 1'!I1805))"),"")</f>
        <v/>
      </c>
      <c r="J1692" s="7" t="str">
        <f>IFERROR(__xludf.DUMMYFUNCTION("IF('Respuestas de formulario 1'!J1805&lt;&gt;"""",UPPER(TRIM(TO_TEXT('Respuestas de formulario 1'!J1805))),IF('Respuestas de formulario 1'!O1805&lt;&gt;"""",UPPER(TRIM(TO_TEXT('Respuestas de formulario 1'!O1805))),""""))"),"")</f>
        <v/>
      </c>
      <c r="K1692" s="7" t="str">
        <f>IFERROR(__xludf.DUMMYFUNCTION("IF('Respuestas de formulario 1'!K1805="""","""",TO_TEXT('Respuestas de formulario 1'!K1805))"),"")</f>
        <v/>
      </c>
      <c r="L1692" s="7" t="str">
        <f>IFERROR(__xludf.DUMMYFUNCTION("IF('Respuestas de formulario 1'!L1805="""","""",TO_TEXT('Respuestas de formulario 1'!L1805))"),"")</f>
        <v/>
      </c>
      <c r="M1692" s="7" t="str">
        <f>IFERROR(__xludf.DUMMYFUNCTION("IF('Respuestas de formulario 1'!M1805="""","""",TO_TEXT('Respuestas de formulario 1'!M1805))"),"")</f>
        <v/>
      </c>
      <c r="N1692" s="7" t="str">
        <f t="shared" si="1"/>
        <v/>
      </c>
      <c r="O1692" s="7" t="str">
        <f t="shared" si="2"/>
        <v/>
      </c>
      <c r="P1692" s="7"/>
    </row>
    <row r="1693">
      <c r="A1693" s="7" t="str">
        <f>'Respuestas de formulario 1'!A1806</f>
        <v/>
      </c>
      <c r="B1693" s="7" t="str">
        <f>'Respuestas de formulario 1'!B1806</f>
        <v/>
      </c>
      <c r="C1693" s="7" t="str">
        <f>'Respuestas de formulario 1'!C1806</f>
        <v/>
      </c>
      <c r="D1693" s="7" t="str">
        <f>'Respuestas de formulario 1'!D1806</f>
        <v/>
      </c>
      <c r="E1693" s="7" t="str">
        <f>'Respuestas de formulario 1'!E1806</f>
        <v/>
      </c>
      <c r="F1693" s="7" t="str">
        <f>'Respuestas de formulario 1'!F1806</f>
        <v/>
      </c>
      <c r="G1693" s="7" t="str">
        <f>IFERROR(__xludf.DUMMYFUNCTION("IF('Respuestas de formulario 1'!G1806="""","""",IF(LEFT(REGEXREPLACE(TO_TEXT('Respuestas de formulario 1'!G1806),""[^0-9]"",""""),2)=""54"",""+""&amp;REGEXREPLACE(TO_TEXT('Respuestas de formulario 1'!G1806),""[^0-9]"",""""),""+54""&amp;REGEXREPLACE(TO_TEXT('Respu"&amp;"estas de formulario 1'!G1806),""[^0-9]"","""")))"),"")</f>
        <v/>
      </c>
      <c r="H1693" s="7" t="str">
        <f>'Respuestas de formulario 1'!S1806</f>
        <v/>
      </c>
      <c r="I1693" s="7" t="str">
        <f>IFERROR(__xludf.DUMMYFUNCTION("IF('Respuestas de formulario 1'!I1806="""","""",TO_TEXT('Respuestas de formulario 1'!I1806))"),"")</f>
        <v/>
      </c>
      <c r="J1693" s="7" t="str">
        <f>IFERROR(__xludf.DUMMYFUNCTION("IF('Respuestas de formulario 1'!J1806&lt;&gt;"""",UPPER(TRIM(TO_TEXT('Respuestas de formulario 1'!J1806))),IF('Respuestas de formulario 1'!O1806&lt;&gt;"""",UPPER(TRIM(TO_TEXT('Respuestas de formulario 1'!O1806))),""""))"),"")</f>
        <v/>
      </c>
      <c r="K1693" s="7" t="str">
        <f>IFERROR(__xludf.DUMMYFUNCTION("IF('Respuestas de formulario 1'!K1806="""","""",TO_TEXT('Respuestas de formulario 1'!K1806))"),"")</f>
        <v/>
      </c>
      <c r="L1693" s="7" t="str">
        <f>IFERROR(__xludf.DUMMYFUNCTION("IF('Respuestas de formulario 1'!L1806="""","""",TO_TEXT('Respuestas de formulario 1'!L1806))"),"")</f>
        <v/>
      </c>
      <c r="M1693" s="7" t="str">
        <f>IFERROR(__xludf.DUMMYFUNCTION("IF('Respuestas de formulario 1'!M1806="""","""",TO_TEXT('Respuestas de formulario 1'!M1806))"),"")</f>
        <v/>
      </c>
      <c r="N1693" s="7" t="str">
        <f t="shared" si="1"/>
        <v/>
      </c>
      <c r="O1693" s="7" t="str">
        <f t="shared" si="2"/>
        <v/>
      </c>
      <c r="P1693" s="7"/>
    </row>
    <row r="1694">
      <c r="A1694" s="7" t="str">
        <f>'Respuestas de formulario 1'!A1807</f>
        <v/>
      </c>
      <c r="B1694" s="7" t="str">
        <f>'Respuestas de formulario 1'!B1807</f>
        <v/>
      </c>
      <c r="C1694" s="7" t="str">
        <f>'Respuestas de formulario 1'!C1807</f>
        <v/>
      </c>
      <c r="D1694" s="7" t="str">
        <f>'Respuestas de formulario 1'!D1807</f>
        <v/>
      </c>
      <c r="E1694" s="7" t="str">
        <f>'Respuestas de formulario 1'!E1807</f>
        <v/>
      </c>
      <c r="F1694" s="7" t="str">
        <f>'Respuestas de formulario 1'!F1807</f>
        <v/>
      </c>
      <c r="G1694" s="7" t="str">
        <f>IFERROR(__xludf.DUMMYFUNCTION("IF('Respuestas de formulario 1'!G1807="""","""",IF(LEFT(REGEXREPLACE(TO_TEXT('Respuestas de formulario 1'!G1807),""[^0-9]"",""""),2)=""54"",""+""&amp;REGEXREPLACE(TO_TEXT('Respuestas de formulario 1'!G1807),""[^0-9]"",""""),""+54""&amp;REGEXREPLACE(TO_TEXT('Respu"&amp;"estas de formulario 1'!G1807),""[^0-9]"","""")))"),"")</f>
        <v/>
      </c>
      <c r="H1694" s="7" t="str">
        <f>'Respuestas de formulario 1'!S1807</f>
        <v/>
      </c>
      <c r="I1694" s="7" t="str">
        <f>IFERROR(__xludf.DUMMYFUNCTION("IF('Respuestas de formulario 1'!I1807="""","""",TO_TEXT('Respuestas de formulario 1'!I1807))"),"")</f>
        <v/>
      </c>
      <c r="J1694" s="7" t="str">
        <f>IFERROR(__xludf.DUMMYFUNCTION("IF('Respuestas de formulario 1'!J1807&lt;&gt;"""",UPPER(TRIM(TO_TEXT('Respuestas de formulario 1'!J1807))),IF('Respuestas de formulario 1'!O1807&lt;&gt;"""",UPPER(TRIM(TO_TEXT('Respuestas de formulario 1'!O1807))),""""))"),"")</f>
        <v/>
      </c>
      <c r="K1694" s="7" t="str">
        <f>IFERROR(__xludf.DUMMYFUNCTION("IF('Respuestas de formulario 1'!K1807="""","""",TO_TEXT('Respuestas de formulario 1'!K1807))"),"")</f>
        <v/>
      </c>
      <c r="L1694" s="7" t="str">
        <f>IFERROR(__xludf.DUMMYFUNCTION("IF('Respuestas de formulario 1'!L1807="""","""",TO_TEXT('Respuestas de formulario 1'!L1807))"),"")</f>
        <v/>
      </c>
      <c r="M1694" s="7" t="str">
        <f>IFERROR(__xludf.DUMMYFUNCTION("IF('Respuestas de formulario 1'!M1807="""","""",TO_TEXT('Respuestas de formulario 1'!M1807))"),"")</f>
        <v/>
      </c>
      <c r="N1694" s="7" t="str">
        <f t="shared" si="1"/>
        <v/>
      </c>
      <c r="O1694" s="7" t="str">
        <f t="shared" si="2"/>
        <v/>
      </c>
      <c r="P1694" s="7"/>
    </row>
    <row r="1695">
      <c r="A1695" s="7" t="str">
        <f>'Respuestas de formulario 1'!A1808</f>
        <v/>
      </c>
      <c r="B1695" s="7" t="str">
        <f>'Respuestas de formulario 1'!B1808</f>
        <v/>
      </c>
      <c r="C1695" s="7" t="str">
        <f>'Respuestas de formulario 1'!C1808</f>
        <v/>
      </c>
      <c r="D1695" s="7" t="str">
        <f>'Respuestas de formulario 1'!D1808</f>
        <v/>
      </c>
      <c r="E1695" s="7" t="str">
        <f>'Respuestas de formulario 1'!E1808</f>
        <v/>
      </c>
      <c r="F1695" s="7" t="str">
        <f>'Respuestas de formulario 1'!F1808</f>
        <v/>
      </c>
      <c r="G1695" s="7" t="str">
        <f>IFERROR(__xludf.DUMMYFUNCTION("IF('Respuestas de formulario 1'!G1808="""","""",IF(LEFT(REGEXREPLACE(TO_TEXT('Respuestas de formulario 1'!G1808),""[^0-9]"",""""),2)=""54"",""+""&amp;REGEXREPLACE(TO_TEXT('Respuestas de formulario 1'!G1808),""[^0-9]"",""""),""+54""&amp;REGEXREPLACE(TO_TEXT('Respu"&amp;"estas de formulario 1'!G1808),""[^0-9]"","""")))"),"")</f>
        <v/>
      </c>
      <c r="H1695" s="7" t="str">
        <f>'Respuestas de formulario 1'!S1808</f>
        <v/>
      </c>
      <c r="I1695" s="7" t="str">
        <f>IFERROR(__xludf.DUMMYFUNCTION("IF('Respuestas de formulario 1'!I1808="""","""",TO_TEXT('Respuestas de formulario 1'!I1808))"),"")</f>
        <v/>
      </c>
      <c r="J1695" s="7" t="str">
        <f>IFERROR(__xludf.DUMMYFUNCTION("IF('Respuestas de formulario 1'!J1808&lt;&gt;"""",UPPER(TRIM(TO_TEXT('Respuestas de formulario 1'!J1808))),IF('Respuestas de formulario 1'!O1808&lt;&gt;"""",UPPER(TRIM(TO_TEXT('Respuestas de formulario 1'!O1808))),""""))"),"")</f>
        <v/>
      </c>
      <c r="K1695" s="7" t="str">
        <f>IFERROR(__xludf.DUMMYFUNCTION("IF('Respuestas de formulario 1'!K1808="""","""",TO_TEXT('Respuestas de formulario 1'!K1808))"),"")</f>
        <v/>
      </c>
      <c r="L1695" s="7" t="str">
        <f>IFERROR(__xludf.DUMMYFUNCTION("IF('Respuestas de formulario 1'!L1808="""","""",TO_TEXT('Respuestas de formulario 1'!L1808))"),"")</f>
        <v/>
      </c>
      <c r="M1695" s="7" t="str">
        <f>IFERROR(__xludf.DUMMYFUNCTION("IF('Respuestas de formulario 1'!M1808="""","""",TO_TEXT('Respuestas de formulario 1'!M1808))"),"")</f>
        <v/>
      </c>
      <c r="N1695" s="7" t="str">
        <f t="shared" si="1"/>
        <v/>
      </c>
      <c r="O1695" s="7" t="str">
        <f t="shared" si="2"/>
        <v/>
      </c>
      <c r="P1695" s="7"/>
    </row>
    <row r="1696">
      <c r="A1696" s="7" t="str">
        <f>'Respuestas de formulario 1'!A1809</f>
        <v/>
      </c>
      <c r="B1696" s="7" t="str">
        <f>'Respuestas de formulario 1'!B1809</f>
        <v/>
      </c>
      <c r="C1696" s="7" t="str">
        <f>'Respuestas de formulario 1'!C1809</f>
        <v/>
      </c>
      <c r="D1696" s="7" t="str">
        <f>'Respuestas de formulario 1'!D1809</f>
        <v/>
      </c>
      <c r="E1696" s="7" t="str">
        <f>'Respuestas de formulario 1'!E1809</f>
        <v/>
      </c>
      <c r="F1696" s="7" t="str">
        <f>'Respuestas de formulario 1'!F1809</f>
        <v/>
      </c>
      <c r="G1696" s="7" t="str">
        <f>IFERROR(__xludf.DUMMYFUNCTION("IF('Respuestas de formulario 1'!G1809="""","""",IF(LEFT(REGEXREPLACE(TO_TEXT('Respuestas de formulario 1'!G1809),""[^0-9]"",""""),2)=""54"",""+""&amp;REGEXREPLACE(TO_TEXT('Respuestas de formulario 1'!G1809),""[^0-9]"",""""),""+54""&amp;REGEXREPLACE(TO_TEXT('Respu"&amp;"estas de formulario 1'!G1809),""[^0-9]"","""")))"),"")</f>
        <v/>
      </c>
      <c r="H1696" s="7" t="str">
        <f>'Respuestas de formulario 1'!S1809</f>
        <v/>
      </c>
      <c r="I1696" s="7" t="str">
        <f>IFERROR(__xludf.DUMMYFUNCTION("IF('Respuestas de formulario 1'!I1809="""","""",TO_TEXT('Respuestas de formulario 1'!I1809))"),"")</f>
        <v/>
      </c>
      <c r="J1696" s="7" t="str">
        <f>IFERROR(__xludf.DUMMYFUNCTION("IF('Respuestas de formulario 1'!J1809&lt;&gt;"""",UPPER(TRIM(TO_TEXT('Respuestas de formulario 1'!J1809))),IF('Respuestas de formulario 1'!O1809&lt;&gt;"""",UPPER(TRIM(TO_TEXT('Respuestas de formulario 1'!O1809))),""""))"),"")</f>
        <v/>
      </c>
      <c r="K1696" s="7" t="str">
        <f>IFERROR(__xludf.DUMMYFUNCTION("IF('Respuestas de formulario 1'!K1809="""","""",TO_TEXT('Respuestas de formulario 1'!K1809))"),"")</f>
        <v/>
      </c>
      <c r="L1696" s="7" t="str">
        <f>IFERROR(__xludf.DUMMYFUNCTION("IF('Respuestas de formulario 1'!L1809="""","""",TO_TEXT('Respuestas de formulario 1'!L1809))"),"")</f>
        <v/>
      </c>
      <c r="M1696" s="7" t="str">
        <f>IFERROR(__xludf.DUMMYFUNCTION("IF('Respuestas de formulario 1'!M1809="""","""",TO_TEXT('Respuestas de formulario 1'!M1809))"),"")</f>
        <v/>
      </c>
      <c r="N1696" s="7" t="str">
        <f t="shared" si="1"/>
        <v/>
      </c>
      <c r="O1696" s="7" t="str">
        <f t="shared" si="2"/>
        <v/>
      </c>
      <c r="P1696" s="7"/>
    </row>
    <row r="1697">
      <c r="A1697" s="7" t="str">
        <f>'Respuestas de formulario 1'!A1810</f>
        <v/>
      </c>
      <c r="B1697" s="7" t="str">
        <f>'Respuestas de formulario 1'!B1810</f>
        <v/>
      </c>
      <c r="C1697" s="7" t="str">
        <f>'Respuestas de formulario 1'!C1810</f>
        <v/>
      </c>
      <c r="D1697" s="7" t="str">
        <f>'Respuestas de formulario 1'!D1810</f>
        <v/>
      </c>
      <c r="E1697" s="7" t="str">
        <f>'Respuestas de formulario 1'!E1810</f>
        <v/>
      </c>
      <c r="F1697" s="7" t="str">
        <f>'Respuestas de formulario 1'!F1810</f>
        <v/>
      </c>
      <c r="G1697" s="7" t="str">
        <f>IFERROR(__xludf.DUMMYFUNCTION("IF('Respuestas de formulario 1'!G1810="""","""",IF(LEFT(REGEXREPLACE(TO_TEXT('Respuestas de formulario 1'!G1810),""[^0-9]"",""""),2)=""54"",""+""&amp;REGEXREPLACE(TO_TEXT('Respuestas de formulario 1'!G1810),""[^0-9]"",""""),""+54""&amp;REGEXREPLACE(TO_TEXT('Respu"&amp;"estas de formulario 1'!G1810),""[^0-9]"","""")))"),"")</f>
        <v/>
      </c>
      <c r="H1697" s="7" t="str">
        <f>'Respuestas de formulario 1'!S1810</f>
        <v/>
      </c>
      <c r="I1697" s="7" t="str">
        <f>IFERROR(__xludf.DUMMYFUNCTION("IF('Respuestas de formulario 1'!I1810="""","""",TO_TEXT('Respuestas de formulario 1'!I1810))"),"")</f>
        <v/>
      </c>
      <c r="J1697" s="7" t="str">
        <f>IFERROR(__xludf.DUMMYFUNCTION("IF('Respuestas de formulario 1'!J1810&lt;&gt;"""",UPPER(TRIM(TO_TEXT('Respuestas de formulario 1'!J1810))),IF('Respuestas de formulario 1'!O1810&lt;&gt;"""",UPPER(TRIM(TO_TEXT('Respuestas de formulario 1'!O1810))),""""))"),"")</f>
        <v/>
      </c>
      <c r="K1697" s="7" t="str">
        <f>IFERROR(__xludf.DUMMYFUNCTION("IF('Respuestas de formulario 1'!K1810="""","""",TO_TEXT('Respuestas de formulario 1'!K1810))"),"")</f>
        <v/>
      </c>
      <c r="L1697" s="7" t="str">
        <f>IFERROR(__xludf.DUMMYFUNCTION("IF('Respuestas de formulario 1'!L1810="""","""",TO_TEXT('Respuestas de formulario 1'!L1810))"),"")</f>
        <v/>
      </c>
      <c r="M1697" s="7" t="str">
        <f>IFERROR(__xludf.DUMMYFUNCTION("IF('Respuestas de formulario 1'!M1810="""","""",TO_TEXT('Respuestas de formulario 1'!M1810))"),"")</f>
        <v/>
      </c>
      <c r="N1697" s="7" t="str">
        <f t="shared" si="1"/>
        <v/>
      </c>
      <c r="O1697" s="7" t="str">
        <f t="shared" si="2"/>
        <v/>
      </c>
      <c r="P1697" s="7"/>
    </row>
    <row r="1698">
      <c r="A1698" s="7" t="str">
        <f>'Respuestas de formulario 1'!A1811</f>
        <v/>
      </c>
      <c r="B1698" s="7" t="str">
        <f>'Respuestas de formulario 1'!B1811</f>
        <v/>
      </c>
      <c r="C1698" s="7" t="str">
        <f>'Respuestas de formulario 1'!C1811</f>
        <v/>
      </c>
      <c r="D1698" s="7" t="str">
        <f>'Respuestas de formulario 1'!D1811</f>
        <v/>
      </c>
      <c r="E1698" s="7" t="str">
        <f>'Respuestas de formulario 1'!E1811</f>
        <v/>
      </c>
      <c r="F1698" s="7" t="str">
        <f>'Respuestas de formulario 1'!F1811</f>
        <v/>
      </c>
      <c r="G1698" s="7" t="str">
        <f>IFERROR(__xludf.DUMMYFUNCTION("IF('Respuestas de formulario 1'!G1811="""","""",IF(LEFT(REGEXREPLACE(TO_TEXT('Respuestas de formulario 1'!G1811),""[^0-9]"",""""),2)=""54"",""+""&amp;REGEXREPLACE(TO_TEXT('Respuestas de formulario 1'!G1811),""[^0-9]"",""""),""+54""&amp;REGEXREPLACE(TO_TEXT('Respu"&amp;"estas de formulario 1'!G1811),""[^0-9]"","""")))"),"")</f>
        <v/>
      </c>
      <c r="H1698" s="7" t="str">
        <f>'Respuestas de formulario 1'!S1811</f>
        <v/>
      </c>
      <c r="I1698" s="7" t="str">
        <f>IFERROR(__xludf.DUMMYFUNCTION("IF('Respuestas de formulario 1'!I1811="""","""",TO_TEXT('Respuestas de formulario 1'!I1811))"),"")</f>
        <v/>
      </c>
      <c r="J1698" s="7" t="str">
        <f>IFERROR(__xludf.DUMMYFUNCTION("IF('Respuestas de formulario 1'!J1811&lt;&gt;"""",UPPER(TRIM(TO_TEXT('Respuestas de formulario 1'!J1811))),IF('Respuestas de formulario 1'!O1811&lt;&gt;"""",UPPER(TRIM(TO_TEXT('Respuestas de formulario 1'!O1811))),""""))"),"")</f>
        <v/>
      </c>
      <c r="K1698" s="7" t="str">
        <f>IFERROR(__xludf.DUMMYFUNCTION("IF('Respuestas de formulario 1'!K1811="""","""",TO_TEXT('Respuestas de formulario 1'!K1811))"),"")</f>
        <v/>
      </c>
      <c r="L1698" s="7" t="str">
        <f>IFERROR(__xludf.DUMMYFUNCTION("IF('Respuestas de formulario 1'!L1811="""","""",TO_TEXT('Respuestas de formulario 1'!L1811))"),"")</f>
        <v/>
      </c>
      <c r="M1698" s="7" t="str">
        <f>IFERROR(__xludf.DUMMYFUNCTION("IF('Respuestas de formulario 1'!M1811="""","""",TO_TEXT('Respuestas de formulario 1'!M1811))"),"")</f>
        <v/>
      </c>
      <c r="N1698" s="7" t="str">
        <f t="shared" si="1"/>
        <v/>
      </c>
      <c r="O1698" s="7" t="str">
        <f t="shared" si="2"/>
        <v/>
      </c>
      <c r="P1698" s="7"/>
    </row>
    <row r="1699">
      <c r="A1699" s="7" t="str">
        <f>'Respuestas de formulario 1'!A1812</f>
        <v/>
      </c>
      <c r="B1699" s="7" t="str">
        <f>'Respuestas de formulario 1'!B1812</f>
        <v/>
      </c>
      <c r="C1699" s="7" t="str">
        <f>'Respuestas de formulario 1'!C1812</f>
        <v/>
      </c>
      <c r="D1699" s="7" t="str">
        <f>'Respuestas de formulario 1'!D1812</f>
        <v/>
      </c>
      <c r="E1699" s="7" t="str">
        <f>'Respuestas de formulario 1'!E1812</f>
        <v/>
      </c>
      <c r="F1699" s="7" t="str">
        <f>'Respuestas de formulario 1'!F1812</f>
        <v/>
      </c>
      <c r="G1699" s="7" t="str">
        <f>IFERROR(__xludf.DUMMYFUNCTION("IF('Respuestas de formulario 1'!G1812="""","""",IF(LEFT(REGEXREPLACE(TO_TEXT('Respuestas de formulario 1'!G1812),""[^0-9]"",""""),2)=""54"",""+""&amp;REGEXREPLACE(TO_TEXT('Respuestas de formulario 1'!G1812),""[^0-9]"",""""),""+54""&amp;REGEXREPLACE(TO_TEXT('Respu"&amp;"estas de formulario 1'!G1812),""[^0-9]"","""")))"),"")</f>
        <v/>
      </c>
      <c r="H1699" s="7" t="str">
        <f>'Respuestas de formulario 1'!S1812</f>
        <v/>
      </c>
      <c r="I1699" s="7" t="str">
        <f>IFERROR(__xludf.DUMMYFUNCTION("IF('Respuestas de formulario 1'!I1812="""","""",TO_TEXT('Respuestas de formulario 1'!I1812))"),"")</f>
        <v/>
      </c>
      <c r="J1699" s="7" t="str">
        <f>IFERROR(__xludf.DUMMYFUNCTION("IF('Respuestas de formulario 1'!J1812&lt;&gt;"""",UPPER(TRIM(TO_TEXT('Respuestas de formulario 1'!J1812))),IF('Respuestas de formulario 1'!O1812&lt;&gt;"""",UPPER(TRIM(TO_TEXT('Respuestas de formulario 1'!O1812))),""""))"),"")</f>
        <v/>
      </c>
      <c r="K1699" s="7" t="str">
        <f>IFERROR(__xludf.DUMMYFUNCTION("IF('Respuestas de formulario 1'!K1812="""","""",TO_TEXT('Respuestas de formulario 1'!K1812))"),"")</f>
        <v/>
      </c>
      <c r="L1699" s="7" t="str">
        <f>IFERROR(__xludf.DUMMYFUNCTION("IF('Respuestas de formulario 1'!L1812="""","""",TO_TEXT('Respuestas de formulario 1'!L1812))"),"")</f>
        <v/>
      </c>
      <c r="M1699" s="7" t="str">
        <f>IFERROR(__xludf.DUMMYFUNCTION("IF('Respuestas de formulario 1'!M1812="""","""",TO_TEXT('Respuestas de formulario 1'!M1812))"),"")</f>
        <v/>
      </c>
      <c r="N1699" s="7" t="str">
        <f t="shared" si="1"/>
        <v/>
      </c>
      <c r="O1699" s="7" t="str">
        <f t="shared" si="2"/>
        <v/>
      </c>
      <c r="P1699" s="7"/>
    </row>
    <row r="1700">
      <c r="A1700" s="7" t="str">
        <f>'Respuestas de formulario 1'!A1813</f>
        <v/>
      </c>
      <c r="B1700" s="7" t="str">
        <f>'Respuestas de formulario 1'!B1813</f>
        <v/>
      </c>
      <c r="C1700" s="7" t="str">
        <f>'Respuestas de formulario 1'!C1813</f>
        <v/>
      </c>
      <c r="D1700" s="7" t="str">
        <f>'Respuestas de formulario 1'!D1813</f>
        <v/>
      </c>
      <c r="E1700" s="7" t="str">
        <f>'Respuestas de formulario 1'!E1813</f>
        <v/>
      </c>
      <c r="F1700" s="7" t="str">
        <f>'Respuestas de formulario 1'!F1813</f>
        <v/>
      </c>
      <c r="G1700" s="7" t="str">
        <f>IFERROR(__xludf.DUMMYFUNCTION("IF('Respuestas de formulario 1'!G1813="""","""",IF(LEFT(REGEXREPLACE(TO_TEXT('Respuestas de formulario 1'!G1813),""[^0-9]"",""""),2)=""54"",""+""&amp;REGEXREPLACE(TO_TEXT('Respuestas de formulario 1'!G1813),""[^0-9]"",""""),""+54""&amp;REGEXREPLACE(TO_TEXT('Respu"&amp;"estas de formulario 1'!G1813),""[^0-9]"","""")))"),"")</f>
        <v/>
      </c>
      <c r="H1700" s="7" t="str">
        <f>'Respuestas de formulario 1'!S1813</f>
        <v/>
      </c>
      <c r="I1700" s="7" t="str">
        <f>IFERROR(__xludf.DUMMYFUNCTION("IF('Respuestas de formulario 1'!I1813="""","""",TO_TEXT('Respuestas de formulario 1'!I1813))"),"")</f>
        <v/>
      </c>
      <c r="J1700" s="7" t="str">
        <f>IFERROR(__xludf.DUMMYFUNCTION("IF('Respuestas de formulario 1'!J1813&lt;&gt;"""",UPPER(TRIM(TO_TEXT('Respuestas de formulario 1'!J1813))),IF('Respuestas de formulario 1'!O1813&lt;&gt;"""",UPPER(TRIM(TO_TEXT('Respuestas de formulario 1'!O1813))),""""))"),"")</f>
        <v/>
      </c>
      <c r="K1700" s="7" t="str">
        <f>IFERROR(__xludf.DUMMYFUNCTION("IF('Respuestas de formulario 1'!K1813="""","""",TO_TEXT('Respuestas de formulario 1'!K1813))"),"")</f>
        <v/>
      </c>
      <c r="L1700" s="7" t="str">
        <f>IFERROR(__xludf.DUMMYFUNCTION("IF('Respuestas de formulario 1'!L1813="""","""",TO_TEXT('Respuestas de formulario 1'!L1813))"),"")</f>
        <v/>
      </c>
      <c r="M1700" s="7" t="str">
        <f>IFERROR(__xludf.DUMMYFUNCTION("IF('Respuestas de formulario 1'!M1813="""","""",TO_TEXT('Respuestas de formulario 1'!M1813))"),"")</f>
        <v/>
      </c>
      <c r="N1700" s="7" t="str">
        <f t="shared" si="1"/>
        <v/>
      </c>
      <c r="O1700" s="7" t="str">
        <f t="shared" si="2"/>
        <v/>
      </c>
      <c r="P1700" s="7"/>
    </row>
    <row r="1701">
      <c r="A1701" s="7" t="str">
        <f>'Respuestas de formulario 1'!A1814</f>
        <v/>
      </c>
      <c r="B1701" s="7" t="str">
        <f>'Respuestas de formulario 1'!B1814</f>
        <v/>
      </c>
      <c r="C1701" s="7" t="str">
        <f>'Respuestas de formulario 1'!C1814</f>
        <v/>
      </c>
      <c r="D1701" s="7" t="str">
        <f>'Respuestas de formulario 1'!D1814</f>
        <v/>
      </c>
      <c r="E1701" s="7" t="str">
        <f>'Respuestas de formulario 1'!E1814</f>
        <v/>
      </c>
      <c r="F1701" s="7" t="str">
        <f>'Respuestas de formulario 1'!F1814</f>
        <v/>
      </c>
      <c r="G1701" s="7" t="str">
        <f>IFERROR(__xludf.DUMMYFUNCTION("IF('Respuestas de formulario 1'!G1814="""","""",IF(LEFT(REGEXREPLACE(TO_TEXT('Respuestas de formulario 1'!G1814),""[^0-9]"",""""),2)=""54"",""+""&amp;REGEXREPLACE(TO_TEXT('Respuestas de formulario 1'!G1814),""[^0-9]"",""""),""+54""&amp;REGEXREPLACE(TO_TEXT('Respu"&amp;"estas de formulario 1'!G1814),""[^0-9]"","""")))"),"")</f>
        <v/>
      </c>
      <c r="H1701" s="7" t="str">
        <f>'Respuestas de formulario 1'!S1814</f>
        <v/>
      </c>
      <c r="I1701" s="7" t="str">
        <f>IFERROR(__xludf.DUMMYFUNCTION("IF('Respuestas de formulario 1'!I1814="""","""",TO_TEXT('Respuestas de formulario 1'!I1814))"),"")</f>
        <v/>
      </c>
      <c r="J1701" s="7" t="str">
        <f>IFERROR(__xludf.DUMMYFUNCTION("IF('Respuestas de formulario 1'!J1814&lt;&gt;"""",UPPER(TRIM(TO_TEXT('Respuestas de formulario 1'!J1814))),IF('Respuestas de formulario 1'!O1814&lt;&gt;"""",UPPER(TRIM(TO_TEXT('Respuestas de formulario 1'!O1814))),""""))"),"")</f>
        <v/>
      </c>
      <c r="K1701" s="7" t="str">
        <f>IFERROR(__xludf.DUMMYFUNCTION("IF('Respuestas de formulario 1'!K1814="""","""",TO_TEXT('Respuestas de formulario 1'!K1814))"),"")</f>
        <v/>
      </c>
      <c r="L1701" s="7" t="str">
        <f>IFERROR(__xludf.DUMMYFUNCTION("IF('Respuestas de formulario 1'!L1814="""","""",TO_TEXT('Respuestas de formulario 1'!L1814))"),"")</f>
        <v/>
      </c>
      <c r="M1701" s="7" t="str">
        <f>IFERROR(__xludf.DUMMYFUNCTION("IF('Respuestas de formulario 1'!M1814="""","""",TO_TEXT('Respuestas de formulario 1'!M1814))"),"")</f>
        <v/>
      </c>
      <c r="N1701" s="7" t="str">
        <f t="shared" si="1"/>
        <v/>
      </c>
      <c r="O1701" s="7" t="str">
        <f t="shared" si="2"/>
        <v/>
      </c>
      <c r="P1701" s="7"/>
    </row>
    <row r="1702">
      <c r="A1702" s="7" t="str">
        <f>'Respuestas de formulario 1'!A1815</f>
        <v/>
      </c>
      <c r="B1702" s="7" t="str">
        <f>'Respuestas de formulario 1'!B1815</f>
        <v/>
      </c>
      <c r="C1702" s="7" t="str">
        <f>'Respuestas de formulario 1'!C1815</f>
        <v/>
      </c>
      <c r="D1702" s="7" t="str">
        <f>'Respuestas de formulario 1'!D1815</f>
        <v/>
      </c>
      <c r="E1702" s="7" t="str">
        <f>'Respuestas de formulario 1'!E1815</f>
        <v/>
      </c>
      <c r="F1702" s="7" t="str">
        <f>'Respuestas de formulario 1'!F1815</f>
        <v/>
      </c>
      <c r="G1702" s="7" t="str">
        <f>IFERROR(__xludf.DUMMYFUNCTION("IF('Respuestas de formulario 1'!G1815="""","""",IF(LEFT(REGEXREPLACE(TO_TEXT('Respuestas de formulario 1'!G1815),""[^0-9]"",""""),2)=""54"",""+""&amp;REGEXREPLACE(TO_TEXT('Respuestas de formulario 1'!G1815),""[^0-9]"",""""),""+54""&amp;REGEXREPLACE(TO_TEXT('Respu"&amp;"estas de formulario 1'!G1815),""[^0-9]"","""")))"),"")</f>
        <v/>
      </c>
      <c r="H1702" s="7" t="str">
        <f>'Respuestas de formulario 1'!S1815</f>
        <v/>
      </c>
      <c r="I1702" s="7" t="str">
        <f>IFERROR(__xludf.DUMMYFUNCTION("IF('Respuestas de formulario 1'!I1815="""","""",TO_TEXT('Respuestas de formulario 1'!I1815))"),"")</f>
        <v/>
      </c>
      <c r="J1702" s="7" t="str">
        <f>IFERROR(__xludf.DUMMYFUNCTION("IF('Respuestas de formulario 1'!J1815&lt;&gt;"""",UPPER(TRIM(TO_TEXT('Respuestas de formulario 1'!J1815))),IF('Respuestas de formulario 1'!O1815&lt;&gt;"""",UPPER(TRIM(TO_TEXT('Respuestas de formulario 1'!O1815))),""""))"),"")</f>
        <v/>
      </c>
      <c r="K1702" s="7" t="str">
        <f>IFERROR(__xludf.DUMMYFUNCTION("IF('Respuestas de formulario 1'!K1815="""","""",TO_TEXT('Respuestas de formulario 1'!K1815))"),"")</f>
        <v/>
      </c>
      <c r="L1702" s="7" t="str">
        <f>IFERROR(__xludf.DUMMYFUNCTION("IF('Respuestas de formulario 1'!L1815="""","""",TO_TEXT('Respuestas de formulario 1'!L1815))"),"")</f>
        <v/>
      </c>
      <c r="M1702" s="7" t="str">
        <f>IFERROR(__xludf.DUMMYFUNCTION("IF('Respuestas de formulario 1'!M1815="""","""",TO_TEXT('Respuestas de formulario 1'!M1815))"),"")</f>
        <v/>
      </c>
      <c r="N1702" s="7" t="str">
        <f t="shared" si="1"/>
        <v/>
      </c>
      <c r="O1702" s="7" t="str">
        <f t="shared" si="2"/>
        <v/>
      </c>
      <c r="P1702" s="7"/>
    </row>
    <row r="1703">
      <c r="A1703" s="7" t="str">
        <f>'Respuestas de formulario 1'!A1816</f>
        <v/>
      </c>
      <c r="B1703" s="7" t="str">
        <f>'Respuestas de formulario 1'!B1816</f>
        <v/>
      </c>
      <c r="C1703" s="7" t="str">
        <f>'Respuestas de formulario 1'!C1816</f>
        <v/>
      </c>
      <c r="D1703" s="7" t="str">
        <f>'Respuestas de formulario 1'!D1816</f>
        <v/>
      </c>
      <c r="E1703" s="7" t="str">
        <f>'Respuestas de formulario 1'!E1816</f>
        <v/>
      </c>
      <c r="F1703" s="7" t="str">
        <f>'Respuestas de formulario 1'!F1816</f>
        <v/>
      </c>
      <c r="G1703" s="7" t="str">
        <f>IFERROR(__xludf.DUMMYFUNCTION("IF('Respuestas de formulario 1'!G1816="""","""",IF(LEFT(REGEXREPLACE(TO_TEXT('Respuestas de formulario 1'!G1816),""[^0-9]"",""""),2)=""54"",""+""&amp;REGEXREPLACE(TO_TEXT('Respuestas de formulario 1'!G1816),""[^0-9]"",""""),""+54""&amp;REGEXREPLACE(TO_TEXT('Respu"&amp;"estas de formulario 1'!G1816),""[^0-9]"","""")))"),"")</f>
        <v/>
      </c>
      <c r="H1703" s="7" t="str">
        <f>'Respuestas de formulario 1'!S1816</f>
        <v/>
      </c>
      <c r="I1703" s="7" t="str">
        <f>IFERROR(__xludf.DUMMYFUNCTION("IF('Respuestas de formulario 1'!I1816="""","""",TO_TEXT('Respuestas de formulario 1'!I1816))"),"")</f>
        <v/>
      </c>
      <c r="J1703" s="7" t="str">
        <f>IFERROR(__xludf.DUMMYFUNCTION("IF('Respuestas de formulario 1'!J1816&lt;&gt;"""",UPPER(TRIM(TO_TEXT('Respuestas de formulario 1'!J1816))),IF('Respuestas de formulario 1'!O1816&lt;&gt;"""",UPPER(TRIM(TO_TEXT('Respuestas de formulario 1'!O1816))),""""))"),"")</f>
        <v/>
      </c>
      <c r="K1703" s="7" t="str">
        <f>IFERROR(__xludf.DUMMYFUNCTION("IF('Respuestas de formulario 1'!K1816="""","""",TO_TEXT('Respuestas de formulario 1'!K1816))"),"")</f>
        <v/>
      </c>
      <c r="L1703" s="7" t="str">
        <f>IFERROR(__xludf.DUMMYFUNCTION("IF('Respuestas de formulario 1'!L1816="""","""",TO_TEXT('Respuestas de formulario 1'!L1816))"),"")</f>
        <v/>
      </c>
      <c r="M1703" s="7" t="str">
        <f>IFERROR(__xludf.DUMMYFUNCTION("IF('Respuestas de formulario 1'!M1816="""","""",TO_TEXT('Respuestas de formulario 1'!M1816))"),"")</f>
        <v/>
      </c>
      <c r="N1703" s="7" t="str">
        <f t="shared" si="1"/>
        <v/>
      </c>
      <c r="O1703" s="7" t="str">
        <f t="shared" si="2"/>
        <v/>
      </c>
      <c r="P1703" s="7"/>
    </row>
    <row r="1704">
      <c r="A1704" s="7" t="str">
        <f>'Respuestas de formulario 1'!A1817</f>
        <v/>
      </c>
      <c r="B1704" s="7" t="str">
        <f>'Respuestas de formulario 1'!B1817</f>
        <v/>
      </c>
      <c r="C1704" s="7" t="str">
        <f>'Respuestas de formulario 1'!C1817</f>
        <v/>
      </c>
      <c r="D1704" s="7" t="str">
        <f>'Respuestas de formulario 1'!D1817</f>
        <v/>
      </c>
      <c r="E1704" s="7" t="str">
        <f>'Respuestas de formulario 1'!E1817</f>
        <v/>
      </c>
      <c r="F1704" s="7" t="str">
        <f>'Respuestas de formulario 1'!F1817</f>
        <v/>
      </c>
      <c r="G1704" s="7" t="str">
        <f>IFERROR(__xludf.DUMMYFUNCTION("IF('Respuestas de formulario 1'!G1817="""","""",IF(LEFT(REGEXREPLACE(TO_TEXT('Respuestas de formulario 1'!G1817),""[^0-9]"",""""),2)=""54"",""+""&amp;REGEXREPLACE(TO_TEXT('Respuestas de formulario 1'!G1817),""[^0-9]"",""""),""+54""&amp;REGEXREPLACE(TO_TEXT('Respu"&amp;"estas de formulario 1'!G1817),""[^0-9]"","""")))"),"")</f>
        <v/>
      </c>
      <c r="H1704" s="7" t="str">
        <f>'Respuestas de formulario 1'!S1817</f>
        <v/>
      </c>
      <c r="I1704" s="7" t="str">
        <f>IFERROR(__xludf.DUMMYFUNCTION("IF('Respuestas de formulario 1'!I1817="""","""",TO_TEXT('Respuestas de formulario 1'!I1817))"),"")</f>
        <v/>
      </c>
      <c r="J1704" s="7" t="str">
        <f>IFERROR(__xludf.DUMMYFUNCTION("IF('Respuestas de formulario 1'!J1817&lt;&gt;"""",UPPER(TRIM(TO_TEXT('Respuestas de formulario 1'!J1817))),IF('Respuestas de formulario 1'!O1817&lt;&gt;"""",UPPER(TRIM(TO_TEXT('Respuestas de formulario 1'!O1817))),""""))"),"")</f>
        <v/>
      </c>
      <c r="K1704" s="7" t="str">
        <f>IFERROR(__xludf.DUMMYFUNCTION("IF('Respuestas de formulario 1'!K1817="""","""",TO_TEXT('Respuestas de formulario 1'!K1817))"),"")</f>
        <v/>
      </c>
      <c r="L1704" s="7" t="str">
        <f>IFERROR(__xludf.DUMMYFUNCTION("IF('Respuestas de formulario 1'!L1817="""","""",TO_TEXT('Respuestas de formulario 1'!L1817))"),"")</f>
        <v/>
      </c>
      <c r="M1704" s="7" t="str">
        <f>IFERROR(__xludf.DUMMYFUNCTION("IF('Respuestas de formulario 1'!M1817="""","""",TO_TEXT('Respuestas de formulario 1'!M1817))"),"")</f>
        <v/>
      </c>
      <c r="N1704" s="7" t="str">
        <f t="shared" si="1"/>
        <v/>
      </c>
      <c r="O1704" s="7" t="str">
        <f t="shared" si="2"/>
        <v/>
      </c>
      <c r="P1704" s="7"/>
    </row>
    <row r="1705">
      <c r="A1705" s="7" t="str">
        <f>'Respuestas de formulario 1'!A1818</f>
        <v/>
      </c>
      <c r="B1705" s="7" t="str">
        <f>'Respuestas de formulario 1'!B1818</f>
        <v/>
      </c>
      <c r="C1705" s="7" t="str">
        <f>'Respuestas de formulario 1'!C1818</f>
        <v/>
      </c>
      <c r="D1705" s="7" t="str">
        <f>'Respuestas de formulario 1'!D1818</f>
        <v/>
      </c>
      <c r="E1705" s="7" t="str">
        <f>'Respuestas de formulario 1'!E1818</f>
        <v/>
      </c>
      <c r="F1705" s="7" t="str">
        <f>'Respuestas de formulario 1'!F1818</f>
        <v/>
      </c>
      <c r="G1705" s="7" t="str">
        <f>IFERROR(__xludf.DUMMYFUNCTION("IF('Respuestas de formulario 1'!G1818="""","""",IF(LEFT(REGEXREPLACE(TO_TEXT('Respuestas de formulario 1'!G1818),""[^0-9]"",""""),2)=""54"",""+""&amp;REGEXREPLACE(TO_TEXT('Respuestas de formulario 1'!G1818),""[^0-9]"",""""),""+54""&amp;REGEXREPLACE(TO_TEXT('Respu"&amp;"estas de formulario 1'!G1818),""[^0-9]"","""")))"),"")</f>
        <v/>
      </c>
      <c r="H1705" s="7" t="str">
        <f>'Respuestas de formulario 1'!S1818</f>
        <v/>
      </c>
      <c r="I1705" s="7" t="str">
        <f>IFERROR(__xludf.DUMMYFUNCTION("IF('Respuestas de formulario 1'!I1818="""","""",TO_TEXT('Respuestas de formulario 1'!I1818))"),"")</f>
        <v/>
      </c>
      <c r="J1705" s="7" t="str">
        <f>IFERROR(__xludf.DUMMYFUNCTION("IF('Respuestas de formulario 1'!J1818&lt;&gt;"""",UPPER(TRIM(TO_TEXT('Respuestas de formulario 1'!J1818))),IF('Respuestas de formulario 1'!O1818&lt;&gt;"""",UPPER(TRIM(TO_TEXT('Respuestas de formulario 1'!O1818))),""""))"),"")</f>
        <v/>
      </c>
      <c r="K1705" s="7" t="str">
        <f>IFERROR(__xludf.DUMMYFUNCTION("IF('Respuestas de formulario 1'!K1818="""","""",TO_TEXT('Respuestas de formulario 1'!K1818))"),"")</f>
        <v/>
      </c>
      <c r="L1705" s="7" t="str">
        <f>IFERROR(__xludf.DUMMYFUNCTION("IF('Respuestas de formulario 1'!L1818="""","""",TO_TEXT('Respuestas de formulario 1'!L1818))"),"")</f>
        <v/>
      </c>
      <c r="M1705" s="7" t="str">
        <f>IFERROR(__xludf.DUMMYFUNCTION("IF('Respuestas de formulario 1'!M1818="""","""",TO_TEXT('Respuestas de formulario 1'!M1818))"),"")</f>
        <v/>
      </c>
      <c r="N1705" s="7" t="str">
        <f t="shared" si="1"/>
        <v/>
      </c>
      <c r="O1705" s="7" t="str">
        <f t="shared" si="2"/>
        <v/>
      </c>
      <c r="P1705" s="7"/>
    </row>
    <row r="1706">
      <c r="A1706" s="7" t="str">
        <f>'Respuestas de formulario 1'!A1819</f>
        <v/>
      </c>
      <c r="B1706" s="7" t="str">
        <f>'Respuestas de formulario 1'!B1819</f>
        <v/>
      </c>
      <c r="C1706" s="7" t="str">
        <f>'Respuestas de formulario 1'!C1819</f>
        <v/>
      </c>
      <c r="D1706" s="7" t="str">
        <f>'Respuestas de formulario 1'!D1819</f>
        <v/>
      </c>
      <c r="E1706" s="7" t="str">
        <f>'Respuestas de formulario 1'!E1819</f>
        <v/>
      </c>
      <c r="F1706" s="7" t="str">
        <f>'Respuestas de formulario 1'!F1819</f>
        <v/>
      </c>
      <c r="G1706" s="7" t="str">
        <f>IFERROR(__xludf.DUMMYFUNCTION("IF('Respuestas de formulario 1'!G1819="""","""",IF(LEFT(REGEXREPLACE(TO_TEXT('Respuestas de formulario 1'!G1819),""[^0-9]"",""""),2)=""54"",""+""&amp;REGEXREPLACE(TO_TEXT('Respuestas de formulario 1'!G1819),""[^0-9]"",""""),""+54""&amp;REGEXREPLACE(TO_TEXT('Respu"&amp;"estas de formulario 1'!G1819),""[^0-9]"","""")))"),"")</f>
        <v/>
      </c>
      <c r="H1706" s="7" t="str">
        <f>'Respuestas de formulario 1'!S1819</f>
        <v/>
      </c>
      <c r="I1706" s="7" t="str">
        <f>IFERROR(__xludf.DUMMYFUNCTION("IF('Respuestas de formulario 1'!I1819="""","""",TO_TEXT('Respuestas de formulario 1'!I1819))"),"")</f>
        <v/>
      </c>
      <c r="J1706" s="7" t="str">
        <f>IFERROR(__xludf.DUMMYFUNCTION("IF('Respuestas de formulario 1'!J1819&lt;&gt;"""",UPPER(TRIM(TO_TEXT('Respuestas de formulario 1'!J1819))),IF('Respuestas de formulario 1'!O1819&lt;&gt;"""",UPPER(TRIM(TO_TEXT('Respuestas de formulario 1'!O1819))),""""))"),"")</f>
        <v/>
      </c>
      <c r="K1706" s="7" t="str">
        <f>IFERROR(__xludf.DUMMYFUNCTION("IF('Respuestas de formulario 1'!K1819="""","""",TO_TEXT('Respuestas de formulario 1'!K1819))"),"")</f>
        <v/>
      </c>
      <c r="L1706" s="7" t="str">
        <f>IFERROR(__xludf.DUMMYFUNCTION("IF('Respuestas de formulario 1'!L1819="""","""",TO_TEXT('Respuestas de formulario 1'!L1819))"),"")</f>
        <v/>
      </c>
      <c r="M1706" s="7" t="str">
        <f>IFERROR(__xludf.DUMMYFUNCTION("IF('Respuestas de formulario 1'!M1819="""","""",TO_TEXT('Respuestas de formulario 1'!M1819))"),"")</f>
        <v/>
      </c>
      <c r="N1706" s="7" t="str">
        <f t="shared" si="1"/>
        <v/>
      </c>
      <c r="O1706" s="7" t="str">
        <f t="shared" si="2"/>
        <v/>
      </c>
      <c r="P1706" s="7"/>
    </row>
    <row r="1707">
      <c r="A1707" s="7" t="str">
        <f>'Respuestas de formulario 1'!A1820</f>
        <v/>
      </c>
      <c r="B1707" s="7" t="str">
        <f>'Respuestas de formulario 1'!B1820</f>
        <v/>
      </c>
      <c r="C1707" s="7" t="str">
        <f>'Respuestas de formulario 1'!C1820</f>
        <v/>
      </c>
      <c r="D1707" s="7" t="str">
        <f>'Respuestas de formulario 1'!D1820</f>
        <v/>
      </c>
      <c r="E1707" s="7" t="str">
        <f>'Respuestas de formulario 1'!E1820</f>
        <v/>
      </c>
      <c r="F1707" s="7" t="str">
        <f>'Respuestas de formulario 1'!F1820</f>
        <v/>
      </c>
      <c r="G1707" s="7" t="str">
        <f>IFERROR(__xludf.DUMMYFUNCTION("IF('Respuestas de formulario 1'!G1820="""","""",IF(LEFT(REGEXREPLACE(TO_TEXT('Respuestas de formulario 1'!G1820),""[^0-9]"",""""),2)=""54"",""+""&amp;REGEXREPLACE(TO_TEXT('Respuestas de formulario 1'!G1820),""[^0-9]"",""""),""+54""&amp;REGEXREPLACE(TO_TEXT('Respu"&amp;"estas de formulario 1'!G1820),""[^0-9]"","""")))"),"")</f>
        <v/>
      </c>
      <c r="H1707" s="7" t="str">
        <f>'Respuestas de formulario 1'!S1820</f>
        <v/>
      </c>
      <c r="I1707" s="7" t="str">
        <f>IFERROR(__xludf.DUMMYFUNCTION("IF('Respuestas de formulario 1'!I1820="""","""",TO_TEXT('Respuestas de formulario 1'!I1820))"),"")</f>
        <v/>
      </c>
      <c r="J1707" s="7" t="str">
        <f>IFERROR(__xludf.DUMMYFUNCTION("IF('Respuestas de formulario 1'!J1820&lt;&gt;"""",UPPER(TRIM(TO_TEXT('Respuestas de formulario 1'!J1820))),IF('Respuestas de formulario 1'!O1820&lt;&gt;"""",UPPER(TRIM(TO_TEXT('Respuestas de formulario 1'!O1820))),""""))"),"")</f>
        <v/>
      </c>
      <c r="K1707" s="7" t="str">
        <f>IFERROR(__xludf.DUMMYFUNCTION("IF('Respuestas de formulario 1'!K1820="""","""",TO_TEXT('Respuestas de formulario 1'!K1820))"),"")</f>
        <v/>
      </c>
      <c r="L1707" s="7" t="str">
        <f>IFERROR(__xludf.DUMMYFUNCTION("IF('Respuestas de formulario 1'!L1820="""","""",TO_TEXT('Respuestas de formulario 1'!L1820))"),"")</f>
        <v/>
      </c>
      <c r="M1707" s="7" t="str">
        <f>IFERROR(__xludf.DUMMYFUNCTION("IF('Respuestas de formulario 1'!M1820="""","""",TO_TEXT('Respuestas de formulario 1'!M1820))"),"")</f>
        <v/>
      </c>
      <c r="N1707" s="7" t="str">
        <f t="shared" si="1"/>
        <v/>
      </c>
      <c r="O1707" s="7" t="str">
        <f t="shared" si="2"/>
        <v/>
      </c>
      <c r="P1707" s="7"/>
    </row>
    <row r="1708">
      <c r="A1708" s="7" t="str">
        <f>'Respuestas de formulario 1'!A1821</f>
        <v/>
      </c>
      <c r="B1708" s="7" t="str">
        <f>'Respuestas de formulario 1'!B1821</f>
        <v/>
      </c>
      <c r="C1708" s="7" t="str">
        <f>'Respuestas de formulario 1'!C1821</f>
        <v/>
      </c>
      <c r="D1708" s="7" t="str">
        <f>'Respuestas de formulario 1'!D1821</f>
        <v/>
      </c>
      <c r="E1708" s="7" t="str">
        <f>'Respuestas de formulario 1'!E1821</f>
        <v/>
      </c>
      <c r="F1708" s="7" t="str">
        <f>'Respuestas de formulario 1'!F1821</f>
        <v/>
      </c>
      <c r="G1708" s="7" t="str">
        <f>IFERROR(__xludf.DUMMYFUNCTION("IF('Respuestas de formulario 1'!G1821="""","""",IF(LEFT(REGEXREPLACE(TO_TEXT('Respuestas de formulario 1'!G1821),""[^0-9]"",""""),2)=""54"",""+""&amp;REGEXREPLACE(TO_TEXT('Respuestas de formulario 1'!G1821),""[^0-9]"",""""),""+54""&amp;REGEXREPLACE(TO_TEXT('Respu"&amp;"estas de formulario 1'!G1821),""[^0-9]"","""")))"),"")</f>
        <v/>
      </c>
      <c r="H1708" s="7" t="str">
        <f>'Respuestas de formulario 1'!S1821</f>
        <v/>
      </c>
      <c r="I1708" s="7" t="str">
        <f>IFERROR(__xludf.DUMMYFUNCTION("IF('Respuestas de formulario 1'!I1821="""","""",TO_TEXT('Respuestas de formulario 1'!I1821))"),"")</f>
        <v/>
      </c>
      <c r="J1708" s="7" t="str">
        <f>IFERROR(__xludf.DUMMYFUNCTION("IF('Respuestas de formulario 1'!J1821&lt;&gt;"""",UPPER(TRIM(TO_TEXT('Respuestas de formulario 1'!J1821))),IF('Respuestas de formulario 1'!O1821&lt;&gt;"""",UPPER(TRIM(TO_TEXT('Respuestas de formulario 1'!O1821))),""""))"),"")</f>
        <v/>
      </c>
      <c r="K1708" s="7" t="str">
        <f>IFERROR(__xludf.DUMMYFUNCTION("IF('Respuestas de formulario 1'!K1821="""","""",TO_TEXT('Respuestas de formulario 1'!K1821))"),"")</f>
        <v/>
      </c>
      <c r="L1708" s="7" t="str">
        <f>IFERROR(__xludf.DUMMYFUNCTION("IF('Respuestas de formulario 1'!L1821="""","""",TO_TEXT('Respuestas de formulario 1'!L1821))"),"")</f>
        <v/>
      </c>
      <c r="M1708" s="7" t="str">
        <f>IFERROR(__xludf.DUMMYFUNCTION("IF('Respuestas de formulario 1'!M1821="""","""",TO_TEXT('Respuestas de formulario 1'!M1821))"),"")</f>
        <v/>
      </c>
      <c r="N1708" s="7" t="str">
        <f t="shared" si="1"/>
        <v/>
      </c>
      <c r="O1708" s="7" t="str">
        <f t="shared" si="2"/>
        <v/>
      </c>
      <c r="P1708" s="7"/>
    </row>
    <row r="1709">
      <c r="A1709" s="7" t="str">
        <f>'Respuestas de formulario 1'!A1822</f>
        <v/>
      </c>
      <c r="B1709" s="7" t="str">
        <f>'Respuestas de formulario 1'!B1822</f>
        <v/>
      </c>
      <c r="C1709" s="7" t="str">
        <f>'Respuestas de formulario 1'!C1822</f>
        <v/>
      </c>
      <c r="D1709" s="7" t="str">
        <f>'Respuestas de formulario 1'!D1822</f>
        <v/>
      </c>
      <c r="E1709" s="7" t="str">
        <f>'Respuestas de formulario 1'!E1822</f>
        <v/>
      </c>
      <c r="F1709" s="7" t="str">
        <f>'Respuestas de formulario 1'!F1822</f>
        <v/>
      </c>
      <c r="G1709" s="7" t="str">
        <f>IFERROR(__xludf.DUMMYFUNCTION("IF('Respuestas de formulario 1'!G1822="""","""",IF(LEFT(REGEXREPLACE(TO_TEXT('Respuestas de formulario 1'!G1822),""[^0-9]"",""""),2)=""54"",""+""&amp;REGEXREPLACE(TO_TEXT('Respuestas de formulario 1'!G1822),""[^0-9]"",""""),""+54""&amp;REGEXREPLACE(TO_TEXT('Respu"&amp;"estas de formulario 1'!G1822),""[^0-9]"","""")))"),"")</f>
        <v/>
      </c>
      <c r="H1709" s="7" t="str">
        <f>'Respuestas de formulario 1'!S1822</f>
        <v/>
      </c>
      <c r="I1709" s="7" t="str">
        <f>IFERROR(__xludf.DUMMYFUNCTION("IF('Respuestas de formulario 1'!I1822="""","""",TO_TEXT('Respuestas de formulario 1'!I1822))"),"")</f>
        <v/>
      </c>
      <c r="J1709" s="7" t="str">
        <f>IFERROR(__xludf.DUMMYFUNCTION("IF('Respuestas de formulario 1'!J1822&lt;&gt;"""",UPPER(TRIM(TO_TEXT('Respuestas de formulario 1'!J1822))),IF('Respuestas de formulario 1'!O1822&lt;&gt;"""",UPPER(TRIM(TO_TEXT('Respuestas de formulario 1'!O1822))),""""))"),"")</f>
        <v/>
      </c>
      <c r="K1709" s="7" t="str">
        <f>IFERROR(__xludf.DUMMYFUNCTION("IF('Respuestas de formulario 1'!K1822="""","""",TO_TEXT('Respuestas de formulario 1'!K1822))"),"")</f>
        <v/>
      </c>
      <c r="L1709" s="7" t="str">
        <f>IFERROR(__xludf.DUMMYFUNCTION("IF('Respuestas de formulario 1'!L1822="""","""",TO_TEXT('Respuestas de formulario 1'!L1822))"),"")</f>
        <v/>
      </c>
      <c r="M1709" s="7" t="str">
        <f>IFERROR(__xludf.DUMMYFUNCTION("IF('Respuestas de formulario 1'!M1822="""","""",TO_TEXT('Respuestas de formulario 1'!M1822))"),"")</f>
        <v/>
      </c>
      <c r="N1709" s="7" t="str">
        <f t="shared" si="1"/>
        <v/>
      </c>
      <c r="O1709" s="7" t="str">
        <f t="shared" si="2"/>
        <v/>
      </c>
      <c r="P1709" s="7"/>
    </row>
    <row r="1710">
      <c r="A1710" s="7" t="str">
        <f>'Respuestas de formulario 1'!A1823</f>
        <v/>
      </c>
      <c r="B1710" s="7" t="str">
        <f>'Respuestas de formulario 1'!B1823</f>
        <v/>
      </c>
      <c r="C1710" s="7" t="str">
        <f>'Respuestas de formulario 1'!C1823</f>
        <v/>
      </c>
      <c r="D1710" s="7" t="str">
        <f>'Respuestas de formulario 1'!D1823</f>
        <v/>
      </c>
      <c r="E1710" s="7" t="str">
        <f>'Respuestas de formulario 1'!E1823</f>
        <v/>
      </c>
      <c r="F1710" s="7" t="str">
        <f>'Respuestas de formulario 1'!F1823</f>
        <v/>
      </c>
      <c r="G1710" s="7" t="str">
        <f>IFERROR(__xludf.DUMMYFUNCTION("IF('Respuestas de formulario 1'!G1823="""","""",IF(LEFT(REGEXREPLACE(TO_TEXT('Respuestas de formulario 1'!G1823),""[^0-9]"",""""),2)=""54"",""+""&amp;REGEXREPLACE(TO_TEXT('Respuestas de formulario 1'!G1823),""[^0-9]"",""""),""+54""&amp;REGEXREPLACE(TO_TEXT('Respu"&amp;"estas de formulario 1'!G1823),""[^0-9]"","""")))"),"")</f>
        <v/>
      </c>
      <c r="H1710" s="7" t="str">
        <f>'Respuestas de formulario 1'!S1823</f>
        <v/>
      </c>
      <c r="I1710" s="7" t="str">
        <f>IFERROR(__xludf.DUMMYFUNCTION("IF('Respuestas de formulario 1'!I1823="""","""",TO_TEXT('Respuestas de formulario 1'!I1823))"),"")</f>
        <v/>
      </c>
      <c r="J1710" s="7" t="str">
        <f>IFERROR(__xludf.DUMMYFUNCTION("IF('Respuestas de formulario 1'!J1823&lt;&gt;"""",UPPER(TRIM(TO_TEXT('Respuestas de formulario 1'!J1823))),IF('Respuestas de formulario 1'!O1823&lt;&gt;"""",UPPER(TRIM(TO_TEXT('Respuestas de formulario 1'!O1823))),""""))"),"")</f>
        <v/>
      </c>
      <c r="K1710" s="7" t="str">
        <f>IFERROR(__xludf.DUMMYFUNCTION("IF('Respuestas de formulario 1'!K1823="""","""",TO_TEXT('Respuestas de formulario 1'!K1823))"),"")</f>
        <v/>
      </c>
      <c r="L1710" s="7" t="str">
        <f>IFERROR(__xludf.DUMMYFUNCTION("IF('Respuestas de formulario 1'!L1823="""","""",TO_TEXT('Respuestas de formulario 1'!L1823))"),"")</f>
        <v/>
      </c>
      <c r="M1710" s="7" t="str">
        <f>IFERROR(__xludf.DUMMYFUNCTION("IF('Respuestas de formulario 1'!M1823="""","""",TO_TEXT('Respuestas de formulario 1'!M1823))"),"")</f>
        <v/>
      </c>
      <c r="N1710" s="7" t="str">
        <f t="shared" si="1"/>
        <v/>
      </c>
      <c r="O1710" s="7" t="str">
        <f t="shared" si="2"/>
        <v/>
      </c>
      <c r="P1710" s="7"/>
    </row>
    <row r="1711">
      <c r="A1711" s="7" t="str">
        <f>'Respuestas de formulario 1'!A1824</f>
        <v/>
      </c>
      <c r="B1711" s="7" t="str">
        <f>'Respuestas de formulario 1'!B1824</f>
        <v/>
      </c>
      <c r="C1711" s="7" t="str">
        <f>'Respuestas de formulario 1'!C1824</f>
        <v/>
      </c>
      <c r="D1711" s="7" t="str">
        <f>'Respuestas de formulario 1'!D1824</f>
        <v/>
      </c>
      <c r="E1711" s="7" t="str">
        <f>'Respuestas de formulario 1'!E1824</f>
        <v/>
      </c>
      <c r="F1711" s="7" t="str">
        <f>'Respuestas de formulario 1'!F1824</f>
        <v/>
      </c>
      <c r="G1711" s="7" t="str">
        <f>IFERROR(__xludf.DUMMYFUNCTION("IF('Respuestas de formulario 1'!G1824="""","""",IF(LEFT(REGEXREPLACE(TO_TEXT('Respuestas de formulario 1'!G1824),""[^0-9]"",""""),2)=""54"",""+""&amp;REGEXREPLACE(TO_TEXT('Respuestas de formulario 1'!G1824),""[^0-9]"",""""),""+54""&amp;REGEXREPLACE(TO_TEXT('Respu"&amp;"estas de formulario 1'!G1824),""[^0-9]"","""")))"),"")</f>
        <v/>
      </c>
      <c r="H1711" s="7" t="str">
        <f>'Respuestas de formulario 1'!S1824</f>
        <v/>
      </c>
      <c r="I1711" s="7" t="str">
        <f>IFERROR(__xludf.DUMMYFUNCTION("IF('Respuestas de formulario 1'!I1824="""","""",TO_TEXT('Respuestas de formulario 1'!I1824))"),"")</f>
        <v/>
      </c>
      <c r="J1711" s="7" t="str">
        <f>IFERROR(__xludf.DUMMYFUNCTION("IF('Respuestas de formulario 1'!J1824&lt;&gt;"""",UPPER(TRIM(TO_TEXT('Respuestas de formulario 1'!J1824))),IF('Respuestas de formulario 1'!O1824&lt;&gt;"""",UPPER(TRIM(TO_TEXT('Respuestas de formulario 1'!O1824))),""""))"),"")</f>
        <v/>
      </c>
      <c r="K1711" s="7" t="str">
        <f>IFERROR(__xludf.DUMMYFUNCTION("IF('Respuestas de formulario 1'!K1824="""","""",TO_TEXT('Respuestas de formulario 1'!K1824))"),"")</f>
        <v/>
      </c>
      <c r="L1711" s="7" t="str">
        <f>IFERROR(__xludf.DUMMYFUNCTION("IF('Respuestas de formulario 1'!L1824="""","""",TO_TEXT('Respuestas de formulario 1'!L1824))"),"")</f>
        <v/>
      </c>
      <c r="M1711" s="7" t="str">
        <f>IFERROR(__xludf.DUMMYFUNCTION("IF('Respuestas de formulario 1'!M1824="""","""",TO_TEXT('Respuestas de formulario 1'!M1824))"),"")</f>
        <v/>
      </c>
      <c r="N1711" s="7" t="str">
        <f t="shared" si="1"/>
        <v/>
      </c>
      <c r="O1711" s="7" t="str">
        <f t="shared" si="2"/>
        <v/>
      </c>
      <c r="P1711" s="7"/>
    </row>
    <row r="1712">
      <c r="A1712" s="7" t="str">
        <f>'Respuestas de formulario 1'!A1825</f>
        <v/>
      </c>
      <c r="B1712" s="7" t="str">
        <f>'Respuestas de formulario 1'!B1825</f>
        <v/>
      </c>
      <c r="C1712" s="7" t="str">
        <f>'Respuestas de formulario 1'!C1825</f>
        <v/>
      </c>
      <c r="D1712" s="7" t="str">
        <f>'Respuestas de formulario 1'!D1825</f>
        <v/>
      </c>
      <c r="E1712" s="7" t="str">
        <f>'Respuestas de formulario 1'!E1825</f>
        <v/>
      </c>
      <c r="F1712" s="7" t="str">
        <f>'Respuestas de formulario 1'!F1825</f>
        <v/>
      </c>
      <c r="G1712" s="7" t="str">
        <f>IFERROR(__xludf.DUMMYFUNCTION("IF('Respuestas de formulario 1'!G1825="""","""",IF(LEFT(REGEXREPLACE(TO_TEXT('Respuestas de formulario 1'!G1825),""[^0-9]"",""""),2)=""54"",""+""&amp;REGEXREPLACE(TO_TEXT('Respuestas de formulario 1'!G1825),""[^0-9]"",""""),""+54""&amp;REGEXREPLACE(TO_TEXT('Respu"&amp;"estas de formulario 1'!G1825),""[^0-9]"","""")))"),"")</f>
        <v/>
      </c>
      <c r="H1712" s="7" t="str">
        <f>'Respuestas de formulario 1'!S1825</f>
        <v/>
      </c>
      <c r="I1712" s="7" t="str">
        <f>IFERROR(__xludf.DUMMYFUNCTION("IF('Respuestas de formulario 1'!I1825="""","""",TO_TEXT('Respuestas de formulario 1'!I1825))"),"")</f>
        <v/>
      </c>
      <c r="J1712" s="7" t="str">
        <f>IFERROR(__xludf.DUMMYFUNCTION("IF('Respuestas de formulario 1'!J1825&lt;&gt;"""",UPPER(TRIM(TO_TEXT('Respuestas de formulario 1'!J1825))),IF('Respuestas de formulario 1'!O1825&lt;&gt;"""",UPPER(TRIM(TO_TEXT('Respuestas de formulario 1'!O1825))),""""))"),"")</f>
        <v/>
      </c>
      <c r="K1712" s="7" t="str">
        <f>IFERROR(__xludf.DUMMYFUNCTION("IF('Respuestas de formulario 1'!K1825="""","""",TO_TEXT('Respuestas de formulario 1'!K1825))"),"")</f>
        <v/>
      </c>
      <c r="L1712" s="7" t="str">
        <f>IFERROR(__xludf.DUMMYFUNCTION("IF('Respuestas de formulario 1'!L1825="""","""",TO_TEXT('Respuestas de formulario 1'!L1825))"),"")</f>
        <v/>
      </c>
      <c r="M1712" s="7" t="str">
        <f>IFERROR(__xludf.DUMMYFUNCTION("IF('Respuestas de formulario 1'!M1825="""","""",TO_TEXT('Respuestas de formulario 1'!M1825))"),"")</f>
        <v/>
      </c>
      <c r="N1712" s="7" t="str">
        <f t="shared" si="1"/>
        <v/>
      </c>
      <c r="O1712" s="7" t="str">
        <f t="shared" si="2"/>
        <v/>
      </c>
      <c r="P1712" s="7"/>
    </row>
    <row r="1713">
      <c r="A1713" s="7" t="str">
        <f>'Respuestas de formulario 1'!A1826</f>
        <v/>
      </c>
      <c r="B1713" s="7" t="str">
        <f>'Respuestas de formulario 1'!B1826</f>
        <v/>
      </c>
      <c r="C1713" s="7" t="str">
        <f>'Respuestas de formulario 1'!C1826</f>
        <v/>
      </c>
      <c r="D1713" s="7" t="str">
        <f>'Respuestas de formulario 1'!D1826</f>
        <v/>
      </c>
      <c r="E1713" s="7" t="str">
        <f>'Respuestas de formulario 1'!E1826</f>
        <v/>
      </c>
      <c r="F1713" s="7" t="str">
        <f>'Respuestas de formulario 1'!F1826</f>
        <v/>
      </c>
      <c r="G1713" s="7" t="str">
        <f>IFERROR(__xludf.DUMMYFUNCTION("IF('Respuestas de formulario 1'!G1826="""","""",IF(LEFT(REGEXREPLACE(TO_TEXT('Respuestas de formulario 1'!G1826),""[^0-9]"",""""),2)=""54"",""+""&amp;REGEXREPLACE(TO_TEXT('Respuestas de formulario 1'!G1826),""[^0-9]"",""""),""+54""&amp;REGEXREPLACE(TO_TEXT('Respu"&amp;"estas de formulario 1'!G1826),""[^0-9]"","""")))"),"")</f>
        <v/>
      </c>
      <c r="H1713" s="7" t="str">
        <f>'Respuestas de formulario 1'!S1826</f>
        <v/>
      </c>
      <c r="I1713" s="7" t="str">
        <f>IFERROR(__xludf.DUMMYFUNCTION("IF('Respuestas de formulario 1'!I1826="""","""",TO_TEXT('Respuestas de formulario 1'!I1826))"),"")</f>
        <v/>
      </c>
      <c r="J1713" s="7" t="str">
        <f>IFERROR(__xludf.DUMMYFUNCTION("IF('Respuestas de formulario 1'!J1826&lt;&gt;"""",UPPER(TRIM(TO_TEXT('Respuestas de formulario 1'!J1826))),IF('Respuestas de formulario 1'!O1826&lt;&gt;"""",UPPER(TRIM(TO_TEXT('Respuestas de formulario 1'!O1826))),""""))"),"")</f>
        <v/>
      </c>
      <c r="K1713" s="7" t="str">
        <f>IFERROR(__xludf.DUMMYFUNCTION("IF('Respuestas de formulario 1'!K1826="""","""",TO_TEXT('Respuestas de formulario 1'!K1826))"),"")</f>
        <v/>
      </c>
      <c r="L1713" s="7" t="str">
        <f>IFERROR(__xludf.DUMMYFUNCTION("IF('Respuestas de formulario 1'!L1826="""","""",TO_TEXT('Respuestas de formulario 1'!L1826))"),"")</f>
        <v/>
      </c>
      <c r="M1713" s="7" t="str">
        <f>IFERROR(__xludf.DUMMYFUNCTION("IF('Respuestas de formulario 1'!M1826="""","""",TO_TEXT('Respuestas de formulario 1'!M1826))"),"")</f>
        <v/>
      </c>
      <c r="N1713" s="7" t="str">
        <f t="shared" si="1"/>
        <v/>
      </c>
      <c r="O1713" s="7" t="str">
        <f t="shared" si="2"/>
        <v/>
      </c>
      <c r="P1713" s="7"/>
    </row>
    <row r="1714">
      <c r="A1714" s="7" t="str">
        <f>'Respuestas de formulario 1'!A1827</f>
        <v/>
      </c>
      <c r="B1714" s="7" t="str">
        <f>'Respuestas de formulario 1'!B1827</f>
        <v/>
      </c>
      <c r="C1714" s="7" t="str">
        <f>'Respuestas de formulario 1'!C1827</f>
        <v/>
      </c>
      <c r="D1714" s="7" t="str">
        <f>'Respuestas de formulario 1'!D1827</f>
        <v/>
      </c>
      <c r="E1714" s="7" t="str">
        <f>'Respuestas de formulario 1'!E1827</f>
        <v/>
      </c>
      <c r="F1714" s="7" t="str">
        <f>'Respuestas de formulario 1'!F1827</f>
        <v/>
      </c>
      <c r="G1714" s="7" t="str">
        <f>IFERROR(__xludf.DUMMYFUNCTION("IF('Respuestas de formulario 1'!G1827="""","""",IF(LEFT(REGEXREPLACE(TO_TEXT('Respuestas de formulario 1'!G1827),""[^0-9]"",""""),2)=""54"",""+""&amp;REGEXREPLACE(TO_TEXT('Respuestas de formulario 1'!G1827),""[^0-9]"",""""),""+54""&amp;REGEXREPLACE(TO_TEXT('Respu"&amp;"estas de formulario 1'!G1827),""[^0-9]"","""")))"),"")</f>
        <v/>
      </c>
      <c r="H1714" s="7" t="str">
        <f>'Respuestas de formulario 1'!S1827</f>
        <v/>
      </c>
      <c r="I1714" s="7" t="str">
        <f>IFERROR(__xludf.DUMMYFUNCTION("IF('Respuestas de formulario 1'!I1827="""","""",TO_TEXT('Respuestas de formulario 1'!I1827))"),"")</f>
        <v/>
      </c>
      <c r="J1714" s="7" t="str">
        <f>IFERROR(__xludf.DUMMYFUNCTION("IF('Respuestas de formulario 1'!J1827&lt;&gt;"""",UPPER(TRIM(TO_TEXT('Respuestas de formulario 1'!J1827))),IF('Respuestas de formulario 1'!O1827&lt;&gt;"""",UPPER(TRIM(TO_TEXT('Respuestas de formulario 1'!O1827))),""""))"),"")</f>
        <v/>
      </c>
      <c r="K1714" s="7" t="str">
        <f>IFERROR(__xludf.DUMMYFUNCTION("IF('Respuestas de formulario 1'!K1827="""","""",TO_TEXT('Respuestas de formulario 1'!K1827))"),"")</f>
        <v/>
      </c>
      <c r="L1714" s="7" t="str">
        <f>IFERROR(__xludf.DUMMYFUNCTION("IF('Respuestas de formulario 1'!L1827="""","""",TO_TEXT('Respuestas de formulario 1'!L1827))"),"")</f>
        <v/>
      </c>
      <c r="M1714" s="7" t="str">
        <f>IFERROR(__xludf.DUMMYFUNCTION("IF('Respuestas de formulario 1'!M1827="""","""",TO_TEXT('Respuestas de formulario 1'!M1827))"),"")</f>
        <v/>
      </c>
      <c r="N1714" s="7" t="str">
        <f t="shared" si="1"/>
        <v/>
      </c>
      <c r="O1714" s="7" t="str">
        <f t="shared" si="2"/>
        <v/>
      </c>
      <c r="P1714" s="7"/>
    </row>
    <row r="1715">
      <c r="A1715" s="7" t="str">
        <f>'Respuestas de formulario 1'!A1828</f>
        <v/>
      </c>
      <c r="B1715" s="7" t="str">
        <f>'Respuestas de formulario 1'!B1828</f>
        <v/>
      </c>
      <c r="C1715" s="7" t="str">
        <f>'Respuestas de formulario 1'!C1828</f>
        <v/>
      </c>
      <c r="D1715" s="7" t="str">
        <f>'Respuestas de formulario 1'!D1828</f>
        <v/>
      </c>
      <c r="E1715" s="7" t="str">
        <f>'Respuestas de formulario 1'!E1828</f>
        <v/>
      </c>
      <c r="F1715" s="7" t="str">
        <f>'Respuestas de formulario 1'!F1828</f>
        <v/>
      </c>
      <c r="G1715" s="7" t="str">
        <f>IFERROR(__xludf.DUMMYFUNCTION("IF('Respuestas de formulario 1'!G1828="""","""",IF(LEFT(REGEXREPLACE(TO_TEXT('Respuestas de formulario 1'!G1828),""[^0-9]"",""""),2)=""54"",""+""&amp;REGEXREPLACE(TO_TEXT('Respuestas de formulario 1'!G1828),""[^0-9]"",""""),""+54""&amp;REGEXREPLACE(TO_TEXT('Respu"&amp;"estas de formulario 1'!G1828),""[^0-9]"","""")))"),"")</f>
        <v/>
      </c>
      <c r="H1715" s="7" t="str">
        <f>'Respuestas de formulario 1'!S1828</f>
        <v/>
      </c>
      <c r="I1715" s="7" t="str">
        <f>IFERROR(__xludf.DUMMYFUNCTION("IF('Respuestas de formulario 1'!I1828="""","""",TO_TEXT('Respuestas de formulario 1'!I1828))"),"")</f>
        <v/>
      </c>
      <c r="J1715" s="7" t="str">
        <f>IFERROR(__xludf.DUMMYFUNCTION("IF('Respuestas de formulario 1'!J1828&lt;&gt;"""",UPPER(TRIM(TO_TEXT('Respuestas de formulario 1'!J1828))),IF('Respuestas de formulario 1'!O1828&lt;&gt;"""",UPPER(TRIM(TO_TEXT('Respuestas de formulario 1'!O1828))),""""))"),"")</f>
        <v/>
      </c>
      <c r="K1715" s="7" t="str">
        <f>IFERROR(__xludf.DUMMYFUNCTION("IF('Respuestas de formulario 1'!K1828="""","""",TO_TEXT('Respuestas de formulario 1'!K1828))"),"")</f>
        <v/>
      </c>
      <c r="L1715" s="7" t="str">
        <f>IFERROR(__xludf.DUMMYFUNCTION("IF('Respuestas de formulario 1'!L1828="""","""",TO_TEXT('Respuestas de formulario 1'!L1828))"),"")</f>
        <v/>
      </c>
      <c r="M1715" s="7" t="str">
        <f>IFERROR(__xludf.DUMMYFUNCTION("IF('Respuestas de formulario 1'!M1828="""","""",TO_TEXT('Respuestas de formulario 1'!M1828))"),"")</f>
        <v/>
      </c>
      <c r="N1715" s="7" t="str">
        <f t="shared" si="1"/>
        <v/>
      </c>
      <c r="O1715" s="7" t="str">
        <f t="shared" si="2"/>
        <v/>
      </c>
      <c r="P1715" s="7"/>
    </row>
    <row r="1716">
      <c r="A1716" s="7" t="str">
        <f>'Respuestas de formulario 1'!A1829</f>
        <v/>
      </c>
      <c r="B1716" s="7" t="str">
        <f>'Respuestas de formulario 1'!B1829</f>
        <v/>
      </c>
      <c r="C1716" s="7" t="str">
        <f>'Respuestas de formulario 1'!C1829</f>
        <v/>
      </c>
      <c r="D1716" s="7" t="str">
        <f>'Respuestas de formulario 1'!D1829</f>
        <v/>
      </c>
      <c r="E1716" s="7" t="str">
        <f>'Respuestas de formulario 1'!E1829</f>
        <v/>
      </c>
      <c r="F1716" s="7" t="str">
        <f>'Respuestas de formulario 1'!F1829</f>
        <v/>
      </c>
      <c r="G1716" s="7" t="str">
        <f>IFERROR(__xludf.DUMMYFUNCTION("IF('Respuestas de formulario 1'!G1829="""","""",IF(LEFT(REGEXREPLACE(TO_TEXT('Respuestas de formulario 1'!G1829),""[^0-9]"",""""),2)=""54"",""+""&amp;REGEXREPLACE(TO_TEXT('Respuestas de formulario 1'!G1829),""[^0-9]"",""""),""+54""&amp;REGEXREPLACE(TO_TEXT('Respu"&amp;"estas de formulario 1'!G1829),""[^0-9]"","""")))"),"")</f>
        <v/>
      </c>
      <c r="H1716" s="7" t="str">
        <f>'Respuestas de formulario 1'!S1829</f>
        <v/>
      </c>
      <c r="I1716" s="7" t="str">
        <f>IFERROR(__xludf.DUMMYFUNCTION("IF('Respuestas de formulario 1'!I1829="""","""",TO_TEXT('Respuestas de formulario 1'!I1829))"),"")</f>
        <v/>
      </c>
      <c r="J1716" s="7" t="str">
        <f>IFERROR(__xludf.DUMMYFUNCTION("IF('Respuestas de formulario 1'!J1829&lt;&gt;"""",UPPER(TRIM(TO_TEXT('Respuestas de formulario 1'!J1829))),IF('Respuestas de formulario 1'!O1829&lt;&gt;"""",UPPER(TRIM(TO_TEXT('Respuestas de formulario 1'!O1829))),""""))"),"")</f>
        <v/>
      </c>
      <c r="K1716" s="7" t="str">
        <f>IFERROR(__xludf.DUMMYFUNCTION("IF('Respuestas de formulario 1'!K1829="""","""",TO_TEXT('Respuestas de formulario 1'!K1829))"),"")</f>
        <v/>
      </c>
      <c r="L1716" s="7" t="str">
        <f>IFERROR(__xludf.DUMMYFUNCTION("IF('Respuestas de formulario 1'!L1829="""","""",TO_TEXT('Respuestas de formulario 1'!L1829))"),"")</f>
        <v/>
      </c>
      <c r="M1716" s="7" t="str">
        <f>IFERROR(__xludf.DUMMYFUNCTION("IF('Respuestas de formulario 1'!M1829="""","""",TO_TEXT('Respuestas de formulario 1'!M1829))"),"")</f>
        <v/>
      </c>
      <c r="N1716" s="7" t="str">
        <f t="shared" si="1"/>
        <v/>
      </c>
      <c r="O1716" s="7" t="str">
        <f t="shared" si="2"/>
        <v/>
      </c>
      <c r="P1716" s="7"/>
    </row>
    <row r="1717">
      <c r="A1717" s="7" t="str">
        <f>'Respuestas de formulario 1'!A1830</f>
        <v/>
      </c>
      <c r="B1717" s="7" t="str">
        <f>'Respuestas de formulario 1'!B1830</f>
        <v/>
      </c>
      <c r="C1717" s="7" t="str">
        <f>'Respuestas de formulario 1'!C1830</f>
        <v/>
      </c>
      <c r="D1717" s="7" t="str">
        <f>'Respuestas de formulario 1'!D1830</f>
        <v/>
      </c>
      <c r="E1717" s="7" t="str">
        <f>'Respuestas de formulario 1'!E1830</f>
        <v/>
      </c>
      <c r="F1717" s="7" t="str">
        <f>'Respuestas de formulario 1'!F1830</f>
        <v/>
      </c>
      <c r="G1717" s="7" t="str">
        <f>IFERROR(__xludf.DUMMYFUNCTION("IF('Respuestas de formulario 1'!G1830="""","""",IF(LEFT(REGEXREPLACE(TO_TEXT('Respuestas de formulario 1'!G1830),""[^0-9]"",""""),2)=""54"",""+""&amp;REGEXREPLACE(TO_TEXT('Respuestas de formulario 1'!G1830),""[^0-9]"",""""),""+54""&amp;REGEXREPLACE(TO_TEXT('Respu"&amp;"estas de formulario 1'!G1830),""[^0-9]"","""")))"),"")</f>
        <v/>
      </c>
      <c r="H1717" s="7" t="str">
        <f>'Respuestas de formulario 1'!S1830</f>
        <v/>
      </c>
      <c r="I1717" s="7" t="str">
        <f>IFERROR(__xludf.DUMMYFUNCTION("IF('Respuestas de formulario 1'!I1830="""","""",TO_TEXT('Respuestas de formulario 1'!I1830))"),"")</f>
        <v/>
      </c>
      <c r="J1717" s="7" t="str">
        <f>IFERROR(__xludf.DUMMYFUNCTION("IF('Respuestas de formulario 1'!J1830&lt;&gt;"""",UPPER(TRIM(TO_TEXT('Respuestas de formulario 1'!J1830))),IF('Respuestas de formulario 1'!O1830&lt;&gt;"""",UPPER(TRIM(TO_TEXT('Respuestas de formulario 1'!O1830))),""""))"),"")</f>
        <v/>
      </c>
      <c r="K1717" s="7" t="str">
        <f>IFERROR(__xludf.DUMMYFUNCTION("IF('Respuestas de formulario 1'!K1830="""","""",TO_TEXT('Respuestas de formulario 1'!K1830))"),"")</f>
        <v/>
      </c>
      <c r="L1717" s="7" t="str">
        <f>IFERROR(__xludf.DUMMYFUNCTION("IF('Respuestas de formulario 1'!L1830="""","""",TO_TEXT('Respuestas de formulario 1'!L1830))"),"")</f>
        <v/>
      </c>
      <c r="M1717" s="7" t="str">
        <f>IFERROR(__xludf.DUMMYFUNCTION("IF('Respuestas de formulario 1'!M1830="""","""",TO_TEXT('Respuestas de formulario 1'!M1830))"),"")</f>
        <v/>
      </c>
      <c r="N1717" s="7" t="str">
        <f t="shared" si="1"/>
        <v/>
      </c>
      <c r="O1717" s="7" t="str">
        <f t="shared" si="2"/>
        <v/>
      </c>
      <c r="P1717" s="7"/>
    </row>
    <row r="1718">
      <c r="A1718" s="7" t="str">
        <f>'Respuestas de formulario 1'!A1831</f>
        <v/>
      </c>
      <c r="B1718" s="7" t="str">
        <f>'Respuestas de formulario 1'!B1831</f>
        <v/>
      </c>
      <c r="C1718" s="7" t="str">
        <f>'Respuestas de formulario 1'!C1831</f>
        <v/>
      </c>
      <c r="D1718" s="7" t="str">
        <f>'Respuestas de formulario 1'!D1831</f>
        <v/>
      </c>
      <c r="E1718" s="7" t="str">
        <f>'Respuestas de formulario 1'!E1831</f>
        <v/>
      </c>
      <c r="F1718" s="7" t="str">
        <f>'Respuestas de formulario 1'!F1831</f>
        <v/>
      </c>
      <c r="G1718" s="7" t="str">
        <f>IFERROR(__xludf.DUMMYFUNCTION("IF('Respuestas de formulario 1'!G1831="""","""",IF(LEFT(REGEXREPLACE(TO_TEXT('Respuestas de formulario 1'!G1831),""[^0-9]"",""""),2)=""54"",""+""&amp;REGEXREPLACE(TO_TEXT('Respuestas de formulario 1'!G1831),""[^0-9]"",""""),""+54""&amp;REGEXREPLACE(TO_TEXT('Respu"&amp;"estas de formulario 1'!G1831),""[^0-9]"","""")))"),"")</f>
        <v/>
      </c>
      <c r="H1718" s="7" t="str">
        <f>'Respuestas de formulario 1'!S1831</f>
        <v/>
      </c>
      <c r="I1718" s="7" t="str">
        <f>IFERROR(__xludf.DUMMYFUNCTION("IF('Respuestas de formulario 1'!I1831="""","""",TO_TEXT('Respuestas de formulario 1'!I1831))"),"")</f>
        <v/>
      </c>
      <c r="J1718" s="7" t="str">
        <f>IFERROR(__xludf.DUMMYFUNCTION("IF('Respuestas de formulario 1'!J1831&lt;&gt;"""",UPPER(TRIM(TO_TEXT('Respuestas de formulario 1'!J1831))),IF('Respuestas de formulario 1'!O1831&lt;&gt;"""",UPPER(TRIM(TO_TEXT('Respuestas de formulario 1'!O1831))),""""))"),"")</f>
        <v/>
      </c>
      <c r="K1718" s="7" t="str">
        <f>IFERROR(__xludf.DUMMYFUNCTION("IF('Respuestas de formulario 1'!K1831="""","""",TO_TEXT('Respuestas de formulario 1'!K1831))"),"")</f>
        <v/>
      </c>
      <c r="L1718" s="7" t="str">
        <f>IFERROR(__xludf.DUMMYFUNCTION("IF('Respuestas de formulario 1'!L1831="""","""",TO_TEXT('Respuestas de formulario 1'!L1831))"),"")</f>
        <v/>
      </c>
      <c r="M1718" s="7" t="str">
        <f>IFERROR(__xludf.DUMMYFUNCTION("IF('Respuestas de formulario 1'!M1831="""","""",TO_TEXT('Respuestas de formulario 1'!M1831))"),"")</f>
        <v/>
      </c>
      <c r="N1718" s="7" t="str">
        <f t="shared" si="1"/>
        <v/>
      </c>
      <c r="O1718" s="7" t="str">
        <f t="shared" si="2"/>
        <v/>
      </c>
      <c r="P1718" s="7"/>
    </row>
    <row r="1719">
      <c r="A1719" s="7" t="str">
        <f>'Respuestas de formulario 1'!A1832</f>
        <v/>
      </c>
      <c r="B1719" s="7" t="str">
        <f>'Respuestas de formulario 1'!B1832</f>
        <v/>
      </c>
      <c r="C1719" s="7" t="str">
        <f>'Respuestas de formulario 1'!C1832</f>
        <v/>
      </c>
      <c r="D1719" s="7" t="str">
        <f>'Respuestas de formulario 1'!D1832</f>
        <v/>
      </c>
      <c r="E1719" s="7" t="str">
        <f>'Respuestas de formulario 1'!E1832</f>
        <v/>
      </c>
      <c r="F1719" s="7" t="str">
        <f>'Respuestas de formulario 1'!F1832</f>
        <v/>
      </c>
      <c r="G1719" s="7" t="str">
        <f>IFERROR(__xludf.DUMMYFUNCTION("IF('Respuestas de formulario 1'!G1832="""","""",IF(LEFT(REGEXREPLACE(TO_TEXT('Respuestas de formulario 1'!G1832),""[^0-9]"",""""),2)=""54"",""+""&amp;REGEXREPLACE(TO_TEXT('Respuestas de formulario 1'!G1832),""[^0-9]"",""""),""+54""&amp;REGEXREPLACE(TO_TEXT('Respu"&amp;"estas de formulario 1'!G1832),""[^0-9]"","""")))"),"")</f>
        <v/>
      </c>
      <c r="H1719" s="7" t="str">
        <f>'Respuestas de formulario 1'!S1832</f>
        <v/>
      </c>
      <c r="I1719" s="7" t="str">
        <f>IFERROR(__xludf.DUMMYFUNCTION("IF('Respuestas de formulario 1'!I1832="""","""",TO_TEXT('Respuestas de formulario 1'!I1832))"),"")</f>
        <v/>
      </c>
      <c r="J1719" s="7" t="str">
        <f>IFERROR(__xludf.DUMMYFUNCTION("IF('Respuestas de formulario 1'!J1832&lt;&gt;"""",UPPER(TRIM(TO_TEXT('Respuestas de formulario 1'!J1832))),IF('Respuestas de formulario 1'!O1832&lt;&gt;"""",UPPER(TRIM(TO_TEXT('Respuestas de formulario 1'!O1832))),""""))"),"")</f>
        <v/>
      </c>
      <c r="K1719" s="7" t="str">
        <f>IFERROR(__xludf.DUMMYFUNCTION("IF('Respuestas de formulario 1'!K1832="""","""",TO_TEXT('Respuestas de formulario 1'!K1832))"),"")</f>
        <v/>
      </c>
      <c r="L1719" s="7" t="str">
        <f>IFERROR(__xludf.DUMMYFUNCTION("IF('Respuestas de formulario 1'!L1832="""","""",TO_TEXT('Respuestas de formulario 1'!L1832))"),"")</f>
        <v/>
      </c>
      <c r="M1719" s="7" t="str">
        <f>IFERROR(__xludf.DUMMYFUNCTION("IF('Respuestas de formulario 1'!M1832="""","""",TO_TEXT('Respuestas de formulario 1'!M1832))"),"")</f>
        <v/>
      </c>
      <c r="N1719" s="7" t="str">
        <f t="shared" si="1"/>
        <v/>
      </c>
      <c r="O1719" s="7" t="str">
        <f t="shared" si="2"/>
        <v/>
      </c>
      <c r="P1719" s="7"/>
    </row>
    <row r="1720">
      <c r="A1720" s="7" t="str">
        <f>'Respuestas de formulario 1'!A1833</f>
        <v/>
      </c>
      <c r="B1720" s="7" t="str">
        <f>'Respuestas de formulario 1'!B1833</f>
        <v/>
      </c>
      <c r="C1720" s="7" t="str">
        <f>'Respuestas de formulario 1'!C1833</f>
        <v/>
      </c>
      <c r="D1720" s="7" t="str">
        <f>'Respuestas de formulario 1'!D1833</f>
        <v/>
      </c>
      <c r="E1720" s="7" t="str">
        <f>'Respuestas de formulario 1'!E1833</f>
        <v/>
      </c>
      <c r="F1720" s="7" t="str">
        <f>'Respuestas de formulario 1'!F1833</f>
        <v/>
      </c>
      <c r="G1720" s="7" t="str">
        <f>IFERROR(__xludf.DUMMYFUNCTION("IF('Respuestas de formulario 1'!G1833="""","""",IF(LEFT(REGEXREPLACE(TO_TEXT('Respuestas de formulario 1'!G1833),""[^0-9]"",""""),2)=""54"",""+""&amp;REGEXREPLACE(TO_TEXT('Respuestas de formulario 1'!G1833),""[^0-9]"",""""),""+54""&amp;REGEXREPLACE(TO_TEXT('Respu"&amp;"estas de formulario 1'!G1833),""[^0-9]"","""")))"),"")</f>
        <v/>
      </c>
      <c r="H1720" s="7" t="str">
        <f>'Respuestas de formulario 1'!S1833</f>
        <v/>
      </c>
      <c r="I1720" s="7" t="str">
        <f>IFERROR(__xludf.DUMMYFUNCTION("IF('Respuestas de formulario 1'!I1833="""","""",TO_TEXT('Respuestas de formulario 1'!I1833))"),"")</f>
        <v/>
      </c>
      <c r="J1720" s="7" t="str">
        <f>IFERROR(__xludf.DUMMYFUNCTION("IF('Respuestas de formulario 1'!J1833&lt;&gt;"""",UPPER(TRIM(TO_TEXT('Respuestas de formulario 1'!J1833))),IF('Respuestas de formulario 1'!O1833&lt;&gt;"""",UPPER(TRIM(TO_TEXT('Respuestas de formulario 1'!O1833))),""""))"),"")</f>
        <v/>
      </c>
      <c r="K1720" s="7" t="str">
        <f>IFERROR(__xludf.DUMMYFUNCTION("IF('Respuestas de formulario 1'!K1833="""","""",TO_TEXT('Respuestas de formulario 1'!K1833))"),"")</f>
        <v/>
      </c>
      <c r="L1720" s="7" t="str">
        <f>IFERROR(__xludf.DUMMYFUNCTION("IF('Respuestas de formulario 1'!L1833="""","""",TO_TEXT('Respuestas de formulario 1'!L1833))"),"")</f>
        <v/>
      </c>
      <c r="M1720" s="7" t="str">
        <f>IFERROR(__xludf.DUMMYFUNCTION("IF('Respuestas de formulario 1'!M1833="""","""",TO_TEXT('Respuestas de formulario 1'!M1833))"),"")</f>
        <v/>
      </c>
      <c r="N1720" s="7" t="str">
        <f t="shared" si="1"/>
        <v/>
      </c>
      <c r="O1720" s="7" t="str">
        <f t="shared" si="2"/>
        <v/>
      </c>
      <c r="P1720" s="7"/>
    </row>
    <row r="1721">
      <c r="A1721" s="7" t="str">
        <f>'Respuestas de formulario 1'!A1834</f>
        <v/>
      </c>
      <c r="B1721" s="7" t="str">
        <f>'Respuestas de formulario 1'!B1834</f>
        <v/>
      </c>
      <c r="C1721" s="7" t="str">
        <f>'Respuestas de formulario 1'!C1834</f>
        <v/>
      </c>
      <c r="D1721" s="7" t="str">
        <f>'Respuestas de formulario 1'!D1834</f>
        <v/>
      </c>
      <c r="E1721" s="7" t="str">
        <f>'Respuestas de formulario 1'!E1834</f>
        <v/>
      </c>
      <c r="F1721" s="7" t="str">
        <f>'Respuestas de formulario 1'!F1834</f>
        <v/>
      </c>
      <c r="G1721" s="7" t="str">
        <f>IFERROR(__xludf.DUMMYFUNCTION("IF('Respuestas de formulario 1'!G1834="""","""",IF(LEFT(REGEXREPLACE(TO_TEXT('Respuestas de formulario 1'!G1834),""[^0-9]"",""""),2)=""54"",""+""&amp;REGEXREPLACE(TO_TEXT('Respuestas de formulario 1'!G1834),""[^0-9]"",""""),""+54""&amp;REGEXREPLACE(TO_TEXT('Respu"&amp;"estas de formulario 1'!G1834),""[^0-9]"","""")))"),"")</f>
        <v/>
      </c>
      <c r="H1721" s="7" t="str">
        <f>'Respuestas de formulario 1'!S1834</f>
        <v/>
      </c>
      <c r="I1721" s="7" t="str">
        <f>IFERROR(__xludf.DUMMYFUNCTION("IF('Respuestas de formulario 1'!I1834="""","""",TO_TEXT('Respuestas de formulario 1'!I1834))"),"")</f>
        <v/>
      </c>
      <c r="J1721" s="7" t="str">
        <f>IFERROR(__xludf.DUMMYFUNCTION("IF('Respuestas de formulario 1'!J1834&lt;&gt;"""",UPPER(TRIM(TO_TEXT('Respuestas de formulario 1'!J1834))),IF('Respuestas de formulario 1'!O1834&lt;&gt;"""",UPPER(TRIM(TO_TEXT('Respuestas de formulario 1'!O1834))),""""))"),"")</f>
        <v/>
      </c>
      <c r="K1721" s="7" t="str">
        <f>IFERROR(__xludf.DUMMYFUNCTION("IF('Respuestas de formulario 1'!K1834="""","""",TO_TEXT('Respuestas de formulario 1'!K1834))"),"")</f>
        <v/>
      </c>
      <c r="L1721" s="7" t="str">
        <f>IFERROR(__xludf.DUMMYFUNCTION("IF('Respuestas de formulario 1'!L1834="""","""",TO_TEXT('Respuestas de formulario 1'!L1834))"),"")</f>
        <v/>
      </c>
      <c r="M1721" s="7" t="str">
        <f>IFERROR(__xludf.DUMMYFUNCTION("IF('Respuestas de formulario 1'!M1834="""","""",TO_TEXT('Respuestas de formulario 1'!M1834))"),"")</f>
        <v/>
      </c>
      <c r="N1721" s="7" t="str">
        <f t="shared" si="1"/>
        <v/>
      </c>
      <c r="O1721" s="7" t="str">
        <f t="shared" si="2"/>
        <v/>
      </c>
      <c r="P1721" s="7"/>
    </row>
    <row r="1722">
      <c r="A1722" s="7" t="str">
        <f>'Respuestas de formulario 1'!A1835</f>
        <v/>
      </c>
      <c r="B1722" s="7" t="str">
        <f>'Respuestas de formulario 1'!B1835</f>
        <v/>
      </c>
      <c r="C1722" s="7" t="str">
        <f>'Respuestas de formulario 1'!C1835</f>
        <v/>
      </c>
      <c r="D1722" s="7" t="str">
        <f>'Respuestas de formulario 1'!D1835</f>
        <v/>
      </c>
      <c r="E1722" s="7" t="str">
        <f>'Respuestas de formulario 1'!E1835</f>
        <v/>
      </c>
      <c r="F1722" s="7" t="str">
        <f>'Respuestas de formulario 1'!F1835</f>
        <v/>
      </c>
      <c r="G1722" s="7" t="str">
        <f>IFERROR(__xludf.DUMMYFUNCTION("IF('Respuestas de formulario 1'!G1835="""","""",IF(LEFT(REGEXREPLACE(TO_TEXT('Respuestas de formulario 1'!G1835),""[^0-9]"",""""),2)=""54"",""+""&amp;REGEXREPLACE(TO_TEXT('Respuestas de formulario 1'!G1835),""[^0-9]"",""""),""+54""&amp;REGEXREPLACE(TO_TEXT('Respu"&amp;"estas de formulario 1'!G1835),""[^0-9]"","""")))"),"")</f>
        <v/>
      </c>
      <c r="H1722" s="7" t="str">
        <f>'Respuestas de formulario 1'!S1835</f>
        <v/>
      </c>
      <c r="I1722" s="7" t="str">
        <f>IFERROR(__xludf.DUMMYFUNCTION("IF('Respuestas de formulario 1'!I1835="""","""",TO_TEXT('Respuestas de formulario 1'!I1835))"),"")</f>
        <v/>
      </c>
      <c r="J1722" s="7" t="str">
        <f>IFERROR(__xludf.DUMMYFUNCTION("IF('Respuestas de formulario 1'!J1835&lt;&gt;"""",UPPER(TRIM(TO_TEXT('Respuestas de formulario 1'!J1835))),IF('Respuestas de formulario 1'!O1835&lt;&gt;"""",UPPER(TRIM(TO_TEXT('Respuestas de formulario 1'!O1835))),""""))"),"")</f>
        <v/>
      </c>
      <c r="K1722" s="7" t="str">
        <f>IFERROR(__xludf.DUMMYFUNCTION("IF('Respuestas de formulario 1'!K1835="""","""",TO_TEXT('Respuestas de formulario 1'!K1835))"),"")</f>
        <v/>
      </c>
      <c r="L1722" s="7" t="str">
        <f>IFERROR(__xludf.DUMMYFUNCTION("IF('Respuestas de formulario 1'!L1835="""","""",TO_TEXT('Respuestas de formulario 1'!L1835))"),"")</f>
        <v/>
      </c>
      <c r="M1722" s="7" t="str">
        <f>IFERROR(__xludf.DUMMYFUNCTION("IF('Respuestas de formulario 1'!M1835="""","""",TO_TEXT('Respuestas de formulario 1'!M1835))"),"")</f>
        <v/>
      </c>
      <c r="N1722" s="7" t="str">
        <f t="shared" si="1"/>
        <v/>
      </c>
      <c r="O1722" s="7" t="str">
        <f t="shared" si="2"/>
        <v/>
      </c>
      <c r="P1722" s="7"/>
    </row>
    <row r="1723">
      <c r="A1723" s="7" t="str">
        <f>'Respuestas de formulario 1'!A1836</f>
        <v/>
      </c>
      <c r="B1723" s="7" t="str">
        <f>'Respuestas de formulario 1'!B1836</f>
        <v/>
      </c>
      <c r="C1723" s="7" t="str">
        <f>'Respuestas de formulario 1'!C1836</f>
        <v/>
      </c>
      <c r="D1723" s="7" t="str">
        <f>'Respuestas de formulario 1'!D1836</f>
        <v/>
      </c>
      <c r="E1723" s="7" t="str">
        <f>'Respuestas de formulario 1'!E1836</f>
        <v/>
      </c>
      <c r="F1723" s="7" t="str">
        <f>'Respuestas de formulario 1'!F1836</f>
        <v/>
      </c>
      <c r="G1723" s="7" t="str">
        <f>IFERROR(__xludf.DUMMYFUNCTION("IF('Respuestas de formulario 1'!G1836="""","""",IF(LEFT(REGEXREPLACE(TO_TEXT('Respuestas de formulario 1'!G1836),""[^0-9]"",""""),2)=""54"",""+""&amp;REGEXREPLACE(TO_TEXT('Respuestas de formulario 1'!G1836),""[^0-9]"",""""),""+54""&amp;REGEXREPLACE(TO_TEXT('Respu"&amp;"estas de formulario 1'!G1836),""[^0-9]"","""")))"),"")</f>
        <v/>
      </c>
      <c r="H1723" s="7" t="str">
        <f>'Respuestas de formulario 1'!S1836</f>
        <v/>
      </c>
      <c r="I1723" s="7" t="str">
        <f>IFERROR(__xludf.DUMMYFUNCTION("IF('Respuestas de formulario 1'!I1836="""","""",TO_TEXT('Respuestas de formulario 1'!I1836))"),"")</f>
        <v/>
      </c>
      <c r="J1723" s="7" t="str">
        <f>IFERROR(__xludf.DUMMYFUNCTION("IF('Respuestas de formulario 1'!J1836&lt;&gt;"""",UPPER(TRIM(TO_TEXT('Respuestas de formulario 1'!J1836))),IF('Respuestas de formulario 1'!O1836&lt;&gt;"""",UPPER(TRIM(TO_TEXT('Respuestas de formulario 1'!O1836))),""""))"),"")</f>
        <v/>
      </c>
      <c r="K1723" s="7" t="str">
        <f>IFERROR(__xludf.DUMMYFUNCTION("IF('Respuestas de formulario 1'!K1836="""","""",TO_TEXT('Respuestas de formulario 1'!K1836))"),"")</f>
        <v/>
      </c>
      <c r="L1723" s="7" t="str">
        <f>IFERROR(__xludf.DUMMYFUNCTION("IF('Respuestas de formulario 1'!L1836="""","""",TO_TEXT('Respuestas de formulario 1'!L1836))"),"")</f>
        <v/>
      </c>
      <c r="M1723" s="7" t="str">
        <f>IFERROR(__xludf.DUMMYFUNCTION("IF('Respuestas de formulario 1'!M1836="""","""",TO_TEXT('Respuestas de formulario 1'!M1836))"),"")</f>
        <v/>
      </c>
      <c r="N1723" s="7" t="str">
        <f t="shared" si="1"/>
        <v/>
      </c>
      <c r="O1723" s="7" t="str">
        <f t="shared" si="2"/>
        <v/>
      </c>
      <c r="P1723" s="7"/>
    </row>
    <row r="1724">
      <c r="A1724" s="7" t="str">
        <f>'Respuestas de formulario 1'!A1837</f>
        <v/>
      </c>
      <c r="B1724" s="7" t="str">
        <f>'Respuestas de formulario 1'!B1837</f>
        <v/>
      </c>
      <c r="C1724" s="7" t="str">
        <f>'Respuestas de formulario 1'!C1837</f>
        <v/>
      </c>
      <c r="D1724" s="7" t="str">
        <f>'Respuestas de formulario 1'!D1837</f>
        <v/>
      </c>
      <c r="E1724" s="7" t="str">
        <f>'Respuestas de formulario 1'!E1837</f>
        <v/>
      </c>
      <c r="F1724" s="7" t="str">
        <f>'Respuestas de formulario 1'!F1837</f>
        <v/>
      </c>
      <c r="G1724" s="7" t="str">
        <f>IFERROR(__xludf.DUMMYFUNCTION("IF('Respuestas de formulario 1'!G1837="""","""",IF(LEFT(REGEXREPLACE(TO_TEXT('Respuestas de formulario 1'!G1837),""[^0-9]"",""""),2)=""54"",""+""&amp;REGEXREPLACE(TO_TEXT('Respuestas de formulario 1'!G1837),""[^0-9]"",""""),""+54""&amp;REGEXREPLACE(TO_TEXT('Respu"&amp;"estas de formulario 1'!G1837),""[^0-9]"","""")))"),"")</f>
        <v/>
      </c>
      <c r="H1724" s="7" t="str">
        <f>'Respuestas de formulario 1'!S1837</f>
        <v/>
      </c>
      <c r="I1724" s="7" t="str">
        <f>IFERROR(__xludf.DUMMYFUNCTION("IF('Respuestas de formulario 1'!I1837="""","""",TO_TEXT('Respuestas de formulario 1'!I1837))"),"")</f>
        <v/>
      </c>
      <c r="J1724" s="7" t="str">
        <f>IFERROR(__xludf.DUMMYFUNCTION("IF('Respuestas de formulario 1'!J1837&lt;&gt;"""",UPPER(TRIM(TO_TEXT('Respuestas de formulario 1'!J1837))),IF('Respuestas de formulario 1'!O1837&lt;&gt;"""",UPPER(TRIM(TO_TEXT('Respuestas de formulario 1'!O1837))),""""))"),"")</f>
        <v/>
      </c>
      <c r="K1724" s="7" t="str">
        <f>IFERROR(__xludf.DUMMYFUNCTION("IF('Respuestas de formulario 1'!K1837="""","""",TO_TEXT('Respuestas de formulario 1'!K1837))"),"")</f>
        <v/>
      </c>
      <c r="L1724" s="7" t="str">
        <f>IFERROR(__xludf.DUMMYFUNCTION("IF('Respuestas de formulario 1'!L1837="""","""",TO_TEXT('Respuestas de formulario 1'!L1837))"),"")</f>
        <v/>
      </c>
      <c r="M1724" s="7" t="str">
        <f>IFERROR(__xludf.DUMMYFUNCTION("IF('Respuestas de formulario 1'!M1837="""","""",TO_TEXT('Respuestas de formulario 1'!M1837))"),"")</f>
        <v/>
      </c>
      <c r="N1724" s="7" t="str">
        <f t="shared" si="1"/>
        <v/>
      </c>
      <c r="O1724" s="7" t="str">
        <f t="shared" si="2"/>
        <v/>
      </c>
      <c r="P1724" s="7"/>
    </row>
    <row r="1725">
      <c r="A1725" s="7" t="str">
        <f>'Respuestas de formulario 1'!A1838</f>
        <v/>
      </c>
      <c r="B1725" s="7" t="str">
        <f>'Respuestas de formulario 1'!B1838</f>
        <v/>
      </c>
      <c r="C1725" s="7" t="str">
        <f>'Respuestas de formulario 1'!C1838</f>
        <v/>
      </c>
      <c r="D1725" s="7" t="str">
        <f>'Respuestas de formulario 1'!D1838</f>
        <v/>
      </c>
      <c r="E1725" s="7" t="str">
        <f>'Respuestas de formulario 1'!E1838</f>
        <v/>
      </c>
      <c r="F1725" s="7" t="str">
        <f>'Respuestas de formulario 1'!F1838</f>
        <v/>
      </c>
      <c r="G1725" s="7" t="str">
        <f>IFERROR(__xludf.DUMMYFUNCTION("IF('Respuestas de formulario 1'!G1838="""","""",IF(LEFT(REGEXREPLACE(TO_TEXT('Respuestas de formulario 1'!G1838),""[^0-9]"",""""),2)=""54"",""+""&amp;REGEXREPLACE(TO_TEXT('Respuestas de formulario 1'!G1838),""[^0-9]"",""""),""+54""&amp;REGEXREPLACE(TO_TEXT('Respu"&amp;"estas de formulario 1'!G1838),""[^0-9]"","""")))"),"")</f>
        <v/>
      </c>
      <c r="H1725" s="7" t="str">
        <f>'Respuestas de formulario 1'!S1838</f>
        <v/>
      </c>
      <c r="I1725" s="7" t="str">
        <f>IFERROR(__xludf.DUMMYFUNCTION("IF('Respuestas de formulario 1'!I1838="""","""",TO_TEXT('Respuestas de formulario 1'!I1838))"),"")</f>
        <v/>
      </c>
      <c r="J1725" s="7" t="str">
        <f>IFERROR(__xludf.DUMMYFUNCTION("IF('Respuestas de formulario 1'!J1838&lt;&gt;"""",UPPER(TRIM(TO_TEXT('Respuestas de formulario 1'!J1838))),IF('Respuestas de formulario 1'!O1838&lt;&gt;"""",UPPER(TRIM(TO_TEXT('Respuestas de formulario 1'!O1838))),""""))"),"")</f>
        <v/>
      </c>
      <c r="K1725" s="7" t="str">
        <f>IFERROR(__xludf.DUMMYFUNCTION("IF('Respuestas de formulario 1'!K1838="""","""",TO_TEXT('Respuestas de formulario 1'!K1838))"),"")</f>
        <v/>
      </c>
      <c r="L1725" s="7" t="str">
        <f>IFERROR(__xludf.DUMMYFUNCTION("IF('Respuestas de formulario 1'!L1838="""","""",TO_TEXT('Respuestas de formulario 1'!L1838))"),"")</f>
        <v/>
      </c>
      <c r="M1725" s="7" t="str">
        <f>IFERROR(__xludf.DUMMYFUNCTION("IF('Respuestas de formulario 1'!M1838="""","""",TO_TEXT('Respuestas de formulario 1'!M1838))"),"")</f>
        <v/>
      </c>
      <c r="N1725" s="7" t="str">
        <f t="shared" si="1"/>
        <v/>
      </c>
      <c r="O1725" s="7" t="str">
        <f t="shared" si="2"/>
        <v/>
      </c>
      <c r="P1725" s="7"/>
    </row>
    <row r="1726">
      <c r="A1726" s="7" t="str">
        <f>'Respuestas de formulario 1'!A1839</f>
        <v/>
      </c>
      <c r="B1726" s="7" t="str">
        <f>'Respuestas de formulario 1'!B1839</f>
        <v/>
      </c>
      <c r="C1726" s="7" t="str">
        <f>'Respuestas de formulario 1'!C1839</f>
        <v/>
      </c>
      <c r="D1726" s="7" t="str">
        <f>'Respuestas de formulario 1'!D1839</f>
        <v/>
      </c>
      <c r="E1726" s="7" t="str">
        <f>'Respuestas de formulario 1'!E1839</f>
        <v/>
      </c>
      <c r="F1726" s="7" t="str">
        <f>'Respuestas de formulario 1'!F1839</f>
        <v/>
      </c>
      <c r="G1726" s="7" t="str">
        <f>IFERROR(__xludf.DUMMYFUNCTION("IF('Respuestas de formulario 1'!G1839="""","""",IF(LEFT(REGEXREPLACE(TO_TEXT('Respuestas de formulario 1'!G1839),""[^0-9]"",""""),2)=""54"",""+""&amp;REGEXREPLACE(TO_TEXT('Respuestas de formulario 1'!G1839),""[^0-9]"",""""),""+54""&amp;REGEXREPLACE(TO_TEXT('Respu"&amp;"estas de formulario 1'!G1839),""[^0-9]"","""")))"),"")</f>
        <v/>
      </c>
      <c r="H1726" s="7" t="str">
        <f>'Respuestas de formulario 1'!S1839</f>
        <v/>
      </c>
      <c r="I1726" s="7" t="str">
        <f>IFERROR(__xludf.DUMMYFUNCTION("IF('Respuestas de formulario 1'!I1839="""","""",TO_TEXT('Respuestas de formulario 1'!I1839))"),"")</f>
        <v/>
      </c>
      <c r="J1726" s="7" t="str">
        <f>IFERROR(__xludf.DUMMYFUNCTION("IF('Respuestas de formulario 1'!J1839&lt;&gt;"""",UPPER(TRIM(TO_TEXT('Respuestas de formulario 1'!J1839))),IF('Respuestas de formulario 1'!O1839&lt;&gt;"""",UPPER(TRIM(TO_TEXT('Respuestas de formulario 1'!O1839))),""""))"),"")</f>
        <v/>
      </c>
      <c r="K1726" s="7" t="str">
        <f>IFERROR(__xludf.DUMMYFUNCTION("IF('Respuestas de formulario 1'!K1839="""","""",TO_TEXT('Respuestas de formulario 1'!K1839))"),"")</f>
        <v/>
      </c>
      <c r="L1726" s="7" t="str">
        <f>IFERROR(__xludf.DUMMYFUNCTION("IF('Respuestas de formulario 1'!L1839="""","""",TO_TEXT('Respuestas de formulario 1'!L1839))"),"")</f>
        <v/>
      </c>
      <c r="M1726" s="7" t="str">
        <f>IFERROR(__xludf.DUMMYFUNCTION("IF('Respuestas de formulario 1'!M1839="""","""",TO_TEXT('Respuestas de formulario 1'!M1839))"),"")</f>
        <v/>
      </c>
      <c r="N1726" s="7" t="str">
        <f t="shared" si="1"/>
        <v/>
      </c>
      <c r="O1726" s="7" t="str">
        <f t="shared" si="2"/>
        <v/>
      </c>
      <c r="P1726" s="7"/>
    </row>
    <row r="1727">
      <c r="A1727" s="7" t="str">
        <f>'Respuestas de formulario 1'!A1840</f>
        <v/>
      </c>
      <c r="B1727" s="7" t="str">
        <f>'Respuestas de formulario 1'!B1840</f>
        <v/>
      </c>
      <c r="C1727" s="7" t="str">
        <f>'Respuestas de formulario 1'!C1840</f>
        <v/>
      </c>
      <c r="D1727" s="7" t="str">
        <f>'Respuestas de formulario 1'!D1840</f>
        <v/>
      </c>
      <c r="E1727" s="7" t="str">
        <f>'Respuestas de formulario 1'!E1840</f>
        <v/>
      </c>
      <c r="F1727" s="7" t="str">
        <f>'Respuestas de formulario 1'!F1840</f>
        <v/>
      </c>
      <c r="G1727" s="7" t="str">
        <f>IFERROR(__xludf.DUMMYFUNCTION("IF('Respuestas de formulario 1'!G1840="""","""",IF(LEFT(REGEXREPLACE(TO_TEXT('Respuestas de formulario 1'!G1840),""[^0-9]"",""""),2)=""54"",""+""&amp;REGEXREPLACE(TO_TEXT('Respuestas de formulario 1'!G1840),""[^0-9]"",""""),""+54""&amp;REGEXREPLACE(TO_TEXT('Respu"&amp;"estas de formulario 1'!G1840),""[^0-9]"","""")))"),"")</f>
        <v/>
      </c>
      <c r="H1727" s="7" t="str">
        <f>'Respuestas de formulario 1'!S1840</f>
        <v/>
      </c>
      <c r="I1727" s="7" t="str">
        <f>IFERROR(__xludf.DUMMYFUNCTION("IF('Respuestas de formulario 1'!I1840="""","""",TO_TEXT('Respuestas de formulario 1'!I1840))"),"")</f>
        <v/>
      </c>
      <c r="J1727" s="7" t="str">
        <f>IFERROR(__xludf.DUMMYFUNCTION("IF('Respuestas de formulario 1'!J1840&lt;&gt;"""",UPPER(TRIM(TO_TEXT('Respuestas de formulario 1'!J1840))),IF('Respuestas de formulario 1'!O1840&lt;&gt;"""",UPPER(TRIM(TO_TEXT('Respuestas de formulario 1'!O1840))),""""))"),"")</f>
        <v/>
      </c>
      <c r="K1727" s="7" t="str">
        <f>IFERROR(__xludf.DUMMYFUNCTION("IF('Respuestas de formulario 1'!K1840="""","""",TO_TEXT('Respuestas de formulario 1'!K1840))"),"")</f>
        <v/>
      </c>
      <c r="L1727" s="7" t="str">
        <f>IFERROR(__xludf.DUMMYFUNCTION("IF('Respuestas de formulario 1'!L1840="""","""",TO_TEXT('Respuestas de formulario 1'!L1840))"),"")</f>
        <v/>
      </c>
      <c r="M1727" s="7" t="str">
        <f>IFERROR(__xludf.DUMMYFUNCTION("IF('Respuestas de formulario 1'!M1840="""","""",TO_TEXT('Respuestas de formulario 1'!M1840))"),"")</f>
        <v/>
      </c>
      <c r="N1727" s="7" t="str">
        <f t="shared" si="1"/>
        <v/>
      </c>
      <c r="O1727" s="7" t="str">
        <f t="shared" si="2"/>
        <v/>
      </c>
      <c r="P1727" s="7"/>
    </row>
    <row r="1728">
      <c r="A1728" s="7" t="str">
        <f>'Respuestas de formulario 1'!A1841</f>
        <v/>
      </c>
      <c r="B1728" s="7" t="str">
        <f>'Respuestas de formulario 1'!B1841</f>
        <v/>
      </c>
      <c r="C1728" s="7" t="str">
        <f>'Respuestas de formulario 1'!C1841</f>
        <v/>
      </c>
      <c r="D1728" s="7" t="str">
        <f>'Respuestas de formulario 1'!D1841</f>
        <v/>
      </c>
      <c r="E1728" s="7" t="str">
        <f>'Respuestas de formulario 1'!E1841</f>
        <v/>
      </c>
      <c r="F1728" s="7" t="str">
        <f>'Respuestas de formulario 1'!F1841</f>
        <v/>
      </c>
      <c r="G1728" s="7" t="str">
        <f>IFERROR(__xludf.DUMMYFUNCTION("IF('Respuestas de formulario 1'!G1841="""","""",IF(LEFT(REGEXREPLACE(TO_TEXT('Respuestas de formulario 1'!G1841),""[^0-9]"",""""),2)=""54"",""+""&amp;REGEXREPLACE(TO_TEXT('Respuestas de formulario 1'!G1841),""[^0-9]"",""""),""+54""&amp;REGEXREPLACE(TO_TEXT('Respu"&amp;"estas de formulario 1'!G1841),""[^0-9]"","""")))"),"")</f>
        <v/>
      </c>
      <c r="H1728" s="7" t="str">
        <f>'Respuestas de formulario 1'!S1841</f>
        <v/>
      </c>
      <c r="I1728" s="7" t="str">
        <f>IFERROR(__xludf.DUMMYFUNCTION("IF('Respuestas de formulario 1'!I1841="""","""",TO_TEXT('Respuestas de formulario 1'!I1841))"),"")</f>
        <v/>
      </c>
      <c r="J1728" s="7" t="str">
        <f>IFERROR(__xludf.DUMMYFUNCTION("IF('Respuestas de formulario 1'!J1841&lt;&gt;"""",UPPER(TRIM(TO_TEXT('Respuestas de formulario 1'!J1841))),IF('Respuestas de formulario 1'!O1841&lt;&gt;"""",UPPER(TRIM(TO_TEXT('Respuestas de formulario 1'!O1841))),""""))"),"")</f>
        <v/>
      </c>
      <c r="K1728" s="7" t="str">
        <f>IFERROR(__xludf.DUMMYFUNCTION("IF('Respuestas de formulario 1'!K1841="""","""",TO_TEXT('Respuestas de formulario 1'!K1841))"),"")</f>
        <v/>
      </c>
      <c r="L1728" s="7" t="str">
        <f>IFERROR(__xludf.DUMMYFUNCTION("IF('Respuestas de formulario 1'!L1841="""","""",TO_TEXT('Respuestas de formulario 1'!L1841))"),"")</f>
        <v/>
      </c>
      <c r="M1728" s="7" t="str">
        <f>IFERROR(__xludf.DUMMYFUNCTION("IF('Respuestas de formulario 1'!M1841="""","""",TO_TEXT('Respuestas de formulario 1'!M1841))"),"")</f>
        <v/>
      </c>
      <c r="N1728" s="7" t="str">
        <f t="shared" si="1"/>
        <v/>
      </c>
      <c r="O1728" s="7" t="str">
        <f t="shared" si="2"/>
        <v/>
      </c>
      <c r="P1728" s="7"/>
    </row>
    <row r="1729">
      <c r="A1729" s="7" t="str">
        <f>'Respuestas de formulario 1'!A1842</f>
        <v/>
      </c>
      <c r="B1729" s="7" t="str">
        <f>'Respuestas de formulario 1'!B1842</f>
        <v/>
      </c>
      <c r="C1729" s="7" t="str">
        <f>'Respuestas de formulario 1'!C1842</f>
        <v/>
      </c>
      <c r="D1729" s="7" t="str">
        <f>'Respuestas de formulario 1'!D1842</f>
        <v/>
      </c>
      <c r="E1729" s="7" t="str">
        <f>'Respuestas de formulario 1'!E1842</f>
        <v/>
      </c>
      <c r="F1729" s="7" t="str">
        <f>'Respuestas de formulario 1'!F1842</f>
        <v/>
      </c>
      <c r="G1729" s="7" t="str">
        <f>IFERROR(__xludf.DUMMYFUNCTION("IF('Respuestas de formulario 1'!G1842="""","""",IF(LEFT(REGEXREPLACE(TO_TEXT('Respuestas de formulario 1'!G1842),""[^0-9]"",""""),2)=""54"",""+""&amp;REGEXREPLACE(TO_TEXT('Respuestas de formulario 1'!G1842),""[^0-9]"",""""),""+54""&amp;REGEXREPLACE(TO_TEXT('Respu"&amp;"estas de formulario 1'!G1842),""[^0-9]"","""")))"),"")</f>
        <v/>
      </c>
      <c r="H1729" s="7" t="str">
        <f>'Respuestas de formulario 1'!S1842</f>
        <v/>
      </c>
      <c r="I1729" s="7" t="str">
        <f>IFERROR(__xludf.DUMMYFUNCTION("IF('Respuestas de formulario 1'!I1842="""","""",TO_TEXT('Respuestas de formulario 1'!I1842))"),"")</f>
        <v/>
      </c>
      <c r="J1729" s="7" t="str">
        <f>IFERROR(__xludf.DUMMYFUNCTION("IF('Respuestas de formulario 1'!J1842&lt;&gt;"""",UPPER(TRIM(TO_TEXT('Respuestas de formulario 1'!J1842))),IF('Respuestas de formulario 1'!O1842&lt;&gt;"""",UPPER(TRIM(TO_TEXT('Respuestas de formulario 1'!O1842))),""""))"),"")</f>
        <v/>
      </c>
      <c r="K1729" s="7" t="str">
        <f>IFERROR(__xludf.DUMMYFUNCTION("IF('Respuestas de formulario 1'!K1842="""","""",TO_TEXT('Respuestas de formulario 1'!K1842))"),"")</f>
        <v/>
      </c>
      <c r="L1729" s="7" t="str">
        <f>IFERROR(__xludf.DUMMYFUNCTION("IF('Respuestas de formulario 1'!L1842="""","""",TO_TEXT('Respuestas de formulario 1'!L1842))"),"")</f>
        <v/>
      </c>
      <c r="M1729" s="7" t="str">
        <f>IFERROR(__xludf.DUMMYFUNCTION("IF('Respuestas de formulario 1'!M1842="""","""",TO_TEXT('Respuestas de formulario 1'!M1842))"),"")</f>
        <v/>
      </c>
      <c r="N1729" s="7" t="str">
        <f t="shared" si="1"/>
        <v/>
      </c>
      <c r="O1729" s="7" t="str">
        <f t="shared" si="2"/>
        <v/>
      </c>
      <c r="P1729" s="7"/>
    </row>
    <row r="1730">
      <c r="A1730" s="7" t="str">
        <f>'Respuestas de formulario 1'!A1843</f>
        <v/>
      </c>
      <c r="B1730" s="7" t="str">
        <f>'Respuestas de formulario 1'!B1843</f>
        <v/>
      </c>
      <c r="C1730" s="7" t="str">
        <f>'Respuestas de formulario 1'!C1843</f>
        <v/>
      </c>
      <c r="D1730" s="7" t="str">
        <f>'Respuestas de formulario 1'!D1843</f>
        <v/>
      </c>
      <c r="E1730" s="7" t="str">
        <f>'Respuestas de formulario 1'!E1843</f>
        <v/>
      </c>
      <c r="F1730" s="7" t="str">
        <f>'Respuestas de formulario 1'!F1843</f>
        <v/>
      </c>
      <c r="G1730" s="7" t="str">
        <f>IFERROR(__xludf.DUMMYFUNCTION("IF('Respuestas de formulario 1'!G1843="""","""",IF(LEFT(REGEXREPLACE(TO_TEXT('Respuestas de formulario 1'!G1843),""[^0-9]"",""""),2)=""54"",""+""&amp;REGEXREPLACE(TO_TEXT('Respuestas de formulario 1'!G1843),""[^0-9]"",""""),""+54""&amp;REGEXREPLACE(TO_TEXT('Respu"&amp;"estas de formulario 1'!G1843),""[^0-9]"","""")))"),"")</f>
        <v/>
      </c>
      <c r="H1730" s="7" t="str">
        <f>'Respuestas de formulario 1'!S1843</f>
        <v/>
      </c>
      <c r="I1730" s="7" t="str">
        <f>IFERROR(__xludf.DUMMYFUNCTION("IF('Respuestas de formulario 1'!I1843="""","""",TO_TEXT('Respuestas de formulario 1'!I1843))"),"")</f>
        <v/>
      </c>
      <c r="J1730" s="7" t="str">
        <f>IFERROR(__xludf.DUMMYFUNCTION("IF('Respuestas de formulario 1'!J1843&lt;&gt;"""",UPPER(TRIM(TO_TEXT('Respuestas de formulario 1'!J1843))),IF('Respuestas de formulario 1'!O1843&lt;&gt;"""",UPPER(TRIM(TO_TEXT('Respuestas de formulario 1'!O1843))),""""))"),"")</f>
        <v/>
      </c>
      <c r="K1730" s="7" t="str">
        <f>IFERROR(__xludf.DUMMYFUNCTION("IF('Respuestas de formulario 1'!K1843="""","""",TO_TEXT('Respuestas de formulario 1'!K1843))"),"")</f>
        <v/>
      </c>
      <c r="L1730" s="7" t="str">
        <f>IFERROR(__xludf.DUMMYFUNCTION("IF('Respuestas de formulario 1'!L1843="""","""",TO_TEXT('Respuestas de formulario 1'!L1843))"),"")</f>
        <v/>
      </c>
      <c r="M1730" s="7" t="str">
        <f>IFERROR(__xludf.DUMMYFUNCTION("IF('Respuestas de formulario 1'!M1843="""","""",TO_TEXT('Respuestas de formulario 1'!M1843))"),"")</f>
        <v/>
      </c>
      <c r="N1730" s="7" t="str">
        <f t="shared" si="1"/>
        <v/>
      </c>
      <c r="O1730" s="7" t="str">
        <f t="shared" si="2"/>
        <v/>
      </c>
      <c r="P1730" s="7"/>
    </row>
    <row r="1731">
      <c r="A1731" s="7" t="str">
        <f>'Respuestas de formulario 1'!A1844</f>
        <v/>
      </c>
      <c r="B1731" s="7" t="str">
        <f>'Respuestas de formulario 1'!B1844</f>
        <v/>
      </c>
      <c r="C1731" s="7" t="str">
        <f>'Respuestas de formulario 1'!C1844</f>
        <v/>
      </c>
      <c r="D1731" s="7" t="str">
        <f>'Respuestas de formulario 1'!D1844</f>
        <v/>
      </c>
      <c r="E1731" s="7" t="str">
        <f>'Respuestas de formulario 1'!E1844</f>
        <v/>
      </c>
      <c r="F1731" s="7" t="str">
        <f>'Respuestas de formulario 1'!F1844</f>
        <v/>
      </c>
      <c r="G1731" s="7" t="str">
        <f>IFERROR(__xludf.DUMMYFUNCTION("IF('Respuestas de formulario 1'!G1844="""","""",IF(LEFT(REGEXREPLACE(TO_TEXT('Respuestas de formulario 1'!G1844),""[^0-9]"",""""),2)=""54"",""+""&amp;REGEXREPLACE(TO_TEXT('Respuestas de formulario 1'!G1844),""[^0-9]"",""""),""+54""&amp;REGEXREPLACE(TO_TEXT('Respu"&amp;"estas de formulario 1'!G1844),""[^0-9]"","""")))"),"")</f>
        <v/>
      </c>
      <c r="H1731" s="7" t="str">
        <f>'Respuestas de formulario 1'!S1844</f>
        <v/>
      </c>
      <c r="I1731" s="7" t="str">
        <f>IFERROR(__xludf.DUMMYFUNCTION("IF('Respuestas de formulario 1'!I1844="""","""",TO_TEXT('Respuestas de formulario 1'!I1844))"),"")</f>
        <v/>
      </c>
      <c r="J1731" s="7" t="str">
        <f>IFERROR(__xludf.DUMMYFUNCTION("IF('Respuestas de formulario 1'!J1844&lt;&gt;"""",UPPER(TRIM(TO_TEXT('Respuestas de formulario 1'!J1844))),IF('Respuestas de formulario 1'!O1844&lt;&gt;"""",UPPER(TRIM(TO_TEXT('Respuestas de formulario 1'!O1844))),""""))"),"")</f>
        <v/>
      </c>
      <c r="K1731" s="7" t="str">
        <f>IFERROR(__xludf.DUMMYFUNCTION("IF('Respuestas de formulario 1'!K1844="""","""",TO_TEXT('Respuestas de formulario 1'!K1844))"),"")</f>
        <v/>
      </c>
      <c r="L1731" s="7" t="str">
        <f>IFERROR(__xludf.DUMMYFUNCTION("IF('Respuestas de formulario 1'!L1844="""","""",TO_TEXT('Respuestas de formulario 1'!L1844))"),"")</f>
        <v/>
      </c>
      <c r="M1731" s="7" t="str">
        <f>IFERROR(__xludf.DUMMYFUNCTION("IF('Respuestas de formulario 1'!M1844="""","""",TO_TEXT('Respuestas de formulario 1'!M1844))"),"")</f>
        <v/>
      </c>
      <c r="N1731" s="7" t="str">
        <f t="shared" si="1"/>
        <v/>
      </c>
      <c r="O1731" s="7" t="str">
        <f t="shared" si="2"/>
        <v/>
      </c>
      <c r="P1731" s="7"/>
    </row>
    <row r="1732">
      <c r="A1732" s="7" t="str">
        <f>'Respuestas de formulario 1'!A1845</f>
        <v/>
      </c>
      <c r="B1732" s="7" t="str">
        <f>'Respuestas de formulario 1'!B1845</f>
        <v/>
      </c>
      <c r="C1732" s="7" t="str">
        <f>'Respuestas de formulario 1'!C1845</f>
        <v/>
      </c>
      <c r="D1732" s="7" t="str">
        <f>'Respuestas de formulario 1'!D1845</f>
        <v/>
      </c>
      <c r="E1732" s="7" t="str">
        <f>'Respuestas de formulario 1'!E1845</f>
        <v/>
      </c>
      <c r="F1732" s="7" t="str">
        <f>'Respuestas de formulario 1'!F1845</f>
        <v/>
      </c>
      <c r="G1732" s="7" t="str">
        <f>IFERROR(__xludf.DUMMYFUNCTION("IF('Respuestas de formulario 1'!G1845="""","""",IF(LEFT(REGEXREPLACE(TO_TEXT('Respuestas de formulario 1'!G1845),""[^0-9]"",""""),2)=""54"",""+""&amp;REGEXREPLACE(TO_TEXT('Respuestas de formulario 1'!G1845),""[^0-9]"",""""),""+54""&amp;REGEXREPLACE(TO_TEXT('Respu"&amp;"estas de formulario 1'!G1845),""[^0-9]"","""")))"),"")</f>
        <v/>
      </c>
      <c r="H1732" s="7" t="str">
        <f>'Respuestas de formulario 1'!S1845</f>
        <v/>
      </c>
      <c r="I1732" s="7" t="str">
        <f>IFERROR(__xludf.DUMMYFUNCTION("IF('Respuestas de formulario 1'!I1845="""","""",TO_TEXT('Respuestas de formulario 1'!I1845))"),"")</f>
        <v/>
      </c>
      <c r="J1732" s="7" t="str">
        <f>IFERROR(__xludf.DUMMYFUNCTION("IF('Respuestas de formulario 1'!J1845&lt;&gt;"""",UPPER(TRIM(TO_TEXT('Respuestas de formulario 1'!J1845))),IF('Respuestas de formulario 1'!O1845&lt;&gt;"""",UPPER(TRIM(TO_TEXT('Respuestas de formulario 1'!O1845))),""""))"),"")</f>
        <v/>
      </c>
      <c r="K1732" s="7" t="str">
        <f>IFERROR(__xludf.DUMMYFUNCTION("IF('Respuestas de formulario 1'!K1845="""","""",TO_TEXT('Respuestas de formulario 1'!K1845))"),"")</f>
        <v/>
      </c>
      <c r="L1732" s="7" t="str">
        <f>IFERROR(__xludf.DUMMYFUNCTION("IF('Respuestas de formulario 1'!L1845="""","""",TO_TEXT('Respuestas de formulario 1'!L1845))"),"")</f>
        <v/>
      </c>
      <c r="M1732" s="7" t="str">
        <f>IFERROR(__xludf.DUMMYFUNCTION("IF('Respuestas de formulario 1'!M1845="""","""",TO_TEXT('Respuestas de formulario 1'!M1845))"),"")</f>
        <v/>
      </c>
      <c r="N1732" s="7" t="str">
        <f t="shared" si="1"/>
        <v/>
      </c>
      <c r="O1732" s="7" t="str">
        <f t="shared" si="2"/>
        <v/>
      </c>
      <c r="P1732" s="7"/>
    </row>
    <row r="1733">
      <c r="A1733" s="7" t="str">
        <f>'Respuestas de formulario 1'!A1846</f>
        <v/>
      </c>
      <c r="B1733" s="7" t="str">
        <f>'Respuestas de formulario 1'!B1846</f>
        <v/>
      </c>
      <c r="C1733" s="7" t="str">
        <f>'Respuestas de formulario 1'!C1846</f>
        <v/>
      </c>
      <c r="D1733" s="7" t="str">
        <f>'Respuestas de formulario 1'!D1846</f>
        <v/>
      </c>
      <c r="E1733" s="7" t="str">
        <f>'Respuestas de formulario 1'!E1846</f>
        <v/>
      </c>
      <c r="F1733" s="7" t="str">
        <f>'Respuestas de formulario 1'!F1846</f>
        <v/>
      </c>
      <c r="G1733" s="7" t="str">
        <f>IFERROR(__xludf.DUMMYFUNCTION("IF('Respuestas de formulario 1'!G1846="""","""",IF(LEFT(REGEXREPLACE(TO_TEXT('Respuestas de formulario 1'!G1846),""[^0-9]"",""""),2)=""54"",""+""&amp;REGEXREPLACE(TO_TEXT('Respuestas de formulario 1'!G1846),""[^0-9]"",""""),""+54""&amp;REGEXREPLACE(TO_TEXT('Respu"&amp;"estas de formulario 1'!G1846),""[^0-9]"","""")))"),"")</f>
        <v/>
      </c>
      <c r="H1733" s="7" t="str">
        <f>'Respuestas de formulario 1'!S1846</f>
        <v/>
      </c>
      <c r="I1733" s="7" t="str">
        <f>IFERROR(__xludf.DUMMYFUNCTION("IF('Respuestas de formulario 1'!I1846="""","""",TO_TEXT('Respuestas de formulario 1'!I1846))"),"")</f>
        <v/>
      </c>
      <c r="J1733" s="7" t="str">
        <f>IFERROR(__xludf.DUMMYFUNCTION("IF('Respuestas de formulario 1'!J1846&lt;&gt;"""",UPPER(TRIM(TO_TEXT('Respuestas de formulario 1'!J1846))),IF('Respuestas de formulario 1'!O1846&lt;&gt;"""",UPPER(TRIM(TO_TEXT('Respuestas de formulario 1'!O1846))),""""))"),"")</f>
        <v/>
      </c>
      <c r="K1733" s="7" t="str">
        <f>IFERROR(__xludf.DUMMYFUNCTION("IF('Respuestas de formulario 1'!K1846="""","""",TO_TEXT('Respuestas de formulario 1'!K1846))"),"")</f>
        <v/>
      </c>
      <c r="L1733" s="7" t="str">
        <f>IFERROR(__xludf.DUMMYFUNCTION("IF('Respuestas de formulario 1'!L1846="""","""",TO_TEXT('Respuestas de formulario 1'!L1846))"),"")</f>
        <v/>
      </c>
      <c r="M1733" s="7" t="str">
        <f>IFERROR(__xludf.DUMMYFUNCTION("IF('Respuestas de formulario 1'!M1846="""","""",TO_TEXT('Respuestas de formulario 1'!M1846))"),"")</f>
        <v/>
      </c>
      <c r="N1733" s="7" t="str">
        <f t="shared" si="1"/>
        <v/>
      </c>
      <c r="O1733" s="7" t="str">
        <f t="shared" si="2"/>
        <v/>
      </c>
      <c r="P1733" s="7"/>
    </row>
    <row r="1734">
      <c r="A1734" s="7" t="str">
        <f>'Respuestas de formulario 1'!A1847</f>
        <v/>
      </c>
      <c r="B1734" s="7" t="str">
        <f>'Respuestas de formulario 1'!B1847</f>
        <v/>
      </c>
      <c r="C1734" s="7" t="str">
        <f>'Respuestas de formulario 1'!C1847</f>
        <v/>
      </c>
      <c r="D1734" s="7" t="str">
        <f>'Respuestas de formulario 1'!D1847</f>
        <v/>
      </c>
      <c r="E1734" s="7" t="str">
        <f>'Respuestas de formulario 1'!E1847</f>
        <v/>
      </c>
      <c r="F1734" s="7" t="str">
        <f>'Respuestas de formulario 1'!F1847</f>
        <v/>
      </c>
      <c r="G1734" s="7" t="str">
        <f>IFERROR(__xludf.DUMMYFUNCTION("IF('Respuestas de formulario 1'!G1847="""","""",IF(LEFT(REGEXREPLACE(TO_TEXT('Respuestas de formulario 1'!G1847),""[^0-9]"",""""),2)=""54"",""+""&amp;REGEXREPLACE(TO_TEXT('Respuestas de formulario 1'!G1847),""[^0-9]"",""""),""+54""&amp;REGEXREPLACE(TO_TEXT('Respu"&amp;"estas de formulario 1'!G1847),""[^0-9]"","""")))"),"")</f>
        <v/>
      </c>
      <c r="H1734" s="7" t="str">
        <f>'Respuestas de formulario 1'!S1847</f>
        <v/>
      </c>
      <c r="I1734" s="7" t="str">
        <f>IFERROR(__xludf.DUMMYFUNCTION("IF('Respuestas de formulario 1'!I1847="""","""",TO_TEXT('Respuestas de formulario 1'!I1847))"),"")</f>
        <v/>
      </c>
      <c r="J1734" s="7" t="str">
        <f>IFERROR(__xludf.DUMMYFUNCTION("IF('Respuestas de formulario 1'!J1847&lt;&gt;"""",UPPER(TRIM(TO_TEXT('Respuestas de formulario 1'!J1847))),IF('Respuestas de formulario 1'!O1847&lt;&gt;"""",UPPER(TRIM(TO_TEXT('Respuestas de formulario 1'!O1847))),""""))"),"")</f>
        <v/>
      </c>
      <c r="K1734" s="7" t="str">
        <f>IFERROR(__xludf.DUMMYFUNCTION("IF('Respuestas de formulario 1'!K1847="""","""",TO_TEXT('Respuestas de formulario 1'!K1847))"),"")</f>
        <v/>
      </c>
      <c r="L1734" s="7" t="str">
        <f>IFERROR(__xludf.DUMMYFUNCTION("IF('Respuestas de formulario 1'!L1847="""","""",TO_TEXT('Respuestas de formulario 1'!L1847))"),"")</f>
        <v/>
      </c>
      <c r="M1734" s="7" t="str">
        <f>IFERROR(__xludf.DUMMYFUNCTION("IF('Respuestas de formulario 1'!M1847="""","""",TO_TEXT('Respuestas de formulario 1'!M1847))"),"")</f>
        <v/>
      </c>
      <c r="N1734" s="7" t="str">
        <f t="shared" si="1"/>
        <v/>
      </c>
      <c r="O1734" s="7" t="str">
        <f t="shared" si="2"/>
        <v/>
      </c>
      <c r="P1734" s="7"/>
    </row>
    <row r="1735">
      <c r="A1735" s="7" t="str">
        <f>'Respuestas de formulario 1'!A1848</f>
        <v/>
      </c>
      <c r="B1735" s="7" t="str">
        <f>'Respuestas de formulario 1'!B1848</f>
        <v/>
      </c>
      <c r="C1735" s="7" t="str">
        <f>'Respuestas de formulario 1'!C1848</f>
        <v/>
      </c>
      <c r="D1735" s="7" t="str">
        <f>'Respuestas de formulario 1'!D1848</f>
        <v/>
      </c>
      <c r="E1735" s="7" t="str">
        <f>'Respuestas de formulario 1'!E1848</f>
        <v/>
      </c>
      <c r="F1735" s="7" t="str">
        <f>'Respuestas de formulario 1'!F1848</f>
        <v/>
      </c>
      <c r="G1735" s="7" t="str">
        <f>IFERROR(__xludf.DUMMYFUNCTION("IF('Respuestas de formulario 1'!G1848="""","""",IF(LEFT(REGEXREPLACE(TO_TEXT('Respuestas de formulario 1'!G1848),""[^0-9]"",""""),2)=""54"",""+""&amp;REGEXREPLACE(TO_TEXT('Respuestas de formulario 1'!G1848),""[^0-9]"",""""),""+54""&amp;REGEXREPLACE(TO_TEXT('Respu"&amp;"estas de formulario 1'!G1848),""[^0-9]"","""")))"),"")</f>
        <v/>
      </c>
      <c r="H1735" s="7" t="str">
        <f>'Respuestas de formulario 1'!S1848</f>
        <v/>
      </c>
      <c r="I1735" s="7" t="str">
        <f>IFERROR(__xludf.DUMMYFUNCTION("IF('Respuestas de formulario 1'!I1848="""","""",TO_TEXT('Respuestas de formulario 1'!I1848))"),"")</f>
        <v/>
      </c>
      <c r="J1735" s="7" t="str">
        <f>IFERROR(__xludf.DUMMYFUNCTION("IF('Respuestas de formulario 1'!J1848&lt;&gt;"""",UPPER(TRIM(TO_TEXT('Respuestas de formulario 1'!J1848))),IF('Respuestas de formulario 1'!O1848&lt;&gt;"""",UPPER(TRIM(TO_TEXT('Respuestas de formulario 1'!O1848))),""""))"),"")</f>
        <v/>
      </c>
      <c r="K1735" s="7" t="str">
        <f>IFERROR(__xludf.DUMMYFUNCTION("IF('Respuestas de formulario 1'!K1848="""","""",TO_TEXT('Respuestas de formulario 1'!K1848))"),"")</f>
        <v/>
      </c>
      <c r="L1735" s="7" t="str">
        <f>IFERROR(__xludf.DUMMYFUNCTION("IF('Respuestas de formulario 1'!L1848="""","""",TO_TEXT('Respuestas de formulario 1'!L1848))"),"")</f>
        <v/>
      </c>
      <c r="M1735" s="7" t="str">
        <f>IFERROR(__xludf.DUMMYFUNCTION("IF('Respuestas de formulario 1'!M1848="""","""",TO_TEXT('Respuestas de formulario 1'!M1848))"),"")</f>
        <v/>
      </c>
      <c r="N1735" s="7" t="str">
        <f t="shared" si="1"/>
        <v/>
      </c>
      <c r="O1735" s="7" t="str">
        <f t="shared" si="2"/>
        <v/>
      </c>
      <c r="P1735" s="7"/>
    </row>
    <row r="1736">
      <c r="A1736" s="7" t="str">
        <f>'Respuestas de formulario 1'!A1849</f>
        <v/>
      </c>
      <c r="B1736" s="7" t="str">
        <f>'Respuestas de formulario 1'!B1849</f>
        <v/>
      </c>
      <c r="C1736" s="7" t="str">
        <f>'Respuestas de formulario 1'!C1849</f>
        <v/>
      </c>
      <c r="D1736" s="7" t="str">
        <f>'Respuestas de formulario 1'!D1849</f>
        <v/>
      </c>
      <c r="E1736" s="7" t="str">
        <f>'Respuestas de formulario 1'!E1849</f>
        <v/>
      </c>
      <c r="F1736" s="7" t="str">
        <f>'Respuestas de formulario 1'!F1849</f>
        <v/>
      </c>
      <c r="G1736" s="7" t="str">
        <f>IFERROR(__xludf.DUMMYFUNCTION("IF('Respuestas de formulario 1'!G1849="""","""",IF(LEFT(REGEXREPLACE(TO_TEXT('Respuestas de formulario 1'!G1849),""[^0-9]"",""""),2)=""54"",""+""&amp;REGEXREPLACE(TO_TEXT('Respuestas de formulario 1'!G1849),""[^0-9]"",""""),""+54""&amp;REGEXREPLACE(TO_TEXT('Respu"&amp;"estas de formulario 1'!G1849),""[^0-9]"","""")))"),"")</f>
        <v/>
      </c>
      <c r="H1736" s="7" t="str">
        <f>'Respuestas de formulario 1'!S1849</f>
        <v/>
      </c>
      <c r="I1736" s="7" t="str">
        <f>IFERROR(__xludf.DUMMYFUNCTION("IF('Respuestas de formulario 1'!I1849="""","""",TO_TEXT('Respuestas de formulario 1'!I1849))"),"")</f>
        <v/>
      </c>
      <c r="J1736" s="7" t="str">
        <f>IFERROR(__xludf.DUMMYFUNCTION("IF('Respuestas de formulario 1'!J1849&lt;&gt;"""",UPPER(TRIM(TO_TEXT('Respuestas de formulario 1'!J1849))),IF('Respuestas de formulario 1'!O1849&lt;&gt;"""",UPPER(TRIM(TO_TEXT('Respuestas de formulario 1'!O1849))),""""))"),"")</f>
        <v/>
      </c>
      <c r="K1736" s="7" t="str">
        <f>IFERROR(__xludf.DUMMYFUNCTION("IF('Respuestas de formulario 1'!K1849="""","""",TO_TEXT('Respuestas de formulario 1'!K1849))"),"")</f>
        <v/>
      </c>
      <c r="L1736" s="7" t="str">
        <f>IFERROR(__xludf.DUMMYFUNCTION("IF('Respuestas de formulario 1'!L1849="""","""",TO_TEXT('Respuestas de formulario 1'!L1849))"),"")</f>
        <v/>
      </c>
      <c r="M1736" s="7" t="str">
        <f>IFERROR(__xludf.DUMMYFUNCTION("IF('Respuestas de formulario 1'!M1849="""","""",TO_TEXT('Respuestas de formulario 1'!M1849))"),"")</f>
        <v/>
      </c>
      <c r="N1736" s="7" t="str">
        <f t="shared" si="1"/>
        <v/>
      </c>
      <c r="O1736" s="7" t="str">
        <f t="shared" si="2"/>
        <v/>
      </c>
      <c r="P1736" s="7"/>
    </row>
    <row r="1737">
      <c r="A1737" s="7" t="str">
        <f>'Respuestas de formulario 1'!A1850</f>
        <v/>
      </c>
      <c r="B1737" s="7" t="str">
        <f>'Respuestas de formulario 1'!B1850</f>
        <v/>
      </c>
      <c r="C1737" s="7" t="str">
        <f>'Respuestas de formulario 1'!C1850</f>
        <v/>
      </c>
      <c r="D1737" s="7" t="str">
        <f>'Respuestas de formulario 1'!D1850</f>
        <v/>
      </c>
      <c r="E1737" s="7" t="str">
        <f>'Respuestas de formulario 1'!E1850</f>
        <v/>
      </c>
      <c r="F1737" s="7" t="str">
        <f>'Respuestas de formulario 1'!F1850</f>
        <v/>
      </c>
      <c r="G1737" s="7" t="str">
        <f>IFERROR(__xludf.DUMMYFUNCTION("IF('Respuestas de formulario 1'!G1850="""","""",IF(LEFT(REGEXREPLACE(TO_TEXT('Respuestas de formulario 1'!G1850),""[^0-9]"",""""),2)=""54"",""+""&amp;REGEXREPLACE(TO_TEXT('Respuestas de formulario 1'!G1850),""[^0-9]"",""""),""+54""&amp;REGEXREPLACE(TO_TEXT('Respu"&amp;"estas de formulario 1'!G1850),""[^0-9]"","""")))"),"")</f>
        <v/>
      </c>
      <c r="H1737" s="7" t="str">
        <f>'Respuestas de formulario 1'!S1850</f>
        <v/>
      </c>
      <c r="I1737" s="7" t="str">
        <f>IFERROR(__xludf.DUMMYFUNCTION("IF('Respuestas de formulario 1'!I1850="""","""",TO_TEXT('Respuestas de formulario 1'!I1850))"),"")</f>
        <v/>
      </c>
      <c r="J1737" s="7" t="str">
        <f>IFERROR(__xludf.DUMMYFUNCTION("IF('Respuestas de formulario 1'!J1850&lt;&gt;"""",UPPER(TRIM(TO_TEXT('Respuestas de formulario 1'!J1850))),IF('Respuestas de formulario 1'!O1850&lt;&gt;"""",UPPER(TRIM(TO_TEXT('Respuestas de formulario 1'!O1850))),""""))"),"")</f>
        <v/>
      </c>
      <c r="K1737" s="7" t="str">
        <f>IFERROR(__xludf.DUMMYFUNCTION("IF('Respuestas de formulario 1'!K1850="""","""",TO_TEXT('Respuestas de formulario 1'!K1850))"),"")</f>
        <v/>
      </c>
      <c r="L1737" s="7" t="str">
        <f>IFERROR(__xludf.DUMMYFUNCTION("IF('Respuestas de formulario 1'!L1850="""","""",TO_TEXT('Respuestas de formulario 1'!L1850))"),"")</f>
        <v/>
      </c>
      <c r="M1737" s="7" t="str">
        <f>IFERROR(__xludf.DUMMYFUNCTION("IF('Respuestas de formulario 1'!M1850="""","""",TO_TEXT('Respuestas de formulario 1'!M1850))"),"")</f>
        <v/>
      </c>
      <c r="N1737" s="7" t="str">
        <f t="shared" si="1"/>
        <v/>
      </c>
      <c r="O1737" s="7" t="str">
        <f t="shared" si="2"/>
        <v/>
      </c>
      <c r="P1737" s="7"/>
    </row>
    <row r="1738">
      <c r="A1738" s="7" t="str">
        <f>'Respuestas de formulario 1'!A1851</f>
        <v/>
      </c>
      <c r="B1738" s="7" t="str">
        <f>'Respuestas de formulario 1'!B1851</f>
        <v/>
      </c>
      <c r="C1738" s="7" t="str">
        <f>'Respuestas de formulario 1'!C1851</f>
        <v/>
      </c>
      <c r="D1738" s="7" t="str">
        <f>'Respuestas de formulario 1'!D1851</f>
        <v/>
      </c>
      <c r="E1738" s="7" t="str">
        <f>'Respuestas de formulario 1'!E1851</f>
        <v/>
      </c>
      <c r="F1738" s="7" t="str">
        <f>'Respuestas de formulario 1'!F1851</f>
        <v/>
      </c>
      <c r="G1738" s="7" t="str">
        <f>IFERROR(__xludf.DUMMYFUNCTION("IF('Respuestas de formulario 1'!G1851="""","""",IF(LEFT(REGEXREPLACE(TO_TEXT('Respuestas de formulario 1'!G1851),""[^0-9]"",""""),2)=""54"",""+""&amp;REGEXREPLACE(TO_TEXT('Respuestas de formulario 1'!G1851),""[^0-9]"",""""),""+54""&amp;REGEXREPLACE(TO_TEXT('Respu"&amp;"estas de formulario 1'!G1851),""[^0-9]"","""")))"),"")</f>
        <v/>
      </c>
      <c r="H1738" s="7" t="str">
        <f>'Respuestas de formulario 1'!S1851</f>
        <v/>
      </c>
      <c r="I1738" s="7" t="str">
        <f>IFERROR(__xludf.DUMMYFUNCTION("IF('Respuestas de formulario 1'!I1851="""","""",TO_TEXT('Respuestas de formulario 1'!I1851))"),"")</f>
        <v/>
      </c>
      <c r="J1738" s="7" t="str">
        <f>IFERROR(__xludf.DUMMYFUNCTION("IF('Respuestas de formulario 1'!J1851&lt;&gt;"""",UPPER(TRIM(TO_TEXT('Respuestas de formulario 1'!J1851))),IF('Respuestas de formulario 1'!O1851&lt;&gt;"""",UPPER(TRIM(TO_TEXT('Respuestas de formulario 1'!O1851))),""""))"),"")</f>
        <v/>
      </c>
      <c r="K1738" s="7" t="str">
        <f>IFERROR(__xludf.DUMMYFUNCTION("IF('Respuestas de formulario 1'!K1851="""","""",TO_TEXT('Respuestas de formulario 1'!K1851))"),"")</f>
        <v/>
      </c>
      <c r="L1738" s="7" t="str">
        <f>IFERROR(__xludf.DUMMYFUNCTION("IF('Respuestas de formulario 1'!L1851="""","""",TO_TEXT('Respuestas de formulario 1'!L1851))"),"")</f>
        <v/>
      </c>
      <c r="M1738" s="7" t="str">
        <f>IFERROR(__xludf.DUMMYFUNCTION("IF('Respuestas de formulario 1'!M1851="""","""",TO_TEXT('Respuestas de formulario 1'!M1851))"),"")</f>
        <v/>
      </c>
      <c r="N1738" s="7" t="str">
        <f t="shared" si="1"/>
        <v/>
      </c>
      <c r="O1738" s="7" t="str">
        <f t="shared" si="2"/>
        <v/>
      </c>
      <c r="P1738" s="7"/>
    </row>
    <row r="1739">
      <c r="A1739" s="7" t="str">
        <f>'Respuestas de formulario 1'!A1852</f>
        <v/>
      </c>
      <c r="B1739" s="7" t="str">
        <f>'Respuestas de formulario 1'!B1852</f>
        <v/>
      </c>
      <c r="C1739" s="7" t="str">
        <f>'Respuestas de formulario 1'!C1852</f>
        <v/>
      </c>
      <c r="D1739" s="7" t="str">
        <f>'Respuestas de formulario 1'!D1852</f>
        <v/>
      </c>
      <c r="E1739" s="7" t="str">
        <f>'Respuestas de formulario 1'!E1852</f>
        <v/>
      </c>
      <c r="F1739" s="7" t="str">
        <f>'Respuestas de formulario 1'!F1852</f>
        <v/>
      </c>
      <c r="G1739" s="7" t="str">
        <f>IFERROR(__xludf.DUMMYFUNCTION("IF('Respuestas de formulario 1'!G1852="""","""",IF(LEFT(REGEXREPLACE(TO_TEXT('Respuestas de formulario 1'!G1852),""[^0-9]"",""""),2)=""54"",""+""&amp;REGEXREPLACE(TO_TEXT('Respuestas de formulario 1'!G1852),""[^0-9]"",""""),""+54""&amp;REGEXREPLACE(TO_TEXT('Respu"&amp;"estas de formulario 1'!G1852),""[^0-9]"","""")))"),"")</f>
        <v/>
      </c>
      <c r="H1739" s="7" t="str">
        <f>'Respuestas de formulario 1'!S1852</f>
        <v/>
      </c>
      <c r="I1739" s="7" t="str">
        <f>IFERROR(__xludf.DUMMYFUNCTION("IF('Respuestas de formulario 1'!I1852="""","""",TO_TEXT('Respuestas de formulario 1'!I1852))"),"")</f>
        <v/>
      </c>
      <c r="J1739" s="7" t="str">
        <f>IFERROR(__xludf.DUMMYFUNCTION("IF('Respuestas de formulario 1'!J1852&lt;&gt;"""",UPPER(TRIM(TO_TEXT('Respuestas de formulario 1'!J1852))),IF('Respuestas de formulario 1'!O1852&lt;&gt;"""",UPPER(TRIM(TO_TEXT('Respuestas de formulario 1'!O1852))),""""))"),"")</f>
        <v/>
      </c>
      <c r="K1739" s="7" t="str">
        <f>IFERROR(__xludf.DUMMYFUNCTION("IF('Respuestas de formulario 1'!K1852="""","""",TO_TEXT('Respuestas de formulario 1'!K1852))"),"")</f>
        <v/>
      </c>
      <c r="L1739" s="7" t="str">
        <f>IFERROR(__xludf.DUMMYFUNCTION("IF('Respuestas de formulario 1'!L1852="""","""",TO_TEXT('Respuestas de formulario 1'!L1852))"),"")</f>
        <v/>
      </c>
      <c r="M1739" s="7" t="str">
        <f>IFERROR(__xludf.DUMMYFUNCTION("IF('Respuestas de formulario 1'!M1852="""","""",TO_TEXT('Respuestas de formulario 1'!M1852))"),"")</f>
        <v/>
      </c>
      <c r="N1739" s="7" t="str">
        <f t="shared" si="1"/>
        <v/>
      </c>
      <c r="O1739" s="7" t="str">
        <f t="shared" si="2"/>
        <v/>
      </c>
      <c r="P1739" s="7"/>
    </row>
    <row r="1740">
      <c r="A1740" s="7" t="str">
        <f>'Respuestas de formulario 1'!A1853</f>
        <v/>
      </c>
      <c r="B1740" s="7" t="str">
        <f>'Respuestas de formulario 1'!B1853</f>
        <v/>
      </c>
      <c r="C1740" s="7" t="str">
        <f>'Respuestas de formulario 1'!C1853</f>
        <v/>
      </c>
      <c r="D1740" s="7" t="str">
        <f>'Respuestas de formulario 1'!D1853</f>
        <v/>
      </c>
      <c r="E1740" s="7" t="str">
        <f>'Respuestas de formulario 1'!E1853</f>
        <v/>
      </c>
      <c r="F1740" s="7" t="str">
        <f>'Respuestas de formulario 1'!F1853</f>
        <v/>
      </c>
      <c r="G1740" s="7" t="str">
        <f>IFERROR(__xludf.DUMMYFUNCTION("IF('Respuestas de formulario 1'!G1853="""","""",IF(LEFT(REGEXREPLACE(TO_TEXT('Respuestas de formulario 1'!G1853),""[^0-9]"",""""),2)=""54"",""+""&amp;REGEXREPLACE(TO_TEXT('Respuestas de formulario 1'!G1853),""[^0-9]"",""""),""+54""&amp;REGEXREPLACE(TO_TEXT('Respu"&amp;"estas de formulario 1'!G1853),""[^0-9]"","""")))"),"")</f>
        <v/>
      </c>
      <c r="H1740" s="7" t="str">
        <f>'Respuestas de formulario 1'!S1853</f>
        <v/>
      </c>
      <c r="I1740" s="7" t="str">
        <f>IFERROR(__xludf.DUMMYFUNCTION("IF('Respuestas de formulario 1'!I1853="""","""",TO_TEXT('Respuestas de formulario 1'!I1853))"),"")</f>
        <v/>
      </c>
      <c r="J1740" s="7" t="str">
        <f>IFERROR(__xludf.DUMMYFUNCTION("IF('Respuestas de formulario 1'!J1853&lt;&gt;"""",UPPER(TRIM(TO_TEXT('Respuestas de formulario 1'!J1853))),IF('Respuestas de formulario 1'!O1853&lt;&gt;"""",UPPER(TRIM(TO_TEXT('Respuestas de formulario 1'!O1853))),""""))"),"")</f>
        <v/>
      </c>
      <c r="K1740" s="7" t="str">
        <f>IFERROR(__xludf.DUMMYFUNCTION("IF('Respuestas de formulario 1'!K1853="""","""",TO_TEXT('Respuestas de formulario 1'!K1853))"),"")</f>
        <v/>
      </c>
      <c r="L1740" s="7" t="str">
        <f>IFERROR(__xludf.DUMMYFUNCTION("IF('Respuestas de formulario 1'!L1853="""","""",TO_TEXT('Respuestas de formulario 1'!L1853))"),"")</f>
        <v/>
      </c>
      <c r="M1740" s="7" t="str">
        <f>IFERROR(__xludf.DUMMYFUNCTION("IF('Respuestas de formulario 1'!M1853="""","""",TO_TEXT('Respuestas de formulario 1'!M1853))"),"")</f>
        <v/>
      </c>
      <c r="N1740" s="7" t="str">
        <f t="shared" si="1"/>
        <v/>
      </c>
      <c r="O1740" s="7" t="str">
        <f t="shared" si="2"/>
        <v/>
      </c>
      <c r="P1740" s="7"/>
    </row>
    <row r="1741">
      <c r="A1741" s="7" t="str">
        <f>'Respuestas de formulario 1'!A1854</f>
        <v/>
      </c>
      <c r="B1741" s="7" t="str">
        <f>'Respuestas de formulario 1'!B1854</f>
        <v/>
      </c>
      <c r="C1741" s="7" t="str">
        <f>'Respuestas de formulario 1'!C1854</f>
        <v/>
      </c>
      <c r="D1741" s="7" t="str">
        <f>'Respuestas de formulario 1'!D1854</f>
        <v/>
      </c>
      <c r="E1741" s="7" t="str">
        <f>'Respuestas de formulario 1'!E1854</f>
        <v/>
      </c>
      <c r="F1741" s="7" t="str">
        <f>'Respuestas de formulario 1'!F1854</f>
        <v/>
      </c>
      <c r="G1741" s="7" t="str">
        <f>IFERROR(__xludf.DUMMYFUNCTION("IF('Respuestas de formulario 1'!G1854="""","""",IF(LEFT(REGEXREPLACE(TO_TEXT('Respuestas de formulario 1'!G1854),""[^0-9]"",""""),2)=""54"",""+""&amp;REGEXREPLACE(TO_TEXT('Respuestas de formulario 1'!G1854),""[^0-9]"",""""),""+54""&amp;REGEXREPLACE(TO_TEXT('Respu"&amp;"estas de formulario 1'!G1854),""[^0-9]"","""")))"),"")</f>
        <v/>
      </c>
      <c r="H1741" s="7" t="str">
        <f>'Respuestas de formulario 1'!S1854</f>
        <v/>
      </c>
      <c r="I1741" s="7" t="str">
        <f>IFERROR(__xludf.DUMMYFUNCTION("IF('Respuestas de formulario 1'!I1854="""","""",TO_TEXT('Respuestas de formulario 1'!I1854))"),"")</f>
        <v/>
      </c>
      <c r="J1741" s="7" t="str">
        <f>IFERROR(__xludf.DUMMYFUNCTION("IF('Respuestas de formulario 1'!J1854&lt;&gt;"""",UPPER(TRIM(TO_TEXT('Respuestas de formulario 1'!J1854))),IF('Respuestas de formulario 1'!O1854&lt;&gt;"""",UPPER(TRIM(TO_TEXT('Respuestas de formulario 1'!O1854))),""""))"),"")</f>
        <v/>
      </c>
      <c r="K1741" s="7" t="str">
        <f>IFERROR(__xludf.DUMMYFUNCTION("IF('Respuestas de formulario 1'!K1854="""","""",TO_TEXT('Respuestas de formulario 1'!K1854))"),"")</f>
        <v/>
      </c>
      <c r="L1741" s="7" t="str">
        <f>IFERROR(__xludf.DUMMYFUNCTION("IF('Respuestas de formulario 1'!L1854="""","""",TO_TEXT('Respuestas de formulario 1'!L1854))"),"")</f>
        <v/>
      </c>
      <c r="M1741" s="7" t="str">
        <f>IFERROR(__xludf.DUMMYFUNCTION("IF('Respuestas de formulario 1'!M1854="""","""",TO_TEXT('Respuestas de formulario 1'!M1854))"),"")</f>
        <v/>
      </c>
      <c r="N1741" s="7" t="str">
        <f t="shared" si="1"/>
        <v/>
      </c>
      <c r="O1741" s="7" t="str">
        <f t="shared" si="2"/>
        <v/>
      </c>
      <c r="P1741" s="7"/>
    </row>
    <row r="1742">
      <c r="A1742" s="7" t="str">
        <f>'Respuestas de formulario 1'!A1855</f>
        <v/>
      </c>
      <c r="B1742" s="7" t="str">
        <f>'Respuestas de formulario 1'!B1855</f>
        <v/>
      </c>
      <c r="C1742" s="7" t="str">
        <f>'Respuestas de formulario 1'!C1855</f>
        <v/>
      </c>
      <c r="D1742" s="7" t="str">
        <f>'Respuestas de formulario 1'!D1855</f>
        <v/>
      </c>
      <c r="E1742" s="7" t="str">
        <f>'Respuestas de formulario 1'!E1855</f>
        <v/>
      </c>
      <c r="F1742" s="7" t="str">
        <f>'Respuestas de formulario 1'!F1855</f>
        <v/>
      </c>
      <c r="G1742" s="7" t="str">
        <f>IFERROR(__xludf.DUMMYFUNCTION("IF('Respuestas de formulario 1'!G1855="""","""",IF(LEFT(REGEXREPLACE(TO_TEXT('Respuestas de formulario 1'!G1855),""[^0-9]"",""""),2)=""54"",""+""&amp;REGEXREPLACE(TO_TEXT('Respuestas de formulario 1'!G1855),""[^0-9]"",""""),""+54""&amp;REGEXREPLACE(TO_TEXT('Respu"&amp;"estas de formulario 1'!G1855),""[^0-9]"","""")))"),"")</f>
        <v/>
      </c>
      <c r="H1742" s="7" t="str">
        <f>'Respuestas de formulario 1'!S1855</f>
        <v/>
      </c>
      <c r="I1742" s="7" t="str">
        <f>IFERROR(__xludf.DUMMYFUNCTION("IF('Respuestas de formulario 1'!I1855="""","""",TO_TEXT('Respuestas de formulario 1'!I1855))"),"")</f>
        <v/>
      </c>
      <c r="J1742" s="7" t="str">
        <f>IFERROR(__xludf.DUMMYFUNCTION("IF('Respuestas de formulario 1'!J1855&lt;&gt;"""",UPPER(TRIM(TO_TEXT('Respuestas de formulario 1'!J1855))),IF('Respuestas de formulario 1'!O1855&lt;&gt;"""",UPPER(TRIM(TO_TEXT('Respuestas de formulario 1'!O1855))),""""))"),"")</f>
        <v/>
      </c>
      <c r="K1742" s="7" t="str">
        <f>IFERROR(__xludf.DUMMYFUNCTION("IF('Respuestas de formulario 1'!K1855="""","""",TO_TEXT('Respuestas de formulario 1'!K1855))"),"")</f>
        <v/>
      </c>
      <c r="L1742" s="7" t="str">
        <f>IFERROR(__xludf.DUMMYFUNCTION("IF('Respuestas de formulario 1'!L1855="""","""",TO_TEXT('Respuestas de formulario 1'!L1855))"),"")</f>
        <v/>
      </c>
      <c r="M1742" s="7" t="str">
        <f>IFERROR(__xludf.DUMMYFUNCTION("IF('Respuestas de formulario 1'!M1855="""","""",TO_TEXT('Respuestas de formulario 1'!M1855))"),"")</f>
        <v/>
      </c>
      <c r="N1742" s="7" t="str">
        <f t="shared" si="1"/>
        <v/>
      </c>
      <c r="O1742" s="7" t="str">
        <f t="shared" si="2"/>
        <v/>
      </c>
      <c r="P1742" s="7"/>
    </row>
    <row r="1743">
      <c r="A1743" s="7" t="str">
        <f>'Respuestas de formulario 1'!A1856</f>
        <v/>
      </c>
      <c r="B1743" s="7" t="str">
        <f>'Respuestas de formulario 1'!B1856</f>
        <v/>
      </c>
      <c r="C1743" s="7" t="str">
        <f>'Respuestas de formulario 1'!C1856</f>
        <v/>
      </c>
      <c r="D1743" s="7" t="str">
        <f>'Respuestas de formulario 1'!D1856</f>
        <v/>
      </c>
      <c r="E1743" s="7" t="str">
        <f>'Respuestas de formulario 1'!E1856</f>
        <v/>
      </c>
      <c r="F1743" s="7" t="str">
        <f>'Respuestas de formulario 1'!F1856</f>
        <v/>
      </c>
      <c r="G1743" s="7" t="str">
        <f>IFERROR(__xludf.DUMMYFUNCTION("IF('Respuestas de formulario 1'!G1856="""","""",IF(LEFT(REGEXREPLACE(TO_TEXT('Respuestas de formulario 1'!G1856),""[^0-9]"",""""),2)=""54"",""+""&amp;REGEXREPLACE(TO_TEXT('Respuestas de formulario 1'!G1856),""[^0-9]"",""""),""+54""&amp;REGEXREPLACE(TO_TEXT('Respu"&amp;"estas de formulario 1'!G1856),""[^0-9]"","""")))"),"")</f>
        <v/>
      </c>
      <c r="H1743" s="7" t="str">
        <f>'Respuestas de formulario 1'!S1856</f>
        <v/>
      </c>
      <c r="I1743" s="7" t="str">
        <f>IFERROR(__xludf.DUMMYFUNCTION("IF('Respuestas de formulario 1'!I1856="""","""",TO_TEXT('Respuestas de formulario 1'!I1856))"),"")</f>
        <v/>
      </c>
      <c r="J1743" s="7" t="str">
        <f>IFERROR(__xludf.DUMMYFUNCTION("IF('Respuestas de formulario 1'!J1856&lt;&gt;"""",UPPER(TRIM(TO_TEXT('Respuestas de formulario 1'!J1856))),IF('Respuestas de formulario 1'!O1856&lt;&gt;"""",UPPER(TRIM(TO_TEXT('Respuestas de formulario 1'!O1856))),""""))"),"")</f>
        <v/>
      </c>
      <c r="K1743" s="7" t="str">
        <f>IFERROR(__xludf.DUMMYFUNCTION("IF('Respuestas de formulario 1'!K1856="""","""",TO_TEXT('Respuestas de formulario 1'!K1856))"),"")</f>
        <v/>
      </c>
      <c r="L1743" s="7" t="str">
        <f>IFERROR(__xludf.DUMMYFUNCTION("IF('Respuestas de formulario 1'!L1856="""","""",TO_TEXT('Respuestas de formulario 1'!L1856))"),"")</f>
        <v/>
      </c>
      <c r="M1743" s="7" t="str">
        <f>IFERROR(__xludf.DUMMYFUNCTION("IF('Respuestas de formulario 1'!M1856="""","""",TO_TEXT('Respuestas de formulario 1'!M1856))"),"")</f>
        <v/>
      </c>
      <c r="N1743" s="7" t="str">
        <f t="shared" si="1"/>
        <v/>
      </c>
      <c r="O1743" s="7" t="str">
        <f t="shared" si="2"/>
        <v/>
      </c>
      <c r="P1743" s="7"/>
    </row>
    <row r="1744">
      <c r="A1744" s="7" t="str">
        <f>'Respuestas de formulario 1'!A1857</f>
        <v/>
      </c>
      <c r="B1744" s="7" t="str">
        <f>'Respuestas de formulario 1'!B1857</f>
        <v/>
      </c>
      <c r="C1744" s="7" t="str">
        <f>'Respuestas de formulario 1'!C1857</f>
        <v/>
      </c>
      <c r="D1744" s="7" t="str">
        <f>'Respuestas de formulario 1'!D1857</f>
        <v/>
      </c>
      <c r="E1744" s="7" t="str">
        <f>'Respuestas de formulario 1'!E1857</f>
        <v/>
      </c>
      <c r="F1744" s="7" t="str">
        <f>'Respuestas de formulario 1'!F1857</f>
        <v/>
      </c>
      <c r="G1744" s="7" t="str">
        <f>IFERROR(__xludf.DUMMYFUNCTION("IF('Respuestas de formulario 1'!G1857="""","""",IF(LEFT(REGEXREPLACE(TO_TEXT('Respuestas de formulario 1'!G1857),""[^0-9]"",""""),2)=""54"",""+""&amp;REGEXREPLACE(TO_TEXT('Respuestas de formulario 1'!G1857),""[^0-9]"",""""),""+54""&amp;REGEXREPLACE(TO_TEXT('Respu"&amp;"estas de formulario 1'!G1857),""[^0-9]"","""")))"),"")</f>
        <v/>
      </c>
      <c r="H1744" s="7" t="str">
        <f>'Respuestas de formulario 1'!S1857</f>
        <v/>
      </c>
      <c r="I1744" s="7" t="str">
        <f>IFERROR(__xludf.DUMMYFUNCTION("IF('Respuestas de formulario 1'!I1857="""","""",TO_TEXT('Respuestas de formulario 1'!I1857))"),"")</f>
        <v/>
      </c>
      <c r="J1744" s="7" t="str">
        <f>IFERROR(__xludf.DUMMYFUNCTION("IF('Respuestas de formulario 1'!J1857&lt;&gt;"""",UPPER(TRIM(TO_TEXT('Respuestas de formulario 1'!J1857))),IF('Respuestas de formulario 1'!O1857&lt;&gt;"""",UPPER(TRIM(TO_TEXT('Respuestas de formulario 1'!O1857))),""""))"),"")</f>
        <v/>
      </c>
      <c r="K1744" s="7" t="str">
        <f>IFERROR(__xludf.DUMMYFUNCTION("IF('Respuestas de formulario 1'!K1857="""","""",TO_TEXT('Respuestas de formulario 1'!K1857))"),"")</f>
        <v/>
      </c>
      <c r="L1744" s="7" t="str">
        <f>IFERROR(__xludf.DUMMYFUNCTION("IF('Respuestas de formulario 1'!L1857="""","""",TO_TEXT('Respuestas de formulario 1'!L1857))"),"")</f>
        <v/>
      </c>
      <c r="M1744" s="7" t="str">
        <f>IFERROR(__xludf.DUMMYFUNCTION("IF('Respuestas de formulario 1'!M1857="""","""",TO_TEXT('Respuestas de formulario 1'!M1857))"),"")</f>
        <v/>
      </c>
      <c r="N1744" s="7" t="str">
        <f t="shared" si="1"/>
        <v/>
      </c>
      <c r="O1744" s="7" t="str">
        <f t="shared" si="2"/>
        <v/>
      </c>
      <c r="P1744" s="7"/>
    </row>
    <row r="1745">
      <c r="A1745" s="7" t="str">
        <f>'Respuestas de formulario 1'!A1858</f>
        <v/>
      </c>
      <c r="B1745" s="7" t="str">
        <f>'Respuestas de formulario 1'!B1858</f>
        <v/>
      </c>
      <c r="C1745" s="7" t="str">
        <f>'Respuestas de formulario 1'!C1858</f>
        <v/>
      </c>
      <c r="D1745" s="7" t="str">
        <f>'Respuestas de formulario 1'!D1858</f>
        <v/>
      </c>
      <c r="E1745" s="7" t="str">
        <f>'Respuestas de formulario 1'!E1858</f>
        <v/>
      </c>
      <c r="F1745" s="7" t="str">
        <f>'Respuestas de formulario 1'!F1858</f>
        <v/>
      </c>
      <c r="G1745" s="7" t="str">
        <f>IFERROR(__xludf.DUMMYFUNCTION("IF('Respuestas de formulario 1'!G1858="""","""",IF(LEFT(REGEXREPLACE(TO_TEXT('Respuestas de formulario 1'!G1858),""[^0-9]"",""""),2)=""54"",""+""&amp;REGEXREPLACE(TO_TEXT('Respuestas de formulario 1'!G1858),""[^0-9]"",""""),""+54""&amp;REGEXREPLACE(TO_TEXT('Respu"&amp;"estas de formulario 1'!G1858),""[^0-9]"","""")))"),"")</f>
        <v/>
      </c>
      <c r="H1745" s="7" t="str">
        <f>'Respuestas de formulario 1'!S1858</f>
        <v/>
      </c>
      <c r="I1745" s="7" t="str">
        <f>IFERROR(__xludf.DUMMYFUNCTION("IF('Respuestas de formulario 1'!I1858="""","""",TO_TEXT('Respuestas de formulario 1'!I1858))"),"")</f>
        <v/>
      </c>
      <c r="J1745" s="7" t="str">
        <f>IFERROR(__xludf.DUMMYFUNCTION("IF('Respuestas de formulario 1'!J1858&lt;&gt;"""",UPPER(TRIM(TO_TEXT('Respuestas de formulario 1'!J1858))),IF('Respuestas de formulario 1'!O1858&lt;&gt;"""",UPPER(TRIM(TO_TEXT('Respuestas de formulario 1'!O1858))),""""))"),"")</f>
        <v/>
      </c>
      <c r="K1745" s="7" t="str">
        <f>IFERROR(__xludf.DUMMYFUNCTION("IF('Respuestas de formulario 1'!K1858="""","""",TO_TEXT('Respuestas de formulario 1'!K1858))"),"")</f>
        <v/>
      </c>
      <c r="L1745" s="7" t="str">
        <f>IFERROR(__xludf.DUMMYFUNCTION("IF('Respuestas de formulario 1'!L1858="""","""",TO_TEXT('Respuestas de formulario 1'!L1858))"),"")</f>
        <v/>
      </c>
      <c r="M1745" s="7" t="str">
        <f>IFERROR(__xludf.DUMMYFUNCTION("IF('Respuestas de formulario 1'!M1858="""","""",TO_TEXT('Respuestas de formulario 1'!M1858))"),"")</f>
        <v/>
      </c>
      <c r="N1745" s="7" t="str">
        <f t="shared" si="1"/>
        <v/>
      </c>
      <c r="O1745" s="7" t="str">
        <f t="shared" si="2"/>
        <v/>
      </c>
      <c r="P1745" s="7"/>
    </row>
    <row r="1746">
      <c r="A1746" s="7" t="str">
        <f>'Respuestas de formulario 1'!A1859</f>
        <v/>
      </c>
      <c r="B1746" s="7" t="str">
        <f>'Respuestas de formulario 1'!B1859</f>
        <v/>
      </c>
      <c r="C1746" s="7" t="str">
        <f>'Respuestas de formulario 1'!C1859</f>
        <v/>
      </c>
      <c r="D1746" s="7" t="str">
        <f>'Respuestas de formulario 1'!D1859</f>
        <v/>
      </c>
      <c r="E1746" s="7" t="str">
        <f>'Respuestas de formulario 1'!E1859</f>
        <v/>
      </c>
      <c r="F1746" s="7" t="str">
        <f>'Respuestas de formulario 1'!F1859</f>
        <v/>
      </c>
      <c r="G1746" s="7" t="str">
        <f>IFERROR(__xludf.DUMMYFUNCTION("IF('Respuestas de formulario 1'!G1859="""","""",IF(LEFT(REGEXREPLACE(TO_TEXT('Respuestas de formulario 1'!G1859),""[^0-9]"",""""),2)=""54"",""+""&amp;REGEXREPLACE(TO_TEXT('Respuestas de formulario 1'!G1859),""[^0-9]"",""""),""+54""&amp;REGEXREPLACE(TO_TEXT('Respu"&amp;"estas de formulario 1'!G1859),""[^0-9]"","""")))"),"")</f>
        <v/>
      </c>
      <c r="H1746" s="7" t="str">
        <f>'Respuestas de formulario 1'!S1859</f>
        <v/>
      </c>
      <c r="I1746" s="7" t="str">
        <f>IFERROR(__xludf.DUMMYFUNCTION("IF('Respuestas de formulario 1'!I1859="""","""",TO_TEXT('Respuestas de formulario 1'!I1859))"),"")</f>
        <v/>
      </c>
      <c r="J1746" s="7" t="str">
        <f>IFERROR(__xludf.DUMMYFUNCTION("IF('Respuestas de formulario 1'!J1859&lt;&gt;"""",UPPER(TRIM(TO_TEXT('Respuestas de formulario 1'!J1859))),IF('Respuestas de formulario 1'!O1859&lt;&gt;"""",UPPER(TRIM(TO_TEXT('Respuestas de formulario 1'!O1859))),""""))"),"")</f>
        <v/>
      </c>
      <c r="K1746" s="7" t="str">
        <f>IFERROR(__xludf.DUMMYFUNCTION("IF('Respuestas de formulario 1'!K1859="""","""",TO_TEXT('Respuestas de formulario 1'!K1859))"),"")</f>
        <v/>
      </c>
      <c r="L1746" s="7" t="str">
        <f>IFERROR(__xludf.DUMMYFUNCTION("IF('Respuestas de formulario 1'!L1859="""","""",TO_TEXT('Respuestas de formulario 1'!L1859))"),"")</f>
        <v/>
      </c>
      <c r="M1746" s="7" t="str">
        <f>IFERROR(__xludf.DUMMYFUNCTION("IF('Respuestas de formulario 1'!M1859="""","""",TO_TEXT('Respuestas de formulario 1'!M1859))"),"")</f>
        <v/>
      </c>
      <c r="N1746" s="7" t="str">
        <f t="shared" si="1"/>
        <v/>
      </c>
      <c r="O1746" s="7" t="str">
        <f t="shared" si="2"/>
        <v/>
      </c>
      <c r="P1746" s="7"/>
    </row>
    <row r="1747">
      <c r="A1747" s="7" t="str">
        <f>'Respuestas de formulario 1'!A1860</f>
        <v/>
      </c>
      <c r="B1747" s="7" t="str">
        <f>'Respuestas de formulario 1'!B1860</f>
        <v/>
      </c>
      <c r="C1747" s="7" t="str">
        <f>'Respuestas de formulario 1'!C1860</f>
        <v/>
      </c>
      <c r="D1747" s="7" t="str">
        <f>'Respuestas de formulario 1'!D1860</f>
        <v/>
      </c>
      <c r="E1747" s="7" t="str">
        <f>'Respuestas de formulario 1'!E1860</f>
        <v/>
      </c>
      <c r="F1747" s="7" t="str">
        <f>'Respuestas de formulario 1'!F1860</f>
        <v/>
      </c>
      <c r="G1747" s="7" t="str">
        <f>IFERROR(__xludf.DUMMYFUNCTION("IF('Respuestas de formulario 1'!G1860="""","""",IF(LEFT(REGEXREPLACE(TO_TEXT('Respuestas de formulario 1'!G1860),""[^0-9]"",""""),2)=""54"",""+""&amp;REGEXREPLACE(TO_TEXT('Respuestas de formulario 1'!G1860),""[^0-9]"",""""),""+54""&amp;REGEXREPLACE(TO_TEXT('Respu"&amp;"estas de formulario 1'!G1860),""[^0-9]"","""")))"),"")</f>
        <v/>
      </c>
      <c r="H1747" s="7" t="str">
        <f>'Respuestas de formulario 1'!S1860</f>
        <v/>
      </c>
      <c r="I1747" s="7" t="str">
        <f>IFERROR(__xludf.DUMMYFUNCTION("IF('Respuestas de formulario 1'!I1860="""","""",TO_TEXT('Respuestas de formulario 1'!I1860))"),"")</f>
        <v/>
      </c>
      <c r="J1747" s="7" t="str">
        <f>IFERROR(__xludf.DUMMYFUNCTION("IF('Respuestas de formulario 1'!J1860&lt;&gt;"""",UPPER(TRIM(TO_TEXT('Respuestas de formulario 1'!J1860))),IF('Respuestas de formulario 1'!O1860&lt;&gt;"""",UPPER(TRIM(TO_TEXT('Respuestas de formulario 1'!O1860))),""""))"),"")</f>
        <v/>
      </c>
      <c r="K1747" s="7" t="str">
        <f>IFERROR(__xludf.DUMMYFUNCTION("IF('Respuestas de formulario 1'!K1860="""","""",TO_TEXT('Respuestas de formulario 1'!K1860))"),"")</f>
        <v/>
      </c>
      <c r="L1747" s="7" t="str">
        <f>IFERROR(__xludf.DUMMYFUNCTION("IF('Respuestas de formulario 1'!L1860="""","""",TO_TEXT('Respuestas de formulario 1'!L1860))"),"")</f>
        <v/>
      </c>
      <c r="M1747" s="7" t="str">
        <f>IFERROR(__xludf.DUMMYFUNCTION("IF('Respuestas de formulario 1'!M1860="""","""",TO_TEXT('Respuestas de formulario 1'!M1860))"),"")</f>
        <v/>
      </c>
      <c r="N1747" s="7" t="str">
        <f t="shared" si="1"/>
        <v/>
      </c>
      <c r="O1747" s="7" t="str">
        <f t="shared" si="2"/>
        <v/>
      </c>
      <c r="P1747" s="7"/>
    </row>
    <row r="1748">
      <c r="A1748" s="7" t="str">
        <f>'Respuestas de formulario 1'!A1861</f>
        <v/>
      </c>
      <c r="B1748" s="7" t="str">
        <f>'Respuestas de formulario 1'!B1861</f>
        <v/>
      </c>
      <c r="C1748" s="7" t="str">
        <f>'Respuestas de formulario 1'!C1861</f>
        <v/>
      </c>
      <c r="D1748" s="7" t="str">
        <f>'Respuestas de formulario 1'!D1861</f>
        <v/>
      </c>
      <c r="E1748" s="7" t="str">
        <f>'Respuestas de formulario 1'!E1861</f>
        <v/>
      </c>
      <c r="F1748" s="7" t="str">
        <f>'Respuestas de formulario 1'!F1861</f>
        <v/>
      </c>
      <c r="G1748" s="7" t="str">
        <f>IFERROR(__xludf.DUMMYFUNCTION("IF('Respuestas de formulario 1'!G1861="""","""",IF(LEFT(REGEXREPLACE(TO_TEXT('Respuestas de formulario 1'!G1861),""[^0-9]"",""""),2)=""54"",""+""&amp;REGEXREPLACE(TO_TEXT('Respuestas de formulario 1'!G1861),""[^0-9]"",""""),""+54""&amp;REGEXREPLACE(TO_TEXT('Respu"&amp;"estas de formulario 1'!G1861),""[^0-9]"","""")))"),"")</f>
        <v/>
      </c>
      <c r="H1748" s="7" t="str">
        <f>'Respuestas de formulario 1'!S1861</f>
        <v/>
      </c>
      <c r="I1748" s="7" t="str">
        <f>IFERROR(__xludf.DUMMYFUNCTION("IF('Respuestas de formulario 1'!I1861="""","""",TO_TEXT('Respuestas de formulario 1'!I1861))"),"")</f>
        <v/>
      </c>
      <c r="J1748" s="7" t="str">
        <f>IFERROR(__xludf.DUMMYFUNCTION("IF('Respuestas de formulario 1'!J1861&lt;&gt;"""",UPPER(TRIM(TO_TEXT('Respuestas de formulario 1'!J1861))),IF('Respuestas de formulario 1'!O1861&lt;&gt;"""",UPPER(TRIM(TO_TEXT('Respuestas de formulario 1'!O1861))),""""))"),"")</f>
        <v/>
      </c>
      <c r="K1748" s="7" t="str">
        <f>IFERROR(__xludf.DUMMYFUNCTION("IF('Respuestas de formulario 1'!K1861="""","""",TO_TEXT('Respuestas de formulario 1'!K1861))"),"")</f>
        <v/>
      </c>
      <c r="L1748" s="7" t="str">
        <f>IFERROR(__xludf.DUMMYFUNCTION("IF('Respuestas de formulario 1'!L1861="""","""",TO_TEXT('Respuestas de formulario 1'!L1861))"),"")</f>
        <v/>
      </c>
      <c r="M1748" s="7" t="str">
        <f>IFERROR(__xludf.DUMMYFUNCTION("IF('Respuestas de formulario 1'!M1861="""","""",TO_TEXT('Respuestas de formulario 1'!M1861))"),"")</f>
        <v/>
      </c>
      <c r="N1748" s="7" t="str">
        <f t="shared" si="1"/>
        <v/>
      </c>
      <c r="O1748" s="7" t="str">
        <f t="shared" si="2"/>
        <v/>
      </c>
      <c r="P1748" s="7"/>
    </row>
    <row r="1749">
      <c r="A1749" s="7" t="str">
        <f>'Respuestas de formulario 1'!A1862</f>
        <v/>
      </c>
      <c r="B1749" s="7" t="str">
        <f>'Respuestas de formulario 1'!B1862</f>
        <v/>
      </c>
      <c r="C1749" s="7" t="str">
        <f>'Respuestas de formulario 1'!C1862</f>
        <v/>
      </c>
      <c r="D1749" s="7" t="str">
        <f>'Respuestas de formulario 1'!D1862</f>
        <v/>
      </c>
      <c r="E1749" s="7" t="str">
        <f>'Respuestas de formulario 1'!E1862</f>
        <v/>
      </c>
      <c r="F1749" s="7" t="str">
        <f>'Respuestas de formulario 1'!F1862</f>
        <v/>
      </c>
      <c r="G1749" s="7" t="str">
        <f>IFERROR(__xludf.DUMMYFUNCTION("IF('Respuestas de formulario 1'!G1862="""","""",IF(LEFT(REGEXREPLACE(TO_TEXT('Respuestas de formulario 1'!G1862),""[^0-9]"",""""),2)=""54"",""+""&amp;REGEXREPLACE(TO_TEXT('Respuestas de formulario 1'!G1862),""[^0-9]"",""""),""+54""&amp;REGEXREPLACE(TO_TEXT('Respu"&amp;"estas de formulario 1'!G1862),""[^0-9]"","""")))"),"")</f>
        <v/>
      </c>
      <c r="H1749" s="7" t="str">
        <f>'Respuestas de formulario 1'!S1862</f>
        <v/>
      </c>
      <c r="I1749" s="7" t="str">
        <f>IFERROR(__xludf.DUMMYFUNCTION("IF('Respuestas de formulario 1'!I1862="""","""",TO_TEXT('Respuestas de formulario 1'!I1862))"),"")</f>
        <v/>
      </c>
      <c r="J1749" s="7" t="str">
        <f>IFERROR(__xludf.DUMMYFUNCTION("IF('Respuestas de formulario 1'!J1862&lt;&gt;"""",UPPER(TRIM(TO_TEXT('Respuestas de formulario 1'!J1862))),IF('Respuestas de formulario 1'!O1862&lt;&gt;"""",UPPER(TRIM(TO_TEXT('Respuestas de formulario 1'!O1862))),""""))"),"")</f>
        <v/>
      </c>
      <c r="K1749" s="7" t="str">
        <f>IFERROR(__xludf.DUMMYFUNCTION("IF('Respuestas de formulario 1'!K1862="""","""",TO_TEXT('Respuestas de formulario 1'!K1862))"),"")</f>
        <v/>
      </c>
      <c r="L1749" s="7" t="str">
        <f>IFERROR(__xludf.DUMMYFUNCTION("IF('Respuestas de formulario 1'!L1862="""","""",TO_TEXT('Respuestas de formulario 1'!L1862))"),"")</f>
        <v/>
      </c>
      <c r="M1749" s="7" t="str">
        <f>IFERROR(__xludf.DUMMYFUNCTION("IF('Respuestas de formulario 1'!M1862="""","""",TO_TEXT('Respuestas de formulario 1'!M1862))"),"")</f>
        <v/>
      </c>
      <c r="N1749" s="7" t="str">
        <f t="shared" si="1"/>
        <v/>
      </c>
      <c r="O1749" s="7" t="str">
        <f t="shared" si="2"/>
        <v/>
      </c>
      <c r="P1749" s="7"/>
    </row>
    <row r="1750">
      <c r="A1750" s="7" t="str">
        <f>'Respuestas de formulario 1'!A1863</f>
        <v/>
      </c>
      <c r="B1750" s="7" t="str">
        <f>'Respuestas de formulario 1'!B1863</f>
        <v/>
      </c>
      <c r="C1750" s="7" t="str">
        <f>'Respuestas de formulario 1'!C1863</f>
        <v/>
      </c>
      <c r="D1750" s="7" t="str">
        <f>'Respuestas de formulario 1'!D1863</f>
        <v/>
      </c>
      <c r="E1750" s="7" t="str">
        <f>'Respuestas de formulario 1'!E1863</f>
        <v/>
      </c>
      <c r="F1750" s="7" t="str">
        <f>'Respuestas de formulario 1'!F1863</f>
        <v/>
      </c>
      <c r="G1750" s="7" t="str">
        <f>IFERROR(__xludf.DUMMYFUNCTION("IF('Respuestas de formulario 1'!G1863="""","""",IF(LEFT(REGEXREPLACE(TO_TEXT('Respuestas de formulario 1'!G1863),""[^0-9]"",""""),2)=""54"",""+""&amp;REGEXREPLACE(TO_TEXT('Respuestas de formulario 1'!G1863),""[^0-9]"",""""),""+54""&amp;REGEXREPLACE(TO_TEXT('Respu"&amp;"estas de formulario 1'!G1863),""[^0-9]"","""")))"),"")</f>
        <v/>
      </c>
      <c r="H1750" s="7" t="str">
        <f>'Respuestas de formulario 1'!S1863</f>
        <v/>
      </c>
      <c r="I1750" s="7" t="str">
        <f>IFERROR(__xludf.DUMMYFUNCTION("IF('Respuestas de formulario 1'!I1863="""","""",TO_TEXT('Respuestas de formulario 1'!I1863))"),"")</f>
        <v/>
      </c>
      <c r="J1750" s="7" t="str">
        <f>IFERROR(__xludf.DUMMYFUNCTION("IF('Respuestas de formulario 1'!J1863&lt;&gt;"""",UPPER(TRIM(TO_TEXT('Respuestas de formulario 1'!J1863))),IF('Respuestas de formulario 1'!O1863&lt;&gt;"""",UPPER(TRIM(TO_TEXT('Respuestas de formulario 1'!O1863))),""""))"),"")</f>
        <v/>
      </c>
      <c r="K1750" s="7" t="str">
        <f>IFERROR(__xludf.DUMMYFUNCTION("IF('Respuestas de formulario 1'!K1863="""","""",TO_TEXT('Respuestas de formulario 1'!K1863))"),"")</f>
        <v/>
      </c>
      <c r="L1750" s="7" t="str">
        <f>IFERROR(__xludf.DUMMYFUNCTION("IF('Respuestas de formulario 1'!L1863="""","""",TO_TEXT('Respuestas de formulario 1'!L1863))"),"")</f>
        <v/>
      </c>
      <c r="M1750" s="7" t="str">
        <f>IFERROR(__xludf.DUMMYFUNCTION("IF('Respuestas de formulario 1'!M1863="""","""",TO_TEXT('Respuestas de formulario 1'!M1863))"),"")</f>
        <v/>
      </c>
      <c r="N1750" s="7" t="str">
        <f t="shared" si="1"/>
        <v/>
      </c>
      <c r="O1750" s="7" t="str">
        <f t="shared" si="2"/>
        <v/>
      </c>
      <c r="P1750" s="7"/>
    </row>
    <row r="1751">
      <c r="A1751" s="7" t="str">
        <f>'Respuestas de formulario 1'!A1864</f>
        <v/>
      </c>
      <c r="B1751" s="7" t="str">
        <f>'Respuestas de formulario 1'!B1864</f>
        <v/>
      </c>
      <c r="C1751" s="7" t="str">
        <f>'Respuestas de formulario 1'!C1864</f>
        <v/>
      </c>
      <c r="D1751" s="7" t="str">
        <f>'Respuestas de formulario 1'!D1864</f>
        <v/>
      </c>
      <c r="E1751" s="7" t="str">
        <f>'Respuestas de formulario 1'!E1864</f>
        <v/>
      </c>
      <c r="F1751" s="7" t="str">
        <f>'Respuestas de formulario 1'!F1864</f>
        <v/>
      </c>
      <c r="G1751" s="7" t="str">
        <f>IFERROR(__xludf.DUMMYFUNCTION("IF('Respuestas de formulario 1'!G1864="""","""",IF(LEFT(REGEXREPLACE(TO_TEXT('Respuestas de formulario 1'!G1864),""[^0-9]"",""""),2)=""54"",""+""&amp;REGEXREPLACE(TO_TEXT('Respuestas de formulario 1'!G1864),""[^0-9]"",""""),""+54""&amp;REGEXREPLACE(TO_TEXT('Respu"&amp;"estas de formulario 1'!G1864),""[^0-9]"","""")))"),"")</f>
        <v/>
      </c>
      <c r="H1751" s="7" t="str">
        <f>'Respuestas de formulario 1'!S1864</f>
        <v/>
      </c>
      <c r="I1751" s="7" t="str">
        <f>IFERROR(__xludf.DUMMYFUNCTION("IF('Respuestas de formulario 1'!I1864="""","""",TO_TEXT('Respuestas de formulario 1'!I1864))"),"")</f>
        <v/>
      </c>
      <c r="J1751" s="7" t="str">
        <f>IFERROR(__xludf.DUMMYFUNCTION("IF('Respuestas de formulario 1'!J1864&lt;&gt;"""",UPPER(TRIM(TO_TEXT('Respuestas de formulario 1'!J1864))),IF('Respuestas de formulario 1'!O1864&lt;&gt;"""",UPPER(TRIM(TO_TEXT('Respuestas de formulario 1'!O1864))),""""))"),"")</f>
        <v/>
      </c>
      <c r="K1751" s="7" t="str">
        <f>IFERROR(__xludf.DUMMYFUNCTION("IF('Respuestas de formulario 1'!K1864="""","""",TO_TEXT('Respuestas de formulario 1'!K1864))"),"")</f>
        <v/>
      </c>
      <c r="L1751" s="7" t="str">
        <f>IFERROR(__xludf.DUMMYFUNCTION("IF('Respuestas de formulario 1'!L1864="""","""",TO_TEXT('Respuestas de formulario 1'!L1864))"),"")</f>
        <v/>
      </c>
      <c r="M1751" s="7" t="str">
        <f>IFERROR(__xludf.DUMMYFUNCTION("IF('Respuestas de formulario 1'!M1864="""","""",TO_TEXT('Respuestas de formulario 1'!M1864))"),"")</f>
        <v/>
      </c>
      <c r="N1751" s="7" t="str">
        <f t="shared" si="1"/>
        <v/>
      </c>
      <c r="O1751" s="7" t="str">
        <f t="shared" si="2"/>
        <v/>
      </c>
      <c r="P1751" s="7"/>
    </row>
    <row r="1752">
      <c r="A1752" s="7" t="str">
        <f>'Respuestas de formulario 1'!A1865</f>
        <v/>
      </c>
      <c r="B1752" s="7" t="str">
        <f>'Respuestas de formulario 1'!B1865</f>
        <v/>
      </c>
      <c r="C1752" s="7" t="str">
        <f>'Respuestas de formulario 1'!C1865</f>
        <v/>
      </c>
      <c r="D1752" s="7" t="str">
        <f>'Respuestas de formulario 1'!D1865</f>
        <v/>
      </c>
      <c r="E1752" s="7" t="str">
        <f>'Respuestas de formulario 1'!E1865</f>
        <v/>
      </c>
      <c r="F1752" s="7" t="str">
        <f>'Respuestas de formulario 1'!F1865</f>
        <v/>
      </c>
      <c r="G1752" s="7" t="str">
        <f>IFERROR(__xludf.DUMMYFUNCTION("IF('Respuestas de formulario 1'!G1865="""","""",IF(LEFT(REGEXREPLACE(TO_TEXT('Respuestas de formulario 1'!G1865),""[^0-9]"",""""),2)=""54"",""+""&amp;REGEXREPLACE(TO_TEXT('Respuestas de formulario 1'!G1865),""[^0-9]"",""""),""+54""&amp;REGEXREPLACE(TO_TEXT('Respu"&amp;"estas de formulario 1'!G1865),""[^0-9]"","""")))"),"")</f>
        <v/>
      </c>
      <c r="H1752" s="7" t="str">
        <f>'Respuestas de formulario 1'!S1865</f>
        <v/>
      </c>
      <c r="I1752" s="7" t="str">
        <f>IFERROR(__xludf.DUMMYFUNCTION("IF('Respuestas de formulario 1'!I1865="""","""",TO_TEXT('Respuestas de formulario 1'!I1865))"),"")</f>
        <v/>
      </c>
      <c r="J1752" s="7" t="str">
        <f>IFERROR(__xludf.DUMMYFUNCTION("IF('Respuestas de formulario 1'!J1865&lt;&gt;"""",UPPER(TRIM(TO_TEXT('Respuestas de formulario 1'!J1865))),IF('Respuestas de formulario 1'!O1865&lt;&gt;"""",UPPER(TRIM(TO_TEXT('Respuestas de formulario 1'!O1865))),""""))"),"")</f>
        <v/>
      </c>
      <c r="K1752" s="7" t="str">
        <f>IFERROR(__xludf.DUMMYFUNCTION("IF('Respuestas de formulario 1'!K1865="""","""",TO_TEXT('Respuestas de formulario 1'!K1865))"),"")</f>
        <v/>
      </c>
      <c r="L1752" s="7" t="str">
        <f>IFERROR(__xludf.DUMMYFUNCTION("IF('Respuestas de formulario 1'!L1865="""","""",TO_TEXT('Respuestas de formulario 1'!L1865))"),"")</f>
        <v/>
      </c>
      <c r="M1752" s="7" t="str">
        <f>IFERROR(__xludf.DUMMYFUNCTION("IF('Respuestas de formulario 1'!M1865="""","""",TO_TEXT('Respuestas de formulario 1'!M1865))"),"")</f>
        <v/>
      </c>
      <c r="N1752" s="7" t="str">
        <f t="shared" si="1"/>
        <v/>
      </c>
      <c r="O1752" s="7" t="str">
        <f t="shared" si="2"/>
        <v/>
      </c>
      <c r="P1752" s="7"/>
    </row>
    <row r="1753">
      <c r="A1753" s="7" t="str">
        <f>'Respuestas de formulario 1'!A1866</f>
        <v/>
      </c>
      <c r="B1753" s="7" t="str">
        <f>'Respuestas de formulario 1'!B1866</f>
        <v/>
      </c>
      <c r="C1753" s="7" t="str">
        <f>'Respuestas de formulario 1'!C1866</f>
        <v/>
      </c>
      <c r="D1753" s="7" t="str">
        <f>'Respuestas de formulario 1'!D1866</f>
        <v/>
      </c>
      <c r="E1753" s="7" t="str">
        <f>'Respuestas de formulario 1'!E1866</f>
        <v/>
      </c>
      <c r="F1753" s="7" t="str">
        <f>'Respuestas de formulario 1'!F1866</f>
        <v/>
      </c>
      <c r="G1753" s="7" t="str">
        <f>IFERROR(__xludf.DUMMYFUNCTION("IF('Respuestas de formulario 1'!G1866="""","""",IF(LEFT(REGEXREPLACE(TO_TEXT('Respuestas de formulario 1'!G1866),""[^0-9]"",""""),2)=""54"",""+""&amp;REGEXREPLACE(TO_TEXT('Respuestas de formulario 1'!G1866),""[^0-9]"",""""),""+54""&amp;REGEXREPLACE(TO_TEXT('Respu"&amp;"estas de formulario 1'!G1866),""[^0-9]"","""")))"),"")</f>
        <v/>
      </c>
      <c r="H1753" s="7" t="str">
        <f>'Respuestas de formulario 1'!S1866</f>
        <v/>
      </c>
      <c r="I1753" s="7" t="str">
        <f>IFERROR(__xludf.DUMMYFUNCTION("IF('Respuestas de formulario 1'!I1866="""","""",TO_TEXT('Respuestas de formulario 1'!I1866))"),"")</f>
        <v/>
      </c>
      <c r="J1753" s="7" t="str">
        <f>IFERROR(__xludf.DUMMYFUNCTION("IF('Respuestas de formulario 1'!J1866&lt;&gt;"""",UPPER(TRIM(TO_TEXT('Respuestas de formulario 1'!J1866))),IF('Respuestas de formulario 1'!O1866&lt;&gt;"""",UPPER(TRIM(TO_TEXT('Respuestas de formulario 1'!O1866))),""""))"),"")</f>
        <v/>
      </c>
      <c r="K1753" s="7" t="str">
        <f>IFERROR(__xludf.DUMMYFUNCTION("IF('Respuestas de formulario 1'!K1866="""","""",TO_TEXT('Respuestas de formulario 1'!K1866))"),"")</f>
        <v/>
      </c>
      <c r="L1753" s="7" t="str">
        <f>IFERROR(__xludf.DUMMYFUNCTION("IF('Respuestas de formulario 1'!L1866="""","""",TO_TEXT('Respuestas de formulario 1'!L1866))"),"")</f>
        <v/>
      </c>
      <c r="M1753" s="7" t="str">
        <f>IFERROR(__xludf.DUMMYFUNCTION("IF('Respuestas de formulario 1'!M1866="""","""",TO_TEXT('Respuestas de formulario 1'!M1866))"),"")</f>
        <v/>
      </c>
      <c r="N1753" s="7" t="str">
        <f t="shared" si="1"/>
        <v/>
      </c>
      <c r="O1753" s="7" t="str">
        <f t="shared" si="2"/>
        <v/>
      </c>
      <c r="P1753" s="7"/>
    </row>
    <row r="1754">
      <c r="A1754" s="7" t="str">
        <f>'Respuestas de formulario 1'!A1867</f>
        <v/>
      </c>
      <c r="B1754" s="7" t="str">
        <f>'Respuestas de formulario 1'!B1867</f>
        <v/>
      </c>
      <c r="C1754" s="7" t="str">
        <f>'Respuestas de formulario 1'!C1867</f>
        <v/>
      </c>
      <c r="D1754" s="7" t="str">
        <f>'Respuestas de formulario 1'!D1867</f>
        <v/>
      </c>
      <c r="E1754" s="7" t="str">
        <f>'Respuestas de formulario 1'!E1867</f>
        <v/>
      </c>
      <c r="F1754" s="7" t="str">
        <f>'Respuestas de formulario 1'!F1867</f>
        <v/>
      </c>
      <c r="G1754" s="7" t="str">
        <f>IFERROR(__xludf.DUMMYFUNCTION("IF('Respuestas de formulario 1'!G1867="""","""",IF(LEFT(REGEXREPLACE(TO_TEXT('Respuestas de formulario 1'!G1867),""[^0-9]"",""""),2)=""54"",""+""&amp;REGEXREPLACE(TO_TEXT('Respuestas de formulario 1'!G1867),""[^0-9]"",""""),""+54""&amp;REGEXREPLACE(TO_TEXT('Respu"&amp;"estas de formulario 1'!G1867),""[^0-9]"","""")))"),"")</f>
        <v/>
      </c>
      <c r="H1754" s="7" t="str">
        <f>'Respuestas de formulario 1'!S1867</f>
        <v/>
      </c>
      <c r="I1754" s="7" t="str">
        <f>IFERROR(__xludf.DUMMYFUNCTION("IF('Respuestas de formulario 1'!I1867="""","""",TO_TEXT('Respuestas de formulario 1'!I1867))"),"")</f>
        <v/>
      </c>
      <c r="J1754" s="7" t="str">
        <f>IFERROR(__xludf.DUMMYFUNCTION("IF('Respuestas de formulario 1'!J1867&lt;&gt;"""",UPPER(TRIM(TO_TEXT('Respuestas de formulario 1'!J1867))),IF('Respuestas de formulario 1'!O1867&lt;&gt;"""",UPPER(TRIM(TO_TEXT('Respuestas de formulario 1'!O1867))),""""))"),"")</f>
        <v/>
      </c>
      <c r="K1754" s="7" t="str">
        <f>IFERROR(__xludf.DUMMYFUNCTION("IF('Respuestas de formulario 1'!K1867="""","""",TO_TEXT('Respuestas de formulario 1'!K1867))"),"")</f>
        <v/>
      </c>
      <c r="L1754" s="7" t="str">
        <f>IFERROR(__xludf.DUMMYFUNCTION("IF('Respuestas de formulario 1'!L1867="""","""",TO_TEXT('Respuestas de formulario 1'!L1867))"),"")</f>
        <v/>
      </c>
      <c r="M1754" s="7" t="str">
        <f>IFERROR(__xludf.DUMMYFUNCTION("IF('Respuestas de formulario 1'!M1867="""","""",TO_TEXT('Respuestas de formulario 1'!M1867))"),"")</f>
        <v/>
      </c>
      <c r="N1754" s="7" t="str">
        <f t="shared" si="1"/>
        <v/>
      </c>
      <c r="O1754" s="7" t="str">
        <f t="shared" si="2"/>
        <v/>
      </c>
      <c r="P1754" s="7"/>
    </row>
    <row r="1755">
      <c r="A1755" s="7" t="str">
        <f>'Respuestas de formulario 1'!A1868</f>
        <v/>
      </c>
      <c r="B1755" s="7" t="str">
        <f>'Respuestas de formulario 1'!B1868</f>
        <v/>
      </c>
      <c r="C1755" s="7" t="str">
        <f>'Respuestas de formulario 1'!C1868</f>
        <v/>
      </c>
      <c r="D1755" s="7" t="str">
        <f>'Respuestas de formulario 1'!D1868</f>
        <v/>
      </c>
      <c r="E1755" s="7" t="str">
        <f>'Respuestas de formulario 1'!E1868</f>
        <v/>
      </c>
      <c r="F1755" s="7" t="str">
        <f>'Respuestas de formulario 1'!F1868</f>
        <v/>
      </c>
      <c r="G1755" s="7" t="str">
        <f>IFERROR(__xludf.DUMMYFUNCTION("IF('Respuestas de formulario 1'!G1868="""","""",IF(LEFT(REGEXREPLACE(TO_TEXT('Respuestas de formulario 1'!G1868),""[^0-9]"",""""),2)=""54"",""+""&amp;REGEXREPLACE(TO_TEXT('Respuestas de formulario 1'!G1868),""[^0-9]"",""""),""+54""&amp;REGEXREPLACE(TO_TEXT('Respu"&amp;"estas de formulario 1'!G1868),""[^0-9]"","""")))"),"")</f>
        <v/>
      </c>
      <c r="H1755" s="7" t="str">
        <f>'Respuestas de formulario 1'!S1868</f>
        <v/>
      </c>
      <c r="I1755" s="7" t="str">
        <f>IFERROR(__xludf.DUMMYFUNCTION("IF('Respuestas de formulario 1'!I1868="""","""",TO_TEXT('Respuestas de formulario 1'!I1868))"),"")</f>
        <v/>
      </c>
      <c r="J1755" s="7" t="str">
        <f>IFERROR(__xludf.DUMMYFUNCTION("IF('Respuestas de formulario 1'!J1868&lt;&gt;"""",UPPER(TRIM(TO_TEXT('Respuestas de formulario 1'!J1868))),IF('Respuestas de formulario 1'!O1868&lt;&gt;"""",UPPER(TRIM(TO_TEXT('Respuestas de formulario 1'!O1868))),""""))"),"")</f>
        <v/>
      </c>
      <c r="K1755" s="7" t="str">
        <f>IFERROR(__xludf.DUMMYFUNCTION("IF('Respuestas de formulario 1'!K1868="""","""",TO_TEXT('Respuestas de formulario 1'!K1868))"),"")</f>
        <v/>
      </c>
      <c r="L1755" s="7" t="str">
        <f>IFERROR(__xludf.DUMMYFUNCTION("IF('Respuestas de formulario 1'!L1868="""","""",TO_TEXT('Respuestas de formulario 1'!L1868))"),"")</f>
        <v/>
      </c>
      <c r="M1755" s="7" t="str">
        <f>IFERROR(__xludf.DUMMYFUNCTION("IF('Respuestas de formulario 1'!M1868="""","""",TO_TEXT('Respuestas de formulario 1'!M1868))"),"")</f>
        <v/>
      </c>
      <c r="N1755" s="7" t="str">
        <f t="shared" si="1"/>
        <v/>
      </c>
      <c r="O1755" s="7" t="str">
        <f t="shared" si="2"/>
        <v/>
      </c>
      <c r="P1755" s="7"/>
    </row>
    <row r="1756">
      <c r="A1756" s="7" t="str">
        <f>'Respuestas de formulario 1'!A1869</f>
        <v/>
      </c>
      <c r="B1756" s="7" t="str">
        <f>'Respuestas de formulario 1'!B1869</f>
        <v/>
      </c>
      <c r="C1756" s="7" t="str">
        <f>'Respuestas de formulario 1'!C1869</f>
        <v/>
      </c>
      <c r="D1756" s="7" t="str">
        <f>'Respuestas de formulario 1'!D1869</f>
        <v/>
      </c>
      <c r="E1756" s="7" t="str">
        <f>'Respuestas de formulario 1'!E1869</f>
        <v/>
      </c>
      <c r="F1756" s="7" t="str">
        <f>'Respuestas de formulario 1'!F1869</f>
        <v/>
      </c>
      <c r="G1756" s="7" t="str">
        <f>IFERROR(__xludf.DUMMYFUNCTION("IF('Respuestas de formulario 1'!G1869="""","""",IF(LEFT(REGEXREPLACE(TO_TEXT('Respuestas de formulario 1'!G1869),""[^0-9]"",""""),2)=""54"",""+""&amp;REGEXREPLACE(TO_TEXT('Respuestas de formulario 1'!G1869),""[^0-9]"",""""),""+54""&amp;REGEXREPLACE(TO_TEXT('Respu"&amp;"estas de formulario 1'!G1869),""[^0-9]"","""")))"),"")</f>
        <v/>
      </c>
      <c r="H1756" s="7" t="str">
        <f>'Respuestas de formulario 1'!S1869</f>
        <v/>
      </c>
      <c r="I1756" s="7" t="str">
        <f>IFERROR(__xludf.DUMMYFUNCTION("IF('Respuestas de formulario 1'!I1869="""","""",TO_TEXT('Respuestas de formulario 1'!I1869))"),"")</f>
        <v/>
      </c>
      <c r="J1756" s="7" t="str">
        <f>IFERROR(__xludf.DUMMYFUNCTION("IF('Respuestas de formulario 1'!J1869&lt;&gt;"""",UPPER(TRIM(TO_TEXT('Respuestas de formulario 1'!J1869))),IF('Respuestas de formulario 1'!O1869&lt;&gt;"""",UPPER(TRIM(TO_TEXT('Respuestas de formulario 1'!O1869))),""""))"),"")</f>
        <v/>
      </c>
      <c r="K1756" s="7" t="str">
        <f>IFERROR(__xludf.DUMMYFUNCTION("IF('Respuestas de formulario 1'!K1869="""","""",TO_TEXT('Respuestas de formulario 1'!K1869))"),"")</f>
        <v/>
      </c>
      <c r="L1756" s="7" t="str">
        <f>IFERROR(__xludf.DUMMYFUNCTION("IF('Respuestas de formulario 1'!L1869="""","""",TO_TEXT('Respuestas de formulario 1'!L1869))"),"")</f>
        <v/>
      </c>
      <c r="M1756" s="7" t="str">
        <f>IFERROR(__xludf.DUMMYFUNCTION("IF('Respuestas de formulario 1'!M1869="""","""",TO_TEXT('Respuestas de formulario 1'!M1869))"),"")</f>
        <v/>
      </c>
      <c r="N1756" s="7" t="str">
        <f t="shared" si="1"/>
        <v/>
      </c>
      <c r="O1756" s="7" t="str">
        <f t="shared" si="2"/>
        <v/>
      </c>
      <c r="P1756" s="7"/>
    </row>
    <row r="1757">
      <c r="A1757" s="7" t="str">
        <f>'Respuestas de formulario 1'!A1870</f>
        <v/>
      </c>
      <c r="B1757" s="7" t="str">
        <f>'Respuestas de formulario 1'!B1870</f>
        <v/>
      </c>
      <c r="C1757" s="7" t="str">
        <f>'Respuestas de formulario 1'!C1870</f>
        <v/>
      </c>
      <c r="D1757" s="7" t="str">
        <f>'Respuestas de formulario 1'!D1870</f>
        <v/>
      </c>
      <c r="E1757" s="7" t="str">
        <f>'Respuestas de formulario 1'!E1870</f>
        <v/>
      </c>
      <c r="F1757" s="7" t="str">
        <f>'Respuestas de formulario 1'!F1870</f>
        <v/>
      </c>
      <c r="G1757" s="7" t="str">
        <f>IFERROR(__xludf.DUMMYFUNCTION("IF('Respuestas de formulario 1'!G1870="""","""",IF(LEFT(REGEXREPLACE(TO_TEXT('Respuestas de formulario 1'!G1870),""[^0-9]"",""""),2)=""54"",""+""&amp;REGEXREPLACE(TO_TEXT('Respuestas de formulario 1'!G1870),""[^0-9]"",""""),""+54""&amp;REGEXREPLACE(TO_TEXT('Respu"&amp;"estas de formulario 1'!G1870),""[^0-9]"","""")))"),"")</f>
        <v/>
      </c>
      <c r="H1757" s="7" t="str">
        <f>'Respuestas de formulario 1'!S1870</f>
        <v/>
      </c>
      <c r="I1757" s="7" t="str">
        <f>IFERROR(__xludf.DUMMYFUNCTION("IF('Respuestas de formulario 1'!I1870="""","""",TO_TEXT('Respuestas de formulario 1'!I1870))"),"")</f>
        <v/>
      </c>
      <c r="J1757" s="7" t="str">
        <f>IFERROR(__xludf.DUMMYFUNCTION("IF('Respuestas de formulario 1'!J1870&lt;&gt;"""",UPPER(TRIM(TO_TEXT('Respuestas de formulario 1'!J1870))),IF('Respuestas de formulario 1'!O1870&lt;&gt;"""",UPPER(TRIM(TO_TEXT('Respuestas de formulario 1'!O1870))),""""))"),"")</f>
        <v/>
      </c>
      <c r="K1757" s="7" t="str">
        <f>IFERROR(__xludf.DUMMYFUNCTION("IF('Respuestas de formulario 1'!K1870="""","""",TO_TEXT('Respuestas de formulario 1'!K1870))"),"")</f>
        <v/>
      </c>
      <c r="L1757" s="7" t="str">
        <f>IFERROR(__xludf.DUMMYFUNCTION("IF('Respuestas de formulario 1'!L1870="""","""",TO_TEXT('Respuestas de formulario 1'!L1870))"),"")</f>
        <v/>
      </c>
      <c r="M1757" s="7" t="str">
        <f>IFERROR(__xludf.DUMMYFUNCTION("IF('Respuestas de formulario 1'!M1870="""","""",TO_TEXT('Respuestas de formulario 1'!M1870))"),"")</f>
        <v/>
      </c>
      <c r="N1757" s="7" t="str">
        <f t="shared" si="1"/>
        <v/>
      </c>
      <c r="O1757" s="7" t="str">
        <f t="shared" si="2"/>
        <v/>
      </c>
      <c r="P1757" s="7"/>
    </row>
    <row r="1758">
      <c r="A1758" s="7" t="str">
        <f>'Respuestas de formulario 1'!A1871</f>
        <v/>
      </c>
      <c r="B1758" s="7" t="str">
        <f>'Respuestas de formulario 1'!B1871</f>
        <v/>
      </c>
      <c r="C1758" s="7" t="str">
        <f>'Respuestas de formulario 1'!C1871</f>
        <v/>
      </c>
      <c r="D1758" s="7" t="str">
        <f>'Respuestas de formulario 1'!D1871</f>
        <v/>
      </c>
      <c r="E1758" s="7" t="str">
        <f>'Respuestas de formulario 1'!E1871</f>
        <v/>
      </c>
      <c r="F1758" s="7" t="str">
        <f>'Respuestas de formulario 1'!F1871</f>
        <v/>
      </c>
      <c r="G1758" s="7" t="str">
        <f>IFERROR(__xludf.DUMMYFUNCTION("IF('Respuestas de formulario 1'!G1871="""","""",IF(LEFT(REGEXREPLACE(TO_TEXT('Respuestas de formulario 1'!G1871),""[^0-9]"",""""),2)=""54"",""+""&amp;REGEXREPLACE(TO_TEXT('Respuestas de formulario 1'!G1871),""[^0-9]"",""""),""+54""&amp;REGEXREPLACE(TO_TEXT('Respu"&amp;"estas de formulario 1'!G1871),""[^0-9]"","""")))"),"")</f>
        <v/>
      </c>
      <c r="H1758" s="7" t="str">
        <f>'Respuestas de formulario 1'!S1871</f>
        <v/>
      </c>
      <c r="I1758" s="7" t="str">
        <f>IFERROR(__xludf.DUMMYFUNCTION("IF('Respuestas de formulario 1'!I1871="""","""",TO_TEXT('Respuestas de formulario 1'!I1871))"),"")</f>
        <v/>
      </c>
      <c r="J1758" s="7" t="str">
        <f>IFERROR(__xludf.DUMMYFUNCTION("IF('Respuestas de formulario 1'!J1871&lt;&gt;"""",UPPER(TRIM(TO_TEXT('Respuestas de formulario 1'!J1871))),IF('Respuestas de formulario 1'!O1871&lt;&gt;"""",UPPER(TRIM(TO_TEXT('Respuestas de formulario 1'!O1871))),""""))"),"")</f>
        <v/>
      </c>
      <c r="K1758" s="7" t="str">
        <f>IFERROR(__xludf.DUMMYFUNCTION("IF('Respuestas de formulario 1'!K1871="""","""",TO_TEXT('Respuestas de formulario 1'!K1871))"),"")</f>
        <v/>
      </c>
      <c r="L1758" s="7" t="str">
        <f>IFERROR(__xludf.DUMMYFUNCTION("IF('Respuestas de formulario 1'!L1871="""","""",TO_TEXT('Respuestas de formulario 1'!L1871))"),"")</f>
        <v/>
      </c>
      <c r="M1758" s="7" t="str">
        <f>IFERROR(__xludf.DUMMYFUNCTION("IF('Respuestas de formulario 1'!M1871="""","""",TO_TEXT('Respuestas de formulario 1'!M1871))"),"")</f>
        <v/>
      </c>
      <c r="N1758" s="7" t="str">
        <f t="shared" si="1"/>
        <v/>
      </c>
      <c r="O1758" s="7" t="str">
        <f t="shared" si="2"/>
        <v/>
      </c>
      <c r="P1758" s="7"/>
    </row>
    <row r="1759">
      <c r="A1759" s="7" t="str">
        <f>'Respuestas de formulario 1'!A1872</f>
        <v/>
      </c>
      <c r="B1759" s="7" t="str">
        <f>'Respuestas de formulario 1'!B1872</f>
        <v/>
      </c>
      <c r="C1759" s="7" t="str">
        <f>'Respuestas de formulario 1'!C1872</f>
        <v/>
      </c>
      <c r="D1759" s="7" t="str">
        <f>'Respuestas de formulario 1'!D1872</f>
        <v/>
      </c>
      <c r="E1759" s="7" t="str">
        <f>'Respuestas de formulario 1'!E1872</f>
        <v/>
      </c>
      <c r="F1759" s="7" t="str">
        <f>'Respuestas de formulario 1'!F1872</f>
        <v/>
      </c>
      <c r="G1759" s="7" t="str">
        <f>IFERROR(__xludf.DUMMYFUNCTION("IF('Respuestas de formulario 1'!G1872="""","""",IF(LEFT(REGEXREPLACE(TO_TEXT('Respuestas de formulario 1'!G1872),""[^0-9]"",""""),2)=""54"",""+""&amp;REGEXREPLACE(TO_TEXT('Respuestas de formulario 1'!G1872),""[^0-9]"",""""),""+54""&amp;REGEXREPLACE(TO_TEXT('Respu"&amp;"estas de formulario 1'!G1872),""[^0-9]"","""")))"),"")</f>
        <v/>
      </c>
      <c r="H1759" s="7" t="str">
        <f>'Respuestas de formulario 1'!S1872</f>
        <v/>
      </c>
      <c r="I1759" s="7" t="str">
        <f>IFERROR(__xludf.DUMMYFUNCTION("IF('Respuestas de formulario 1'!I1872="""","""",TO_TEXT('Respuestas de formulario 1'!I1872))"),"")</f>
        <v/>
      </c>
      <c r="J1759" s="7" t="str">
        <f>IFERROR(__xludf.DUMMYFUNCTION("IF('Respuestas de formulario 1'!J1872&lt;&gt;"""",UPPER(TRIM(TO_TEXT('Respuestas de formulario 1'!J1872))),IF('Respuestas de formulario 1'!O1872&lt;&gt;"""",UPPER(TRIM(TO_TEXT('Respuestas de formulario 1'!O1872))),""""))"),"")</f>
        <v/>
      </c>
      <c r="K1759" s="7" t="str">
        <f>IFERROR(__xludf.DUMMYFUNCTION("IF('Respuestas de formulario 1'!K1872="""","""",TO_TEXT('Respuestas de formulario 1'!K1872))"),"")</f>
        <v/>
      </c>
      <c r="L1759" s="7" t="str">
        <f>IFERROR(__xludf.DUMMYFUNCTION("IF('Respuestas de formulario 1'!L1872="""","""",TO_TEXT('Respuestas de formulario 1'!L1872))"),"")</f>
        <v/>
      </c>
      <c r="M1759" s="7" t="str">
        <f>IFERROR(__xludf.DUMMYFUNCTION("IF('Respuestas de formulario 1'!M1872="""","""",TO_TEXT('Respuestas de formulario 1'!M1872))"),"")</f>
        <v/>
      </c>
      <c r="N1759" s="7" t="str">
        <f t="shared" si="1"/>
        <v/>
      </c>
      <c r="O1759" s="7" t="str">
        <f t="shared" si="2"/>
        <v/>
      </c>
      <c r="P1759" s="7"/>
    </row>
    <row r="1760">
      <c r="A1760" s="7" t="str">
        <f>'Respuestas de formulario 1'!A1873</f>
        <v/>
      </c>
      <c r="B1760" s="7" t="str">
        <f>'Respuestas de formulario 1'!B1873</f>
        <v/>
      </c>
      <c r="C1760" s="7" t="str">
        <f>'Respuestas de formulario 1'!C1873</f>
        <v/>
      </c>
      <c r="D1760" s="7" t="str">
        <f>'Respuestas de formulario 1'!D1873</f>
        <v/>
      </c>
      <c r="E1760" s="7" t="str">
        <f>'Respuestas de formulario 1'!E1873</f>
        <v/>
      </c>
      <c r="F1760" s="7" t="str">
        <f>'Respuestas de formulario 1'!F1873</f>
        <v/>
      </c>
      <c r="G1760" s="7" t="str">
        <f>IFERROR(__xludf.DUMMYFUNCTION("IF('Respuestas de formulario 1'!G1873="""","""",IF(LEFT(REGEXREPLACE(TO_TEXT('Respuestas de formulario 1'!G1873),""[^0-9]"",""""),2)=""54"",""+""&amp;REGEXREPLACE(TO_TEXT('Respuestas de formulario 1'!G1873),""[^0-9]"",""""),""+54""&amp;REGEXREPLACE(TO_TEXT('Respu"&amp;"estas de formulario 1'!G1873),""[^0-9]"","""")))"),"")</f>
        <v/>
      </c>
      <c r="H1760" s="7" t="str">
        <f>'Respuestas de formulario 1'!S1873</f>
        <v/>
      </c>
      <c r="I1760" s="7" t="str">
        <f>IFERROR(__xludf.DUMMYFUNCTION("IF('Respuestas de formulario 1'!I1873="""","""",TO_TEXT('Respuestas de formulario 1'!I1873))"),"")</f>
        <v/>
      </c>
      <c r="J1760" s="7" t="str">
        <f>IFERROR(__xludf.DUMMYFUNCTION("IF('Respuestas de formulario 1'!J1873&lt;&gt;"""",UPPER(TRIM(TO_TEXT('Respuestas de formulario 1'!J1873))),IF('Respuestas de formulario 1'!O1873&lt;&gt;"""",UPPER(TRIM(TO_TEXT('Respuestas de formulario 1'!O1873))),""""))"),"")</f>
        <v/>
      </c>
      <c r="K1760" s="7" t="str">
        <f>IFERROR(__xludf.DUMMYFUNCTION("IF('Respuestas de formulario 1'!K1873="""","""",TO_TEXT('Respuestas de formulario 1'!K1873))"),"")</f>
        <v/>
      </c>
      <c r="L1760" s="7" t="str">
        <f>IFERROR(__xludf.DUMMYFUNCTION("IF('Respuestas de formulario 1'!L1873="""","""",TO_TEXT('Respuestas de formulario 1'!L1873))"),"")</f>
        <v/>
      </c>
      <c r="M1760" s="7" t="str">
        <f>IFERROR(__xludf.DUMMYFUNCTION("IF('Respuestas de formulario 1'!M1873="""","""",TO_TEXT('Respuestas de formulario 1'!M1873))"),"")</f>
        <v/>
      </c>
      <c r="N1760" s="7" t="str">
        <f t="shared" si="1"/>
        <v/>
      </c>
      <c r="O1760" s="7" t="str">
        <f t="shared" si="2"/>
        <v/>
      </c>
      <c r="P1760" s="7"/>
    </row>
    <row r="1761">
      <c r="A1761" s="7" t="str">
        <f>'Respuestas de formulario 1'!A1874</f>
        <v/>
      </c>
      <c r="B1761" s="7" t="str">
        <f>'Respuestas de formulario 1'!B1874</f>
        <v/>
      </c>
      <c r="C1761" s="7" t="str">
        <f>'Respuestas de formulario 1'!C1874</f>
        <v/>
      </c>
      <c r="D1761" s="7" t="str">
        <f>'Respuestas de formulario 1'!D1874</f>
        <v/>
      </c>
      <c r="E1761" s="7" t="str">
        <f>'Respuestas de formulario 1'!E1874</f>
        <v/>
      </c>
      <c r="F1761" s="7" t="str">
        <f>'Respuestas de formulario 1'!F1874</f>
        <v/>
      </c>
      <c r="G1761" s="7" t="str">
        <f>IFERROR(__xludf.DUMMYFUNCTION("IF('Respuestas de formulario 1'!G1874="""","""",IF(LEFT(REGEXREPLACE(TO_TEXT('Respuestas de formulario 1'!G1874),""[^0-9]"",""""),2)=""54"",""+""&amp;REGEXREPLACE(TO_TEXT('Respuestas de formulario 1'!G1874),""[^0-9]"",""""),""+54""&amp;REGEXREPLACE(TO_TEXT('Respu"&amp;"estas de formulario 1'!G1874),""[^0-9]"","""")))"),"")</f>
        <v/>
      </c>
      <c r="H1761" s="7" t="str">
        <f>'Respuestas de formulario 1'!S1874</f>
        <v/>
      </c>
      <c r="I1761" s="7" t="str">
        <f>IFERROR(__xludf.DUMMYFUNCTION("IF('Respuestas de formulario 1'!I1874="""","""",TO_TEXT('Respuestas de formulario 1'!I1874))"),"")</f>
        <v/>
      </c>
      <c r="J1761" s="7" t="str">
        <f>IFERROR(__xludf.DUMMYFUNCTION("IF('Respuestas de formulario 1'!J1874&lt;&gt;"""",UPPER(TRIM(TO_TEXT('Respuestas de formulario 1'!J1874))),IF('Respuestas de formulario 1'!O1874&lt;&gt;"""",UPPER(TRIM(TO_TEXT('Respuestas de formulario 1'!O1874))),""""))"),"")</f>
        <v/>
      </c>
      <c r="K1761" s="7" t="str">
        <f>IFERROR(__xludf.DUMMYFUNCTION("IF('Respuestas de formulario 1'!K1874="""","""",TO_TEXT('Respuestas de formulario 1'!K1874))"),"")</f>
        <v/>
      </c>
      <c r="L1761" s="7" t="str">
        <f>IFERROR(__xludf.DUMMYFUNCTION("IF('Respuestas de formulario 1'!L1874="""","""",TO_TEXT('Respuestas de formulario 1'!L1874))"),"")</f>
        <v/>
      </c>
      <c r="M1761" s="7" t="str">
        <f>IFERROR(__xludf.DUMMYFUNCTION("IF('Respuestas de formulario 1'!M1874="""","""",TO_TEXT('Respuestas de formulario 1'!M1874))"),"")</f>
        <v/>
      </c>
      <c r="N1761" s="7" t="str">
        <f t="shared" si="1"/>
        <v/>
      </c>
      <c r="O1761" s="7" t="str">
        <f t="shared" si="2"/>
        <v/>
      </c>
      <c r="P1761" s="7"/>
    </row>
    <row r="1762">
      <c r="A1762" s="7" t="str">
        <f>'Respuestas de formulario 1'!A1875</f>
        <v/>
      </c>
      <c r="B1762" s="7" t="str">
        <f>'Respuestas de formulario 1'!B1875</f>
        <v/>
      </c>
      <c r="C1762" s="7" t="str">
        <f>'Respuestas de formulario 1'!C1875</f>
        <v/>
      </c>
      <c r="D1762" s="7" t="str">
        <f>'Respuestas de formulario 1'!D1875</f>
        <v/>
      </c>
      <c r="E1762" s="7" t="str">
        <f>'Respuestas de formulario 1'!E1875</f>
        <v/>
      </c>
      <c r="F1762" s="7" t="str">
        <f>'Respuestas de formulario 1'!F1875</f>
        <v/>
      </c>
      <c r="G1762" s="7" t="str">
        <f>IFERROR(__xludf.DUMMYFUNCTION("IF('Respuestas de formulario 1'!G1875="""","""",IF(LEFT(REGEXREPLACE(TO_TEXT('Respuestas de formulario 1'!G1875),""[^0-9]"",""""),2)=""54"",""+""&amp;REGEXREPLACE(TO_TEXT('Respuestas de formulario 1'!G1875),""[^0-9]"",""""),""+54""&amp;REGEXREPLACE(TO_TEXT('Respu"&amp;"estas de formulario 1'!G1875),""[^0-9]"","""")))"),"")</f>
        <v/>
      </c>
      <c r="H1762" s="7" t="str">
        <f>'Respuestas de formulario 1'!S1875</f>
        <v/>
      </c>
      <c r="I1762" s="7" t="str">
        <f>IFERROR(__xludf.DUMMYFUNCTION("IF('Respuestas de formulario 1'!I1875="""","""",TO_TEXT('Respuestas de formulario 1'!I1875))"),"")</f>
        <v/>
      </c>
      <c r="J1762" s="7" t="str">
        <f>IFERROR(__xludf.DUMMYFUNCTION("IF('Respuestas de formulario 1'!J1875&lt;&gt;"""",UPPER(TRIM(TO_TEXT('Respuestas de formulario 1'!J1875))),IF('Respuestas de formulario 1'!O1875&lt;&gt;"""",UPPER(TRIM(TO_TEXT('Respuestas de formulario 1'!O1875))),""""))"),"")</f>
        <v/>
      </c>
      <c r="K1762" s="7" t="str">
        <f>IFERROR(__xludf.DUMMYFUNCTION("IF('Respuestas de formulario 1'!K1875="""","""",TO_TEXT('Respuestas de formulario 1'!K1875))"),"")</f>
        <v/>
      </c>
      <c r="L1762" s="7" t="str">
        <f>IFERROR(__xludf.DUMMYFUNCTION("IF('Respuestas de formulario 1'!L1875="""","""",TO_TEXT('Respuestas de formulario 1'!L1875))"),"")</f>
        <v/>
      </c>
      <c r="M1762" s="7" t="str">
        <f>IFERROR(__xludf.DUMMYFUNCTION("IF('Respuestas de formulario 1'!M1875="""","""",TO_TEXT('Respuestas de formulario 1'!M1875))"),"")</f>
        <v/>
      </c>
      <c r="N1762" s="7" t="str">
        <f t="shared" si="1"/>
        <v/>
      </c>
      <c r="O1762" s="7" t="str">
        <f t="shared" si="2"/>
        <v/>
      </c>
      <c r="P1762" s="7"/>
    </row>
    <row r="1763">
      <c r="A1763" s="7" t="str">
        <f>'Respuestas de formulario 1'!A1876</f>
        <v/>
      </c>
      <c r="B1763" s="7" t="str">
        <f>'Respuestas de formulario 1'!B1876</f>
        <v/>
      </c>
      <c r="C1763" s="7" t="str">
        <f>'Respuestas de formulario 1'!C1876</f>
        <v/>
      </c>
      <c r="D1763" s="7" t="str">
        <f>'Respuestas de formulario 1'!D1876</f>
        <v/>
      </c>
      <c r="E1763" s="7" t="str">
        <f>'Respuestas de formulario 1'!E1876</f>
        <v/>
      </c>
      <c r="F1763" s="7" t="str">
        <f>'Respuestas de formulario 1'!F1876</f>
        <v/>
      </c>
      <c r="G1763" s="7" t="str">
        <f>IFERROR(__xludf.DUMMYFUNCTION("IF('Respuestas de formulario 1'!G1876="""","""",IF(LEFT(REGEXREPLACE(TO_TEXT('Respuestas de formulario 1'!G1876),""[^0-9]"",""""),2)=""54"",""+""&amp;REGEXREPLACE(TO_TEXT('Respuestas de formulario 1'!G1876),""[^0-9]"",""""),""+54""&amp;REGEXREPLACE(TO_TEXT('Respu"&amp;"estas de formulario 1'!G1876),""[^0-9]"","""")))"),"")</f>
        <v/>
      </c>
      <c r="H1763" s="7" t="str">
        <f>'Respuestas de formulario 1'!S1876</f>
        <v/>
      </c>
      <c r="I1763" s="7" t="str">
        <f>IFERROR(__xludf.DUMMYFUNCTION("IF('Respuestas de formulario 1'!I1876="""","""",TO_TEXT('Respuestas de formulario 1'!I1876))"),"")</f>
        <v/>
      </c>
      <c r="J1763" s="7" t="str">
        <f>IFERROR(__xludf.DUMMYFUNCTION("IF('Respuestas de formulario 1'!J1876&lt;&gt;"""",UPPER(TRIM(TO_TEXT('Respuestas de formulario 1'!J1876))),IF('Respuestas de formulario 1'!O1876&lt;&gt;"""",UPPER(TRIM(TO_TEXT('Respuestas de formulario 1'!O1876))),""""))"),"")</f>
        <v/>
      </c>
      <c r="K1763" s="7" t="str">
        <f>IFERROR(__xludf.DUMMYFUNCTION("IF('Respuestas de formulario 1'!K1876="""","""",TO_TEXT('Respuestas de formulario 1'!K1876))"),"")</f>
        <v/>
      </c>
      <c r="L1763" s="7" t="str">
        <f>IFERROR(__xludf.DUMMYFUNCTION("IF('Respuestas de formulario 1'!L1876="""","""",TO_TEXT('Respuestas de formulario 1'!L1876))"),"")</f>
        <v/>
      </c>
      <c r="M1763" s="7" t="str">
        <f>IFERROR(__xludf.DUMMYFUNCTION("IF('Respuestas de formulario 1'!M1876="""","""",TO_TEXT('Respuestas de formulario 1'!M1876))"),"")</f>
        <v/>
      </c>
      <c r="N1763" s="7" t="str">
        <f t="shared" si="1"/>
        <v/>
      </c>
      <c r="O1763" s="7" t="str">
        <f t="shared" si="2"/>
        <v/>
      </c>
      <c r="P1763" s="7"/>
    </row>
    <row r="1764">
      <c r="A1764" s="7" t="str">
        <f>'Respuestas de formulario 1'!A1877</f>
        <v/>
      </c>
      <c r="B1764" s="7" t="str">
        <f>'Respuestas de formulario 1'!B1877</f>
        <v/>
      </c>
      <c r="C1764" s="7" t="str">
        <f>'Respuestas de formulario 1'!C1877</f>
        <v/>
      </c>
      <c r="D1764" s="7" t="str">
        <f>'Respuestas de formulario 1'!D1877</f>
        <v/>
      </c>
      <c r="E1764" s="7" t="str">
        <f>'Respuestas de formulario 1'!E1877</f>
        <v/>
      </c>
      <c r="F1764" s="7" t="str">
        <f>'Respuestas de formulario 1'!F1877</f>
        <v/>
      </c>
      <c r="G1764" s="7" t="str">
        <f>IFERROR(__xludf.DUMMYFUNCTION("IF('Respuestas de formulario 1'!G1877="""","""",IF(LEFT(REGEXREPLACE(TO_TEXT('Respuestas de formulario 1'!G1877),""[^0-9]"",""""),2)=""54"",""+""&amp;REGEXREPLACE(TO_TEXT('Respuestas de formulario 1'!G1877),""[^0-9]"",""""),""+54""&amp;REGEXREPLACE(TO_TEXT('Respu"&amp;"estas de formulario 1'!G1877),""[^0-9]"","""")))"),"")</f>
        <v/>
      </c>
      <c r="H1764" s="7" t="str">
        <f>'Respuestas de formulario 1'!S1877</f>
        <v/>
      </c>
      <c r="I1764" s="7" t="str">
        <f>IFERROR(__xludf.DUMMYFUNCTION("IF('Respuestas de formulario 1'!I1877="""","""",TO_TEXT('Respuestas de formulario 1'!I1877))"),"")</f>
        <v/>
      </c>
      <c r="J1764" s="7" t="str">
        <f>IFERROR(__xludf.DUMMYFUNCTION("IF('Respuestas de formulario 1'!J1877&lt;&gt;"""",UPPER(TRIM(TO_TEXT('Respuestas de formulario 1'!J1877))),IF('Respuestas de formulario 1'!O1877&lt;&gt;"""",UPPER(TRIM(TO_TEXT('Respuestas de formulario 1'!O1877))),""""))"),"")</f>
        <v/>
      </c>
      <c r="K1764" s="7" t="str">
        <f>IFERROR(__xludf.DUMMYFUNCTION("IF('Respuestas de formulario 1'!K1877="""","""",TO_TEXT('Respuestas de formulario 1'!K1877))"),"")</f>
        <v/>
      </c>
      <c r="L1764" s="7" t="str">
        <f>IFERROR(__xludf.DUMMYFUNCTION("IF('Respuestas de formulario 1'!L1877="""","""",TO_TEXT('Respuestas de formulario 1'!L1877))"),"")</f>
        <v/>
      </c>
      <c r="M1764" s="7" t="str">
        <f>IFERROR(__xludf.DUMMYFUNCTION("IF('Respuestas de formulario 1'!M1877="""","""",TO_TEXT('Respuestas de formulario 1'!M1877))"),"")</f>
        <v/>
      </c>
      <c r="N1764" s="7" t="str">
        <f t="shared" si="1"/>
        <v/>
      </c>
      <c r="O1764" s="7" t="str">
        <f t="shared" si="2"/>
        <v/>
      </c>
      <c r="P1764" s="7"/>
    </row>
    <row r="1765">
      <c r="A1765" s="7" t="str">
        <f>'Respuestas de formulario 1'!A1878</f>
        <v/>
      </c>
      <c r="B1765" s="7" t="str">
        <f>'Respuestas de formulario 1'!B1878</f>
        <v/>
      </c>
      <c r="C1765" s="7" t="str">
        <f>'Respuestas de formulario 1'!C1878</f>
        <v/>
      </c>
      <c r="D1765" s="7" t="str">
        <f>'Respuestas de formulario 1'!D1878</f>
        <v/>
      </c>
      <c r="E1765" s="7" t="str">
        <f>'Respuestas de formulario 1'!E1878</f>
        <v/>
      </c>
      <c r="F1765" s="7" t="str">
        <f>'Respuestas de formulario 1'!F1878</f>
        <v/>
      </c>
      <c r="G1765" s="7" t="str">
        <f>IFERROR(__xludf.DUMMYFUNCTION("IF('Respuestas de formulario 1'!G1878="""","""",IF(LEFT(REGEXREPLACE(TO_TEXT('Respuestas de formulario 1'!G1878),""[^0-9]"",""""),2)=""54"",""+""&amp;REGEXREPLACE(TO_TEXT('Respuestas de formulario 1'!G1878),""[^0-9]"",""""),""+54""&amp;REGEXREPLACE(TO_TEXT('Respu"&amp;"estas de formulario 1'!G1878),""[^0-9]"","""")))"),"")</f>
        <v/>
      </c>
      <c r="H1765" s="7" t="str">
        <f>'Respuestas de formulario 1'!S1878</f>
        <v/>
      </c>
      <c r="I1765" s="7" t="str">
        <f>IFERROR(__xludf.DUMMYFUNCTION("IF('Respuestas de formulario 1'!I1878="""","""",TO_TEXT('Respuestas de formulario 1'!I1878))"),"")</f>
        <v/>
      </c>
      <c r="J1765" s="7" t="str">
        <f>IFERROR(__xludf.DUMMYFUNCTION("IF('Respuestas de formulario 1'!J1878&lt;&gt;"""",UPPER(TRIM(TO_TEXT('Respuestas de formulario 1'!J1878))),IF('Respuestas de formulario 1'!O1878&lt;&gt;"""",UPPER(TRIM(TO_TEXT('Respuestas de formulario 1'!O1878))),""""))"),"")</f>
        <v/>
      </c>
      <c r="K1765" s="7" t="str">
        <f>IFERROR(__xludf.DUMMYFUNCTION("IF('Respuestas de formulario 1'!K1878="""","""",TO_TEXT('Respuestas de formulario 1'!K1878))"),"")</f>
        <v/>
      </c>
      <c r="L1765" s="7" t="str">
        <f>IFERROR(__xludf.DUMMYFUNCTION("IF('Respuestas de formulario 1'!L1878="""","""",TO_TEXT('Respuestas de formulario 1'!L1878))"),"")</f>
        <v/>
      </c>
      <c r="M1765" s="7" t="str">
        <f>IFERROR(__xludf.DUMMYFUNCTION("IF('Respuestas de formulario 1'!M1878="""","""",TO_TEXT('Respuestas de formulario 1'!M1878))"),"")</f>
        <v/>
      </c>
      <c r="N1765" s="7" t="str">
        <f t="shared" si="1"/>
        <v/>
      </c>
      <c r="O1765" s="7" t="str">
        <f t="shared" si="2"/>
        <v/>
      </c>
      <c r="P1765" s="7"/>
    </row>
    <row r="1766">
      <c r="A1766" s="7" t="str">
        <f>'Respuestas de formulario 1'!A1879</f>
        <v/>
      </c>
      <c r="B1766" s="7" t="str">
        <f>'Respuestas de formulario 1'!B1879</f>
        <v/>
      </c>
      <c r="C1766" s="7" t="str">
        <f>'Respuestas de formulario 1'!C1879</f>
        <v/>
      </c>
      <c r="D1766" s="7" t="str">
        <f>'Respuestas de formulario 1'!D1879</f>
        <v/>
      </c>
      <c r="E1766" s="7" t="str">
        <f>'Respuestas de formulario 1'!E1879</f>
        <v/>
      </c>
      <c r="F1766" s="7" t="str">
        <f>'Respuestas de formulario 1'!F1879</f>
        <v/>
      </c>
      <c r="G1766" s="7" t="str">
        <f>IFERROR(__xludf.DUMMYFUNCTION("IF('Respuestas de formulario 1'!G1879="""","""",IF(LEFT(REGEXREPLACE(TO_TEXT('Respuestas de formulario 1'!G1879),""[^0-9]"",""""),2)=""54"",""+""&amp;REGEXREPLACE(TO_TEXT('Respuestas de formulario 1'!G1879),""[^0-9]"",""""),""+54""&amp;REGEXREPLACE(TO_TEXT('Respu"&amp;"estas de formulario 1'!G1879),""[^0-9]"","""")))"),"")</f>
        <v/>
      </c>
      <c r="H1766" s="7" t="str">
        <f>'Respuestas de formulario 1'!S1879</f>
        <v/>
      </c>
      <c r="I1766" s="7" t="str">
        <f>IFERROR(__xludf.DUMMYFUNCTION("IF('Respuestas de formulario 1'!I1879="""","""",TO_TEXT('Respuestas de formulario 1'!I1879))"),"")</f>
        <v/>
      </c>
      <c r="J1766" s="7" t="str">
        <f>IFERROR(__xludf.DUMMYFUNCTION("IF('Respuestas de formulario 1'!J1879&lt;&gt;"""",UPPER(TRIM(TO_TEXT('Respuestas de formulario 1'!J1879))),IF('Respuestas de formulario 1'!O1879&lt;&gt;"""",UPPER(TRIM(TO_TEXT('Respuestas de formulario 1'!O1879))),""""))"),"")</f>
        <v/>
      </c>
      <c r="K1766" s="7" t="str">
        <f>IFERROR(__xludf.DUMMYFUNCTION("IF('Respuestas de formulario 1'!K1879="""","""",TO_TEXT('Respuestas de formulario 1'!K1879))"),"")</f>
        <v/>
      </c>
      <c r="L1766" s="7" t="str">
        <f>IFERROR(__xludf.DUMMYFUNCTION("IF('Respuestas de formulario 1'!L1879="""","""",TO_TEXT('Respuestas de formulario 1'!L1879))"),"")</f>
        <v/>
      </c>
      <c r="M1766" s="7" t="str">
        <f>IFERROR(__xludf.DUMMYFUNCTION("IF('Respuestas de formulario 1'!M1879="""","""",TO_TEXT('Respuestas de formulario 1'!M1879))"),"")</f>
        <v/>
      </c>
      <c r="N1766" s="7" t="str">
        <f t="shared" si="1"/>
        <v/>
      </c>
      <c r="O1766" s="7" t="str">
        <f t="shared" si="2"/>
        <v/>
      </c>
      <c r="P1766" s="7"/>
    </row>
    <row r="1767">
      <c r="A1767" s="7" t="str">
        <f>'Respuestas de formulario 1'!A1880</f>
        <v/>
      </c>
      <c r="B1767" s="7" t="str">
        <f>'Respuestas de formulario 1'!B1880</f>
        <v/>
      </c>
      <c r="C1767" s="7" t="str">
        <f>'Respuestas de formulario 1'!C1880</f>
        <v/>
      </c>
      <c r="D1767" s="7" t="str">
        <f>'Respuestas de formulario 1'!D1880</f>
        <v/>
      </c>
      <c r="E1767" s="7" t="str">
        <f>'Respuestas de formulario 1'!E1880</f>
        <v/>
      </c>
      <c r="F1767" s="7" t="str">
        <f>'Respuestas de formulario 1'!F1880</f>
        <v/>
      </c>
      <c r="G1767" s="7" t="str">
        <f>IFERROR(__xludf.DUMMYFUNCTION("IF('Respuestas de formulario 1'!G1880="""","""",IF(LEFT(REGEXREPLACE(TO_TEXT('Respuestas de formulario 1'!G1880),""[^0-9]"",""""),2)=""54"",""+""&amp;REGEXREPLACE(TO_TEXT('Respuestas de formulario 1'!G1880),""[^0-9]"",""""),""+54""&amp;REGEXREPLACE(TO_TEXT('Respu"&amp;"estas de formulario 1'!G1880),""[^0-9]"","""")))"),"")</f>
        <v/>
      </c>
      <c r="H1767" s="7" t="str">
        <f>'Respuestas de formulario 1'!S1880</f>
        <v/>
      </c>
      <c r="I1767" s="7" t="str">
        <f>IFERROR(__xludf.DUMMYFUNCTION("IF('Respuestas de formulario 1'!I1880="""","""",TO_TEXT('Respuestas de formulario 1'!I1880))"),"")</f>
        <v/>
      </c>
      <c r="J1767" s="7" t="str">
        <f>IFERROR(__xludf.DUMMYFUNCTION("IF('Respuestas de formulario 1'!J1880&lt;&gt;"""",UPPER(TRIM(TO_TEXT('Respuestas de formulario 1'!J1880))),IF('Respuestas de formulario 1'!O1880&lt;&gt;"""",UPPER(TRIM(TO_TEXT('Respuestas de formulario 1'!O1880))),""""))"),"")</f>
        <v/>
      </c>
      <c r="K1767" s="7" t="str">
        <f>IFERROR(__xludf.DUMMYFUNCTION("IF('Respuestas de formulario 1'!K1880="""","""",TO_TEXT('Respuestas de formulario 1'!K1880))"),"")</f>
        <v/>
      </c>
      <c r="L1767" s="7" t="str">
        <f>IFERROR(__xludf.DUMMYFUNCTION("IF('Respuestas de formulario 1'!L1880="""","""",TO_TEXT('Respuestas de formulario 1'!L1880))"),"")</f>
        <v/>
      </c>
      <c r="M1767" s="7" t="str">
        <f>IFERROR(__xludf.DUMMYFUNCTION("IF('Respuestas de formulario 1'!M1880="""","""",TO_TEXT('Respuestas de formulario 1'!M1880))"),"")</f>
        <v/>
      </c>
      <c r="N1767" s="7" t="str">
        <f t="shared" si="1"/>
        <v/>
      </c>
      <c r="O1767" s="7" t="str">
        <f t="shared" si="2"/>
        <v/>
      </c>
      <c r="P1767" s="7"/>
    </row>
    <row r="1768">
      <c r="A1768" s="7" t="str">
        <f>'Respuestas de formulario 1'!A1881</f>
        <v/>
      </c>
      <c r="B1768" s="7" t="str">
        <f>'Respuestas de formulario 1'!B1881</f>
        <v/>
      </c>
      <c r="C1768" s="7" t="str">
        <f>'Respuestas de formulario 1'!C1881</f>
        <v/>
      </c>
      <c r="D1768" s="7" t="str">
        <f>'Respuestas de formulario 1'!D1881</f>
        <v/>
      </c>
      <c r="E1768" s="7" t="str">
        <f>'Respuestas de formulario 1'!E1881</f>
        <v/>
      </c>
      <c r="F1768" s="7" t="str">
        <f>'Respuestas de formulario 1'!F1881</f>
        <v/>
      </c>
      <c r="G1768" s="7" t="str">
        <f>IFERROR(__xludf.DUMMYFUNCTION("IF('Respuestas de formulario 1'!G1881="""","""",IF(LEFT(REGEXREPLACE(TO_TEXT('Respuestas de formulario 1'!G1881),""[^0-9]"",""""),2)=""54"",""+""&amp;REGEXREPLACE(TO_TEXT('Respuestas de formulario 1'!G1881),""[^0-9]"",""""),""+54""&amp;REGEXREPLACE(TO_TEXT('Respu"&amp;"estas de formulario 1'!G1881),""[^0-9]"","""")))"),"")</f>
        <v/>
      </c>
      <c r="H1768" s="7" t="str">
        <f>'Respuestas de formulario 1'!S1881</f>
        <v/>
      </c>
      <c r="I1768" s="7" t="str">
        <f>IFERROR(__xludf.DUMMYFUNCTION("IF('Respuestas de formulario 1'!I1881="""","""",TO_TEXT('Respuestas de formulario 1'!I1881))"),"")</f>
        <v/>
      </c>
      <c r="J1768" s="7" t="str">
        <f>IFERROR(__xludf.DUMMYFUNCTION("IF('Respuestas de formulario 1'!J1881&lt;&gt;"""",UPPER(TRIM(TO_TEXT('Respuestas de formulario 1'!J1881))),IF('Respuestas de formulario 1'!O1881&lt;&gt;"""",UPPER(TRIM(TO_TEXT('Respuestas de formulario 1'!O1881))),""""))"),"")</f>
        <v/>
      </c>
      <c r="K1768" s="7" t="str">
        <f>IFERROR(__xludf.DUMMYFUNCTION("IF('Respuestas de formulario 1'!K1881="""","""",TO_TEXT('Respuestas de formulario 1'!K1881))"),"")</f>
        <v/>
      </c>
      <c r="L1768" s="7" t="str">
        <f>IFERROR(__xludf.DUMMYFUNCTION("IF('Respuestas de formulario 1'!L1881="""","""",TO_TEXT('Respuestas de formulario 1'!L1881))"),"")</f>
        <v/>
      </c>
      <c r="M1768" s="7" t="str">
        <f>IFERROR(__xludf.DUMMYFUNCTION("IF('Respuestas de formulario 1'!M1881="""","""",TO_TEXT('Respuestas de formulario 1'!M1881))"),"")</f>
        <v/>
      </c>
      <c r="N1768" s="7" t="str">
        <f t="shared" si="1"/>
        <v/>
      </c>
      <c r="O1768" s="7" t="str">
        <f t="shared" si="2"/>
        <v/>
      </c>
      <c r="P1768" s="7"/>
    </row>
    <row r="1769">
      <c r="A1769" s="7" t="str">
        <f>'Respuestas de formulario 1'!A1882</f>
        <v/>
      </c>
      <c r="B1769" s="7" t="str">
        <f>'Respuestas de formulario 1'!B1882</f>
        <v/>
      </c>
      <c r="C1769" s="7" t="str">
        <f>'Respuestas de formulario 1'!C1882</f>
        <v/>
      </c>
      <c r="D1769" s="7" t="str">
        <f>'Respuestas de formulario 1'!D1882</f>
        <v/>
      </c>
      <c r="E1769" s="7" t="str">
        <f>'Respuestas de formulario 1'!E1882</f>
        <v/>
      </c>
      <c r="F1769" s="7" t="str">
        <f>'Respuestas de formulario 1'!F1882</f>
        <v/>
      </c>
      <c r="G1769" s="7" t="str">
        <f>IFERROR(__xludf.DUMMYFUNCTION("IF('Respuestas de formulario 1'!G1882="""","""",IF(LEFT(REGEXREPLACE(TO_TEXT('Respuestas de formulario 1'!G1882),""[^0-9]"",""""),2)=""54"",""+""&amp;REGEXREPLACE(TO_TEXT('Respuestas de formulario 1'!G1882),""[^0-9]"",""""),""+54""&amp;REGEXREPLACE(TO_TEXT('Respu"&amp;"estas de formulario 1'!G1882),""[^0-9]"","""")))"),"")</f>
        <v/>
      </c>
      <c r="H1769" s="7" t="str">
        <f>'Respuestas de formulario 1'!S1882</f>
        <v/>
      </c>
      <c r="I1769" s="7" t="str">
        <f>IFERROR(__xludf.DUMMYFUNCTION("IF('Respuestas de formulario 1'!I1882="""","""",TO_TEXT('Respuestas de formulario 1'!I1882))"),"")</f>
        <v/>
      </c>
      <c r="J1769" s="7" t="str">
        <f>IFERROR(__xludf.DUMMYFUNCTION("IF('Respuestas de formulario 1'!J1882&lt;&gt;"""",UPPER(TRIM(TO_TEXT('Respuestas de formulario 1'!J1882))),IF('Respuestas de formulario 1'!O1882&lt;&gt;"""",UPPER(TRIM(TO_TEXT('Respuestas de formulario 1'!O1882))),""""))"),"")</f>
        <v/>
      </c>
      <c r="K1769" s="7" t="str">
        <f>IFERROR(__xludf.DUMMYFUNCTION("IF('Respuestas de formulario 1'!K1882="""","""",TO_TEXT('Respuestas de formulario 1'!K1882))"),"")</f>
        <v/>
      </c>
      <c r="L1769" s="7" t="str">
        <f>IFERROR(__xludf.DUMMYFUNCTION("IF('Respuestas de formulario 1'!L1882="""","""",TO_TEXT('Respuestas de formulario 1'!L1882))"),"")</f>
        <v/>
      </c>
      <c r="M1769" s="7" t="str">
        <f>IFERROR(__xludf.DUMMYFUNCTION("IF('Respuestas de formulario 1'!M1882="""","""",TO_TEXT('Respuestas de formulario 1'!M1882))"),"")</f>
        <v/>
      </c>
      <c r="N1769" s="7" t="str">
        <f t="shared" si="1"/>
        <v/>
      </c>
      <c r="O1769" s="7" t="str">
        <f t="shared" si="2"/>
        <v/>
      </c>
      <c r="P1769" s="7"/>
    </row>
    <row r="1770">
      <c r="A1770" s="7" t="str">
        <f>'Respuestas de formulario 1'!A1883</f>
        <v/>
      </c>
      <c r="B1770" s="7" t="str">
        <f>'Respuestas de formulario 1'!B1883</f>
        <v/>
      </c>
      <c r="C1770" s="7" t="str">
        <f>'Respuestas de formulario 1'!C1883</f>
        <v/>
      </c>
      <c r="D1770" s="7" t="str">
        <f>'Respuestas de formulario 1'!D1883</f>
        <v/>
      </c>
      <c r="E1770" s="7" t="str">
        <f>'Respuestas de formulario 1'!E1883</f>
        <v/>
      </c>
      <c r="F1770" s="7" t="str">
        <f>'Respuestas de formulario 1'!F1883</f>
        <v/>
      </c>
      <c r="G1770" s="7" t="str">
        <f>IFERROR(__xludf.DUMMYFUNCTION("IF('Respuestas de formulario 1'!G1883="""","""",IF(LEFT(REGEXREPLACE(TO_TEXT('Respuestas de formulario 1'!G1883),""[^0-9]"",""""),2)=""54"",""+""&amp;REGEXREPLACE(TO_TEXT('Respuestas de formulario 1'!G1883),""[^0-9]"",""""),""+54""&amp;REGEXREPLACE(TO_TEXT('Respu"&amp;"estas de formulario 1'!G1883),""[^0-9]"","""")))"),"")</f>
        <v/>
      </c>
      <c r="H1770" s="7" t="str">
        <f>'Respuestas de formulario 1'!S1883</f>
        <v/>
      </c>
      <c r="I1770" s="7" t="str">
        <f>IFERROR(__xludf.DUMMYFUNCTION("IF('Respuestas de formulario 1'!I1883="""","""",TO_TEXT('Respuestas de formulario 1'!I1883))"),"")</f>
        <v/>
      </c>
      <c r="J1770" s="7" t="str">
        <f>IFERROR(__xludf.DUMMYFUNCTION("IF('Respuestas de formulario 1'!J1883&lt;&gt;"""",UPPER(TRIM(TO_TEXT('Respuestas de formulario 1'!J1883))),IF('Respuestas de formulario 1'!O1883&lt;&gt;"""",UPPER(TRIM(TO_TEXT('Respuestas de formulario 1'!O1883))),""""))"),"")</f>
        <v/>
      </c>
      <c r="K1770" s="7" t="str">
        <f>IFERROR(__xludf.DUMMYFUNCTION("IF('Respuestas de formulario 1'!K1883="""","""",TO_TEXT('Respuestas de formulario 1'!K1883))"),"")</f>
        <v/>
      </c>
      <c r="L1770" s="7" t="str">
        <f>IFERROR(__xludf.DUMMYFUNCTION("IF('Respuestas de formulario 1'!L1883="""","""",TO_TEXT('Respuestas de formulario 1'!L1883))"),"")</f>
        <v/>
      </c>
      <c r="M1770" s="7" t="str">
        <f>IFERROR(__xludf.DUMMYFUNCTION("IF('Respuestas de formulario 1'!M1883="""","""",TO_TEXT('Respuestas de formulario 1'!M1883))"),"")</f>
        <v/>
      </c>
      <c r="N1770" s="7" t="str">
        <f t="shared" si="1"/>
        <v/>
      </c>
      <c r="O1770" s="7" t="str">
        <f t="shared" si="2"/>
        <v/>
      </c>
      <c r="P1770" s="7"/>
    </row>
    <row r="1771">
      <c r="A1771" s="7" t="str">
        <f>'Respuestas de formulario 1'!A1884</f>
        <v/>
      </c>
      <c r="B1771" s="7" t="str">
        <f>'Respuestas de formulario 1'!B1884</f>
        <v/>
      </c>
      <c r="C1771" s="7" t="str">
        <f>'Respuestas de formulario 1'!C1884</f>
        <v/>
      </c>
      <c r="D1771" s="7" t="str">
        <f>'Respuestas de formulario 1'!D1884</f>
        <v/>
      </c>
      <c r="E1771" s="7" t="str">
        <f>'Respuestas de formulario 1'!E1884</f>
        <v/>
      </c>
      <c r="F1771" s="7" t="str">
        <f>'Respuestas de formulario 1'!F1884</f>
        <v/>
      </c>
      <c r="G1771" s="7" t="str">
        <f>IFERROR(__xludf.DUMMYFUNCTION("IF('Respuestas de formulario 1'!G1884="""","""",IF(LEFT(REGEXREPLACE(TO_TEXT('Respuestas de formulario 1'!G1884),""[^0-9]"",""""),2)=""54"",""+""&amp;REGEXREPLACE(TO_TEXT('Respuestas de formulario 1'!G1884),""[^0-9]"",""""),""+54""&amp;REGEXREPLACE(TO_TEXT('Respu"&amp;"estas de formulario 1'!G1884),""[^0-9]"","""")))"),"")</f>
        <v/>
      </c>
      <c r="H1771" s="7" t="str">
        <f>'Respuestas de formulario 1'!S1884</f>
        <v/>
      </c>
      <c r="I1771" s="7" t="str">
        <f>IFERROR(__xludf.DUMMYFUNCTION("IF('Respuestas de formulario 1'!I1884="""","""",TO_TEXT('Respuestas de formulario 1'!I1884))"),"")</f>
        <v/>
      </c>
      <c r="J1771" s="7" t="str">
        <f>IFERROR(__xludf.DUMMYFUNCTION("IF('Respuestas de formulario 1'!J1884&lt;&gt;"""",UPPER(TRIM(TO_TEXT('Respuestas de formulario 1'!J1884))),IF('Respuestas de formulario 1'!O1884&lt;&gt;"""",UPPER(TRIM(TO_TEXT('Respuestas de formulario 1'!O1884))),""""))"),"")</f>
        <v/>
      </c>
      <c r="K1771" s="7" t="str">
        <f>IFERROR(__xludf.DUMMYFUNCTION("IF('Respuestas de formulario 1'!K1884="""","""",TO_TEXT('Respuestas de formulario 1'!K1884))"),"")</f>
        <v/>
      </c>
      <c r="L1771" s="7" t="str">
        <f>IFERROR(__xludf.DUMMYFUNCTION("IF('Respuestas de formulario 1'!L1884="""","""",TO_TEXT('Respuestas de formulario 1'!L1884))"),"")</f>
        <v/>
      </c>
      <c r="M1771" s="7" t="str">
        <f>IFERROR(__xludf.DUMMYFUNCTION("IF('Respuestas de formulario 1'!M1884="""","""",TO_TEXT('Respuestas de formulario 1'!M1884))"),"")</f>
        <v/>
      </c>
      <c r="N1771" s="7" t="str">
        <f t="shared" si="1"/>
        <v/>
      </c>
      <c r="O1771" s="7" t="str">
        <f t="shared" si="2"/>
        <v/>
      </c>
      <c r="P1771" s="7"/>
    </row>
    <row r="1772">
      <c r="A1772" s="7" t="str">
        <f>'Respuestas de formulario 1'!A1885</f>
        <v/>
      </c>
      <c r="B1772" s="7" t="str">
        <f>'Respuestas de formulario 1'!B1885</f>
        <v/>
      </c>
      <c r="C1772" s="7" t="str">
        <f>'Respuestas de formulario 1'!C1885</f>
        <v/>
      </c>
      <c r="D1772" s="7" t="str">
        <f>'Respuestas de formulario 1'!D1885</f>
        <v/>
      </c>
      <c r="E1772" s="7" t="str">
        <f>'Respuestas de formulario 1'!E1885</f>
        <v/>
      </c>
      <c r="F1772" s="7" t="str">
        <f>'Respuestas de formulario 1'!F1885</f>
        <v/>
      </c>
      <c r="G1772" s="7" t="str">
        <f>IFERROR(__xludf.DUMMYFUNCTION("IF('Respuestas de formulario 1'!G1885="""","""",IF(LEFT(REGEXREPLACE(TO_TEXT('Respuestas de formulario 1'!G1885),""[^0-9]"",""""),2)=""54"",""+""&amp;REGEXREPLACE(TO_TEXT('Respuestas de formulario 1'!G1885),""[^0-9]"",""""),""+54""&amp;REGEXREPLACE(TO_TEXT('Respu"&amp;"estas de formulario 1'!G1885),""[^0-9]"","""")))"),"")</f>
        <v/>
      </c>
      <c r="H1772" s="7" t="str">
        <f>'Respuestas de formulario 1'!S1885</f>
        <v/>
      </c>
      <c r="I1772" s="7" t="str">
        <f>IFERROR(__xludf.DUMMYFUNCTION("IF('Respuestas de formulario 1'!I1885="""","""",TO_TEXT('Respuestas de formulario 1'!I1885))"),"")</f>
        <v/>
      </c>
      <c r="J1772" s="7" t="str">
        <f>IFERROR(__xludf.DUMMYFUNCTION("IF('Respuestas de formulario 1'!J1885&lt;&gt;"""",UPPER(TRIM(TO_TEXT('Respuestas de formulario 1'!J1885))),IF('Respuestas de formulario 1'!O1885&lt;&gt;"""",UPPER(TRIM(TO_TEXT('Respuestas de formulario 1'!O1885))),""""))"),"")</f>
        <v/>
      </c>
      <c r="K1772" s="7" t="str">
        <f>IFERROR(__xludf.DUMMYFUNCTION("IF('Respuestas de formulario 1'!K1885="""","""",TO_TEXT('Respuestas de formulario 1'!K1885))"),"")</f>
        <v/>
      </c>
      <c r="L1772" s="7" t="str">
        <f>IFERROR(__xludf.DUMMYFUNCTION("IF('Respuestas de formulario 1'!L1885="""","""",TO_TEXT('Respuestas de formulario 1'!L1885))"),"")</f>
        <v/>
      </c>
      <c r="M1772" s="7" t="str">
        <f>IFERROR(__xludf.DUMMYFUNCTION("IF('Respuestas de formulario 1'!M1885="""","""",TO_TEXT('Respuestas de formulario 1'!M1885))"),"")</f>
        <v/>
      </c>
      <c r="N1772" s="7" t="str">
        <f t="shared" si="1"/>
        <v/>
      </c>
      <c r="O1772" s="7" t="str">
        <f t="shared" si="2"/>
        <v/>
      </c>
      <c r="P1772" s="7"/>
    </row>
    <row r="1773">
      <c r="A1773" s="7" t="str">
        <f>'Respuestas de formulario 1'!A1886</f>
        <v/>
      </c>
      <c r="B1773" s="7" t="str">
        <f>'Respuestas de formulario 1'!B1886</f>
        <v/>
      </c>
      <c r="C1773" s="7" t="str">
        <f>'Respuestas de formulario 1'!C1886</f>
        <v/>
      </c>
      <c r="D1773" s="7" t="str">
        <f>'Respuestas de formulario 1'!D1886</f>
        <v/>
      </c>
      <c r="E1773" s="7" t="str">
        <f>'Respuestas de formulario 1'!E1886</f>
        <v/>
      </c>
      <c r="F1773" s="7" t="str">
        <f>'Respuestas de formulario 1'!F1886</f>
        <v/>
      </c>
      <c r="G1773" s="7" t="str">
        <f>IFERROR(__xludf.DUMMYFUNCTION("IF('Respuestas de formulario 1'!G1886="""","""",IF(LEFT(REGEXREPLACE(TO_TEXT('Respuestas de formulario 1'!G1886),""[^0-9]"",""""),2)=""54"",""+""&amp;REGEXREPLACE(TO_TEXT('Respuestas de formulario 1'!G1886),""[^0-9]"",""""),""+54""&amp;REGEXREPLACE(TO_TEXT('Respu"&amp;"estas de formulario 1'!G1886),""[^0-9]"","""")))"),"")</f>
        <v/>
      </c>
      <c r="H1773" s="7" t="str">
        <f>'Respuestas de formulario 1'!S1886</f>
        <v/>
      </c>
      <c r="I1773" s="7" t="str">
        <f>IFERROR(__xludf.DUMMYFUNCTION("IF('Respuestas de formulario 1'!I1886="""","""",TO_TEXT('Respuestas de formulario 1'!I1886))"),"")</f>
        <v/>
      </c>
      <c r="J1773" s="7" t="str">
        <f>IFERROR(__xludf.DUMMYFUNCTION("IF('Respuestas de formulario 1'!J1886&lt;&gt;"""",UPPER(TRIM(TO_TEXT('Respuestas de formulario 1'!J1886))),IF('Respuestas de formulario 1'!O1886&lt;&gt;"""",UPPER(TRIM(TO_TEXT('Respuestas de formulario 1'!O1886))),""""))"),"")</f>
        <v/>
      </c>
      <c r="K1773" s="7" t="str">
        <f>IFERROR(__xludf.DUMMYFUNCTION("IF('Respuestas de formulario 1'!K1886="""","""",TO_TEXT('Respuestas de formulario 1'!K1886))"),"")</f>
        <v/>
      </c>
      <c r="L1773" s="7" t="str">
        <f>IFERROR(__xludf.DUMMYFUNCTION("IF('Respuestas de formulario 1'!L1886="""","""",TO_TEXT('Respuestas de formulario 1'!L1886))"),"")</f>
        <v/>
      </c>
      <c r="M1773" s="7" t="str">
        <f>IFERROR(__xludf.DUMMYFUNCTION("IF('Respuestas de formulario 1'!M1886="""","""",TO_TEXT('Respuestas de formulario 1'!M1886))"),"")</f>
        <v/>
      </c>
      <c r="N1773" s="7" t="str">
        <f t="shared" si="1"/>
        <v/>
      </c>
      <c r="O1773" s="7" t="str">
        <f t="shared" si="2"/>
        <v/>
      </c>
      <c r="P1773" s="7"/>
    </row>
    <row r="1774">
      <c r="A1774" s="7" t="str">
        <f>'Respuestas de formulario 1'!A1887</f>
        <v/>
      </c>
      <c r="B1774" s="7" t="str">
        <f>'Respuestas de formulario 1'!B1887</f>
        <v/>
      </c>
      <c r="C1774" s="7" t="str">
        <f>'Respuestas de formulario 1'!C1887</f>
        <v/>
      </c>
      <c r="D1774" s="7" t="str">
        <f>'Respuestas de formulario 1'!D1887</f>
        <v/>
      </c>
      <c r="E1774" s="7" t="str">
        <f>'Respuestas de formulario 1'!E1887</f>
        <v/>
      </c>
      <c r="F1774" s="7" t="str">
        <f>'Respuestas de formulario 1'!F1887</f>
        <v/>
      </c>
      <c r="G1774" s="7" t="str">
        <f>IFERROR(__xludf.DUMMYFUNCTION("IF('Respuestas de formulario 1'!G1887="""","""",IF(LEFT(REGEXREPLACE(TO_TEXT('Respuestas de formulario 1'!G1887),""[^0-9]"",""""),2)=""54"",""+""&amp;REGEXREPLACE(TO_TEXT('Respuestas de formulario 1'!G1887),""[^0-9]"",""""),""+54""&amp;REGEXREPLACE(TO_TEXT('Respu"&amp;"estas de formulario 1'!G1887),""[^0-9]"","""")))"),"")</f>
        <v/>
      </c>
      <c r="H1774" s="7" t="str">
        <f>'Respuestas de formulario 1'!S1887</f>
        <v/>
      </c>
      <c r="I1774" s="7" t="str">
        <f>IFERROR(__xludf.DUMMYFUNCTION("IF('Respuestas de formulario 1'!I1887="""","""",TO_TEXT('Respuestas de formulario 1'!I1887))"),"")</f>
        <v/>
      </c>
      <c r="J1774" s="7" t="str">
        <f>IFERROR(__xludf.DUMMYFUNCTION("IF('Respuestas de formulario 1'!J1887&lt;&gt;"""",UPPER(TRIM(TO_TEXT('Respuestas de formulario 1'!J1887))),IF('Respuestas de formulario 1'!O1887&lt;&gt;"""",UPPER(TRIM(TO_TEXT('Respuestas de formulario 1'!O1887))),""""))"),"")</f>
        <v/>
      </c>
      <c r="K1774" s="7" t="str">
        <f>IFERROR(__xludf.DUMMYFUNCTION("IF('Respuestas de formulario 1'!K1887="""","""",TO_TEXT('Respuestas de formulario 1'!K1887))"),"")</f>
        <v/>
      </c>
      <c r="L1774" s="7" t="str">
        <f>IFERROR(__xludf.DUMMYFUNCTION("IF('Respuestas de formulario 1'!L1887="""","""",TO_TEXT('Respuestas de formulario 1'!L1887))"),"")</f>
        <v/>
      </c>
      <c r="M1774" s="7" t="str">
        <f>IFERROR(__xludf.DUMMYFUNCTION("IF('Respuestas de formulario 1'!M1887="""","""",TO_TEXT('Respuestas de formulario 1'!M1887))"),"")</f>
        <v/>
      </c>
      <c r="N1774" s="7" t="str">
        <f t="shared" si="1"/>
        <v/>
      </c>
      <c r="O1774" s="7" t="str">
        <f t="shared" si="2"/>
        <v/>
      </c>
      <c r="P1774" s="7"/>
    </row>
    <row r="1775">
      <c r="A1775" s="7" t="str">
        <f>'Respuestas de formulario 1'!A1888</f>
        <v/>
      </c>
      <c r="B1775" s="7" t="str">
        <f>'Respuestas de formulario 1'!B1888</f>
        <v/>
      </c>
      <c r="C1775" s="7" t="str">
        <f>'Respuestas de formulario 1'!C1888</f>
        <v/>
      </c>
      <c r="D1775" s="7" t="str">
        <f>'Respuestas de formulario 1'!D1888</f>
        <v/>
      </c>
      <c r="E1775" s="7" t="str">
        <f>'Respuestas de formulario 1'!E1888</f>
        <v/>
      </c>
      <c r="F1775" s="7" t="str">
        <f>'Respuestas de formulario 1'!F1888</f>
        <v/>
      </c>
      <c r="G1775" s="7" t="str">
        <f>IFERROR(__xludf.DUMMYFUNCTION("IF('Respuestas de formulario 1'!G1888="""","""",IF(LEFT(REGEXREPLACE(TO_TEXT('Respuestas de formulario 1'!G1888),""[^0-9]"",""""),2)=""54"",""+""&amp;REGEXREPLACE(TO_TEXT('Respuestas de formulario 1'!G1888),""[^0-9]"",""""),""+54""&amp;REGEXREPLACE(TO_TEXT('Respu"&amp;"estas de formulario 1'!G1888),""[^0-9]"","""")))"),"")</f>
        <v/>
      </c>
      <c r="H1775" s="7" t="str">
        <f>'Respuestas de formulario 1'!S1888</f>
        <v/>
      </c>
      <c r="I1775" s="7" t="str">
        <f>IFERROR(__xludf.DUMMYFUNCTION("IF('Respuestas de formulario 1'!I1888="""","""",TO_TEXT('Respuestas de formulario 1'!I1888))"),"")</f>
        <v/>
      </c>
      <c r="J1775" s="7" t="str">
        <f>IFERROR(__xludf.DUMMYFUNCTION("IF('Respuestas de formulario 1'!J1888&lt;&gt;"""",UPPER(TRIM(TO_TEXT('Respuestas de formulario 1'!J1888))),IF('Respuestas de formulario 1'!O1888&lt;&gt;"""",UPPER(TRIM(TO_TEXT('Respuestas de formulario 1'!O1888))),""""))"),"")</f>
        <v/>
      </c>
      <c r="K1775" s="7" t="str">
        <f>IFERROR(__xludf.DUMMYFUNCTION("IF('Respuestas de formulario 1'!K1888="""","""",TO_TEXT('Respuestas de formulario 1'!K1888))"),"")</f>
        <v/>
      </c>
      <c r="L1775" s="7" t="str">
        <f>IFERROR(__xludf.DUMMYFUNCTION("IF('Respuestas de formulario 1'!L1888="""","""",TO_TEXT('Respuestas de formulario 1'!L1888))"),"")</f>
        <v/>
      </c>
      <c r="M1775" s="7" t="str">
        <f>IFERROR(__xludf.DUMMYFUNCTION("IF('Respuestas de formulario 1'!M1888="""","""",TO_TEXT('Respuestas de formulario 1'!M1888))"),"")</f>
        <v/>
      </c>
      <c r="N1775" s="7" t="str">
        <f t="shared" si="1"/>
        <v/>
      </c>
      <c r="O1775" s="7" t="str">
        <f t="shared" si="2"/>
        <v/>
      </c>
      <c r="P1775" s="7"/>
    </row>
    <row r="1776">
      <c r="A1776" s="7" t="str">
        <f>'Respuestas de formulario 1'!A1889</f>
        <v/>
      </c>
      <c r="B1776" s="7" t="str">
        <f>'Respuestas de formulario 1'!B1889</f>
        <v/>
      </c>
      <c r="C1776" s="7" t="str">
        <f>'Respuestas de formulario 1'!C1889</f>
        <v/>
      </c>
      <c r="D1776" s="7" t="str">
        <f>'Respuestas de formulario 1'!D1889</f>
        <v/>
      </c>
      <c r="E1776" s="7" t="str">
        <f>'Respuestas de formulario 1'!E1889</f>
        <v/>
      </c>
      <c r="F1776" s="7" t="str">
        <f>'Respuestas de formulario 1'!F1889</f>
        <v/>
      </c>
      <c r="G1776" s="7" t="str">
        <f>IFERROR(__xludf.DUMMYFUNCTION("IF('Respuestas de formulario 1'!G1889="""","""",IF(LEFT(REGEXREPLACE(TO_TEXT('Respuestas de formulario 1'!G1889),""[^0-9]"",""""),2)=""54"",""+""&amp;REGEXREPLACE(TO_TEXT('Respuestas de formulario 1'!G1889),""[^0-9]"",""""),""+54""&amp;REGEXREPLACE(TO_TEXT('Respu"&amp;"estas de formulario 1'!G1889),""[^0-9]"","""")))"),"")</f>
        <v/>
      </c>
      <c r="H1776" s="7" t="str">
        <f>'Respuestas de formulario 1'!S1889</f>
        <v/>
      </c>
      <c r="I1776" s="7" t="str">
        <f>IFERROR(__xludf.DUMMYFUNCTION("IF('Respuestas de formulario 1'!I1889="""","""",TO_TEXT('Respuestas de formulario 1'!I1889))"),"")</f>
        <v/>
      </c>
      <c r="J1776" s="7" t="str">
        <f>IFERROR(__xludf.DUMMYFUNCTION("IF('Respuestas de formulario 1'!J1889&lt;&gt;"""",UPPER(TRIM(TO_TEXT('Respuestas de formulario 1'!J1889))),IF('Respuestas de formulario 1'!O1889&lt;&gt;"""",UPPER(TRIM(TO_TEXT('Respuestas de formulario 1'!O1889))),""""))"),"")</f>
        <v/>
      </c>
      <c r="K1776" s="7" t="str">
        <f>IFERROR(__xludf.DUMMYFUNCTION("IF('Respuestas de formulario 1'!K1889="""","""",TO_TEXT('Respuestas de formulario 1'!K1889))"),"")</f>
        <v/>
      </c>
      <c r="L1776" s="7" t="str">
        <f>IFERROR(__xludf.DUMMYFUNCTION("IF('Respuestas de formulario 1'!L1889="""","""",TO_TEXT('Respuestas de formulario 1'!L1889))"),"")</f>
        <v/>
      </c>
      <c r="M1776" s="7" t="str">
        <f>IFERROR(__xludf.DUMMYFUNCTION("IF('Respuestas de formulario 1'!M1889="""","""",TO_TEXT('Respuestas de formulario 1'!M1889))"),"")</f>
        <v/>
      </c>
      <c r="N1776" s="7" t="str">
        <f t="shared" si="1"/>
        <v/>
      </c>
      <c r="O1776" s="7" t="str">
        <f t="shared" si="2"/>
        <v/>
      </c>
      <c r="P1776" s="7"/>
    </row>
    <row r="1777">
      <c r="A1777" s="7" t="str">
        <f>'Respuestas de formulario 1'!A1890</f>
        <v/>
      </c>
      <c r="B1777" s="7" t="str">
        <f>'Respuestas de formulario 1'!B1890</f>
        <v/>
      </c>
      <c r="C1777" s="7" t="str">
        <f>'Respuestas de formulario 1'!C1890</f>
        <v/>
      </c>
      <c r="D1777" s="7" t="str">
        <f>'Respuestas de formulario 1'!D1890</f>
        <v/>
      </c>
      <c r="E1777" s="7" t="str">
        <f>'Respuestas de formulario 1'!E1890</f>
        <v/>
      </c>
      <c r="F1777" s="7" t="str">
        <f>'Respuestas de formulario 1'!F1890</f>
        <v/>
      </c>
      <c r="G1777" s="7" t="str">
        <f>IFERROR(__xludf.DUMMYFUNCTION("IF('Respuestas de formulario 1'!G1890="""","""",IF(LEFT(REGEXREPLACE(TO_TEXT('Respuestas de formulario 1'!G1890),""[^0-9]"",""""),2)=""54"",""+""&amp;REGEXREPLACE(TO_TEXT('Respuestas de formulario 1'!G1890),""[^0-9]"",""""),""+54""&amp;REGEXREPLACE(TO_TEXT('Respu"&amp;"estas de formulario 1'!G1890),""[^0-9]"","""")))"),"")</f>
        <v/>
      </c>
      <c r="H1777" s="7" t="str">
        <f>'Respuestas de formulario 1'!S1890</f>
        <v/>
      </c>
      <c r="I1777" s="7" t="str">
        <f>IFERROR(__xludf.DUMMYFUNCTION("IF('Respuestas de formulario 1'!I1890="""","""",TO_TEXT('Respuestas de formulario 1'!I1890))"),"")</f>
        <v/>
      </c>
      <c r="J1777" s="7" t="str">
        <f>IFERROR(__xludf.DUMMYFUNCTION("IF('Respuestas de formulario 1'!J1890&lt;&gt;"""",UPPER(TRIM(TO_TEXT('Respuestas de formulario 1'!J1890))),IF('Respuestas de formulario 1'!O1890&lt;&gt;"""",UPPER(TRIM(TO_TEXT('Respuestas de formulario 1'!O1890))),""""))"),"")</f>
        <v/>
      </c>
      <c r="K1777" s="7" t="str">
        <f>IFERROR(__xludf.DUMMYFUNCTION("IF('Respuestas de formulario 1'!K1890="""","""",TO_TEXT('Respuestas de formulario 1'!K1890))"),"")</f>
        <v/>
      </c>
      <c r="L1777" s="7" t="str">
        <f>IFERROR(__xludf.DUMMYFUNCTION("IF('Respuestas de formulario 1'!L1890="""","""",TO_TEXT('Respuestas de formulario 1'!L1890))"),"")</f>
        <v/>
      </c>
      <c r="M1777" s="7" t="str">
        <f>IFERROR(__xludf.DUMMYFUNCTION("IF('Respuestas de formulario 1'!M1890="""","""",TO_TEXT('Respuestas de formulario 1'!M1890))"),"")</f>
        <v/>
      </c>
      <c r="N1777" s="7" t="str">
        <f t="shared" si="1"/>
        <v/>
      </c>
      <c r="O1777" s="7" t="str">
        <f t="shared" si="2"/>
        <v/>
      </c>
      <c r="P1777" s="7"/>
    </row>
    <row r="1778">
      <c r="A1778" s="7" t="str">
        <f>'Respuestas de formulario 1'!A1891</f>
        <v/>
      </c>
      <c r="B1778" s="7" t="str">
        <f>'Respuestas de formulario 1'!B1891</f>
        <v/>
      </c>
      <c r="C1778" s="7" t="str">
        <f>'Respuestas de formulario 1'!C1891</f>
        <v/>
      </c>
      <c r="D1778" s="7" t="str">
        <f>'Respuestas de formulario 1'!D1891</f>
        <v/>
      </c>
      <c r="E1778" s="7" t="str">
        <f>'Respuestas de formulario 1'!E1891</f>
        <v/>
      </c>
      <c r="F1778" s="7" t="str">
        <f>'Respuestas de formulario 1'!F1891</f>
        <v/>
      </c>
      <c r="G1778" s="7" t="str">
        <f>IFERROR(__xludf.DUMMYFUNCTION("IF('Respuestas de formulario 1'!G1891="""","""",IF(LEFT(REGEXREPLACE(TO_TEXT('Respuestas de formulario 1'!G1891),""[^0-9]"",""""),2)=""54"",""+""&amp;REGEXREPLACE(TO_TEXT('Respuestas de formulario 1'!G1891),""[^0-9]"",""""),""+54""&amp;REGEXREPLACE(TO_TEXT('Respu"&amp;"estas de formulario 1'!G1891),""[^0-9]"","""")))"),"")</f>
        <v/>
      </c>
      <c r="H1778" s="7" t="str">
        <f>'Respuestas de formulario 1'!S1891</f>
        <v/>
      </c>
      <c r="I1778" s="7" t="str">
        <f>IFERROR(__xludf.DUMMYFUNCTION("IF('Respuestas de formulario 1'!I1891="""","""",TO_TEXT('Respuestas de formulario 1'!I1891))"),"")</f>
        <v/>
      </c>
      <c r="J1778" s="7" t="str">
        <f>IFERROR(__xludf.DUMMYFUNCTION("IF('Respuestas de formulario 1'!J1891&lt;&gt;"""",UPPER(TRIM(TO_TEXT('Respuestas de formulario 1'!J1891))),IF('Respuestas de formulario 1'!O1891&lt;&gt;"""",UPPER(TRIM(TO_TEXT('Respuestas de formulario 1'!O1891))),""""))"),"")</f>
        <v/>
      </c>
      <c r="K1778" s="7" t="str">
        <f>IFERROR(__xludf.DUMMYFUNCTION("IF('Respuestas de formulario 1'!K1891="""","""",TO_TEXT('Respuestas de formulario 1'!K1891))"),"")</f>
        <v/>
      </c>
      <c r="L1778" s="7" t="str">
        <f>IFERROR(__xludf.DUMMYFUNCTION("IF('Respuestas de formulario 1'!L1891="""","""",TO_TEXT('Respuestas de formulario 1'!L1891))"),"")</f>
        <v/>
      </c>
      <c r="M1778" s="7" t="str">
        <f>IFERROR(__xludf.DUMMYFUNCTION("IF('Respuestas de formulario 1'!M1891="""","""",TO_TEXT('Respuestas de formulario 1'!M1891))"),"")</f>
        <v/>
      </c>
      <c r="N1778" s="7" t="str">
        <f t="shared" si="1"/>
        <v/>
      </c>
      <c r="O1778" s="7" t="str">
        <f t="shared" si="2"/>
        <v/>
      </c>
      <c r="P1778" s="7"/>
    </row>
    <row r="1779">
      <c r="A1779" s="7" t="str">
        <f>'Respuestas de formulario 1'!A1892</f>
        <v/>
      </c>
      <c r="B1779" s="7" t="str">
        <f>'Respuestas de formulario 1'!B1892</f>
        <v/>
      </c>
      <c r="C1779" s="7" t="str">
        <f>'Respuestas de formulario 1'!C1892</f>
        <v/>
      </c>
      <c r="D1779" s="7" t="str">
        <f>'Respuestas de formulario 1'!D1892</f>
        <v/>
      </c>
      <c r="E1779" s="7" t="str">
        <f>'Respuestas de formulario 1'!E1892</f>
        <v/>
      </c>
      <c r="F1779" s="7" t="str">
        <f>'Respuestas de formulario 1'!F1892</f>
        <v/>
      </c>
      <c r="G1779" s="7" t="str">
        <f>IFERROR(__xludf.DUMMYFUNCTION("IF('Respuestas de formulario 1'!G1892="""","""",IF(LEFT(REGEXREPLACE(TO_TEXT('Respuestas de formulario 1'!G1892),""[^0-9]"",""""),2)=""54"",""+""&amp;REGEXREPLACE(TO_TEXT('Respuestas de formulario 1'!G1892),""[^0-9]"",""""),""+54""&amp;REGEXREPLACE(TO_TEXT('Respu"&amp;"estas de formulario 1'!G1892),""[^0-9]"","""")))"),"")</f>
        <v/>
      </c>
      <c r="H1779" s="7" t="str">
        <f>'Respuestas de formulario 1'!S1892</f>
        <v/>
      </c>
      <c r="I1779" s="7" t="str">
        <f>IFERROR(__xludf.DUMMYFUNCTION("IF('Respuestas de formulario 1'!I1892="""","""",TO_TEXT('Respuestas de formulario 1'!I1892))"),"")</f>
        <v/>
      </c>
      <c r="J1779" s="7" t="str">
        <f>IFERROR(__xludf.DUMMYFUNCTION("IF('Respuestas de formulario 1'!J1892&lt;&gt;"""",UPPER(TRIM(TO_TEXT('Respuestas de formulario 1'!J1892))),IF('Respuestas de formulario 1'!O1892&lt;&gt;"""",UPPER(TRIM(TO_TEXT('Respuestas de formulario 1'!O1892))),""""))"),"")</f>
        <v/>
      </c>
      <c r="K1779" s="7" t="str">
        <f>IFERROR(__xludf.DUMMYFUNCTION("IF('Respuestas de formulario 1'!K1892="""","""",TO_TEXT('Respuestas de formulario 1'!K1892))"),"")</f>
        <v/>
      </c>
      <c r="L1779" s="7" t="str">
        <f>IFERROR(__xludf.DUMMYFUNCTION("IF('Respuestas de formulario 1'!L1892="""","""",TO_TEXT('Respuestas de formulario 1'!L1892))"),"")</f>
        <v/>
      </c>
      <c r="M1779" s="7" t="str">
        <f>IFERROR(__xludf.DUMMYFUNCTION("IF('Respuestas de formulario 1'!M1892="""","""",TO_TEXT('Respuestas de formulario 1'!M1892))"),"")</f>
        <v/>
      </c>
      <c r="N1779" s="7" t="str">
        <f t="shared" si="1"/>
        <v/>
      </c>
      <c r="O1779" s="7" t="str">
        <f t="shared" si="2"/>
        <v/>
      </c>
      <c r="P1779" s="7"/>
    </row>
    <row r="1780">
      <c r="A1780" s="7" t="str">
        <f>'Respuestas de formulario 1'!A1893</f>
        <v/>
      </c>
      <c r="B1780" s="7" t="str">
        <f>'Respuestas de formulario 1'!B1893</f>
        <v/>
      </c>
      <c r="C1780" s="7" t="str">
        <f>'Respuestas de formulario 1'!C1893</f>
        <v/>
      </c>
      <c r="D1780" s="7" t="str">
        <f>'Respuestas de formulario 1'!D1893</f>
        <v/>
      </c>
      <c r="E1780" s="7" t="str">
        <f>'Respuestas de formulario 1'!E1893</f>
        <v/>
      </c>
      <c r="F1780" s="7" t="str">
        <f>'Respuestas de formulario 1'!F1893</f>
        <v/>
      </c>
      <c r="G1780" s="7" t="str">
        <f>IFERROR(__xludf.DUMMYFUNCTION("IF('Respuestas de formulario 1'!G1893="""","""",IF(LEFT(REGEXREPLACE(TO_TEXT('Respuestas de formulario 1'!G1893),""[^0-9]"",""""),2)=""54"",""+""&amp;REGEXREPLACE(TO_TEXT('Respuestas de formulario 1'!G1893),""[^0-9]"",""""),""+54""&amp;REGEXREPLACE(TO_TEXT('Respu"&amp;"estas de formulario 1'!G1893),""[^0-9]"","""")))"),"")</f>
        <v/>
      </c>
      <c r="H1780" s="7" t="str">
        <f>'Respuestas de formulario 1'!S1893</f>
        <v/>
      </c>
      <c r="I1780" s="7" t="str">
        <f>IFERROR(__xludf.DUMMYFUNCTION("IF('Respuestas de formulario 1'!I1893="""","""",TO_TEXT('Respuestas de formulario 1'!I1893))"),"")</f>
        <v/>
      </c>
      <c r="J1780" s="7" t="str">
        <f>IFERROR(__xludf.DUMMYFUNCTION("IF('Respuestas de formulario 1'!J1893&lt;&gt;"""",UPPER(TRIM(TO_TEXT('Respuestas de formulario 1'!J1893))),IF('Respuestas de formulario 1'!O1893&lt;&gt;"""",UPPER(TRIM(TO_TEXT('Respuestas de formulario 1'!O1893))),""""))"),"")</f>
        <v/>
      </c>
      <c r="K1780" s="7" t="str">
        <f>IFERROR(__xludf.DUMMYFUNCTION("IF('Respuestas de formulario 1'!K1893="""","""",TO_TEXT('Respuestas de formulario 1'!K1893))"),"")</f>
        <v/>
      </c>
      <c r="L1780" s="7" t="str">
        <f>IFERROR(__xludf.DUMMYFUNCTION("IF('Respuestas de formulario 1'!L1893="""","""",TO_TEXT('Respuestas de formulario 1'!L1893))"),"")</f>
        <v/>
      </c>
      <c r="M1780" s="7" t="str">
        <f>IFERROR(__xludf.DUMMYFUNCTION("IF('Respuestas de formulario 1'!M1893="""","""",TO_TEXT('Respuestas de formulario 1'!M1893))"),"")</f>
        <v/>
      </c>
      <c r="N1780" s="7" t="str">
        <f t="shared" si="1"/>
        <v/>
      </c>
      <c r="O1780" s="7" t="str">
        <f t="shared" si="2"/>
        <v/>
      </c>
      <c r="P1780" s="7"/>
    </row>
    <row r="1781">
      <c r="A1781" s="7" t="str">
        <f>'Respuestas de formulario 1'!A1894</f>
        <v/>
      </c>
      <c r="B1781" s="7" t="str">
        <f>'Respuestas de formulario 1'!B1894</f>
        <v/>
      </c>
      <c r="C1781" s="7" t="str">
        <f>'Respuestas de formulario 1'!C1894</f>
        <v/>
      </c>
      <c r="D1781" s="7" t="str">
        <f>'Respuestas de formulario 1'!D1894</f>
        <v/>
      </c>
      <c r="E1781" s="7" t="str">
        <f>'Respuestas de formulario 1'!E1894</f>
        <v/>
      </c>
      <c r="F1781" s="7" t="str">
        <f>'Respuestas de formulario 1'!F1894</f>
        <v/>
      </c>
      <c r="G1781" s="7" t="str">
        <f>IFERROR(__xludf.DUMMYFUNCTION("IF('Respuestas de formulario 1'!G1894="""","""",IF(LEFT(REGEXREPLACE(TO_TEXT('Respuestas de formulario 1'!G1894),""[^0-9]"",""""),2)=""54"",""+""&amp;REGEXREPLACE(TO_TEXT('Respuestas de formulario 1'!G1894),""[^0-9]"",""""),""+54""&amp;REGEXREPLACE(TO_TEXT('Respu"&amp;"estas de formulario 1'!G1894),""[^0-9]"","""")))"),"")</f>
        <v/>
      </c>
      <c r="H1781" s="7" t="str">
        <f>'Respuestas de formulario 1'!S1894</f>
        <v/>
      </c>
      <c r="I1781" s="7" t="str">
        <f>IFERROR(__xludf.DUMMYFUNCTION("IF('Respuestas de formulario 1'!I1894="""","""",TO_TEXT('Respuestas de formulario 1'!I1894))"),"")</f>
        <v/>
      </c>
      <c r="J1781" s="7" t="str">
        <f>IFERROR(__xludf.DUMMYFUNCTION("IF('Respuestas de formulario 1'!J1894&lt;&gt;"""",UPPER(TRIM(TO_TEXT('Respuestas de formulario 1'!J1894))),IF('Respuestas de formulario 1'!O1894&lt;&gt;"""",UPPER(TRIM(TO_TEXT('Respuestas de formulario 1'!O1894))),""""))"),"")</f>
        <v/>
      </c>
      <c r="K1781" s="7" t="str">
        <f>IFERROR(__xludf.DUMMYFUNCTION("IF('Respuestas de formulario 1'!K1894="""","""",TO_TEXT('Respuestas de formulario 1'!K1894))"),"")</f>
        <v/>
      </c>
      <c r="L1781" s="7" t="str">
        <f>IFERROR(__xludf.DUMMYFUNCTION("IF('Respuestas de formulario 1'!L1894="""","""",TO_TEXT('Respuestas de formulario 1'!L1894))"),"")</f>
        <v/>
      </c>
      <c r="M1781" s="7" t="str">
        <f>IFERROR(__xludf.DUMMYFUNCTION("IF('Respuestas de formulario 1'!M1894="""","""",TO_TEXT('Respuestas de formulario 1'!M1894))"),"")</f>
        <v/>
      </c>
      <c r="N1781" s="7" t="str">
        <f t="shared" si="1"/>
        <v/>
      </c>
      <c r="O1781" s="7" t="str">
        <f t="shared" si="2"/>
        <v/>
      </c>
      <c r="P1781" s="7"/>
    </row>
    <row r="1782">
      <c r="A1782" s="7" t="str">
        <f>'Respuestas de formulario 1'!A1895</f>
        <v/>
      </c>
      <c r="B1782" s="7" t="str">
        <f>'Respuestas de formulario 1'!B1895</f>
        <v/>
      </c>
      <c r="C1782" s="7" t="str">
        <f>'Respuestas de formulario 1'!C1895</f>
        <v/>
      </c>
      <c r="D1782" s="7" t="str">
        <f>'Respuestas de formulario 1'!D1895</f>
        <v/>
      </c>
      <c r="E1782" s="7" t="str">
        <f>'Respuestas de formulario 1'!E1895</f>
        <v/>
      </c>
      <c r="F1782" s="7" t="str">
        <f>'Respuestas de formulario 1'!F1895</f>
        <v/>
      </c>
      <c r="G1782" s="7" t="str">
        <f>IFERROR(__xludf.DUMMYFUNCTION("IF('Respuestas de formulario 1'!G1895="""","""",IF(LEFT(REGEXREPLACE(TO_TEXT('Respuestas de formulario 1'!G1895),""[^0-9]"",""""),2)=""54"",""+""&amp;REGEXREPLACE(TO_TEXT('Respuestas de formulario 1'!G1895),""[^0-9]"",""""),""+54""&amp;REGEXREPLACE(TO_TEXT('Respu"&amp;"estas de formulario 1'!G1895),""[^0-9]"","""")))"),"")</f>
        <v/>
      </c>
      <c r="H1782" s="7" t="str">
        <f>'Respuestas de formulario 1'!S1895</f>
        <v/>
      </c>
      <c r="I1782" s="7" t="str">
        <f>IFERROR(__xludf.DUMMYFUNCTION("IF('Respuestas de formulario 1'!I1895="""","""",TO_TEXT('Respuestas de formulario 1'!I1895))"),"")</f>
        <v/>
      </c>
      <c r="J1782" s="7" t="str">
        <f>IFERROR(__xludf.DUMMYFUNCTION("IF('Respuestas de formulario 1'!J1895&lt;&gt;"""",UPPER(TRIM(TO_TEXT('Respuestas de formulario 1'!J1895))),IF('Respuestas de formulario 1'!O1895&lt;&gt;"""",UPPER(TRIM(TO_TEXT('Respuestas de formulario 1'!O1895))),""""))"),"")</f>
        <v/>
      </c>
      <c r="K1782" s="7" t="str">
        <f>IFERROR(__xludf.DUMMYFUNCTION("IF('Respuestas de formulario 1'!K1895="""","""",TO_TEXT('Respuestas de formulario 1'!K1895))"),"")</f>
        <v/>
      </c>
      <c r="L1782" s="7" t="str">
        <f>IFERROR(__xludf.DUMMYFUNCTION("IF('Respuestas de formulario 1'!L1895="""","""",TO_TEXT('Respuestas de formulario 1'!L1895))"),"")</f>
        <v/>
      </c>
      <c r="M1782" s="7" t="str">
        <f>IFERROR(__xludf.DUMMYFUNCTION("IF('Respuestas de formulario 1'!M1895="""","""",TO_TEXT('Respuestas de formulario 1'!M1895))"),"")</f>
        <v/>
      </c>
      <c r="N1782" s="7" t="str">
        <f t="shared" si="1"/>
        <v/>
      </c>
      <c r="O1782" s="7" t="str">
        <f t="shared" si="2"/>
        <v/>
      </c>
      <c r="P1782" s="7"/>
    </row>
    <row r="1783">
      <c r="A1783" s="7" t="str">
        <f>'Respuestas de formulario 1'!A1896</f>
        <v/>
      </c>
      <c r="B1783" s="7" t="str">
        <f>'Respuestas de formulario 1'!B1896</f>
        <v/>
      </c>
      <c r="C1783" s="7" t="str">
        <f>'Respuestas de formulario 1'!C1896</f>
        <v/>
      </c>
      <c r="D1783" s="7" t="str">
        <f>'Respuestas de formulario 1'!D1896</f>
        <v/>
      </c>
      <c r="E1783" s="7" t="str">
        <f>'Respuestas de formulario 1'!E1896</f>
        <v/>
      </c>
      <c r="F1783" s="7" t="str">
        <f>'Respuestas de formulario 1'!F1896</f>
        <v/>
      </c>
      <c r="G1783" s="7" t="str">
        <f>IFERROR(__xludf.DUMMYFUNCTION("IF('Respuestas de formulario 1'!G1896="""","""",IF(LEFT(REGEXREPLACE(TO_TEXT('Respuestas de formulario 1'!G1896),""[^0-9]"",""""),2)=""54"",""+""&amp;REGEXREPLACE(TO_TEXT('Respuestas de formulario 1'!G1896),""[^0-9]"",""""),""+54""&amp;REGEXREPLACE(TO_TEXT('Respu"&amp;"estas de formulario 1'!G1896),""[^0-9]"","""")))"),"")</f>
        <v/>
      </c>
      <c r="H1783" s="7" t="str">
        <f>'Respuestas de formulario 1'!S1896</f>
        <v/>
      </c>
      <c r="I1783" s="7" t="str">
        <f>IFERROR(__xludf.DUMMYFUNCTION("IF('Respuestas de formulario 1'!I1896="""","""",TO_TEXT('Respuestas de formulario 1'!I1896))"),"")</f>
        <v/>
      </c>
      <c r="J1783" s="7" t="str">
        <f>IFERROR(__xludf.DUMMYFUNCTION("IF('Respuestas de formulario 1'!J1896&lt;&gt;"""",UPPER(TRIM(TO_TEXT('Respuestas de formulario 1'!J1896))),IF('Respuestas de formulario 1'!O1896&lt;&gt;"""",UPPER(TRIM(TO_TEXT('Respuestas de formulario 1'!O1896))),""""))"),"")</f>
        <v/>
      </c>
      <c r="K1783" s="7" t="str">
        <f>IFERROR(__xludf.DUMMYFUNCTION("IF('Respuestas de formulario 1'!K1896="""","""",TO_TEXT('Respuestas de formulario 1'!K1896))"),"")</f>
        <v/>
      </c>
      <c r="L1783" s="7" t="str">
        <f>IFERROR(__xludf.DUMMYFUNCTION("IF('Respuestas de formulario 1'!L1896="""","""",TO_TEXT('Respuestas de formulario 1'!L1896))"),"")</f>
        <v/>
      </c>
      <c r="M1783" s="7" t="str">
        <f>IFERROR(__xludf.DUMMYFUNCTION("IF('Respuestas de formulario 1'!M1896="""","""",TO_TEXT('Respuestas de formulario 1'!M1896))"),"")</f>
        <v/>
      </c>
      <c r="N1783" s="7" t="str">
        <f t="shared" si="1"/>
        <v/>
      </c>
      <c r="O1783" s="7" t="str">
        <f t="shared" si="2"/>
        <v/>
      </c>
      <c r="P1783" s="7"/>
    </row>
    <row r="1784">
      <c r="A1784" s="7" t="str">
        <f>'Respuestas de formulario 1'!A1897</f>
        <v/>
      </c>
      <c r="B1784" s="7" t="str">
        <f>'Respuestas de formulario 1'!B1897</f>
        <v/>
      </c>
      <c r="C1784" s="7" t="str">
        <f>'Respuestas de formulario 1'!C1897</f>
        <v/>
      </c>
      <c r="D1784" s="7" t="str">
        <f>'Respuestas de formulario 1'!D1897</f>
        <v/>
      </c>
      <c r="E1784" s="7" t="str">
        <f>'Respuestas de formulario 1'!E1897</f>
        <v/>
      </c>
      <c r="F1784" s="7" t="str">
        <f>'Respuestas de formulario 1'!F1897</f>
        <v/>
      </c>
      <c r="G1784" s="7" t="str">
        <f>IFERROR(__xludf.DUMMYFUNCTION("IF('Respuestas de formulario 1'!G1897="""","""",IF(LEFT(REGEXREPLACE(TO_TEXT('Respuestas de formulario 1'!G1897),""[^0-9]"",""""),2)=""54"",""+""&amp;REGEXREPLACE(TO_TEXT('Respuestas de formulario 1'!G1897),""[^0-9]"",""""),""+54""&amp;REGEXREPLACE(TO_TEXT('Respu"&amp;"estas de formulario 1'!G1897),""[^0-9]"","""")))"),"")</f>
        <v/>
      </c>
      <c r="H1784" s="7" t="str">
        <f>'Respuestas de formulario 1'!S1897</f>
        <v/>
      </c>
      <c r="I1784" s="7" t="str">
        <f>IFERROR(__xludf.DUMMYFUNCTION("IF('Respuestas de formulario 1'!I1897="""","""",TO_TEXT('Respuestas de formulario 1'!I1897))"),"")</f>
        <v/>
      </c>
      <c r="J1784" s="7" t="str">
        <f>IFERROR(__xludf.DUMMYFUNCTION("IF('Respuestas de formulario 1'!J1897&lt;&gt;"""",UPPER(TRIM(TO_TEXT('Respuestas de formulario 1'!J1897))),IF('Respuestas de formulario 1'!O1897&lt;&gt;"""",UPPER(TRIM(TO_TEXT('Respuestas de formulario 1'!O1897))),""""))"),"")</f>
        <v/>
      </c>
      <c r="K1784" s="7" t="str">
        <f>IFERROR(__xludf.DUMMYFUNCTION("IF('Respuestas de formulario 1'!K1897="""","""",TO_TEXT('Respuestas de formulario 1'!K1897))"),"")</f>
        <v/>
      </c>
      <c r="L1784" s="7" t="str">
        <f>IFERROR(__xludf.DUMMYFUNCTION("IF('Respuestas de formulario 1'!L1897="""","""",TO_TEXT('Respuestas de formulario 1'!L1897))"),"")</f>
        <v/>
      </c>
      <c r="M1784" s="7" t="str">
        <f>IFERROR(__xludf.DUMMYFUNCTION("IF('Respuestas de formulario 1'!M1897="""","""",TO_TEXT('Respuestas de formulario 1'!M1897))"),"")</f>
        <v/>
      </c>
      <c r="N1784" s="7" t="str">
        <f t="shared" si="1"/>
        <v/>
      </c>
      <c r="O1784" s="7" t="str">
        <f t="shared" si="2"/>
        <v/>
      </c>
      <c r="P1784" s="7"/>
    </row>
    <row r="1785">
      <c r="A1785" s="7" t="str">
        <f>'Respuestas de formulario 1'!A1898</f>
        <v/>
      </c>
      <c r="B1785" s="7" t="str">
        <f>'Respuestas de formulario 1'!B1898</f>
        <v/>
      </c>
      <c r="C1785" s="7" t="str">
        <f>'Respuestas de formulario 1'!C1898</f>
        <v/>
      </c>
      <c r="D1785" s="7" t="str">
        <f>'Respuestas de formulario 1'!D1898</f>
        <v/>
      </c>
      <c r="E1785" s="7" t="str">
        <f>'Respuestas de formulario 1'!E1898</f>
        <v/>
      </c>
      <c r="F1785" s="7" t="str">
        <f>'Respuestas de formulario 1'!F1898</f>
        <v/>
      </c>
      <c r="G1785" s="7" t="str">
        <f>IFERROR(__xludf.DUMMYFUNCTION("IF('Respuestas de formulario 1'!G1898="""","""",IF(LEFT(REGEXREPLACE(TO_TEXT('Respuestas de formulario 1'!G1898),""[^0-9]"",""""),2)=""54"",""+""&amp;REGEXREPLACE(TO_TEXT('Respuestas de formulario 1'!G1898),""[^0-9]"",""""),""+54""&amp;REGEXREPLACE(TO_TEXT('Respu"&amp;"estas de formulario 1'!G1898),""[^0-9]"","""")))"),"")</f>
        <v/>
      </c>
      <c r="H1785" s="7" t="str">
        <f>'Respuestas de formulario 1'!S1898</f>
        <v/>
      </c>
      <c r="I1785" s="7" t="str">
        <f>IFERROR(__xludf.DUMMYFUNCTION("IF('Respuestas de formulario 1'!I1898="""","""",TO_TEXT('Respuestas de formulario 1'!I1898))"),"")</f>
        <v/>
      </c>
      <c r="J1785" s="7" t="str">
        <f>IFERROR(__xludf.DUMMYFUNCTION("IF('Respuestas de formulario 1'!J1898&lt;&gt;"""",UPPER(TRIM(TO_TEXT('Respuestas de formulario 1'!J1898))),IF('Respuestas de formulario 1'!O1898&lt;&gt;"""",UPPER(TRIM(TO_TEXT('Respuestas de formulario 1'!O1898))),""""))"),"")</f>
        <v/>
      </c>
      <c r="K1785" s="7" t="str">
        <f>IFERROR(__xludf.DUMMYFUNCTION("IF('Respuestas de formulario 1'!K1898="""","""",TO_TEXT('Respuestas de formulario 1'!K1898))"),"")</f>
        <v/>
      </c>
      <c r="L1785" s="7" t="str">
        <f>IFERROR(__xludf.DUMMYFUNCTION("IF('Respuestas de formulario 1'!L1898="""","""",TO_TEXT('Respuestas de formulario 1'!L1898))"),"")</f>
        <v/>
      </c>
      <c r="M1785" s="7" t="str">
        <f>IFERROR(__xludf.DUMMYFUNCTION("IF('Respuestas de formulario 1'!M1898="""","""",TO_TEXT('Respuestas de formulario 1'!M1898))"),"")</f>
        <v/>
      </c>
      <c r="N1785" s="7" t="str">
        <f t="shared" si="1"/>
        <v/>
      </c>
      <c r="O1785" s="7" t="str">
        <f t="shared" si="2"/>
        <v/>
      </c>
      <c r="P1785" s="7"/>
    </row>
    <row r="1786">
      <c r="A1786" s="7" t="str">
        <f>'Respuestas de formulario 1'!A1899</f>
        <v/>
      </c>
      <c r="B1786" s="7" t="str">
        <f>'Respuestas de formulario 1'!B1899</f>
        <v/>
      </c>
      <c r="C1786" s="7" t="str">
        <f>'Respuestas de formulario 1'!C1899</f>
        <v/>
      </c>
      <c r="D1786" s="7" t="str">
        <f>'Respuestas de formulario 1'!D1899</f>
        <v/>
      </c>
      <c r="E1786" s="7" t="str">
        <f>'Respuestas de formulario 1'!E1899</f>
        <v/>
      </c>
      <c r="F1786" s="7" t="str">
        <f>'Respuestas de formulario 1'!F1899</f>
        <v/>
      </c>
      <c r="G1786" s="7" t="str">
        <f>IFERROR(__xludf.DUMMYFUNCTION("IF('Respuestas de formulario 1'!G1899="""","""",IF(LEFT(REGEXREPLACE(TO_TEXT('Respuestas de formulario 1'!G1899),""[^0-9]"",""""),2)=""54"",""+""&amp;REGEXREPLACE(TO_TEXT('Respuestas de formulario 1'!G1899),""[^0-9]"",""""),""+54""&amp;REGEXREPLACE(TO_TEXT('Respu"&amp;"estas de formulario 1'!G1899),""[^0-9]"","""")))"),"")</f>
        <v/>
      </c>
      <c r="H1786" s="7" t="str">
        <f>'Respuestas de formulario 1'!S1899</f>
        <v/>
      </c>
      <c r="I1786" s="7" t="str">
        <f>IFERROR(__xludf.DUMMYFUNCTION("IF('Respuestas de formulario 1'!I1899="""","""",TO_TEXT('Respuestas de formulario 1'!I1899))"),"")</f>
        <v/>
      </c>
      <c r="J1786" s="7" t="str">
        <f>IFERROR(__xludf.DUMMYFUNCTION("IF('Respuestas de formulario 1'!J1899&lt;&gt;"""",UPPER(TRIM(TO_TEXT('Respuestas de formulario 1'!J1899))),IF('Respuestas de formulario 1'!O1899&lt;&gt;"""",UPPER(TRIM(TO_TEXT('Respuestas de formulario 1'!O1899))),""""))"),"")</f>
        <v/>
      </c>
      <c r="K1786" s="7" t="str">
        <f>IFERROR(__xludf.DUMMYFUNCTION("IF('Respuestas de formulario 1'!K1899="""","""",TO_TEXT('Respuestas de formulario 1'!K1899))"),"")</f>
        <v/>
      </c>
      <c r="L1786" s="7" t="str">
        <f>IFERROR(__xludf.DUMMYFUNCTION("IF('Respuestas de formulario 1'!L1899="""","""",TO_TEXT('Respuestas de formulario 1'!L1899))"),"")</f>
        <v/>
      </c>
      <c r="M1786" s="7" t="str">
        <f>IFERROR(__xludf.DUMMYFUNCTION("IF('Respuestas de formulario 1'!M1899="""","""",TO_TEXT('Respuestas de formulario 1'!M1899))"),"")</f>
        <v/>
      </c>
      <c r="N1786" s="7" t="str">
        <f t="shared" si="1"/>
        <v/>
      </c>
      <c r="O1786" s="7" t="str">
        <f t="shared" si="2"/>
        <v/>
      </c>
      <c r="P1786" s="7"/>
    </row>
    <row r="1787">
      <c r="A1787" s="7" t="str">
        <f>'Respuestas de formulario 1'!A1900</f>
        <v/>
      </c>
      <c r="B1787" s="7" t="str">
        <f>'Respuestas de formulario 1'!B1900</f>
        <v/>
      </c>
      <c r="C1787" s="7" t="str">
        <f>'Respuestas de formulario 1'!C1900</f>
        <v/>
      </c>
      <c r="D1787" s="7" t="str">
        <f>'Respuestas de formulario 1'!D1900</f>
        <v/>
      </c>
      <c r="E1787" s="7" t="str">
        <f>'Respuestas de formulario 1'!E1900</f>
        <v/>
      </c>
      <c r="F1787" s="7" t="str">
        <f>'Respuestas de formulario 1'!F1900</f>
        <v/>
      </c>
      <c r="G1787" s="7" t="str">
        <f>IFERROR(__xludf.DUMMYFUNCTION("IF('Respuestas de formulario 1'!G1900="""","""",IF(LEFT(REGEXREPLACE(TO_TEXT('Respuestas de formulario 1'!G1900),""[^0-9]"",""""),2)=""54"",""+""&amp;REGEXREPLACE(TO_TEXT('Respuestas de formulario 1'!G1900),""[^0-9]"",""""),""+54""&amp;REGEXREPLACE(TO_TEXT('Respu"&amp;"estas de formulario 1'!G1900),""[^0-9]"","""")))"),"")</f>
        <v/>
      </c>
      <c r="H1787" s="7" t="str">
        <f>'Respuestas de formulario 1'!S1900</f>
        <v/>
      </c>
      <c r="I1787" s="7" t="str">
        <f>IFERROR(__xludf.DUMMYFUNCTION("IF('Respuestas de formulario 1'!I1900="""","""",TO_TEXT('Respuestas de formulario 1'!I1900))"),"")</f>
        <v/>
      </c>
      <c r="J1787" s="7" t="str">
        <f>IFERROR(__xludf.DUMMYFUNCTION("IF('Respuestas de formulario 1'!J1900&lt;&gt;"""",UPPER(TRIM(TO_TEXT('Respuestas de formulario 1'!J1900))),IF('Respuestas de formulario 1'!O1900&lt;&gt;"""",UPPER(TRIM(TO_TEXT('Respuestas de formulario 1'!O1900))),""""))"),"")</f>
        <v/>
      </c>
      <c r="K1787" s="7" t="str">
        <f>IFERROR(__xludf.DUMMYFUNCTION("IF('Respuestas de formulario 1'!K1900="""","""",TO_TEXT('Respuestas de formulario 1'!K1900))"),"")</f>
        <v/>
      </c>
      <c r="L1787" s="7" t="str">
        <f>IFERROR(__xludf.DUMMYFUNCTION("IF('Respuestas de formulario 1'!L1900="""","""",TO_TEXT('Respuestas de formulario 1'!L1900))"),"")</f>
        <v/>
      </c>
      <c r="M1787" s="7" t="str">
        <f>IFERROR(__xludf.DUMMYFUNCTION("IF('Respuestas de formulario 1'!M1900="""","""",TO_TEXT('Respuestas de formulario 1'!M1900))"),"")</f>
        <v/>
      </c>
      <c r="N1787" s="7" t="str">
        <f t="shared" si="1"/>
        <v/>
      </c>
      <c r="O1787" s="7" t="str">
        <f t="shared" si="2"/>
        <v/>
      </c>
      <c r="P1787" s="7"/>
    </row>
    <row r="1788">
      <c r="A1788" s="7" t="str">
        <f>'Respuestas de formulario 1'!A1901</f>
        <v/>
      </c>
      <c r="B1788" s="7" t="str">
        <f>'Respuestas de formulario 1'!B1901</f>
        <v/>
      </c>
      <c r="C1788" s="7" t="str">
        <f>'Respuestas de formulario 1'!C1901</f>
        <v/>
      </c>
      <c r="D1788" s="7" t="str">
        <f>'Respuestas de formulario 1'!D1901</f>
        <v/>
      </c>
      <c r="E1788" s="7" t="str">
        <f>'Respuestas de formulario 1'!E1901</f>
        <v/>
      </c>
      <c r="F1788" s="7" t="str">
        <f>'Respuestas de formulario 1'!F1901</f>
        <v/>
      </c>
      <c r="G1788" s="7" t="str">
        <f>IFERROR(__xludf.DUMMYFUNCTION("IF('Respuestas de formulario 1'!G1901="""","""",IF(LEFT(REGEXREPLACE(TO_TEXT('Respuestas de formulario 1'!G1901),""[^0-9]"",""""),2)=""54"",""+""&amp;REGEXREPLACE(TO_TEXT('Respuestas de formulario 1'!G1901),""[^0-9]"",""""),""+54""&amp;REGEXREPLACE(TO_TEXT('Respu"&amp;"estas de formulario 1'!G1901),""[^0-9]"","""")))"),"")</f>
        <v/>
      </c>
      <c r="H1788" s="7" t="str">
        <f>'Respuestas de formulario 1'!S1901</f>
        <v/>
      </c>
      <c r="I1788" s="7" t="str">
        <f>IFERROR(__xludf.DUMMYFUNCTION("IF('Respuestas de formulario 1'!I1901="""","""",TO_TEXT('Respuestas de formulario 1'!I1901))"),"")</f>
        <v/>
      </c>
      <c r="J1788" s="7" t="str">
        <f>IFERROR(__xludf.DUMMYFUNCTION("IF('Respuestas de formulario 1'!J1901&lt;&gt;"""",UPPER(TRIM(TO_TEXT('Respuestas de formulario 1'!J1901))),IF('Respuestas de formulario 1'!O1901&lt;&gt;"""",UPPER(TRIM(TO_TEXT('Respuestas de formulario 1'!O1901))),""""))"),"")</f>
        <v/>
      </c>
      <c r="K1788" s="7" t="str">
        <f>IFERROR(__xludf.DUMMYFUNCTION("IF('Respuestas de formulario 1'!K1901="""","""",TO_TEXT('Respuestas de formulario 1'!K1901))"),"")</f>
        <v/>
      </c>
      <c r="L1788" s="7" t="str">
        <f>IFERROR(__xludf.DUMMYFUNCTION("IF('Respuestas de formulario 1'!L1901="""","""",TO_TEXT('Respuestas de formulario 1'!L1901))"),"")</f>
        <v/>
      </c>
      <c r="M1788" s="7" t="str">
        <f>IFERROR(__xludf.DUMMYFUNCTION("IF('Respuestas de formulario 1'!M1901="""","""",TO_TEXT('Respuestas de formulario 1'!M1901))"),"")</f>
        <v/>
      </c>
      <c r="N1788" s="7" t="str">
        <f t="shared" si="1"/>
        <v/>
      </c>
      <c r="O1788" s="7" t="str">
        <f t="shared" si="2"/>
        <v/>
      </c>
      <c r="P1788" s="7"/>
    </row>
    <row r="1789">
      <c r="A1789" s="7" t="str">
        <f>'Respuestas de formulario 1'!A1902</f>
        <v/>
      </c>
      <c r="B1789" s="7" t="str">
        <f>'Respuestas de formulario 1'!B1902</f>
        <v/>
      </c>
      <c r="C1789" s="7" t="str">
        <f>'Respuestas de formulario 1'!C1902</f>
        <v/>
      </c>
      <c r="D1789" s="7" t="str">
        <f>'Respuestas de formulario 1'!D1902</f>
        <v/>
      </c>
      <c r="E1789" s="7" t="str">
        <f>'Respuestas de formulario 1'!E1902</f>
        <v/>
      </c>
      <c r="F1789" s="7" t="str">
        <f>'Respuestas de formulario 1'!F1902</f>
        <v/>
      </c>
      <c r="G1789" s="7" t="str">
        <f>IFERROR(__xludf.DUMMYFUNCTION("IF('Respuestas de formulario 1'!G1902="""","""",IF(LEFT(REGEXREPLACE(TO_TEXT('Respuestas de formulario 1'!G1902),""[^0-9]"",""""),2)=""54"",""+""&amp;REGEXREPLACE(TO_TEXT('Respuestas de formulario 1'!G1902),""[^0-9]"",""""),""+54""&amp;REGEXREPLACE(TO_TEXT('Respu"&amp;"estas de formulario 1'!G1902),""[^0-9]"","""")))"),"")</f>
        <v/>
      </c>
      <c r="H1789" s="7" t="str">
        <f>'Respuestas de formulario 1'!S1902</f>
        <v/>
      </c>
      <c r="I1789" s="7" t="str">
        <f>IFERROR(__xludf.DUMMYFUNCTION("IF('Respuestas de formulario 1'!I1902="""","""",TO_TEXT('Respuestas de formulario 1'!I1902))"),"")</f>
        <v/>
      </c>
      <c r="J1789" s="7" t="str">
        <f>IFERROR(__xludf.DUMMYFUNCTION("IF('Respuestas de formulario 1'!J1902&lt;&gt;"""",UPPER(TRIM(TO_TEXT('Respuestas de formulario 1'!J1902))),IF('Respuestas de formulario 1'!O1902&lt;&gt;"""",UPPER(TRIM(TO_TEXT('Respuestas de formulario 1'!O1902))),""""))"),"")</f>
        <v/>
      </c>
      <c r="K1789" s="7" t="str">
        <f>IFERROR(__xludf.DUMMYFUNCTION("IF('Respuestas de formulario 1'!K1902="""","""",TO_TEXT('Respuestas de formulario 1'!K1902))"),"")</f>
        <v/>
      </c>
      <c r="L1789" s="7" t="str">
        <f>IFERROR(__xludf.DUMMYFUNCTION("IF('Respuestas de formulario 1'!L1902="""","""",TO_TEXT('Respuestas de formulario 1'!L1902))"),"")</f>
        <v/>
      </c>
      <c r="M1789" s="7" t="str">
        <f>IFERROR(__xludf.DUMMYFUNCTION("IF('Respuestas de formulario 1'!M1902="""","""",TO_TEXT('Respuestas de formulario 1'!M1902))"),"")</f>
        <v/>
      </c>
      <c r="N1789" s="7" t="str">
        <f t="shared" si="1"/>
        <v/>
      </c>
      <c r="O1789" s="7" t="str">
        <f t="shared" si="2"/>
        <v/>
      </c>
      <c r="P1789" s="7"/>
    </row>
    <row r="1790">
      <c r="A1790" s="7" t="str">
        <f>'Respuestas de formulario 1'!A1903</f>
        <v/>
      </c>
      <c r="B1790" s="7" t="str">
        <f>'Respuestas de formulario 1'!B1903</f>
        <v/>
      </c>
      <c r="C1790" s="7" t="str">
        <f>'Respuestas de formulario 1'!C1903</f>
        <v/>
      </c>
      <c r="D1790" s="7" t="str">
        <f>'Respuestas de formulario 1'!D1903</f>
        <v/>
      </c>
      <c r="E1790" s="7" t="str">
        <f>'Respuestas de formulario 1'!E1903</f>
        <v/>
      </c>
      <c r="F1790" s="7" t="str">
        <f>'Respuestas de formulario 1'!F1903</f>
        <v/>
      </c>
      <c r="G1790" s="7" t="str">
        <f>IFERROR(__xludf.DUMMYFUNCTION("IF('Respuestas de formulario 1'!G1903="""","""",IF(LEFT(REGEXREPLACE(TO_TEXT('Respuestas de formulario 1'!G1903),""[^0-9]"",""""),2)=""54"",""+""&amp;REGEXREPLACE(TO_TEXT('Respuestas de formulario 1'!G1903),""[^0-9]"",""""),""+54""&amp;REGEXREPLACE(TO_TEXT('Respu"&amp;"estas de formulario 1'!G1903),""[^0-9]"","""")))"),"")</f>
        <v/>
      </c>
      <c r="H1790" s="7" t="str">
        <f>'Respuestas de formulario 1'!S1903</f>
        <v/>
      </c>
      <c r="I1790" s="7" t="str">
        <f>IFERROR(__xludf.DUMMYFUNCTION("IF('Respuestas de formulario 1'!I1903="""","""",TO_TEXT('Respuestas de formulario 1'!I1903))"),"")</f>
        <v/>
      </c>
      <c r="J1790" s="7" t="str">
        <f>IFERROR(__xludf.DUMMYFUNCTION("IF('Respuestas de formulario 1'!J1903&lt;&gt;"""",UPPER(TRIM(TO_TEXT('Respuestas de formulario 1'!J1903))),IF('Respuestas de formulario 1'!O1903&lt;&gt;"""",UPPER(TRIM(TO_TEXT('Respuestas de formulario 1'!O1903))),""""))"),"")</f>
        <v/>
      </c>
      <c r="K1790" s="7" t="str">
        <f>IFERROR(__xludf.DUMMYFUNCTION("IF('Respuestas de formulario 1'!K1903="""","""",TO_TEXT('Respuestas de formulario 1'!K1903))"),"")</f>
        <v/>
      </c>
      <c r="L1790" s="7" t="str">
        <f>IFERROR(__xludf.DUMMYFUNCTION("IF('Respuestas de formulario 1'!L1903="""","""",TO_TEXT('Respuestas de formulario 1'!L1903))"),"")</f>
        <v/>
      </c>
      <c r="M1790" s="7" t="str">
        <f>IFERROR(__xludf.DUMMYFUNCTION("IF('Respuestas de formulario 1'!M1903="""","""",TO_TEXT('Respuestas de formulario 1'!M1903))"),"")</f>
        <v/>
      </c>
      <c r="N1790" s="7" t="str">
        <f t="shared" si="1"/>
        <v/>
      </c>
      <c r="O1790" s="7" t="str">
        <f t="shared" si="2"/>
        <v/>
      </c>
      <c r="P1790" s="7"/>
    </row>
    <row r="1791">
      <c r="A1791" s="7" t="str">
        <f>'Respuestas de formulario 1'!A1904</f>
        <v/>
      </c>
      <c r="B1791" s="7" t="str">
        <f>'Respuestas de formulario 1'!B1904</f>
        <v/>
      </c>
      <c r="C1791" s="7" t="str">
        <f>'Respuestas de formulario 1'!C1904</f>
        <v/>
      </c>
      <c r="D1791" s="7" t="str">
        <f>'Respuestas de formulario 1'!D1904</f>
        <v/>
      </c>
      <c r="E1791" s="7" t="str">
        <f>'Respuestas de formulario 1'!E1904</f>
        <v/>
      </c>
      <c r="F1791" s="7" t="str">
        <f>'Respuestas de formulario 1'!F1904</f>
        <v/>
      </c>
      <c r="G1791" s="7" t="str">
        <f>IFERROR(__xludf.DUMMYFUNCTION("IF('Respuestas de formulario 1'!G1904="""","""",IF(LEFT(REGEXREPLACE(TO_TEXT('Respuestas de formulario 1'!G1904),""[^0-9]"",""""),2)=""54"",""+""&amp;REGEXREPLACE(TO_TEXT('Respuestas de formulario 1'!G1904),""[^0-9]"",""""),""+54""&amp;REGEXREPLACE(TO_TEXT('Respu"&amp;"estas de formulario 1'!G1904),""[^0-9]"","""")))"),"")</f>
        <v/>
      </c>
      <c r="H1791" s="7" t="str">
        <f>'Respuestas de formulario 1'!S1904</f>
        <v/>
      </c>
      <c r="I1791" s="7" t="str">
        <f>IFERROR(__xludf.DUMMYFUNCTION("IF('Respuestas de formulario 1'!I1904="""","""",TO_TEXT('Respuestas de formulario 1'!I1904))"),"")</f>
        <v/>
      </c>
      <c r="J1791" s="7" t="str">
        <f>IFERROR(__xludf.DUMMYFUNCTION("IF('Respuestas de formulario 1'!J1904&lt;&gt;"""",UPPER(TRIM(TO_TEXT('Respuestas de formulario 1'!J1904))),IF('Respuestas de formulario 1'!O1904&lt;&gt;"""",UPPER(TRIM(TO_TEXT('Respuestas de formulario 1'!O1904))),""""))"),"")</f>
        <v/>
      </c>
      <c r="K1791" s="7" t="str">
        <f>IFERROR(__xludf.DUMMYFUNCTION("IF('Respuestas de formulario 1'!K1904="""","""",TO_TEXT('Respuestas de formulario 1'!K1904))"),"")</f>
        <v/>
      </c>
      <c r="L1791" s="7" t="str">
        <f>IFERROR(__xludf.DUMMYFUNCTION("IF('Respuestas de formulario 1'!L1904="""","""",TO_TEXT('Respuestas de formulario 1'!L1904))"),"")</f>
        <v/>
      </c>
      <c r="M1791" s="7" t="str">
        <f>IFERROR(__xludf.DUMMYFUNCTION("IF('Respuestas de formulario 1'!M1904="""","""",TO_TEXT('Respuestas de formulario 1'!M1904))"),"")</f>
        <v/>
      </c>
      <c r="N1791" s="7" t="str">
        <f t="shared" si="1"/>
        <v/>
      </c>
      <c r="O1791" s="7" t="str">
        <f t="shared" si="2"/>
        <v/>
      </c>
      <c r="P1791" s="7"/>
    </row>
    <row r="1792">
      <c r="A1792" s="7" t="str">
        <f>'Respuestas de formulario 1'!A1905</f>
        <v/>
      </c>
      <c r="B1792" s="7" t="str">
        <f>'Respuestas de formulario 1'!B1905</f>
        <v/>
      </c>
      <c r="C1792" s="7" t="str">
        <f>'Respuestas de formulario 1'!C1905</f>
        <v/>
      </c>
      <c r="D1792" s="7" t="str">
        <f>'Respuestas de formulario 1'!D1905</f>
        <v/>
      </c>
      <c r="E1792" s="7" t="str">
        <f>'Respuestas de formulario 1'!E1905</f>
        <v/>
      </c>
      <c r="F1792" s="7" t="str">
        <f>'Respuestas de formulario 1'!F1905</f>
        <v/>
      </c>
      <c r="G1792" s="7" t="str">
        <f>IFERROR(__xludf.DUMMYFUNCTION("IF('Respuestas de formulario 1'!G1905="""","""",IF(LEFT(REGEXREPLACE(TO_TEXT('Respuestas de formulario 1'!G1905),""[^0-9]"",""""),2)=""54"",""+""&amp;REGEXREPLACE(TO_TEXT('Respuestas de formulario 1'!G1905),""[^0-9]"",""""),""+54""&amp;REGEXREPLACE(TO_TEXT('Respu"&amp;"estas de formulario 1'!G1905),""[^0-9]"","""")))"),"")</f>
        <v/>
      </c>
      <c r="H1792" s="7" t="str">
        <f>'Respuestas de formulario 1'!S1905</f>
        <v/>
      </c>
      <c r="I1792" s="7" t="str">
        <f>IFERROR(__xludf.DUMMYFUNCTION("IF('Respuestas de formulario 1'!I1905="""","""",TO_TEXT('Respuestas de formulario 1'!I1905))"),"")</f>
        <v/>
      </c>
      <c r="J1792" s="7" t="str">
        <f>IFERROR(__xludf.DUMMYFUNCTION("IF('Respuestas de formulario 1'!J1905&lt;&gt;"""",UPPER(TRIM(TO_TEXT('Respuestas de formulario 1'!J1905))),IF('Respuestas de formulario 1'!O1905&lt;&gt;"""",UPPER(TRIM(TO_TEXT('Respuestas de formulario 1'!O1905))),""""))"),"")</f>
        <v/>
      </c>
      <c r="K1792" s="7" t="str">
        <f>IFERROR(__xludf.DUMMYFUNCTION("IF('Respuestas de formulario 1'!K1905="""","""",TO_TEXT('Respuestas de formulario 1'!K1905))"),"")</f>
        <v/>
      </c>
      <c r="L1792" s="7" t="str">
        <f>IFERROR(__xludf.DUMMYFUNCTION("IF('Respuestas de formulario 1'!L1905="""","""",TO_TEXT('Respuestas de formulario 1'!L1905))"),"")</f>
        <v/>
      </c>
      <c r="M1792" s="7" t="str">
        <f>IFERROR(__xludf.DUMMYFUNCTION("IF('Respuestas de formulario 1'!M1905="""","""",TO_TEXT('Respuestas de formulario 1'!M1905))"),"")</f>
        <v/>
      </c>
      <c r="N1792" s="7" t="str">
        <f t="shared" si="1"/>
        <v/>
      </c>
      <c r="O1792" s="7" t="str">
        <f t="shared" si="2"/>
        <v/>
      </c>
      <c r="P1792" s="7"/>
    </row>
    <row r="1793">
      <c r="A1793" s="7" t="str">
        <f>'Respuestas de formulario 1'!A1906</f>
        <v/>
      </c>
      <c r="B1793" s="7" t="str">
        <f>'Respuestas de formulario 1'!B1906</f>
        <v/>
      </c>
      <c r="C1793" s="7" t="str">
        <f>'Respuestas de formulario 1'!C1906</f>
        <v/>
      </c>
      <c r="D1793" s="7" t="str">
        <f>'Respuestas de formulario 1'!D1906</f>
        <v/>
      </c>
      <c r="E1793" s="7" t="str">
        <f>'Respuestas de formulario 1'!E1906</f>
        <v/>
      </c>
      <c r="F1793" s="7" t="str">
        <f>'Respuestas de formulario 1'!F1906</f>
        <v/>
      </c>
      <c r="G1793" s="7" t="str">
        <f>IFERROR(__xludf.DUMMYFUNCTION("IF('Respuestas de formulario 1'!G1906="""","""",IF(LEFT(REGEXREPLACE(TO_TEXT('Respuestas de formulario 1'!G1906),""[^0-9]"",""""),2)=""54"",""+""&amp;REGEXREPLACE(TO_TEXT('Respuestas de formulario 1'!G1906),""[^0-9]"",""""),""+54""&amp;REGEXREPLACE(TO_TEXT('Respu"&amp;"estas de formulario 1'!G1906),""[^0-9]"","""")))"),"")</f>
        <v/>
      </c>
      <c r="H1793" s="7" t="str">
        <f>'Respuestas de formulario 1'!S1906</f>
        <v/>
      </c>
      <c r="I1793" s="7" t="str">
        <f>IFERROR(__xludf.DUMMYFUNCTION("IF('Respuestas de formulario 1'!I1906="""","""",TO_TEXT('Respuestas de formulario 1'!I1906))"),"")</f>
        <v/>
      </c>
      <c r="J1793" s="7" t="str">
        <f>IFERROR(__xludf.DUMMYFUNCTION("IF('Respuestas de formulario 1'!J1906&lt;&gt;"""",UPPER(TRIM(TO_TEXT('Respuestas de formulario 1'!J1906))),IF('Respuestas de formulario 1'!O1906&lt;&gt;"""",UPPER(TRIM(TO_TEXT('Respuestas de formulario 1'!O1906))),""""))"),"")</f>
        <v/>
      </c>
      <c r="K1793" s="7" t="str">
        <f>IFERROR(__xludf.DUMMYFUNCTION("IF('Respuestas de formulario 1'!K1906="""","""",TO_TEXT('Respuestas de formulario 1'!K1906))"),"")</f>
        <v/>
      </c>
      <c r="L1793" s="7" t="str">
        <f>IFERROR(__xludf.DUMMYFUNCTION("IF('Respuestas de formulario 1'!L1906="""","""",TO_TEXT('Respuestas de formulario 1'!L1906))"),"")</f>
        <v/>
      </c>
      <c r="M1793" s="7" t="str">
        <f>IFERROR(__xludf.DUMMYFUNCTION("IF('Respuestas de formulario 1'!M1906="""","""",TO_TEXT('Respuestas de formulario 1'!M1906))"),"")</f>
        <v/>
      </c>
      <c r="N1793" s="7" t="str">
        <f t="shared" si="1"/>
        <v/>
      </c>
      <c r="O1793" s="7" t="str">
        <f t="shared" si="2"/>
        <v/>
      </c>
      <c r="P1793" s="7"/>
    </row>
    <row r="1794">
      <c r="A1794" s="7" t="str">
        <f>'Respuestas de formulario 1'!A1907</f>
        <v/>
      </c>
      <c r="B1794" s="7" t="str">
        <f>'Respuestas de formulario 1'!B1907</f>
        <v/>
      </c>
      <c r="C1794" s="7" t="str">
        <f>'Respuestas de formulario 1'!C1907</f>
        <v/>
      </c>
      <c r="D1794" s="7" t="str">
        <f>'Respuestas de formulario 1'!D1907</f>
        <v/>
      </c>
      <c r="E1794" s="7" t="str">
        <f>'Respuestas de formulario 1'!E1907</f>
        <v/>
      </c>
      <c r="F1794" s="7" t="str">
        <f>'Respuestas de formulario 1'!F1907</f>
        <v/>
      </c>
      <c r="G1794" s="7" t="str">
        <f>IFERROR(__xludf.DUMMYFUNCTION("IF('Respuestas de formulario 1'!G1907="""","""",IF(LEFT(REGEXREPLACE(TO_TEXT('Respuestas de formulario 1'!G1907),""[^0-9]"",""""),2)=""54"",""+""&amp;REGEXREPLACE(TO_TEXT('Respuestas de formulario 1'!G1907),""[^0-9]"",""""),""+54""&amp;REGEXREPLACE(TO_TEXT('Respu"&amp;"estas de formulario 1'!G1907),""[^0-9]"","""")))"),"")</f>
        <v/>
      </c>
      <c r="H1794" s="7" t="str">
        <f>'Respuestas de formulario 1'!S1907</f>
        <v/>
      </c>
      <c r="I1794" s="7" t="str">
        <f>IFERROR(__xludf.DUMMYFUNCTION("IF('Respuestas de formulario 1'!I1907="""","""",TO_TEXT('Respuestas de formulario 1'!I1907))"),"")</f>
        <v/>
      </c>
      <c r="J1794" s="7" t="str">
        <f>IFERROR(__xludf.DUMMYFUNCTION("IF('Respuestas de formulario 1'!J1907&lt;&gt;"""",UPPER(TRIM(TO_TEXT('Respuestas de formulario 1'!J1907))),IF('Respuestas de formulario 1'!O1907&lt;&gt;"""",UPPER(TRIM(TO_TEXT('Respuestas de formulario 1'!O1907))),""""))"),"")</f>
        <v/>
      </c>
      <c r="K1794" s="7" t="str">
        <f>IFERROR(__xludf.DUMMYFUNCTION("IF('Respuestas de formulario 1'!K1907="""","""",TO_TEXT('Respuestas de formulario 1'!K1907))"),"")</f>
        <v/>
      </c>
      <c r="L1794" s="7" t="str">
        <f>IFERROR(__xludf.DUMMYFUNCTION("IF('Respuestas de formulario 1'!L1907="""","""",TO_TEXT('Respuestas de formulario 1'!L1907))"),"")</f>
        <v/>
      </c>
      <c r="M1794" s="7" t="str">
        <f>IFERROR(__xludf.DUMMYFUNCTION("IF('Respuestas de formulario 1'!M1907="""","""",TO_TEXT('Respuestas de formulario 1'!M1907))"),"")</f>
        <v/>
      </c>
      <c r="N1794" s="7" t="str">
        <f t="shared" si="1"/>
        <v/>
      </c>
      <c r="O1794" s="7" t="str">
        <f t="shared" si="2"/>
        <v/>
      </c>
      <c r="P1794" s="7"/>
    </row>
    <row r="1795">
      <c r="A1795" s="7" t="str">
        <f>'Respuestas de formulario 1'!A1908</f>
        <v/>
      </c>
      <c r="B1795" s="7" t="str">
        <f>'Respuestas de formulario 1'!B1908</f>
        <v/>
      </c>
      <c r="C1795" s="7" t="str">
        <f>'Respuestas de formulario 1'!C1908</f>
        <v/>
      </c>
      <c r="D1795" s="7" t="str">
        <f>'Respuestas de formulario 1'!D1908</f>
        <v/>
      </c>
      <c r="E1795" s="7" t="str">
        <f>'Respuestas de formulario 1'!E1908</f>
        <v/>
      </c>
      <c r="F1795" s="7" t="str">
        <f>'Respuestas de formulario 1'!F1908</f>
        <v/>
      </c>
      <c r="G1795" s="7" t="str">
        <f>IFERROR(__xludf.DUMMYFUNCTION("IF('Respuestas de formulario 1'!G1908="""","""",IF(LEFT(REGEXREPLACE(TO_TEXT('Respuestas de formulario 1'!G1908),""[^0-9]"",""""),2)=""54"",""+""&amp;REGEXREPLACE(TO_TEXT('Respuestas de formulario 1'!G1908),""[^0-9]"",""""),""+54""&amp;REGEXREPLACE(TO_TEXT('Respu"&amp;"estas de formulario 1'!G1908),""[^0-9]"","""")))"),"")</f>
        <v/>
      </c>
      <c r="H1795" s="7" t="str">
        <f>'Respuestas de formulario 1'!S1908</f>
        <v/>
      </c>
      <c r="I1795" s="7" t="str">
        <f>IFERROR(__xludf.DUMMYFUNCTION("IF('Respuestas de formulario 1'!I1908="""","""",TO_TEXT('Respuestas de formulario 1'!I1908))"),"")</f>
        <v/>
      </c>
      <c r="J1795" s="7" t="str">
        <f>IFERROR(__xludf.DUMMYFUNCTION("IF('Respuestas de formulario 1'!J1908&lt;&gt;"""",UPPER(TRIM(TO_TEXT('Respuestas de formulario 1'!J1908))),IF('Respuestas de formulario 1'!O1908&lt;&gt;"""",UPPER(TRIM(TO_TEXT('Respuestas de formulario 1'!O1908))),""""))"),"")</f>
        <v/>
      </c>
      <c r="K1795" s="7" t="str">
        <f>IFERROR(__xludf.DUMMYFUNCTION("IF('Respuestas de formulario 1'!K1908="""","""",TO_TEXT('Respuestas de formulario 1'!K1908))"),"")</f>
        <v/>
      </c>
      <c r="L1795" s="7" t="str">
        <f>IFERROR(__xludf.DUMMYFUNCTION("IF('Respuestas de formulario 1'!L1908="""","""",TO_TEXT('Respuestas de formulario 1'!L1908))"),"")</f>
        <v/>
      </c>
      <c r="M1795" s="7" t="str">
        <f>IFERROR(__xludf.DUMMYFUNCTION("IF('Respuestas de formulario 1'!M1908="""","""",TO_TEXT('Respuestas de formulario 1'!M1908))"),"")</f>
        <v/>
      </c>
      <c r="N1795" s="7" t="str">
        <f t="shared" si="1"/>
        <v/>
      </c>
      <c r="O1795" s="7" t="str">
        <f t="shared" si="2"/>
        <v/>
      </c>
      <c r="P1795" s="7"/>
    </row>
    <row r="1796">
      <c r="A1796" s="7" t="str">
        <f>'Respuestas de formulario 1'!A1909</f>
        <v/>
      </c>
      <c r="B1796" s="7" t="str">
        <f>'Respuestas de formulario 1'!B1909</f>
        <v/>
      </c>
      <c r="C1796" s="7" t="str">
        <f>'Respuestas de formulario 1'!C1909</f>
        <v/>
      </c>
      <c r="D1796" s="7" t="str">
        <f>'Respuestas de formulario 1'!D1909</f>
        <v/>
      </c>
      <c r="E1796" s="7" t="str">
        <f>'Respuestas de formulario 1'!E1909</f>
        <v/>
      </c>
      <c r="F1796" s="7" t="str">
        <f>'Respuestas de formulario 1'!F1909</f>
        <v/>
      </c>
      <c r="G1796" s="7" t="str">
        <f>IFERROR(__xludf.DUMMYFUNCTION("IF('Respuestas de formulario 1'!G1909="""","""",IF(LEFT(REGEXREPLACE(TO_TEXT('Respuestas de formulario 1'!G1909),""[^0-9]"",""""),2)=""54"",""+""&amp;REGEXREPLACE(TO_TEXT('Respuestas de formulario 1'!G1909),""[^0-9]"",""""),""+54""&amp;REGEXREPLACE(TO_TEXT('Respu"&amp;"estas de formulario 1'!G1909),""[^0-9]"","""")))"),"")</f>
        <v/>
      </c>
      <c r="H1796" s="7" t="str">
        <f>'Respuestas de formulario 1'!S1909</f>
        <v/>
      </c>
      <c r="I1796" s="7" t="str">
        <f>IFERROR(__xludf.DUMMYFUNCTION("IF('Respuestas de formulario 1'!I1909="""","""",TO_TEXT('Respuestas de formulario 1'!I1909))"),"")</f>
        <v/>
      </c>
      <c r="J1796" s="7" t="str">
        <f>IFERROR(__xludf.DUMMYFUNCTION("IF('Respuestas de formulario 1'!J1909&lt;&gt;"""",UPPER(TRIM(TO_TEXT('Respuestas de formulario 1'!J1909))),IF('Respuestas de formulario 1'!O1909&lt;&gt;"""",UPPER(TRIM(TO_TEXT('Respuestas de formulario 1'!O1909))),""""))"),"")</f>
        <v/>
      </c>
      <c r="K1796" s="7" t="str">
        <f>IFERROR(__xludf.DUMMYFUNCTION("IF('Respuestas de formulario 1'!K1909="""","""",TO_TEXT('Respuestas de formulario 1'!K1909))"),"")</f>
        <v/>
      </c>
      <c r="L1796" s="7" t="str">
        <f>IFERROR(__xludf.DUMMYFUNCTION("IF('Respuestas de formulario 1'!L1909="""","""",TO_TEXT('Respuestas de formulario 1'!L1909))"),"")</f>
        <v/>
      </c>
      <c r="M1796" s="7" t="str">
        <f>IFERROR(__xludf.DUMMYFUNCTION("IF('Respuestas de formulario 1'!M1909="""","""",TO_TEXT('Respuestas de formulario 1'!M1909))"),"")</f>
        <v/>
      </c>
      <c r="N1796" s="7" t="str">
        <f t="shared" si="1"/>
        <v/>
      </c>
      <c r="O1796" s="7" t="str">
        <f t="shared" si="2"/>
        <v/>
      </c>
      <c r="P1796" s="7"/>
    </row>
    <row r="1797">
      <c r="A1797" s="7" t="str">
        <f>'Respuestas de formulario 1'!A1910</f>
        <v/>
      </c>
      <c r="B1797" s="7" t="str">
        <f>'Respuestas de formulario 1'!B1910</f>
        <v/>
      </c>
      <c r="C1797" s="7" t="str">
        <f>'Respuestas de formulario 1'!C1910</f>
        <v/>
      </c>
      <c r="D1797" s="7" t="str">
        <f>'Respuestas de formulario 1'!D1910</f>
        <v/>
      </c>
      <c r="E1797" s="7" t="str">
        <f>'Respuestas de formulario 1'!E1910</f>
        <v/>
      </c>
      <c r="F1797" s="7" t="str">
        <f>'Respuestas de formulario 1'!F1910</f>
        <v/>
      </c>
      <c r="G1797" s="7" t="str">
        <f>IFERROR(__xludf.DUMMYFUNCTION("IF('Respuestas de formulario 1'!G1910="""","""",IF(LEFT(REGEXREPLACE(TO_TEXT('Respuestas de formulario 1'!G1910),""[^0-9]"",""""),2)=""54"",""+""&amp;REGEXREPLACE(TO_TEXT('Respuestas de formulario 1'!G1910),""[^0-9]"",""""),""+54""&amp;REGEXREPLACE(TO_TEXT('Respu"&amp;"estas de formulario 1'!G1910),""[^0-9]"","""")))"),"")</f>
        <v/>
      </c>
      <c r="H1797" s="7" t="str">
        <f>'Respuestas de formulario 1'!S1910</f>
        <v/>
      </c>
      <c r="I1797" s="7" t="str">
        <f>IFERROR(__xludf.DUMMYFUNCTION("IF('Respuestas de formulario 1'!I1910="""","""",TO_TEXT('Respuestas de formulario 1'!I1910))"),"")</f>
        <v/>
      </c>
      <c r="J1797" s="7" t="str">
        <f>IFERROR(__xludf.DUMMYFUNCTION("IF('Respuestas de formulario 1'!J1910&lt;&gt;"""",UPPER(TRIM(TO_TEXT('Respuestas de formulario 1'!J1910))),IF('Respuestas de formulario 1'!O1910&lt;&gt;"""",UPPER(TRIM(TO_TEXT('Respuestas de formulario 1'!O1910))),""""))"),"")</f>
        <v/>
      </c>
      <c r="K1797" s="7" t="str">
        <f>IFERROR(__xludf.DUMMYFUNCTION("IF('Respuestas de formulario 1'!K1910="""","""",TO_TEXT('Respuestas de formulario 1'!K1910))"),"")</f>
        <v/>
      </c>
      <c r="L1797" s="7" t="str">
        <f>IFERROR(__xludf.DUMMYFUNCTION("IF('Respuestas de formulario 1'!L1910="""","""",TO_TEXT('Respuestas de formulario 1'!L1910))"),"")</f>
        <v/>
      </c>
      <c r="M1797" s="7" t="str">
        <f>IFERROR(__xludf.DUMMYFUNCTION("IF('Respuestas de formulario 1'!M1910="""","""",TO_TEXT('Respuestas de formulario 1'!M1910))"),"")</f>
        <v/>
      </c>
      <c r="N1797" s="7" t="str">
        <f t="shared" si="1"/>
        <v/>
      </c>
      <c r="O1797" s="7" t="str">
        <f t="shared" si="2"/>
        <v/>
      </c>
      <c r="P1797" s="7"/>
    </row>
    <row r="1798">
      <c r="A1798" s="7" t="str">
        <f>'Respuestas de formulario 1'!A1911</f>
        <v/>
      </c>
      <c r="B1798" s="7" t="str">
        <f>'Respuestas de formulario 1'!B1911</f>
        <v/>
      </c>
      <c r="C1798" s="7" t="str">
        <f>'Respuestas de formulario 1'!C1911</f>
        <v/>
      </c>
      <c r="D1798" s="7" t="str">
        <f>'Respuestas de formulario 1'!D1911</f>
        <v/>
      </c>
      <c r="E1798" s="7" t="str">
        <f>'Respuestas de formulario 1'!E1911</f>
        <v/>
      </c>
      <c r="F1798" s="7" t="str">
        <f>'Respuestas de formulario 1'!F1911</f>
        <v/>
      </c>
      <c r="G1798" s="7" t="str">
        <f>IFERROR(__xludf.DUMMYFUNCTION("IF('Respuestas de formulario 1'!G1911="""","""",IF(LEFT(REGEXREPLACE(TO_TEXT('Respuestas de formulario 1'!G1911),""[^0-9]"",""""),2)=""54"",""+""&amp;REGEXREPLACE(TO_TEXT('Respuestas de formulario 1'!G1911),""[^0-9]"",""""),""+54""&amp;REGEXREPLACE(TO_TEXT('Respu"&amp;"estas de formulario 1'!G1911),""[^0-9]"","""")))"),"")</f>
        <v/>
      </c>
      <c r="H1798" s="7" t="str">
        <f>'Respuestas de formulario 1'!S1911</f>
        <v/>
      </c>
      <c r="I1798" s="7" t="str">
        <f>IFERROR(__xludf.DUMMYFUNCTION("IF('Respuestas de formulario 1'!I1911="""","""",TO_TEXT('Respuestas de formulario 1'!I1911))"),"")</f>
        <v/>
      </c>
      <c r="J1798" s="7" t="str">
        <f>IFERROR(__xludf.DUMMYFUNCTION("IF('Respuestas de formulario 1'!J1911&lt;&gt;"""",UPPER(TRIM(TO_TEXT('Respuestas de formulario 1'!J1911))),IF('Respuestas de formulario 1'!O1911&lt;&gt;"""",UPPER(TRIM(TO_TEXT('Respuestas de formulario 1'!O1911))),""""))"),"")</f>
        <v/>
      </c>
      <c r="K1798" s="7" t="str">
        <f>IFERROR(__xludf.DUMMYFUNCTION("IF('Respuestas de formulario 1'!K1911="""","""",TO_TEXT('Respuestas de formulario 1'!K1911))"),"")</f>
        <v/>
      </c>
      <c r="L1798" s="7" t="str">
        <f>IFERROR(__xludf.DUMMYFUNCTION("IF('Respuestas de formulario 1'!L1911="""","""",TO_TEXT('Respuestas de formulario 1'!L1911))"),"")</f>
        <v/>
      </c>
      <c r="M1798" s="7" t="str">
        <f>IFERROR(__xludf.DUMMYFUNCTION("IF('Respuestas de formulario 1'!M1911="""","""",TO_TEXT('Respuestas de formulario 1'!M1911))"),"")</f>
        <v/>
      </c>
      <c r="N1798" s="7" t="str">
        <f t="shared" si="1"/>
        <v/>
      </c>
      <c r="O1798" s="7" t="str">
        <f t="shared" si="2"/>
        <v/>
      </c>
      <c r="P1798" s="7"/>
    </row>
    <row r="1799">
      <c r="A1799" s="7" t="str">
        <f>'Respuestas de formulario 1'!A1912</f>
        <v/>
      </c>
      <c r="B1799" s="7" t="str">
        <f>'Respuestas de formulario 1'!B1912</f>
        <v/>
      </c>
      <c r="C1799" s="7" t="str">
        <f>'Respuestas de formulario 1'!C1912</f>
        <v/>
      </c>
      <c r="D1799" s="7" t="str">
        <f>'Respuestas de formulario 1'!D1912</f>
        <v/>
      </c>
      <c r="E1799" s="7" t="str">
        <f>'Respuestas de formulario 1'!E1912</f>
        <v/>
      </c>
      <c r="F1799" s="7" t="str">
        <f>'Respuestas de formulario 1'!F1912</f>
        <v/>
      </c>
      <c r="G1799" s="7" t="str">
        <f>IFERROR(__xludf.DUMMYFUNCTION("IF('Respuestas de formulario 1'!G1912="""","""",IF(LEFT(REGEXREPLACE(TO_TEXT('Respuestas de formulario 1'!G1912),""[^0-9]"",""""),2)=""54"",""+""&amp;REGEXREPLACE(TO_TEXT('Respuestas de formulario 1'!G1912),""[^0-9]"",""""),""+54""&amp;REGEXREPLACE(TO_TEXT('Respu"&amp;"estas de formulario 1'!G1912),""[^0-9]"","""")))"),"")</f>
        <v/>
      </c>
      <c r="H1799" s="7" t="str">
        <f>'Respuestas de formulario 1'!S1912</f>
        <v/>
      </c>
      <c r="I1799" s="7" t="str">
        <f>IFERROR(__xludf.DUMMYFUNCTION("IF('Respuestas de formulario 1'!I1912="""","""",TO_TEXT('Respuestas de formulario 1'!I1912))"),"")</f>
        <v/>
      </c>
      <c r="J1799" s="7" t="str">
        <f>IFERROR(__xludf.DUMMYFUNCTION("IF('Respuestas de formulario 1'!J1912&lt;&gt;"""",UPPER(TRIM(TO_TEXT('Respuestas de formulario 1'!J1912))),IF('Respuestas de formulario 1'!O1912&lt;&gt;"""",UPPER(TRIM(TO_TEXT('Respuestas de formulario 1'!O1912))),""""))"),"")</f>
        <v/>
      </c>
      <c r="K1799" s="7" t="str">
        <f>IFERROR(__xludf.DUMMYFUNCTION("IF('Respuestas de formulario 1'!K1912="""","""",TO_TEXT('Respuestas de formulario 1'!K1912))"),"")</f>
        <v/>
      </c>
      <c r="L1799" s="7" t="str">
        <f>IFERROR(__xludf.DUMMYFUNCTION("IF('Respuestas de formulario 1'!L1912="""","""",TO_TEXT('Respuestas de formulario 1'!L1912))"),"")</f>
        <v/>
      </c>
      <c r="M1799" s="7" t="str">
        <f>IFERROR(__xludf.DUMMYFUNCTION("IF('Respuestas de formulario 1'!M1912="""","""",TO_TEXT('Respuestas de formulario 1'!M1912))"),"")</f>
        <v/>
      </c>
      <c r="N1799" s="7" t="str">
        <f t="shared" si="1"/>
        <v/>
      </c>
      <c r="O1799" s="7" t="str">
        <f t="shared" si="2"/>
        <v/>
      </c>
      <c r="P1799" s="7"/>
    </row>
    <row r="1800">
      <c r="A1800" s="7" t="str">
        <f>'Respuestas de formulario 1'!A1913</f>
        <v/>
      </c>
      <c r="B1800" s="7" t="str">
        <f>'Respuestas de formulario 1'!B1913</f>
        <v/>
      </c>
      <c r="C1800" s="7" t="str">
        <f>'Respuestas de formulario 1'!C1913</f>
        <v/>
      </c>
      <c r="D1800" s="7" t="str">
        <f>'Respuestas de formulario 1'!D1913</f>
        <v/>
      </c>
      <c r="E1800" s="7" t="str">
        <f>'Respuestas de formulario 1'!E1913</f>
        <v/>
      </c>
      <c r="F1800" s="7" t="str">
        <f>'Respuestas de formulario 1'!F1913</f>
        <v/>
      </c>
      <c r="G1800" s="7" t="str">
        <f>IFERROR(__xludf.DUMMYFUNCTION("IF('Respuestas de formulario 1'!G1913="""","""",IF(LEFT(REGEXREPLACE(TO_TEXT('Respuestas de formulario 1'!G1913),""[^0-9]"",""""),2)=""54"",""+""&amp;REGEXREPLACE(TO_TEXT('Respuestas de formulario 1'!G1913),""[^0-9]"",""""),""+54""&amp;REGEXREPLACE(TO_TEXT('Respu"&amp;"estas de formulario 1'!G1913),""[^0-9]"","""")))"),"")</f>
        <v/>
      </c>
      <c r="H1800" s="7" t="str">
        <f>'Respuestas de formulario 1'!S1913</f>
        <v/>
      </c>
      <c r="I1800" s="7" t="str">
        <f>IFERROR(__xludf.DUMMYFUNCTION("IF('Respuestas de formulario 1'!I1913="""","""",TO_TEXT('Respuestas de formulario 1'!I1913))"),"")</f>
        <v/>
      </c>
      <c r="J1800" s="7" t="str">
        <f>IFERROR(__xludf.DUMMYFUNCTION("IF('Respuestas de formulario 1'!J1913&lt;&gt;"""",UPPER(TRIM(TO_TEXT('Respuestas de formulario 1'!J1913))),IF('Respuestas de formulario 1'!O1913&lt;&gt;"""",UPPER(TRIM(TO_TEXT('Respuestas de formulario 1'!O1913))),""""))"),"")</f>
        <v/>
      </c>
      <c r="K1800" s="7" t="str">
        <f>IFERROR(__xludf.DUMMYFUNCTION("IF('Respuestas de formulario 1'!K1913="""","""",TO_TEXT('Respuestas de formulario 1'!K1913))"),"")</f>
        <v/>
      </c>
      <c r="L1800" s="7" t="str">
        <f>IFERROR(__xludf.DUMMYFUNCTION("IF('Respuestas de formulario 1'!L1913="""","""",TO_TEXT('Respuestas de formulario 1'!L1913))"),"")</f>
        <v/>
      </c>
      <c r="M1800" s="7" t="str">
        <f>IFERROR(__xludf.DUMMYFUNCTION("IF('Respuestas de formulario 1'!M1913="""","""",TO_TEXT('Respuestas de formulario 1'!M1913))"),"")</f>
        <v/>
      </c>
      <c r="N1800" s="7" t="str">
        <f t="shared" si="1"/>
        <v/>
      </c>
      <c r="O1800" s="7" t="str">
        <f t="shared" si="2"/>
        <v/>
      </c>
      <c r="P1800" s="7"/>
    </row>
    <row r="1801">
      <c r="A1801" s="7" t="str">
        <f>'Respuestas de formulario 1'!A1914</f>
        <v/>
      </c>
      <c r="B1801" s="7" t="str">
        <f>'Respuestas de formulario 1'!B1914</f>
        <v/>
      </c>
      <c r="C1801" s="7" t="str">
        <f>'Respuestas de formulario 1'!C1914</f>
        <v/>
      </c>
      <c r="D1801" s="7" t="str">
        <f>'Respuestas de formulario 1'!D1914</f>
        <v/>
      </c>
      <c r="E1801" s="7" t="str">
        <f>'Respuestas de formulario 1'!E1914</f>
        <v/>
      </c>
      <c r="F1801" s="7" t="str">
        <f>'Respuestas de formulario 1'!F1914</f>
        <v/>
      </c>
      <c r="G1801" s="7" t="str">
        <f>IFERROR(__xludf.DUMMYFUNCTION("IF('Respuestas de formulario 1'!G1914="""","""",IF(LEFT(REGEXREPLACE(TO_TEXT('Respuestas de formulario 1'!G1914),""[^0-9]"",""""),2)=""54"",""+""&amp;REGEXREPLACE(TO_TEXT('Respuestas de formulario 1'!G1914),""[^0-9]"",""""),""+54""&amp;REGEXREPLACE(TO_TEXT('Respu"&amp;"estas de formulario 1'!G1914),""[^0-9]"","""")))"),"")</f>
        <v/>
      </c>
      <c r="H1801" s="7" t="str">
        <f>'Respuestas de formulario 1'!S1914</f>
        <v/>
      </c>
      <c r="I1801" s="7" t="str">
        <f>IFERROR(__xludf.DUMMYFUNCTION("IF('Respuestas de formulario 1'!I1914="""","""",TO_TEXT('Respuestas de formulario 1'!I1914))"),"")</f>
        <v/>
      </c>
      <c r="J1801" s="7" t="str">
        <f>IFERROR(__xludf.DUMMYFUNCTION("IF('Respuestas de formulario 1'!J1914&lt;&gt;"""",UPPER(TRIM(TO_TEXT('Respuestas de formulario 1'!J1914))),IF('Respuestas de formulario 1'!O1914&lt;&gt;"""",UPPER(TRIM(TO_TEXT('Respuestas de formulario 1'!O1914))),""""))"),"")</f>
        <v/>
      </c>
      <c r="K1801" s="7" t="str">
        <f>IFERROR(__xludf.DUMMYFUNCTION("IF('Respuestas de formulario 1'!K1914="""","""",TO_TEXT('Respuestas de formulario 1'!K1914))"),"")</f>
        <v/>
      </c>
      <c r="L1801" s="7" t="str">
        <f>IFERROR(__xludf.DUMMYFUNCTION("IF('Respuestas de formulario 1'!L1914="""","""",TO_TEXT('Respuestas de formulario 1'!L1914))"),"")</f>
        <v/>
      </c>
      <c r="M1801" s="7" t="str">
        <f>IFERROR(__xludf.DUMMYFUNCTION("IF('Respuestas de formulario 1'!M1914="""","""",TO_TEXT('Respuestas de formulario 1'!M1914))"),"")</f>
        <v/>
      </c>
      <c r="N1801" s="7" t="str">
        <f t="shared" si="1"/>
        <v/>
      </c>
      <c r="O1801" s="7" t="str">
        <f t="shared" si="2"/>
        <v/>
      </c>
      <c r="P1801" s="7"/>
    </row>
    <row r="1802">
      <c r="A1802" s="7" t="str">
        <f>'Respuestas de formulario 1'!A1915</f>
        <v/>
      </c>
      <c r="B1802" s="7" t="str">
        <f>'Respuestas de formulario 1'!B1915</f>
        <v/>
      </c>
      <c r="C1802" s="7" t="str">
        <f>'Respuestas de formulario 1'!C1915</f>
        <v/>
      </c>
      <c r="D1802" s="7" t="str">
        <f>'Respuestas de formulario 1'!D1915</f>
        <v/>
      </c>
      <c r="E1802" s="7" t="str">
        <f>'Respuestas de formulario 1'!E1915</f>
        <v/>
      </c>
      <c r="F1802" s="7" t="str">
        <f>'Respuestas de formulario 1'!F1915</f>
        <v/>
      </c>
      <c r="G1802" s="7" t="str">
        <f>IFERROR(__xludf.DUMMYFUNCTION("IF('Respuestas de formulario 1'!G1915="""","""",IF(LEFT(REGEXREPLACE(TO_TEXT('Respuestas de formulario 1'!G1915),""[^0-9]"",""""),2)=""54"",""+""&amp;REGEXREPLACE(TO_TEXT('Respuestas de formulario 1'!G1915),""[^0-9]"",""""),""+54""&amp;REGEXREPLACE(TO_TEXT('Respu"&amp;"estas de formulario 1'!G1915),""[^0-9]"","""")))"),"")</f>
        <v/>
      </c>
      <c r="H1802" s="7" t="str">
        <f>'Respuestas de formulario 1'!S1915</f>
        <v/>
      </c>
      <c r="I1802" s="7" t="str">
        <f>IFERROR(__xludf.DUMMYFUNCTION("IF('Respuestas de formulario 1'!I1915="""","""",TO_TEXT('Respuestas de formulario 1'!I1915))"),"")</f>
        <v/>
      </c>
      <c r="J1802" s="7" t="str">
        <f>IFERROR(__xludf.DUMMYFUNCTION("IF('Respuestas de formulario 1'!J1915&lt;&gt;"""",UPPER(TRIM(TO_TEXT('Respuestas de formulario 1'!J1915))),IF('Respuestas de formulario 1'!O1915&lt;&gt;"""",UPPER(TRIM(TO_TEXT('Respuestas de formulario 1'!O1915))),""""))"),"")</f>
        <v/>
      </c>
      <c r="K1802" s="7" t="str">
        <f>IFERROR(__xludf.DUMMYFUNCTION("IF('Respuestas de formulario 1'!K1915="""","""",TO_TEXT('Respuestas de formulario 1'!K1915))"),"")</f>
        <v/>
      </c>
      <c r="L1802" s="7" t="str">
        <f>IFERROR(__xludf.DUMMYFUNCTION("IF('Respuestas de formulario 1'!L1915="""","""",TO_TEXT('Respuestas de formulario 1'!L1915))"),"")</f>
        <v/>
      </c>
      <c r="M1802" s="7" t="str">
        <f>IFERROR(__xludf.DUMMYFUNCTION("IF('Respuestas de formulario 1'!M1915="""","""",TO_TEXT('Respuestas de formulario 1'!M1915))"),"")</f>
        <v/>
      </c>
      <c r="N1802" s="7" t="str">
        <f t="shared" si="1"/>
        <v/>
      </c>
      <c r="O1802" s="7" t="str">
        <f t="shared" si="2"/>
        <v/>
      </c>
      <c r="P1802" s="7"/>
    </row>
    <row r="1803">
      <c r="A1803" s="7" t="str">
        <f>'Respuestas de formulario 1'!A1916</f>
        <v/>
      </c>
      <c r="B1803" s="7" t="str">
        <f>'Respuestas de formulario 1'!B1916</f>
        <v/>
      </c>
      <c r="C1803" s="7" t="str">
        <f>'Respuestas de formulario 1'!C1916</f>
        <v/>
      </c>
      <c r="D1803" s="7" t="str">
        <f>'Respuestas de formulario 1'!D1916</f>
        <v/>
      </c>
      <c r="E1803" s="7" t="str">
        <f>'Respuestas de formulario 1'!E1916</f>
        <v/>
      </c>
      <c r="F1803" s="7" t="str">
        <f>'Respuestas de formulario 1'!F1916</f>
        <v/>
      </c>
      <c r="G1803" s="7" t="str">
        <f>IFERROR(__xludf.DUMMYFUNCTION("IF('Respuestas de formulario 1'!G1916="""","""",IF(LEFT(REGEXREPLACE(TO_TEXT('Respuestas de formulario 1'!G1916),""[^0-9]"",""""),2)=""54"",""+""&amp;REGEXREPLACE(TO_TEXT('Respuestas de formulario 1'!G1916),""[^0-9]"",""""),""+54""&amp;REGEXREPLACE(TO_TEXT('Respu"&amp;"estas de formulario 1'!G1916),""[^0-9]"","""")))"),"")</f>
        <v/>
      </c>
      <c r="H1803" s="7" t="str">
        <f>'Respuestas de formulario 1'!S1916</f>
        <v/>
      </c>
      <c r="I1803" s="7" t="str">
        <f>IFERROR(__xludf.DUMMYFUNCTION("IF('Respuestas de formulario 1'!I1916="""","""",TO_TEXT('Respuestas de formulario 1'!I1916))"),"")</f>
        <v/>
      </c>
      <c r="J1803" s="7" t="str">
        <f>IFERROR(__xludf.DUMMYFUNCTION("IF('Respuestas de formulario 1'!J1916&lt;&gt;"""",UPPER(TRIM(TO_TEXT('Respuestas de formulario 1'!J1916))),IF('Respuestas de formulario 1'!O1916&lt;&gt;"""",UPPER(TRIM(TO_TEXT('Respuestas de formulario 1'!O1916))),""""))"),"")</f>
        <v/>
      </c>
      <c r="K1803" s="7" t="str">
        <f>IFERROR(__xludf.DUMMYFUNCTION("IF('Respuestas de formulario 1'!K1916="""","""",TO_TEXT('Respuestas de formulario 1'!K1916))"),"")</f>
        <v/>
      </c>
      <c r="L1803" s="7" t="str">
        <f>IFERROR(__xludf.DUMMYFUNCTION("IF('Respuestas de formulario 1'!L1916="""","""",TO_TEXT('Respuestas de formulario 1'!L1916))"),"")</f>
        <v/>
      </c>
      <c r="M1803" s="7" t="str">
        <f>IFERROR(__xludf.DUMMYFUNCTION("IF('Respuestas de formulario 1'!M1916="""","""",TO_TEXT('Respuestas de formulario 1'!M1916))"),"")</f>
        <v/>
      </c>
      <c r="N1803" s="7" t="str">
        <f t="shared" si="1"/>
        <v/>
      </c>
      <c r="O1803" s="7" t="str">
        <f t="shared" si="2"/>
        <v/>
      </c>
      <c r="P1803" s="7"/>
    </row>
    <row r="1804">
      <c r="A1804" s="7" t="str">
        <f>'Respuestas de formulario 1'!A1917</f>
        <v/>
      </c>
      <c r="B1804" s="7" t="str">
        <f>'Respuestas de formulario 1'!B1917</f>
        <v/>
      </c>
      <c r="C1804" s="7" t="str">
        <f>'Respuestas de formulario 1'!C1917</f>
        <v/>
      </c>
      <c r="D1804" s="7" t="str">
        <f>'Respuestas de formulario 1'!D1917</f>
        <v/>
      </c>
      <c r="E1804" s="7" t="str">
        <f>'Respuestas de formulario 1'!E1917</f>
        <v/>
      </c>
      <c r="F1804" s="7" t="str">
        <f>'Respuestas de formulario 1'!F1917</f>
        <v/>
      </c>
      <c r="G1804" s="7" t="str">
        <f>IFERROR(__xludf.DUMMYFUNCTION("IF('Respuestas de formulario 1'!G1917="""","""",IF(LEFT(REGEXREPLACE(TO_TEXT('Respuestas de formulario 1'!G1917),""[^0-9]"",""""),2)=""54"",""+""&amp;REGEXREPLACE(TO_TEXT('Respuestas de formulario 1'!G1917),""[^0-9]"",""""),""+54""&amp;REGEXREPLACE(TO_TEXT('Respu"&amp;"estas de formulario 1'!G1917),""[^0-9]"","""")))"),"")</f>
        <v/>
      </c>
      <c r="H1804" s="7" t="str">
        <f>'Respuestas de formulario 1'!S1917</f>
        <v/>
      </c>
      <c r="I1804" s="7" t="str">
        <f>IFERROR(__xludf.DUMMYFUNCTION("IF('Respuestas de formulario 1'!I1917="""","""",TO_TEXT('Respuestas de formulario 1'!I1917))"),"")</f>
        <v/>
      </c>
      <c r="J1804" s="7" t="str">
        <f>IFERROR(__xludf.DUMMYFUNCTION("IF('Respuestas de formulario 1'!J1917&lt;&gt;"""",UPPER(TRIM(TO_TEXT('Respuestas de formulario 1'!J1917))),IF('Respuestas de formulario 1'!O1917&lt;&gt;"""",UPPER(TRIM(TO_TEXT('Respuestas de formulario 1'!O1917))),""""))"),"")</f>
        <v/>
      </c>
      <c r="K1804" s="7" t="str">
        <f>IFERROR(__xludf.DUMMYFUNCTION("IF('Respuestas de formulario 1'!K1917="""","""",TO_TEXT('Respuestas de formulario 1'!K1917))"),"")</f>
        <v/>
      </c>
      <c r="L1804" s="7" t="str">
        <f>IFERROR(__xludf.DUMMYFUNCTION("IF('Respuestas de formulario 1'!L1917="""","""",TO_TEXT('Respuestas de formulario 1'!L1917))"),"")</f>
        <v/>
      </c>
      <c r="M1804" s="7" t="str">
        <f>IFERROR(__xludf.DUMMYFUNCTION("IF('Respuestas de formulario 1'!M1917="""","""",TO_TEXT('Respuestas de formulario 1'!M1917))"),"")</f>
        <v/>
      </c>
      <c r="N1804" s="7" t="str">
        <f t="shared" si="1"/>
        <v/>
      </c>
      <c r="O1804" s="7" t="str">
        <f t="shared" si="2"/>
        <v/>
      </c>
      <c r="P1804" s="7"/>
    </row>
    <row r="1805">
      <c r="A1805" s="7" t="str">
        <f>'Respuestas de formulario 1'!A1918</f>
        <v/>
      </c>
      <c r="B1805" s="7" t="str">
        <f>'Respuestas de formulario 1'!B1918</f>
        <v/>
      </c>
      <c r="C1805" s="7" t="str">
        <f>'Respuestas de formulario 1'!C1918</f>
        <v/>
      </c>
      <c r="D1805" s="7" t="str">
        <f>'Respuestas de formulario 1'!D1918</f>
        <v/>
      </c>
      <c r="E1805" s="7" t="str">
        <f>'Respuestas de formulario 1'!E1918</f>
        <v/>
      </c>
      <c r="F1805" s="7" t="str">
        <f>'Respuestas de formulario 1'!F1918</f>
        <v/>
      </c>
      <c r="G1805" s="7" t="str">
        <f>IFERROR(__xludf.DUMMYFUNCTION("IF('Respuestas de formulario 1'!G1918="""","""",IF(LEFT(REGEXREPLACE(TO_TEXT('Respuestas de formulario 1'!G1918),""[^0-9]"",""""),2)=""54"",""+""&amp;REGEXREPLACE(TO_TEXT('Respuestas de formulario 1'!G1918),""[^0-9]"",""""),""+54""&amp;REGEXREPLACE(TO_TEXT('Respu"&amp;"estas de formulario 1'!G1918),""[^0-9]"","""")))"),"")</f>
        <v/>
      </c>
      <c r="H1805" s="7" t="str">
        <f>'Respuestas de formulario 1'!S1918</f>
        <v/>
      </c>
      <c r="I1805" s="7" t="str">
        <f>IFERROR(__xludf.DUMMYFUNCTION("IF('Respuestas de formulario 1'!I1918="""","""",TO_TEXT('Respuestas de formulario 1'!I1918))"),"")</f>
        <v/>
      </c>
      <c r="J1805" s="7" t="str">
        <f>IFERROR(__xludf.DUMMYFUNCTION("IF('Respuestas de formulario 1'!J1918&lt;&gt;"""",UPPER(TRIM(TO_TEXT('Respuestas de formulario 1'!J1918))),IF('Respuestas de formulario 1'!O1918&lt;&gt;"""",UPPER(TRIM(TO_TEXT('Respuestas de formulario 1'!O1918))),""""))"),"")</f>
        <v/>
      </c>
      <c r="K1805" s="7" t="str">
        <f>IFERROR(__xludf.DUMMYFUNCTION("IF('Respuestas de formulario 1'!K1918="""","""",TO_TEXT('Respuestas de formulario 1'!K1918))"),"")</f>
        <v/>
      </c>
      <c r="L1805" s="7" t="str">
        <f>IFERROR(__xludf.DUMMYFUNCTION("IF('Respuestas de formulario 1'!L1918="""","""",TO_TEXT('Respuestas de formulario 1'!L1918))"),"")</f>
        <v/>
      </c>
      <c r="M1805" s="7" t="str">
        <f>IFERROR(__xludf.DUMMYFUNCTION("IF('Respuestas de formulario 1'!M1918="""","""",TO_TEXT('Respuestas de formulario 1'!M1918))"),"")</f>
        <v/>
      </c>
      <c r="N1805" s="7" t="str">
        <f t="shared" si="1"/>
        <v/>
      </c>
      <c r="O1805" s="7" t="str">
        <f t="shared" si="2"/>
        <v/>
      </c>
      <c r="P1805" s="7"/>
    </row>
    <row r="1806">
      <c r="A1806" s="7" t="str">
        <f>'Respuestas de formulario 1'!A1919</f>
        <v/>
      </c>
      <c r="B1806" s="7" t="str">
        <f>'Respuestas de formulario 1'!B1919</f>
        <v/>
      </c>
      <c r="C1806" s="7" t="str">
        <f>'Respuestas de formulario 1'!C1919</f>
        <v/>
      </c>
      <c r="D1806" s="7" t="str">
        <f>'Respuestas de formulario 1'!D1919</f>
        <v/>
      </c>
      <c r="E1806" s="7" t="str">
        <f>'Respuestas de formulario 1'!E1919</f>
        <v/>
      </c>
      <c r="F1806" s="7" t="str">
        <f>'Respuestas de formulario 1'!F1919</f>
        <v/>
      </c>
      <c r="G1806" s="7" t="str">
        <f>IFERROR(__xludf.DUMMYFUNCTION("IF('Respuestas de formulario 1'!G1919="""","""",IF(LEFT(REGEXREPLACE(TO_TEXT('Respuestas de formulario 1'!G1919),""[^0-9]"",""""),2)=""54"",""+""&amp;REGEXREPLACE(TO_TEXT('Respuestas de formulario 1'!G1919),""[^0-9]"",""""),""+54""&amp;REGEXREPLACE(TO_TEXT('Respu"&amp;"estas de formulario 1'!G1919),""[^0-9]"","""")))"),"")</f>
        <v/>
      </c>
      <c r="H1806" s="7" t="str">
        <f>'Respuestas de formulario 1'!S1919</f>
        <v/>
      </c>
      <c r="I1806" s="7" t="str">
        <f>IFERROR(__xludf.DUMMYFUNCTION("IF('Respuestas de formulario 1'!I1919="""","""",TO_TEXT('Respuestas de formulario 1'!I1919))"),"")</f>
        <v/>
      </c>
      <c r="J1806" s="7" t="str">
        <f>IFERROR(__xludf.DUMMYFUNCTION("IF('Respuestas de formulario 1'!J1919&lt;&gt;"""",UPPER(TRIM(TO_TEXT('Respuestas de formulario 1'!J1919))),IF('Respuestas de formulario 1'!O1919&lt;&gt;"""",UPPER(TRIM(TO_TEXT('Respuestas de formulario 1'!O1919))),""""))"),"")</f>
        <v/>
      </c>
      <c r="K1806" s="7" t="str">
        <f>IFERROR(__xludf.DUMMYFUNCTION("IF('Respuestas de formulario 1'!K1919="""","""",TO_TEXT('Respuestas de formulario 1'!K1919))"),"")</f>
        <v/>
      </c>
      <c r="L1806" s="7" t="str">
        <f>IFERROR(__xludf.DUMMYFUNCTION("IF('Respuestas de formulario 1'!L1919="""","""",TO_TEXT('Respuestas de formulario 1'!L1919))"),"")</f>
        <v/>
      </c>
      <c r="M1806" s="7" t="str">
        <f>IFERROR(__xludf.DUMMYFUNCTION("IF('Respuestas de formulario 1'!M1919="""","""",TO_TEXT('Respuestas de formulario 1'!M1919))"),"")</f>
        <v/>
      </c>
      <c r="N1806" s="7" t="str">
        <f t="shared" si="1"/>
        <v/>
      </c>
      <c r="O1806" s="7" t="str">
        <f t="shared" si="2"/>
        <v/>
      </c>
      <c r="P1806" s="7"/>
    </row>
    <row r="1807">
      <c r="A1807" s="7" t="str">
        <f>'Respuestas de formulario 1'!A1920</f>
        <v/>
      </c>
      <c r="B1807" s="7" t="str">
        <f>'Respuestas de formulario 1'!B1920</f>
        <v/>
      </c>
      <c r="C1807" s="7" t="str">
        <f>'Respuestas de formulario 1'!C1920</f>
        <v/>
      </c>
      <c r="D1807" s="7" t="str">
        <f>'Respuestas de formulario 1'!D1920</f>
        <v/>
      </c>
      <c r="E1807" s="7" t="str">
        <f>'Respuestas de formulario 1'!E1920</f>
        <v/>
      </c>
      <c r="F1807" s="7" t="str">
        <f>'Respuestas de formulario 1'!F1920</f>
        <v/>
      </c>
      <c r="G1807" s="7" t="str">
        <f>IFERROR(__xludf.DUMMYFUNCTION("IF('Respuestas de formulario 1'!G1920="""","""",IF(LEFT(REGEXREPLACE(TO_TEXT('Respuestas de formulario 1'!G1920),""[^0-9]"",""""),2)=""54"",""+""&amp;REGEXREPLACE(TO_TEXT('Respuestas de formulario 1'!G1920),""[^0-9]"",""""),""+54""&amp;REGEXREPLACE(TO_TEXT('Respu"&amp;"estas de formulario 1'!G1920),""[^0-9]"","""")))"),"")</f>
        <v/>
      </c>
      <c r="H1807" s="7" t="str">
        <f>'Respuestas de formulario 1'!S1920</f>
        <v/>
      </c>
      <c r="I1807" s="7" t="str">
        <f>IFERROR(__xludf.DUMMYFUNCTION("IF('Respuestas de formulario 1'!I1920="""","""",TO_TEXT('Respuestas de formulario 1'!I1920))"),"")</f>
        <v/>
      </c>
      <c r="J1807" s="7" t="str">
        <f>IFERROR(__xludf.DUMMYFUNCTION("IF('Respuestas de formulario 1'!J1920&lt;&gt;"""",UPPER(TRIM(TO_TEXT('Respuestas de formulario 1'!J1920))),IF('Respuestas de formulario 1'!O1920&lt;&gt;"""",UPPER(TRIM(TO_TEXT('Respuestas de formulario 1'!O1920))),""""))"),"")</f>
        <v/>
      </c>
      <c r="K1807" s="7" t="str">
        <f>IFERROR(__xludf.DUMMYFUNCTION("IF('Respuestas de formulario 1'!K1920="""","""",TO_TEXT('Respuestas de formulario 1'!K1920))"),"")</f>
        <v/>
      </c>
      <c r="L1807" s="7" t="str">
        <f>IFERROR(__xludf.DUMMYFUNCTION("IF('Respuestas de formulario 1'!L1920="""","""",TO_TEXT('Respuestas de formulario 1'!L1920))"),"")</f>
        <v/>
      </c>
      <c r="M1807" s="7" t="str">
        <f>IFERROR(__xludf.DUMMYFUNCTION("IF('Respuestas de formulario 1'!M1920="""","""",TO_TEXT('Respuestas de formulario 1'!M1920))"),"")</f>
        <v/>
      </c>
      <c r="N1807" s="7" t="str">
        <f t="shared" si="1"/>
        <v/>
      </c>
      <c r="O1807" s="7" t="str">
        <f t="shared" si="2"/>
        <v/>
      </c>
      <c r="P1807" s="7"/>
    </row>
    <row r="1808">
      <c r="A1808" s="7" t="str">
        <f>'Respuestas de formulario 1'!A1921</f>
        <v/>
      </c>
      <c r="B1808" s="7" t="str">
        <f>'Respuestas de formulario 1'!B1921</f>
        <v/>
      </c>
      <c r="C1808" s="7" t="str">
        <f>'Respuestas de formulario 1'!C1921</f>
        <v/>
      </c>
      <c r="D1808" s="7" t="str">
        <f>'Respuestas de formulario 1'!D1921</f>
        <v/>
      </c>
      <c r="E1808" s="7" t="str">
        <f>'Respuestas de formulario 1'!E1921</f>
        <v/>
      </c>
      <c r="F1808" s="7" t="str">
        <f>'Respuestas de formulario 1'!F1921</f>
        <v/>
      </c>
      <c r="G1808" s="7" t="str">
        <f>IFERROR(__xludf.DUMMYFUNCTION("IF('Respuestas de formulario 1'!G1921="""","""",IF(LEFT(REGEXREPLACE(TO_TEXT('Respuestas de formulario 1'!G1921),""[^0-9]"",""""),2)=""54"",""+""&amp;REGEXREPLACE(TO_TEXT('Respuestas de formulario 1'!G1921),""[^0-9]"",""""),""+54""&amp;REGEXREPLACE(TO_TEXT('Respu"&amp;"estas de formulario 1'!G1921),""[^0-9]"","""")))"),"")</f>
        <v/>
      </c>
      <c r="H1808" s="7" t="str">
        <f>'Respuestas de formulario 1'!S1921</f>
        <v/>
      </c>
      <c r="I1808" s="7" t="str">
        <f>IFERROR(__xludf.DUMMYFUNCTION("IF('Respuestas de formulario 1'!I1921="""","""",TO_TEXT('Respuestas de formulario 1'!I1921))"),"")</f>
        <v/>
      </c>
      <c r="J1808" s="7" t="str">
        <f>IFERROR(__xludf.DUMMYFUNCTION("IF('Respuestas de formulario 1'!J1921&lt;&gt;"""",UPPER(TRIM(TO_TEXT('Respuestas de formulario 1'!J1921))),IF('Respuestas de formulario 1'!O1921&lt;&gt;"""",UPPER(TRIM(TO_TEXT('Respuestas de formulario 1'!O1921))),""""))"),"")</f>
        <v/>
      </c>
      <c r="K1808" s="7" t="str">
        <f>IFERROR(__xludf.DUMMYFUNCTION("IF('Respuestas de formulario 1'!K1921="""","""",TO_TEXT('Respuestas de formulario 1'!K1921))"),"")</f>
        <v/>
      </c>
      <c r="L1808" s="7" t="str">
        <f>IFERROR(__xludf.DUMMYFUNCTION("IF('Respuestas de formulario 1'!L1921="""","""",TO_TEXT('Respuestas de formulario 1'!L1921))"),"")</f>
        <v/>
      </c>
      <c r="M1808" s="7" t="str">
        <f>IFERROR(__xludf.DUMMYFUNCTION("IF('Respuestas de formulario 1'!M1921="""","""",TO_TEXT('Respuestas de formulario 1'!M1921))"),"")</f>
        <v/>
      </c>
      <c r="N1808" s="7" t="str">
        <f t="shared" si="1"/>
        <v/>
      </c>
      <c r="O1808" s="7" t="str">
        <f t="shared" si="2"/>
        <v/>
      </c>
      <c r="P1808" s="7"/>
    </row>
    <row r="1809">
      <c r="A1809" s="7" t="str">
        <f>'Respuestas de formulario 1'!A1922</f>
        <v/>
      </c>
      <c r="B1809" s="7" t="str">
        <f>'Respuestas de formulario 1'!B1922</f>
        <v/>
      </c>
      <c r="C1809" s="7" t="str">
        <f>'Respuestas de formulario 1'!C1922</f>
        <v/>
      </c>
      <c r="D1809" s="7" t="str">
        <f>'Respuestas de formulario 1'!D1922</f>
        <v/>
      </c>
      <c r="E1809" s="7" t="str">
        <f>'Respuestas de formulario 1'!E1922</f>
        <v/>
      </c>
      <c r="F1809" s="7" t="str">
        <f>'Respuestas de formulario 1'!F1922</f>
        <v/>
      </c>
      <c r="G1809" s="7" t="str">
        <f>IFERROR(__xludf.DUMMYFUNCTION("IF('Respuestas de formulario 1'!G1922="""","""",IF(LEFT(REGEXREPLACE(TO_TEXT('Respuestas de formulario 1'!G1922),""[^0-9]"",""""),2)=""54"",""+""&amp;REGEXREPLACE(TO_TEXT('Respuestas de formulario 1'!G1922),""[^0-9]"",""""),""+54""&amp;REGEXREPLACE(TO_TEXT('Respu"&amp;"estas de formulario 1'!G1922),""[^0-9]"","""")))"),"")</f>
        <v/>
      </c>
      <c r="H1809" s="7" t="str">
        <f>'Respuestas de formulario 1'!S1922</f>
        <v/>
      </c>
      <c r="I1809" s="7" t="str">
        <f>IFERROR(__xludf.DUMMYFUNCTION("IF('Respuestas de formulario 1'!I1922="""","""",TO_TEXT('Respuestas de formulario 1'!I1922))"),"")</f>
        <v/>
      </c>
      <c r="J1809" s="7" t="str">
        <f>IFERROR(__xludf.DUMMYFUNCTION("IF('Respuestas de formulario 1'!J1922&lt;&gt;"""",UPPER(TRIM(TO_TEXT('Respuestas de formulario 1'!J1922))),IF('Respuestas de formulario 1'!O1922&lt;&gt;"""",UPPER(TRIM(TO_TEXT('Respuestas de formulario 1'!O1922))),""""))"),"")</f>
        <v/>
      </c>
      <c r="K1809" s="7" t="str">
        <f>IFERROR(__xludf.DUMMYFUNCTION("IF('Respuestas de formulario 1'!K1922="""","""",TO_TEXT('Respuestas de formulario 1'!K1922))"),"")</f>
        <v/>
      </c>
      <c r="L1809" s="7" t="str">
        <f>IFERROR(__xludf.DUMMYFUNCTION("IF('Respuestas de formulario 1'!L1922="""","""",TO_TEXT('Respuestas de formulario 1'!L1922))"),"")</f>
        <v/>
      </c>
      <c r="M1809" s="7" t="str">
        <f>IFERROR(__xludf.DUMMYFUNCTION("IF('Respuestas de formulario 1'!M1922="""","""",TO_TEXT('Respuestas de formulario 1'!M1922))"),"")</f>
        <v/>
      </c>
      <c r="N1809" s="7" t="str">
        <f t="shared" si="1"/>
        <v/>
      </c>
      <c r="O1809" s="7" t="str">
        <f t="shared" si="2"/>
        <v/>
      </c>
      <c r="P1809" s="7"/>
    </row>
    <row r="1810">
      <c r="A1810" s="7" t="str">
        <f>'Respuestas de formulario 1'!A1923</f>
        <v/>
      </c>
      <c r="B1810" s="7" t="str">
        <f>'Respuestas de formulario 1'!B1923</f>
        <v/>
      </c>
      <c r="C1810" s="7" t="str">
        <f>'Respuestas de formulario 1'!C1923</f>
        <v/>
      </c>
      <c r="D1810" s="7" t="str">
        <f>'Respuestas de formulario 1'!D1923</f>
        <v/>
      </c>
      <c r="E1810" s="7" t="str">
        <f>'Respuestas de formulario 1'!E1923</f>
        <v/>
      </c>
      <c r="F1810" s="7" t="str">
        <f>'Respuestas de formulario 1'!F1923</f>
        <v/>
      </c>
      <c r="G1810" s="7" t="str">
        <f>IFERROR(__xludf.DUMMYFUNCTION("IF('Respuestas de formulario 1'!G1923="""","""",IF(LEFT(REGEXREPLACE(TO_TEXT('Respuestas de formulario 1'!G1923),""[^0-9]"",""""),2)=""54"",""+""&amp;REGEXREPLACE(TO_TEXT('Respuestas de formulario 1'!G1923),""[^0-9]"",""""),""+54""&amp;REGEXREPLACE(TO_TEXT('Respu"&amp;"estas de formulario 1'!G1923),""[^0-9]"","""")))"),"")</f>
        <v/>
      </c>
      <c r="H1810" s="7" t="str">
        <f>'Respuestas de formulario 1'!S1923</f>
        <v/>
      </c>
      <c r="I1810" s="7" t="str">
        <f>IFERROR(__xludf.DUMMYFUNCTION("IF('Respuestas de formulario 1'!I1923="""","""",TO_TEXT('Respuestas de formulario 1'!I1923))"),"")</f>
        <v/>
      </c>
      <c r="J1810" s="7" t="str">
        <f>IFERROR(__xludf.DUMMYFUNCTION("IF('Respuestas de formulario 1'!J1923&lt;&gt;"""",UPPER(TRIM(TO_TEXT('Respuestas de formulario 1'!J1923))),IF('Respuestas de formulario 1'!O1923&lt;&gt;"""",UPPER(TRIM(TO_TEXT('Respuestas de formulario 1'!O1923))),""""))"),"")</f>
        <v/>
      </c>
      <c r="K1810" s="7" t="str">
        <f>IFERROR(__xludf.DUMMYFUNCTION("IF('Respuestas de formulario 1'!K1923="""","""",TO_TEXT('Respuestas de formulario 1'!K1923))"),"")</f>
        <v/>
      </c>
      <c r="L1810" s="7" t="str">
        <f>IFERROR(__xludf.DUMMYFUNCTION("IF('Respuestas de formulario 1'!L1923="""","""",TO_TEXT('Respuestas de formulario 1'!L1923))"),"")</f>
        <v/>
      </c>
      <c r="M1810" s="7" t="str">
        <f>IFERROR(__xludf.DUMMYFUNCTION("IF('Respuestas de formulario 1'!M1923="""","""",TO_TEXT('Respuestas de formulario 1'!M1923))"),"")</f>
        <v/>
      </c>
      <c r="N1810" s="7" t="str">
        <f t="shared" si="1"/>
        <v/>
      </c>
      <c r="O1810" s="7" t="str">
        <f t="shared" si="2"/>
        <v/>
      </c>
      <c r="P1810" s="7"/>
    </row>
    <row r="1811">
      <c r="A1811" s="7" t="str">
        <f>'Respuestas de formulario 1'!A1924</f>
        <v/>
      </c>
      <c r="B1811" s="7" t="str">
        <f>'Respuestas de formulario 1'!B1924</f>
        <v/>
      </c>
      <c r="C1811" s="7" t="str">
        <f>'Respuestas de formulario 1'!C1924</f>
        <v/>
      </c>
      <c r="D1811" s="7" t="str">
        <f>'Respuestas de formulario 1'!D1924</f>
        <v/>
      </c>
      <c r="E1811" s="7" t="str">
        <f>'Respuestas de formulario 1'!E1924</f>
        <v/>
      </c>
      <c r="F1811" s="7" t="str">
        <f>'Respuestas de formulario 1'!F1924</f>
        <v/>
      </c>
      <c r="G1811" s="7" t="str">
        <f>IFERROR(__xludf.DUMMYFUNCTION("IF('Respuestas de formulario 1'!G1924="""","""",IF(LEFT(REGEXREPLACE(TO_TEXT('Respuestas de formulario 1'!G1924),""[^0-9]"",""""),2)=""54"",""+""&amp;REGEXREPLACE(TO_TEXT('Respuestas de formulario 1'!G1924),""[^0-9]"",""""),""+54""&amp;REGEXREPLACE(TO_TEXT('Respu"&amp;"estas de formulario 1'!G1924),""[^0-9]"","""")))"),"")</f>
        <v/>
      </c>
      <c r="H1811" s="7" t="str">
        <f>'Respuestas de formulario 1'!S1924</f>
        <v/>
      </c>
      <c r="I1811" s="7" t="str">
        <f>IFERROR(__xludf.DUMMYFUNCTION("IF('Respuestas de formulario 1'!I1924="""","""",TO_TEXT('Respuestas de formulario 1'!I1924))"),"")</f>
        <v/>
      </c>
      <c r="J1811" s="7" t="str">
        <f>IFERROR(__xludf.DUMMYFUNCTION("IF('Respuestas de formulario 1'!J1924&lt;&gt;"""",UPPER(TRIM(TO_TEXT('Respuestas de formulario 1'!J1924))),IF('Respuestas de formulario 1'!O1924&lt;&gt;"""",UPPER(TRIM(TO_TEXT('Respuestas de formulario 1'!O1924))),""""))"),"")</f>
        <v/>
      </c>
      <c r="K1811" s="7" t="str">
        <f>IFERROR(__xludf.DUMMYFUNCTION("IF('Respuestas de formulario 1'!K1924="""","""",TO_TEXT('Respuestas de formulario 1'!K1924))"),"")</f>
        <v/>
      </c>
      <c r="L1811" s="7" t="str">
        <f>IFERROR(__xludf.DUMMYFUNCTION("IF('Respuestas de formulario 1'!L1924="""","""",TO_TEXT('Respuestas de formulario 1'!L1924))"),"")</f>
        <v/>
      </c>
      <c r="M1811" s="7" t="str">
        <f>IFERROR(__xludf.DUMMYFUNCTION("IF('Respuestas de formulario 1'!M1924="""","""",TO_TEXT('Respuestas de formulario 1'!M1924))"),"")</f>
        <v/>
      </c>
      <c r="N1811" s="7" t="str">
        <f t="shared" si="1"/>
        <v/>
      </c>
      <c r="O1811" s="7" t="str">
        <f t="shared" si="2"/>
        <v/>
      </c>
      <c r="P1811" s="7"/>
    </row>
    <row r="1812">
      <c r="A1812" s="7" t="str">
        <f>'Respuestas de formulario 1'!A1925</f>
        <v/>
      </c>
      <c r="B1812" s="7" t="str">
        <f>'Respuestas de formulario 1'!B1925</f>
        <v/>
      </c>
      <c r="C1812" s="7" t="str">
        <f>'Respuestas de formulario 1'!C1925</f>
        <v/>
      </c>
      <c r="D1812" s="7" t="str">
        <f>'Respuestas de formulario 1'!D1925</f>
        <v/>
      </c>
      <c r="E1812" s="7" t="str">
        <f>'Respuestas de formulario 1'!E1925</f>
        <v/>
      </c>
      <c r="F1812" s="7" t="str">
        <f>'Respuestas de formulario 1'!F1925</f>
        <v/>
      </c>
      <c r="G1812" s="7" t="str">
        <f>IFERROR(__xludf.DUMMYFUNCTION("IF('Respuestas de formulario 1'!G1925="""","""",IF(LEFT(REGEXREPLACE(TO_TEXT('Respuestas de formulario 1'!G1925),""[^0-9]"",""""),2)=""54"",""+""&amp;REGEXREPLACE(TO_TEXT('Respuestas de formulario 1'!G1925),""[^0-9]"",""""),""+54""&amp;REGEXREPLACE(TO_TEXT('Respu"&amp;"estas de formulario 1'!G1925),""[^0-9]"","""")))"),"")</f>
        <v/>
      </c>
      <c r="H1812" s="7" t="str">
        <f>'Respuestas de formulario 1'!S1925</f>
        <v/>
      </c>
      <c r="I1812" s="7" t="str">
        <f>IFERROR(__xludf.DUMMYFUNCTION("IF('Respuestas de formulario 1'!I1925="""","""",TO_TEXT('Respuestas de formulario 1'!I1925))"),"")</f>
        <v/>
      </c>
      <c r="J1812" s="7" t="str">
        <f>IFERROR(__xludf.DUMMYFUNCTION("IF('Respuestas de formulario 1'!J1925&lt;&gt;"""",UPPER(TRIM(TO_TEXT('Respuestas de formulario 1'!J1925))),IF('Respuestas de formulario 1'!O1925&lt;&gt;"""",UPPER(TRIM(TO_TEXT('Respuestas de formulario 1'!O1925))),""""))"),"")</f>
        <v/>
      </c>
      <c r="K1812" s="7" t="str">
        <f>IFERROR(__xludf.DUMMYFUNCTION("IF('Respuestas de formulario 1'!K1925="""","""",TO_TEXT('Respuestas de formulario 1'!K1925))"),"")</f>
        <v/>
      </c>
      <c r="L1812" s="7" t="str">
        <f>IFERROR(__xludf.DUMMYFUNCTION("IF('Respuestas de formulario 1'!L1925="""","""",TO_TEXT('Respuestas de formulario 1'!L1925))"),"")</f>
        <v/>
      </c>
      <c r="M1812" s="7" t="str">
        <f>IFERROR(__xludf.DUMMYFUNCTION("IF('Respuestas de formulario 1'!M1925="""","""",TO_TEXT('Respuestas de formulario 1'!M1925))"),"")</f>
        <v/>
      </c>
      <c r="N1812" s="7" t="str">
        <f t="shared" si="1"/>
        <v/>
      </c>
      <c r="O1812" s="7" t="str">
        <f t="shared" si="2"/>
        <v/>
      </c>
      <c r="P1812" s="7"/>
    </row>
    <row r="1813">
      <c r="A1813" s="7" t="str">
        <f>'Respuestas de formulario 1'!A1926</f>
        <v/>
      </c>
      <c r="B1813" s="7" t="str">
        <f>'Respuestas de formulario 1'!B1926</f>
        <v/>
      </c>
      <c r="C1813" s="7" t="str">
        <f>'Respuestas de formulario 1'!C1926</f>
        <v/>
      </c>
      <c r="D1813" s="7" t="str">
        <f>'Respuestas de formulario 1'!D1926</f>
        <v/>
      </c>
      <c r="E1813" s="7" t="str">
        <f>'Respuestas de formulario 1'!E1926</f>
        <v/>
      </c>
      <c r="F1813" s="7" t="str">
        <f>'Respuestas de formulario 1'!F1926</f>
        <v/>
      </c>
      <c r="G1813" s="7" t="str">
        <f>IFERROR(__xludf.DUMMYFUNCTION("IF('Respuestas de formulario 1'!G1926="""","""",IF(LEFT(REGEXREPLACE(TO_TEXT('Respuestas de formulario 1'!G1926),""[^0-9]"",""""),2)=""54"",""+""&amp;REGEXREPLACE(TO_TEXT('Respuestas de formulario 1'!G1926),""[^0-9]"",""""),""+54""&amp;REGEXREPLACE(TO_TEXT('Respu"&amp;"estas de formulario 1'!G1926),""[^0-9]"","""")))"),"")</f>
        <v/>
      </c>
      <c r="H1813" s="7" t="str">
        <f>'Respuestas de formulario 1'!S1926</f>
        <v/>
      </c>
      <c r="I1813" s="7" t="str">
        <f>IFERROR(__xludf.DUMMYFUNCTION("IF('Respuestas de formulario 1'!I1926="""","""",TO_TEXT('Respuestas de formulario 1'!I1926))"),"")</f>
        <v/>
      </c>
      <c r="J1813" s="7" t="str">
        <f>IFERROR(__xludf.DUMMYFUNCTION("IF('Respuestas de formulario 1'!J1926&lt;&gt;"""",UPPER(TRIM(TO_TEXT('Respuestas de formulario 1'!J1926))),IF('Respuestas de formulario 1'!O1926&lt;&gt;"""",UPPER(TRIM(TO_TEXT('Respuestas de formulario 1'!O1926))),""""))"),"")</f>
        <v/>
      </c>
      <c r="K1813" s="7" t="str">
        <f>IFERROR(__xludf.DUMMYFUNCTION("IF('Respuestas de formulario 1'!K1926="""","""",TO_TEXT('Respuestas de formulario 1'!K1926))"),"")</f>
        <v/>
      </c>
      <c r="L1813" s="7" t="str">
        <f>IFERROR(__xludf.DUMMYFUNCTION("IF('Respuestas de formulario 1'!L1926="""","""",TO_TEXT('Respuestas de formulario 1'!L1926))"),"")</f>
        <v/>
      </c>
      <c r="M1813" s="7" t="str">
        <f>IFERROR(__xludf.DUMMYFUNCTION("IF('Respuestas de formulario 1'!M1926="""","""",TO_TEXT('Respuestas de formulario 1'!M1926))"),"")</f>
        <v/>
      </c>
      <c r="N1813" s="7" t="str">
        <f t="shared" si="1"/>
        <v/>
      </c>
      <c r="O1813" s="7" t="str">
        <f t="shared" si="2"/>
        <v/>
      </c>
      <c r="P1813" s="7"/>
    </row>
    <row r="1814">
      <c r="A1814" s="7" t="str">
        <f>'Respuestas de formulario 1'!A1927</f>
        <v/>
      </c>
      <c r="B1814" s="7" t="str">
        <f>'Respuestas de formulario 1'!B1927</f>
        <v/>
      </c>
      <c r="C1814" s="7" t="str">
        <f>'Respuestas de formulario 1'!C1927</f>
        <v/>
      </c>
      <c r="D1814" s="7" t="str">
        <f>'Respuestas de formulario 1'!D1927</f>
        <v/>
      </c>
      <c r="E1814" s="7" t="str">
        <f>'Respuestas de formulario 1'!E1927</f>
        <v/>
      </c>
      <c r="F1814" s="7" t="str">
        <f>'Respuestas de formulario 1'!F1927</f>
        <v/>
      </c>
      <c r="G1814" s="7" t="str">
        <f>IFERROR(__xludf.DUMMYFUNCTION("IF('Respuestas de formulario 1'!G1927="""","""",IF(LEFT(REGEXREPLACE(TO_TEXT('Respuestas de formulario 1'!G1927),""[^0-9]"",""""),2)=""54"",""+""&amp;REGEXREPLACE(TO_TEXT('Respuestas de formulario 1'!G1927),""[^0-9]"",""""),""+54""&amp;REGEXREPLACE(TO_TEXT('Respu"&amp;"estas de formulario 1'!G1927),""[^0-9]"","""")))"),"")</f>
        <v/>
      </c>
      <c r="H1814" s="7" t="str">
        <f>'Respuestas de formulario 1'!S1927</f>
        <v/>
      </c>
      <c r="I1814" s="7" t="str">
        <f>IFERROR(__xludf.DUMMYFUNCTION("IF('Respuestas de formulario 1'!I1927="""","""",TO_TEXT('Respuestas de formulario 1'!I1927))"),"")</f>
        <v/>
      </c>
      <c r="J1814" s="7" t="str">
        <f>IFERROR(__xludf.DUMMYFUNCTION("IF('Respuestas de formulario 1'!J1927&lt;&gt;"""",UPPER(TRIM(TO_TEXT('Respuestas de formulario 1'!J1927))),IF('Respuestas de formulario 1'!O1927&lt;&gt;"""",UPPER(TRIM(TO_TEXT('Respuestas de formulario 1'!O1927))),""""))"),"")</f>
        <v/>
      </c>
      <c r="K1814" s="7" t="str">
        <f>IFERROR(__xludf.DUMMYFUNCTION("IF('Respuestas de formulario 1'!K1927="""","""",TO_TEXT('Respuestas de formulario 1'!K1927))"),"")</f>
        <v/>
      </c>
      <c r="L1814" s="7" t="str">
        <f>IFERROR(__xludf.DUMMYFUNCTION("IF('Respuestas de formulario 1'!L1927="""","""",TO_TEXT('Respuestas de formulario 1'!L1927))"),"")</f>
        <v/>
      </c>
      <c r="M1814" s="7" t="str">
        <f>IFERROR(__xludf.DUMMYFUNCTION("IF('Respuestas de formulario 1'!M1927="""","""",TO_TEXT('Respuestas de formulario 1'!M1927))"),"")</f>
        <v/>
      </c>
      <c r="N1814" s="7" t="str">
        <f t="shared" si="1"/>
        <v/>
      </c>
      <c r="O1814" s="7" t="str">
        <f t="shared" si="2"/>
        <v/>
      </c>
      <c r="P1814" s="7"/>
    </row>
    <row r="1815">
      <c r="A1815" s="7" t="str">
        <f>'Respuestas de formulario 1'!A1928</f>
        <v/>
      </c>
      <c r="B1815" s="7" t="str">
        <f>'Respuestas de formulario 1'!B1928</f>
        <v/>
      </c>
      <c r="C1815" s="7" t="str">
        <f>'Respuestas de formulario 1'!C1928</f>
        <v/>
      </c>
      <c r="D1815" s="7" t="str">
        <f>'Respuestas de formulario 1'!D1928</f>
        <v/>
      </c>
      <c r="E1815" s="7" t="str">
        <f>'Respuestas de formulario 1'!E1928</f>
        <v/>
      </c>
      <c r="F1815" s="7" t="str">
        <f>'Respuestas de formulario 1'!F1928</f>
        <v/>
      </c>
      <c r="G1815" s="7" t="str">
        <f>IFERROR(__xludf.DUMMYFUNCTION("IF('Respuestas de formulario 1'!G1928="""","""",IF(LEFT(REGEXREPLACE(TO_TEXT('Respuestas de formulario 1'!G1928),""[^0-9]"",""""),2)=""54"",""+""&amp;REGEXREPLACE(TO_TEXT('Respuestas de formulario 1'!G1928),""[^0-9]"",""""),""+54""&amp;REGEXREPLACE(TO_TEXT('Respu"&amp;"estas de formulario 1'!G1928),""[^0-9]"","""")))"),"")</f>
        <v/>
      </c>
      <c r="H1815" s="7" t="str">
        <f>'Respuestas de formulario 1'!S1928</f>
        <v/>
      </c>
      <c r="I1815" s="7" t="str">
        <f>IFERROR(__xludf.DUMMYFUNCTION("IF('Respuestas de formulario 1'!I1928="""","""",TO_TEXT('Respuestas de formulario 1'!I1928))"),"")</f>
        <v/>
      </c>
      <c r="J1815" s="7" t="str">
        <f>IFERROR(__xludf.DUMMYFUNCTION("IF('Respuestas de formulario 1'!J1928&lt;&gt;"""",UPPER(TRIM(TO_TEXT('Respuestas de formulario 1'!J1928))),IF('Respuestas de formulario 1'!O1928&lt;&gt;"""",UPPER(TRIM(TO_TEXT('Respuestas de formulario 1'!O1928))),""""))"),"")</f>
        <v/>
      </c>
      <c r="K1815" s="7" t="str">
        <f>IFERROR(__xludf.DUMMYFUNCTION("IF('Respuestas de formulario 1'!K1928="""","""",TO_TEXT('Respuestas de formulario 1'!K1928))"),"")</f>
        <v/>
      </c>
      <c r="L1815" s="7" t="str">
        <f>IFERROR(__xludf.DUMMYFUNCTION("IF('Respuestas de formulario 1'!L1928="""","""",TO_TEXT('Respuestas de formulario 1'!L1928))"),"")</f>
        <v/>
      </c>
      <c r="M1815" s="7" t="str">
        <f>IFERROR(__xludf.DUMMYFUNCTION("IF('Respuestas de formulario 1'!M1928="""","""",TO_TEXT('Respuestas de formulario 1'!M1928))"),"")</f>
        <v/>
      </c>
      <c r="N1815" s="7" t="str">
        <f t="shared" si="1"/>
        <v/>
      </c>
      <c r="O1815" s="7" t="str">
        <f t="shared" si="2"/>
        <v/>
      </c>
      <c r="P1815" s="7"/>
    </row>
    <row r="1816">
      <c r="A1816" s="7" t="str">
        <f>'Respuestas de formulario 1'!A1929</f>
        <v/>
      </c>
      <c r="B1816" s="7" t="str">
        <f>'Respuestas de formulario 1'!B1929</f>
        <v/>
      </c>
      <c r="C1816" s="7" t="str">
        <f>'Respuestas de formulario 1'!C1929</f>
        <v/>
      </c>
      <c r="D1816" s="7" t="str">
        <f>'Respuestas de formulario 1'!D1929</f>
        <v/>
      </c>
      <c r="E1816" s="7" t="str">
        <f>'Respuestas de formulario 1'!E1929</f>
        <v/>
      </c>
      <c r="F1816" s="7" t="str">
        <f>'Respuestas de formulario 1'!F1929</f>
        <v/>
      </c>
      <c r="G1816" s="7" t="str">
        <f>IFERROR(__xludf.DUMMYFUNCTION("IF('Respuestas de formulario 1'!G1929="""","""",IF(LEFT(REGEXREPLACE(TO_TEXT('Respuestas de formulario 1'!G1929),""[^0-9]"",""""),2)=""54"",""+""&amp;REGEXREPLACE(TO_TEXT('Respuestas de formulario 1'!G1929),""[^0-9]"",""""),""+54""&amp;REGEXREPLACE(TO_TEXT('Respu"&amp;"estas de formulario 1'!G1929),""[^0-9]"","""")))"),"")</f>
        <v/>
      </c>
      <c r="H1816" s="7" t="str">
        <f>'Respuestas de formulario 1'!S1929</f>
        <v/>
      </c>
      <c r="I1816" s="7" t="str">
        <f>IFERROR(__xludf.DUMMYFUNCTION("IF('Respuestas de formulario 1'!I1929="""","""",TO_TEXT('Respuestas de formulario 1'!I1929))"),"")</f>
        <v/>
      </c>
      <c r="J1816" s="7" t="str">
        <f>IFERROR(__xludf.DUMMYFUNCTION("IF('Respuestas de formulario 1'!J1929&lt;&gt;"""",UPPER(TRIM(TO_TEXT('Respuestas de formulario 1'!J1929))),IF('Respuestas de formulario 1'!O1929&lt;&gt;"""",UPPER(TRIM(TO_TEXT('Respuestas de formulario 1'!O1929))),""""))"),"")</f>
        <v/>
      </c>
      <c r="K1816" s="7" t="str">
        <f>IFERROR(__xludf.DUMMYFUNCTION("IF('Respuestas de formulario 1'!K1929="""","""",TO_TEXT('Respuestas de formulario 1'!K1929))"),"")</f>
        <v/>
      </c>
      <c r="L1816" s="7" t="str">
        <f>IFERROR(__xludf.DUMMYFUNCTION("IF('Respuestas de formulario 1'!L1929="""","""",TO_TEXT('Respuestas de formulario 1'!L1929))"),"")</f>
        <v/>
      </c>
      <c r="M1816" s="7" t="str">
        <f>IFERROR(__xludf.DUMMYFUNCTION("IF('Respuestas de formulario 1'!M1929="""","""",TO_TEXT('Respuestas de formulario 1'!M1929))"),"")</f>
        <v/>
      </c>
      <c r="N1816" s="7" t="str">
        <f t="shared" si="1"/>
        <v/>
      </c>
      <c r="O1816" s="7" t="str">
        <f t="shared" si="2"/>
        <v/>
      </c>
      <c r="P1816" s="7"/>
    </row>
    <row r="1817">
      <c r="A1817" s="7" t="str">
        <f>'Respuestas de formulario 1'!A1930</f>
        <v/>
      </c>
      <c r="B1817" s="7" t="str">
        <f>'Respuestas de formulario 1'!B1930</f>
        <v/>
      </c>
      <c r="C1817" s="7" t="str">
        <f>'Respuestas de formulario 1'!C1930</f>
        <v/>
      </c>
      <c r="D1817" s="7" t="str">
        <f>'Respuestas de formulario 1'!D1930</f>
        <v/>
      </c>
      <c r="E1817" s="7" t="str">
        <f>'Respuestas de formulario 1'!E1930</f>
        <v/>
      </c>
      <c r="F1817" s="7" t="str">
        <f>'Respuestas de formulario 1'!F1930</f>
        <v/>
      </c>
      <c r="G1817" s="7" t="str">
        <f>IFERROR(__xludf.DUMMYFUNCTION("IF('Respuestas de formulario 1'!G1930="""","""",IF(LEFT(REGEXREPLACE(TO_TEXT('Respuestas de formulario 1'!G1930),""[^0-9]"",""""),2)=""54"",""+""&amp;REGEXREPLACE(TO_TEXT('Respuestas de formulario 1'!G1930),""[^0-9]"",""""),""+54""&amp;REGEXREPLACE(TO_TEXT('Respu"&amp;"estas de formulario 1'!G1930),""[^0-9]"","""")))"),"")</f>
        <v/>
      </c>
      <c r="H1817" s="7" t="str">
        <f>'Respuestas de formulario 1'!S1930</f>
        <v/>
      </c>
      <c r="I1817" s="7" t="str">
        <f>IFERROR(__xludf.DUMMYFUNCTION("IF('Respuestas de formulario 1'!I1930="""","""",TO_TEXT('Respuestas de formulario 1'!I1930))"),"")</f>
        <v/>
      </c>
      <c r="J1817" s="7" t="str">
        <f>IFERROR(__xludf.DUMMYFUNCTION("IF('Respuestas de formulario 1'!J1930&lt;&gt;"""",UPPER(TRIM(TO_TEXT('Respuestas de formulario 1'!J1930))),IF('Respuestas de formulario 1'!O1930&lt;&gt;"""",UPPER(TRIM(TO_TEXT('Respuestas de formulario 1'!O1930))),""""))"),"")</f>
        <v/>
      </c>
      <c r="K1817" s="7" t="str">
        <f>IFERROR(__xludf.DUMMYFUNCTION("IF('Respuestas de formulario 1'!K1930="""","""",TO_TEXT('Respuestas de formulario 1'!K1930))"),"")</f>
        <v/>
      </c>
      <c r="L1817" s="7" t="str">
        <f>IFERROR(__xludf.DUMMYFUNCTION("IF('Respuestas de formulario 1'!L1930="""","""",TO_TEXT('Respuestas de formulario 1'!L1930))"),"")</f>
        <v/>
      </c>
      <c r="M1817" s="7" t="str">
        <f>IFERROR(__xludf.DUMMYFUNCTION("IF('Respuestas de formulario 1'!M1930="""","""",TO_TEXT('Respuestas de formulario 1'!M1930))"),"")</f>
        <v/>
      </c>
      <c r="N1817" s="7" t="str">
        <f t="shared" si="1"/>
        <v/>
      </c>
      <c r="O1817" s="7" t="str">
        <f t="shared" si="2"/>
        <v/>
      </c>
      <c r="P1817" s="7"/>
    </row>
    <row r="1818">
      <c r="A1818" s="7" t="str">
        <f>'Respuestas de formulario 1'!A1931</f>
        <v/>
      </c>
      <c r="B1818" s="7" t="str">
        <f>'Respuestas de formulario 1'!B1931</f>
        <v/>
      </c>
      <c r="C1818" s="7" t="str">
        <f>'Respuestas de formulario 1'!C1931</f>
        <v/>
      </c>
      <c r="D1818" s="7" t="str">
        <f>'Respuestas de formulario 1'!D1931</f>
        <v/>
      </c>
      <c r="E1818" s="7" t="str">
        <f>'Respuestas de formulario 1'!E1931</f>
        <v/>
      </c>
      <c r="F1818" s="7" t="str">
        <f>'Respuestas de formulario 1'!F1931</f>
        <v/>
      </c>
      <c r="G1818" s="7" t="str">
        <f>IFERROR(__xludf.DUMMYFUNCTION("IF('Respuestas de formulario 1'!G1931="""","""",IF(LEFT(REGEXREPLACE(TO_TEXT('Respuestas de formulario 1'!G1931),""[^0-9]"",""""),2)=""54"",""+""&amp;REGEXREPLACE(TO_TEXT('Respuestas de formulario 1'!G1931),""[^0-9]"",""""),""+54""&amp;REGEXREPLACE(TO_TEXT('Respu"&amp;"estas de formulario 1'!G1931),""[^0-9]"","""")))"),"")</f>
        <v/>
      </c>
      <c r="H1818" s="7" t="str">
        <f>'Respuestas de formulario 1'!S1931</f>
        <v/>
      </c>
      <c r="I1818" s="7" t="str">
        <f>IFERROR(__xludf.DUMMYFUNCTION("IF('Respuestas de formulario 1'!I1931="""","""",TO_TEXT('Respuestas de formulario 1'!I1931))"),"")</f>
        <v/>
      </c>
      <c r="J1818" s="7" t="str">
        <f>IFERROR(__xludf.DUMMYFUNCTION("IF('Respuestas de formulario 1'!J1931&lt;&gt;"""",UPPER(TRIM(TO_TEXT('Respuestas de formulario 1'!J1931))),IF('Respuestas de formulario 1'!O1931&lt;&gt;"""",UPPER(TRIM(TO_TEXT('Respuestas de formulario 1'!O1931))),""""))"),"")</f>
        <v/>
      </c>
      <c r="K1818" s="7" t="str">
        <f>IFERROR(__xludf.DUMMYFUNCTION("IF('Respuestas de formulario 1'!K1931="""","""",TO_TEXT('Respuestas de formulario 1'!K1931))"),"")</f>
        <v/>
      </c>
      <c r="L1818" s="7" t="str">
        <f>IFERROR(__xludf.DUMMYFUNCTION("IF('Respuestas de formulario 1'!L1931="""","""",TO_TEXT('Respuestas de formulario 1'!L1931))"),"")</f>
        <v/>
      </c>
      <c r="M1818" s="7" t="str">
        <f>IFERROR(__xludf.DUMMYFUNCTION("IF('Respuestas de formulario 1'!M1931="""","""",TO_TEXT('Respuestas de formulario 1'!M1931))"),"")</f>
        <v/>
      </c>
      <c r="N1818" s="7" t="str">
        <f t="shared" si="1"/>
        <v/>
      </c>
      <c r="O1818" s="7" t="str">
        <f t="shared" si="2"/>
        <v/>
      </c>
      <c r="P1818" s="7"/>
    </row>
    <row r="1819">
      <c r="A1819" s="7" t="str">
        <f>'Respuestas de formulario 1'!A1932</f>
        <v/>
      </c>
      <c r="B1819" s="7" t="str">
        <f>'Respuestas de formulario 1'!B1932</f>
        <v/>
      </c>
      <c r="C1819" s="7" t="str">
        <f>'Respuestas de formulario 1'!C1932</f>
        <v/>
      </c>
      <c r="D1819" s="7" t="str">
        <f>'Respuestas de formulario 1'!D1932</f>
        <v/>
      </c>
      <c r="E1819" s="7" t="str">
        <f>'Respuestas de formulario 1'!E1932</f>
        <v/>
      </c>
      <c r="F1819" s="7" t="str">
        <f>'Respuestas de formulario 1'!F1932</f>
        <v/>
      </c>
      <c r="G1819" s="7" t="str">
        <f>IFERROR(__xludf.DUMMYFUNCTION("IF('Respuestas de formulario 1'!G1932="""","""",IF(LEFT(REGEXREPLACE(TO_TEXT('Respuestas de formulario 1'!G1932),""[^0-9]"",""""),2)=""54"",""+""&amp;REGEXREPLACE(TO_TEXT('Respuestas de formulario 1'!G1932),""[^0-9]"",""""),""+54""&amp;REGEXREPLACE(TO_TEXT('Respu"&amp;"estas de formulario 1'!G1932),""[^0-9]"","""")))"),"")</f>
        <v/>
      </c>
      <c r="H1819" s="7" t="str">
        <f>'Respuestas de formulario 1'!S1932</f>
        <v/>
      </c>
      <c r="I1819" s="7" t="str">
        <f>IFERROR(__xludf.DUMMYFUNCTION("IF('Respuestas de formulario 1'!I1932="""","""",TO_TEXT('Respuestas de formulario 1'!I1932))"),"")</f>
        <v/>
      </c>
      <c r="J1819" s="7" t="str">
        <f>IFERROR(__xludf.DUMMYFUNCTION("IF('Respuestas de formulario 1'!J1932&lt;&gt;"""",UPPER(TRIM(TO_TEXT('Respuestas de formulario 1'!J1932))),IF('Respuestas de formulario 1'!O1932&lt;&gt;"""",UPPER(TRIM(TO_TEXT('Respuestas de formulario 1'!O1932))),""""))"),"")</f>
        <v/>
      </c>
      <c r="K1819" s="7" t="str">
        <f>IFERROR(__xludf.DUMMYFUNCTION("IF('Respuestas de formulario 1'!K1932="""","""",TO_TEXT('Respuestas de formulario 1'!K1932))"),"")</f>
        <v/>
      </c>
      <c r="L1819" s="7" t="str">
        <f>IFERROR(__xludf.DUMMYFUNCTION("IF('Respuestas de formulario 1'!L1932="""","""",TO_TEXT('Respuestas de formulario 1'!L1932))"),"")</f>
        <v/>
      </c>
      <c r="M1819" s="7" t="str">
        <f>IFERROR(__xludf.DUMMYFUNCTION("IF('Respuestas de formulario 1'!M1932="""","""",TO_TEXT('Respuestas de formulario 1'!M1932))"),"")</f>
        <v/>
      </c>
      <c r="N1819" s="7" t="str">
        <f t="shared" si="1"/>
        <v/>
      </c>
      <c r="O1819" s="7" t="str">
        <f t="shared" si="2"/>
        <v/>
      </c>
      <c r="P1819" s="7"/>
    </row>
    <row r="1820">
      <c r="A1820" s="7" t="str">
        <f>'Respuestas de formulario 1'!A1933</f>
        <v/>
      </c>
      <c r="B1820" s="7" t="str">
        <f>'Respuestas de formulario 1'!B1933</f>
        <v/>
      </c>
      <c r="C1820" s="7" t="str">
        <f>'Respuestas de formulario 1'!C1933</f>
        <v/>
      </c>
      <c r="D1820" s="7" t="str">
        <f>'Respuestas de formulario 1'!D1933</f>
        <v/>
      </c>
      <c r="E1820" s="7" t="str">
        <f>'Respuestas de formulario 1'!E1933</f>
        <v/>
      </c>
      <c r="F1820" s="7" t="str">
        <f>'Respuestas de formulario 1'!F1933</f>
        <v/>
      </c>
      <c r="G1820" s="7" t="str">
        <f>IFERROR(__xludf.DUMMYFUNCTION("IF('Respuestas de formulario 1'!G1933="""","""",IF(LEFT(REGEXREPLACE(TO_TEXT('Respuestas de formulario 1'!G1933),""[^0-9]"",""""),2)=""54"",""+""&amp;REGEXREPLACE(TO_TEXT('Respuestas de formulario 1'!G1933),""[^0-9]"",""""),""+54""&amp;REGEXREPLACE(TO_TEXT('Respu"&amp;"estas de formulario 1'!G1933),""[^0-9]"","""")))"),"")</f>
        <v/>
      </c>
      <c r="H1820" s="7" t="str">
        <f>'Respuestas de formulario 1'!S1933</f>
        <v/>
      </c>
      <c r="I1820" s="7" t="str">
        <f>IFERROR(__xludf.DUMMYFUNCTION("IF('Respuestas de formulario 1'!I1933="""","""",TO_TEXT('Respuestas de formulario 1'!I1933))"),"")</f>
        <v/>
      </c>
      <c r="J1820" s="7" t="str">
        <f>IFERROR(__xludf.DUMMYFUNCTION("IF('Respuestas de formulario 1'!J1933&lt;&gt;"""",UPPER(TRIM(TO_TEXT('Respuestas de formulario 1'!J1933))),IF('Respuestas de formulario 1'!O1933&lt;&gt;"""",UPPER(TRIM(TO_TEXT('Respuestas de formulario 1'!O1933))),""""))"),"")</f>
        <v/>
      </c>
      <c r="K1820" s="7" t="str">
        <f>IFERROR(__xludf.DUMMYFUNCTION("IF('Respuestas de formulario 1'!K1933="""","""",TO_TEXT('Respuestas de formulario 1'!K1933))"),"")</f>
        <v/>
      </c>
      <c r="L1820" s="7" t="str">
        <f>IFERROR(__xludf.DUMMYFUNCTION("IF('Respuestas de formulario 1'!L1933="""","""",TO_TEXT('Respuestas de formulario 1'!L1933))"),"")</f>
        <v/>
      </c>
      <c r="M1820" s="7" t="str">
        <f>IFERROR(__xludf.DUMMYFUNCTION("IF('Respuestas de formulario 1'!M1933="""","""",TO_TEXT('Respuestas de formulario 1'!M1933))"),"")</f>
        <v/>
      </c>
      <c r="N1820" s="7" t="str">
        <f t="shared" si="1"/>
        <v/>
      </c>
      <c r="O1820" s="7" t="str">
        <f t="shared" si="2"/>
        <v/>
      </c>
      <c r="P1820" s="7"/>
    </row>
    <row r="1821">
      <c r="A1821" s="7" t="str">
        <f>'Respuestas de formulario 1'!A1934</f>
        <v/>
      </c>
      <c r="B1821" s="7" t="str">
        <f>'Respuestas de formulario 1'!B1934</f>
        <v/>
      </c>
      <c r="C1821" s="7" t="str">
        <f>'Respuestas de formulario 1'!C1934</f>
        <v/>
      </c>
      <c r="D1821" s="7" t="str">
        <f>'Respuestas de formulario 1'!D1934</f>
        <v/>
      </c>
      <c r="E1821" s="7" t="str">
        <f>'Respuestas de formulario 1'!E1934</f>
        <v/>
      </c>
      <c r="F1821" s="7" t="str">
        <f>'Respuestas de formulario 1'!F1934</f>
        <v/>
      </c>
      <c r="G1821" s="7" t="str">
        <f>IFERROR(__xludf.DUMMYFUNCTION("IF('Respuestas de formulario 1'!G1934="""","""",IF(LEFT(REGEXREPLACE(TO_TEXT('Respuestas de formulario 1'!G1934),""[^0-9]"",""""),2)=""54"",""+""&amp;REGEXREPLACE(TO_TEXT('Respuestas de formulario 1'!G1934),""[^0-9]"",""""),""+54""&amp;REGEXREPLACE(TO_TEXT('Respu"&amp;"estas de formulario 1'!G1934),""[^0-9]"","""")))"),"")</f>
        <v/>
      </c>
      <c r="H1821" s="7" t="str">
        <f>'Respuestas de formulario 1'!S1934</f>
        <v/>
      </c>
      <c r="I1821" s="7" t="str">
        <f>IFERROR(__xludf.DUMMYFUNCTION("IF('Respuestas de formulario 1'!I1934="""","""",TO_TEXT('Respuestas de formulario 1'!I1934))"),"")</f>
        <v/>
      </c>
      <c r="J1821" s="7" t="str">
        <f>IFERROR(__xludf.DUMMYFUNCTION("IF('Respuestas de formulario 1'!J1934&lt;&gt;"""",UPPER(TRIM(TO_TEXT('Respuestas de formulario 1'!J1934))),IF('Respuestas de formulario 1'!O1934&lt;&gt;"""",UPPER(TRIM(TO_TEXT('Respuestas de formulario 1'!O1934))),""""))"),"")</f>
        <v/>
      </c>
      <c r="K1821" s="7" t="str">
        <f>IFERROR(__xludf.DUMMYFUNCTION("IF('Respuestas de formulario 1'!K1934="""","""",TO_TEXT('Respuestas de formulario 1'!K1934))"),"")</f>
        <v/>
      </c>
      <c r="L1821" s="7" t="str">
        <f>IFERROR(__xludf.DUMMYFUNCTION("IF('Respuestas de formulario 1'!L1934="""","""",TO_TEXT('Respuestas de formulario 1'!L1934))"),"")</f>
        <v/>
      </c>
      <c r="M1821" s="7" t="str">
        <f>IFERROR(__xludf.DUMMYFUNCTION("IF('Respuestas de formulario 1'!M1934="""","""",TO_TEXT('Respuestas de formulario 1'!M1934))"),"")</f>
        <v/>
      </c>
      <c r="N1821" s="7" t="str">
        <f t="shared" si="1"/>
        <v/>
      </c>
      <c r="O1821" s="7" t="str">
        <f t="shared" si="2"/>
        <v/>
      </c>
      <c r="P1821" s="7"/>
    </row>
    <row r="1822">
      <c r="A1822" s="7" t="str">
        <f>'Respuestas de formulario 1'!A1935</f>
        <v/>
      </c>
      <c r="B1822" s="7" t="str">
        <f>'Respuestas de formulario 1'!B1935</f>
        <v/>
      </c>
      <c r="C1822" s="7" t="str">
        <f>'Respuestas de formulario 1'!C1935</f>
        <v/>
      </c>
      <c r="D1822" s="7" t="str">
        <f>'Respuestas de formulario 1'!D1935</f>
        <v/>
      </c>
      <c r="E1822" s="7" t="str">
        <f>'Respuestas de formulario 1'!E1935</f>
        <v/>
      </c>
      <c r="F1822" s="7" t="str">
        <f>'Respuestas de formulario 1'!F1935</f>
        <v/>
      </c>
      <c r="G1822" s="7" t="str">
        <f>IFERROR(__xludf.DUMMYFUNCTION("IF('Respuestas de formulario 1'!G1935="""","""",IF(LEFT(REGEXREPLACE(TO_TEXT('Respuestas de formulario 1'!G1935),""[^0-9]"",""""),2)=""54"",""+""&amp;REGEXREPLACE(TO_TEXT('Respuestas de formulario 1'!G1935),""[^0-9]"",""""),""+54""&amp;REGEXREPLACE(TO_TEXT('Respu"&amp;"estas de formulario 1'!G1935),""[^0-9]"","""")))"),"")</f>
        <v/>
      </c>
      <c r="H1822" s="7" t="str">
        <f>'Respuestas de formulario 1'!S1935</f>
        <v/>
      </c>
      <c r="I1822" s="7" t="str">
        <f>IFERROR(__xludf.DUMMYFUNCTION("IF('Respuestas de formulario 1'!I1935="""","""",TO_TEXT('Respuestas de formulario 1'!I1935))"),"")</f>
        <v/>
      </c>
      <c r="J1822" s="7" t="str">
        <f>IFERROR(__xludf.DUMMYFUNCTION("IF('Respuestas de formulario 1'!J1935&lt;&gt;"""",UPPER(TRIM(TO_TEXT('Respuestas de formulario 1'!J1935))),IF('Respuestas de formulario 1'!O1935&lt;&gt;"""",UPPER(TRIM(TO_TEXT('Respuestas de formulario 1'!O1935))),""""))"),"")</f>
        <v/>
      </c>
      <c r="K1822" s="7" t="str">
        <f>IFERROR(__xludf.DUMMYFUNCTION("IF('Respuestas de formulario 1'!K1935="""","""",TO_TEXT('Respuestas de formulario 1'!K1935))"),"")</f>
        <v/>
      </c>
      <c r="L1822" s="7" t="str">
        <f>IFERROR(__xludf.DUMMYFUNCTION("IF('Respuestas de formulario 1'!L1935="""","""",TO_TEXT('Respuestas de formulario 1'!L1935))"),"")</f>
        <v/>
      </c>
      <c r="M1822" s="7" t="str">
        <f>IFERROR(__xludf.DUMMYFUNCTION("IF('Respuestas de formulario 1'!M1935="""","""",TO_TEXT('Respuestas de formulario 1'!M1935))"),"")</f>
        <v/>
      </c>
      <c r="N1822" s="7" t="str">
        <f t="shared" si="1"/>
        <v/>
      </c>
      <c r="O1822" s="7" t="str">
        <f t="shared" si="2"/>
        <v/>
      </c>
      <c r="P1822" s="7"/>
    </row>
    <row r="1823">
      <c r="A1823" s="7" t="str">
        <f>'Respuestas de formulario 1'!A1936</f>
        <v/>
      </c>
      <c r="B1823" s="7" t="str">
        <f>'Respuestas de formulario 1'!B1936</f>
        <v/>
      </c>
      <c r="C1823" s="7" t="str">
        <f>'Respuestas de formulario 1'!C1936</f>
        <v/>
      </c>
      <c r="D1823" s="7" t="str">
        <f>'Respuestas de formulario 1'!D1936</f>
        <v/>
      </c>
      <c r="E1823" s="7" t="str">
        <f>'Respuestas de formulario 1'!E1936</f>
        <v/>
      </c>
      <c r="F1823" s="7" t="str">
        <f>'Respuestas de formulario 1'!F1936</f>
        <v/>
      </c>
      <c r="G1823" s="7" t="str">
        <f>IFERROR(__xludf.DUMMYFUNCTION("IF('Respuestas de formulario 1'!G1936="""","""",IF(LEFT(REGEXREPLACE(TO_TEXT('Respuestas de formulario 1'!G1936),""[^0-9]"",""""),2)=""54"",""+""&amp;REGEXREPLACE(TO_TEXT('Respuestas de formulario 1'!G1936),""[^0-9]"",""""),""+54""&amp;REGEXREPLACE(TO_TEXT('Respu"&amp;"estas de formulario 1'!G1936),""[^0-9]"","""")))"),"")</f>
        <v/>
      </c>
      <c r="H1823" s="7" t="str">
        <f>'Respuestas de formulario 1'!S1936</f>
        <v/>
      </c>
      <c r="I1823" s="7" t="str">
        <f>IFERROR(__xludf.DUMMYFUNCTION("IF('Respuestas de formulario 1'!I1936="""","""",TO_TEXT('Respuestas de formulario 1'!I1936))"),"")</f>
        <v/>
      </c>
      <c r="J1823" s="7" t="str">
        <f>IFERROR(__xludf.DUMMYFUNCTION("IF('Respuestas de formulario 1'!J1936&lt;&gt;"""",UPPER(TRIM(TO_TEXT('Respuestas de formulario 1'!J1936))),IF('Respuestas de formulario 1'!O1936&lt;&gt;"""",UPPER(TRIM(TO_TEXT('Respuestas de formulario 1'!O1936))),""""))"),"")</f>
        <v/>
      </c>
      <c r="K1823" s="7" t="str">
        <f>IFERROR(__xludf.DUMMYFUNCTION("IF('Respuestas de formulario 1'!K1936="""","""",TO_TEXT('Respuestas de formulario 1'!K1936))"),"")</f>
        <v/>
      </c>
      <c r="L1823" s="7" t="str">
        <f>IFERROR(__xludf.DUMMYFUNCTION("IF('Respuestas de formulario 1'!L1936="""","""",TO_TEXT('Respuestas de formulario 1'!L1936))"),"")</f>
        <v/>
      </c>
      <c r="M1823" s="7" t="str">
        <f>IFERROR(__xludf.DUMMYFUNCTION("IF('Respuestas de formulario 1'!M1936="""","""",TO_TEXT('Respuestas de formulario 1'!M1936))"),"")</f>
        <v/>
      </c>
      <c r="N1823" s="7" t="str">
        <f t="shared" si="1"/>
        <v/>
      </c>
      <c r="O1823" s="7" t="str">
        <f t="shared" si="2"/>
        <v/>
      </c>
      <c r="P1823" s="7"/>
    </row>
    <row r="1824">
      <c r="A1824" s="7" t="str">
        <f>'Respuestas de formulario 1'!A1937</f>
        <v/>
      </c>
      <c r="B1824" s="7" t="str">
        <f>'Respuestas de formulario 1'!B1937</f>
        <v/>
      </c>
      <c r="C1824" s="7" t="str">
        <f>'Respuestas de formulario 1'!C1937</f>
        <v/>
      </c>
      <c r="D1824" s="7" t="str">
        <f>'Respuestas de formulario 1'!D1937</f>
        <v/>
      </c>
      <c r="E1824" s="7" t="str">
        <f>'Respuestas de formulario 1'!E1937</f>
        <v/>
      </c>
      <c r="F1824" s="7" t="str">
        <f>'Respuestas de formulario 1'!F1937</f>
        <v/>
      </c>
      <c r="G1824" s="7" t="str">
        <f>IFERROR(__xludf.DUMMYFUNCTION("IF('Respuestas de formulario 1'!G1937="""","""",IF(LEFT(REGEXREPLACE(TO_TEXT('Respuestas de formulario 1'!G1937),""[^0-9]"",""""),2)=""54"",""+""&amp;REGEXREPLACE(TO_TEXT('Respuestas de formulario 1'!G1937),""[^0-9]"",""""),""+54""&amp;REGEXREPLACE(TO_TEXT('Respu"&amp;"estas de formulario 1'!G1937),""[^0-9]"","""")))"),"")</f>
        <v/>
      </c>
      <c r="H1824" s="7" t="str">
        <f>'Respuestas de formulario 1'!S1937</f>
        <v/>
      </c>
      <c r="I1824" s="7" t="str">
        <f>IFERROR(__xludf.DUMMYFUNCTION("IF('Respuestas de formulario 1'!I1937="""","""",TO_TEXT('Respuestas de formulario 1'!I1937))"),"")</f>
        <v/>
      </c>
      <c r="J1824" s="7" t="str">
        <f>IFERROR(__xludf.DUMMYFUNCTION("IF('Respuestas de formulario 1'!J1937&lt;&gt;"""",UPPER(TRIM(TO_TEXT('Respuestas de formulario 1'!J1937))),IF('Respuestas de formulario 1'!O1937&lt;&gt;"""",UPPER(TRIM(TO_TEXT('Respuestas de formulario 1'!O1937))),""""))"),"")</f>
        <v/>
      </c>
      <c r="K1824" s="7" t="str">
        <f>IFERROR(__xludf.DUMMYFUNCTION("IF('Respuestas de formulario 1'!K1937="""","""",TO_TEXT('Respuestas de formulario 1'!K1937))"),"")</f>
        <v/>
      </c>
      <c r="L1824" s="7" t="str">
        <f>IFERROR(__xludf.DUMMYFUNCTION("IF('Respuestas de formulario 1'!L1937="""","""",TO_TEXT('Respuestas de formulario 1'!L1937))"),"")</f>
        <v/>
      </c>
      <c r="M1824" s="7" t="str">
        <f>IFERROR(__xludf.DUMMYFUNCTION("IF('Respuestas de formulario 1'!M1937="""","""",TO_TEXT('Respuestas de formulario 1'!M1937))"),"")</f>
        <v/>
      </c>
      <c r="N1824" s="7" t="str">
        <f t="shared" si="1"/>
        <v/>
      </c>
      <c r="O1824" s="7" t="str">
        <f t="shared" si="2"/>
        <v/>
      </c>
      <c r="P1824" s="7"/>
    </row>
    <row r="1825">
      <c r="A1825" s="7" t="str">
        <f>'Respuestas de formulario 1'!A1938</f>
        <v/>
      </c>
      <c r="B1825" s="7" t="str">
        <f>'Respuestas de formulario 1'!B1938</f>
        <v/>
      </c>
      <c r="C1825" s="7" t="str">
        <f>'Respuestas de formulario 1'!C1938</f>
        <v/>
      </c>
      <c r="D1825" s="7" t="str">
        <f>'Respuestas de formulario 1'!D1938</f>
        <v/>
      </c>
      <c r="E1825" s="7" t="str">
        <f>'Respuestas de formulario 1'!E1938</f>
        <v/>
      </c>
      <c r="F1825" s="7" t="str">
        <f>'Respuestas de formulario 1'!F1938</f>
        <v/>
      </c>
      <c r="G1825" s="7" t="str">
        <f>IFERROR(__xludf.DUMMYFUNCTION("IF('Respuestas de formulario 1'!G1938="""","""",IF(LEFT(REGEXREPLACE(TO_TEXT('Respuestas de formulario 1'!G1938),""[^0-9]"",""""),2)=""54"",""+""&amp;REGEXREPLACE(TO_TEXT('Respuestas de formulario 1'!G1938),""[^0-9]"",""""),""+54""&amp;REGEXREPLACE(TO_TEXT('Respu"&amp;"estas de formulario 1'!G1938),""[^0-9]"","""")))"),"")</f>
        <v/>
      </c>
      <c r="H1825" s="7" t="str">
        <f>'Respuestas de formulario 1'!S1938</f>
        <v/>
      </c>
      <c r="I1825" s="7" t="str">
        <f>IFERROR(__xludf.DUMMYFUNCTION("IF('Respuestas de formulario 1'!I1938="""","""",TO_TEXT('Respuestas de formulario 1'!I1938))"),"")</f>
        <v/>
      </c>
      <c r="J1825" s="7" t="str">
        <f>IFERROR(__xludf.DUMMYFUNCTION("IF('Respuestas de formulario 1'!J1938&lt;&gt;"""",UPPER(TRIM(TO_TEXT('Respuestas de formulario 1'!J1938))),IF('Respuestas de formulario 1'!O1938&lt;&gt;"""",UPPER(TRIM(TO_TEXT('Respuestas de formulario 1'!O1938))),""""))"),"")</f>
        <v/>
      </c>
      <c r="K1825" s="7" t="str">
        <f>IFERROR(__xludf.DUMMYFUNCTION("IF('Respuestas de formulario 1'!K1938="""","""",TO_TEXT('Respuestas de formulario 1'!K1938))"),"")</f>
        <v/>
      </c>
      <c r="L1825" s="7" t="str">
        <f>IFERROR(__xludf.DUMMYFUNCTION("IF('Respuestas de formulario 1'!L1938="""","""",TO_TEXT('Respuestas de formulario 1'!L1938))"),"")</f>
        <v/>
      </c>
      <c r="M1825" s="7" t="str">
        <f>IFERROR(__xludf.DUMMYFUNCTION("IF('Respuestas de formulario 1'!M1938="""","""",TO_TEXT('Respuestas de formulario 1'!M1938))"),"")</f>
        <v/>
      </c>
      <c r="N1825" s="7" t="str">
        <f t="shared" si="1"/>
        <v/>
      </c>
      <c r="O1825" s="7" t="str">
        <f t="shared" si="2"/>
        <v/>
      </c>
      <c r="P1825" s="7"/>
    </row>
    <row r="1826">
      <c r="A1826" s="7" t="str">
        <f>'Respuestas de formulario 1'!A1939</f>
        <v/>
      </c>
      <c r="B1826" s="7" t="str">
        <f>'Respuestas de formulario 1'!B1939</f>
        <v/>
      </c>
      <c r="C1826" s="7" t="str">
        <f>'Respuestas de formulario 1'!C1939</f>
        <v/>
      </c>
      <c r="D1826" s="7" t="str">
        <f>'Respuestas de formulario 1'!D1939</f>
        <v/>
      </c>
      <c r="E1826" s="7" t="str">
        <f>'Respuestas de formulario 1'!E1939</f>
        <v/>
      </c>
      <c r="F1826" s="7" t="str">
        <f>'Respuestas de formulario 1'!F1939</f>
        <v/>
      </c>
      <c r="G1826" s="7" t="str">
        <f>IFERROR(__xludf.DUMMYFUNCTION("IF('Respuestas de formulario 1'!G1939="""","""",IF(LEFT(REGEXREPLACE(TO_TEXT('Respuestas de formulario 1'!G1939),""[^0-9]"",""""),2)=""54"",""+""&amp;REGEXREPLACE(TO_TEXT('Respuestas de formulario 1'!G1939),""[^0-9]"",""""),""+54""&amp;REGEXREPLACE(TO_TEXT('Respu"&amp;"estas de formulario 1'!G1939),""[^0-9]"","""")))"),"")</f>
        <v/>
      </c>
      <c r="H1826" s="7" t="str">
        <f>'Respuestas de formulario 1'!S1939</f>
        <v/>
      </c>
      <c r="I1826" s="7" t="str">
        <f>IFERROR(__xludf.DUMMYFUNCTION("IF('Respuestas de formulario 1'!I1939="""","""",TO_TEXT('Respuestas de formulario 1'!I1939))"),"")</f>
        <v/>
      </c>
      <c r="J1826" s="7" t="str">
        <f>IFERROR(__xludf.DUMMYFUNCTION("IF('Respuestas de formulario 1'!J1939&lt;&gt;"""",UPPER(TRIM(TO_TEXT('Respuestas de formulario 1'!J1939))),IF('Respuestas de formulario 1'!O1939&lt;&gt;"""",UPPER(TRIM(TO_TEXT('Respuestas de formulario 1'!O1939))),""""))"),"")</f>
        <v/>
      </c>
      <c r="K1826" s="7" t="str">
        <f>IFERROR(__xludf.DUMMYFUNCTION("IF('Respuestas de formulario 1'!K1939="""","""",TO_TEXT('Respuestas de formulario 1'!K1939))"),"")</f>
        <v/>
      </c>
      <c r="L1826" s="7" t="str">
        <f>IFERROR(__xludf.DUMMYFUNCTION("IF('Respuestas de formulario 1'!L1939="""","""",TO_TEXT('Respuestas de formulario 1'!L1939))"),"")</f>
        <v/>
      </c>
      <c r="M1826" s="7" t="str">
        <f>IFERROR(__xludf.DUMMYFUNCTION("IF('Respuestas de formulario 1'!M1939="""","""",TO_TEXT('Respuestas de formulario 1'!M1939))"),"")</f>
        <v/>
      </c>
      <c r="N1826" s="7" t="str">
        <f t="shared" si="1"/>
        <v/>
      </c>
      <c r="O1826" s="7" t="str">
        <f t="shared" si="2"/>
        <v/>
      </c>
      <c r="P1826" s="7"/>
    </row>
    <row r="1827">
      <c r="A1827" s="7" t="str">
        <f>'Respuestas de formulario 1'!A1940</f>
        <v/>
      </c>
      <c r="B1827" s="7" t="str">
        <f>'Respuestas de formulario 1'!B1940</f>
        <v/>
      </c>
      <c r="C1827" s="7" t="str">
        <f>'Respuestas de formulario 1'!C1940</f>
        <v/>
      </c>
      <c r="D1827" s="7" t="str">
        <f>'Respuestas de formulario 1'!D1940</f>
        <v/>
      </c>
      <c r="E1827" s="7" t="str">
        <f>'Respuestas de formulario 1'!E1940</f>
        <v/>
      </c>
      <c r="F1827" s="7" t="str">
        <f>'Respuestas de formulario 1'!F1940</f>
        <v/>
      </c>
      <c r="G1827" s="7" t="str">
        <f>IFERROR(__xludf.DUMMYFUNCTION("IF('Respuestas de formulario 1'!G1940="""","""",IF(LEFT(REGEXREPLACE(TO_TEXT('Respuestas de formulario 1'!G1940),""[^0-9]"",""""),2)=""54"",""+""&amp;REGEXREPLACE(TO_TEXT('Respuestas de formulario 1'!G1940),""[^0-9]"",""""),""+54""&amp;REGEXREPLACE(TO_TEXT('Respu"&amp;"estas de formulario 1'!G1940),""[^0-9]"","""")))"),"")</f>
        <v/>
      </c>
      <c r="H1827" s="7" t="str">
        <f>'Respuestas de formulario 1'!S1940</f>
        <v/>
      </c>
      <c r="I1827" s="7" t="str">
        <f>IFERROR(__xludf.DUMMYFUNCTION("IF('Respuestas de formulario 1'!I1940="""","""",TO_TEXT('Respuestas de formulario 1'!I1940))"),"")</f>
        <v/>
      </c>
      <c r="J1827" s="7" t="str">
        <f>IFERROR(__xludf.DUMMYFUNCTION("IF('Respuestas de formulario 1'!J1940&lt;&gt;"""",UPPER(TRIM(TO_TEXT('Respuestas de formulario 1'!J1940))),IF('Respuestas de formulario 1'!O1940&lt;&gt;"""",UPPER(TRIM(TO_TEXT('Respuestas de formulario 1'!O1940))),""""))"),"")</f>
        <v/>
      </c>
      <c r="K1827" s="7" t="str">
        <f>IFERROR(__xludf.DUMMYFUNCTION("IF('Respuestas de formulario 1'!K1940="""","""",TO_TEXT('Respuestas de formulario 1'!K1940))"),"")</f>
        <v/>
      </c>
      <c r="L1827" s="7" t="str">
        <f>IFERROR(__xludf.DUMMYFUNCTION("IF('Respuestas de formulario 1'!L1940="""","""",TO_TEXT('Respuestas de formulario 1'!L1940))"),"")</f>
        <v/>
      </c>
      <c r="M1827" s="7" t="str">
        <f>IFERROR(__xludf.DUMMYFUNCTION("IF('Respuestas de formulario 1'!M1940="""","""",TO_TEXT('Respuestas de formulario 1'!M1940))"),"")</f>
        <v/>
      </c>
      <c r="N1827" s="7" t="str">
        <f t="shared" si="1"/>
        <v/>
      </c>
      <c r="O1827" s="7" t="str">
        <f t="shared" si="2"/>
        <v/>
      </c>
      <c r="P1827" s="7"/>
    </row>
    <row r="1828">
      <c r="A1828" s="7" t="str">
        <f>'Respuestas de formulario 1'!A1941</f>
        <v/>
      </c>
      <c r="B1828" s="7" t="str">
        <f>'Respuestas de formulario 1'!B1941</f>
        <v/>
      </c>
      <c r="C1828" s="7" t="str">
        <f>'Respuestas de formulario 1'!C1941</f>
        <v/>
      </c>
      <c r="D1828" s="7" t="str">
        <f>'Respuestas de formulario 1'!D1941</f>
        <v/>
      </c>
      <c r="E1828" s="7" t="str">
        <f>'Respuestas de formulario 1'!E1941</f>
        <v/>
      </c>
      <c r="F1828" s="7" t="str">
        <f>'Respuestas de formulario 1'!F1941</f>
        <v/>
      </c>
      <c r="G1828" s="7" t="str">
        <f>IFERROR(__xludf.DUMMYFUNCTION("IF('Respuestas de formulario 1'!G1941="""","""",IF(LEFT(REGEXREPLACE(TO_TEXT('Respuestas de formulario 1'!G1941),""[^0-9]"",""""),2)=""54"",""+""&amp;REGEXREPLACE(TO_TEXT('Respuestas de formulario 1'!G1941),""[^0-9]"",""""),""+54""&amp;REGEXREPLACE(TO_TEXT('Respu"&amp;"estas de formulario 1'!G1941),""[^0-9]"","""")))"),"")</f>
        <v/>
      </c>
      <c r="H1828" s="7" t="str">
        <f>'Respuestas de formulario 1'!S1941</f>
        <v/>
      </c>
      <c r="I1828" s="7" t="str">
        <f>IFERROR(__xludf.DUMMYFUNCTION("IF('Respuestas de formulario 1'!I1941="""","""",TO_TEXT('Respuestas de formulario 1'!I1941))"),"")</f>
        <v/>
      </c>
      <c r="J1828" s="7" t="str">
        <f>IFERROR(__xludf.DUMMYFUNCTION("IF('Respuestas de formulario 1'!J1941&lt;&gt;"""",UPPER(TRIM(TO_TEXT('Respuestas de formulario 1'!J1941))),IF('Respuestas de formulario 1'!O1941&lt;&gt;"""",UPPER(TRIM(TO_TEXT('Respuestas de formulario 1'!O1941))),""""))"),"")</f>
        <v/>
      </c>
      <c r="K1828" s="7" t="str">
        <f>IFERROR(__xludf.DUMMYFUNCTION("IF('Respuestas de formulario 1'!K1941="""","""",TO_TEXT('Respuestas de formulario 1'!K1941))"),"")</f>
        <v/>
      </c>
      <c r="L1828" s="7" t="str">
        <f>IFERROR(__xludf.DUMMYFUNCTION("IF('Respuestas de formulario 1'!L1941="""","""",TO_TEXT('Respuestas de formulario 1'!L1941))"),"")</f>
        <v/>
      </c>
      <c r="M1828" s="7" t="str">
        <f>IFERROR(__xludf.DUMMYFUNCTION("IF('Respuestas de formulario 1'!M1941="""","""",TO_TEXT('Respuestas de formulario 1'!M1941))"),"")</f>
        <v/>
      </c>
      <c r="N1828" s="7" t="str">
        <f t="shared" si="1"/>
        <v/>
      </c>
      <c r="O1828" s="7" t="str">
        <f t="shared" si="2"/>
        <v/>
      </c>
      <c r="P1828" s="7"/>
    </row>
    <row r="1829">
      <c r="A1829" s="7" t="str">
        <f>'Respuestas de formulario 1'!A1942</f>
        <v/>
      </c>
      <c r="B1829" s="7" t="str">
        <f>'Respuestas de formulario 1'!B1942</f>
        <v/>
      </c>
      <c r="C1829" s="7" t="str">
        <f>'Respuestas de formulario 1'!C1942</f>
        <v/>
      </c>
      <c r="D1829" s="7" t="str">
        <f>'Respuestas de formulario 1'!D1942</f>
        <v/>
      </c>
      <c r="E1829" s="7" t="str">
        <f>'Respuestas de formulario 1'!E1942</f>
        <v/>
      </c>
      <c r="F1829" s="7" t="str">
        <f>'Respuestas de formulario 1'!F1942</f>
        <v/>
      </c>
      <c r="G1829" s="7" t="str">
        <f>IFERROR(__xludf.DUMMYFUNCTION("IF('Respuestas de formulario 1'!G1942="""","""",IF(LEFT(REGEXREPLACE(TO_TEXT('Respuestas de formulario 1'!G1942),""[^0-9]"",""""),2)=""54"",""+""&amp;REGEXREPLACE(TO_TEXT('Respuestas de formulario 1'!G1942),""[^0-9]"",""""),""+54""&amp;REGEXREPLACE(TO_TEXT('Respu"&amp;"estas de formulario 1'!G1942),""[^0-9]"","""")))"),"")</f>
        <v/>
      </c>
      <c r="H1829" s="7" t="str">
        <f>'Respuestas de formulario 1'!S1942</f>
        <v/>
      </c>
      <c r="I1829" s="7" t="str">
        <f>IFERROR(__xludf.DUMMYFUNCTION("IF('Respuestas de formulario 1'!I1942="""","""",TO_TEXT('Respuestas de formulario 1'!I1942))"),"")</f>
        <v/>
      </c>
      <c r="J1829" s="7" t="str">
        <f>IFERROR(__xludf.DUMMYFUNCTION("IF('Respuestas de formulario 1'!J1942&lt;&gt;"""",UPPER(TRIM(TO_TEXT('Respuestas de formulario 1'!J1942))),IF('Respuestas de formulario 1'!O1942&lt;&gt;"""",UPPER(TRIM(TO_TEXT('Respuestas de formulario 1'!O1942))),""""))"),"")</f>
        <v/>
      </c>
      <c r="K1829" s="7" t="str">
        <f>IFERROR(__xludf.DUMMYFUNCTION("IF('Respuestas de formulario 1'!K1942="""","""",TO_TEXT('Respuestas de formulario 1'!K1942))"),"")</f>
        <v/>
      </c>
      <c r="L1829" s="7" t="str">
        <f>IFERROR(__xludf.DUMMYFUNCTION("IF('Respuestas de formulario 1'!L1942="""","""",TO_TEXT('Respuestas de formulario 1'!L1942))"),"")</f>
        <v/>
      </c>
      <c r="M1829" s="7" t="str">
        <f>IFERROR(__xludf.DUMMYFUNCTION("IF('Respuestas de formulario 1'!M1942="""","""",TO_TEXT('Respuestas de formulario 1'!M1942))"),"")</f>
        <v/>
      </c>
      <c r="N1829" s="7" t="str">
        <f t="shared" si="1"/>
        <v/>
      </c>
      <c r="O1829" s="7" t="str">
        <f t="shared" si="2"/>
        <v/>
      </c>
      <c r="P1829" s="7"/>
    </row>
    <row r="1830">
      <c r="A1830" s="7" t="str">
        <f>'Respuestas de formulario 1'!A1943</f>
        <v/>
      </c>
      <c r="B1830" s="7" t="str">
        <f>'Respuestas de formulario 1'!B1943</f>
        <v/>
      </c>
      <c r="C1830" s="7" t="str">
        <f>'Respuestas de formulario 1'!C1943</f>
        <v/>
      </c>
      <c r="D1830" s="7" t="str">
        <f>'Respuestas de formulario 1'!D1943</f>
        <v/>
      </c>
      <c r="E1830" s="7" t="str">
        <f>'Respuestas de formulario 1'!E1943</f>
        <v/>
      </c>
      <c r="F1830" s="7" t="str">
        <f>'Respuestas de formulario 1'!F1943</f>
        <v/>
      </c>
      <c r="G1830" s="7" t="str">
        <f>IFERROR(__xludf.DUMMYFUNCTION("IF('Respuestas de formulario 1'!G1943="""","""",IF(LEFT(REGEXREPLACE(TO_TEXT('Respuestas de formulario 1'!G1943),""[^0-9]"",""""),2)=""54"",""+""&amp;REGEXREPLACE(TO_TEXT('Respuestas de formulario 1'!G1943),""[^0-9]"",""""),""+54""&amp;REGEXREPLACE(TO_TEXT('Respu"&amp;"estas de formulario 1'!G1943),""[^0-9]"","""")))"),"")</f>
        <v/>
      </c>
      <c r="H1830" s="7" t="str">
        <f>'Respuestas de formulario 1'!S1943</f>
        <v/>
      </c>
      <c r="I1830" s="7" t="str">
        <f>IFERROR(__xludf.DUMMYFUNCTION("IF('Respuestas de formulario 1'!I1943="""","""",TO_TEXT('Respuestas de formulario 1'!I1943))"),"")</f>
        <v/>
      </c>
      <c r="J1830" s="7" t="str">
        <f>IFERROR(__xludf.DUMMYFUNCTION("IF('Respuestas de formulario 1'!J1943&lt;&gt;"""",UPPER(TRIM(TO_TEXT('Respuestas de formulario 1'!J1943))),IF('Respuestas de formulario 1'!O1943&lt;&gt;"""",UPPER(TRIM(TO_TEXT('Respuestas de formulario 1'!O1943))),""""))"),"")</f>
        <v/>
      </c>
      <c r="K1830" s="7" t="str">
        <f>IFERROR(__xludf.DUMMYFUNCTION("IF('Respuestas de formulario 1'!K1943="""","""",TO_TEXT('Respuestas de formulario 1'!K1943))"),"")</f>
        <v/>
      </c>
      <c r="L1830" s="7" t="str">
        <f>IFERROR(__xludf.DUMMYFUNCTION("IF('Respuestas de formulario 1'!L1943="""","""",TO_TEXT('Respuestas de formulario 1'!L1943))"),"")</f>
        <v/>
      </c>
      <c r="M1830" s="7" t="str">
        <f>IFERROR(__xludf.DUMMYFUNCTION("IF('Respuestas de formulario 1'!M1943="""","""",TO_TEXT('Respuestas de formulario 1'!M1943))"),"")</f>
        <v/>
      </c>
      <c r="N1830" s="7" t="str">
        <f t="shared" si="1"/>
        <v/>
      </c>
      <c r="O1830" s="7" t="str">
        <f t="shared" si="2"/>
        <v/>
      </c>
      <c r="P1830" s="7"/>
    </row>
    <row r="1831">
      <c r="A1831" s="7" t="str">
        <f>'Respuestas de formulario 1'!A1944</f>
        <v/>
      </c>
      <c r="B1831" s="7" t="str">
        <f>'Respuestas de formulario 1'!B1944</f>
        <v/>
      </c>
      <c r="C1831" s="7" t="str">
        <f>'Respuestas de formulario 1'!C1944</f>
        <v/>
      </c>
      <c r="D1831" s="7" t="str">
        <f>'Respuestas de formulario 1'!D1944</f>
        <v/>
      </c>
      <c r="E1831" s="7" t="str">
        <f>'Respuestas de formulario 1'!E1944</f>
        <v/>
      </c>
      <c r="F1831" s="7" t="str">
        <f>'Respuestas de formulario 1'!F1944</f>
        <v/>
      </c>
      <c r="G1831" s="7" t="str">
        <f>IFERROR(__xludf.DUMMYFUNCTION("IF('Respuestas de formulario 1'!G1944="""","""",IF(LEFT(REGEXREPLACE(TO_TEXT('Respuestas de formulario 1'!G1944),""[^0-9]"",""""),2)=""54"",""+""&amp;REGEXREPLACE(TO_TEXT('Respuestas de formulario 1'!G1944),""[^0-9]"",""""),""+54""&amp;REGEXREPLACE(TO_TEXT('Respu"&amp;"estas de formulario 1'!G1944),""[^0-9]"","""")))"),"")</f>
        <v/>
      </c>
      <c r="H1831" s="7" t="str">
        <f>'Respuestas de formulario 1'!S1944</f>
        <v/>
      </c>
      <c r="I1831" s="7" t="str">
        <f>IFERROR(__xludf.DUMMYFUNCTION("IF('Respuestas de formulario 1'!I1944="""","""",TO_TEXT('Respuestas de formulario 1'!I1944))"),"")</f>
        <v/>
      </c>
      <c r="J1831" s="7" t="str">
        <f>IFERROR(__xludf.DUMMYFUNCTION("IF('Respuestas de formulario 1'!J1944&lt;&gt;"""",UPPER(TRIM(TO_TEXT('Respuestas de formulario 1'!J1944))),IF('Respuestas de formulario 1'!O1944&lt;&gt;"""",UPPER(TRIM(TO_TEXT('Respuestas de formulario 1'!O1944))),""""))"),"")</f>
        <v/>
      </c>
      <c r="K1831" s="7" t="str">
        <f>IFERROR(__xludf.DUMMYFUNCTION("IF('Respuestas de formulario 1'!K1944="""","""",TO_TEXT('Respuestas de formulario 1'!K1944))"),"")</f>
        <v/>
      </c>
      <c r="L1831" s="7" t="str">
        <f>IFERROR(__xludf.DUMMYFUNCTION("IF('Respuestas de formulario 1'!L1944="""","""",TO_TEXT('Respuestas de formulario 1'!L1944))"),"")</f>
        <v/>
      </c>
      <c r="M1831" s="7" t="str">
        <f>IFERROR(__xludf.DUMMYFUNCTION("IF('Respuestas de formulario 1'!M1944="""","""",TO_TEXT('Respuestas de formulario 1'!M1944))"),"")</f>
        <v/>
      </c>
      <c r="N1831" s="7" t="str">
        <f t="shared" si="1"/>
        <v/>
      </c>
      <c r="O1831" s="7" t="str">
        <f t="shared" si="2"/>
        <v/>
      </c>
      <c r="P1831" s="7"/>
    </row>
    <row r="1832">
      <c r="A1832" s="7" t="str">
        <f>'Respuestas de formulario 1'!A1945</f>
        <v/>
      </c>
      <c r="B1832" s="7" t="str">
        <f>'Respuestas de formulario 1'!B1945</f>
        <v/>
      </c>
      <c r="C1832" s="7" t="str">
        <f>'Respuestas de formulario 1'!C1945</f>
        <v/>
      </c>
      <c r="D1832" s="7" t="str">
        <f>'Respuestas de formulario 1'!D1945</f>
        <v/>
      </c>
      <c r="E1832" s="7" t="str">
        <f>'Respuestas de formulario 1'!E1945</f>
        <v/>
      </c>
      <c r="F1832" s="7" t="str">
        <f>'Respuestas de formulario 1'!F1945</f>
        <v/>
      </c>
      <c r="G1832" s="7" t="str">
        <f>IFERROR(__xludf.DUMMYFUNCTION("IF('Respuestas de formulario 1'!G1945="""","""",IF(LEFT(REGEXREPLACE(TO_TEXT('Respuestas de formulario 1'!G1945),""[^0-9]"",""""),2)=""54"",""+""&amp;REGEXREPLACE(TO_TEXT('Respuestas de formulario 1'!G1945),""[^0-9]"",""""),""+54""&amp;REGEXREPLACE(TO_TEXT('Respu"&amp;"estas de formulario 1'!G1945),""[^0-9]"","""")))"),"")</f>
        <v/>
      </c>
      <c r="H1832" s="7" t="str">
        <f>'Respuestas de formulario 1'!S1945</f>
        <v/>
      </c>
      <c r="I1832" s="7" t="str">
        <f>IFERROR(__xludf.DUMMYFUNCTION("IF('Respuestas de formulario 1'!I1945="""","""",TO_TEXT('Respuestas de formulario 1'!I1945))"),"")</f>
        <v/>
      </c>
      <c r="J1832" s="7" t="str">
        <f>IFERROR(__xludf.DUMMYFUNCTION("IF('Respuestas de formulario 1'!J1945&lt;&gt;"""",UPPER(TRIM(TO_TEXT('Respuestas de formulario 1'!J1945))),IF('Respuestas de formulario 1'!O1945&lt;&gt;"""",UPPER(TRIM(TO_TEXT('Respuestas de formulario 1'!O1945))),""""))"),"")</f>
        <v/>
      </c>
      <c r="K1832" s="7" t="str">
        <f>IFERROR(__xludf.DUMMYFUNCTION("IF('Respuestas de formulario 1'!K1945="""","""",TO_TEXT('Respuestas de formulario 1'!K1945))"),"")</f>
        <v/>
      </c>
      <c r="L1832" s="7" t="str">
        <f>IFERROR(__xludf.DUMMYFUNCTION("IF('Respuestas de formulario 1'!L1945="""","""",TO_TEXT('Respuestas de formulario 1'!L1945))"),"")</f>
        <v/>
      </c>
      <c r="M1832" s="7" t="str">
        <f>IFERROR(__xludf.DUMMYFUNCTION("IF('Respuestas de formulario 1'!M1945="""","""",TO_TEXT('Respuestas de formulario 1'!M1945))"),"")</f>
        <v/>
      </c>
      <c r="N1832" s="7" t="str">
        <f t="shared" si="1"/>
        <v/>
      </c>
      <c r="O1832" s="7" t="str">
        <f t="shared" si="2"/>
        <v/>
      </c>
      <c r="P1832" s="7"/>
    </row>
    <row r="1833">
      <c r="A1833" s="7" t="str">
        <f>'Respuestas de formulario 1'!A1946</f>
        <v/>
      </c>
      <c r="B1833" s="7" t="str">
        <f>'Respuestas de formulario 1'!B1946</f>
        <v/>
      </c>
      <c r="C1833" s="7" t="str">
        <f>'Respuestas de formulario 1'!C1946</f>
        <v/>
      </c>
      <c r="D1833" s="7" t="str">
        <f>'Respuestas de formulario 1'!D1946</f>
        <v/>
      </c>
      <c r="E1833" s="7" t="str">
        <f>'Respuestas de formulario 1'!E1946</f>
        <v/>
      </c>
      <c r="F1833" s="7" t="str">
        <f>'Respuestas de formulario 1'!F1946</f>
        <v/>
      </c>
      <c r="G1833" s="7" t="str">
        <f>IFERROR(__xludf.DUMMYFUNCTION("IF('Respuestas de formulario 1'!G1946="""","""",IF(LEFT(REGEXREPLACE(TO_TEXT('Respuestas de formulario 1'!G1946),""[^0-9]"",""""),2)=""54"",""+""&amp;REGEXREPLACE(TO_TEXT('Respuestas de formulario 1'!G1946),""[^0-9]"",""""),""+54""&amp;REGEXREPLACE(TO_TEXT('Respu"&amp;"estas de formulario 1'!G1946),""[^0-9]"","""")))"),"")</f>
        <v/>
      </c>
      <c r="H1833" s="7" t="str">
        <f>'Respuestas de formulario 1'!S1946</f>
        <v/>
      </c>
      <c r="I1833" s="7" t="str">
        <f>IFERROR(__xludf.DUMMYFUNCTION("IF('Respuestas de formulario 1'!I1946="""","""",TO_TEXT('Respuestas de formulario 1'!I1946))"),"")</f>
        <v/>
      </c>
      <c r="J1833" s="7" t="str">
        <f>IFERROR(__xludf.DUMMYFUNCTION("IF('Respuestas de formulario 1'!J1946&lt;&gt;"""",UPPER(TRIM(TO_TEXT('Respuestas de formulario 1'!J1946))),IF('Respuestas de formulario 1'!O1946&lt;&gt;"""",UPPER(TRIM(TO_TEXT('Respuestas de formulario 1'!O1946))),""""))"),"")</f>
        <v/>
      </c>
      <c r="K1833" s="7" t="str">
        <f>IFERROR(__xludf.DUMMYFUNCTION("IF('Respuestas de formulario 1'!K1946="""","""",TO_TEXT('Respuestas de formulario 1'!K1946))"),"")</f>
        <v/>
      </c>
      <c r="L1833" s="7" t="str">
        <f>IFERROR(__xludf.DUMMYFUNCTION("IF('Respuestas de formulario 1'!L1946="""","""",TO_TEXT('Respuestas de formulario 1'!L1946))"),"")</f>
        <v/>
      </c>
      <c r="M1833" s="7" t="str">
        <f>IFERROR(__xludf.DUMMYFUNCTION("IF('Respuestas de formulario 1'!M1946="""","""",TO_TEXT('Respuestas de formulario 1'!M1946))"),"")</f>
        <v/>
      </c>
      <c r="N1833" s="7" t="str">
        <f t="shared" si="1"/>
        <v/>
      </c>
      <c r="O1833" s="7" t="str">
        <f t="shared" si="2"/>
        <v/>
      </c>
      <c r="P1833" s="7"/>
    </row>
    <row r="1834">
      <c r="A1834" s="7" t="str">
        <f>'Respuestas de formulario 1'!A1947</f>
        <v/>
      </c>
      <c r="B1834" s="7" t="str">
        <f>'Respuestas de formulario 1'!B1947</f>
        <v/>
      </c>
      <c r="C1834" s="7" t="str">
        <f>'Respuestas de formulario 1'!C1947</f>
        <v/>
      </c>
      <c r="D1834" s="7" t="str">
        <f>'Respuestas de formulario 1'!D1947</f>
        <v/>
      </c>
      <c r="E1834" s="7" t="str">
        <f>'Respuestas de formulario 1'!E1947</f>
        <v/>
      </c>
      <c r="F1834" s="7" t="str">
        <f>'Respuestas de formulario 1'!F1947</f>
        <v/>
      </c>
      <c r="G1834" s="7" t="str">
        <f>IFERROR(__xludf.DUMMYFUNCTION("IF('Respuestas de formulario 1'!G1947="""","""",IF(LEFT(REGEXREPLACE(TO_TEXT('Respuestas de formulario 1'!G1947),""[^0-9]"",""""),2)=""54"",""+""&amp;REGEXREPLACE(TO_TEXT('Respuestas de formulario 1'!G1947),""[^0-9]"",""""),""+54""&amp;REGEXREPLACE(TO_TEXT('Respu"&amp;"estas de formulario 1'!G1947),""[^0-9]"","""")))"),"")</f>
        <v/>
      </c>
      <c r="H1834" s="7" t="str">
        <f>'Respuestas de formulario 1'!S1947</f>
        <v/>
      </c>
      <c r="I1834" s="7" t="str">
        <f>IFERROR(__xludf.DUMMYFUNCTION("IF('Respuestas de formulario 1'!I1947="""","""",TO_TEXT('Respuestas de formulario 1'!I1947))"),"")</f>
        <v/>
      </c>
      <c r="J1834" s="7" t="str">
        <f>IFERROR(__xludf.DUMMYFUNCTION("IF('Respuestas de formulario 1'!J1947&lt;&gt;"""",UPPER(TRIM(TO_TEXT('Respuestas de formulario 1'!J1947))),IF('Respuestas de formulario 1'!O1947&lt;&gt;"""",UPPER(TRIM(TO_TEXT('Respuestas de formulario 1'!O1947))),""""))"),"")</f>
        <v/>
      </c>
      <c r="K1834" s="7" t="str">
        <f>IFERROR(__xludf.DUMMYFUNCTION("IF('Respuestas de formulario 1'!K1947="""","""",TO_TEXT('Respuestas de formulario 1'!K1947))"),"")</f>
        <v/>
      </c>
      <c r="L1834" s="7" t="str">
        <f>IFERROR(__xludf.DUMMYFUNCTION("IF('Respuestas de formulario 1'!L1947="""","""",TO_TEXT('Respuestas de formulario 1'!L1947))"),"")</f>
        <v/>
      </c>
      <c r="M1834" s="7" t="str">
        <f>IFERROR(__xludf.DUMMYFUNCTION("IF('Respuestas de formulario 1'!M1947="""","""",TO_TEXT('Respuestas de formulario 1'!M1947))"),"")</f>
        <v/>
      </c>
      <c r="N1834" s="7" t="str">
        <f t="shared" si="1"/>
        <v/>
      </c>
      <c r="O1834" s="7" t="str">
        <f t="shared" si="2"/>
        <v/>
      </c>
      <c r="P1834" s="7"/>
    </row>
    <row r="1835">
      <c r="A1835" s="7" t="str">
        <f>'Respuestas de formulario 1'!A1948</f>
        <v/>
      </c>
      <c r="B1835" s="7" t="str">
        <f>'Respuestas de formulario 1'!B1948</f>
        <v/>
      </c>
      <c r="C1835" s="7" t="str">
        <f>'Respuestas de formulario 1'!C1948</f>
        <v/>
      </c>
      <c r="D1835" s="7" t="str">
        <f>'Respuestas de formulario 1'!D1948</f>
        <v/>
      </c>
      <c r="E1835" s="7" t="str">
        <f>'Respuestas de formulario 1'!E1948</f>
        <v/>
      </c>
      <c r="F1835" s="7" t="str">
        <f>'Respuestas de formulario 1'!F1948</f>
        <v/>
      </c>
      <c r="G1835" s="7" t="str">
        <f>IFERROR(__xludf.DUMMYFUNCTION("IF('Respuestas de formulario 1'!G1948="""","""",IF(LEFT(REGEXREPLACE(TO_TEXT('Respuestas de formulario 1'!G1948),""[^0-9]"",""""),2)=""54"",""+""&amp;REGEXREPLACE(TO_TEXT('Respuestas de formulario 1'!G1948),""[^0-9]"",""""),""+54""&amp;REGEXREPLACE(TO_TEXT('Respu"&amp;"estas de formulario 1'!G1948),""[^0-9]"","""")))"),"")</f>
        <v/>
      </c>
      <c r="H1835" s="7" t="str">
        <f>'Respuestas de formulario 1'!S1948</f>
        <v/>
      </c>
      <c r="I1835" s="7" t="str">
        <f>IFERROR(__xludf.DUMMYFUNCTION("IF('Respuestas de formulario 1'!I1948="""","""",TO_TEXT('Respuestas de formulario 1'!I1948))"),"")</f>
        <v/>
      </c>
      <c r="J1835" s="7" t="str">
        <f>IFERROR(__xludf.DUMMYFUNCTION("IF('Respuestas de formulario 1'!J1948&lt;&gt;"""",UPPER(TRIM(TO_TEXT('Respuestas de formulario 1'!J1948))),IF('Respuestas de formulario 1'!O1948&lt;&gt;"""",UPPER(TRIM(TO_TEXT('Respuestas de formulario 1'!O1948))),""""))"),"")</f>
        <v/>
      </c>
      <c r="K1835" s="7" t="str">
        <f>IFERROR(__xludf.DUMMYFUNCTION("IF('Respuestas de formulario 1'!K1948="""","""",TO_TEXT('Respuestas de formulario 1'!K1948))"),"")</f>
        <v/>
      </c>
      <c r="L1835" s="7" t="str">
        <f>IFERROR(__xludf.DUMMYFUNCTION("IF('Respuestas de formulario 1'!L1948="""","""",TO_TEXT('Respuestas de formulario 1'!L1948))"),"")</f>
        <v/>
      </c>
      <c r="M1835" s="7" t="str">
        <f>IFERROR(__xludf.DUMMYFUNCTION("IF('Respuestas de formulario 1'!M1948="""","""",TO_TEXT('Respuestas de formulario 1'!M1948))"),"")</f>
        <v/>
      </c>
      <c r="N1835" s="7" t="str">
        <f t="shared" si="1"/>
        <v/>
      </c>
      <c r="O1835" s="7" t="str">
        <f t="shared" si="2"/>
        <v/>
      </c>
      <c r="P1835" s="7"/>
    </row>
    <row r="1836">
      <c r="A1836" s="7" t="str">
        <f>'Respuestas de formulario 1'!A1949</f>
        <v/>
      </c>
      <c r="B1836" s="7" t="str">
        <f>'Respuestas de formulario 1'!B1949</f>
        <v/>
      </c>
      <c r="C1836" s="7" t="str">
        <f>'Respuestas de formulario 1'!C1949</f>
        <v/>
      </c>
      <c r="D1836" s="7" t="str">
        <f>'Respuestas de formulario 1'!D1949</f>
        <v/>
      </c>
      <c r="E1836" s="7" t="str">
        <f>'Respuestas de formulario 1'!E1949</f>
        <v/>
      </c>
      <c r="F1836" s="7" t="str">
        <f>'Respuestas de formulario 1'!F1949</f>
        <v/>
      </c>
      <c r="G1836" s="7" t="str">
        <f>IFERROR(__xludf.DUMMYFUNCTION("IF('Respuestas de formulario 1'!G1949="""","""",IF(LEFT(REGEXREPLACE(TO_TEXT('Respuestas de formulario 1'!G1949),""[^0-9]"",""""),2)=""54"",""+""&amp;REGEXREPLACE(TO_TEXT('Respuestas de formulario 1'!G1949),""[^0-9]"",""""),""+54""&amp;REGEXREPLACE(TO_TEXT('Respu"&amp;"estas de formulario 1'!G1949),""[^0-9]"","""")))"),"")</f>
        <v/>
      </c>
      <c r="H1836" s="7" t="str">
        <f>'Respuestas de formulario 1'!S1949</f>
        <v/>
      </c>
      <c r="I1836" s="7" t="str">
        <f>IFERROR(__xludf.DUMMYFUNCTION("IF('Respuestas de formulario 1'!I1949="""","""",TO_TEXT('Respuestas de formulario 1'!I1949))"),"")</f>
        <v/>
      </c>
      <c r="J1836" s="7" t="str">
        <f>IFERROR(__xludf.DUMMYFUNCTION("IF('Respuestas de formulario 1'!J1949&lt;&gt;"""",UPPER(TRIM(TO_TEXT('Respuestas de formulario 1'!J1949))),IF('Respuestas de formulario 1'!O1949&lt;&gt;"""",UPPER(TRIM(TO_TEXT('Respuestas de formulario 1'!O1949))),""""))"),"")</f>
        <v/>
      </c>
      <c r="K1836" s="7" t="str">
        <f>IFERROR(__xludf.DUMMYFUNCTION("IF('Respuestas de formulario 1'!K1949="""","""",TO_TEXT('Respuestas de formulario 1'!K1949))"),"")</f>
        <v/>
      </c>
      <c r="L1836" s="7" t="str">
        <f>IFERROR(__xludf.DUMMYFUNCTION("IF('Respuestas de formulario 1'!L1949="""","""",TO_TEXT('Respuestas de formulario 1'!L1949))"),"")</f>
        <v/>
      </c>
      <c r="M1836" s="7" t="str">
        <f>IFERROR(__xludf.DUMMYFUNCTION("IF('Respuestas de formulario 1'!M1949="""","""",TO_TEXT('Respuestas de formulario 1'!M1949))"),"")</f>
        <v/>
      </c>
      <c r="N1836" s="7" t="str">
        <f t="shared" si="1"/>
        <v/>
      </c>
      <c r="O1836" s="7" t="str">
        <f t="shared" si="2"/>
        <v/>
      </c>
      <c r="P1836" s="7"/>
    </row>
    <row r="1837">
      <c r="A1837" s="7" t="str">
        <f>'Respuestas de formulario 1'!A1950</f>
        <v/>
      </c>
      <c r="B1837" s="7" t="str">
        <f>'Respuestas de formulario 1'!B1950</f>
        <v/>
      </c>
      <c r="C1837" s="7" t="str">
        <f>'Respuestas de formulario 1'!C1950</f>
        <v/>
      </c>
      <c r="D1837" s="7" t="str">
        <f>'Respuestas de formulario 1'!D1950</f>
        <v/>
      </c>
      <c r="E1837" s="7" t="str">
        <f>'Respuestas de formulario 1'!E1950</f>
        <v/>
      </c>
      <c r="F1837" s="7" t="str">
        <f>'Respuestas de formulario 1'!F1950</f>
        <v/>
      </c>
      <c r="G1837" s="7" t="str">
        <f>IFERROR(__xludf.DUMMYFUNCTION("IF('Respuestas de formulario 1'!G1950="""","""",IF(LEFT(REGEXREPLACE(TO_TEXT('Respuestas de formulario 1'!G1950),""[^0-9]"",""""),2)=""54"",""+""&amp;REGEXREPLACE(TO_TEXT('Respuestas de formulario 1'!G1950),""[^0-9]"",""""),""+54""&amp;REGEXREPLACE(TO_TEXT('Respu"&amp;"estas de formulario 1'!G1950),""[^0-9]"","""")))"),"")</f>
        <v/>
      </c>
      <c r="H1837" s="7" t="str">
        <f>'Respuestas de formulario 1'!S1950</f>
        <v/>
      </c>
      <c r="I1837" s="7" t="str">
        <f>IFERROR(__xludf.DUMMYFUNCTION("IF('Respuestas de formulario 1'!I1950="""","""",TO_TEXT('Respuestas de formulario 1'!I1950))"),"")</f>
        <v/>
      </c>
      <c r="J1837" s="7" t="str">
        <f>IFERROR(__xludf.DUMMYFUNCTION("IF('Respuestas de formulario 1'!J1950&lt;&gt;"""",UPPER(TRIM(TO_TEXT('Respuestas de formulario 1'!J1950))),IF('Respuestas de formulario 1'!O1950&lt;&gt;"""",UPPER(TRIM(TO_TEXT('Respuestas de formulario 1'!O1950))),""""))"),"")</f>
        <v/>
      </c>
      <c r="K1837" s="7" t="str">
        <f>IFERROR(__xludf.DUMMYFUNCTION("IF('Respuestas de formulario 1'!K1950="""","""",TO_TEXT('Respuestas de formulario 1'!K1950))"),"")</f>
        <v/>
      </c>
      <c r="L1837" s="7" t="str">
        <f>IFERROR(__xludf.DUMMYFUNCTION("IF('Respuestas de formulario 1'!L1950="""","""",TO_TEXT('Respuestas de formulario 1'!L1950))"),"")</f>
        <v/>
      </c>
      <c r="M1837" s="7" t="str">
        <f>IFERROR(__xludf.DUMMYFUNCTION("IF('Respuestas de formulario 1'!M1950="""","""",TO_TEXT('Respuestas de formulario 1'!M1950))"),"")</f>
        <v/>
      </c>
      <c r="N1837" s="7" t="str">
        <f t="shared" si="1"/>
        <v/>
      </c>
      <c r="O1837" s="7" t="str">
        <f t="shared" si="2"/>
        <v/>
      </c>
      <c r="P1837" s="7"/>
    </row>
    <row r="1838">
      <c r="A1838" s="7" t="str">
        <f>'Respuestas de formulario 1'!A1951</f>
        <v/>
      </c>
      <c r="B1838" s="7" t="str">
        <f>'Respuestas de formulario 1'!B1951</f>
        <v/>
      </c>
      <c r="C1838" s="7" t="str">
        <f>'Respuestas de formulario 1'!C1951</f>
        <v/>
      </c>
      <c r="D1838" s="7" t="str">
        <f>'Respuestas de formulario 1'!D1951</f>
        <v/>
      </c>
      <c r="E1838" s="7" t="str">
        <f>'Respuestas de formulario 1'!E1951</f>
        <v/>
      </c>
      <c r="F1838" s="7" t="str">
        <f>'Respuestas de formulario 1'!F1951</f>
        <v/>
      </c>
      <c r="G1838" s="7" t="str">
        <f>IFERROR(__xludf.DUMMYFUNCTION("IF('Respuestas de formulario 1'!G1951="""","""",IF(LEFT(REGEXREPLACE(TO_TEXT('Respuestas de formulario 1'!G1951),""[^0-9]"",""""),2)=""54"",""+""&amp;REGEXREPLACE(TO_TEXT('Respuestas de formulario 1'!G1951),""[^0-9]"",""""),""+54""&amp;REGEXREPLACE(TO_TEXT('Respu"&amp;"estas de formulario 1'!G1951),""[^0-9]"","""")))"),"")</f>
        <v/>
      </c>
      <c r="H1838" s="7" t="str">
        <f>'Respuestas de formulario 1'!S1951</f>
        <v/>
      </c>
      <c r="I1838" s="7" t="str">
        <f>IFERROR(__xludf.DUMMYFUNCTION("IF('Respuestas de formulario 1'!I1951="""","""",TO_TEXT('Respuestas de formulario 1'!I1951))"),"")</f>
        <v/>
      </c>
      <c r="J1838" s="7" t="str">
        <f>IFERROR(__xludf.DUMMYFUNCTION("IF('Respuestas de formulario 1'!J1951&lt;&gt;"""",UPPER(TRIM(TO_TEXT('Respuestas de formulario 1'!J1951))),IF('Respuestas de formulario 1'!O1951&lt;&gt;"""",UPPER(TRIM(TO_TEXT('Respuestas de formulario 1'!O1951))),""""))"),"")</f>
        <v/>
      </c>
      <c r="K1838" s="7" t="str">
        <f>IFERROR(__xludf.DUMMYFUNCTION("IF('Respuestas de formulario 1'!K1951="""","""",TO_TEXT('Respuestas de formulario 1'!K1951))"),"")</f>
        <v/>
      </c>
      <c r="L1838" s="7" t="str">
        <f>IFERROR(__xludf.DUMMYFUNCTION("IF('Respuestas de formulario 1'!L1951="""","""",TO_TEXT('Respuestas de formulario 1'!L1951))"),"")</f>
        <v/>
      </c>
      <c r="M1838" s="7" t="str">
        <f>IFERROR(__xludf.DUMMYFUNCTION("IF('Respuestas de formulario 1'!M1951="""","""",TO_TEXT('Respuestas de formulario 1'!M1951))"),"")</f>
        <v/>
      </c>
      <c r="N1838" s="7" t="str">
        <f t="shared" si="1"/>
        <v/>
      </c>
      <c r="O1838" s="7" t="str">
        <f t="shared" si="2"/>
        <v/>
      </c>
      <c r="P1838" s="7"/>
    </row>
    <row r="1839">
      <c r="A1839" s="7" t="str">
        <f>'Respuestas de formulario 1'!A1952</f>
        <v/>
      </c>
      <c r="B1839" s="7" t="str">
        <f>'Respuestas de formulario 1'!B1952</f>
        <v/>
      </c>
      <c r="C1839" s="7" t="str">
        <f>'Respuestas de formulario 1'!C1952</f>
        <v/>
      </c>
      <c r="D1839" s="7" t="str">
        <f>'Respuestas de formulario 1'!D1952</f>
        <v/>
      </c>
      <c r="E1839" s="7" t="str">
        <f>'Respuestas de formulario 1'!E1952</f>
        <v/>
      </c>
      <c r="F1839" s="7" t="str">
        <f>'Respuestas de formulario 1'!F1952</f>
        <v/>
      </c>
      <c r="G1839" s="7" t="str">
        <f>IFERROR(__xludf.DUMMYFUNCTION("IF('Respuestas de formulario 1'!G1952="""","""",IF(LEFT(REGEXREPLACE(TO_TEXT('Respuestas de formulario 1'!G1952),""[^0-9]"",""""),2)=""54"",""+""&amp;REGEXREPLACE(TO_TEXT('Respuestas de formulario 1'!G1952),""[^0-9]"",""""),""+54""&amp;REGEXREPLACE(TO_TEXT('Respu"&amp;"estas de formulario 1'!G1952),""[^0-9]"","""")))"),"")</f>
        <v/>
      </c>
      <c r="H1839" s="7" t="str">
        <f>'Respuestas de formulario 1'!S1952</f>
        <v/>
      </c>
      <c r="I1839" s="7" t="str">
        <f>IFERROR(__xludf.DUMMYFUNCTION("IF('Respuestas de formulario 1'!I1952="""","""",TO_TEXT('Respuestas de formulario 1'!I1952))"),"")</f>
        <v/>
      </c>
      <c r="J1839" s="7" t="str">
        <f>IFERROR(__xludf.DUMMYFUNCTION("IF('Respuestas de formulario 1'!J1952&lt;&gt;"""",UPPER(TRIM(TO_TEXT('Respuestas de formulario 1'!J1952))),IF('Respuestas de formulario 1'!O1952&lt;&gt;"""",UPPER(TRIM(TO_TEXT('Respuestas de formulario 1'!O1952))),""""))"),"")</f>
        <v/>
      </c>
      <c r="K1839" s="7" t="str">
        <f>IFERROR(__xludf.DUMMYFUNCTION("IF('Respuestas de formulario 1'!K1952="""","""",TO_TEXT('Respuestas de formulario 1'!K1952))"),"")</f>
        <v/>
      </c>
      <c r="L1839" s="7" t="str">
        <f>IFERROR(__xludf.DUMMYFUNCTION("IF('Respuestas de formulario 1'!L1952="""","""",TO_TEXT('Respuestas de formulario 1'!L1952))"),"")</f>
        <v/>
      </c>
      <c r="M1839" s="7" t="str">
        <f>IFERROR(__xludf.DUMMYFUNCTION("IF('Respuestas de formulario 1'!M1952="""","""",TO_TEXT('Respuestas de formulario 1'!M1952))"),"")</f>
        <v/>
      </c>
      <c r="N1839" s="7" t="str">
        <f t="shared" si="1"/>
        <v/>
      </c>
      <c r="O1839" s="7" t="str">
        <f t="shared" si="2"/>
        <v/>
      </c>
      <c r="P1839" s="7"/>
    </row>
    <row r="1840">
      <c r="A1840" s="7" t="str">
        <f>'Respuestas de formulario 1'!A1953</f>
        <v/>
      </c>
      <c r="B1840" s="7" t="str">
        <f>'Respuestas de formulario 1'!B1953</f>
        <v/>
      </c>
      <c r="C1840" s="7" t="str">
        <f>'Respuestas de formulario 1'!C1953</f>
        <v/>
      </c>
      <c r="D1840" s="7" t="str">
        <f>'Respuestas de formulario 1'!D1953</f>
        <v/>
      </c>
      <c r="E1840" s="7" t="str">
        <f>'Respuestas de formulario 1'!E1953</f>
        <v/>
      </c>
      <c r="F1840" s="7" t="str">
        <f>'Respuestas de formulario 1'!F1953</f>
        <v/>
      </c>
      <c r="G1840" s="7" t="str">
        <f>IFERROR(__xludf.DUMMYFUNCTION("IF('Respuestas de formulario 1'!G1953="""","""",IF(LEFT(REGEXREPLACE(TO_TEXT('Respuestas de formulario 1'!G1953),""[^0-9]"",""""),2)=""54"",""+""&amp;REGEXREPLACE(TO_TEXT('Respuestas de formulario 1'!G1953),""[^0-9]"",""""),""+54""&amp;REGEXREPLACE(TO_TEXT('Respu"&amp;"estas de formulario 1'!G1953),""[^0-9]"","""")))"),"")</f>
        <v/>
      </c>
      <c r="H1840" s="7" t="str">
        <f>'Respuestas de formulario 1'!S1953</f>
        <v/>
      </c>
      <c r="I1840" s="7" t="str">
        <f>IFERROR(__xludf.DUMMYFUNCTION("IF('Respuestas de formulario 1'!I1953="""","""",TO_TEXT('Respuestas de formulario 1'!I1953))"),"")</f>
        <v/>
      </c>
      <c r="J1840" s="7" t="str">
        <f>IFERROR(__xludf.DUMMYFUNCTION("IF('Respuestas de formulario 1'!J1953&lt;&gt;"""",UPPER(TRIM(TO_TEXT('Respuestas de formulario 1'!J1953))),IF('Respuestas de formulario 1'!O1953&lt;&gt;"""",UPPER(TRIM(TO_TEXT('Respuestas de formulario 1'!O1953))),""""))"),"")</f>
        <v/>
      </c>
      <c r="K1840" s="7" t="str">
        <f>IFERROR(__xludf.DUMMYFUNCTION("IF('Respuestas de formulario 1'!K1953="""","""",TO_TEXT('Respuestas de formulario 1'!K1953))"),"")</f>
        <v/>
      </c>
      <c r="L1840" s="7" t="str">
        <f>IFERROR(__xludf.DUMMYFUNCTION("IF('Respuestas de formulario 1'!L1953="""","""",TO_TEXT('Respuestas de formulario 1'!L1953))"),"")</f>
        <v/>
      </c>
      <c r="M1840" s="7" t="str">
        <f>IFERROR(__xludf.DUMMYFUNCTION("IF('Respuestas de formulario 1'!M1953="""","""",TO_TEXT('Respuestas de formulario 1'!M1953))"),"")</f>
        <v/>
      </c>
      <c r="N1840" s="7" t="str">
        <f t="shared" si="1"/>
        <v/>
      </c>
      <c r="O1840" s="7" t="str">
        <f t="shared" si="2"/>
        <v/>
      </c>
      <c r="P1840" s="7"/>
    </row>
    <row r="1841">
      <c r="A1841" s="7" t="str">
        <f>'Respuestas de formulario 1'!A1954</f>
        <v/>
      </c>
      <c r="B1841" s="7" t="str">
        <f>'Respuestas de formulario 1'!B1954</f>
        <v/>
      </c>
      <c r="C1841" s="7" t="str">
        <f>'Respuestas de formulario 1'!C1954</f>
        <v/>
      </c>
      <c r="D1841" s="7" t="str">
        <f>'Respuestas de formulario 1'!D1954</f>
        <v/>
      </c>
      <c r="E1841" s="7" t="str">
        <f>'Respuestas de formulario 1'!E1954</f>
        <v/>
      </c>
      <c r="F1841" s="7" t="str">
        <f>'Respuestas de formulario 1'!F1954</f>
        <v/>
      </c>
      <c r="G1841" s="7" t="str">
        <f>IFERROR(__xludf.DUMMYFUNCTION("IF('Respuestas de formulario 1'!G1954="""","""",IF(LEFT(REGEXREPLACE(TO_TEXT('Respuestas de formulario 1'!G1954),""[^0-9]"",""""),2)=""54"",""+""&amp;REGEXREPLACE(TO_TEXT('Respuestas de formulario 1'!G1954),""[^0-9]"",""""),""+54""&amp;REGEXREPLACE(TO_TEXT('Respu"&amp;"estas de formulario 1'!G1954),""[^0-9]"","""")))"),"")</f>
        <v/>
      </c>
      <c r="H1841" s="7" t="str">
        <f>'Respuestas de formulario 1'!S1954</f>
        <v/>
      </c>
      <c r="I1841" s="7" t="str">
        <f>IFERROR(__xludf.DUMMYFUNCTION("IF('Respuestas de formulario 1'!I1954="""","""",TO_TEXT('Respuestas de formulario 1'!I1954))"),"")</f>
        <v/>
      </c>
      <c r="J1841" s="7" t="str">
        <f>IFERROR(__xludf.DUMMYFUNCTION("IF('Respuestas de formulario 1'!J1954&lt;&gt;"""",UPPER(TRIM(TO_TEXT('Respuestas de formulario 1'!J1954))),IF('Respuestas de formulario 1'!O1954&lt;&gt;"""",UPPER(TRIM(TO_TEXT('Respuestas de formulario 1'!O1954))),""""))"),"")</f>
        <v/>
      </c>
      <c r="K1841" s="7" t="str">
        <f>IFERROR(__xludf.DUMMYFUNCTION("IF('Respuestas de formulario 1'!K1954="""","""",TO_TEXT('Respuestas de formulario 1'!K1954))"),"")</f>
        <v/>
      </c>
      <c r="L1841" s="7" t="str">
        <f>IFERROR(__xludf.DUMMYFUNCTION("IF('Respuestas de formulario 1'!L1954="""","""",TO_TEXT('Respuestas de formulario 1'!L1954))"),"")</f>
        <v/>
      </c>
      <c r="M1841" s="7" t="str">
        <f>IFERROR(__xludf.DUMMYFUNCTION("IF('Respuestas de formulario 1'!M1954="""","""",TO_TEXT('Respuestas de formulario 1'!M1954))"),"")</f>
        <v/>
      </c>
      <c r="N1841" s="7" t="str">
        <f t="shared" si="1"/>
        <v/>
      </c>
      <c r="O1841" s="7" t="str">
        <f t="shared" si="2"/>
        <v/>
      </c>
      <c r="P1841" s="7"/>
    </row>
    <row r="1842">
      <c r="A1842" s="7" t="str">
        <f>'Respuestas de formulario 1'!A1955</f>
        <v/>
      </c>
      <c r="B1842" s="7" t="str">
        <f>'Respuestas de formulario 1'!B1955</f>
        <v/>
      </c>
      <c r="C1842" s="7" t="str">
        <f>'Respuestas de formulario 1'!C1955</f>
        <v/>
      </c>
      <c r="D1842" s="7" t="str">
        <f>'Respuestas de formulario 1'!D1955</f>
        <v/>
      </c>
      <c r="E1842" s="7" t="str">
        <f>'Respuestas de formulario 1'!E1955</f>
        <v/>
      </c>
      <c r="F1842" s="7" t="str">
        <f>'Respuestas de formulario 1'!F1955</f>
        <v/>
      </c>
      <c r="G1842" s="7" t="str">
        <f>IFERROR(__xludf.DUMMYFUNCTION("IF('Respuestas de formulario 1'!G1955="""","""",IF(LEFT(REGEXREPLACE(TO_TEXT('Respuestas de formulario 1'!G1955),""[^0-9]"",""""),2)=""54"",""+""&amp;REGEXREPLACE(TO_TEXT('Respuestas de formulario 1'!G1955),""[^0-9]"",""""),""+54""&amp;REGEXREPLACE(TO_TEXT('Respu"&amp;"estas de formulario 1'!G1955),""[^0-9]"","""")))"),"")</f>
        <v/>
      </c>
      <c r="H1842" s="7" t="str">
        <f>'Respuestas de formulario 1'!S1955</f>
        <v/>
      </c>
      <c r="I1842" s="7" t="str">
        <f>IFERROR(__xludf.DUMMYFUNCTION("IF('Respuestas de formulario 1'!I1955="""","""",TO_TEXT('Respuestas de formulario 1'!I1955))"),"")</f>
        <v/>
      </c>
      <c r="J1842" s="7" t="str">
        <f>IFERROR(__xludf.DUMMYFUNCTION("IF('Respuestas de formulario 1'!J1955&lt;&gt;"""",UPPER(TRIM(TO_TEXT('Respuestas de formulario 1'!J1955))),IF('Respuestas de formulario 1'!O1955&lt;&gt;"""",UPPER(TRIM(TO_TEXT('Respuestas de formulario 1'!O1955))),""""))"),"")</f>
        <v/>
      </c>
      <c r="K1842" s="7" t="str">
        <f>IFERROR(__xludf.DUMMYFUNCTION("IF('Respuestas de formulario 1'!K1955="""","""",TO_TEXT('Respuestas de formulario 1'!K1955))"),"")</f>
        <v/>
      </c>
      <c r="L1842" s="7" t="str">
        <f>IFERROR(__xludf.DUMMYFUNCTION("IF('Respuestas de formulario 1'!L1955="""","""",TO_TEXT('Respuestas de formulario 1'!L1955))"),"")</f>
        <v/>
      </c>
      <c r="M1842" s="7" t="str">
        <f>IFERROR(__xludf.DUMMYFUNCTION("IF('Respuestas de formulario 1'!M1955="""","""",TO_TEXT('Respuestas de formulario 1'!M1955))"),"")</f>
        <v/>
      </c>
      <c r="N1842" s="7" t="str">
        <f t="shared" si="1"/>
        <v/>
      </c>
      <c r="O1842" s="7" t="str">
        <f t="shared" si="2"/>
        <v/>
      </c>
      <c r="P1842" s="7"/>
    </row>
    <row r="1843">
      <c r="A1843" s="7" t="str">
        <f>'Respuestas de formulario 1'!A1956</f>
        <v/>
      </c>
      <c r="B1843" s="7" t="str">
        <f>'Respuestas de formulario 1'!B1956</f>
        <v/>
      </c>
      <c r="C1843" s="7" t="str">
        <f>'Respuestas de formulario 1'!C1956</f>
        <v/>
      </c>
      <c r="D1843" s="7" t="str">
        <f>'Respuestas de formulario 1'!D1956</f>
        <v/>
      </c>
      <c r="E1843" s="7" t="str">
        <f>'Respuestas de formulario 1'!E1956</f>
        <v/>
      </c>
      <c r="F1843" s="7" t="str">
        <f>'Respuestas de formulario 1'!F1956</f>
        <v/>
      </c>
      <c r="G1843" s="7" t="str">
        <f>IFERROR(__xludf.DUMMYFUNCTION("IF('Respuestas de formulario 1'!G1956="""","""",IF(LEFT(REGEXREPLACE(TO_TEXT('Respuestas de formulario 1'!G1956),""[^0-9]"",""""),2)=""54"",""+""&amp;REGEXREPLACE(TO_TEXT('Respuestas de formulario 1'!G1956),""[^0-9]"",""""),""+54""&amp;REGEXREPLACE(TO_TEXT('Respu"&amp;"estas de formulario 1'!G1956),""[^0-9]"","""")))"),"")</f>
        <v/>
      </c>
      <c r="H1843" s="7" t="str">
        <f>'Respuestas de formulario 1'!S1956</f>
        <v/>
      </c>
      <c r="I1843" s="7" t="str">
        <f>IFERROR(__xludf.DUMMYFUNCTION("IF('Respuestas de formulario 1'!I1956="""","""",TO_TEXT('Respuestas de formulario 1'!I1956))"),"")</f>
        <v/>
      </c>
      <c r="J1843" s="7" t="str">
        <f>IFERROR(__xludf.DUMMYFUNCTION("IF('Respuestas de formulario 1'!J1956&lt;&gt;"""",UPPER(TRIM(TO_TEXT('Respuestas de formulario 1'!J1956))),IF('Respuestas de formulario 1'!O1956&lt;&gt;"""",UPPER(TRIM(TO_TEXT('Respuestas de formulario 1'!O1956))),""""))"),"")</f>
        <v/>
      </c>
      <c r="K1843" s="7" t="str">
        <f>IFERROR(__xludf.DUMMYFUNCTION("IF('Respuestas de formulario 1'!K1956="""","""",TO_TEXT('Respuestas de formulario 1'!K1956))"),"")</f>
        <v/>
      </c>
      <c r="L1843" s="7" t="str">
        <f>IFERROR(__xludf.DUMMYFUNCTION("IF('Respuestas de formulario 1'!L1956="""","""",TO_TEXT('Respuestas de formulario 1'!L1956))"),"")</f>
        <v/>
      </c>
      <c r="M1843" s="7" t="str">
        <f>IFERROR(__xludf.DUMMYFUNCTION("IF('Respuestas de formulario 1'!M1956="""","""",TO_TEXT('Respuestas de formulario 1'!M1956))"),"")</f>
        <v/>
      </c>
      <c r="N1843" s="7" t="str">
        <f t="shared" si="1"/>
        <v/>
      </c>
      <c r="O1843" s="7" t="str">
        <f t="shared" si="2"/>
        <v/>
      </c>
      <c r="P1843" s="7"/>
    </row>
    <row r="1844">
      <c r="A1844" s="7" t="str">
        <f>'Respuestas de formulario 1'!A1957</f>
        <v/>
      </c>
      <c r="B1844" s="7" t="str">
        <f>'Respuestas de formulario 1'!B1957</f>
        <v/>
      </c>
      <c r="C1844" s="7" t="str">
        <f>'Respuestas de formulario 1'!C1957</f>
        <v/>
      </c>
      <c r="D1844" s="7" t="str">
        <f>'Respuestas de formulario 1'!D1957</f>
        <v/>
      </c>
      <c r="E1844" s="7" t="str">
        <f>'Respuestas de formulario 1'!E1957</f>
        <v/>
      </c>
      <c r="F1844" s="7" t="str">
        <f>'Respuestas de formulario 1'!F1957</f>
        <v/>
      </c>
      <c r="G1844" s="7" t="str">
        <f>IFERROR(__xludf.DUMMYFUNCTION("IF('Respuestas de formulario 1'!G1957="""","""",IF(LEFT(REGEXREPLACE(TO_TEXT('Respuestas de formulario 1'!G1957),""[^0-9]"",""""),2)=""54"",""+""&amp;REGEXREPLACE(TO_TEXT('Respuestas de formulario 1'!G1957),""[^0-9]"",""""),""+54""&amp;REGEXREPLACE(TO_TEXT('Respu"&amp;"estas de formulario 1'!G1957),""[^0-9]"","""")))"),"")</f>
        <v/>
      </c>
      <c r="H1844" s="7" t="str">
        <f>'Respuestas de formulario 1'!S1957</f>
        <v/>
      </c>
      <c r="I1844" s="7" t="str">
        <f>IFERROR(__xludf.DUMMYFUNCTION("IF('Respuestas de formulario 1'!I1957="""","""",TO_TEXT('Respuestas de formulario 1'!I1957))"),"")</f>
        <v/>
      </c>
      <c r="J1844" s="7" t="str">
        <f>IFERROR(__xludf.DUMMYFUNCTION("IF('Respuestas de formulario 1'!J1957&lt;&gt;"""",UPPER(TRIM(TO_TEXT('Respuestas de formulario 1'!J1957))),IF('Respuestas de formulario 1'!O1957&lt;&gt;"""",UPPER(TRIM(TO_TEXT('Respuestas de formulario 1'!O1957))),""""))"),"")</f>
        <v/>
      </c>
      <c r="K1844" s="7" t="str">
        <f>IFERROR(__xludf.DUMMYFUNCTION("IF('Respuestas de formulario 1'!K1957="""","""",TO_TEXT('Respuestas de formulario 1'!K1957))"),"")</f>
        <v/>
      </c>
      <c r="L1844" s="7" t="str">
        <f>IFERROR(__xludf.DUMMYFUNCTION("IF('Respuestas de formulario 1'!L1957="""","""",TO_TEXT('Respuestas de formulario 1'!L1957))"),"")</f>
        <v/>
      </c>
      <c r="M1844" s="7" t="str">
        <f>IFERROR(__xludf.DUMMYFUNCTION("IF('Respuestas de formulario 1'!M1957="""","""",TO_TEXT('Respuestas de formulario 1'!M1957))"),"")</f>
        <v/>
      </c>
      <c r="N1844" s="7" t="str">
        <f t="shared" si="1"/>
        <v/>
      </c>
      <c r="O1844" s="7" t="str">
        <f t="shared" si="2"/>
        <v/>
      </c>
      <c r="P1844" s="7"/>
    </row>
    <row r="1845">
      <c r="A1845" s="7" t="str">
        <f>'Respuestas de formulario 1'!A1958</f>
        <v/>
      </c>
      <c r="B1845" s="7" t="str">
        <f>'Respuestas de formulario 1'!B1958</f>
        <v/>
      </c>
      <c r="C1845" s="7" t="str">
        <f>'Respuestas de formulario 1'!C1958</f>
        <v/>
      </c>
      <c r="D1845" s="7" t="str">
        <f>'Respuestas de formulario 1'!D1958</f>
        <v/>
      </c>
      <c r="E1845" s="7" t="str">
        <f>'Respuestas de formulario 1'!E1958</f>
        <v/>
      </c>
      <c r="F1845" s="7" t="str">
        <f>'Respuestas de formulario 1'!F1958</f>
        <v/>
      </c>
      <c r="G1845" s="7" t="str">
        <f>IFERROR(__xludf.DUMMYFUNCTION("IF('Respuestas de formulario 1'!G1958="""","""",IF(LEFT(REGEXREPLACE(TO_TEXT('Respuestas de formulario 1'!G1958),""[^0-9]"",""""),2)=""54"",""+""&amp;REGEXREPLACE(TO_TEXT('Respuestas de formulario 1'!G1958),""[^0-9]"",""""),""+54""&amp;REGEXREPLACE(TO_TEXT('Respu"&amp;"estas de formulario 1'!G1958),""[^0-9]"","""")))"),"")</f>
        <v/>
      </c>
      <c r="H1845" s="7" t="str">
        <f>'Respuestas de formulario 1'!S1958</f>
        <v/>
      </c>
      <c r="I1845" s="7" t="str">
        <f>IFERROR(__xludf.DUMMYFUNCTION("IF('Respuestas de formulario 1'!I1958="""","""",TO_TEXT('Respuestas de formulario 1'!I1958))"),"")</f>
        <v/>
      </c>
      <c r="J1845" s="7" t="str">
        <f>IFERROR(__xludf.DUMMYFUNCTION("IF('Respuestas de formulario 1'!J1958&lt;&gt;"""",UPPER(TRIM(TO_TEXT('Respuestas de formulario 1'!J1958))),IF('Respuestas de formulario 1'!O1958&lt;&gt;"""",UPPER(TRIM(TO_TEXT('Respuestas de formulario 1'!O1958))),""""))"),"")</f>
        <v/>
      </c>
      <c r="K1845" s="7" t="str">
        <f>IFERROR(__xludf.DUMMYFUNCTION("IF('Respuestas de formulario 1'!K1958="""","""",TO_TEXT('Respuestas de formulario 1'!K1958))"),"")</f>
        <v/>
      </c>
      <c r="L1845" s="7" t="str">
        <f>IFERROR(__xludf.DUMMYFUNCTION("IF('Respuestas de formulario 1'!L1958="""","""",TO_TEXT('Respuestas de formulario 1'!L1958))"),"")</f>
        <v/>
      </c>
      <c r="M1845" s="7" t="str">
        <f>IFERROR(__xludf.DUMMYFUNCTION("IF('Respuestas de formulario 1'!M1958="""","""",TO_TEXT('Respuestas de formulario 1'!M1958))"),"")</f>
        <v/>
      </c>
      <c r="N1845" s="7" t="str">
        <f t="shared" si="1"/>
        <v/>
      </c>
      <c r="O1845" s="7" t="str">
        <f t="shared" si="2"/>
        <v/>
      </c>
      <c r="P1845" s="7"/>
    </row>
    <row r="1846">
      <c r="A1846" s="7" t="str">
        <f>'Respuestas de formulario 1'!A1959</f>
        <v/>
      </c>
      <c r="B1846" s="7" t="str">
        <f>'Respuestas de formulario 1'!B1959</f>
        <v/>
      </c>
      <c r="C1846" s="7" t="str">
        <f>'Respuestas de formulario 1'!C1959</f>
        <v/>
      </c>
      <c r="D1846" s="7" t="str">
        <f>'Respuestas de formulario 1'!D1959</f>
        <v/>
      </c>
      <c r="E1846" s="7" t="str">
        <f>'Respuestas de formulario 1'!E1959</f>
        <v/>
      </c>
      <c r="F1846" s="7" t="str">
        <f>'Respuestas de formulario 1'!F1959</f>
        <v/>
      </c>
      <c r="G1846" s="7" t="str">
        <f>IFERROR(__xludf.DUMMYFUNCTION("IF('Respuestas de formulario 1'!G1959="""","""",IF(LEFT(REGEXREPLACE(TO_TEXT('Respuestas de formulario 1'!G1959),""[^0-9]"",""""),2)=""54"",""+""&amp;REGEXREPLACE(TO_TEXT('Respuestas de formulario 1'!G1959),""[^0-9]"",""""),""+54""&amp;REGEXREPLACE(TO_TEXT('Respu"&amp;"estas de formulario 1'!G1959),""[^0-9]"","""")))"),"")</f>
        <v/>
      </c>
      <c r="H1846" s="7" t="str">
        <f>'Respuestas de formulario 1'!S1959</f>
        <v/>
      </c>
      <c r="I1846" s="7" t="str">
        <f>IFERROR(__xludf.DUMMYFUNCTION("IF('Respuestas de formulario 1'!I1959="""","""",TO_TEXT('Respuestas de formulario 1'!I1959))"),"")</f>
        <v/>
      </c>
      <c r="J1846" s="7" t="str">
        <f>IFERROR(__xludf.DUMMYFUNCTION("IF('Respuestas de formulario 1'!J1959&lt;&gt;"""",UPPER(TRIM(TO_TEXT('Respuestas de formulario 1'!J1959))),IF('Respuestas de formulario 1'!O1959&lt;&gt;"""",UPPER(TRIM(TO_TEXT('Respuestas de formulario 1'!O1959))),""""))"),"")</f>
        <v/>
      </c>
      <c r="K1846" s="7" t="str">
        <f>IFERROR(__xludf.DUMMYFUNCTION("IF('Respuestas de formulario 1'!K1959="""","""",TO_TEXT('Respuestas de formulario 1'!K1959))"),"")</f>
        <v/>
      </c>
      <c r="L1846" s="7" t="str">
        <f>IFERROR(__xludf.DUMMYFUNCTION("IF('Respuestas de formulario 1'!L1959="""","""",TO_TEXT('Respuestas de formulario 1'!L1959))"),"")</f>
        <v/>
      </c>
      <c r="M1846" s="7" t="str">
        <f>IFERROR(__xludf.DUMMYFUNCTION("IF('Respuestas de formulario 1'!M1959="""","""",TO_TEXT('Respuestas de formulario 1'!M1959))"),"")</f>
        <v/>
      </c>
      <c r="N1846" s="7" t="str">
        <f t="shared" si="1"/>
        <v/>
      </c>
      <c r="O1846" s="7" t="str">
        <f t="shared" si="2"/>
        <v/>
      </c>
      <c r="P1846" s="7"/>
    </row>
    <row r="1847">
      <c r="A1847" s="7" t="str">
        <f>'Respuestas de formulario 1'!A1960</f>
        <v/>
      </c>
      <c r="B1847" s="7" t="str">
        <f>'Respuestas de formulario 1'!B1960</f>
        <v/>
      </c>
      <c r="C1847" s="7" t="str">
        <f>'Respuestas de formulario 1'!C1960</f>
        <v/>
      </c>
      <c r="D1847" s="7" t="str">
        <f>'Respuestas de formulario 1'!D1960</f>
        <v/>
      </c>
      <c r="E1847" s="7" t="str">
        <f>'Respuestas de formulario 1'!E1960</f>
        <v/>
      </c>
      <c r="F1847" s="7" t="str">
        <f>'Respuestas de formulario 1'!F1960</f>
        <v/>
      </c>
      <c r="G1847" s="7" t="str">
        <f>IFERROR(__xludf.DUMMYFUNCTION("IF('Respuestas de formulario 1'!G1960="""","""",IF(LEFT(REGEXREPLACE(TO_TEXT('Respuestas de formulario 1'!G1960),""[^0-9]"",""""),2)=""54"",""+""&amp;REGEXREPLACE(TO_TEXT('Respuestas de formulario 1'!G1960),""[^0-9]"",""""),""+54""&amp;REGEXREPLACE(TO_TEXT('Respu"&amp;"estas de formulario 1'!G1960),""[^0-9]"","""")))"),"")</f>
        <v/>
      </c>
      <c r="H1847" s="7" t="str">
        <f>'Respuestas de formulario 1'!S1960</f>
        <v/>
      </c>
      <c r="I1847" s="7" t="str">
        <f>IFERROR(__xludf.DUMMYFUNCTION("IF('Respuestas de formulario 1'!I1960="""","""",TO_TEXT('Respuestas de formulario 1'!I1960))"),"")</f>
        <v/>
      </c>
      <c r="J1847" s="7" t="str">
        <f>IFERROR(__xludf.DUMMYFUNCTION("IF('Respuestas de formulario 1'!J1960&lt;&gt;"""",UPPER(TRIM(TO_TEXT('Respuestas de formulario 1'!J1960))),IF('Respuestas de formulario 1'!O1960&lt;&gt;"""",UPPER(TRIM(TO_TEXT('Respuestas de formulario 1'!O1960))),""""))"),"")</f>
        <v/>
      </c>
      <c r="K1847" s="7" t="str">
        <f>IFERROR(__xludf.DUMMYFUNCTION("IF('Respuestas de formulario 1'!K1960="""","""",TO_TEXT('Respuestas de formulario 1'!K1960))"),"")</f>
        <v/>
      </c>
      <c r="L1847" s="7" t="str">
        <f>IFERROR(__xludf.DUMMYFUNCTION("IF('Respuestas de formulario 1'!L1960="""","""",TO_TEXT('Respuestas de formulario 1'!L1960))"),"")</f>
        <v/>
      </c>
      <c r="M1847" s="7" t="str">
        <f>IFERROR(__xludf.DUMMYFUNCTION("IF('Respuestas de formulario 1'!M1960="""","""",TO_TEXT('Respuestas de formulario 1'!M1960))"),"")</f>
        <v/>
      </c>
      <c r="N1847" s="7" t="str">
        <f t="shared" si="1"/>
        <v/>
      </c>
      <c r="O1847" s="7" t="str">
        <f t="shared" si="2"/>
        <v/>
      </c>
      <c r="P1847" s="7"/>
    </row>
    <row r="1848">
      <c r="A1848" s="7" t="str">
        <f>'Respuestas de formulario 1'!A1961</f>
        <v/>
      </c>
      <c r="B1848" s="7" t="str">
        <f>'Respuestas de formulario 1'!B1961</f>
        <v/>
      </c>
      <c r="C1848" s="7" t="str">
        <f>'Respuestas de formulario 1'!C1961</f>
        <v/>
      </c>
      <c r="D1848" s="7" t="str">
        <f>'Respuestas de formulario 1'!D1961</f>
        <v/>
      </c>
      <c r="E1848" s="7" t="str">
        <f>'Respuestas de formulario 1'!E1961</f>
        <v/>
      </c>
      <c r="F1848" s="7" t="str">
        <f>'Respuestas de formulario 1'!F1961</f>
        <v/>
      </c>
      <c r="G1848" s="7" t="str">
        <f>IFERROR(__xludf.DUMMYFUNCTION("IF('Respuestas de formulario 1'!G1961="""","""",IF(LEFT(REGEXREPLACE(TO_TEXT('Respuestas de formulario 1'!G1961),""[^0-9]"",""""),2)=""54"",""+""&amp;REGEXREPLACE(TO_TEXT('Respuestas de formulario 1'!G1961),""[^0-9]"",""""),""+54""&amp;REGEXREPLACE(TO_TEXT('Respu"&amp;"estas de formulario 1'!G1961),""[^0-9]"","""")))"),"")</f>
        <v/>
      </c>
      <c r="H1848" s="7" t="str">
        <f>'Respuestas de formulario 1'!S1961</f>
        <v/>
      </c>
      <c r="I1848" s="7" t="str">
        <f>IFERROR(__xludf.DUMMYFUNCTION("IF('Respuestas de formulario 1'!I1961="""","""",TO_TEXT('Respuestas de formulario 1'!I1961))"),"")</f>
        <v/>
      </c>
      <c r="J1848" s="7" t="str">
        <f>IFERROR(__xludf.DUMMYFUNCTION("IF('Respuestas de formulario 1'!J1961&lt;&gt;"""",UPPER(TRIM(TO_TEXT('Respuestas de formulario 1'!J1961))),IF('Respuestas de formulario 1'!O1961&lt;&gt;"""",UPPER(TRIM(TO_TEXT('Respuestas de formulario 1'!O1961))),""""))"),"")</f>
        <v/>
      </c>
      <c r="K1848" s="7" t="str">
        <f>IFERROR(__xludf.DUMMYFUNCTION("IF('Respuestas de formulario 1'!K1961="""","""",TO_TEXT('Respuestas de formulario 1'!K1961))"),"")</f>
        <v/>
      </c>
      <c r="L1848" s="7" t="str">
        <f>IFERROR(__xludf.DUMMYFUNCTION("IF('Respuestas de formulario 1'!L1961="""","""",TO_TEXT('Respuestas de formulario 1'!L1961))"),"")</f>
        <v/>
      </c>
      <c r="M1848" s="7" t="str">
        <f>IFERROR(__xludf.DUMMYFUNCTION("IF('Respuestas de formulario 1'!M1961="""","""",TO_TEXT('Respuestas de formulario 1'!M1961))"),"")</f>
        <v/>
      </c>
      <c r="N1848" s="7" t="str">
        <f t="shared" si="1"/>
        <v/>
      </c>
      <c r="O1848" s="7" t="str">
        <f t="shared" si="2"/>
        <v/>
      </c>
      <c r="P1848" s="7"/>
    </row>
    <row r="1849">
      <c r="A1849" s="7" t="str">
        <f>'Respuestas de formulario 1'!A1962</f>
        <v/>
      </c>
      <c r="B1849" s="7" t="str">
        <f>'Respuestas de formulario 1'!B1962</f>
        <v/>
      </c>
      <c r="C1849" s="7" t="str">
        <f>'Respuestas de formulario 1'!C1962</f>
        <v/>
      </c>
      <c r="D1849" s="7" t="str">
        <f>'Respuestas de formulario 1'!D1962</f>
        <v/>
      </c>
      <c r="E1849" s="7" t="str">
        <f>'Respuestas de formulario 1'!E1962</f>
        <v/>
      </c>
      <c r="F1849" s="7" t="str">
        <f>'Respuestas de formulario 1'!F1962</f>
        <v/>
      </c>
      <c r="G1849" s="7" t="str">
        <f>IFERROR(__xludf.DUMMYFUNCTION("IF('Respuestas de formulario 1'!G1962="""","""",IF(LEFT(REGEXREPLACE(TO_TEXT('Respuestas de formulario 1'!G1962),""[^0-9]"",""""),2)=""54"",""+""&amp;REGEXREPLACE(TO_TEXT('Respuestas de formulario 1'!G1962),""[^0-9]"",""""),""+54""&amp;REGEXREPLACE(TO_TEXT('Respu"&amp;"estas de formulario 1'!G1962),""[^0-9]"","""")))"),"")</f>
        <v/>
      </c>
      <c r="H1849" s="7" t="str">
        <f>'Respuestas de formulario 1'!S1962</f>
        <v/>
      </c>
      <c r="I1849" s="7" t="str">
        <f>IFERROR(__xludf.DUMMYFUNCTION("IF('Respuestas de formulario 1'!I1962="""","""",TO_TEXT('Respuestas de formulario 1'!I1962))"),"")</f>
        <v/>
      </c>
      <c r="J1849" s="7" t="str">
        <f>IFERROR(__xludf.DUMMYFUNCTION("IF('Respuestas de formulario 1'!J1962&lt;&gt;"""",UPPER(TRIM(TO_TEXT('Respuestas de formulario 1'!J1962))),IF('Respuestas de formulario 1'!O1962&lt;&gt;"""",UPPER(TRIM(TO_TEXT('Respuestas de formulario 1'!O1962))),""""))"),"")</f>
        <v/>
      </c>
      <c r="K1849" s="7" t="str">
        <f>IFERROR(__xludf.DUMMYFUNCTION("IF('Respuestas de formulario 1'!K1962="""","""",TO_TEXT('Respuestas de formulario 1'!K1962))"),"")</f>
        <v/>
      </c>
      <c r="L1849" s="7" t="str">
        <f>IFERROR(__xludf.DUMMYFUNCTION("IF('Respuestas de formulario 1'!L1962="""","""",TO_TEXT('Respuestas de formulario 1'!L1962))"),"")</f>
        <v/>
      </c>
      <c r="M1849" s="7" t="str">
        <f>IFERROR(__xludf.DUMMYFUNCTION("IF('Respuestas de formulario 1'!M1962="""","""",TO_TEXT('Respuestas de formulario 1'!M1962))"),"")</f>
        <v/>
      </c>
      <c r="N1849" s="7" t="str">
        <f t="shared" si="1"/>
        <v/>
      </c>
      <c r="O1849" s="7" t="str">
        <f t="shared" si="2"/>
        <v/>
      </c>
      <c r="P1849" s="7"/>
    </row>
    <row r="1850">
      <c r="A1850" s="7" t="str">
        <f>'Respuestas de formulario 1'!A1963</f>
        <v/>
      </c>
      <c r="B1850" s="7" t="str">
        <f>'Respuestas de formulario 1'!B1963</f>
        <v/>
      </c>
      <c r="C1850" s="7" t="str">
        <f>'Respuestas de formulario 1'!C1963</f>
        <v/>
      </c>
      <c r="D1850" s="7" t="str">
        <f>'Respuestas de formulario 1'!D1963</f>
        <v/>
      </c>
      <c r="E1850" s="7" t="str">
        <f>'Respuestas de formulario 1'!E1963</f>
        <v/>
      </c>
      <c r="F1850" s="7" t="str">
        <f>'Respuestas de formulario 1'!F1963</f>
        <v/>
      </c>
      <c r="G1850" s="7" t="str">
        <f>IFERROR(__xludf.DUMMYFUNCTION("IF('Respuestas de formulario 1'!G1963="""","""",IF(LEFT(REGEXREPLACE(TO_TEXT('Respuestas de formulario 1'!G1963),""[^0-9]"",""""),2)=""54"",""+""&amp;REGEXREPLACE(TO_TEXT('Respuestas de formulario 1'!G1963),""[^0-9]"",""""),""+54""&amp;REGEXREPLACE(TO_TEXT('Respu"&amp;"estas de formulario 1'!G1963),""[^0-9]"","""")))"),"")</f>
        <v/>
      </c>
      <c r="H1850" s="7" t="str">
        <f>'Respuestas de formulario 1'!S1963</f>
        <v/>
      </c>
      <c r="I1850" s="7" t="str">
        <f>IFERROR(__xludf.DUMMYFUNCTION("IF('Respuestas de formulario 1'!I1963="""","""",TO_TEXT('Respuestas de formulario 1'!I1963))"),"")</f>
        <v/>
      </c>
      <c r="J1850" s="7" t="str">
        <f>IFERROR(__xludf.DUMMYFUNCTION("IF('Respuestas de formulario 1'!J1963&lt;&gt;"""",UPPER(TRIM(TO_TEXT('Respuestas de formulario 1'!J1963))),IF('Respuestas de formulario 1'!O1963&lt;&gt;"""",UPPER(TRIM(TO_TEXT('Respuestas de formulario 1'!O1963))),""""))"),"")</f>
        <v/>
      </c>
      <c r="K1850" s="7" t="str">
        <f>IFERROR(__xludf.DUMMYFUNCTION("IF('Respuestas de formulario 1'!K1963="""","""",TO_TEXT('Respuestas de formulario 1'!K1963))"),"")</f>
        <v/>
      </c>
      <c r="L1850" s="7" t="str">
        <f>IFERROR(__xludf.DUMMYFUNCTION("IF('Respuestas de formulario 1'!L1963="""","""",TO_TEXT('Respuestas de formulario 1'!L1963))"),"")</f>
        <v/>
      </c>
      <c r="M1850" s="7" t="str">
        <f>IFERROR(__xludf.DUMMYFUNCTION("IF('Respuestas de formulario 1'!M1963="""","""",TO_TEXT('Respuestas de formulario 1'!M1963))"),"")</f>
        <v/>
      </c>
      <c r="N1850" s="7" t="str">
        <f t="shared" si="1"/>
        <v/>
      </c>
      <c r="O1850" s="7" t="str">
        <f t="shared" si="2"/>
        <v/>
      </c>
      <c r="P1850" s="7"/>
    </row>
    <row r="1851">
      <c r="A1851" s="7" t="str">
        <f>'Respuestas de formulario 1'!A1964</f>
        <v/>
      </c>
      <c r="B1851" s="7" t="str">
        <f>'Respuestas de formulario 1'!B1964</f>
        <v/>
      </c>
      <c r="C1851" s="7" t="str">
        <f>'Respuestas de formulario 1'!C1964</f>
        <v/>
      </c>
      <c r="D1851" s="7" t="str">
        <f>'Respuestas de formulario 1'!D1964</f>
        <v/>
      </c>
      <c r="E1851" s="7" t="str">
        <f>'Respuestas de formulario 1'!E1964</f>
        <v/>
      </c>
      <c r="F1851" s="7" t="str">
        <f>'Respuestas de formulario 1'!F1964</f>
        <v/>
      </c>
      <c r="G1851" s="7" t="str">
        <f>IFERROR(__xludf.DUMMYFUNCTION("IF('Respuestas de formulario 1'!G1964="""","""",IF(LEFT(REGEXREPLACE(TO_TEXT('Respuestas de formulario 1'!G1964),""[^0-9]"",""""),2)=""54"",""+""&amp;REGEXREPLACE(TO_TEXT('Respuestas de formulario 1'!G1964),""[^0-9]"",""""),""+54""&amp;REGEXREPLACE(TO_TEXT('Respu"&amp;"estas de formulario 1'!G1964),""[^0-9]"","""")))"),"")</f>
        <v/>
      </c>
      <c r="H1851" s="7" t="str">
        <f>'Respuestas de formulario 1'!S1964</f>
        <v/>
      </c>
      <c r="I1851" s="7" t="str">
        <f>IFERROR(__xludf.DUMMYFUNCTION("IF('Respuestas de formulario 1'!I1964="""","""",TO_TEXT('Respuestas de formulario 1'!I1964))"),"")</f>
        <v/>
      </c>
      <c r="J1851" s="7" t="str">
        <f>IFERROR(__xludf.DUMMYFUNCTION("IF('Respuestas de formulario 1'!J1964&lt;&gt;"""",UPPER(TRIM(TO_TEXT('Respuestas de formulario 1'!J1964))),IF('Respuestas de formulario 1'!O1964&lt;&gt;"""",UPPER(TRIM(TO_TEXT('Respuestas de formulario 1'!O1964))),""""))"),"")</f>
        <v/>
      </c>
      <c r="K1851" s="7" t="str">
        <f>IFERROR(__xludf.DUMMYFUNCTION("IF('Respuestas de formulario 1'!K1964="""","""",TO_TEXT('Respuestas de formulario 1'!K1964))"),"")</f>
        <v/>
      </c>
      <c r="L1851" s="7" t="str">
        <f>IFERROR(__xludf.DUMMYFUNCTION("IF('Respuestas de formulario 1'!L1964="""","""",TO_TEXT('Respuestas de formulario 1'!L1964))"),"")</f>
        <v/>
      </c>
      <c r="M1851" s="7" t="str">
        <f>IFERROR(__xludf.DUMMYFUNCTION("IF('Respuestas de formulario 1'!M1964="""","""",TO_TEXT('Respuestas de formulario 1'!M1964))"),"")</f>
        <v/>
      </c>
      <c r="N1851" s="7" t="str">
        <f t="shared" si="1"/>
        <v/>
      </c>
      <c r="O1851" s="7" t="str">
        <f t="shared" si="2"/>
        <v/>
      </c>
      <c r="P1851" s="7"/>
    </row>
    <row r="1852">
      <c r="A1852" s="7" t="str">
        <f>'Respuestas de formulario 1'!A1965</f>
        <v/>
      </c>
      <c r="B1852" s="7" t="str">
        <f>'Respuestas de formulario 1'!B1965</f>
        <v/>
      </c>
      <c r="C1852" s="7" t="str">
        <f>'Respuestas de formulario 1'!C1965</f>
        <v/>
      </c>
      <c r="D1852" s="7" t="str">
        <f>'Respuestas de formulario 1'!D1965</f>
        <v/>
      </c>
      <c r="E1852" s="7" t="str">
        <f>'Respuestas de formulario 1'!E1965</f>
        <v/>
      </c>
      <c r="F1852" s="7" t="str">
        <f>'Respuestas de formulario 1'!F1965</f>
        <v/>
      </c>
      <c r="G1852" s="7" t="str">
        <f>IFERROR(__xludf.DUMMYFUNCTION("IF('Respuestas de formulario 1'!G1965="""","""",IF(LEFT(REGEXREPLACE(TO_TEXT('Respuestas de formulario 1'!G1965),""[^0-9]"",""""),2)=""54"",""+""&amp;REGEXREPLACE(TO_TEXT('Respuestas de formulario 1'!G1965),""[^0-9]"",""""),""+54""&amp;REGEXREPLACE(TO_TEXT('Respu"&amp;"estas de formulario 1'!G1965),""[^0-9]"","""")))"),"")</f>
        <v/>
      </c>
      <c r="H1852" s="7" t="str">
        <f>'Respuestas de formulario 1'!S1965</f>
        <v/>
      </c>
      <c r="I1852" s="7" t="str">
        <f>IFERROR(__xludf.DUMMYFUNCTION("IF('Respuestas de formulario 1'!I1965="""","""",TO_TEXT('Respuestas de formulario 1'!I1965))"),"")</f>
        <v/>
      </c>
      <c r="J1852" s="7" t="str">
        <f>IFERROR(__xludf.DUMMYFUNCTION("IF('Respuestas de formulario 1'!J1965&lt;&gt;"""",UPPER(TRIM(TO_TEXT('Respuestas de formulario 1'!J1965))),IF('Respuestas de formulario 1'!O1965&lt;&gt;"""",UPPER(TRIM(TO_TEXT('Respuestas de formulario 1'!O1965))),""""))"),"")</f>
        <v/>
      </c>
      <c r="K1852" s="7" t="str">
        <f>IFERROR(__xludf.DUMMYFUNCTION("IF('Respuestas de formulario 1'!K1965="""","""",TO_TEXT('Respuestas de formulario 1'!K1965))"),"")</f>
        <v/>
      </c>
      <c r="L1852" s="7" t="str">
        <f>IFERROR(__xludf.DUMMYFUNCTION("IF('Respuestas de formulario 1'!L1965="""","""",TO_TEXT('Respuestas de formulario 1'!L1965))"),"")</f>
        <v/>
      </c>
      <c r="M1852" s="7" t="str">
        <f>IFERROR(__xludf.DUMMYFUNCTION("IF('Respuestas de formulario 1'!M1965="""","""",TO_TEXT('Respuestas de formulario 1'!M1965))"),"")</f>
        <v/>
      </c>
      <c r="N1852" s="7" t="str">
        <f t="shared" si="1"/>
        <v/>
      </c>
      <c r="O1852" s="7" t="str">
        <f t="shared" si="2"/>
        <v/>
      </c>
      <c r="P1852" s="7"/>
    </row>
    <row r="1853">
      <c r="A1853" s="7" t="str">
        <f>'Respuestas de formulario 1'!A1966</f>
        <v/>
      </c>
      <c r="B1853" s="7" t="str">
        <f>'Respuestas de formulario 1'!B1966</f>
        <v/>
      </c>
      <c r="C1853" s="7" t="str">
        <f>'Respuestas de formulario 1'!C1966</f>
        <v/>
      </c>
      <c r="D1853" s="7" t="str">
        <f>'Respuestas de formulario 1'!D1966</f>
        <v/>
      </c>
      <c r="E1853" s="7" t="str">
        <f>'Respuestas de formulario 1'!E1966</f>
        <v/>
      </c>
      <c r="F1853" s="7" t="str">
        <f>'Respuestas de formulario 1'!F1966</f>
        <v/>
      </c>
      <c r="G1853" s="7" t="str">
        <f>IFERROR(__xludf.DUMMYFUNCTION("IF('Respuestas de formulario 1'!G1966="""","""",IF(LEFT(REGEXREPLACE(TO_TEXT('Respuestas de formulario 1'!G1966),""[^0-9]"",""""),2)=""54"",""+""&amp;REGEXREPLACE(TO_TEXT('Respuestas de formulario 1'!G1966),""[^0-9]"",""""),""+54""&amp;REGEXREPLACE(TO_TEXT('Respu"&amp;"estas de formulario 1'!G1966),""[^0-9]"","""")))"),"")</f>
        <v/>
      </c>
      <c r="H1853" s="7" t="str">
        <f>'Respuestas de formulario 1'!S1966</f>
        <v/>
      </c>
      <c r="I1853" s="7" t="str">
        <f>IFERROR(__xludf.DUMMYFUNCTION("IF('Respuestas de formulario 1'!I1966="""","""",TO_TEXT('Respuestas de formulario 1'!I1966))"),"")</f>
        <v/>
      </c>
      <c r="J1853" s="7" t="str">
        <f>IFERROR(__xludf.DUMMYFUNCTION("IF('Respuestas de formulario 1'!J1966&lt;&gt;"""",UPPER(TRIM(TO_TEXT('Respuestas de formulario 1'!J1966))),IF('Respuestas de formulario 1'!O1966&lt;&gt;"""",UPPER(TRIM(TO_TEXT('Respuestas de formulario 1'!O1966))),""""))"),"")</f>
        <v/>
      </c>
      <c r="K1853" s="7" t="str">
        <f>IFERROR(__xludf.DUMMYFUNCTION("IF('Respuestas de formulario 1'!K1966="""","""",TO_TEXT('Respuestas de formulario 1'!K1966))"),"")</f>
        <v/>
      </c>
      <c r="L1853" s="7" t="str">
        <f>IFERROR(__xludf.DUMMYFUNCTION("IF('Respuestas de formulario 1'!L1966="""","""",TO_TEXT('Respuestas de formulario 1'!L1966))"),"")</f>
        <v/>
      </c>
      <c r="M1853" s="7" t="str">
        <f>IFERROR(__xludf.DUMMYFUNCTION("IF('Respuestas de formulario 1'!M1966="""","""",TO_TEXT('Respuestas de formulario 1'!M1966))"),"")</f>
        <v/>
      </c>
      <c r="N1853" s="7" t="str">
        <f t="shared" si="1"/>
        <v/>
      </c>
      <c r="O1853" s="7" t="str">
        <f t="shared" si="2"/>
        <v/>
      </c>
      <c r="P1853" s="7"/>
    </row>
    <row r="1854">
      <c r="A1854" s="7" t="str">
        <f>'Respuestas de formulario 1'!A1967</f>
        <v/>
      </c>
      <c r="B1854" s="7" t="str">
        <f>'Respuestas de formulario 1'!B1967</f>
        <v/>
      </c>
      <c r="C1854" s="7" t="str">
        <f>'Respuestas de formulario 1'!C1967</f>
        <v/>
      </c>
      <c r="D1854" s="7" t="str">
        <f>'Respuestas de formulario 1'!D1967</f>
        <v/>
      </c>
      <c r="E1854" s="7" t="str">
        <f>'Respuestas de formulario 1'!E1967</f>
        <v/>
      </c>
      <c r="F1854" s="7" t="str">
        <f>'Respuestas de formulario 1'!F1967</f>
        <v/>
      </c>
      <c r="G1854" s="7" t="str">
        <f>IFERROR(__xludf.DUMMYFUNCTION("IF('Respuestas de formulario 1'!G1967="""","""",IF(LEFT(REGEXREPLACE(TO_TEXT('Respuestas de formulario 1'!G1967),""[^0-9]"",""""),2)=""54"",""+""&amp;REGEXREPLACE(TO_TEXT('Respuestas de formulario 1'!G1967),""[^0-9]"",""""),""+54""&amp;REGEXREPLACE(TO_TEXT('Respu"&amp;"estas de formulario 1'!G1967),""[^0-9]"","""")))"),"")</f>
        <v/>
      </c>
      <c r="H1854" s="7" t="str">
        <f>'Respuestas de formulario 1'!S1967</f>
        <v/>
      </c>
      <c r="I1854" s="7" t="str">
        <f>IFERROR(__xludf.DUMMYFUNCTION("IF('Respuestas de formulario 1'!I1967="""","""",TO_TEXT('Respuestas de formulario 1'!I1967))"),"")</f>
        <v/>
      </c>
      <c r="J1854" s="7" t="str">
        <f>IFERROR(__xludf.DUMMYFUNCTION("IF('Respuestas de formulario 1'!J1967&lt;&gt;"""",UPPER(TRIM(TO_TEXT('Respuestas de formulario 1'!J1967))),IF('Respuestas de formulario 1'!O1967&lt;&gt;"""",UPPER(TRIM(TO_TEXT('Respuestas de formulario 1'!O1967))),""""))"),"")</f>
        <v/>
      </c>
      <c r="K1854" s="7" t="str">
        <f>IFERROR(__xludf.DUMMYFUNCTION("IF('Respuestas de formulario 1'!K1967="""","""",TO_TEXT('Respuestas de formulario 1'!K1967))"),"")</f>
        <v/>
      </c>
      <c r="L1854" s="7" t="str">
        <f>IFERROR(__xludf.DUMMYFUNCTION("IF('Respuestas de formulario 1'!L1967="""","""",TO_TEXT('Respuestas de formulario 1'!L1967))"),"")</f>
        <v/>
      </c>
      <c r="M1854" s="7" t="str">
        <f>IFERROR(__xludf.DUMMYFUNCTION("IF('Respuestas de formulario 1'!M1967="""","""",TO_TEXT('Respuestas de formulario 1'!M1967))"),"")</f>
        <v/>
      </c>
      <c r="N1854" s="7" t="str">
        <f t="shared" si="1"/>
        <v/>
      </c>
      <c r="O1854" s="7" t="str">
        <f t="shared" si="2"/>
        <v/>
      </c>
      <c r="P1854" s="7"/>
    </row>
    <row r="1855">
      <c r="A1855" s="7" t="str">
        <f>'Respuestas de formulario 1'!A1968</f>
        <v/>
      </c>
      <c r="B1855" s="7" t="str">
        <f>'Respuestas de formulario 1'!B1968</f>
        <v/>
      </c>
      <c r="C1855" s="7" t="str">
        <f>'Respuestas de formulario 1'!C1968</f>
        <v/>
      </c>
      <c r="D1855" s="7" t="str">
        <f>'Respuestas de formulario 1'!D1968</f>
        <v/>
      </c>
      <c r="E1855" s="7" t="str">
        <f>'Respuestas de formulario 1'!E1968</f>
        <v/>
      </c>
      <c r="F1855" s="7" t="str">
        <f>'Respuestas de formulario 1'!F1968</f>
        <v/>
      </c>
      <c r="G1855" s="7" t="str">
        <f>IFERROR(__xludf.DUMMYFUNCTION("IF('Respuestas de formulario 1'!G1968="""","""",IF(LEFT(REGEXREPLACE(TO_TEXT('Respuestas de formulario 1'!G1968),""[^0-9]"",""""),2)=""54"",""+""&amp;REGEXREPLACE(TO_TEXT('Respuestas de formulario 1'!G1968),""[^0-9]"",""""),""+54""&amp;REGEXREPLACE(TO_TEXT('Respu"&amp;"estas de formulario 1'!G1968),""[^0-9]"","""")))"),"")</f>
        <v/>
      </c>
      <c r="H1855" s="7" t="str">
        <f>'Respuestas de formulario 1'!S1968</f>
        <v/>
      </c>
      <c r="I1855" s="7" t="str">
        <f>IFERROR(__xludf.DUMMYFUNCTION("IF('Respuestas de formulario 1'!I1968="""","""",TO_TEXT('Respuestas de formulario 1'!I1968))"),"")</f>
        <v/>
      </c>
      <c r="J1855" s="7" t="str">
        <f>IFERROR(__xludf.DUMMYFUNCTION("IF('Respuestas de formulario 1'!J1968&lt;&gt;"""",UPPER(TRIM(TO_TEXT('Respuestas de formulario 1'!J1968))),IF('Respuestas de formulario 1'!O1968&lt;&gt;"""",UPPER(TRIM(TO_TEXT('Respuestas de formulario 1'!O1968))),""""))"),"")</f>
        <v/>
      </c>
      <c r="K1855" s="7" t="str">
        <f>IFERROR(__xludf.DUMMYFUNCTION("IF('Respuestas de formulario 1'!K1968="""","""",TO_TEXT('Respuestas de formulario 1'!K1968))"),"")</f>
        <v/>
      </c>
      <c r="L1855" s="7" t="str">
        <f>IFERROR(__xludf.DUMMYFUNCTION("IF('Respuestas de formulario 1'!L1968="""","""",TO_TEXT('Respuestas de formulario 1'!L1968))"),"")</f>
        <v/>
      </c>
      <c r="M1855" s="7" t="str">
        <f>IFERROR(__xludf.DUMMYFUNCTION("IF('Respuestas de formulario 1'!M1968="""","""",TO_TEXT('Respuestas de formulario 1'!M1968))"),"")</f>
        <v/>
      </c>
      <c r="N1855" s="7" t="str">
        <f t="shared" si="1"/>
        <v/>
      </c>
      <c r="O1855" s="7" t="str">
        <f t="shared" si="2"/>
        <v/>
      </c>
      <c r="P1855" s="7"/>
    </row>
    <row r="1856">
      <c r="A1856" s="7" t="str">
        <f>'Respuestas de formulario 1'!A1969</f>
        <v/>
      </c>
      <c r="B1856" s="7" t="str">
        <f>'Respuestas de formulario 1'!B1969</f>
        <v/>
      </c>
      <c r="C1856" s="7" t="str">
        <f>'Respuestas de formulario 1'!C1969</f>
        <v/>
      </c>
      <c r="D1856" s="7" t="str">
        <f>'Respuestas de formulario 1'!D1969</f>
        <v/>
      </c>
      <c r="E1856" s="7" t="str">
        <f>'Respuestas de formulario 1'!E1969</f>
        <v/>
      </c>
      <c r="F1856" s="7" t="str">
        <f>'Respuestas de formulario 1'!F1969</f>
        <v/>
      </c>
      <c r="G1856" s="7" t="str">
        <f>IFERROR(__xludf.DUMMYFUNCTION("IF('Respuestas de formulario 1'!G1969="""","""",IF(LEFT(REGEXREPLACE(TO_TEXT('Respuestas de formulario 1'!G1969),""[^0-9]"",""""),2)=""54"",""+""&amp;REGEXREPLACE(TO_TEXT('Respuestas de formulario 1'!G1969),""[^0-9]"",""""),""+54""&amp;REGEXREPLACE(TO_TEXT('Respu"&amp;"estas de formulario 1'!G1969),""[^0-9]"","""")))"),"")</f>
        <v/>
      </c>
      <c r="H1856" s="7" t="str">
        <f>'Respuestas de formulario 1'!S1969</f>
        <v/>
      </c>
      <c r="I1856" s="7" t="str">
        <f>IFERROR(__xludf.DUMMYFUNCTION("IF('Respuestas de formulario 1'!I1969="""","""",TO_TEXT('Respuestas de formulario 1'!I1969))"),"")</f>
        <v/>
      </c>
      <c r="J1856" s="7" t="str">
        <f>IFERROR(__xludf.DUMMYFUNCTION("IF('Respuestas de formulario 1'!J1969&lt;&gt;"""",UPPER(TRIM(TO_TEXT('Respuestas de formulario 1'!J1969))),IF('Respuestas de formulario 1'!O1969&lt;&gt;"""",UPPER(TRIM(TO_TEXT('Respuestas de formulario 1'!O1969))),""""))"),"")</f>
        <v/>
      </c>
      <c r="K1856" s="7" t="str">
        <f>IFERROR(__xludf.DUMMYFUNCTION("IF('Respuestas de formulario 1'!K1969="""","""",TO_TEXT('Respuestas de formulario 1'!K1969))"),"")</f>
        <v/>
      </c>
      <c r="L1856" s="7" t="str">
        <f>IFERROR(__xludf.DUMMYFUNCTION("IF('Respuestas de formulario 1'!L1969="""","""",TO_TEXT('Respuestas de formulario 1'!L1969))"),"")</f>
        <v/>
      </c>
      <c r="M1856" s="7" t="str">
        <f>IFERROR(__xludf.DUMMYFUNCTION("IF('Respuestas de formulario 1'!M1969="""","""",TO_TEXT('Respuestas de formulario 1'!M1969))"),"")</f>
        <v/>
      </c>
      <c r="N1856" s="7" t="str">
        <f t="shared" si="1"/>
        <v/>
      </c>
      <c r="O1856" s="7" t="str">
        <f t="shared" si="2"/>
        <v/>
      </c>
      <c r="P1856" s="7"/>
    </row>
    <row r="1857">
      <c r="A1857" s="7" t="str">
        <f>'Respuestas de formulario 1'!A1970</f>
        <v/>
      </c>
      <c r="B1857" s="7" t="str">
        <f>'Respuestas de formulario 1'!B1970</f>
        <v/>
      </c>
      <c r="C1857" s="7" t="str">
        <f>'Respuestas de formulario 1'!C1970</f>
        <v/>
      </c>
      <c r="D1857" s="7" t="str">
        <f>'Respuestas de formulario 1'!D1970</f>
        <v/>
      </c>
      <c r="E1857" s="7" t="str">
        <f>'Respuestas de formulario 1'!E1970</f>
        <v/>
      </c>
      <c r="F1857" s="7" t="str">
        <f>'Respuestas de formulario 1'!F1970</f>
        <v/>
      </c>
      <c r="G1857" s="7" t="str">
        <f>IFERROR(__xludf.DUMMYFUNCTION("IF('Respuestas de formulario 1'!G1970="""","""",IF(LEFT(REGEXREPLACE(TO_TEXT('Respuestas de formulario 1'!G1970),""[^0-9]"",""""),2)=""54"",""+""&amp;REGEXREPLACE(TO_TEXT('Respuestas de formulario 1'!G1970),""[^0-9]"",""""),""+54""&amp;REGEXREPLACE(TO_TEXT('Respu"&amp;"estas de formulario 1'!G1970),""[^0-9]"","""")))"),"")</f>
        <v/>
      </c>
      <c r="H1857" s="7" t="str">
        <f>'Respuestas de formulario 1'!S1970</f>
        <v/>
      </c>
      <c r="I1857" s="7" t="str">
        <f>IFERROR(__xludf.DUMMYFUNCTION("IF('Respuestas de formulario 1'!I1970="""","""",TO_TEXT('Respuestas de formulario 1'!I1970))"),"")</f>
        <v/>
      </c>
      <c r="J1857" s="7" t="str">
        <f>IFERROR(__xludf.DUMMYFUNCTION("IF('Respuestas de formulario 1'!J1970&lt;&gt;"""",UPPER(TRIM(TO_TEXT('Respuestas de formulario 1'!J1970))),IF('Respuestas de formulario 1'!O1970&lt;&gt;"""",UPPER(TRIM(TO_TEXT('Respuestas de formulario 1'!O1970))),""""))"),"")</f>
        <v/>
      </c>
      <c r="K1857" s="7" t="str">
        <f>IFERROR(__xludf.DUMMYFUNCTION("IF('Respuestas de formulario 1'!K1970="""","""",TO_TEXT('Respuestas de formulario 1'!K1970))"),"")</f>
        <v/>
      </c>
      <c r="L1857" s="7" t="str">
        <f>IFERROR(__xludf.DUMMYFUNCTION("IF('Respuestas de formulario 1'!L1970="""","""",TO_TEXT('Respuestas de formulario 1'!L1970))"),"")</f>
        <v/>
      </c>
      <c r="M1857" s="7" t="str">
        <f>IFERROR(__xludf.DUMMYFUNCTION("IF('Respuestas de formulario 1'!M1970="""","""",TO_TEXT('Respuestas de formulario 1'!M1970))"),"")</f>
        <v/>
      </c>
      <c r="N1857" s="7" t="str">
        <f t="shared" si="1"/>
        <v/>
      </c>
      <c r="O1857" s="7" t="str">
        <f t="shared" si="2"/>
        <v/>
      </c>
      <c r="P1857" s="7"/>
    </row>
    <row r="1858">
      <c r="A1858" s="7" t="str">
        <f>'Respuestas de formulario 1'!A1971</f>
        <v/>
      </c>
      <c r="B1858" s="7" t="str">
        <f>'Respuestas de formulario 1'!B1971</f>
        <v/>
      </c>
      <c r="C1858" s="7" t="str">
        <f>'Respuestas de formulario 1'!C1971</f>
        <v/>
      </c>
      <c r="D1858" s="7" t="str">
        <f>'Respuestas de formulario 1'!D1971</f>
        <v/>
      </c>
      <c r="E1858" s="7" t="str">
        <f>'Respuestas de formulario 1'!E1971</f>
        <v/>
      </c>
      <c r="F1858" s="7" t="str">
        <f>'Respuestas de formulario 1'!F1971</f>
        <v/>
      </c>
      <c r="G1858" s="7" t="str">
        <f>IFERROR(__xludf.DUMMYFUNCTION("IF('Respuestas de formulario 1'!G1971="""","""",IF(LEFT(REGEXREPLACE(TO_TEXT('Respuestas de formulario 1'!G1971),""[^0-9]"",""""),2)=""54"",""+""&amp;REGEXREPLACE(TO_TEXT('Respuestas de formulario 1'!G1971),""[^0-9]"",""""),""+54""&amp;REGEXREPLACE(TO_TEXT('Respu"&amp;"estas de formulario 1'!G1971),""[^0-9]"","""")))"),"")</f>
        <v/>
      </c>
      <c r="H1858" s="7" t="str">
        <f>'Respuestas de formulario 1'!S1971</f>
        <v/>
      </c>
      <c r="I1858" s="7" t="str">
        <f>IFERROR(__xludf.DUMMYFUNCTION("IF('Respuestas de formulario 1'!I1971="""","""",TO_TEXT('Respuestas de formulario 1'!I1971))"),"")</f>
        <v/>
      </c>
      <c r="J1858" s="7" t="str">
        <f>IFERROR(__xludf.DUMMYFUNCTION("IF('Respuestas de formulario 1'!J1971&lt;&gt;"""",UPPER(TRIM(TO_TEXT('Respuestas de formulario 1'!J1971))),IF('Respuestas de formulario 1'!O1971&lt;&gt;"""",UPPER(TRIM(TO_TEXT('Respuestas de formulario 1'!O1971))),""""))"),"")</f>
        <v/>
      </c>
      <c r="K1858" s="7" t="str">
        <f>IFERROR(__xludf.DUMMYFUNCTION("IF('Respuestas de formulario 1'!K1971="""","""",TO_TEXT('Respuestas de formulario 1'!K1971))"),"")</f>
        <v/>
      </c>
      <c r="L1858" s="7" t="str">
        <f>IFERROR(__xludf.DUMMYFUNCTION("IF('Respuestas de formulario 1'!L1971="""","""",TO_TEXT('Respuestas de formulario 1'!L1971))"),"")</f>
        <v/>
      </c>
      <c r="M1858" s="7" t="str">
        <f>IFERROR(__xludf.DUMMYFUNCTION("IF('Respuestas de formulario 1'!M1971="""","""",TO_TEXT('Respuestas de formulario 1'!M1971))"),"")</f>
        <v/>
      </c>
      <c r="N1858" s="7" t="str">
        <f t="shared" si="1"/>
        <v/>
      </c>
      <c r="O1858" s="7" t="str">
        <f t="shared" si="2"/>
        <v/>
      </c>
      <c r="P1858" s="7"/>
    </row>
    <row r="1859">
      <c r="A1859" s="7" t="str">
        <f>'Respuestas de formulario 1'!A1972</f>
        <v/>
      </c>
      <c r="B1859" s="7" t="str">
        <f>'Respuestas de formulario 1'!B1972</f>
        <v/>
      </c>
      <c r="C1859" s="7" t="str">
        <f>'Respuestas de formulario 1'!C1972</f>
        <v/>
      </c>
      <c r="D1859" s="7" t="str">
        <f>'Respuestas de formulario 1'!D1972</f>
        <v/>
      </c>
      <c r="E1859" s="7" t="str">
        <f>'Respuestas de formulario 1'!E1972</f>
        <v/>
      </c>
      <c r="F1859" s="7" t="str">
        <f>'Respuestas de formulario 1'!F1972</f>
        <v/>
      </c>
      <c r="G1859" s="7" t="str">
        <f>IFERROR(__xludf.DUMMYFUNCTION("IF('Respuestas de formulario 1'!G1972="""","""",IF(LEFT(REGEXREPLACE(TO_TEXT('Respuestas de formulario 1'!G1972),""[^0-9]"",""""),2)=""54"",""+""&amp;REGEXREPLACE(TO_TEXT('Respuestas de formulario 1'!G1972),""[^0-9]"",""""),""+54""&amp;REGEXREPLACE(TO_TEXT('Respu"&amp;"estas de formulario 1'!G1972),""[^0-9]"","""")))"),"")</f>
        <v/>
      </c>
      <c r="H1859" s="7" t="str">
        <f>'Respuestas de formulario 1'!S1972</f>
        <v/>
      </c>
      <c r="I1859" s="7" t="str">
        <f>IFERROR(__xludf.DUMMYFUNCTION("IF('Respuestas de formulario 1'!I1972="""","""",TO_TEXT('Respuestas de formulario 1'!I1972))"),"")</f>
        <v/>
      </c>
      <c r="J1859" s="7" t="str">
        <f>IFERROR(__xludf.DUMMYFUNCTION("IF('Respuestas de formulario 1'!J1972&lt;&gt;"""",UPPER(TRIM(TO_TEXT('Respuestas de formulario 1'!J1972))),IF('Respuestas de formulario 1'!O1972&lt;&gt;"""",UPPER(TRIM(TO_TEXT('Respuestas de formulario 1'!O1972))),""""))"),"")</f>
        <v/>
      </c>
      <c r="K1859" s="7" t="str">
        <f>IFERROR(__xludf.DUMMYFUNCTION("IF('Respuestas de formulario 1'!K1972="""","""",TO_TEXT('Respuestas de formulario 1'!K1972))"),"")</f>
        <v/>
      </c>
      <c r="L1859" s="7" t="str">
        <f>IFERROR(__xludf.DUMMYFUNCTION("IF('Respuestas de formulario 1'!L1972="""","""",TO_TEXT('Respuestas de formulario 1'!L1972))"),"")</f>
        <v/>
      </c>
      <c r="M1859" s="7" t="str">
        <f>IFERROR(__xludf.DUMMYFUNCTION("IF('Respuestas de formulario 1'!M1972="""","""",TO_TEXT('Respuestas de formulario 1'!M1972))"),"")</f>
        <v/>
      </c>
      <c r="N1859" s="7" t="str">
        <f t="shared" si="1"/>
        <v/>
      </c>
      <c r="O1859" s="7" t="str">
        <f t="shared" si="2"/>
        <v/>
      </c>
      <c r="P1859" s="7"/>
    </row>
    <row r="1860">
      <c r="A1860" s="7" t="str">
        <f>'Respuestas de formulario 1'!A1973</f>
        <v/>
      </c>
      <c r="B1860" s="7" t="str">
        <f>'Respuestas de formulario 1'!B1973</f>
        <v/>
      </c>
      <c r="C1860" s="7" t="str">
        <f>'Respuestas de formulario 1'!C1973</f>
        <v/>
      </c>
      <c r="D1860" s="7" t="str">
        <f>'Respuestas de formulario 1'!D1973</f>
        <v/>
      </c>
      <c r="E1860" s="7" t="str">
        <f>'Respuestas de formulario 1'!E1973</f>
        <v/>
      </c>
      <c r="F1860" s="7" t="str">
        <f>'Respuestas de formulario 1'!F1973</f>
        <v/>
      </c>
      <c r="G1860" s="7" t="str">
        <f>IFERROR(__xludf.DUMMYFUNCTION("IF('Respuestas de formulario 1'!G1973="""","""",IF(LEFT(REGEXREPLACE(TO_TEXT('Respuestas de formulario 1'!G1973),""[^0-9]"",""""),2)=""54"",""+""&amp;REGEXREPLACE(TO_TEXT('Respuestas de formulario 1'!G1973),""[^0-9]"",""""),""+54""&amp;REGEXREPLACE(TO_TEXT('Respu"&amp;"estas de formulario 1'!G1973),""[^0-9]"","""")))"),"")</f>
        <v/>
      </c>
      <c r="H1860" s="7" t="str">
        <f>'Respuestas de formulario 1'!S1973</f>
        <v/>
      </c>
      <c r="I1860" s="7" t="str">
        <f>IFERROR(__xludf.DUMMYFUNCTION("IF('Respuestas de formulario 1'!I1973="""","""",TO_TEXT('Respuestas de formulario 1'!I1973))"),"")</f>
        <v/>
      </c>
      <c r="J1860" s="7" t="str">
        <f>IFERROR(__xludf.DUMMYFUNCTION("IF('Respuestas de formulario 1'!J1973&lt;&gt;"""",UPPER(TRIM(TO_TEXT('Respuestas de formulario 1'!J1973))),IF('Respuestas de formulario 1'!O1973&lt;&gt;"""",UPPER(TRIM(TO_TEXT('Respuestas de formulario 1'!O1973))),""""))"),"")</f>
        <v/>
      </c>
      <c r="K1860" s="7" t="str">
        <f>IFERROR(__xludf.DUMMYFUNCTION("IF('Respuestas de formulario 1'!K1973="""","""",TO_TEXT('Respuestas de formulario 1'!K1973))"),"")</f>
        <v/>
      </c>
      <c r="L1860" s="7" t="str">
        <f>IFERROR(__xludf.DUMMYFUNCTION("IF('Respuestas de formulario 1'!L1973="""","""",TO_TEXT('Respuestas de formulario 1'!L1973))"),"")</f>
        <v/>
      </c>
      <c r="M1860" s="7" t="str">
        <f>IFERROR(__xludf.DUMMYFUNCTION("IF('Respuestas de formulario 1'!M1973="""","""",TO_TEXT('Respuestas de formulario 1'!M1973))"),"")</f>
        <v/>
      </c>
      <c r="N1860" s="7" t="str">
        <f t="shared" si="1"/>
        <v/>
      </c>
      <c r="O1860" s="7" t="str">
        <f t="shared" si="2"/>
        <v/>
      </c>
      <c r="P1860" s="7"/>
    </row>
    <row r="1861">
      <c r="A1861" s="7" t="str">
        <f>'Respuestas de formulario 1'!A1974</f>
        <v/>
      </c>
      <c r="B1861" s="7" t="str">
        <f>'Respuestas de formulario 1'!B1974</f>
        <v/>
      </c>
      <c r="C1861" s="7" t="str">
        <f>'Respuestas de formulario 1'!C1974</f>
        <v/>
      </c>
      <c r="D1861" s="7" t="str">
        <f>'Respuestas de formulario 1'!D1974</f>
        <v/>
      </c>
      <c r="E1861" s="7" t="str">
        <f>'Respuestas de formulario 1'!E1974</f>
        <v/>
      </c>
      <c r="F1861" s="7" t="str">
        <f>'Respuestas de formulario 1'!F1974</f>
        <v/>
      </c>
      <c r="G1861" s="7" t="str">
        <f>IFERROR(__xludf.DUMMYFUNCTION("IF('Respuestas de formulario 1'!G1974="""","""",IF(LEFT(REGEXREPLACE(TO_TEXT('Respuestas de formulario 1'!G1974),""[^0-9]"",""""),2)=""54"",""+""&amp;REGEXREPLACE(TO_TEXT('Respuestas de formulario 1'!G1974),""[^0-9]"",""""),""+54""&amp;REGEXREPLACE(TO_TEXT('Respu"&amp;"estas de formulario 1'!G1974),""[^0-9]"","""")))"),"")</f>
        <v/>
      </c>
      <c r="H1861" s="7" t="str">
        <f>'Respuestas de formulario 1'!S1974</f>
        <v/>
      </c>
      <c r="I1861" s="7" t="str">
        <f>IFERROR(__xludf.DUMMYFUNCTION("IF('Respuestas de formulario 1'!I1974="""","""",TO_TEXT('Respuestas de formulario 1'!I1974))"),"")</f>
        <v/>
      </c>
      <c r="J1861" s="7" t="str">
        <f>IFERROR(__xludf.DUMMYFUNCTION("IF('Respuestas de formulario 1'!J1974&lt;&gt;"""",UPPER(TRIM(TO_TEXT('Respuestas de formulario 1'!J1974))),IF('Respuestas de formulario 1'!O1974&lt;&gt;"""",UPPER(TRIM(TO_TEXT('Respuestas de formulario 1'!O1974))),""""))"),"")</f>
        <v/>
      </c>
      <c r="K1861" s="7" t="str">
        <f>IFERROR(__xludf.DUMMYFUNCTION("IF('Respuestas de formulario 1'!K1974="""","""",TO_TEXT('Respuestas de formulario 1'!K1974))"),"")</f>
        <v/>
      </c>
      <c r="L1861" s="7" t="str">
        <f>IFERROR(__xludf.DUMMYFUNCTION("IF('Respuestas de formulario 1'!L1974="""","""",TO_TEXT('Respuestas de formulario 1'!L1974))"),"")</f>
        <v/>
      </c>
      <c r="M1861" s="7" t="str">
        <f>IFERROR(__xludf.DUMMYFUNCTION("IF('Respuestas de formulario 1'!M1974="""","""",TO_TEXT('Respuestas de formulario 1'!M1974))"),"")</f>
        <v/>
      </c>
      <c r="N1861" s="7" t="str">
        <f t="shared" si="1"/>
        <v/>
      </c>
      <c r="O1861" s="7" t="str">
        <f t="shared" si="2"/>
        <v/>
      </c>
      <c r="P1861" s="7"/>
    </row>
    <row r="1862">
      <c r="A1862" s="7" t="str">
        <f>'Respuestas de formulario 1'!A1975</f>
        <v/>
      </c>
      <c r="B1862" s="7" t="str">
        <f>'Respuestas de formulario 1'!B1975</f>
        <v/>
      </c>
      <c r="C1862" s="7" t="str">
        <f>'Respuestas de formulario 1'!C1975</f>
        <v/>
      </c>
      <c r="D1862" s="7" t="str">
        <f>'Respuestas de formulario 1'!D1975</f>
        <v/>
      </c>
      <c r="E1862" s="7" t="str">
        <f>'Respuestas de formulario 1'!E1975</f>
        <v/>
      </c>
      <c r="F1862" s="7" t="str">
        <f>'Respuestas de formulario 1'!F1975</f>
        <v/>
      </c>
      <c r="G1862" s="7" t="str">
        <f>IFERROR(__xludf.DUMMYFUNCTION("IF('Respuestas de formulario 1'!G1975="""","""",IF(LEFT(REGEXREPLACE(TO_TEXT('Respuestas de formulario 1'!G1975),""[^0-9]"",""""),2)=""54"",""+""&amp;REGEXREPLACE(TO_TEXT('Respuestas de formulario 1'!G1975),""[^0-9]"",""""),""+54""&amp;REGEXREPLACE(TO_TEXT('Respu"&amp;"estas de formulario 1'!G1975),""[^0-9]"","""")))"),"")</f>
        <v/>
      </c>
      <c r="H1862" s="7" t="str">
        <f>'Respuestas de formulario 1'!S1975</f>
        <v/>
      </c>
      <c r="I1862" s="7" t="str">
        <f>IFERROR(__xludf.DUMMYFUNCTION("IF('Respuestas de formulario 1'!I1975="""","""",TO_TEXT('Respuestas de formulario 1'!I1975))"),"")</f>
        <v/>
      </c>
      <c r="J1862" s="7" t="str">
        <f>IFERROR(__xludf.DUMMYFUNCTION("IF('Respuestas de formulario 1'!J1975&lt;&gt;"""",UPPER(TRIM(TO_TEXT('Respuestas de formulario 1'!J1975))),IF('Respuestas de formulario 1'!O1975&lt;&gt;"""",UPPER(TRIM(TO_TEXT('Respuestas de formulario 1'!O1975))),""""))"),"")</f>
        <v/>
      </c>
      <c r="K1862" s="7" t="str">
        <f>IFERROR(__xludf.DUMMYFUNCTION("IF('Respuestas de formulario 1'!K1975="""","""",TO_TEXT('Respuestas de formulario 1'!K1975))"),"")</f>
        <v/>
      </c>
      <c r="L1862" s="7" t="str">
        <f>IFERROR(__xludf.DUMMYFUNCTION("IF('Respuestas de formulario 1'!L1975="""","""",TO_TEXT('Respuestas de formulario 1'!L1975))"),"")</f>
        <v/>
      </c>
      <c r="M1862" s="7" t="str">
        <f>IFERROR(__xludf.DUMMYFUNCTION("IF('Respuestas de formulario 1'!M1975="""","""",TO_TEXT('Respuestas de formulario 1'!M1975))"),"")</f>
        <v/>
      </c>
      <c r="N1862" s="7" t="str">
        <f t="shared" si="1"/>
        <v/>
      </c>
      <c r="O1862" s="7" t="str">
        <f t="shared" si="2"/>
        <v/>
      </c>
      <c r="P1862" s="7"/>
    </row>
    <row r="1863">
      <c r="A1863" s="7" t="str">
        <f>'Respuestas de formulario 1'!A1976</f>
        <v/>
      </c>
      <c r="B1863" s="7" t="str">
        <f>'Respuestas de formulario 1'!B1976</f>
        <v/>
      </c>
      <c r="C1863" s="7" t="str">
        <f>'Respuestas de formulario 1'!C1976</f>
        <v/>
      </c>
      <c r="D1863" s="7" t="str">
        <f>'Respuestas de formulario 1'!D1976</f>
        <v/>
      </c>
      <c r="E1863" s="7" t="str">
        <f>'Respuestas de formulario 1'!E1976</f>
        <v/>
      </c>
      <c r="F1863" s="7" t="str">
        <f>'Respuestas de formulario 1'!F1976</f>
        <v/>
      </c>
      <c r="G1863" s="7" t="str">
        <f>IFERROR(__xludf.DUMMYFUNCTION("IF('Respuestas de formulario 1'!G1976="""","""",IF(LEFT(REGEXREPLACE(TO_TEXT('Respuestas de formulario 1'!G1976),""[^0-9]"",""""),2)=""54"",""+""&amp;REGEXREPLACE(TO_TEXT('Respuestas de formulario 1'!G1976),""[^0-9]"",""""),""+54""&amp;REGEXREPLACE(TO_TEXT('Respu"&amp;"estas de formulario 1'!G1976),""[^0-9]"","""")))"),"")</f>
        <v/>
      </c>
      <c r="H1863" s="7" t="str">
        <f>'Respuestas de formulario 1'!S1976</f>
        <v/>
      </c>
      <c r="I1863" s="7" t="str">
        <f>IFERROR(__xludf.DUMMYFUNCTION("IF('Respuestas de formulario 1'!I1976="""","""",TO_TEXT('Respuestas de formulario 1'!I1976))"),"")</f>
        <v/>
      </c>
      <c r="J1863" s="7" t="str">
        <f>IFERROR(__xludf.DUMMYFUNCTION("IF('Respuestas de formulario 1'!J1976&lt;&gt;"""",UPPER(TRIM(TO_TEXT('Respuestas de formulario 1'!J1976))),IF('Respuestas de formulario 1'!O1976&lt;&gt;"""",UPPER(TRIM(TO_TEXT('Respuestas de formulario 1'!O1976))),""""))"),"")</f>
        <v/>
      </c>
      <c r="K1863" s="7" t="str">
        <f>IFERROR(__xludf.DUMMYFUNCTION("IF('Respuestas de formulario 1'!K1976="""","""",TO_TEXT('Respuestas de formulario 1'!K1976))"),"")</f>
        <v/>
      </c>
      <c r="L1863" s="7" t="str">
        <f>IFERROR(__xludf.DUMMYFUNCTION("IF('Respuestas de formulario 1'!L1976="""","""",TO_TEXT('Respuestas de formulario 1'!L1976))"),"")</f>
        <v/>
      </c>
      <c r="M1863" s="7" t="str">
        <f>IFERROR(__xludf.DUMMYFUNCTION("IF('Respuestas de formulario 1'!M1976="""","""",TO_TEXT('Respuestas de formulario 1'!M1976))"),"")</f>
        <v/>
      </c>
      <c r="N1863" s="7" t="str">
        <f t="shared" si="1"/>
        <v/>
      </c>
      <c r="O1863" s="7" t="str">
        <f t="shared" si="2"/>
        <v/>
      </c>
      <c r="P1863" s="7"/>
    </row>
    <row r="1864">
      <c r="A1864" s="7" t="str">
        <f>'Respuestas de formulario 1'!A1977</f>
        <v/>
      </c>
      <c r="B1864" s="7" t="str">
        <f>'Respuestas de formulario 1'!B1977</f>
        <v/>
      </c>
      <c r="C1864" s="7" t="str">
        <f>'Respuestas de formulario 1'!C1977</f>
        <v/>
      </c>
      <c r="D1864" s="7" t="str">
        <f>'Respuestas de formulario 1'!D1977</f>
        <v/>
      </c>
      <c r="E1864" s="7" t="str">
        <f>'Respuestas de formulario 1'!E1977</f>
        <v/>
      </c>
      <c r="F1864" s="7" t="str">
        <f>'Respuestas de formulario 1'!F1977</f>
        <v/>
      </c>
      <c r="G1864" s="7" t="str">
        <f>IFERROR(__xludf.DUMMYFUNCTION("IF('Respuestas de formulario 1'!G1977="""","""",IF(LEFT(REGEXREPLACE(TO_TEXT('Respuestas de formulario 1'!G1977),""[^0-9]"",""""),2)=""54"",""+""&amp;REGEXREPLACE(TO_TEXT('Respuestas de formulario 1'!G1977),""[^0-9]"",""""),""+54""&amp;REGEXREPLACE(TO_TEXT('Respu"&amp;"estas de formulario 1'!G1977),""[^0-9]"","""")))"),"")</f>
        <v/>
      </c>
      <c r="H1864" s="7" t="str">
        <f>'Respuestas de formulario 1'!S1977</f>
        <v/>
      </c>
      <c r="I1864" s="7" t="str">
        <f>IFERROR(__xludf.DUMMYFUNCTION("IF('Respuestas de formulario 1'!I1977="""","""",TO_TEXT('Respuestas de formulario 1'!I1977))"),"")</f>
        <v/>
      </c>
      <c r="J1864" s="7" t="str">
        <f>IFERROR(__xludf.DUMMYFUNCTION("IF('Respuestas de formulario 1'!J1977&lt;&gt;"""",UPPER(TRIM(TO_TEXT('Respuestas de formulario 1'!J1977))),IF('Respuestas de formulario 1'!O1977&lt;&gt;"""",UPPER(TRIM(TO_TEXT('Respuestas de formulario 1'!O1977))),""""))"),"")</f>
        <v/>
      </c>
      <c r="K1864" s="7" t="str">
        <f>IFERROR(__xludf.DUMMYFUNCTION("IF('Respuestas de formulario 1'!K1977="""","""",TO_TEXT('Respuestas de formulario 1'!K1977))"),"")</f>
        <v/>
      </c>
      <c r="L1864" s="7" t="str">
        <f>IFERROR(__xludf.DUMMYFUNCTION("IF('Respuestas de formulario 1'!L1977="""","""",TO_TEXT('Respuestas de formulario 1'!L1977))"),"")</f>
        <v/>
      </c>
      <c r="M1864" s="7" t="str">
        <f>IFERROR(__xludf.DUMMYFUNCTION("IF('Respuestas de formulario 1'!M1977="""","""",TO_TEXT('Respuestas de formulario 1'!M1977))"),"")</f>
        <v/>
      </c>
      <c r="N1864" s="7" t="str">
        <f t="shared" si="1"/>
        <v/>
      </c>
      <c r="O1864" s="7" t="str">
        <f t="shared" si="2"/>
        <v/>
      </c>
      <c r="P1864" s="7"/>
    </row>
    <row r="1865">
      <c r="A1865" s="7" t="str">
        <f>'Respuestas de formulario 1'!A1978</f>
        <v/>
      </c>
      <c r="B1865" s="7" t="str">
        <f>'Respuestas de formulario 1'!B1978</f>
        <v/>
      </c>
      <c r="C1865" s="7" t="str">
        <f>'Respuestas de formulario 1'!C1978</f>
        <v/>
      </c>
      <c r="D1865" s="7" t="str">
        <f>'Respuestas de formulario 1'!D1978</f>
        <v/>
      </c>
      <c r="E1865" s="7" t="str">
        <f>'Respuestas de formulario 1'!E1978</f>
        <v/>
      </c>
      <c r="F1865" s="7" t="str">
        <f>'Respuestas de formulario 1'!F1978</f>
        <v/>
      </c>
      <c r="G1865" s="7" t="str">
        <f>IFERROR(__xludf.DUMMYFUNCTION("IF('Respuestas de formulario 1'!G1978="""","""",IF(LEFT(REGEXREPLACE(TO_TEXT('Respuestas de formulario 1'!G1978),""[^0-9]"",""""),2)=""54"",""+""&amp;REGEXREPLACE(TO_TEXT('Respuestas de formulario 1'!G1978),""[^0-9]"",""""),""+54""&amp;REGEXREPLACE(TO_TEXT('Respu"&amp;"estas de formulario 1'!G1978),""[^0-9]"","""")))"),"")</f>
        <v/>
      </c>
      <c r="H1865" s="7" t="str">
        <f>'Respuestas de formulario 1'!S1978</f>
        <v/>
      </c>
      <c r="I1865" s="7" t="str">
        <f>IFERROR(__xludf.DUMMYFUNCTION("IF('Respuestas de formulario 1'!I1978="""","""",TO_TEXT('Respuestas de formulario 1'!I1978))"),"")</f>
        <v/>
      </c>
      <c r="J1865" s="7" t="str">
        <f>IFERROR(__xludf.DUMMYFUNCTION("IF('Respuestas de formulario 1'!J1978&lt;&gt;"""",UPPER(TRIM(TO_TEXT('Respuestas de formulario 1'!J1978))),IF('Respuestas de formulario 1'!O1978&lt;&gt;"""",UPPER(TRIM(TO_TEXT('Respuestas de formulario 1'!O1978))),""""))"),"")</f>
        <v/>
      </c>
      <c r="K1865" s="7" t="str">
        <f>IFERROR(__xludf.DUMMYFUNCTION("IF('Respuestas de formulario 1'!K1978="""","""",TO_TEXT('Respuestas de formulario 1'!K1978))"),"")</f>
        <v/>
      </c>
      <c r="L1865" s="7" t="str">
        <f>IFERROR(__xludf.DUMMYFUNCTION("IF('Respuestas de formulario 1'!L1978="""","""",TO_TEXT('Respuestas de formulario 1'!L1978))"),"")</f>
        <v/>
      </c>
      <c r="M1865" s="7" t="str">
        <f>IFERROR(__xludf.DUMMYFUNCTION("IF('Respuestas de formulario 1'!M1978="""","""",TO_TEXT('Respuestas de formulario 1'!M1978))"),"")</f>
        <v/>
      </c>
      <c r="N1865" s="7" t="str">
        <f t="shared" si="1"/>
        <v/>
      </c>
      <c r="O1865" s="7" t="str">
        <f t="shared" si="2"/>
        <v/>
      </c>
      <c r="P1865" s="7"/>
    </row>
    <row r="1866">
      <c r="A1866" s="7" t="str">
        <f>'Respuestas de formulario 1'!A1979</f>
        <v/>
      </c>
      <c r="B1866" s="7" t="str">
        <f>'Respuestas de formulario 1'!B1979</f>
        <v/>
      </c>
      <c r="C1866" s="7" t="str">
        <f>'Respuestas de formulario 1'!C1979</f>
        <v/>
      </c>
      <c r="D1866" s="7" t="str">
        <f>'Respuestas de formulario 1'!D1979</f>
        <v/>
      </c>
      <c r="E1866" s="7" t="str">
        <f>'Respuestas de formulario 1'!E1979</f>
        <v/>
      </c>
      <c r="F1866" s="7" t="str">
        <f>'Respuestas de formulario 1'!F1979</f>
        <v/>
      </c>
      <c r="G1866" s="7" t="str">
        <f>IFERROR(__xludf.DUMMYFUNCTION("IF('Respuestas de formulario 1'!G1979="""","""",IF(LEFT(REGEXREPLACE(TO_TEXT('Respuestas de formulario 1'!G1979),""[^0-9]"",""""),2)=""54"",""+""&amp;REGEXREPLACE(TO_TEXT('Respuestas de formulario 1'!G1979),""[^0-9]"",""""),""+54""&amp;REGEXREPLACE(TO_TEXT('Respu"&amp;"estas de formulario 1'!G1979),""[^0-9]"","""")))"),"")</f>
        <v/>
      </c>
      <c r="H1866" s="7" t="str">
        <f>'Respuestas de formulario 1'!S1979</f>
        <v/>
      </c>
      <c r="I1866" s="7" t="str">
        <f>IFERROR(__xludf.DUMMYFUNCTION("IF('Respuestas de formulario 1'!I1979="""","""",TO_TEXT('Respuestas de formulario 1'!I1979))"),"")</f>
        <v/>
      </c>
      <c r="J1866" s="7" t="str">
        <f>IFERROR(__xludf.DUMMYFUNCTION("IF('Respuestas de formulario 1'!J1979&lt;&gt;"""",UPPER(TRIM(TO_TEXT('Respuestas de formulario 1'!J1979))),IF('Respuestas de formulario 1'!O1979&lt;&gt;"""",UPPER(TRIM(TO_TEXT('Respuestas de formulario 1'!O1979))),""""))"),"")</f>
        <v/>
      </c>
      <c r="K1866" s="7" t="str">
        <f>IFERROR(__xludf.DUMMYFUNCTION("IF('Respuestas de formulario 1'!K1979="""","""",TO_TEXT('Respuestas de formulario 1'!K1979))"),"")</f>
        <v/>
      </c>
      <c r="L1866" s="7" t="str">
        <f>IFERROR(__xludf.DUMMYFUNCTION("IF('Respuestas de formulario 1'!L1979="""","""",TO_TEXT('Respuestas de formulario 1'!L1979))"),"")</f>
        <v/>
      </c>
      <c r="M1866" s="7" t="str">
        <f>IFERROR(__xludf.DUMMYFUNCTION("IF('Respuestas de formulario 1'!M1979="""","""",TO_TEXT('Respuestas de formulario 1'!M1979))"),"")</f>
        <v/>
      </c>
      <c r="N1866" s="7" t="str">
        <f t="shared" si="1"/>
        <v/>
      </c>
      <c r="O1866" s="7" t="str">
        <f t="shared" si="2"/>
        <v/>
      </c>
      <c r="P1866" s="7"/>
    </row>
    <row r="1867">
      <c r="A1867" s="7" t="str">
        <f>'Respuestas de formulario 1'!A1980</f>
        <v/>
      </c>
      <c r="B1867" s="7" t="str">
        <f>'Respuestas de formulario 1'!B1980</f>
        <v/>
      </c>
      <c r="C1867" s="7" t="str">
        <f>'Respuestas de formulario 1'!C1980</f>
        <v/>
      </c>
      <c r="D1867" s="7" t="str">
        <f>'Respuestas de formulario 1'!D1980</f>
        <v/>
      </c>
      <c r="E1867" s="7" t="str">
        <f>'Respuestas de formulario 1'!E1980</f>
        <v/>
      </c>
      <c r="F1867" s="7" t="str">
        <f>'Respuestas de formulario 1'!F1980</f>
        <v/>
      </c>
      <c r="G1867" s="7" t="str">
        <f>IFERROR(__xludf.DUMMYFUNCTION("IF('Respuestas de formulario 1'!G1980="""","""",IF(LEFT(REGEXREPLACE(TO_TEXT('Respuestas de formulario 1'!G1980),""[^0-9]"",""""),2)=""54"",""+""&amp;REGEXREPLACE(TO_TEXT('Respuestas de formulario 1'!G1980),""[^0-9]"",""""),""+54""&amp;REGEXREPLACE(TO_TEXT('Respu"&amp;"estas de formulario 1'!G1980),""[^0-9]"","""")))"),"")</f>
        <v/>
      </c>
      <c r="H1867" s="7" t="str">
        <f>'Respuestas de formulario 1'!S1980</f>
        <v/>
      </c>
      <c r="I1867" s="7" t="str">
        <f>IFERROR(__xludf.DUMMYFUNCTION("IF('Respuestas de formulario 1'!I1980="""","""",TO_TEXT('Respuestas de formulario 1'!I1980))"),"")</f>
        <v/>
      </c>
      <c r="J1867" s="7" t="str">
        <f>IFERROR(__xludf.DUMMYFUNCTION("IF('Respuestas de formulario 1'!J1980&lt;&gt;"""",UPPER(TRIM(TO_TEXT('Respuestas de formulario 1'!J1980))),IF('Respuestas de formulario 1'!O1980&lt;&gt;"""",UPPER(TRIM(TO_TEXT('Respuestas de formulario 1'!O1980))),""""))"),"")</f>
        <v/>
      </c>
      <c r="K1867" s="7" t="str">
        <f>IFERROR(__xludf.DUMMYFUNCTION("IF('Respuestas de formulario 1'!K1980="""","""",TO_TEXT('Respuestas de formulario 1'!K1980))"),"")</f>
        <v/>
      </c>
      <c r="L1867" s="7" t="str">
        <f>IFERROR(__xludf.DUMMYFUNCTION("IF('Respuestas de formulario 1'!L1980="""","""",TO_TEXT('Respuestas de formulario 1'!L1980))"),"")</f>
        <v/>
      </c>
      <c r="M1867" s="7" t="str">
        <f>IFERROR(__xludf.DUMMYFUNCTION("IF('Respuestas de formulario 1'!M1980="""","""",TO_TEXT('Respuestas de formulario 1'!M1980))"),"")</f>
        <v/>
      </c>
      <c r="N1867" s="7" t="str">
        <f t="shared" si="1"/>
        <v/>
      </c>
      <c r="O1867" s="7" t="str">
        <f t="shared" si="2"/>
        <v/>
      </c>
      <c r="P1867" s="7"/>
    </row>
    <row r="1868">
      <c r="A1868" s="7" t="str">
        <f>'Respuestas de formulario 1'!A1981</f>
        <v/>
      </c>
      <c r="B1868" s="7" t="str">
        <f>'Respuestas de formulario 1'!B1981</f>
        <v/>
      </c>
      <c r="C1868" s="7" t="str">
        <f>'Respuestas de formulario 1'!C1981</f>
        <v/>
      </c>
      <c r="D1868" s="7" t="str">
        <f>'Respuestas de formulario 1'!D1981</f>
        <v/>
      </c>
      <c r="E1868" s="7" t="str">
        <f>'Respuestas de formulario 1'!E1981</f>
        <v/>
      </c>
      <c r="F1868" s="7" t="str">
        <f>'Respuestas de formulario 1'!F1981</f>
        <v/>
      </c>
      <c r="G1868" s="7" t="str">
        <f>IFERROR(__xludf.DUMMYFUNCTION("IF('Respuestas de formulario 1'!G1981="""","""",IF(LEFT(REGEXREPLACE(TO_TEXT('Respuestas de formulario 1'!G1981),""[^0-9]"",""""),2)=""54"",""+""&amp;REGEXREPLACE(TO_TEXT('Respuestas de formulario 1'!G1981),""[^0-9]"",""""),""+54""&amp;REGEXREPLACE(TO_TEXT('Respu"&amp;"estas de formulario 1'!G1981),""[^0-9]"","""")))"),"")</f>
        <v/>
      </c>
      <c r="H1868" s="7" t="str">
        <f>'Respuestas de formulario 1'!S1981</f>
        <v/>
      </c>
      <c r="I1868" s="7" t="str">
        <f>IFERROR(__xludf.DUMMYFUNCTION("IF('Respuestas de formulario 1'!I1981="""","""",TO_TEXT('Respuestas de formulario 1'!I1981))"),"")</f>
        <v/>
      </c>
      <c r="J1868" s="7" t="str">
        <f>IFERROR(__xludf.DUMMYFUNCTION("IF('Respuestas de formulario 1'!J1981&lt;&gt;"""",UPPER(TRIM(TO_TEXT('Respuestas de formulario 1'!J1981))),IF('Respuestas de formulario 1'!O1981&lt;&gt;"""",UPPER(TRIM(TO_TEXT('Respuestas de formulario 1'!O1981))),""""))"),"")</f>
        <v/>
      </c>
      <c r="K1868" s="7" t="str">
        <f>IFERROR(__xludf.DUMMYFUNCTION("IF('Respuestas de formulario 1'!K1981="""","""",TO_TEXT('Respuestas de formulario 1'!K1981))"),"")</f>
        <v/>
      </c>
      <c r="L1868" s="7" t="str">
        <f>IFERROR(__xludf.DUMMYFUNCTION("IF('Respuestas de formulario 1'!L1981="""","""",TO_TEXT('Respuestas de formulario 1'!L1981))"),"")</f>
        <v/>
      </c>
      <c r="M1868" s="7" t="str">
        <f>IFERROR(__xludf.DUMMYFUNCTION("IF('Respuestas de formulario 1'!M1981="""","""",TO_TEXT('Respuestas de formulario 1'!M1981))"),"")</f>
        <v/>
      </c>
      <c r="N1868" s="7" t="str">
        <f t="shared" si="1"/>
        <v/>
      </c>
      <c r="O1868" s="7" t="str">
        <f t="shared" si="2"/>
        <v/>
      </c>
      <c r="P1868" s="7"/>
    </row>
    <row r="1869">
      <c r="A1869" s="7" t="str">
        <f>'Respuestas de formulario 1'!A1982</f>
        <v/>
      </c>
      <c r="B1869" s="7" t="str">
        <f>'Respuestas de formulario 1'!B1982</f>
        <v/>
      </c>
      <c r="C1869" s="7" t="str">
        <f>'Respuestas de formulario 1'!C1982</f>
        <v/>
      </c>
      <c r="D1869" s="7" t="str">
        <f>'Respuestas de formulario 1'!D1982</f>
        <v/>
      </c>
      <c r="E1869" s="7" t="str">
        <f>'Respuestas de formulario 1'!E1982</f>
        <v/>
      </c>
      <c r="F1869" s="7" t="str">
        <f>'Respuestas de formulario 1'!F1982</f>
        <v/>
      </c>
      <c r="G1869" s="7" t="str">
        <f>IFERROR(__xludf.DUMMYFUNCTION("IF('Respuestas de formulario 1'!G1982="""","""",IF(LEFT(REGEXREPLACE(TO_TEXT('Respuestas de formulario 1'!G1982),""[^0-9]"",""""),2)=""54"",""+""&amp;REGEXREPLACE(TO_TEXT('Respuestas de formulario 1'!G1982),""[^0-9]"",""""),""+54""&amp;REGEXREPLACE(TO_TEXT('Respu"&amp;"estas de formulario 1'!G1982),""[^0-9]"","""")))"),"")</f>
        <v/>
      </c>
      <c r="H1869" s="7" t="str">
        <f>'Respuestas de formulario 1'!S1982</f>
        <v/>
      </c>
      <c r="I1869" s="7" t="str">
        <f>IFERROR(__xludf.DUMMYFUNCTION("IF('Respuestas de formulario 1'!I1982="""","""",TO_TEXT('Respuestas de formulario 1'!I1982))"),"")</f>
        <v/>
      </c>
      <c r="J1869" s="7" t="str">
        <f>IFERROR(__xludf.DUMMYFUNCTION("IF('Respuestas de formulario 1'!J1982&lt;&gt;"""",UPPER(TRIM(TO_TEXT('Respuestas de formulario 1'!J1982))),IF('Respuestas de formulario 1'!O1982&lt;&gt;"""",UPPER(TRIM(TO_TEXT('Respuestas de formulario 1'!O1982))),""""))"),"")</f>
        <v/>
      </c>
      <c r="K1869" s="7" t="str">
        <f>IFERROR(__xludf.DUMMYFUNCTION("IF('Respuestas de formulario 1'!K1982="""","""",TO_TEXT('Respuestas de formulario 1'!K1982))"),"")</f>
        <v/>
      </c>
      <c r="L1869" s="7" t="str">
        <f>IFERROR(__xludf.DUMMYFUNCTION("IF('Respuestas de formulario 1'!L1982="""","""",TO_TEXT('Respuestas de formulario 1'!L1982))"),"")</f>
        <v/>
      </c>
      <c r="M1869" s="7" t="str">
        <f>IFERROR(__xludf.DUMMYFUNCTION("IF('Respuestas de formulario 1'!M1982="""","""",TO_TEXT('Respuestas de formulario 1'!M1982))"),"")</f>
        <v/>
      </c>
      <c r="N1869" s="7" t="str">
        <f t="shared" si="1"/>
        <v/>
      </c>
      <c r="O1869" s="7" t="str">
        <f t="shared" si="2"/>
        <v/>
      </c>
      <c r="P1869" s="7"/>
    </row>
    <row r="1870">
      <c r="A1870" s="7" t="str">
        <f>'Respuestas de formulario 1'!A1983</f>
        <v/>
      </c>
      <c r="B1870" s="7" t="str">
        <f>'Respuestas de formulario 1'!B1983</f>
        <v/>
      </c>
      <c r="C1870" s="7" t="str">
        <f>'Respuestas de formulario 1'!C1983</f>
        <v/>
      </c>
      <c r="D1870" s="7" t="str">
        <f>'Respuestas de formulario 1'!D1983</f>
        <v/>
      </c>
      <c r="E1870" s="7" t="str">
        <f>'Respuestas de formulario 1'!E1983</f>
        <v/>
      </c>
      <c r="F1870" s="7" t="str">
        <f>'Respuestas de formulario 1'!F1983</f>
        <v/>
      </c>
      <c r="G1870" s="7" t="str">
        <f>IFERROR(__xludf.DUMMYFUNCTION("IF('Respuestas de formulario 1'!G1983="""","""",IF(LEFT(REGEXREPLACE(TO_TEXT('Respuestas de formulario 1'!G1983),""[^0-9]"",""""),2)=""54"",""+""&amp;REGEXREPLACE(TO_TEXT('Respuestas de formulario 1'!G1983),""[^0-9]"",""""),""+54""&amp;REGEXREPLACE(TO_TEXT('Respu"&amp;"estas de formulario 1'!G1983),""[^0-9]"","""")))"),"")</f>
        <v/>
      </c>
      <c r="H1870" s="7" t="str">
        <f>'Respuestas de formulario 1'!S1983</f>
        <v/>
      </c>
      <c r="I1870" s="7" t="str">
        <f>IFERROR(__xludf.DUMMYFUNCTION("IF('Respuestas de formulario 1'!I1983="""","""",TO_TEXT('Respuestas de formulario 1'!I1983))"),"")</f>
        <v/>
      </c>
      <c r="J1870" s="7" t="str">
        <f>IFERROR(__xludf.DUMMYFUNCTION("IF('Respuestas de formulario 1'!J1983&lt;&gt;"""",UPPER(TRIM(TO_TEXT('Respuestas de formulario 1'!J1983))),IF('Respuestas de formulario 1'!O1983&lt;&gt;"""",UPPER(TRIM(TO_TEXT('Respuestas de formulario 1'!O1983))),""""))"),"")</f>
        <v/>
      </c>
      <c r="K1870" s="7" t="str">
        <f>IFERROR(__xludf.DUMMYFUNCTION("IF('Respuestas de formulario 1'!K1983="""","""",TO_TEXT('Respuestas de formulario 1'!K1983))"),"")</f>
        <v/>
      </c>
      <c r="L1870" s="7" t="str">
        <f>IFERROR(__xludf.DUMMYFUNCTION("IF('Respuestas de formulario 1'!L1983="""","""",TO_TEXT('Respuestas de formulario 1'!L1983))"),"")</f>
        <v/>
      </c>
      <c r="M1870" s="7" t="str">
        <f>IFERROR(__xludf.DUMMYFUNCTION("IF('Respuestas de formulario 1'!M1983="""","""",TO_TEXT('Respuestas de formulario 1'!M1983))"),"")</f>
        <v/>
      </c>
      <c r="N1870" s="7" t="str">
        <f t="shared" si="1"/>
        <v/>
      </c>
      <c r="O1870" s="7" t="str">
        <f t="shared" si="2"/>
        <v/>
      </c>
      <c r="P1870" s="7"/>
    </row>
    <row r="1871">
      <c r="A1871" s="7" t="str">
        <f>'Respuestas de formulario 1'!A1984</f>
        <v/>
      </c>
      <c r="B1871" s="7" t="str">
        <f>'Respuestas de formulario 1'!B1984</f>
        <v/>
      </c>
      <c r="C1871" s="7" t="str">
        <f>'Respuestas de formulario 1'!C1984</f>
        <v/>
      </c>
      <c r="D1871" s="7" t="str">
        <f>'Respuestas de formulario 1'!D1984</f>
        <v/>
      </c>
      <c r="E1871" s="7" t="str">
        <f>'Respuestas de formulario 1'!E1984</f>
        <v/>
      </c>
      <c r="F1871" s="7" t="str">
        <f>'Respuestas de formulario 1'!F1984</f>
        <v/>
      </c>
      <c r="G1871" s="7" t="str">
        <f>IFERROR(__xludf.DUMMYFUNCTION("IF('Respuestas de formulario 1'!G1984="""","""",IF(LEFT(REGEXREPLACE(TO_TEXT('Respuestas de formulario 1'!G1984),""[^0-9]"",""""),2)=""54"",""+""&amp;REGEXREPLACE(TO_TEXT('Respuestas de formulario 1'!G1984),""[^0-9]"",""""),""+54""&amp;REGEXREPLACE(TO_TEXT('Respu"&amp;"estas de formulario 1'!G1984),""[^0-9]"","""")))"),"")</f>
        <v/>
      </c>
      <c r="H1871" s="7" t="str">
        <f>'Respuestas de formulario 1'!S1984</f>
        <v/>
      </c>
      <c r="I1871" s="7" t="str">
        <f>IFERROR(__xludf.DUMMYFUNCTION("IF('Respuestas de formulario 1'!I1984="""","""",TO_TEXT('Respuestas de formulario 1'!I1984))"),"")</f>
        <v/>
      </c>
      <c r="J1871" s="7" t="str">
        <f>IFERROR(__xludf.DUMMYFUNCTION("IF('Respuestas de formulario 1'!J1984&lt;&gt;"""",UPPER(TRIM(TO_TEXT('Respuestas de formulario 1'!J1984))),IF('Respuestas de formulario 1'!O1984&lt;&gt;"""",UPPER(TRIM(TO_TEXT('Respuestas de formulario 1'!O1984))),""""))"),"")</f>
        <v/>
      </c>
      <c r="K1871" s="7" t="str">
        <f>IFERROR(__xludf.DUMMYFUNCTION("IF('Respuestas de formulario 1'!K1984="""","""",TO_TEXT('Respuestas de formulario 1'!K1984))"),"")</f>
        <v/>
      </c>
      <c r="L1871" s="7" t="str">
        <f>IFERROR(__xludf.DUMMYFUNCTION("IF('Respuestas de formulario 1'!L1984="""","""",TO_TEXT('Respuestas de formulario 1'!L1984))"),"")</f>
        <v/>
      </c>
      <c r="M1871" s="7" t="str">
        <f>IFERROR(__xludf.DUMMYFUNCTION("IF('Respuestas de formulario 1'!M1984="""","""",TO_TEXT('Respuestas de formulario 1'!M1984))"),"")</f>
        <v/>
      </c>
      <c r="N1871" s="7" t="str">
        <f t="shared" si="1"/>
        <v/>
      </c>
      <c r="O1871" s="7" t="str">
        <f t="shared" si="2"/>
        <v/>
      </c>
      <c r="P1871" s="7"/>
    </row>
    <row r="1872">
      <c r="A1872" s="7" t="str">
        <f>'Respuestas de formulario 1'!A1985</f>
        <v/>
      </c>
      <c r="B1872" s="7" t="str">
        <f>'Respuestas de formulario 1'!B1985</f>
        <v/>
      </c>
      <c r="C1872" s="7" t="str">
        <f>'Respuestas de formulario 1'!C1985</f>
        <v/>
      </c>
      <c r="D1872" s="7" t="str">
        <f>'Respuestas de formulario 1'!D1985</f>
        <v/>
      </c>
      <c r="E1872" s="7" t="str">
        <f>'Respuestas de formulario 1'!E1985</f>
        <v/>
      </c>
      <c r="F1872" s="7" t="str">
        <f>'Respuestas de formulario 1'!F1985</f>
        <v/>
      </c>
      <c r="G1872" s="7" t="str">
        <f>IFERROR(__xludf.DUMMYFUNCTION("IF('Respuestas de formulario 1'!G1985="""","""",IF(LEFT(REGEXREPLACE(TO_TEXT('Respuestas de formulario 1'!G1985),""[^0-9]"",""""),2)=""54"",""+""&amp;REGEXREPLACE(TO_TEXT('Respuestas de formulario 1'!G1985),""[^0-9]"",""""),""+54""&amp;REGEXREPLACE(TO_TEXT('Respu"&amp;"estas de formulario 1'!G1985),""[^0-9]"","""")))"),"")</f>
        <v/>
      </c>
      <c r="H1872" s="7" t="str">
        <f>'Respuestas de formulario 1'!S1985</f>
        <v/>
      </c>
      <c r="I1872" s="7" t="str">
        <f>IFERROR(__xludf.DUMMYFUNCTION("IF('Respuestas de formulario 1'!I1985="""","""",TO_TEXT('Respuestas de formulario 1'!I1985))"),"")</f>
        <v/>
      </c>
      <c r="J1872" s="7" t="str">
        <f>IFERROR(__xludf.DUMMYFUNCTION("IF('Respuestas de formulario 1'!J1985&lt;&gt;"""",UPPER(TRIM(TO_TEXT('Respuestas de formulario 1'!J1985))),IF('Respuestas de formulario 1'!O1985&lt;&gt;"""",UPPER(TRIM(TO_TEXT('Respuestas de formulario 1'!O1985))),""""))"),"")</f>
        <v/>
      </c>
      <c r="K1872" s="7" t="str">
        <f>IFERROR(__xludf.DUMMYFUNCTION("IF('Respuestas de formulario 1'!K1985="""","""",TO_TEXT('Respuestas de formulario 1'!K1985))"),"")</f>
        <v/>
      </c>
      <c r="L1872" s="7" t="str">
        <f>IFERROR(__xludf.DUMMYFUNCTION("IF('Respuestas de formulario 1'!L1985="""","""",TO_TEXT('Respuestas de formulario 1'!L1985))"),"")</f>
        <v/>
      </c>
      <c r="M1872" s="7" t="str">
        <f>IFERROR(__xludf.DUMMYFUNCTION("IF('Respuestas de formulario 1'!M1985="""","""",TO_TEXT('Respuestas de formulario 1'!M1985))"),"")</f>
        <v/>
      </c>
      <c r="N1872" s="7" t="str">
        <f t="shared" si="1"/>
        <v/>
      </c>
      <c r="O1872" s="7" t="str">
        <f t="shared" si="2"/>
        <v/>
      </c>
      <c r="P1872" s="7"/>
    </row>
    <row r="1873">
      <c r="A1873" s="7" t="str">
        <f>'Respuestas de formulario 1'!A1986</f>
        <v/>
      </c>
      <c r="B1873" s="7" t="str">
        <f>'Respuestas de formulario 1'!B1986</f>
        <v/>
      </c>
      <c r="C1873" s="7" t="str">
        <f>'Respuestas de formulario 1'!C1986</f>
        <v/>
      </c>
      <c r="D1873" s="7" t="str">
        <f>'Respuestas de formulario 1'!D1986</f>
        <v/>
      </c>
      <c r="E1873" s="7" t="str">
        <f>'Respuestas de formulario 1'!E1986</f>
        <v/>
      </c>
      <c r="F1873" s="7" t="str">
        <f>'Respuestas de formulario 1'!F1986</f>
        <v/>
      </c>
      <c r="G1873" s="7" t="str">
        <f>IFERROR(__xludf.DUMMYFUNCTION("IF('Respuestas de formulario 1'!G1986="""","""",IF(LEFT(REGEXREPLACE(TO_TEXT('Respuestas de formulario 1'!G1986),""[^0-9]"",""""),2)=""54"",""+""&amp;REGEXREPLACE(TO_TEXT('Respuestas de formulario 1'!G1986),""[^0-9]"",""""),""+54""&amp;REGEXREPLACE(TO_TEXT('Respu"&amp;"estas de formulario 1'!G1986),""[^0-9]"","""")))"),"")</f>
        <v/>
      </c>
      <c r="H1873" s="7" t="str">
        <f>'Respuestas de formulario 1'!S1986</f>
        <v/>
      </c>
      <c r="I1873" s="7" t="str">
        <f>IFERROR(__xludf.DUMMYFUNCTION("IF('Respuestas de formulario 1'!I1986="""","""",TO_TEXT('Respuestas de formulario 1'!I1986))"),"")</f>
        <v/>
      </c>
      <c r="J1873" s="7" t="str">
        <f>IFERROR(__xludf.DUMMYFUNCTION("IF('Respuestas de formulario 1'!J1986&lt;&gt;"""",UPPER(TRIM(TO_TEXT('Respuestas de formulario 1'!J1986))),IF('Respuestas de formulario 1'!O1986&lt;&gt;"""",UPPER(TRIM(TO_TEXT('Respuestas de formulario 1'!O1986))),""""))"),"")</f>
        <v/>
      </c>
      <c r="K1873" s="7" t="str">
        <f>IFERROR(__xludf.DUMMYFUNCTION("IF('Respuestas de formulario 1'!K1986="""","""",TO_TEXT('Respuestas de formulario 1'!K1986))"),"")</f>
        <v/>
      </c>
      <c r="L1873" s="7" t="str">
        <f>IFERROR(__xludf.DUMMYFUNCTION("IF('Respuestas de formulario 1'!L1986="""","""",TO_TEXT('Respuestas de formulario 1'!L1986))"),"")</f>
        <v/>
      </c>
      <c r="M1873" s="7" t="str">
        <f>IFERROR(__xludf.DUMMYFUNCTION("IF('Respuestas de formulario 1'!M1986="""","""",TO_TEXT('Respuestas de formulario 1'!M1986))"),"")</f>
        <v/>
      </c>
      <c r="N1873" s="7" t="str">
        <f t="shared" si="1"/>
        <v/>
      </c>
      <c r="O1873" s="7" t="str">
        <f t="shared" si="2"/>
        <v/>
      </c>
      <c r="P1873" s="7"/>
    </row>
    <row r="1874">
      <c r="A1874" s="7" t="str">
        <f>'Respuestas de formulario 1'!A1987</f>
        <v/>
      </c>
      <c r="B1874" s="7" t="str">
        <f>'Respuestas de formulario 1'!B1987</f>
        <v/>
      </c>
      <c r="C1874" s="7" t="str">
        <f>'Respuestas de formulario 1'!C1987</f>
        <v/>
      </c>
      <c r="D1874" s="7" t="str">
        <f>'Respuestas de formulario 1'!D1987</f>
        <v/>
      </c>
      <c r="E1874" s="7" t="str">
        <f>'Respuestas de formulario 1'!E1987</f>
        <v/>
      </c>
      <c r="F1874" s="7" t="str">
        <f>'Respuestas de formulario 1'!F1987</f>
        <v/>
      </c>
      <c r="G1874" s="7" t="str">
        <f>IFERROR(__xludf.DUMMYFUNCTION("IF('Respuestas de formulario 1'!G1987="""","""",IF(LEFT(REGEXREPLACE(TO_TEXT('Respuestas de formulario 1'!G1987),""[^0-9]"",""""),2)=""54"",""+""&amp;REGEXREPLACE(TO_TEXT('Respuestas de formulario 1'!G1987),""[^0-9]"",""""),""+54""&amp;REGEXREPLACE(TO_TEXT('Respu"&amp;"estas de formulario 1'!G1987),""[^0-9]"","""")))"),"")</f>
        <v/>
      </c>
      <c r="H1874" s="7" t="str">
        <f>'Respuestas de formulario 1'!S1987</f>
        <v/>
      </c>
      <c r="I1874" s="7" t="str">
        <f>IFERROR(__xludf.DUMMYFUNCTION("IF('Respuestas de formulario 1'!I1987="""","""",TO_TEXT('Respuestas de formulario 1'!I1987))"),"")</f>
        <v/>
      </c>
      <c r="J1874" s="7" t="str">
        <f>IFERROR(__xludf.DUMMYFUNCTION("IF('Respuestas de formulario 1'!J1987&lt;&gt;"""",UPPER(TRIM(TO_TEXT('Respuestas de formulario 1'!J1987))),IF('Respuestas de formulario 1'!O1987&lt;&gt;"""",UPPER(TRIM(TO_TEXT('Respuestas de formulario 1'!O1987))),""""))"),"")</f>
        <v/>
      </c>
      <c r="K1874" s="7" t="str">
        <f>IFERROR(__xludf.DUMMYFUNCTION("IF('Respuestas de formulario 1'!K1987="""","""",TO_TEXT('Respuestas de formulario 1'!K1987))"),"")</f>
        <v/>
      </c>
      <c r="L1874" s="7" t="str">
        <f>IFERROR(__xludf.DUMMYFUNCTION("IF('Respuestas de formulario 1'!L1987="""","""",TO_TEXT('Respuestas de formulario 1'!L1987))"),"")</f>
        <v/>
      </c>
      <c r="M1874" s="7" t="str">
        <f>IFERROR(__xludf.DUMMYFUNCTION("IF('Respuestas de formulario 1'!M1987="""","""",TO_TEXT('Respuestas de formulario 1'!M1987))"),"")</f>
        <v/>
      </c>
      <c r="N1874" s="7" t="str">
        <f t="shared" si="1"/>
        <v/>
      </c>
      <c r="O1874" s="7" t="str">
        <f t="shared" si="2"/>
        <v/>
      </c>
      <c r="P1874" s="7"/>
    </row>
    <row r="1875">
      <c r="A1875" s="7" t="str">
        <f>'Respuestas de formulario 1'!A1988</f>
        <v/>
      </c>
      <c r="B1875" s="7" t="str">
        <f>'Respuestas de formulario 1'!B1988</f>
        <v/>
      </c>
      <c r="C1875" s="7" t="str">
        <f>'Respuestas de formulario 1'!C1988</f>
        <v/>
      </c>
      <c r="D1875" s="7" t="str">
        <f>'Respuestas de formulario 1'!D1988</f>
        <v/>
      </c>
      <c r="E1875" s="7" t="str">
        <f>'Respuestas de formulario 1'!E1988</f>
        <v/>
      </c>
      <c r="F1875" s="7" t="str">
        <f>'Respuestas de formulario 1'!F1988</f>
        <v/>
      </c>
      <c r="G1875" s="7" t="str">
        <f>IFERROR(__xludf.DUMMYFUNCTION("IF('Respuestas de formulario 1'!G1988="""","""",IF(LEFT(REGEXREPLACE(TO_TEXT('Respuestas de formulario 1'!G1988),""[^0-9]"",""""),2)=""54"",""+""&amp;REGEXREPLACE(TO_TEXT('Respuestas de formulario 1'!G1988),""[^0-9]"",""""),""+54""&amp;REGEXREPLACE(TO_TEXT('Respu"&amp;"estas de formulario 1'!G1988),""[^0-9]"","""")))"),"")</f>
        <v/>
      </c>
      <c r="H1875" s="7" t="str">
        <f>'Respuestas de formulario 1'!S1988</f>
        <v/>
      </c>
      <c r="I1875" s="7" t="str">
        <f>IFERROR(__xludf.DUMMYFUNCTION("IF('Respuestas de formulario 1'!I1988="""","""",TO_TEXT('Respuestas de formulario 1'!I1988))"),"")</f>
        <v/>
      </c>
      <c r="J1875" s="7" t="str">
        <f>IFERROR(__xludf.DUMMYFUNCTION("IF('Respuestas de formulario 1'!J1988&lt;&gt;"""",UPPER(TRIM(TO_TEXT('Respuestas de formulario 1'!J1988))),IF('Respuestas de formulario 1'!O1988&lt;&gt;"""",UPPER(TRIM(TO_TEXT('Respuestas de formulario 1'!O1988))),""""))"),"")</f>
        <v/>
      </c>
      <c r="K1875" s="7" t="str">
        <f>IFERROR(__xludf.DUMMYFUNCTION("IF('Respuestas de formulario 1'!K1988="""","""",TO_TEXT('Respuestas de formulario 1'!K1988))"),"")</f>
        <v/>
      </c>
      <c r="L1875" s="7" t="str">
        <f>IFERROR(__xludf.DUMMYFUNCTION("IF('Respuestas de formulario 1'!L1988="""","""",TO_TEXT('Respuestas de formulario 1'!L1988))"),"")</f>
        <v/>
      </c>
      <c r="M1875" s="7" t="str">
        <f>IFERROR(__xludf.DUMMYFUNCTION("IF('Respuestas de formulario 1'!M1988="""","""",TO_TEXT('Respuestas de formulario 1'!M1988))"),"")</f>
        <v/>
      </c>
      <c r="N1875" s="7" t="str">
        <f t="shared" si="1"/>
        <v/>
      </c>
      <c r="O1875" s="7" t="str">
        <f t="shared" si="2"/>
        <v/>
      </c>
      <c r="P1875" s="7"/>
    </row>
    <row r="1876">
      <c r="A1876" s="7" t="str">
        <f>'Respuestas de formulario 1'!A1989</f>
        <v/>
      </c>
      <c r="B1876" s="7" t="str">
        <f>'Respuestas de formulario 1'!B1989</f>
        <v/>
      </c>
      <c r="C1876" s="7" t="str">
        <f>'Respuestas de formulario 1'!C1989</f>
        <v/>
      </c>
      <c r="D1876" s="7" t="str">
        <f>'Respuestas de formulario 1'!D1989</f>
        <v/>
      </c>
      <c r="E1876" s="7" t="str">
        <f>'Respuestas de formulario 1'!E1989</f>
        <v/>
      </c>
      <c r="F1876" s="7" t="str">
        <f>'Respuestas de formulario 1'!F1989</f>
        <v/>
      </c>
      <c r="G1876" s="7" t="str">
        <f>IFERROR(__xludf.DUMMYFUNCTION("IF('Respuestas de formulario 1'!G1989="""","""",IF(LEFT(REGEXREPLACE(TO_TEXT('Respuestas de formulario 1'!G1989),""[^0-9]"",""""),2)=""54"",""+""&amp;REGEXREPLACE(TO_TEXT('Respuestas de formulario 1'!G1989),""[^0-9]"",""""),""+54""&amp;REGEXREPLACE(TO_TEXT('Respu"&amp;"estas de formulario 1'!G1989),""[^0-9]"","""")))"),"")</f>
        <v/>
      </c>
      <c r="H1876" s="7" t="str">
        <f>'Respuestas de formulario 1'!S1989</f>
        <v/>
      </c>
      <c r="I1876" s="7" t="str">
        <f>IFERROR(__xludf.DUMMYFUNCTION("IF('Respuestas de formulario 1'!I1989="""","""",TO_TEXT('Respuestas de formulario 1'!I1989))"),"")</f>
        <v/>
      </c>
      <c r="J1876" s="7" t="str">
        <f>IFERROR(__xludf.DUMMYFUNCTION("IF('Respuestas de formulario 1'!J1989&lt;&gt;"""",UPPER(TRIM(TO_TEXT('Respuestas de formulario 1'!J1989))),IF('Respuestas de formulario 1'!O1989&lt;&gt;"""",UPPER(TRIM(TO_TEXT('Respuestas de formulario 1'!O1989))),""""))"),"")</f>
        <v/>
      </c>
      <c r="K1876" s="7" t="str">
        <f>IFERROR(__xludf.DUMMYFUNCTION("IF('Respuestas de formulario 1'!K1989="""","""",TO_TEXT('Respuestas de formulario 1'!K1989))"),"")</f>
        <v/>
      </c>
      <c r="L1876" s="7" t="str">
        <f>IFERROR(__xludf.DUMMYFUNCTION("IF('Respuestas de formulario 1'!L1989="""","""",TO_TEXT('Respuestas de formulario 1'!L1989))"),"")</f>
        <v/>
      </c>
      <c r="M1876" s="7" t="str">
        <f>IFERROR(__xludf.DUMMYFUNCTION("IF('Respuestas de formulario 1'!M1989="""","""",TO_TEXT('Respuestas de formulario 1'!M1989))"),"")</f>
        <v/>
      </c>
      <c r="N1876" s="7" t="str">
        <f t="shared" si="1"/>
        <v/>
      </c>
      <c r="O1876" s="7" t="str">
        <f t="shared" si="2"/>
        <v/>
      </c>
      <c r="P1876" s="7"/>
    </row>
    <row r="1877">
      <c r="A1877" s="7" t="str">
        <f>'Respuestas de formulario 1'!A1990</f>
        <v/>
      </c>
      <c r="B1877" s="7" t="str">
        <f>'Respuestas de formulario 1'!B1990</f>
        <v/>
      </c>
      <c r="C1877" s="7" t="str">
        <f>'Respuestas de formulario 1'!C1990</f>
        <v/>
      </c>
      <c r="D1877" s="7" t="str">
        <f>'Respuestas de formulario 1'!D1990</f>
        <v/>
      </c>
      <c r="E1877" s="7" t="str">
        <f>'Respuestas de formulario 1'!E1990</f>
        <v/>
      </c>
      <c r="F1877" s="7" t="str">
        <f>'Respuestas de formulario 1'!F1990</f>
        <v/>
      </c>
      <c r="G1877" s="7" t="str">
        <f>IFERROR(__xludf.DUMMYFUNCTION("IF('Respuestas de formulario 1'!G1990="""","""",IF(LEFT(REGEXREPLACE(TO_TEXT('Respuestas de formulario 1'!G1990),""[^0-9]"",""""),2)=""54"",""+""&amp;REGEXREPLACE(TO_TEXT('Respuestas de formulario 1'!G1990),""[^0-9]"",""""),""+54""&amp;REGEXREPLACE(TO_TEXT('Respu"&amp;"estas de formulario 1'!G1990),""[^0-9]"","""")))"),"")</f>
        <v/>
      </c>
      <c r="H1877" s="7" t="str">
        <f>'Respuestas de formulario 1'!S1990</f>
        <v/>
      </c>
      <c r="I1877" s="7" t="str">
        <f>IFERROR(__xludf.DUMMYFUNCTION("IF('Respuestas de formulario 1'!I1990="""","""",TO_TEXT('Respuestas de formulario 1'!I1990))"),"")</f>
        <v/>
      </c>
      <c r="J1877" s="7" t="str">
        <f>IFERROR(__xludf.DUMMYFUNCTION("IF('Respuestas de formulario 1'!J1990&lt;&gt;"""",UPPER(TRIM(TO_TEXT('Respuestas de formulario 1'!J1990))),IF('Respuestas de formulario 1'!O1990&lt;&gt;"""",UPPER(TRIM(TO_TEXT('Respuestas de formulario 1'!O1990))),""""))"),"")</f>
        <v/>
      </c>
      <c r="K1877" s="7" t="str">
        <f>IFERROR(__xludf.DUMMYFUNCTION("IF('Respuestas de formulario 1'!K1990="""","""",TO_TEXT('Respuestas de formulario 1'!K1990))"),"")</f>
        <v/>
      </c>
      <c r="L1877" s="7" t="str">
        <f>IFERROR(__xludf.DUMMYFUNCTION("IF('Respuestas de formulario 1'!L1990="""","""",TO_TEXT('Respuestas de formulario 1'!L1990))"),"")</f>
        <v/>
      </c>
      <c r="M1877" s="7" t="str">
        <f>IFERROR(__xludf.DUMMYFUNCTION("IF('Respuestas de formulario 1'!M1990="""","""",TO_TEXT('Respuestas de formulario 1'!M1990))"),"")</f>
        <v/>
      </c>
      <c r="N1877" s="7" t="str">
        <f t="shared" si="1"/>
        <v/>
      </c>
      <c r="O1877" s="7" t="str">
        <f t="shared" si="2"/>
        <v/>
      </c>
      <c r="P1877" s="7"/>
    </row>
    <row r="1878">
      <c r="A1878" s="7" t="str">
        <f>'Respuestas de formulario 1'!A1991</f>
        <v/>
      </c>
      <c r="B1878" s="7" t="str">
        <f>'Respuestas de formulario 1'!B1991</f>
        <v/>
      </c>
      <c r="C1878" s="7" t="str">
        <f>'Respuestas de formulario 1'!C1991</f>
        <v/>
      </c>
      <c r="D1878" s="7" t="str">
        <f>'Respuestas de formulario 1'!D1991</f>
        <v/>
      </c>
      <c r="E1878" s="7" t="str">
        <f>'Respuestas de formulario 1'!E1991</f>
        <v/>
      </c>
      <c r="F1878" s="7" t="str">
        <f>'Respuestas de formulario 1'!F1991</f>
        <v/>
      </c>
      <c r="G1878" s="7" t="str">
        <f>IFERROR(__xludf.DUMMYFUNCTION("IF('Respuestas de formulario 1'!G1991="""","""",IF(LEFT(REGEXREPLACE(TO_TEXT('Respuestas de formulario 1'!G1991),""[^0-9]"",""""),2)=""54"",""+""&amp;REGEXREPLACE(TO_TEXT('Respuestas de formulario 1'!G1991),""[^0-9]"",""""),""+54""&amp;REGEXREPLACE(TO_TEXT('Respu"&amp;"estas de formulario 1'!G1991),""[^0-9]"","""")))"),"")</f>
        <v/>
      </c>
      <c r="H1878" s="7" t="str">
        <f>'Respuestas de formulario 1'!S1991</f>
        <v/>
      </c>
      <c r="I1878" s="7" t="str">
        <f>IFERROR(__xludf.DUMMYFUNCTION("IF('Respuestas de formulario 1'!I1991="""","""",TO_TEXT('Respuestas de formulario 1'!I1991))"),"")</f>
        <v/>
      </c>
      <c r="J1878" s="7" t="str">
        <f>IFERROR(__xludf.DUMMYFUNCTION("IF('Respuestas de formulario 1'!J1991&lt;&gt;"""",UPPER(TRIM(TO_TEXT('Respuestas de formulario 1'!J1991))),IF('Respuestas de formulario 1'!O1991&lt;&gt;"""",UPPER(TRIM(TO_TEXT('Respuestas de formulario 1'!O1991))),""""))"),"")</f>
        <v/>
      </c>
      <c r="K1878" s="7" t="str">
        <f>IFERROR(__xludf.DUMMYFUNCTION("IF('Respuestas de formulario 1'!K1991="""","""",TO_TEXT('Respuestas de formulario 1'!K1991))"),"")</f>
        <v/>
      </c>
      <c r="L1878" s="7" t="str">
        <f>IFERROR(__xludf.DUMMYFUNCTION("IF('Respuestas de formulario 1'!L1991="""","""",TO_TEXT('Respuestas de formulario 1'!L1991))"),"")</f>
        <v/>
      </c>
      <c r="M1878" s="7" t="str">
        <f>IFERROR(__xludf.DUMMYFUNCTION("IF('Respuestas de formulario 1'!M1991="""","""",TO_TEXT('Respuestas de formulario 1'!M1991))"),"")</f>
        <v/>
      </c>
      <c r="N1878" s="7" t="str">
        <f t="shared" si="1"/>
        <v/>
      </c>
      <c r="O1878" s="7" t="str">
        <f t="shared" si="2"/>
        <v/>
      </c>
      <c r="P1878" s="7"/>
    </row>
    <row r="1879">
      <c r="A1879" s="7" t="str">
        <f>'Respuestas de formulario 1'!A1992</f>
        <v/>
      </c>
      <c r="B1879" s="7" t="str">
        <f>'Respuestas de formulario 1'!B1992</f>
        <v/>
      </c>
      <c r="C1879" s="7" t="str">
        <f>'Respuestas de formulario 1'!C1992</f>
        <v/>
      </c>
      <c r="D1879" s="7" t="str">
        <f>'Respuestas de formulario 1'!D1992</f>
        <v/>
      </c>
      <c r="E1879" s="7" t="str">
        <f>'Respuestas de formulario 1'!E1992</f>
        <v/>
      </c>
      <c r="F1879" s="7" t="str">
        <f>'Respuestas de formulario 1'!F1992</f>
        <v/>
      </c>
      <c r="G1879" s="7" t="str">
        <f>IFERROR(__xludf.DUMMYFUNCTION("IF('Respuestas de formulario 1'!G1992="""","""",IF(LEFT(REGEXREPLACE(TO_TEXT('Respuestas de formulario 1'!G1992),""[^0-9]"",""""),2)=""54"",""+""&amp;REGEXREPLACE(TO_TEXT('Respuestas de formulario 1'!G1992),""[^0-9]"",""""),""+54""&amp;REGEXREPLACE(TO_TEXT('Respu"&amp;"estas de formulario 1'!G1992),""[^0-9]"","""")))"),"")</f>
        <v/>
      </c>
      <c r="H1879" s="7" t="str">
        <f>'Respuestas de formulario 1'!S1992</f>
        <v/>
      </c>
      <c r="I1879" s="7" t="str">
        <f>IFERROR(__xludf.DUMMYFUNCTION("IF('Respuestas de formulario 1'!I1992="""","""",TO_TEXT('Respuestas de formulario 1'!I1992))"),"")</f>
        <v/>
      </c>
      <c r="J1879" s="7" t="str">
        <f>IFERROR(__xludf.DUMMYFUNCTION("IF('Respuestas de formulario 1'!J1992&lt;&gt;"""",UPPER(TRIM(TO_TEXT('Respuestas de formulario 1'!J1992))),IF('Respuestas de formulario 1'!O1992&lt;&gt;"""",UPPER(TRIM(TO_TEXT('Respuestas de formulario 1'!O1992))),""""))"),"")</f>
        <v/>
      </c>
      <c r="K1879" s="7" t="str">
        <f>IFERROR(__xludf.DUMMYFUNCTION("IF('Respuestas de formulario 1'!K1992="""","""",TO_TEXT('Respuestas de formulario 1'!K1992))"),"")</f>
        <v/>
      </c>
      <c r="L1879" s="7" t="str">
        <f>IFERROR(__xludf.DUMMYFUNCTION("IF('Respuestas de formulario 1'!L1992="""","""",TO_TEXT('Respuestas de formulario 1'!L1992))"),"")</f>
        <v/>
      </c>
      <c r="M1879" s="7" t="str">
        <f>IFERROR(__xludf.DUMMYFUNCTION("IF('Respuestas de formulario 1'!M1992="""","""",TO_TEXT('Respuestas de formulario 1'!M1992))"),"")</f>
        <v/>
      </c>
      <c r="N1879" s="7" t="str">
        <f t="shared" si="1"/>
        <v/>
      </c>
      <c r="O1879" s="7" t="str">
        <f t="shared" si="2"/>
        <v/>
      </c>
      <c r="P1879" s="7"/>
    </row>
    <row r="1880">
      <c r="A1880" s="7" t="str">
        <f>'Respuestas de formulario 1'!A1993</f>
        <v/>
      </c>
      <c r="B1880" s="7" t="str">
        <f>'Respuestas de formulario 1'!B1993</f>
        <v/>
      </c>
      <c r="C1880" s="7" t="str">
        <f>'Respuestas de formulario 1'!C1993</f>
        <v/>
      </c>
      <c r="D1880" s="7" t="str">
        <f>'Respuestas de formulario 1'!D1993</f>
        <v/>
      </c>
      <c r="E1880" s="7" t="str">
        <f>'Respuestas de formulario 1'!E1993</f>
        <v/>
      </c>
      <c r="F1880" s="7" t="str">
        <f>'Respuestas de formulario 1'!F1993</f>
        <v/>
      </c>
      <c r="G1880" s="7" t="str">
        <f>IFERROR(__xludf.DUMMYFUNCTION("IF('Respuestas de formulario 1'!G1993="""","""",IF(LEFT(REGEXREPLACE(TO_TEXT('Respuestas de formulario 1'!G1993),""[^0-9]"",""""),2)=""54"",""+""&amp;REGEXREPLACE(TO_TEXT('Respuestas de formulario 1'!G1993),""[^0-9]"",""""),""+54""&amp;REGEXREPLACE(TO_TEXT('Respu"&amp;"estas de formulario 1'!G1993),""[^0-9]"","""")))"),"")</f>
        <v/>
      </c>
      <c r="H1880" s="7" t="str">
        <f>'Respuestas de formulario 1'!S1993</f>
        <v/>
      </c>
      <c r="I1880" s="7" t="str">
        <f>IFERROR(__xludf.DUMMYFUNCTION("IF('Respuestas de formulario 1'!I1993="""","""",TO_TEXT('Respuestas de formulario 1'!I1993))"),"")</f>
        <v/>
      </c>
      <c r="J1880" s="7" t="str">
        <f>IFERROR(__xludf.DUMMYFUNCTION("IF('Respuestas de formulario 1'!J1993&lt;&gt;"""",UPPER(TRIM(TO_TEXT('Respuestas de formulario 1'!J1993))),IF('Respuestas de formulario 1'!O1993&lt;&gt;"""",UPPER(TRIM(TO_TEXT('Respuestas de formulario 1'!O1993))),""""))"),"")</f>
        <v/>
      </c>
      <c r="K1880" s="7" t="str">
        <f>IFERROR(__xludf.DUMMYFUNCTION("IF('Respuestas de formulario 1'!K1993="""","""",TO_TEXT('Respuestas de formulario 1'!K1993))"),"")</f>
        <v/>
      </c>
      <c r="L1880" s="7" t="str">
        <f>IFERROR(__xludf.DUMMYFUNCTION("IF('Respuestas de formulario 1'!L1993="""","""",TO_TEXT('Respuestas de formulario 1'!L1993))"),"")</f>
        <v/>
      </c>
      <c r="M1880" s="7" t="str">
        <f>IFERROR(__xludf.DUMMYFUNCTION("IF('Respuestas de formulario 1'!M1993="""","""",TO_TEXT('Respuestas de formulario 1'!M1993))"),"")</f>
        <v/>
      </c>
      <c r="N1880" s="7" t="str">
        <f t="shared" si="1"/>
        <v/>
      </c>
      <c r="O1880" s="7" t="str">
        <f t="shared" si="2"/>
        <v/>
      </c>
      <c r="P1880" s="7"/>
    </row>
    <row r="1881">
      <c r="A1881" s="7" t="str">
        <f>'Respuestas de formulario 1'!A1994</f>
        <v/>
      </c>
      <c r="B1881" s="7" t="str">
        <f>'Respuestas de formulario 1'!B1994</f>
        <v/>
      </c>
      <c r="C1881" s="7" t="str">
        <f>'Respuestas de formulario 1'!C1994</f>
        <v/>
      </c>
      <c r="D1881" s="7" t="str">
        <f>'Respuestas de formulario 1'!D1994</f>
        <v/>
      </c>
      <c r="E1881" s="7" t="str">
        <f>'Respuestas de formulario 1'!E1994</f>
        <v/>
      </c>
      <c r="F1881" s="7" t="str">
        <f>'Respuestas de formulario 1'!F1994</f>
        <v/>
      </c>
      <c r="G1881" s="7" t="str">
        <f>IFERROR(__xludf.DUMMYFUNCTION("IF('Respuestas de formulario 1'!G1994="""","""",IF(LEFT(REGEXREPLACE(TO_TEXT('Respuestas de formulario 1'!G1994),""[^0-9]"",""""),2)=""54"",""+""&amp;REGEXREPLACE(TO_TEXT('Respuestas de formulario 1'!G1994),""[^0-9]"",""""),""+54""&amp;REGEXREPLACE(TO_TEXT('Respu"&amp;"estas de formulario 1'!G1994),""[^0-9]"","""")))"),"")</f>
        <v/>
      </c>
      <c r="H1881" s="7" t="str">
        <f>'Respuestas de formulario 1'!S1994</f>
        <v/>
      </c>
      <c r="I1881" s="7" t="str">
        <f>IFERROR(__xludf.DUMMYFUNCTION("IF('Respuestas de formulario 1'!I1994="""","""",TO_TEXT('Respuestas de formulario 1'!I1994))"),"")</f>
        <v/>
      </c>
      <c r="J1881" s="7" t="str">
        <f>IFERROR(__xludf.DUMMYFUNCTION("IF('Respuestas de formulario 1'!J1994&lt;&gt;"""",UPPER(TRIM(TO_TEXT('Respuestas de formulario 1'!J1994))),IF('Respuestas de formulario 1'!O1994&lt;&gt;"""",UPPER(TRIM(TO_TEXT('Respuestas de formulario 1'!O1994))),""""))"),"")</f>
        <v/>
      </c>
      <c r="K1881" s="7" t="str">
        <f>IFERROR(__xludf.DUMMYFUNCTION("IF('Respuestas de formulario 1'!K1994="""","""",TO_TEXT('Respuestas de formulario 1'!K1994))"),"")</f>
        <v/>
      </c>
      <c r="L1881" s="7" t="str">
        <f>IFERROR(__xludf.DUMMYFUNCTION("IF('Respuestas de formulario 1'!L1994="""","""",TO_TEXT('Respuestas de formulario 1'!L1994))"),"")</f>
        <v/>
      </c>
      <c r="M1881" s="7" t="str">
        <f>IFERROR(__xludf.DUMMYFUNCTION("IF('Respuestas de formulario 1'!M1994="""","""",TO_TEXT('Respuestas de formulario 1'!M1994))"),"")</f>
        <v/>
      </c>
      <c r="N1881" s="7" t="str">
        <f t="shared" si="1"/>
        <v/>
      </c>
      <c r="O1881" s="7" t="str">
        <f t="shared" si="2"/>
        <v/>
      </c>
      <c r="P1881" s="7"/>
    </row>
    <row r="1882">
      <c r="A1882" s="7" t="str">
        <f>'Respuestas de formulario 1'!A1995</f>
        <v/>
      </c>
      <c r="B1882" s="7" t="str">
        <f>'Respuestas de formulario 1'!B1995</f>
        <v/>
      </c>
      <c r="C1882" s="7" t="str">
        <f>'Respuestas de formulario 1'!C1995</f>
        <v/>
      </c>
      <c r="D1882" s="7" t="str">
        <f>'Respuestas de formulario 1'!D1995</f>
        <v/>
      </c>
      <c r="E1882" s="7" t="str">
        <f>'Respuestas de formulario 1'!E1995</f>
        <v/>
      </c>
      <c r="F1882" s="7" t="str">
        <f>'Respuestas de formulario 1'!F1995</f>
        <v/>
      </c>
      <c r="G1882" s="7" t="str">
        <f>IFERROR(__xludf.DUMMYFUNCTION("IF('Respuestas de formulario 1'!G1995="""","""",IF(LEFT(REGEXREPLACE(TO_TEXT('Respuestas de formulario 1'!G1995),""[^0-9]"",""""),2)=""54"",""+""&amp;REGEXREPLACE(TO_TEXT('Respuestas de formulario 1'!G1995),""[^0-9]"",""""),""+54""&amp;REGEXREPLACE(TO_TEXT('Respu"&amp;"estas de formulario 1'!G1995),""[^0-9]"","""")))"),"")</f>
        <v/>
      </c>
      <c r="H1882" s="7" t="str">
        <f>'Respuestas de formulario 1'!S1995</f>
        <v/>
      </c>
      <c r="I1882" s="7" t="str">
        <f>IFERROR(__xludf.DUMMYFUNCTION("IF('Respuestas de formulario 1'!I1995="""","""",TO_TEXT('Respuestas de formulario 1'!I1995))"),"")</f>
        <v/>
      </c>
      <c r="J1882" s="7" t="str">
        <f>IFERROR(__xludf.DUMMYFUNCTION("IF('Respuestas de formulario 1'!J1995&lt;&gt;"""",UPPER(TRIM(TO_TEXT('Respuestas de formulario 1'!J1995))),IF('Respuestas de formulario 1'!O1995&lt;&gt;"""",UPPER(TRIM(TO_TEXT('Respuestas de formulario 1'!O1995))),""""))"),"")</f>
        <v/>
      </c>
      <c r="K1882" s="7" t="str">
        <f>IFERROR(__xludf.DUMMYFUNCTION("IF('Respuestas de formulario 1'!K1995="""","""",TO_TEXT('Respuestas de formulario 1'!K1995))"),"")</f>
        <v/>
      </c>
      <c r="L1882" s="7" t="str">
        <f>IFERROR(__xludf.DUMMYFUNCTION("IF('Respuestas de formulario 1'!L1995="""","""",TO_TEXT('Respuestas de formulario 1'!L1995))"),"")</f>
        <v/>
      </c>
      <c r="M1882" s="7" t="str">
        <f>IFERROR(__xludf.DUMMYFUNCTION("IF('Respuestas de formulario 1'!M1995="""","""",TO_TEXT('Respuestas de formulario 1'!M1995))"),"")</f>
        <v/>
      </c>
      <c r="N1882" s="7" t="str">
        <f t="shared" si="1"/>
        <v/>
      </c>
      <c r="O1882" s="7" t="str">
        <f t="shared" si="2"/>
        <v/>
      </c>
      <c r="P1882" s="7"/>
    </row>
    <row r="1883">
      <c r="A1883" s="7" t="str">
        <f>'Respuestas de formulario 1'!A1996</f>
        <v/>
      </c>
      <c r="B1883" s="7" t="str">
        <f>'Respuestas de formulario 1'!B1996</f>
        <v/>
      </c>
      <c r="C1883" s="7" t="str">
        <f>'Respuestas de formulario 1'!C1996</f>
        <v/>
      </c>
      <c r="D1883" s="7" t="str">
        <f>'Respuestas de formulario 1'!D1996</f>
        <v/>
      </c>
      <c r="E1883" s="7" t="str">
        <f>'Respuestas de formulario 1'!E1996</f>
        <v/>
      </c>
      <c r="F1883" s="7" t="str">
        <f>'Respuestas de formulario 1'!F1996</f>
        <v/>
      </c>
      <c r="G1883" s="7" t="str">
        <f>IFERROR(__xludf.DUMMYFUNCTION("IF('Respuestas de formulario 1'!G1996="""","""",IF(LEFT(REGEXREPLACE(TO_TEXT('Respuestas de formulario 1'!G1996),""[^0-9]"",""""),2)=""54"",""+""&amp;REGEXREPLACE(TO_TEXT('Respuestas de formulario 1'!G1996),""[^0-9]"",""""),""+54""&amp;REGEXREPLACE(TO_TEXT('Respu"&amp;"estas de formulario 1'!G1996),""[^0-9]"","""")))"),"")</f>
        <v/>
      </c>
      <c r="H1883" s="7" t="str">
        <f>'Respuestas de formulario 1'!S1996</f>
        <v/>
      </c>
      <c r="I1883" s="7" t="str">
        <f>IFERROR(__xludf.DUMMYFUNCTION("IF('Respuestas de formulario 1'!I1996="""","""",TO_TEXT('Respuestas de formulario 1'!I1996))"),"")</f>
        <v/>
      </c>
      <c r="J1883" s="7" t="str">
        <f>IFERROR(__xludf.DUMMYFUNCTION("IF('Respuestas de formulario 1'!J1996&lt;&gt;"""",UPPER(TRIM(TO_TEXT('Respuestas de formulario 1'!J1996))),IF('Respuestas de formulario 1'!O1996&lt;&gt;"""",UPPER(TRIM(TO_TEXT('Respuestas de formulario 1'!O1996))),""""))"),"")</f>
        <v/>
      </c>
      <c r="K1883" s="7" t="str">
        <f>IFERROR(__xludf.DUMMYFUNCTION("IF('Respuestas de formulario 1'!K1996="""","""",TO_TEXT('Respuestas de formulario 1'!K1996))"),"")</f>
        <v/>
      </c>
      <c r="L1883" s="7" t="str">
        <f>IFERROR(__xludf.DUMMYFUNCTION("IF('Respuestas de formulario 1'!L1996="""","""",TO_TEXT('Respuestas de formulario 1'!L1996))"),"")</f>
        <v/>
      </c>
      <c r="M1883" s="7" t="str">
        <f>IFERROR(__xludf.DUMMYFUNCTION("IF('Respuestas de formulario 1'!M1996="""","""",TO_TEXT('Respuestas de formulario 1'!M1996))"),"")</f>
        <v/>
      </c>
      <c r="N1883" s="7" t="str">
        <f t="shared" si="1"/>
        <v/>
      </c>
      <c r="O1883" s="7" t="str">
        <f t="shared" si="2"/>
        <v/>
      </c>
      <c r="P1883" s="7"/>
    </row>
    <row r="1884">
      <c r="A1884" s="7" t="str">
        <f>'Respuestas de formulario 1'!A1997</f>
        <v/>
      </c>
      <c r="B1884" s="7" t="str">
        <f>'Respuestas de formulario 1'!B1997</f>
        <v/>
      </c>
      <c r="C1884" s="7" t="str">
        <f>'Respuestas de formulario 1'!C1997</f>
        <v/>
      </c>
      <c r="D1884" s="7" t="str">
        <f>'Respuestas de formulario 1'!D1997</f>
        <v/>
      </c>
      <c r="E1884" s="7" t="str">
        <f>'Respuestas de formulario 1'!E1997</f>
        <v/>
      </c>
      <c r="F1884" s="7" t="str">
        <f>'Respuestas de formulario 1'!F1997</f>
        <v/>
      </c>
      <c r="G1884" s="7" t="str">
        <f>IFERROR(__xludf.DUMMYFUNCTION("IF('Respuestas de formulario 1'!G1997="""","""",IF(LEFT(REGEXREPLACE(TO_TEXT('Respuestas de formulario 1'!G1997),""[^0-9]"",""""),2)=""54"",""+""&amp;REGEXREPLACE(TO_TEXT('Respuestas de formulario 1'!G1997),""[^0-9]"",""""),""+54""&amp;REGEXREPLACE(TO_TEXT('Respu"&amp;"estas de formulario 1'!G1997),""[^0-9]"","""")))"),"")</f>
        <v/>
      </c>
      <c r="H1884" s="7" t="str">
        <f>'Respuestas de formulario 1'!S1997</f>
        <v/>
      </c>
      <c r="I1884" s="7" t="str">
        <f>IFERROR(__xludf.DUMMYFUNCTION("IF('Respuestas de formulario 1'!I1997="""","""",TO_TEXT('Respuestas de formulario 1'!I1997))"),"")</f>
        <v/>
      </c>
      <c r="J1884" s="7" t="str">
        <f>IFERROR(__xludf.DUMMYFUNCTION("IF('Respuestas de formulario 1'!J1997&lt;&gt;"""",UPPER(TRIM(TO_TEXT('Respuestas de formulario 1'!J1997))),IF('Respuestas de formulario 1'!O1997&lt;&gt;"""",UPPER(TRIM(TO_TEXT('Respuestas de formulario 1'!O1997))),""""))"),"")</f>
        <v/>
      </c>
      <c r="K1884" s="7" t="str">
        <f>IFERROR(__xludf.DUMMYFUNCTION("IF('Respuestas de formulario 1'!K1997="""","""",TO_TEXT('Respuestas de formulario 1'!K1997))"),"")</f>
        <v/>
      </c>
      <c r="L1884" s="7" t="str">
        <f>IFERROR(__xludf.DUMMYFUNCTION("IF('Respuestas de formulario 1'!L1997="""","""",TO_TEXT('Respuestas de formulario 1'!L1997))"),"")</f>
        <v/>
      </c>
      <c r="M1884" s="7" t="str">
        <f>IFERROR(__xludf.DUMMYFUNCTION("IF('Respuestas de formulario 1'!M1997="""","""",TO_TEXT('Respuestas de formulario 1'!M1997))"),"")</f>
        <v/>
      </c>
      <c r="N1884" s="7" t="str">
        <f t="shared" si="1"/>
        <v/>
      </c>
      <c r="O1884" s="7" t="str">
        <f t="shared" si="2"/>
        <v/>
      </c>
      <c r="P1884" s="7"/>
    </row>
    <row r="1885">
      <c r="A1885" s="7" t="str">
        <f>'Respuestas de formulario 1'!A1998</f>
        <v/>
      </c>
      <c r="B1885" s="7" t="str">
        <f>'Respuestas de formulario 1'!B1998</f>
        <v/>
      </c>
      <c r="C1885" s="7" t="str">
        <f>'Respuestas de formulario 1'!C1998</f>
        <v/>
      </c>
      <c r="D1885" s="7" t="str">
        <f>'Respuestas de formulario 1'!D1998</f>
        <v/>
      </c>
      <c r="E1885" s="7" t="str">
        <f>'Respuestas de formulario 1'!E1998</f>
        <v/>
      </c>
      <c r="F1885" s="7" t="str">
        <f>'Respuestas de formulario 1'!F1998</f>
        <v/>
      </c>
      <c r="G1885" s="7" t="str">
        <f>IFERROR(__xludf.DUMMYFUNCTION("IF('Respuestas de formulario 1'!G1998="""","""",IF(LEFT(REGEXREPLACE(TO_TEXT('Respuestas de formulario 1'!G1998),""[^0-9]"",""""),2)=""54"",""+""&amp;REGEXREPLACE(TO_TEXT('Respuestas de formulario 1'!G1998),""[^0-9]"",""""),""+54""&amp;REGEXREPLACE(TO_TEXT('Respu"&amp;"estas de formulario 1'!G1998),""[^0-9]"","""")))"),"")</f>
        <v/>
      </c>
      <c r="H1885" s="7" t="str">
        <f>'Respuestas de formulario 1'!S1998</f>
        <v/>
      </c>
      <c r="I1885" s="7" t="str">
        <f>IFERROR(__xludf.DUMMYFUNCTION("IF('Respuestas de formulario 1'!I1998="""","""",TO_TEXT('Respuestas de formulario 1'!I1998))"),"")</f>
        <v/>
      </c>
      <c r="J1885" s="7" t="str">
        <f>IFERROR(__xludf.DUMMYFUNCTION("IF('Respuestas de formulario 1'!J1998&lt;&gt;"""",UPPER(TRIM(TO_TEXT('Respuestas de formulario 1'!J1998))),IF('Respuestas de formulario 1'!O1998&lt;&gt;"""",UPPER(TRIM(TO_TEXT('Respuestas de formulario 1'!O1998))),""""))"),"")</f>
        <v/>
      </c>
      <c r="K1885" s="7" t="str">
        <f>IFERROR(__xludf.DUMMYFUNCTION("IF('Respuestas de formulario 1'!K1998="""","""",TO_TEXT('Respuestas de formulario 1'!K1998))"),"")</f>
        <v/>
      </c>
      <c r="L1885" s="7" t="str">
        <f>IFERROR(__xludf.DUMMYFUNCTION("IF('Respuestas de formulario 1'!L1998="""","""",TO_TEXT('Respuestas de formulario 1'!L1998))"),"")</f>
        <v/>
      </c>
      <c r="M1885" s="7" t="str">
        <f>IFERROR(__xludf.DUMMYFUNCTION("IF('Respuestas de formulario 1'!M1998="""","""",TO_TEXT('Respuestas de formulario 1'!M1998))"),"")</f>
        <v/>
      </c>
      <c r="N1885" s="7" t="str">
        <f t="shared" si="1"/>
        <v/>
      </c>
      <c r="O1885" s="7" t="str">
        <f t="shared" si="2"/>
        <v/>
      </c>
      <c r="P1885" s="7"/>
    </row>
    <row r="1886">
      <c r="A1886" s="7" t="str">
        <f>'Respuestas de formulario 1'!A1999</f>
        <v/>
      </c>
      <c r="B1886" s="7" t="str">
        <f>'Respuestas de formulario 1'!B1999</f>
        <v/>
      </c>
      <c r="C1886" s="7" t="str">
        <f>'Respuestas de formulario 1'!C1999</f>
        <v/>
      </c>
      <c r="D1886" s="7" t="str">
        <f>'Respuestas de formulario 1'!D1999</f>
        <v/>
      </c>
      <c r="E1886" s="7" t="str">
        <f>'Respuestas de formulario 1'!E1999</f>
        <v/>
      </c>
      <c r="F1886" s="7" t="str">
        <f>'Respuestas de formulario 1'!F1999</f>
        <v/>
      </c>
      <c r="G1886" s="7" t="str">
        <f>IFERROR(__xludf.DUMMYFUNCTION("IF('Respuestas de formulario 1'!G1999="""","""",IF(LEFT(REGEXREPLACE(TO_TEXT('Respuestas de formulario 1'!G1999),""[^0-9]"",""""),2)=""54"",""+""&amp;REGEXREPLACE(TO_TEXT('Respuestas de formulario 1'!G1999),""[^0-9]"",""""),""+54""&amp;REGEXREPLACE(TO_TEXT('Respu"&amp;"estas de formulario 1'!G1999),""[^0-9]"","""")))"),"")</f>
        <v/>
      </c>
      <c r="H1886" s="7" t="str">
        <f>'Respuestas de formulario 1'!S1999</f>
        <v/>
      </c>
      <c r="I1886" s="7" t="str">
        <f>IFERROR(__xludf.DUMMYFUNCTION("IF('Respuestas de formulario 1'!I1999="""","""",TO_TEXT('Respuestas de formulario 1'!I1999))"),"")</f>
        <v/>
      </c>
      <c r="J1886" s="7" t="str">
        <f>IFERROR(__xludf.DUMMYFUNCTION("IF('Respuestas de formulario 1'!J1999&lt;&gt;"""",UPPER(TRIM(TO_TEXT('Respuestas de formulario 1'!J1999))),IF('Respuestas de formulario 1'!O1999&lt;&gt;"""",UPPER(TRIM(TO_TEXT('Respuestas de formulario 1'!O1999))),""""))"),"")</f>
        <v/>
      </c>
      <c r="K1886" s="7" t="str">
        <f>IFERROR(__xludf.DUMMYFUNCTION("IF('Respuestas de formulario 1'!K1999="""","""",TO_TEXT('Respuestas de formulario 1'!K1999))"),"")</f>
        <v/>
      </c>
      <c r="L1886" s="7" t="str">
        <f>IFERROR(__xludf.DUMMYFUNCTION("IF('Respuestas de formulario 1'!L1999="""","""",TO_TEXT('Respuestas de formulario 1'!L1999))"),"")</f>
        <v/>
      </c>
      <c r="M1886" s="7" t="str">
        <f>IFERROR(__xludf.DUMMYFUNCTION("IF('Respuestas de formulario 1'!M1999="""","""",TO_TEXT('Respuestas de formulario 1'!M1999))"),"")</f>
        <v/>
      </c>
      <c r="N1886" s="7" t="str">
        <f t="shared" si="1"/>
        <v/>
      </c>
      <c r="O1886" s="7" t="str">
        <f t="shared" si="2"/>
        <v/>
      </c>
      <c r="P1886" s="7"/>
    </row>
    <row r="1887">
      <c r="A1887" s="7" t="str">
        <f>'Respuestas de formulario 1'!A2000</f>
        <v/>
      </c>
      <c r="B1887" s="7" t="str">
        <f>'Respuestas de formulario 1'!B2000</f>
        <v/>
      </c>
      <c r="C1887" s="7" t="str">
        <f>'Respuestas de formulario 1'!C2000</f>
        <v/>
      </c>
      <c r="D1887" s="7" t="str">
        <f>'Respuestas de formulario 1'!D2000</f>
        <v/>
      </c>
      <c r="E1887" s="7" t="str">
        <f>'Respuestas de formulario 1'!E2000</f>
        <v/>
      </c>
      <c r="F1887" s="7" t="str">
        <f>'Respuestas de formulario 1'!F2000</f>
        <v/>
      </c>
      <c r="G1887" s="7" t="str">
        <f>IFERROR(__xludf.DUMMYFUNCTION("IF('Respuestas de formulario 1'!G2000="""","""",IF(LEFT(REGEXREPLACE(TO_TEXT('Respuestas de formulario 1'!G2000),""[^0-9]"",""""),2)=""54"",""+""&amp;REGEXREPLACE(TO_TEXT('Respuestas de formulario 1'!G2000),""[^0-9]"",""""),""+54""&amp;REGEXREPLACE(TO_TEXT('Respu"&amp;"estas de formulario 1'!G2000),""[^0-9]"","""")))"),"")</f>
        <v/>
      </c>
      <c r="H1887" s="7" t="str">
        <f>'Respuestas de formulario 1'!S2000</f>
        <v/>
      </c>
      <c r="I1887" s="7" t="str">
        <f>IFERROR(__xludf.DUMMYFUNCTION("IF('Respuestas de formulario 1'!I2000="""","""",TO_TEXT('Respuestas de formulario 1'!I2000))"),"")</f>
        <v/>
      </c>
      <c r="J1887" s="7" t="str">
        <f>IFERROR(__xludf.DUMMYFUNCTION("IF('Respuestas de formulario 1'!J2000&lt;&gt;"""",UPPER(TRIM(TO_TEXT('Respuestas de formulario 1'!J2000))),IF('Respuestas de formulario 1'!O2000&lt;&gt;"""",UPPER(TRIM(TO_TEXT('Respuestas de formulario 1'!O2000))),""""))"),"")</f>
        <v/>
      </c>
      <c r="K1887" s="7" t="str">
        <f>IFERROR(__xludf.DUMMYFUNCTION("IF('Respuestas de formulario 1'!K2000="""","""",TO_TEXT('Respuestas de formulario 1'!K2000))"),"")</f>
        <v/>
      </c>
      <c r="L1887" s="7" t="str">
        <f>IFERROR(__xludf.DUMMYFUNCTION("IF('Respuestas de formulario 1'!L2000="""","""",TO_TEXT('Respuestas de formulario 1'!L2000))"),"")</f>
        <v/>
      </c>
      <c r="M1887" s="7" t="str">
        <f>IFERROR(__xludf.DUMMYFUNCTION("IF('Respuestas de formulario 1'!M2000="""","""",TO_TEXT('Respuestas de formulario 1'!M2000))"),"")</f>
        <v/>
      </c>
      <c r="N1887" s="7" t="str">
        <f t="shared" si="1"/>
        <v/>
      </c>
      <c r="O1887" s="7" t="str">
        <f t="shared" si="2"/>
        <v/>
      </c>
      <c r="P1887" s="7"/>
    </row>
    <row r="1888">
      <c r="A1888" s="7" t="str">
        <f>'Respuestas de formulario 1'!A2001</f>
        <v/>
      </c>
      <c r="B1888" s="7" t="str">
        <f>'Respuestas de formulario 1'!B2001</f>
        <v/>
      </c>
      <c r="C1888" s="7" t="str">
        <f>'Respuestas de formulario 1'!C2001</f>
        <v/>
      </c>
      <c r="D1888" s="7" t="str">
        <f>'Respuestas de formulario 1'!D2001</f>
        <v/>
      </c>
      <c r="E1888" s="7" t="str">
        <f>'Respuestas de formulario 1'!E2001</f>
        <v/>
      </c>
      <c r="F1888" s="7" t="str">
        <f>'Respuestas de formulario 1'!F2001</f>
        <v/>
      </c>
      <c r="G1888" s="7" t="str">
        <f>IFERROR(__xludf.DUMMYFUNCTION("IF('Respuestas de formulario 1'!G2001="""","""",IF(LEFT(REGEXREPLACE(TO_TEXT('Respuestas de formulario 1'!G2001),""[^0-9]"",""""),2)=""54"",""+""&amp;REGEXREPLACE(TO_TEXT('Respuestas de formulario 1'!G2001),""[^0-9]"",""""),""+54""&amp;REGEXREPLACE(TO_TEXT('Respu"&amp;"estas de formulario 1'!G2001),""[^0-9]"","""")))"),"")</f>
        <v/>
      </c>
      <c r="H1888" s="7" t="str">
        <f>'Respuestas de formulario 1'!S2001</f>
        <v/>
      </c>
      <c r="I1888" s="7" t="str">
        <f>IFERROR(__xludf.DUMMYFUNCTION("IF('Respuestas de formulario 1'!I2001="""","""",TO_TEXT('Respuestas de formulario 1'!I2001))"),"")</f>
        <v/>
      </c>
      <c r="J1888" s="7" t="str">
        <f>IFERROR(__xludf.DUMMYFUNCTION("IF('Respuestas de formulario 1'!J2001&lt;&gt;"""",UPPER(TRIM(TO_TEXT('Respuestas de formulario 1'!J2001))),IF('Respuestas de formulario 1'!O2001&lt;&gt;"""",UPPER(TRIM(TO_TEXT('Respuestas de formulario 1'!O2001))),""""))"),"")</f>
        <v/>
      </c>
      <c r="K1888" s="7" t="str">
        <f>IFERROR(__xludf.DUMMYFUNCTION("IF('Respuestas de formulario 1'!K2001="""","""",TO_TEXT('Respuestas de formulario 1'!K2001))"),"")</f>
        <v/>
      </c>
      <c r="L1888" s="7" t="str">
        <f>IFERROR(__xludf.DUMMYFUNCTION("IF('Respuestas de formulario 1'!L2001="""","""",TO_TEXT('Respuestas de formulario 1'!L2001))"),"")</f>
        <v/>
      </c>
      <c r="M1888" s="7" t="str">
        <f>IFERROR(__xludf.DUMMYFUNCTION("IF('Respuestas de formulario 1'!M2001="""","""",TO_TEXT('Respuestas de formulario 1'!M2001))"),"")</f>
        <v/>
      </c>
      <c r="N1888" s="7" t="str">
        <f t="shared" si="1"/>
        <v/>
      </c>
      <c r="O1888" s="7" t="str">
        <f t="shared" si="2"/>
        <v/>
      </c>
      <c r="P1888" s="7"/>
    </row>
    <row r="1889">
      <c r="A1889" s="7" t="str">
        <f>'Respuestas de formulario 1'!A2002</f>
        <v/>
      </c>
      <c r="B1889" s="7" t="str">
        <f>'Respuestas de formulario 1'!B2002</f>
        <v/>
      </c>
      <c r="C1889" s="7" t="str">
        <f>'Respuestas de formulario 1'!C2002</f>
        <v/>
      </c>
      <c r="D1889" s="7" t="str">
        <f>'Respuestas de formulario 1'!D2002</f>
        <v/>
      </c>
      <c r="E1889" s="7" t="str">
        <f>'Respuestas de formulario 1'!E2002</f>
        <v/>
      </c>
      <c r="F1889" s="7" t="str">
        <f>'Respuestas de formulario 1'!F2002</f>
        <v/>
      </c>
      <c r="G1889" s="7" t="str">
        <f>IFERROR(__xludf.DUMMYFUNCTION("IF('Respuestas de formulario 1'!G2002="""","""",IF(LEFT(REGEXREPLACE(TO_TEXT('Respuestas de formulario 1'!G2002),""[^0-9]"",""""),2)=""54"",""+""&amp;REGEXREPLACE(TO_TEXT('Respuestas de formulario 1'!G2002),""[^0-9]"",""""),""+54""&amp;REGEXREPLACE(TO_TEXT('Respu"&amp;"estas de formulario 1'!G2002),""[^0-9]"","""")))"),"")</f>
        <v/>
      </c>
      <c r="H1889" s="7" t="str">
        <f>'Respuestas de formulario 1'!S2002</f>
        <v/>
      </c>
      <c r="I1889" s="7" t="str">
        <f>IFERROR(__xludf.DUMMYFUNCTION("IF('Respuestas de formulario 1'!I2002="""","""",TO_TEXT('Respuestas de formulario 1'!I2002))"),"")</f>
        <v/>
      </c>
      <c r="J1889" s="7" t="str">
        <f>IFERROR(__xludf.DUMMYFUNCTION("IF('Respuestas de formulario 1'!J2002&lt;&gt;"""",UPPER(TRIM(TO_TEXT('Respuestas de formulario 1'!J2002))),IF('Respuestas de formulario 1'!O2002&lt;&gt;"""",UPPER(TRIM(TO_TEXT('Respuestas de formulario 1'!O2002))),""""))"),"")</f>
        <v/>
      </c>
      <c r="K1889" s="7" t="str">
        <f>IFERROR(__xludf.DUMMYFUNCTION("IF('Respuestas de formulario 1'!K2002="""","""",TO_TEXT('Respuestas de formulario 1'!K2002))"),"")</f>
        <v/>
      </c>
      <c r="L1889" s="7" t="str">
        <f>IFERROR(__xludf.DUMMYFUNCTION("IF('Respuestas de formulario 1'!L2002="""","""",TO_TEXT('Respuestas de formulario 1'!L2002))"),"")</f>
        <v/>
      </c>
      <c r="M1889" s="7" t="str">
        <f>IFERROR(__xludf.DUMMYFUNCTION("IF('Respuestas de formulario 1'!M2002="""","""",TO_TEXT('Respuestas de formulario 1'!M2002))"),"")</f>
        <v/>
      </c>
      <c r="N1889" s="7" t="str">
        <f t="shared" si="1"/>
        <v/>
      </c>
      <c r="O1889" s="7" t="str">
        <f t="shared" si="2"/>
        <v/>
      </c>
      <c r="P1889" s="7"/>
    </row>
    <row r="1890">
      <c r="A1890" s="7" t="str">
        <f>'Respuestas de formulario 1'!A2003</f>
        <v/>
      </c>
      <c r="B1890" s="7" t="str">
        <f>'Respuestas de formulario 1'!B2003</f>
        <v/>
      </c>
      <c r="C1890" s="7" t="str">
        <f>'Respuestas de formulario 1'!C2003</f>
        <v/>
      </c>
      <c r="D1890" s="7" t="str">
        <f>'Respuestas de formulario 1'!D2003</f>
        <v/>
      </c>
      <c r="E1890" s="7" t="str">
        <f>'Respuestas de formulario 1'!E2003</f>
        <v/>
      </c>
      <c r="F1890" s="7" t="str">
        <f>'Respuestas de formulario 1'!F2003</f>
        <v/>
      </c>
      <c r="G1890" s="7" t="str">
        <f>IFERROR(__xludf.DUMMYFUNCTION("IF('Respuestas de formulario 1'!G2003="""","""",IF(LEFT(REGEXREPLACE(TO_TEXT('Respuestas de formulario 1'!G2003),""[^0-9]"",""""),2)=""54"",""+""&amp;REGEXREPLACE(TO_TEXT('Respuestas de formulario 1'!G2003),""[^0-9]"",""""),""+54""&amp;REGEXREPLACE(TO_TEXT('Respu"&amp;"estas de formulario 1'!G2003),""[^0-9]"","""")))"),"")</f>
        <v/>
      </c>
      <c r="H1890" s="7" t="str">
        <f>'Respuestas de formulario 1'!S2003</f>
        <v/>
      </c>
      <c r="I1890" s="7" t="str">
        <f>IFERROR(__xludf.DUMMYFUNCTION("IF('Respuestas de formulario 1'!I2003="""","""",TO_TEXT('Respuestas de formulario 1'!I2003))"),"")</f>
        <v/>
      </c>
      <c r="J1890" s="7" t="str">
        <f>IFERROR(__xludf.DUMMYFUNCTION("IF('Respuestas de formulario 1'!J2003&lt;&gt;"""",UPPER(TRIM(TO_TEXT('Respuestas de formulario 1'!J2003))),IF('Respuestas de formulario 1'!O2003&lt;&gt;"""",UPPER(TRIM(TO_TEXT('Respuestas de formulario 1'!O2003))),""""))"),"")</f>
        <v/>
      </c>
      <c r="K1890" s="7" t="str">
        <f>IFERROR(__xludf.DUMMYFUNCTION("IF('Respuestas de formulario 1'!K2003="""","""",TO_TEXT('Respuestas de formulario 1'!K2003))"),"")</f>
        <v/>
      </c>
      <c r="L1890" s="7" t="str">
        <f>IFERROR(__xludf.DUMMYFUNCTION("IF('Respuestas de formulario 1'!L2003="""","""",TO_TEXT('Respuestas de formulario 1'!L2003))"),"")</f>
        <v/>
      </c>
      <c r="M1890" s="7" t="str">
        <f>IFERROR(__xludf.DUMMYFUNCTION("IF('Respuestas de formulario 1'!M2003="""","""",TO_TEXT('Respuestas de formulario 1'!M2003))"),"")</f>
        <v/>
      </c>
      <c r="N1890" s="7" t="str">
        <f t="shared" si="1"/>
        <v/>
      </c>
      <c r="O1890" s="7" t="str">
        <f t="shared" si="2"/>
        <v/>
      </c>
      <c r="P1890" s="7"/>
    </row>
    <row r="1891">
      <c r="A1891" s="7" t="str">
        <f>'Respuestas de formulario 1'!A2004</f>
        <v/>
      </c>
      <c r="B1891" s="7" t="str">
        <f>'Respuestas de formulario 1'!B2004</f>
        <v/>
      </c>
      <c r="C1891" s="7" t="str">
        <f>'Respuestas de formulario 1'!C2004</f>
        <v/>
      </c>
      <c r="D1891" s="7" t="str">
        <f>'Respuestas de formulario 1'!D2004</f>
        <v/>
      </c>
      <c r="E1891" s="7" t="str">
        <f>'Respuestas de formulario 1'!E2004</f>
        <v/>
      </c>
      <c r="F1891" s="7" t="str">
        <f>'Respuestas de formulario 1'!F2004</f>
        <v/>
      </c>
      <c r="G1891" s="7" t="str">
        <f>IFERROR(__xludf.DUMMYFUNCTION("IF('Respuestas de formulario 1'!G2004="""","""",IF(LEFT(REGEXREPLACE(TO_TEXT('Respuestas de formulario 1'!G2004),""[^0-9]"",""""),2)=""54"",""+""&amp;REGEXREPLACE(TO_TEXT('Respuestas de formulario 1'!G2004),""[^0-9]"",""""),""+54""&amp;REGEXREPLACE(TO_TEXT('Respu"&amp;"estas de formulario 1'!G2004),""[^0-9]"","""")))"),"")</f>
        <v/>
      </c>
      <c r="H1891" s="7" t="str">
        <f>'Respuestas de formulario 1'!S2004</f>
        <v/>
      </c>
      <c r="I1891" s="7" t="str">
        <f>IFERROR(__xludf.DUMMYFUNCTION("IF('Respuestas de formulario 1'!I2004="""","""",TO_TEXT('Respuestas de formulario 1'!I2004))"),"")</f>
        <v/>
      </c>
      <c r="J1891" s="7" t="str">
        <f>IFERROR(__xludf.DUMMYFUNCTION("IF('Respuestas de formulario 1'!J2004&lt;&gt;"""",UPPER(TRIM(TO_TEXT('Respuestas de formulario 1'!J2004))),IF('Respuestas de formulario 1'!O2004&lt;&gt;"""",UPPER(TRIM(TO_TEXT('Respuestas de formulario 1'!O2004))),""""))"),"")</f>
        <v/>
      </c>
      <c r="K1891" s="7" t="str">
        <f>IFERROR(__xludf.DUMMYFUNCTION("IF('Respuestas de formulario 1'!K2004="""","""",TO_TEXT('Respuestas de formulario 1'!K2004))"),"")</f>
        <v/>
      </c>
      <c r="L1891" s="7" t="str">
        <f>IFERROR(__xludf.DUMMYFUNCTION("IF('Respuestas de formulario 1'!L2004="""","""",TO_TEXT('Respuestas de formulario 1'!L2004))"),"")</f>
        <v/>
      </c>
      <c r="M1891" s="7" t="str">
        <f>IFERROR(__xludf.DUMMYFUNCTION("IF('Respuestas de formulario 1'!M2004="""","""",TO_TEXT('Respuestas de formulario 1'!M2004))"),"")</f>
        <v/>
      </c>
      <c r="N1891" s="7" t="str">
        <f t="shared" si="1"/>
        <v/>
      </c>
      <c r="O1891" s="7" t="str">
        <f t="shared" si="2"/>
        <v/>
      </c>
      <c r="P1891" s="7"/>
    </row>
    <row r="1892">
      <c r="A1892" s="7" t="str">
        <f>'Respuestas de formulario 1'!A2005</f>
        <v/>
      </c>
      <c r="B1892" s="7" t="str">
        <f>'Respuestas de formulario 1'!B2005</f>
        <v/>
      </c>
      <c r="C1892" s="7" t="str">
        <f>'Respuestas de formulario 1'!C2005</f>
        <v/>
      </c>
      <c r="D1892" s="7" t="str">
        <f>'Respuestas de formulario 1'!D2005</f>
        <v/>
      </c>
      <c r="E1892" s="7" t="str">
        <f>'Respuestas de formulario 1'!E2005</f>
        <v/>
      </c>
      <c r="F1892" s="7" t="str">
        <f>'Respuestas de formulario 1'!F2005</f>
        <v/>
      </c>
      <c r="G1892" s="7" t="str">
        <f>IFERROR(__xludf.DUMMYFUNCTION("IF('Respuestas de formulario 1'!G2005="""","""",IF(LEFT(REGEXREPLACE(TO_TEXT('Respuestas de formulario 1'!G2005),""[^0-9]"",""""),2)=""54"",""+""&amp;REGEXREPLACE(TO_TEXT('Respuestas de formulario 1'!G2005),""[^0-9]"",""""),""+54""&amp;REGEXREPLACE(TO_TEXT('Respu"&amp;"estas de formulario 1'!G2005),""[^0-9]"","""")))"),"")</f>
        <v/>
      </c>
      <c r="H1892" s="7" t="str">
        <f>'Respuestas de formulario 1'!S2005</f>
        <v/>
      </c>
      <c r="I1892" s="7" t="str">
        <f>IFERROR(__xludf.DUMMYFUNCTION("IF('Respuestas de formulario 1'!I2005="""","""",TO_TEXT('Respuestas de formulario 1'!I2005))"),"")</f>
        <v/>
      </c>
      <c r="J1892" s="7" t="str">
        <f>IFERROR(__xludf.DUMMYFUNCTION("IF('Respuestas de formulario 1'!J2005&lt;&gt;"""",UPPER(TRIM(TO_TEXT('Respuestas de formulario 1'!J2005))),IF('Respuestas de formulario 1'!O2005&lt;&gt;"""",UPPER(TRIM(TO_TEXT('Respuestas de formulario 1'!O2005))),""""))"),"")</f>
        <v/>
      </c>
      <c r="K1892" s="7" t="str">
        <f>IFERROR(__xludf.DUMMYFUNCTION("IF('Respuestas de formulario 1'!K2005="""","""",TO_TEXT('Respuestas de formulario 1'!K2005))"),"")</f>
        <v/>
      </c>
      <c r="L1892" s="7" t="str">
        <f>IFERROR(__xludf.DUMMYFUNCTION("IF('Respuestas de formulario 1'!L2005="""","""",TO_TEXT('Respuestas de formulario 1'!L2005))"),"")</f>
        <v/>
      </c>
      <c r="M1892" s="7" t="str">
        <f>IFERROR(__xludf.DUMMYFUNCTION("IF('Respuestas de formulario 1'!M2005="""","""",TO_TEXT('Respuestas de formulario 1'!M2005))"),"")</f>
        <v/>
      </c>
      <c r="N1892" s="7" t="str">
        <f t="shared" si="1"/>
        <v/>
      </c>
      <c r="O1892" s="7" t="str">
        <f t="shared" si="2"/>
        <v/>
      </c>
      <c r="P1892" s="7"/>
    </row>
    <row r="1893">
      <c r="A1893" s="7" t="str">
        <f>'Respuestas de formulario 1'!A2006</f>
        <v/>
      </c>
      <c r="B1893" s="7" t="str">
        <f>'Respuestas de formulario 1'!B2006</f>
        <v/>
      </c>
      <c r="C1893" s="7" t="str">
        <f>'Respuestas de formulario 1'!C2006</f>
        <v/>
      </c>
      <c r="D1893" s="7" t="str">
        <f>'Respuestas de formulario 1'!D2006</f>
        <v/>
      </c>
      <c r="E1893" s="7" t="str">
        <f>'Respuestas de formulario 1'!E2006</f>
        <v/>
      </c>
      <c r="F1893" s="7" t="str">
        <f>'Respuestas de formulario 1'!F2006</f>
        <v/>
      </c>
      <c r="G1893" s="7" t="str">
        <f>IFERROR(__xludf.DUMMYFUNCTION("IF('Respuestas de formulario 1'!G2006="""","""",IF(LEFT(REGEXREPLACE(TO_TEXT('Respuestas de formulario 1'!G2006),""[^0-9]"",""""),2)=""54"",""+""&amp;REGEXREPLACE(TO_TEXT('Respuestas de formulario 1'!G2006),""[^0-9]"",""""),""+54""&amp;REGEXREPLACE(TO_TEXT('Respu"&amp;"estas de formulario 1'!G2006),""[^0-9]"","""")))"),"")</f>
        <v/>
      </c>
      <c r="H1893" s="7" t="str">
        <f>'Respuestas de formulario 1'!S2006</f>
        <v/>
      </c>
      <c r="I1893" s="7" t="str">
        <f>IFERROR(__xludf.DUMMYFUNCTION("IF('Respuestas de formulario 1'!I2006="""","""",TO_TEXT('Respuestas de formulario 1'!I2006))"),"")</f>
        <v/>
      </c>
      <c r="J1893" s="7" t="str">
        <f>IFERROR(__xludf.DUMMYFUNCTION("IF('Respuestas de formulario 1'!J2006&lt;&gt;"""",UPPER(TRIM(TO_TEXT('Respuestas de formulario 1'!J2006))),IF('Respuestas de formulario 1'!O2006&lt;&gt;"""",UPPER(TRIM(TO_TEXT('Respuestas de formulario 1'!O2006))),""""))"),"")</f>
        <v/>
      </c>
      <c r="K1893" s="7" t="str">
        <f>IFERROR(__xludf.DUMMYFUNCTION("IF('Respuestas de formulario 1'!K2006="""","""",TO_TEXT('Respuestas de formulario 1'!K2006))"),"")</f>
        <v/>
      </c>
      <c r="L1893" s="7" t="str">
        <f>IFERROR(__xludf.DUMMYFUNCTION("IF('Respuestas de formulario 1'!L2006="""","""",TO_TEXT('Respuestas de formulario 1'!L2006))"),"")</f>
        <v/>
      </c>
      <c r="M1893" s="7" t="str">
        <f>IFERROR(__xludf.DUMMYFUNCTION("IF('Respuestas de formulario 1'!M2006="""","""",TO_TEXT('Respuestas de formulario 1'!M2006))"),"")</f>
        <v/>
      </c>
      <c r="N1893" s="7" t="str">
        <f t="shared" si="1"/>
        <v/>
      </c>
      <c r="O1893" s="7" t="str">
        <f t="shared" si="2"/>
        <v/>
      </c>
      <c r="P1893" s="7"/>
    </row>
    <row r="1894">
      <c r="A1894" s="7" t="str">
        <f>'Respuestas de formulario 1'!A2007</f>
        <v/>
      </c>
      <c r="B1894" s="7" t="str">
        <f>'Respuestas de formulario 1'!B2007</f>
        <v/>
      </c>
      <c r="C1894" s="7" t="str">
        <f>'Respuestas de formulario 1'!C2007</f>
        <v/>
      </c>
      <c r="D1894" s="7" t="str">
        <f>'Respuestas de formulario 1'!D2007</f>
        <v/>
      </c>
      <c r="E1894" s="7" t="str">
        <f>'Respuestas de formulario 1'!E2007</f>
        <v/>
      </c>
      <c r="F1894" s="7" t="str">
        <f>'Respuestas de formulario 1'!F2007</f>
        <v/>
      </c>
      <c r="G1894" s="7" t="str">
        <f>IFERROR(__xludf.DUMMYFUNCTION("IF('Respuestas de formulario 1'!G2007="""","""",IF(LEFT(REGEXREPLACE(TO_TEXT('Respuestas de formulario 1'!G2007),""[^0-9]"",""""),2)=""54"",""+""&amp;REGEXREPLACE(TO_TEXT('Respuestas de formulario 1'!G2007),""[^0-9]"",""""),""+54""&amp;REGEXREPLACE(TO_TEXT('Respu"&amp;"estas de formulario 1'!G2007),""[^0-9]"","""")))"),"")</f>
        <v/>
      </c>
      <c r="H1894" s="7" t="str">
        <f>'Respuestas de formulario 1'!S2007</f>
        <v/>
      </c>
      <c r="I1894" s="7" t="str">
        <f>IFERROR(__xludf.DUMMYFUNCTION("IF('Respuestas de formulario 1'!I2007="""","""",TO_TEXT('Respuestas de formulario 1'!I2007))"),"")</f>
        <v/>
      </c>
      <c r="J1894" s="7" t="str">
        <f>IFERROR(__xludf.DUMMYFUNCTION("IF('Respuestas de formulario 1'!J2007&lt;&gt;"""",UPPER(TRIM(TO_TEXT('Respuestas de formulario 1'!J2007))),IF('Respuestas de formulario 1'!O2007&lt;&gt;"""",UPPER(TRIM(TO_TEXT('Respuestas de formulario 1'!O2007))),""""))"),"")</f>
        <v/>
      </c>
      <c r="K1894" s="7" t="str">
        <f>IFERROR(__xludf.DUMMYFUNCTION("IF('Respuestas de formulario 1'!K2007="""","""",TO_TEXT('Respuestas de formulario 1'!K2007))"),"")</f>
        <v/>
      </c>
      <c r="L1894" s="7" t="str">
        <f>IFERROR(__xludf.DUMMYFUNCTION("IF('Respuestas de formulario 1'!L2007="""","""",TO_TEXT('Respuestas de formulario 1'!L2007))"),"")</f>
        <v/>
      </c>
      <c r="M1894" s="7" t="str">
        <f>IFERROR(__xludf.DUMMYFUNCTION("IF('Respuestas de formulario 1'!M2007="""","""",TO_TEXT('Respuestas de formulario 1'!M2007))"),"")</f>
        <v/>
      </c>
      <c r="N1894" s="7" t="str">
        <f t="shared" si="1"/>
        <v/>
      </c>
      <c r="O1894" s="7" t="str">
        <f t="shared" si="2"/>
        <v/>
      </c>
      <c r="P1894" s="7"/>
    </row>
    <row r="1895">
      <c r="A1895" s="7" t="str">
        <f>'Respuestas de formulario 1'!A2008</f>
        <v/>
      </c>
      <c r="B1895" s="7" t="str">
        <f>'Respuestas de formulario 1'!B2008</f>
        <v/>
      </c>
      <c r="C1895" s="7" t="str">
        <f>'Respuestas de formulario 1'!C2008</f>
        <v/>
      </c>
      <c r="D1895" s="7" t="str">
        <f>'Respuestas de formulario 1'!D2008</f>
        <v/>
      </c>
      <c r="E1895" s="7" t="str">
        <f>'Respuestas de formulario 1'!E2008</f>
        <v/>
      </c>
      <c r="F1895" s="7" t="str">
        <f>'Respuestas de formulario 1'!F2008</f>
        <v/>
      </c>
      <c r="G1895" s="7" t="str">
        <f>IFERROR(__xludf.DUMMYFUNCTION("IF('Respuestas de formulario 1'!G2008="""","""",IF(LEFT(REGEXREPLACE(TO_TEXT('Respuestas de formulario 1'!G2008),""[^0-9]"",""""),2)=""54"",""+""&amp;REGEXREPLACE(TO_TEXT('Respuestas de formulario 1'!G2008),""[^0-9]"",""""),""+54""&amp;REGEXREPLACE(TO_TEXT('Respu"&amp;"estas de formulario 1'!G2008),""[^0-9]"","""")))"),"")</f>
        <v/>
      </c>
      <c r="H1895" s="7" t="str">
        <f>'Respuestas de formulario 1'!S2008</f>
        <v/>
      </c>
      <c r="I1895" s="7" t="str">
        <f>IFERROR(__xludf.DUMMYFUNCTION("IF('Respuestas de formulario 1'!I2008="""","""",TO_TEXT('Respuestas de formulario 1'!I2008))"),"")</f>
        <v/>
      </c>
      <c r="J1895" s="7" t="str">
        <f>IFERROR(__xludf.DUMMYFUNCTION("IF('Respuestas de formulario 1'!J2008&lt;&gt;"""",UPPER(TRIM(TO_TEXT('Respuestas de formulario 1'!J2008))),IF('Respuestas de formulario 1'!O2008&lt;&gt;"""",UPPER(TRIM(TO_TEXT('Respuestas de formulario 1'!O2008))),""""))"),"")</f>
        <v/>
      </c>
      <c r="K1895" s="7" t="str">
        <f>IFERROR(__xludf.DUMMYFUNCTION("IF('Respuestas de formulario 1'!K2008="""","""",TO_TEXT('Respuestas de formulario 1'!K2008))"),"")</f>
        <v/>
      </c>
      <c r="L1895" s="7" t="str">
        <f>IFERROR(__xludf.DUMMYFUNCTION("IF('Respuestas de formulario 1'!L2008="""","""",TO_TEXT('Respuestas de formulario 1'!L2008))"),"")</f>
        <v/>
      </c>
      <c r="M1895" s="7" t="str">
        <f>IFERROR(__xludf.DUMMYFUNCTION("IF('Respuestas de formulario 1'!M2008="""","""",TO_TEXT('Respuestas de formulario 1'!M2008))"),"")</f>
        <v/>
      </c>
      <c r="N1895" s="7" t="str">
        <f t="shared" si="1"/>
        <v/>
      </c>
      <c r="O1895" s="7" t="str">
        <f t="shared" si="2"/>
        <v/>
      </c>
      <c r="P1895" s="7"/>
    </row>
    <row r="1896">
      <c r="A1896" s="7" t="str">
        <f>'Respuestas de formulario 1'!A2009</f>
        <v/>
      </c>
      <c r="B1896" s="7" t="str">
        <f>'Respuestas de formulario 1'!B2009</f>
        <v/>
      </c>
      <c r="C1896" s="7" t="str">
        <f>'Respuestas de formulario 1'!C2009</f>
        <v/>
      </c>
      <c r="D1896" s="7" t="str">
        <f>'Respuestas de formulario 1'!D2009</f>
        <v/>
      </c>
      <c r="E1896" s="7" t="str">
        <f>'Respuestas de formulario 1'!E2009</f>
        <v/>
      </c>
      <c r="F1896" s="7" t="str">
        <f>'Respuestas de formulario 1'!F2009</f>
        <v/>
      </c>
      <c r="G1896" s="7" t="str">
        <f>IFERROR(__xludf.DUMMYFUNCTION("IF('Respuestas de formulario 1'!G2009="""","""",IF(LEFT(REGEXREPLACE(TO_TEXT('Respuestas de formulario 1'!G2009),""[^0-9]"",""""),2)=""54"",""+""&amp;REGEXREPLACE(TO_TEXT('Respuestas de formulario 1'!G2009),""[^0-9]"",""""),""+54""&amp;REGEXREPLACE(TO_TEXT('Respu"&amp;"estas de formulario 1'!G2009),""[^0-9]"","""")))"),"")</f>
        <v/>
      </c>
      <c r="H1896" s="7" t="str">
        <f>'Respuestas de formulario 1'!S2009</f>
        <v/>
      </c>
      <c r="I1896" s="7" t="str">
        <f>IFERROR(__xludf.DUMMYFUNCTION("IF('Respuestas de formulario 1'!I2009="""","""",TO_TEXT('Respuestas de formulario 1'!I2009))"),"")</f>
        <v/>
      </c>
      <c r="J1896" s="7" t="str">
        <f>IFERROR(__xludf.DUMMYFUNCTION("IF('Respuestas de formulario 1'!J2009&lt;&gt;"""",UPPER(TRIM(TO_TEXT('Respuestas de formulario 1'!J2009))),IF('Respuestas de formulario 1'!O2009&lt;&gt;"""",UPPER(TRIM(TO_TEXT('Respuestas de formulario 1'!O2009))),""""))"),"")</f>
        <v/>
      </c>
      <c r="K1896" s="7" t="str">
        <f>IFERROR(__xludf.DUMMYFUNCTION("IF('Respuestas de formulario 1'!K2009="""","""",TO_TEXT('Respuestas de formulario 1'!K2009))"),"")</f>
        <v/>
      </c>
      <c r="L1896" s="7" t="str">
        <f>IFERROR(__xludf.DUMMYFUNCTION("IF('Respuestas de formulario 1'!L2009="""","""",TO_TEXT('Respuestas de formulario 1'!L2009))"),"")</f>
        <v/>
      </c>
      <c r="M1896" s="7" t="str">
        <f>IFERROR(__xludf.DUMMYFUNCTION("IF('Respuestas de formulario 1'!M2009="""","""",TO_TEXT('Respuestas de formulario 1'!M2009))"),"")</f>
        <v/>
      </c>
      <c r="N1896" s="7" t="str">
        <f t="shared" si="1"/>
        <v/>
      </c>
      <c r="O1896" s="7" t="str">
        <f t="shared" si="2"/>
        <v/>
      </c>
      <c r="P1896" s="7"/>
    </row>
    <row r="1897">
      <c r="A1897" s="7" t="str">
        <f>'Respuestas de formulario 1'!A2010</f>
        <v/>
      </c>
      <c r="B1897" s="7" t="str">
        <f>'Respuestas de formulario 1'!B2010</f>
        <v/>
      </c>
      <c r="C1897" s="7" t="str">
        <f>'Respuestas de formulario 1'!C2010</f>
        <v/>
      </c>
      <c r="D1897" s="7" t="str">
        <f>'Respuestas de formulario 1'!D2010</f>
        <v/>
      </c>
      <c r="E1897" s="7" t="str">
        <f>'Respuestas de formulario 1'!E2010</f>
        <v/>
      </c>
      <c r="F1897" s="7" t="str">
        <f>'Respuestas de formulario 1'!F2010</f>
        <v/>
      </c>
      <c r="G1897" s="7" t="str">
        <f>IFERROR(__xludf.DUMMYFUNCTION("IF('Respuestas de formulario 1'!G2010="""","""",IF(LEFT(REGEXREPLACE(TO_TEXT('Respuestas de formulario 1'!G2010),""[^0-9]"",""""),2)=""54"",""+""&amp;REGEXREPLACE(TO_TEXT('Respuestas de formulario 1'!G2010),""[^0-9]"",""""),""+54""&amp;REGEXREPLACE(TO_TEXT('Respu"&amp;"estas de formulario 1'!G2010),""[^0-9]"","""")))"),"")</f>
        <v/>
      </c>
      <c r="H1897" s="7" t="str">
        <f>'Respuestas de formulario 1'!S2010</f>
        <v/>
      </c>
      <c r="I1897" s="7" t="str">
        <f>IFERROR(__xludf.DUMMYFUNCTION("IF('Respuestas de formulario 1'!I2010="""","""",TO_TEXT('Respuestas de formulario 1'!I2010))"),"")</f>
        <v/>
      </c>
      <c r="J1897" s="7" t="str">
        <f>IFERROR(__xludf.DUMMYFUNCTION("IF('Respuestas de formulario 1'!J2010&lt;&gt;"""",UPPER(TRIM(TO_TEXT('Respuestas de formulario 1'!J2010))),IF('Respuestas de formulario 1'!O2010&lt;&gt;"""",UPPER(TRIM(TO_TEXT('Respuestas de formulario 1'!O2010))),""""))"),"")</f>
        <v/>
      </c>
      <c r="K1897" s="7" t="str">
        <f>IFERROR(__xludf.DUMMYFUNCTION("IF('Respuestas de formulario 1'!K2010="""","""",TO_TEXT('Respuestas de formulario 1'!K2010))"),"")</f>
        <v/>
      </c>
      <c r="L1897" s="7" t="str">
        <f>IFERROR(__xludf.DUMMYFUNCTION("IF('Respuestas de formulario 1'!L2010="""","""",TO_TEXT('Respuestas de formulario 1'!L2010))"),"")</f>
        <v/>
      </c>
      <c r="M1897" s="7" t="str">
        <f>IFERROR(__xludf.DUMMYFUNCTION("IF('Respuestas de formulario 1'!M2010="""","""",TO_TEXT('Respuestas de formulario 1'!M2010))"),"")</f>
        <v/>
      </c>
      <c r="N1897" s="7" t="str">
        <f t="shared" si="1"/>
        <v/>
      </c>
      <c r="O1897" s="7" t="str">
        <f t="shared" si="2"/>
        <v/>
      </c>
      <c r="P1897" s="7"/>
    </row>
    <row r="1898">
      <c r="A1898" s="7" t="str">
        <f>'Respuestas de formulario 1'!A2011</f>
        <v/>
      </c>
      <c r="B1898" s="7" t="str">
        <f>'Respuestas de formulario 1'!B2011</f>
        <v/>
      </c>
      <c r="C1898" s="7" t="str">
        <f>'Respuestas de formulario 1'!C2011</f>
        <v/>
      </c>
      <c r="D1898" s="7" t="str">
        <f>'Respuestas de formulario 1'!D2011</f>
        <v/>
      </c>
      <c r="E1898" s="7" t="str">
        <f>'Respuestas de formulario 1'!E2011</f>
        <v/>
      </c>
      <c r="F1898" s="7" t="str">
        <f>'Respuestas de formulario 1'!F2011</f>
        <v/>
      </c>
      <c r="G1898" s="7" t="str">
        <f>IFERROR(__xludf.DUMMYFUNCTION("IF('Respuestas de formulario 1'!G2011="""","""",IF(LEFT(REGEXREPLACE(TO_TEXT('Respuestas de formulario 1'!G2011),""[^0-9]"",""""),2)=""54"",""+""&amp;REGEXREPLACE(TO_TEXT('Respuestas de formulario 1'!G2011),""[^0-9]"",""""),""+54""&amp;REGEXREPLACE(TO_TEXT('Respu"&amp;"estas de formulario 1'!G2011),""[^0-9]"","""")))"),"")</f>
        <v/>
      </c>
      <c r="H1898" s="7" t="str">
        <f>'Respuestas de formulario 1'!S2011</f>
        <v/>
      </c>
      <c r="I1898" s="7" t="str">
        <f>IFERROR(__xludf.DUMMYFUNCTION("IF('Respuestas de formulario 1'!I2011="""","""",TO_TEXT('Respuestas de formulario 1'!I2011))"),"")</f>
        <v/>
      </c>
      <c r="J1898" s="7" t="str">
        <f>IFERROR(__xludf.DUMMYFUNCTION("IF('Respuestas de formulario 1'!J2011&lt;&gt;"""",UPPER(TRIM(TO_TEXT('Respuestas de formulario 1'!J2011))),IF('Respuestas de formulario 1'!O2011&lt;&gt;"""",UPPER(TRIM(TO_TEXT('Respuestas de formulario 1'!O2011))),""""))"),"")</f>
        <v/>
      </c>
      <c r="K1898" s="7" t="str">
        <f>IFERROR(__xludf.DUMMYFUNCTION("IF('Respuestas de formulario 1'!K2011="""","""",TO_TEXT('Respuestas de formulario 1'!K2011))"),"")</f>
        <v/>
      </c>
      <c r="L1898" s="7" t="str">
        <f>IFERROR(__xludf.DUMMYFUNCTION("IF('Respuestas de formulario 1'!L2011="""","""",TO_TEXT('Respuestas de formulario 1'!L2011))"),"")</f>
        <v/>
      </c>
      <c r="M1898" s="7" t="str">
        <f>IFERROR(__xludf.DUMMYFUNCTION("IF('Respuestas de formulario 1'!M2011="""","""",TO_TEXT('Respuestas de formulario 1'!M2011))"),"")</f>
        <v/>
      </c>
      <c r="N1898" s="7" t="str">
        <f t="shared" si="1"/>
        <v/>
      </c>
      <c r="O1898" s="7" t="str">
        <f t="shared" si="2"/>
        <v/>
      </c>
      <c r="P1898" s="7"/>
    </row>
    <row r="1899">
      <c r="A1899" s="7" t="str">
        <f>'Respuestas de formulario 1'!A2012</f>
        <v/>
      </c>
      <c r="B1899" s="7" t="str">
        <f>'Respuestas de formulario 1'!B2012</f>
        <v/>
      </c>
      <c r="C1899" s="7" t="str">
        <f>'Respuestas de formulario 1'!C2012</f>
        <v/>
      </c>
      <c r="D1899" s="7" t="str">
        <f>'Respuestas de formulario 1'!D2012</f>
        <v/>
      </c>
      <c r="E1899" s="7" t="str">
        <f>'Respuestas de formulario 1'!E2012</f>
        <v/>
      </c>
      <c r="F1899" s="7" t="str">
        <f>'Respuestas de formulario 1'!F2012</f>
        <v/>
      </c>
      <c r="G1899" s="7" t="str">
        <f>IFERROR(__xludf.DUMMYFUNCTION("IF('Respuestas de formulario 1'!G2012="""","""",IF(LEFT(REGEXREPLACE(TO_TEXT('Respuestas de formulario 1'!G2012),""[^0-9]"",""""),2)=""54"",""+""&amp;REGEXREPLACE(TO_TEXT('Respuestas de formulario 1'!G2012),""[^0-9]"",""""),""+54""&amp;REGEXREPLACE(TO_TEXT('Respu"&amp;"estas de formulario 1'!G2012),""[^0-9]"","""")))"),"")</f>
        <v/>
      </c>
      <c r="H1899" s="7" t="str">
        <f>'Respuestas de formulario 1'!S2012</f>
        <v/>
      </c>
      <c r="I1899" s="7" t="str">
        <f>IFERROR(__xludf.DUMMYFUNCTION("IF('Respuestas de formulario 1'!I2012="""","""",TO_TEXT('Respuestas de formulario 1'!I2012))"),"")</f>
        <v/>
      </c>
      <c r="J1899" s="7" t="str">
        <f>IFERROR(__xludf.DUMMYFUNCTION("IF('Respuestas de formulario 1'!J2012&lt;&gt;"""",UPPER(TRIM(TO_TEXT('Respuestas de formulario 1'!J2012))),IF('Respuestas de formulario 1'!O2012&lt;&gt;"""",UPPER(TRIM(TO_TEXT('Respuestas de formulario 1'!O2012))),""""))"),"")</f>
        <v/>
      </c>
      <c r="K1899" s="7" t="str">
        <f>IFERROR(__xludf.DUMMYFUNCTION("IF('Respuestas de formulario 1'!K2012="""","""",TO_TEXT('Respuestas de formulario 1'!K2012))"),"")</f>
        <v/>
      </c>
      <c r="L1899" s="7" t="str">
        <f>IFERROR(__xludf.DUMMYFUNCTION("IF('Respuestas de formulario 1'!L2012="""","""",TO_TEXT('Respuestas de formulario 1'!L2012))"),"")</f>
        <v/>
      </c>
      <c r="M1899" s="7" t="str">
        <f>IFERROR(__xludf.DUMMYFUNCTION("IF('Respuestas de formulario 1'!M2012="""","""",TO_TEXT('Respuestas de formulario 1'!M2012))"),"")</f>
        <v/>
      </c>
      <c r="N1899" s="7" t="str">
        <f t="shared" si="1"/>
        <v/>
      </c>
      <c r="O1899" s="7" t="str">
        <f t="shared" si="2"/>
        <v/>
      </c>
      <c r="P1899" s="7"/>
    </row>
    <row r="1900">
      <c r="A1900" s="7" t="str">
        <f>'Respuestas de formulario 1'!A2013</f>
        <v/>
      </c>
      <c r="B1900" s="7" t="str">
        <f>'Respuestas de formulario 1'!B2013</f>
        <v/>
      </c>
      <c r="C1900" s="7" t="str">
        <f>'Respuestas de formulario 1'!C2013</f>
        <v/>
      </c>
      <c r="D1900" s="7" t="str">
        <f>'Respuestas de formulario 1'!D2013</f>
        <v/>
      </c>
      <c r="E1900" s="7" t="str">
        <f>'Respuestas de formulario 1'!E2013</f>
        <v/>
      </c>
      <c r="F1900" s="7" t="str">
        <f>'Respuestas de formulario 1'!F2013</f>
        <v/>
      </c>
      <c r="G1900" s="7" t="str">
        <f>IFERROR(__xludf.DUMMYFUNCTION("IF('Respuestas de formulario 1'!G2013="""","""",IF(LEFT(REGEXREPLACE(TO_TEXT('Respuestas de formulario 1'!G2013),""[^0-9]"",""""),2)=""54"",""+""&amp;REGEXREPLACE(TO_TEXT('Respuestas de formulario 1'!G2013),""[^0-9]"",""""),""+54""&amp;REGEXREPLACE(TO_TEXT('Respu"&amp;"estas de formulario 1'!G2013),""[^0-9]"","""")))"),"")</f>
        <v/>
      </c>
      <c r="H1900" s="7" t="str">
        <f>'Respuestas de formulario 1'!S2013</f>
        <v/>
      </c>
      <c r="I1900" s="7" t="str">
        <f>IFERROR(__xludf.DUMMYFUNCTION("IF('Respuestas de formulario 1'!I2013="""","""",TO_TEXT('Respuestas de formulario 1'!I2013))"),"")</f>
        <v/>
      </c>
      <c r="J1900" s="7" t="str">
        <f>IFERROR(__xludf.DUMMYFUNCTION("IF('Respuestas de formulario 1'!J2013&lt;&gt;"""",UPPER(TRIM(TO_TEXT('Respuestas de formulario 1'!J2013))),IF('Respuestas de formulario 1'!O2013&lt;&gt;"""",UPPER(TRIM(TO_TEXT('Respuestas de formulario 1'!O2013))),""""))"),"")</f>
        <v/>
      </c>
      <c r="K1900" s="7" t="str">
        <f>IFERROR(__xludf.DUMMYFUNCTION("IF('Respuestas de formulario 1'!K2013="""","""",TO_TEXT('Respuestas de formulario 1'!K2013))"),"")</f>
        <v/>
      </c>
      <c r="L1900" s="7" t="str">
        <f>IFERROR(__xludf.DUMMYFUNCTION("IF('Respuestas de formulario 1'!L2013="""","""",TO_TEXT('Respuestas de formulario 1'!L2013))"),"")</f>
        <v/>
      </c>
      <c r="M1900" s="7" t="str">
        <f>IFERROR(__xludf.DUMMYFUNCTION("IF('Respuestas de formulario 1'!M2013="""","""",TO_TEXT('Respuestas de formulario 1'!M2013))"),"")</f>
        <v/>
      </c>
      <c r="N1900" s="7" t="str">
        <f t="shared" si="1"/>
        <v/>
      </c>
      <c r="O1900" s="7" t="str">
        <f t="shared" si="2"/>
        <v/>
      </c>
      <c r="P1900" s="7"/>
    </row>
    <row r="1901">
      <c r="A1901" s="7" t="str">
        <f>'Respuestas de formulario 1'!A2014</f>
        <v/>
      </c>
      <c r="B1901" s="7" t="str">
        <f>'Respuestas de formulario 1'!B2014</f>
        <v/>
      </c>
      <c r="C1901" s="7" t="str">
        <f>'Respuestas de formulario 1'!C2014</f>
        <v/>
      </c>
      <c r="D1901" s="7" t="str">
        <f>'Respuestas de formulario 1'!D2014</f>
        <v/>
      </c>
      <c r="E1901" s="7" t="str">
        <f>'Respuestas de formulario 1'!E2014</f>
        <v/>
      </c>
      <c r="F1901" s="7" t="str">
        <f>'Respuestas de formulario 1'!F2014</f>
        <v/>
      </c>
      <c r="G1901" s="7" t="str">
        <f>IFERROR(__xludf.DUMMYFUNCTION("IF('Respuestas de formulario 1'!G2014="""","""",IF(LEFT(REGEXREPLACE(TO_TEXT('Respuestas de formulario 1'!G2014),""[^0-9]"",""""),2)=""54"",""+""&amp;REGEXREPLACE(TO_TEXT('Respuestas de formulario 1'!G2014),""[^0-9]"",""""),""+54""&amp;REGEXREPLACE(TO_TEXT('Respu"&amp;"estas de formulario 1'!G2014),""[^0-9]"","""")))"),"")</f>
        <v/>
      </c>
      <c r="H1901" s="7" t="str">
        <f>'Respuestas de formulario 1'!S2014</f>
        <v/>
      </c>
      <c r="I1901" s="7" t="str">
        <f>IFERROR(__xludf.DUMMYFUNCTION("IF('Respuestas de formulario 1'!I2014="""","""",TO_TEXT('Respuestas de formulario 1'!I2014))"),"")</f>
        <v/>
      </c>
      <c r="J1901" s="7" t="str">
        <f>IFERROR(__xludf.DUMMYFUNCTION("IF('Respuestas de formulario 1'!J2014&lt;&gt;"""",UPPER(TRIM(TO_TEXT('Respuestas de formulario 1'!J2014))),IF('Respuestas de formulario 1'!O2014&lt;&gt;"""",UPPER(TRIM(TO_TEXT('Respuestas de formulario 1'!O2014))),""""))"),"")</f>
        <v/>
      </c>
      <c r="K1901" s="7" t="str">
        <f>IFERROR(__xludf.DUMMYFUNCTION("IF('Respuestas de formulario 1'!K2014="""","""",TO_TEXT('Respuestas de formulario 1'!K2014))"),"")</f>
        <v/>
      </c>
      <c r="L1901" s="7" t="str">
        <f>IFERROR(__xludf.DUMMYFUNCTION("IF('Respuestas de formulario 1'!L2014="""","""",TO_TEXT('Respuestas de formulario 1'!L2014))"),"")</f>
        <v/>
      </c>
      <c r="M1901" s="7" t="str">
        <f>IFERROR(__xludf.DUMMYFUNCTION("IF('Respuestas de formulario 1'!M2014="""","""",TO_TEXT('Respuestas de formulario 1'!M2014))"),"")</f>
        <v/>
      </c>
      <c r="N1901" s="7" t="str">
        <f t="shared" si="1"/>
        <v/>
      </c>
      <c r="O1901" s="7" t="str">
        <f t="shared" si="2"/>
        <v/>
      </c>
      <c r="P1901" s="7"/>
    </row>
    <row r="1902">
      <c r="A1902" s="7" t="str">
        <f>'Respuestas de formulario 1'!A2015</f>
        <v/>
      </c>
      <c r="B1902" s="7" t="str">
        <f>'Respuestas de formulario 1'!B2015</f>
        <v/>
      </c>
      <c r="C1902" s="7" t="str">
        <f>'Respuestas de formulario 1'!C2015</f>
        <v/>
      </c>
      <c r="D1902" s="7" t="str">
        <f>'Respuestas de formulario 1'!D2015</f>
        <v/>
      </c>
      <c r="E1902" s="7" t="str">
        <f>'Respuestas de formulario 1'!E2015</f>
        <v/>
      </c>
      <c r="F1902" s="7" t="str">
        <f>'Respuestas de formulario 1'!F2015</f>
        <v/>
      </c>
      <c r="G1902" s="7" t="str">
        <f>IFERROR(__xludf.DUMMYFUNCTION("IF('Respuestas de formulario 1'!G2015="""","""",IF(LEFT(REGEXREPLACE(TO_TEXT('Respuestas de formulario 1'!G2015),""[^0-9]"",""""),2)=""54"",""+""&amp;REGEXREPLACE(TO_TEXT('Respuestas de formulario 1'!G2015),""[^0-9]"",""""),""+54""&amp;REGEXREPLACE(TO_TEXT('Respu"&amp;"estas de formulario 1'!G2015),""[^0-9]"","""")))"),"")</f>
        <v/>
      </c>
      <c r="H1902" s="7" t="str">
        <f>'Respuestas de formulario 1'!S2015</f>
        <v/>
      </c>
      <c r="I1902" s="7" t="str">
        <f>IFERROR(__xludf.DUMMYFUNCTION("IF('Respuestas de formulario 1'!I2015="""","""",TO_TEXT('Respuestas de formulario 1'!I2015))"),"")</f>
        <v/>
      </c>
      <c r="J1902" s="7" t="str">
        <f>IFERROR(__xludf.DUMMYFUNCTION("IF('Respuestas de formulario 1'!J2015&lt;&gt;"""",UPPER(TRIM(TO_TEXT('Respuestas de formulario 1'!J2015))),IF('Respuestas de formulario 1'!O2015&lt;&gt;"""",UPPER(TRIM(TO_TEXT('Respuestas de formulario 1'!O2015))),""""))"),"")</f>
        <v/>
      </c>
      <c r="K1902" s="7" t="str">
        <f>IFERROR(__xludf.DUMMYFUNCTION("IF('Respuestas de formulario 1'!K2015="""","""",TO_TEXT('Respuestas de formulario 1'!K2015))"),"")</f>
        <v/>
      </c>
      <c r="L1902" s="7" t="str">
        <f>IFERROR(__xludf.DUMMYFUNCTION("IF('Respuestas de formulario 1'!L2015="""","""",TO_TEXT('Respuestas de formulario 1'!L2015))"),"")</f>
        <v/>
      </c>
      <c r="M1902" s="7" t="str">
        <f>IFERROR(__xludf.DUMMYFUNCTION("IF('Respuestas de formulario 1'!M2015="""","""",TO_TEXT('Respuestas de formulario 1'!M2015))"),"")</f>
        <v/>
      </c>
      <c r="N1902" s="7" t="str">
        <f t="shared" si="1"/>
        <v/>
      </c>
      <c r="O1902" s="7" t="str">
        <f t="shared" si="2"/>
        <v/>
      </c>
      <c r="P1902" s="7"/>
    </row>
    <row r="1903">
      <c r="A1903" s="7" t="str">
        <f>'Respuestas de formulario 1'!A2016</f>
        <v/>
      </c>
      <c r="B1903" s="7" t="str">
        <f>'Respuestas de formulario 1'!B2016</f>
        <v/>
      </c>
      <c r="C1903" s="7" t="str">
        <f>'Respuestas de formulario 1'!C2016</f>
        <v/>
      </c>
      <c r="D1903" s="7" t="str">
        <f>'Respuestas de formulario 1'!D2016</f>
        <v/>
      </c>
      <c r="E1903" s="7" t="str">
        <f>'Respuestas de formulario 1'!E2016</f>
        <v/>
      </c>
      <c r="F1903" s="7" t="str">
        <f>'Respuestas de formulario 1'!F2016</f>
        <v/>
      </c>
      <c r="G1903" s="7" t="str">
        <f>IFERROR(__xludf.DUMMYFUNCTION("IF('Respuestas de formulario 1'!G2016="""","""",IF(LEFT(REGEXREPLACE(TO_TEXT('Respuestas de formulario 1'!G2016),""[^0-9]"",""""),2)=""54"",""+""&amp;REGEXREPLACE(TO_TEXT('Respuestas de formulario 1'!G2016),""[^0-9]"",""""),""+54""&amp;REGEXREPLACE(TO_TEXT('Respu"&amp;"estas de formulario 1'!G2016),""[^0-9]"","""")))"),"")</f>
        <v/>
      </c>
      <c r="H1903" s="7" t="str">
        <f>'Respuestas de formulario 1'!S2016</f>
        <v/>
      </c>
      <c r="I1903" s="7" t="str">
        <f>IFERROR(__xludf.DUMMYFUNCTION("IF('Respuestas de formulario 1'!I2016="""","""",TO_TEXT('Respuestas de formulario 1'!I2016))"),"")</f>
        <v/>
      </c>
      <c r="J1903" s="7" t="str">
        <f>IFERROR(__xludf.DUMMYFUNCTION("IF('Respuestas de formulario 1'!J2016&lt;&gt;"""",UPPER(TRIM(TO_TEXT('Respuestas de formulario 1'!J2016))),IF('Respuestas de formulario 1'!O2016&lt;&gt;"""",UPPER(TRIM(TO_TEXT('Respuestas de formulario 1'!O2016))),""""))"),"")</f>
        <v/>
      </c>
      <c r="K1903" s="7" t="str">
        <f>IFERROR(__xludf.DUMMYFUNCTION("IF('Respuestas de formulario 1'!K2016="""","""",TO_TEXT('Respuestas de formulario 1'!K2016))"),"")</f>
        <v/>
      </c>
      <c r="L1903" s="7" t="str">
        <f>IFERROR(__xludf.DUMMYFUNCTION("IF('Respuestas de formulario 1'!L2016="""","""",TO_TEXT('Respuestas de formulario 1'!L2016))"),"")</f>
        <v/>
      </c>
      <c r="M1903" s="7" t="str">
        <f>IFERROR(__xludf.DUMMYFUNCTION("IF('Respuestas de formulario 1'!M2016="""","""",TO_TEXT('Respuestas de formulario 1'!M2016))"),"")</f>
        <v/>
      </c>
      <c r="N1903" s="7" t="str">
        <f t="shared" si="1"/>
        <v/>
      </c>
      <c r="O1903" s="7" t="str">
        <f t="shared" si="2"/>
        <v/>
      </c>
      <c r="P1903" s="7"/>
    </row>
    <row r="1904">
      <c r="A1904" s="7" t="str">
        <f>'Respuestas de formulario 1'!A2017</f>
        <v/>
      </c>
      <c r="B1904" s="7" t="str">
        <f>'Respuestas de formulario 1'!B2017</f>
        <v/>
      </c>
      <c r="C1904" s="7" t="str">
        <f>'Respuestas de formulario 1'!C2017</f>
        <v/>
      </c>
      <c r="D1904" s="7" t="str">
        <f>'Respuestas de formulario 1'!D2017</f>
        <v/>
      </c>
      <c r="E1904" s="7" t="str">
        <f>'Respuestas de formulario 1'!E2017</f>
        <v/>
      </c>
      <c r="F1904" s="7" t="str">
        <f>'Respuestas de formulario 1'!F2017</f>
        <v/>
      </c>
      <c r="G1904" s="7" t="str">
        <f>IFERROR(__xludf.DUMMYFUNCTION("IF('Respuestas de formulario 1'!G2017="""","""",IF(LEFT(REGEXREPLACE(TO_TEXT('Respuestas de formulario 1'!G2017),""[^0-9]"",""""),2)=""54"",""+""&amp;REGEXREPLACE(TO_TEXT('Respuestas de formulario 1'!G2017),""[^0-9]"",""""),""+54""&amp;REGEXREPLACE(TO_TEXT('Respu"&amp;"estas de formulario 1'!G2017),""[^0-9]"","""")))"),"")</f>
        <v/>
      </c>
      <c r="H1904" s="7" t="str">
        <f>'Respuestas de formulario 1'!S2017</f>
        <v/>
      </c>
      <c r="I1904" s="7" t="str">
        <f>IFERROR(__xludf.DUMMYFUNCTION("IF('Respuestas de formulario 1'!I2017="""","""",TO_TEXT('Respuestas de formulario 1'!I2017))"),"")</f>
        <v/>
      </c>
      <c r="J1904" s="7" t="str">
        <f>IFERROR(__xludf.DUMMYFUNCTION("IF('Respuestas de formulario 1'!J2017&lt;&gt;"""",UPPER(TRIM(TO_TEXT('Respuestas de formulario 1'!J2017))),IF('Respuestas de formulario 1'!O2017&lt;&gt;"""",UPPER(TRIM(TO_TEXT('Respuestas de formulario 1'!O2017))),""""))"),"")</f>
        <v/>
      </c>
      <c r="K1904" s="7" t="str">
        <f>IFERROR(__xludf.DUMMYFUNCTION("IF('Respuestas de formulario 1'!K2017="""","""",TO_TEXT('Respuestas de formulario 1'!K2017))"),"")</f>
        <v/>
      </c>
      <c r="L1904" s="7" t="str">
        <f>IFERROR(__xludf.DUMMYFUNCTION("IF('Respuestas de formulario 1'!L2017="""","""",TO_TEXT('Respuestas de formulario 1'!L2017))"),"")</f>
        <v/>
      </c>
      <c r="M1904" s="7" t="str">
        <f>IFERROR(__xludf.DUMMYFUNCTION("IF('Respuestas de formulario 1'!M2017="""","""",TO_TEXT('Respuestas de formulario 1'!M2017))"),"")</f>
        <v/>
      </c>
      <c r="N1904" s="7" t="str">
        <f t="shared" si="1"/>
        <v/>
      </c>
      <c r="O1904" s="7" t="str">
        <f t="shared" si="2"/>
        <v/>
      </c>
      <c r="P1904" s="7"/>
    </row>
    <row r="1905">
      <c r="A1905" s="7" t="str">
        <f>'Respuestas de formulario 1'!A2018</f>
        <v/>
      </c>
      <c r="B1905" s="7" t="str">
        <f>'Respuestas de formulario 1'!B2018</f>
        <v/>
      </c>
      <c r="C1905" s="7" t="str">
        <f>'Respuestas de formulario 1'!C2018</f>
        <v/>
      </c>
      <c r="D1905" s="7" t="str">
        <f>'Respuestas de formulario 1'!D2018</f>
        <v/>
      </c>
      <c r="E1905" s="7" t="str">
        <f>'Respuestas de formulario 1'!E2018</f>
        <v/>
      </c>
      <c r="F1905" s="7" t="str">
        <f>'Respuestas de formulario 1'!F2018</f>
        <v/>
      </c>
      <c r="G1905" s="7" t="str">
        <f>IFERROR(__xludf.DUMMYFUNCTION("IF('Respuestas de formulario 1'!G2018="""","""",IF(LEFT(REGEXREPLACE(TO_TEXT('Respuestas de formulario 1'!G2018),""[^0-9]"",""""),2)=""54"",""+""&amp;REGEXREPLACE(TO_TEXT('Respuestas de formulario 1'!G2018),""[^0-9]"",""""),""+54""&amp;REGEXREPLACE(TO_TEXT('Respu"&amp;"estas de formulario 1'!G2018),""[^0-9]"","""")))"),"")</f>
        <v/>
      </c>
      <c r="H1905" s="7" t="str">
        <f>'Respuestas de formulario 1'!S2018</f>
        <v/>
      </c>
      <c r="I1905" s="7" t="str">
        <f>IFERROR(__xludf.DUMMYFUNCTION("IF('Respuestas de formulario 1'!I2018="""","""",TO_TEXT('Respuestas de formulario 1'!I2018))"),"")</f>
        <v/>
      </c>
      <c r="J1905" s="7" t="str">
        <f>IFERROR(__xludf.DUMMYFUNCTION("IF('Respuestas de formulario 1'!J2018&lt;&gt;"""",UPPER(TRIM(TO_TEXT('Respuestas de formulario 1'!J2018))),IF('Respuestas de formulario 1'!O2018&lt;&gt;"""",UPPER(TRIM(TO_TEXT('Respuestas de formulario 1'!O2018))),""""))"),"")</f>
        <v/>
      </c>
      <c r="K1905" s="7" t="str">
        <f>IFERROR(__xludf.DUMMYFUNCTION("IF('Respuestas de formulario 1'!K2018="""","""",TO_TEXT('Respuestas de formulario 1'!K2018))"),"")</f>
        <v/>
      </c>
      <c r="L1905" s="7" t="str">
        <f>IFERROR(__xludf.DUMMYFUNCTION("IF('Respuestas de formulario 1'!L2018="""","""",TO_TEXT('Respuestas de formulario 1'!L2018))"),"")</f>
        <v/>
      </c>
      <c r="M1905" s="7" t="str">
        <f>IFERROR(__xludf.DUMMYFUNCTION("IF('Respuestas de formulario 1'!M2018="""","""",TO_TEXT('Respuestas de formulario 1'!M2018))"),"")</f>
        <v/>
      </c>
      <c r="N1905" s="7" t="str">
        <f t="shared" si="1"/>
        <v/>
      </c>
      <c r="O1905" s="7" t="str">
        <f t="shared" si="2"/>
        <v/>
      </c>
      <c r="P1905" s="7"/>
    </row>
    <row r="1906">
      <c r="A1906" s="7" t="str">
        <f>'Respuestas de formulario 1'!A2019</f>
        <v/>
      </c>
      <c r="B1906" s="7" t="str">
        <f>'Respuestas de formulario 1'!B2019</f>
        <v/>
      </c>
      <c r="C1906" s="7" t="str">
        <f>'Respuestas de formulario 1'!C2019</f>
        <v/>
      </c>
      <c r="D1906" s="7" t="str">
        <f>'Respuestas de formulario 1'!D2019</f>
        <v/>
      </c>
      <c r="E1906" s="7" t="str">
        <f>'Respuestas de formulario 1'!E2019</f>
        <v/>
      </c>
      <c r="F1906" s="7" t="str">
        <f>'Respuestas de formulario 1'!F2019</f>
        <v/>
      </c>
      <c r="G1906" s="7" t="str">
        <f>IFERROR(__xludf.DUMMYFUNCTION("IF('Respuestas de formulario 1'!G2019="""","""",IF(LEFT(REGEXREPLACE(TO_TEXT('Respuestas de formulario 1'!G2019),""[^0-9]"",""""),2)=""54"",""+""&amp;REGEXREPLACE(TO_TEXT('Respuestas de formulario 1'!G2019),""[^0-9]"",""""),""+54""&amp;REGEXREPLACE(TO_TEXT('Respu"&amp;"estas de formulario 1'!G2019),""[^0-9]"","""")))"),"")</f>
        <v/>
      </c>
      <c r="H1906" s="7" t="str">
        <f>'Respuestas de formulario 1'!S2019</f>
        <v/>
      </c>
      <c r="I1906" s="7" t="str">
        <f>IFERROR(__xludf.DUMMYFUNCTION("IF('Respuestas de formulario 1'!I2019="""","""",TO_TEXT('Respuestas de formulario 1'!I2019))"),"")</f>
        <v/>
      </c>
      <c r="J1906" s="7" t="str">
        <f>IFERROR(__xludf.DUMMYFUNCTION("IF('Respuestas de formulario 1'!J2019&lt;&gt;"""",UPPER(TRIM(TO_TEXT('Respuestas de formulario 1'!J2019))),IF('Respuestas de formulario 1'!O2019&lt;&gt;"""",UPPER(TRIM(TO_TEXT('Respuestas de formulario 1'!O2019))),""""))"),"")</f>
        <v/>
      </c>
      <c r="K1906" s="7" t="str">
        <f>IFERROR(__xludf.DUMMYFUNCTION("IF('Respuestas de formulario 1'!K2019="""","""",TO_TEXT('Respuestas de formulario 1'!K2019))"),"")</f>
        <v/>
      </c>
      <c r="L1906" s="7" t="str">
        <f>IFERROR(__xludf.DUMMYFUNCTION("IF('Respuestas de formulario 1'!L2019="""","""",TO_TEXT('Respuestas de formulario 1'!L2019))"),"")</f>
        <v/>
      </c>
      <c r="M1906" s="7" t="str">
        <f>IFERROR(__xludf.DUMMYFUNCTION("IF('Respuestas de formulario 1'!M2019="""","""",TO_TEXT('Respuestas de formulario 1'!M2019))"),"")</f>
        <v/>
      </c>
      <c r="N1906" s="7" t="str">
        <f t="shared" si="1"/>
        <v/>
      </c>
      <c r="O1906" s="7" t="str">
        <f t="shared" si="2"/>
        <v/>
      </c>
      <c r="P1906" s="7"/>
    </row>
    <row r="1907">
      <c r="A1907" s="7" t="str">
        <f>'Respuestas de formulario 1'!A2020</f>
        <v/>
      </c>
      <c r="B1907" s="7" t="str">
        <f>'Respuestas de formulario 1'!B2020</f>
        <v/>
      </c>
      <c r="C1907" s="7" t="str">
        <f>'Respuestas de formulario 1'!C2020</f>
        <v/>
      </c>
      <c r="D1907" s="7" t="str">
        <f>'Respuestas de formulario 1'!D2020</f>
        <v/>
      </c>
      <c r="E1907" s="7" t="str">
        <f>'Respuestas de formulario 1'!E2020</f>
        <v/>
      </c>
      <c r="F1907" s="7" t="str">
        <f>'Respuestas de formulario 1'!F2020</f>
        <v/>
      </c>
      <c r="G1907" s="7" t="str">
        <f>IFERROR(__xludf.DUMMYFUNCTION("IF('Respuestas de formulario 1'!G2020="""","""",IF(LEFT(REGEXREPLACE(TO_TEXT('Respuestas de formulario 1'!G2020),""[^0-9]"",""""),2)=""54"",""+""&amp;REGEXREPLACE(TO_TEXT('Respuestas de formulario 1'!G2020),""[^0-9]"",""""),""+54""&amp;REGEXREPLACE(TO_TEXT('Respu"&amp;"estas de formulario 1'!G2020),""[^0-9]"","""")))"),"")</f>
        <v/>
      </c>
      <c r="H1907" s="7" t="str">
        <f>'Respuestas de formulario 1'!S2020</f>
        <v/>
      </c>
      <c r="I1907" s="7" t="str">
        <f>IFERROR(__xludf.DUMMYFUNCTION("IF('Respuestas de formulario 1'!I2020="""","""",TO_TEXT('Respuestas de formulario 1'!I2020))"),"")</f>
        <v/>
      </c>
      <c r="J1907" s="7" t="str">
        <f>IFERROR(__xludf.DUMMYFUNCTION("IF('Respuestas de formulario 1'!J2020&lt;&gt;"""",UPPER(TRIM(TO_TEXT('Respuestas de formulario 1'!J2020))),IF('Respuestas de formulario 1'!O2020&lt;&gt;"""",UPPER(TRIM(TO_TEXT('Respuestas de formulario 1'!O2020))),""""))"),"")</f>
        <v/>
      </c>
      <c r="K1907" s="7" t="str">
        <f>IFERROR(__xludf.DUMMYFUNCTION("IF('Respuestas de formulario 1'!K2020="""","""",TO_TEXT('Respuestas de formulario 1'!K2020))"),"")</f>
        <v/>
      </c>
      <c r="L1907" s="7" t="str">
        <f>IFERROR(__xludf.DUMMYFUNCTION("IF('Respuestas de formulario 1'!L2020="""","""",TO_TEXT('Respuestas de formulario 1'!L2020))"),"")</f>
        <v/>
      </c>
      <c r="M1907" s="7" t="str">
        <f>IFERROR(__xludf.DUMMYFUNCTION("IF('Respuestas de formulario 1'!M2020="""","""",TO_TEXT('Respuestas de formulario 1'!M2020))"),"")</f>
        <v/>
      </c>
      <c r="N1907" s="7" t="str">
        <f t="shared" si="1"/>
        <v/>
      </c>
      <c r="O1907" s="7" t="str">
        <f t="shared" si="2"/>
        <v/>
      </c>
      <c r="P1907" s="7"/>
    </row>
    <row r="1908">
      <c r="A1908" s="7" t="str">
        <f>'Respuestas de formulario 1'!A2021</f>
        <v/>
      </c>
      <c r="B1908" s="7" t="str">
        <f>'Respuestas de formulario 1'!B2021</f>
        <v/>
      </c>
      <c r="C1908" s="7" t="str">
        <f>'Respuestas de formulario 1'!C2021</f>
        <v/>
      </c>
      <c r="D1908" s="7" t="str">
        <f>'Respuestas de formulario 1'!D2021</f>
        <v/>
      </c>
      <c r="E1908" s="7" t="str">
        <f>'Respuestas de formulario 1'!E2021</f>
        <v/>
      </c>
      <c r="F1908" s="7" t="str">
        <f>'Respuestas de formulario 1'!F2021</f>
        <v/>
      </c>
      <c r="G1908" s="7" t="str">
        <f>IFERROR(__xludf.DUMMYFUNCTION("IF('Respuestas de formulario 1'!G2021="""","""",IF(LEFT(REGEXREPLACE(TO_TEXT('Respuestas de formulario 1'!G2021),""[^0-9]"",""""),2)=""54"",""+""&amp;REGEXREPLACE(TO_TEXT('Respuestas de formulario 1'!G2021),""[^0-9]"",""""),""+54""&amp;REGEXREPLACE(TO_TEXT('Respu"&amp;"estas de formulario 1'!G2021),""[^0-9]"","""")))"),"")</f>
        <v/>
      </c>
      <c r="H1908" s="7" t="str">
        <f>'Respuestas de formulario 1'!S2021</f>
        <v/>
      </c>
      <c r="I1908" s="7" t="str">
        <f>IFERROR(__xludf.DUMMYFUNCTION("IF('Respuestas de formulario 1'!I2021="""","""",TO_TEXT('Respuestas de formulario 1'!I2021))"),"")</f>
        <v/>
      </c>
      <c r="J1908" s="7" t="str">
        <f>IFERROR(__xludf.DUMMYFUNCTION("IF('Respuestas de formulario 1'!J2021&lt;&gt;"""",UPPER(TRIM(TO_TEXT('Respuestas de formulario 1'!J2021))),IF('Respuestas de formulario 1'!O2021&lt;&gt;"""",UPPER(TRIM(TO_TEXT('Respuestas de formulario 1'!O2021))),""""))"),"")</f>
        <v/>
      </c>
      <c r="K1908" s="7" t="str">
        <f>IFERROR(__xludf.DUMMYFUNCTION("IF('Respuestas de formulario 1'!K2021="""","""",TO_TEXT('Respuestas de formulario 1'!K2021))"),"")</f>
        <v/>
      </c>
      <c r="L1908" s="7" t="str">
        <f>IFERROR(__xludf.DUMMYFUNCTION("IF('Respuestas de formulario 1'!L2021="""","""",TO_TEXT('Respuestas de formulario 1'!L2021))"),"")</f>
        <v/>
      </c>
      <c r="M1908" s="7" t="str">
        <f>IFERROR(__xludf.DUMMYFUNCTION("IF('Respuestas de formulario 1'!M2021="""","""",TO_TEXT('Respuestas de formulario 1'!M2021))"),"")</f>
        <v/>
      </c>
      <c r="N1908" s="7" t="str">
        <f t="shared" si="1"/>
        <v/>
      </c>
      <c r="O1908" s="7" t="str">
        <f t="shared" si="2"/>
        <v/>
      </c>
      <c r="P1908" s="7"/>
    </row>
    <row r="1909">
      <c r="A1909" s="7" t="str">
        <f>'Respuestas de formulario 1'!A2022</f>
        <v/>
      </c>
      <c r="B1909" s="7" t="str">
        <f>'Respuestas de formulario 1'!B2022</f>
        <v/>
      </c>
      <c r="C1909" s="7" t="str">
        <f>'Respuestas de formulario 1'!C2022</f>
        <v/>
      </c>
      <c r="D1909" s="7" t="str">
        <f>'Respuestas de formulario 1'!D2022</f>
        <v/>
      </c>
      <c r="E1909" s="7" t="str">
        <f>'Respuestas de formulario 1'!E2022</f>
        <v/>
      </c>
      <c r="F1909" s="7" t="str">
        <f>'Respuestas de formulario 1'!F2022</f>
        <v/>
      </c>
      <c r="G1909" s="7" t="str">
        <f>IFERROR(__xludf.DUMMYFUNCTION("IF('Respuestas de formulario 1'!G2022="""","""",IF(LEFT(REGEXREPLACE(TO_TEXT('Respuestas de formulario 1'!G2022),""[^0-9]"",""""),2)=""54"",""+""&amp;REGEXREPLACE(TO_TEXT('Respuestas de formulario 1'!G2022),""[^0-9]"",""""),""+54""&amp;REGEXREPLACE(TO_TEXT('Respu"&amp;"estas de formulario 1'!G2022),""[^0-9]"","""")))"),"")</f>
        <v/>
      </c>
      <c r="H1909" s="7" t="str">
        <f>'Respuestas de formulario 1'!S2022</f>
        <v/>
      </c>
      <c r="I1909" s="7" t="str">
        <f>IFERROR(__xludf.DUMMYFUNCTION("IF('Respuestas de formulario 1'!I2022="""","""",TO_TEXT('Respuestas de formulario 1'!I2022))"),"")</f>
        <v/>
      </c>
      <c r="J1909" s="7" t="str">
        <f>IFERROR(__xludf.DUMMYFUNCTION("IF('Respuestas de formulario 1'!J2022&lt;&gt;"""",UPPER(TRIM(TO_TEXT('Respuestas de formulario 1'!J2022))),IF('Respuestas de formulario 1'!O2022&lt;&gt;"""",UPPER(TRIM(TO_TEXT('Respuestas de formulario 1'!O2022))),""""))"),"")</f>
        <v/>
      </c>
      <c r="K1909" s="7" t="str">
        <f>IFERROR(__xludf.DUMMYFUNCTION("IF('Respuestas de formulario 1'!K2022="""","""",TO_TEXT('Respuestas de formulario 1'!K2022))"),"")</f>
        <v/>
      </c>
      <c r="L1909" s="7" t="str">
        <f>IFERROR(__xludf.DUMMYFUNCTION("IF('Respuestas de formulario 1'!L2022="""","""",TO_TEXT('Respuestas de formulario 1'!L2022))"),"")</f>
        <v/>
      </c>
      <c r="M1909" s="7" t="str">
        <f>IFERROR(__xludf.DUMMYFUNCTION("IF('Respuestas de formulario 1'!M2022="""","""",TO_TEXT('Respuestas de formulario 1'!M2022))"),"")</f>
        <v/>
      </c>
      <c r="N1909" s="7" t="str">
        <f t="shared" si="1"/>
        <v/>
      </c>
      <c r="O1909" s="7" t="str">
        <f t="shared" si="2"/>
        <v/>
      </c>
      <c r="P1909" s="7"/>
    </row>
    <row r="1910">
      <c r="A1910" s="7" t="str">
        <f>'Respuestas de formulario 1'!A2023</f>
        <v/>
      </c>
      <c r="B1910" s="7" t="str">
        <f>'Respuestas de formulario 1'!B2023</f>
        <v/>
      </c>
      <c r="C1910" s="7" t="str">
        <f>'Respuestas de formulario 1'!C2023</f>
        <v/>
      </c>
      <c r="D1910" s="7" t="str">
        <f>'Respuestas de formulario 1'!D2023</f>
        <v/>
      </c>
      <c r="E1910" s="7" t="str">
        <f>'Respuestas de formulario 1'!E2023</f>
        <v/>
      </c>
      <c r="F1910" s="7" t="str">
        <f>'Respuestas de formulario 1'!F2023</f>
        <v/>
      </c>
      <c r="G1910" s="7" t="str">
        <f>IFERROR(__xludf.DUMMYFUNCTION("IF('Respuestas de formulario 1'!G2023="""","""",IF(LEFT(REGEXREPLACE(TO_TEXT('Respuestas de formulario 1'!G2023),""[^0-9]"",""""),2)=""54"",""+""&amp;REGEXREPLACE(TO_TEXT('Respuestas de formulario 1'!G2023),""[^0-9]"",""""),""+54""&amp;REGEXREPLACE(TO_TEXT('Respu"&amp;"estas de formulario 1'!G2023),""[^0-9]"","""")))"),"")</f>
        <v/>
      </c>
      <c r="H1910" s="7" t="str">
        <f>'Respuestas de formulario 1'!S2023</f>
        <v/>
      </c>
      <c r="I1910" s="7" t="str">
        <f>IFERROR(__xludf.DUMMYFUNCTION("IF('Respuestas de formulario 1'!I2023="""","""",TO_TEXT('Respuestas de formulario 1'!I2023))"),"")</f>
        <v/>
      </c>
      <c r="J1910" s="7" t="str">
        <f>IFERROR(__xludf.DUMMYFUNCTION("IF('Respuestas de formulario 1'!J2023&lt;&gt;"""",UPPER(TRIM(TO_TEXT('Respuestas de formulario 1'!J2023))),IF('Respuestas de formulario 1'!O2023&lt;&gt;"""",UPPER(TRIM(TO_TEXT('Respuestas de formulario 1'!O2023))),""""))"),"")</f>
        <v/>
      </c>
      <c r="K1910" s="7" t="str">
        <f>IFERROR(__xludf.DUMMYFUNCTION("IF('Respuestas de formulario 1'!K2023="""","""",TO_TEXT('Respuestas de formulario 1'!K2023))"),"")</f>
        <v/>
      </c>
      <c r="L1910" s="7" t="str">
        <f>IFERROR(__xludf.DUMMYFUNCTION("IF('Respuestas de formulario 1'!L2023="""","""",TO_TEXT('Respuestas de formulario 1'!L2023))"),"")</f>
        <v/>
      </c>
      <c r="M1910" s="7" t="str">
        <f>IFERROR(__xludf.DUMMYFUNCTION("IF('Respuestas de formulario 1'!M2023="""","""",TO_TEXT('Respuestas de formulario 1'!M2023))"),"")</f>
        <v/>
      </c>
      <c r="N1910" s="7" t="str">
        <f t="shared" si="1"/>
        <v/>
      </c>
      <c r="O1910" s="7" t="str">
        <f t="shared" si="2"/>
        <v/>
      </c>
      <c r="P1910" s="7"/>
    </row>
    <row r="1911">
      <c r="A1911" s="7" t="str">
        <f>'Respuestas de formulario 1'!A2024</f>
        <v/>
      </c>
      <c r="B1911" s="7" t="str">
        <f>'Respuestas de formulario 1'!B2024</f>
        <v/>
      </c>
      <c r="C1911" s="7" t="str">
        <f>'Respuestas de formulario 1'!C2024</f>
        <v/>
      </c>
      <c r="D1911" s="7" t="str">
        <f>'Respuestas de formulario 1'!D2024</f>
        <v/>
      </c>
      <c r="E1911" s="7" t="str">
        <f>'Respuestas de formulario 1'!E2024</f>
        <v/>
      </c>
      <c r="F1911" s="7" t="str">
        <f>'Respuestas de formulario 1'!F2024</f>
        <v/>
      </c>
      <c r="G1911" s="7" t="str">
        <f>IFERROR(__xludf.DUMMYFUNCTION("IF('Respuestas de formulario 1'!G2024="""","""",IF(LEFT(REGEXREPLACE(TO_TEXT('Respuestas de formulario 1'!G2024),""[^0-9]"",""""),2)=""54"",""+""&amp;REGEXREPLACE(TO_TEXT('Respuestas de formulario 1'!G2024),""[^0-9]"",""""),""+54""&amp;REGEXREPLACE(TO_TEXT('Respu"&amp;"estas de formulario 1'!G2024),""[^0-9]"","""")))"),"")</f>
        <v/>
      </c>
      <c r="H1911" s="7" t="str">
        <f>'Respuestas de formulario 1'!S2024</f>
        <v/>
      </c>
      <c r="I1911" s="7" t="str">
        <f>IFERROR(__xludf.DUMMYFUNCTION("IF('Respuestas de formulario 1'!I2024="""","""",TO_TEXT('Respuestas de formulario 1'!I2024))"),"")</f>
        <v/>
      </c>
      <c r="J1911" s="7" t="str">
        <f>IFERROR(__xludf.DUMMYFUNCTION("IF('Respuestas de formulario 1'!J2024&lt;&gt;"""",UPPER(TRIM(TO_TEXT('Respuestas de formulario 1'!J2024))),IF('Respuestas de formulario 1'!O2024&lt;&gt;"""",UPPER(TRIM(TO_TEXT('Respuestas de formulario 1'!O2024))),""""))"),"")</f>
        <v/>
      </c>
      <c r="K1911" s="7" t="str">
        <f>IFERROR(__xludf.DUMMYFUNCTION("IF('Respuestas de formulario 1'!K2024="""","""",TO_TEXT('Respuestas de formulario 1'!K2024))"),"")</f>
        <v/>
      </c>
      <c r="L1911" s="7" t="str">
        <f>IFERROR(__xludf.DUMMYFUNCTION("IF('Respuestas de formulario 1'!L2024="""","""",TO_TEXT('Respuestas de formulario 1'!L2024))"),"")</f>
        <v/>
      </c>
      <c r="M1911" s="7" t="str">
        <f>IFERROR(__xludf.DUMMYFUNCTION("IF('Respuestas de formulario 1'!M2024="""","""",TO_TEXT('Respuestas de formulario 1'!M2024))"),"")</f>
        <v/>
      </c>
      <c r="N1911" s="7" t="str">
        <f t="shared" si="1"/>
        <v/>
      </c>
      <c r="O1911" s="7" t="str">
        <f t="shared" si="2"/>
        <v/>
      </c>
      <c r="P1911" s="7"/>
    </row>
    <row r="1912">
      <c r="A1912" s="7" t="str">
        <f>'Respuestas de formulario 1'!A2025</f>
        <v/>
      </c>
      <c r="B1912" s="7" t="str">
        <f>'Respuestas de formulario 1'!B2025</f>
        <v/>
      </c>
      <c r="C1912" s="7" t="str">
        <f>'Respuestas de formulario 1'!C2025</f>
        <v/>
      </c>
      <c r="D1912" s="7" t="str">
        <f>'Respuestas de formulario 1'!D2025</f>
        <v/>
      </c>
      <c r="E1912" s="7" t="str">
        <f>'Respuestas de formulario 1'!E2025</f>
        <v/>
      </c>
      <c r="F1912" s="7" t="str">
        <f>'Respuestas de formulario 1'!F2025</f>
        <v/>
      </c>
      <c r="G1912" s="7" t="str">
        <f>IFERROR(__xludf.DUMMYFUNCTION("IF('Respuestas de formulario 1'!G2025="""","""",IF(LEFT(REGEXREPLACE(TO_TEXT('Respuestas de formulario 1'!G2025),""[^0-9]"",""""),2)=""54"",""+""&amp;REGEXREPLACE(TO_TEXT('Respuestas de formulario 1'!G2025),""[^0-9]"",""""),""+54""&amp;REGEXREPLACE(TO_TEXT('Respu"&amp;"estas de formulario 1'!G2025),""[^0-9]"","""")))"),"")</f>
        <v/>
      </c>
      <c r="H1912" s="7" t="str">
        <f>'Respuestas de formulario 1'!S2025</f>
        <v/>
      </c>
      <c r="I1912" s="7" t="str">
        <f>IFERROR(__xludf.DUMMYFUNCTION("IF('Respuestas de formulario 1'!I2025="""","""",TO_TEXT('Respuestas de formulario 1'!I2025))"),"")</f>
        <v/>
      </c>
      <c r="J1912" s="7" t="str">
        <f>IFERROR(__xludf.DUMMYFUNCTION("IF('Respuestas de formulario 1'!J2025&lt;&gt;"""",UPPER(TRIM(TO_TEXT('Respuestas de formulario 1'!J2025))),IF('Respuestas de formulario 1'!O2025&lt;&gt;"""",UPPER(TRIM(TO_TEXT('Respuestas de formulario 1'!O2025))),""""))"),"")</f>
        <v/>
      </c>
      <c r="K1912" s="7" t="str">
        <f>IFERROR(__xludf.DUMMYFUNCTION("IF('Respuestas de formulario 1'!K2025="""","""",TO_TEXT('Respuestas de formulario 1'!K2025))"),"")</f>
        <v/>
      </c>
      <c r="L1912" s="7" t="str">
        <f>IFERROR(__xludf.DUMMYFUNCTION("IF('Respuestas de formulario 1'!L2025="""","""",TO_TEXT('Respuestas de formulario 1'!L2025))"),"")</f>
        <v/>
      </c>
      <c r="M1912" s="7" t="str">
        <f>IFERROR(__xludf.DUMMYFUNCTION("IF('Respuestas de formulario 1'!M2025="""","""",TO_TEXT('Respuestas de formulario 1'!M2025))"),"")</f>
        <v/>
      </c>
      <c r="N1912" s="7" t="str">
        <f t="shared" si="1"/>
        <v/>
      </c>
      <c r="O1912" s="7" t="str">
        <f t="shared" si="2"/>
        <v/>
      </c>
      <c r="P1912" s="7"/>
    </row>
    <row r="1913">
      <c r="A1913" s="7" t="str">
        <f>'Respuestas de formulario 1'!A2026</f>
        <v/>
      </c>
      <c r="B1913" s="7" t="str">
        <f>'Respuestas de formulario 1'!B2026</f>
        <v/>
      </c>
      <c r="C1913" s="7" t="str">
        <f>'Respuestas de formulario 1'!C2026</f>
        <v/>
      </c>
      <c r="D1913" s="7" t="str">
        <f>'Respuestas de formulario 1'!D2026</f>
        <v/>
      </c>
      <c r="E1913" s="7" t="str">
        <f>'Respuestas de formulario 1'!E2026</f>
        <v/>
      </c>
      <c r="F1913" s="7" t="str">
        <f>'Respuestas de formulario 1'!F2026</f>
        <v/>
      </c>
      <c r="G1913" s="7" t="str">
        <f>IFERROR(__xludf.DUMMYFUNCTION("IF('Respuestas de formulario 1'!G2026="""","""",IF(LEFT(REGEXREPLACE(TO_TEXT('Respuestas de formulario 1'!G2026),""[^0-9]"",""""),2)=""54"",""+""&amp;REGEXREPLACE(TO_TEXT('Respuestas de formulario 1'!G2026),""[^0-9]"",""""),""+54""&amp;REGEXREPLACE(TO_TEXT('Respu"&amp;"estas de formulario 1'!G2026),""[^0-9]"","""")))"),"")</f>
        <v/>
      </c>
      <c r="H1913" s="7" t="str">
        <f>'Respuestas de formulario 1'!S2026</f>
        <v/>
      </c>
      <c r="I1913" s="7" t="str">
        <f>IFERROR(__xludf.DUMMYFUNCTION("IF('Respuestas de formulario 1'!I2026="""","""",TO_TEXT('Respuestas de formulario 1'!I2026))"),"")</f>
        <v/>
      </c>
      <c r="J1913" s="7" t="str">
        <f>IFERROR(__xludf.DUMMYFUNCTION("IF('Respuestas de formulario 1'!J2026&lt;&gt;"""",UPPER(TRIM(TO_TEXT('Respuestas de formulario 1'!J2026))),IF('Respuestas de formulario 1'!O2026&lt;&gt;"""",UPPER(TRIM(TO_TEXT('Respuestas de formulario 1'!O2026))),""""))"),"")</f>
        <v/>
      </c>
      <c r="K1913" s="7" t="str">
        <f>IFERROR(__xludf.DUMMYFUNCTION("IF('Respuestas de formulario 1'!K2026="""","""",TO_TEXT('Respuestas de formulario 1'!K2026))"),"")</f>
        <v/>
      </c>
      <c r="L1913" s="7" t="str">
        <f>IFERROR(__xludf.DUMMYFUNCTION("IF('Respuestas de formulario 1'!L2026="""","""",TO_TEXT('Respuestas de formulario 1'!L2026))"),"")</f>
        <v/>
      </c>
      <c r="M1913" s="7" t="str">
        <f>IFERROR(__xludf.DUMMYFUNCTION("IF('Respuestas de formulario 1'!M2026="""","""",TO_TEXT('Respuestas de formulario 1'!M2026))"),"")</f>
        <v/>
      </c>
      <c r="N1913" s="7" t="str">
        <f t="shared" si="1"/>
        <v/>
      </c>
      <c r="O1913" s="7" t="str">
        <f t="shared" si="2"/>
        <v/>
      </c>
      <c r="P1913" s="7"/>
    </row>
    <row r="1914">
      <c r="A1914" s="7" t="str">
        <f>'Respuestas de formulario 1'!A2027</f>
        <v/>
      </c>
      <c r="B1914" s="7" t="str">
        <f>'Respuestas de formulario 1'!B2027</f>
        <v/>
      </c>
      <c r="C1914" s="7" t="str">
        <f>'Respuestas de formulario 1'!C2027</f>
        <v/>
      </c>
      <c r="D1914" s="7" t="str">
        <f>'Respuestas de formulario 1'!D2027</f>
        <v/>
      </c>
      <c r="E1914" s="7" t="str">
        <f>'Respuestas de formulario 1'!E2027</f>
        <v/>
      </c>
      <c r="F1914" s="7" t="str">
        <f>'Respuestas de formulario 1'!F2027</f>
        <v/>
      </c>
      <c r="G1914" s="7" t="str">
        <f>IFERROR(__xludf.DUMMYFUNCTION("IF('Respuestas de formulario 1'!G2027="""","""",IF(LEFT(REGEXREPLACE(TO_TEXT('Respuestas de formulario 1'!G2027),""[^0-9]"",""""),2)=""54"",""+""&amp;REGEXREPLACE(TO_TEXT('Respuestas de formulario 1'!G2027),""[^0-9]"",""""),""+54""&amp;REGEXREPLACE(TO_TEXT('Respu"&amp;"estas de formulario 1'!G2027),""[^0-9]"","""")))"),"")</f>
        <v/>
      </c>
      <c r="H1914" s="7" t="str">
        <f>'Respuestas de formulario 1'!S2027</f>
        <v/>
      </c>
      <c r="I1914" s="7" t="str">
        <f>IFERROR(__xludf.DUMMYFUNCTION("IF('Respuestas de formulario 1'!I2027="""","""",TO_TEXT('Respuestas de formulario 1'!I2027))"),"")</f>
        <v/>
      </c>
      <c r="J1914" s="7" t="str">
        <f>IFERROR(__xludf.DUMMYFUNCTION("IF('Respuestas de formulario 1'!J2027&lt;&gt;"""",UPPER(TRIM(TO_TEXT('Respuestas de formulario 1'!J2027))),IF('Respuestas de formulario 1'!O2027&lt;&gt;"""",UPPER(TRIM(TO_TEXT('Respuestas de formulario 1'!O2027))),""""))"),"")</f>
        <v/>
      </c>
      <c r="K1914" s="7" t="str">
        <f>IFERROR(__xludf.DUMMYFUNCTION("IF('Respuestas de formulario 1'!K2027="""","""",TO_TEXT('Respuestas de formulario 1'!K2027))"),"")</f>
        <v/>
      </c>
      <c r="L1914" s="7" t="str">
        <f>IFERROR(__xludf.DUMMYFUNCTION("IF('Respuestas de formulario 1'!L2027="""","""",TO_TEXT('Respuestas de formulario 1'!L2027))"),"")</f>
        <v/>
      </c>
      <c r="M1914" s="7" t="str">
        <f>IFERROR(__xludf.DUMMYFUNCTION("IF('Respuestas de formulario 1'!M2027="""","""",TO_TEXT('Respuestas de formulario 1'!M2027))"),"")</f>
        <v/>
      </c>
      <c r="N1914" s="7" t="str">
        <f t="shared" si="1"/>
        <v/>
      </c>
      <c r="O1914" s="7" t="str">
        <f t="shared" si="2"/>
        <v/>
      </c>
      <c r="P1914" s="7"/>
    </row>
    <row r="1915">
      <c r="A1915" s="7" t="str">
        <f>'Respuestas de formulario 1'!A2028</f>
        <v/>
      </c>
      <c r="B1915" s="7" t="str">
        <f>'Respuestas de formulario 1'!B2028</f>
        <v/>
      </c>
      <c r="C1915" s="7" t="str">
        <f>'Respuestas de formulario 1'!C2028</f>
        <v/>
      </c>
      <c r="D1915" s="7" t="str">
        <f>'Respuestas de formulario 1'!D2028</f>
        <v/>
      </c>
      <c r="E1915" s="7" t="str">
        <f>'Respuestas de formulario 1'!E2028</f>
        <v/>
      </c>
      <c r="F1915" s="7" t="str">
        <f>'Respuestas de formulario 1'!F2028</f>
        <v/>
      </c>
      <c r="G1915" s="7" t="str">
        <f>IFERROR(__xludf.DUMMYFUNCTION("IF('Respuestas de formulario 1'!G2028="""","""",IF(LEFT(REGEXREPLACE(TO_TEXT('Respuestas de formulario 1'!G2028),""[^0-9]"",""""),2)=""54"",""+""&amp;REGEXREPLACE(TO_TEXT('Respuestas de formulario 1'!G2028),""[^0-9]"",""""),""+54""&amp;REGEXREPLACE(TO_TEXT('Respu"&amp;"estas de formulario 1'!G2028),""[^0-9]"","""")))"),"")</f>
        <v/>
      </c>
      <c r="H1915" s="7" t="str">
        <f>'Respuestas de formulario 1'!S2028</f>
        <v/>
      </c>
      <c r="I1915" s="7" t="str">
        <f>IFERROR(__xludf.DUMMYFUNCTION("IF('Respuestas de formulario 1'!I2028="""","""",TO_TEXT('Respuestas de formulario 1'!I2028))"),"")</f>
        <v/>
      </c>
      <c r="J1915" s="7" t="str">
        <f>IFERROR(__xludf.DUMMYFUNCTION("IF('Respuestas de formulario 1'!J2028&lt;&gt;"""",UPPER(TRIM(TO_TEXT('Respuestas de formulario 1'!J2028))),IF('Respuestas de formulario 1'!O2028&lt;&gt;"""",UPPER(TRIM(TO_TEXT('Respuestas de formulario 1'!O2028))),""""))"),"")</f>
        <v/>
      </c>
      <c r="K1915" s="7" t="str">
        <f>IFERROR(__xludf.DUMMYFUNCTION("IF('Respuestas de formulario 1'!K2028="""","""",TO_TEXT('Respuestas de formulario 1'!K2028))"),"")</f>
        <v/>
      </c>
      <c r="L1915" s="7" t="str">
        <f>IFERROR(__xludf.DUMMYFUNCTION("IF('Respuestas de formulario 1'!L2028="""","""",TO_TEXT('Respuestas de formulario 1'!L2028))"),"")</f>
        <v/>
      </c>
      <c r="M1915" s="7" t="str">
        <f>IFERROR(__xludf.DUMMYFUNCTION("IF('Respuestas de formulario 1'!M2028="""","""",TO_TEXT('Respuestas de formulario 1'!M2028))"),"")</f>
        <v/>
      </c>
      <c r="N1915" s="7" t="str">
        <f t="shared" si="1"/>
        <v/>
      </c>
      <c r="O1915" s="7" t="str">
        <f t="shared" si="2"/>
        <v/>
      </c>
      <c r="P1915" s="7"/>
    </row>
    <row r="1916">
      <c r="A1916" s="7" t="str">
        <f>'Respuestas de formulario 1'!A2029</f>
        <v/>
      </c>
      <c r="B1916" s="7" t="str">
        <f>'Respuestas de formulario 1'!B2029</f>
        <v/>
      </c>
      <c r="C1916" s="7" t="str">
        <f>'Respuestas de formulario 1'!C2029</f>
        <v/>
      </c>
      <c r="D1916" s="7" t="str">
        <f>'Respuestas de formulario 1'!D2029</f>
        <v/>
      </c>
      <c r="E1916" s="7" t="str">
        <f>'Respuestas de formulario 1'!E2029</f>
        <v/>
      </c>
      <c r="F1916" s="7" t="str">
        <f>'Respuestas de formulario 1'!F2029</f>
        <v/>
      </c>
      <c r="G1916" s="7" t="str">
        <f>IFERROR(__xludf.DUMMYFUNCTION("IF('Respuestas de formulario 1'!G2029="""","""",IF(LEFT(REGEXREPLACE(TO_TEXT('Respuestas de formulario 1'!G2029),""[^0-9]"",""""),2)=""54"",""+""&amp;REGEXREPLACE(TO_TEXT('Respuestas de formulario 1'!G2029),""[^0-9]"",""""),""+54""&amp;REGEXREPLACE(TO_TEXT('Respu"&amp;"estas de formulario 1'!G2029),""[^0-9]"","""")))"),"")</f>
        <v/>
      </c>
      <c r="H1916" s="7" t="str">
        <f>'Respuestas de formulario 1'!S2029</f>
        <v/>
      </c>
      <c r="I1916" s="7" t="str">
        <f>IFERROR(__xludf.DUMMYFUNCTION("IF('Respuestas de formulario 1'!I2029="""","""",TO_TEXT('Respuestas de formulario 1'!I2029))"),"")</f>
        <v/>
      </c>
      <c r="J1916" s="7" t="str">
        <f>IFERROR(__xludf.DUMMYFUNCTION("IF('Respuestas de formulario 1'!J2029&lt;&gt;"""",UPPER(TRIM(TO_TEXT('Respuestas de formulario 1'!J2029))),IF('Respuestas de formulario 1'!O2029&lt;&gt;"""",UPPER(TRIM(TO_TEXT('Respuestas de formulario 1'!O2029))),""""))"),"")</f>
        <v/>
      </c>
      <c r="K1916" s="7" t="str">
        <f>IFERROR(__xludf.DUMMYFUNCTION("IF('Respuestas de formulario 1'!K2029="""","""",TO_TEXT('Respuestas de formulario 1'!K2029))"),"")</f>
        <v/>
      </c>
      <c r="L1916" s="7" t="str">
        <f>IFERROR(__xludf.DUMMYFUNCTION("IF('Respuestas de formulario 1'!L2029="""","""",TO_TEXT('Respuestas de formulario 1'!L2029))"),"")</f>
        <v/>
      </c>
      <c r="M1916" s="7" t="str">
        <f>IFERROR(__xludf.DUMMYFUNCTION("IF('Respuestas de formulario 1'!M2029="""","""",TO_TEXT('Respuestas de formulario 1'!M2029))"),"")</f>
        <v/>
      </c>
      <c r="N1916" s="7" t="str">
        <f t="shared" si="1"/>
        <v/>
      </c>
      <c r="O1916" s="7" t="str">
        <f t="shared" si="2"/>
        <v/>
      </c>
      <c r="P1916" s="7"/>
    </row>
    <row r="1917">
      <c r="A1917" s="7" t="str">
        <f>'Respuestas de formulario 1'!A2030</f>
        <v/>
      </c>
      <c r="B1917" s="7" t="str">
        <f>'Respuestas de formulario 1'!B2030</f>
        <v/>
      </c>
      <c r="C1917" s="7" t="str">
        <f>'Respuestas de formulario 1'!C2030</f>
        <v/>
      </c>
      <c r="D1917" s="7" t="str">
        <f>'Respuestas de formulario 1'!D2030</f>
        <v/>
      </c>
      <c r="E1917" s="7" t="str">
        <f>'Respuestas de formulario 1'!E2030</f>
        <v/>
      </c>
      <c r="F1917" s="7" t="str">
        <f>'Respuestas de formulario 1'!F2030</f>
        <v/>
      </c>
      <c r="G1917" s="7" t="str">
        <f>IFERROR(__xludf.DUMMYFUNCTION("IF('Respuestas de formulario 1'!G2030="""","""",IF(LEFT(REGEXREPLACE(TO_TEXT('Respuestas de formulario 1'!G2030),""[^0-9]"",""""),2)=""54"",""+""&amp;REGEXREPLACE(TO_TEXT('Respuestas de formulario 1'!G2030),""[^0-9]"",""""),""+54""&amp;REGEXREPLACE(TO_TEXT('Respu"&amp;"estas de formulario 1'!G2030),""[^0-9]"","""")))"),"")</f>
        <v/>
      </c>
      <c r="H1917" s="7" t="str">
        <f>'Respuestas de formulario 1'!S2030</f>
        <v/>
      </c>
      <c r="I1917" s="7" t="str">
        <f>IFERROR(__xludf.DUMMYFUNCTION("IF('Respuestas de formulario 1'!I2030="""","""",TO_TEXT('Respuestas de formulario 1'!I2030))"),"")</f>
        <v/>
      </c>
      <c r="J1917" s="7" t="str">
        <f>IFERROR(__xludf.DUMMYFUNCTION("IF('Respuestas de formulario 1'!J2030&lt;&gt;"""",UPPER(TRIM(TO_TEXT('Respuestas de formulario 1'!J2030))),IF('Respuestas de formulario 1'!O2030&lt;&gt;"""",UPPER(TRIM(TO_TEXT('Respuestas de formulario 1'!O2030))),""""))"),"")</f>
        <v/>
      </c>
      <c r="K1917" s="7" t="str">
        <f>IFERROR(__xludf.DUMMYFUNCTION("IF('Respuestas de formulario 1'!K2030="""","""",TO_TEXT('Respuestas de formulario 1'!K2030))"),"")</f>
        <v/>
      </c>
      <c r="L1917" s="7" t="str">
        <f>IFERROR(__xludf.DUMMYFUNCTION("IF('Respuestas de formulario 1'!L2030="""","""",TO_TEXT('Respuestas de formulario 1'!L2030))"),"")</f>
        <v/>
      </c>
      <c r="M1917" s="7" t="str">
        <f>IFERROR(__xludf.DUMMYFUNCTION("IF('Respuestas de formulario 1'!M2030="""","""",TO_TEXT('Respuestas de formulario 1'!M2030))"),"")</f>
        <v/>
      </c>
      <c r="N1917" s="7" t="str">
        <f t="shared" si="1"/>
        <v/>
      </c>
      <c r="O1917" s="7" t="str">
        <f t="shared" si="2"/>
        <v/>
      </c>
      <c r="P1917" s="7"/>
    </row>
    <row r="1918">
      <c r="A1918" s="7" t="str">
        <f>'Respuestas de formulario 1'!A2031</f>
        <v/>
      </c>
      <c r="B1918" s="7" t="str">
        <f>'Respuestas de formulario 1'!B2031</f>
        <v/>
      </c>
      <c r="C1918" s="7" t="str">
        <f>'Respuestas de formulario 1'!C2031</f>
        <v/>
      </c>
      <c r="D1918" s="7" t="str">
        <f>'Respuestas de formulario 1'!D2031</f>
        <v/>
      </c>
      <c r="E1918" s="7" t="str">
        <f>'Respuestas de formulario 1'!E2031</f>
        <v/>
      </c>
      <c r="F1918" s="7" t="str">
        <f>'Respuestas de formulario 1'!F2031</f>
        <v/>
      </c>
      <c r="G1918" s="7" t="str">
        <f>IFERROR(__xludf.DUMMYFUNCTION("IF('Respuestas de formulario 1'!G2031="""","""",IF(LEFT(REGEXREPLACE(TO_TEXT('Respuestas de formulario 1'!G2031),""[^0-9]"",""""),2)=""54"",""+""&amp;REGEXREPLACE(TO_TEXT('Respuestas de formulario 1'!G2031),""[^0-9]"",""""),""+54""&amp;REGEXREPLACE(TO_TEXT('Respu"&amp;"estas de formulario 1'!G2031),""[^0-9]"","""")))"),"")</f>
        <v/>
      </c>
      <c r="H1918" s="7" t="str">
        <f>'Respuestas de formulario 1'!S2031</f>
        <v/>
      </c>
      <c r="I1918" s="7" t="str">
        <f>IFERROR(__xludf.DUMMYFUNCTION("IF('Respuestas de formulario 1'!I2031="""","""",TO_TEXT('Respuestas de formulario 1'!I2031))"),"")</f>
        <v/>
      </c>
      <c r="J1918" s="7" t="str">
        <f>IFERROR(__xludf.DUMMYFUNCTION("IF('Respuestas de formulario 1'!J2031&lt;&gt;"""",UPPER(TRIM(TO_TEXT('Respuestas de formulario 1'!J2031))),IF('Respuestas de formulario 1'!O2031&lt;&gt;"""",UPPER(TRIM(TO_TEXT('Respuestas de formulario 1'!O2031))),""""))"),"")</f>
        <v/>
      </c>
      <c r="K1918" s="7" t="str">
        <f>IFERROR(__xludf.DUMMYFUNCTION("IF('Respuestas de formulario 1'!K2031="""","""",TO_TEXT('Respuestas de formulario 1'!K2031))"),"")</f>
        <v/>
      </c>
      <c r="L1918" s="7" t="str">
        <f>IFERROR(__xludf.DUMMYFUNCTION("IF('Respuestas de formulario 1'!L2031="""","""",TO_TEXT('Respuestas de formulario 1'!L2031))"),"")</f>
        <v/>
      </c>
      <c r="M1918" s="7" t="str">
        <f>IFERROR(__xludf.DUMMYFUNCTION("IF('Respuestas de formulario 1'!M2031="""","""",TO_TEXT('Respuestas de formulario 1'!M2031))"),"")</f>
        <v/>
      </c>
      <c r="N1918" s="7" t="str">
        <f t="shared" si="1"/>
        <v/>
      </c>
      <c r="O1918" s="7" t="str">
        <f t="shared" si="2"/>
        <v/>
      </c>
      <c r="P1918" s="7"/>
    </row>
    <row r="1919">
      <c r="A1919" s="7" t="str">
        <f>'Respuestas de formulario 1'!A2032</f>
        <v/>
      </c>
      <c r="B1919" s="7" t="str">
        <f>'Respuestas de formulario 1'!B2032</f>
        <v/>
      </c>
      <c r="C1919" s="7" t="str">
        <f>'Respuestas de formulario 1'!C2032</f>
        <v/>
      </c>
      <c r="D1919" s="7" t="str">
        <f>'Respuestas de formulario 1'!D2032</f>
        <v/>
      </c>
      <c r="E1919" s="7" t="str">
        <f>'Respuestas de formulario 1'!E2032</f>
        <v/>
      </c>
      <c r="F1919" s="7" t="str">
        <f>'Respuestas de formulario 1'!F2032</f>
        <v/>
      </c>
      <c r="G1919" s="7" t="str">
        <f>IFERROR(__xludf.DUMMYFUNCTION("IF('Respuestas de formulario 1'!G2032="""","""",IF(LEFT(REGEXREPLACE(TO_TEXT('Respuestas de formulario 1'!G2032),""[^0-9]"",""""),2)=""54"",""+""&amp;REGEXREPLACE(TO_TEXT('Respuestas de formulario 1'!G2032),""[^0-9]"",""""),""+54""&amp;REGEXREPLACE(TO_TEXT('Respu"&amp;"estas de formulario 1'!G2032),""[^0-9]"","""")))"),"")</f>
        <v/>
      </c>
      <c r="H1919" s="7" t="str">
        <f>'Respuestas de formulario 1'!S2032</f>
        <v/>
      </c>
      <c r="I1919" s="7" t="str">
        <f>IFERROR(__xludf.DUMMYFUNCTION("IF('Respuestas de formulario 1'!I2032="""","""",TO_TEXT('Respuestas de formulario 1'!I2032))"),"")</f>
        <v/>
      </c>
      <c r="J1919" s="7" t="str">
        <f>IFERROR(__xludf.DUMMYFUNCTION("IF('Respuestas de formulario 1'!J2032&lt;&gt;"""",UPPER(TRIM(TO_TEXT('Respuestas de formulario 1'!J2032))),IF('Respuestas de formulario 1'!O2032&lt;&gt;"""",UPPER(TRIM(TO_TEXT('Respuestas de formulario 1'!O2032))),""""))"),"")</f>
        <v/>
      </c>
      <c r="K1919" s="7" t="str">
        <f>IFERROR(__xludf.DUMMYFUNCTION("IF('Respuestas de formulario 1'!K2032="""","""",TO_TEXT('Respuestas de formulario 1'!K2032))"),"")</f>
        <v/>
      </c>
      <c r="L1919" s="7" t="str">
        <f>IFERROR(__xludf.DUMMYFUNCTION("IF('Respuestas de formulario 1'!L2032="""","""",TO_TEXT('Respuestas de formulario 1'!L2032))"),"")</f>
        <v/>
      </c>
      <c r="M1919" s="7" t="str">
        <f>IFERROR(__xludf.DUMMYFUNCTION("IF('Respuestas de formulario 1'!M2032="""","""",TO_TEXT('Respuestas de formulario 1'!M2032))"),"")</f>
        <v/>
      </c>
      <c r="N1919" s="7" t="str">
        <f t="shared" si="1"/>
        <v/>
      </c>
      <c r="O1919" s="7" t="str">
        <f t="shared" si="2"/>
        <v/>
      </c>
      <c r="P1919" s="7"/>
    </row>
    <row r="1920">
      <c r="A1920" s="7" t="str">
        <f>'Respuestas de formulario 1'!A2033</f>
        <v/>
      </c>
      <c r="B1920" s="7" t="str">
        <f>'Respuestas de formulario 1'!B2033</f>
        <v/>
      </c>
      <c r="C1920" s="7" t="str">
        <f>'Respuestas de formulario 1'!C2033</f>
        <v/>
      </c>
      <c r="D1920" s="7" t="str">
        <f>'Respuestas de formulario 1'!D2033</f>
        <v/>
      </c>
      <c r="E1920" s="7" t="str">
        <f>'Respuestas de formulario 1'!E2033</f>
        <v/>
      </c>
      <c r="F1920" s="7" t="str">
        <f>'Respuestas de formulario 1'!F2033</f>
        <v/>
      </c>
      <c r="G1920" s="7" t="str">
        <f>IFERROR(__xludf.DUMMYFUNCTION("IF('Respuestas de formulario 1'!G2033="""","""",IF(LEFT(REGEXREPLACE(TO_TEXT('Respuestas de formulario 1'!G2033),""[^0-9]"",""""),2)=""54"",""+""&amp;REGEXREPLACE(TO_TEXT('Respuestas de formulario 1'!G2033),""[^0-9]"",""""),""+54""&amp;REGEXREPLACE(TO_TEXT('Respu"&amp;"estas de formulario 1'!G2033),""[^0-9]"","""")))"),"")</f>
        <v/>
      </c>
      <c r="H1920" s="7" t="str">
        <f>'Respuestas de formulario 1'!S2033</f>
        <v/>
      </c>
      <c r="I1920" s="7" t="str">
        <f>IFERROR(__xludf.DUMMYFUNCTION("IF('Respuestas de formulario 1'!I2033="""","""",TO_TEXT('Respuestas de formulario 1'!I2033))"),"")</f>
        <v/>
      </c>
      <c r="J1920" s="7" t="str">
        <f>IFERROR(__xludf.DUMMYFUNCTION("IF('Respuestas de formulario 1'!J2033&lt;&gt;"""",UPPER(TRIM(TO_TEXT('Respuestas de formulario 1'!J2033))),IF('Respuestas de formulario 1'!O2033&lt;&gt;"""",UPPER(TRIM(TO_TEXT('Respuestas de formulario 1'!O2033))),""""))"),"")</f>
        <v/>
      </c>
      <c r="K1920" s="7" t="str">
        <f>IFERROR(__xludf.DUMMYFUNCTION("IF('Respuestas de formulario 1'!K2033="""","""",TO_TEXT('Respuestas de formulario 1'!K2033))"),"")</f>
        <v/>
      </c>
      <c r="L1920" s="7" t="str">
        <f>IFERROR(__xludf.DUMMYFUNCTION("IF('Respuestas de formulario 1'!L2033="""","""",TO_TEXT('Respuestas de formulario 1'!L2033))"),"")</f>
        <v/>
      </c>
      <c r="M1920" s="7" t="str">
        <f>IFERROR(__xludf.DUMMYFUNCTION("IF('Respuestas de formulario 1'!M2033="""","""",TO_TEXT('Respuestas de formulario 1'!M2033))"),"")</f>
        <v/>
      </c>
      <c r="N1920" s="7" t="str">
        <f t="shared" si="1"/>
        <v/>
      </c>
      <c r="O1920" s="7" t="str">
        <f t="shared" si="2"/>
        <v/>
      </c>
      <c r="P1920" s="7"/>
    </row>
    <row r="1921">
      <c r="A1921" s="7" t="str">
        <f>'Respuestas de formulario 1'!A2034</f>
        <v/>
      </c>
      <c r="B1921" s="7" t="str">
        <f>'Respuestas de formulario 1'!B2034</f>
        <v/>
      </c>
      <c r="C1921" s="7" t="str">
        <f>'Respuestas de formulario 1'!C2034</f>
        <v/>
      </c>
      <c r="D1921" s="7" t="str">
        <f>'Respuestas de formulario 1'!D2034</f>
        <v/>
      </c>
      <c r="E1921" s="7" t="str">
        <f>'Respuestas de formulario 1'!E2034</f>
        <v/>
      </c>
      <c r="F1921" s="7" t="str">
        <f>'Respuestas de formulario 1'!F2034</f>
        <v/>
      </c>
      <c r="G1921" s="7" t="str">
        <f>IFERROR(__xludf.DUMMYFUNCTION("IF('Respuestas de formulario 1'!G2034="""","""",IF(LEFT(REGEXREPLACE(TO_TEXT('Respuestas de formulario 1'!G2034),""[^0-9]"",""""),2)=""54"",""+""&amp;REGEXREPLACE(TO_TEXT('Respuestas de formulario 1'!G2034),""[^0-9]"",""""),""+54""&amp;REGEXREPLACE(TO_TEXT('Respu"&amp;"estas de formulario 1'!G2034),""[^0-9]"","""")))"),"")</f>
        <v/>
      </c>
      <c r="H1921" s="7" t="str">
        <f>'Respuestas de formulario 1'!S2034</f>
        <v/>
      </c>
      <c r="I1921" s="7" t="str">
        <f>IFERROR(__xludf.DUMMYFUNCTION("IF('Respuestas de formulario 1'!I2034="""","""",TO_TEXT('Respuestas de formulario 1'!I2034))"),"")</f>
        <v/>
      </c>
      <c r="J1921" s="7" t="str">
        <f>IFERROR(__xludf.DUMMYFUNCTION("IF('Respuestas de formulario 1'!J2034&lt;&gt;"""",UPPER(TRIM(TO_TEXT('Respuestas de formulario 1'!J2034))),IF('Respuestas de formulario 1'!O2034&lt;&gt;"""",UPPER(TRIM(TO_TEXT('Respuestas de formulario 1'!O2034))),""""))"),"")</f>
        <v/>
      </c>
      <c r="K1921" s="7" t="str">
        <f>IFERROR(__xludf.DUMMYFUNCTION("IF('Respuestas de formulario 1'!K2034="""","""",TO_TEXT('Respuestas de formulario 1'!K2034))"),"")</f>
        <v/>
      </c>
      <c r="L1921" s="7" t="str">
        <f>IFERROR(__xludf.DUMMYFUNCTION("IF('Respuestas de formulario 1'!L2034="""","""",TO_TEXT('Respuestas de formulario 1'!L2034))"),"")</f>
        <v/>
      </c>
      <c r="M1921" s="7" t="str">
        <f>IFERROR(__xludf.DUMMYFUNCTION("IF('Respuestas de formulario 1'!M2034="""","""",TO_TEXT('Respuestas de formulario 1'!M2034))"),"")</f>
        <v/>
      </c>
      <c r="N1921" s="7" t="str">
        <f t="shared" si="1"/>
        <v/>
      </c>
      <c r="O1921" s="7" t="str">
        <f t="shared" si="2"/>
        <v/>
      </c>
      <c r="P1921" s="7"/>
    </row>
    <row r="1922">
      <c r="A1922" s="7" t="str">
        <f>'Respuestas de formulario 1'!A2035</f>
        <v/>
      </c>
      <c r="B1922" s="7" t="str">
        <f>'Respuestas de formulario 1'!B2035</f>
        <v/>
      </c>
      <c r="C1922" s="7" t="str">
        <f>'Respuestas de formulario 1'!C2035</f>
        <v/>
      </c>
      <c r="D1922" s="7" t="str">
        <f>'Respuestas de formulario 1'!D2035</f>
        <v/>
      </c>
      <c r="E1922" s="7" t="str">
        <f>'Respuestas de formulario 1'!E2035</f>
        <v/>
      </c>
      <c r="F1922" s="7" t="str">
        <f>'Respuestas de formulario 1'!F2035</f>
        <v/>
      </c>
      <c r="G1922" s="7" t="str">
        <f>IFERROR(__xludf.DUMMYFUNCTION("IF('Respuestas de formulario 1'!G2035="""","""",IF(LEFT(REGEXREPLACE(TO_TEXT('Respuestas de formulario 1'!G2035),""[^0-9]"",""""),2)=""54"",""+""&amp;REGEXREPLACE(TO_TEXT('Respuestas de formulario 1'!G2035),""[^0-9]"",""""),""+54""&amp;REGEXREPLACE(TO_TEXT('Respu"&amp;"estas de formulario 1'!G2035),""[^0-9]"","""")))"),"")</f>
        <v/>
      </c>
      <c r="H1922" s="7" t="str">
        <f>'Respuestas de formulario 1'!S2035</f>
        <v/>
      </c>
      <c r="I1922" s="7" t="str">
        <f>IFERROR(__xludf.DUMMYFUNCTION("IF('Respuestas de formulario 1'!I2035="""","""",TO_TEXT('Respuestas de formulario 1'!I2035))"),"")</f>
        <v/>
      </c>
      <c r="J1922" s="7" t="str">
        <f>IFERROR(__xludf.DUMMYFUNCTION("IF('Respuestas de formulario 1'!J2035&lt;&gt;"""",UPPER(TRIM(TO_TEXT('Respuestas de formulario 1'!J2035))),IF('Respuestas de formulario 1'!O2035&lt;&gt;"""",UPPER(TRIM(TO_TEXT('Respuestas de formulario 1'!O2035))),""""))"),"")</f>
        <v/>
      </c>
      <c r="K1922" s="7" t="str">
        <f>IFERROR(__xludf.DUMMYFUNCTION("IF('Respuestas de formulario 1'!K2035="""","""",TO_TEXT('Respuestas de formulario 1'!K2035))"),"")</f>
        <v/>
      </c>
      <c r="L1922" s="7" t="str">
        <f>IFERROR(__xludf.DUMMYFUNCTION("IF('Respuestas de formulario 1'!L2035="""","""",TO_TEXT('Respuestas de formulario 1'!L2035))"),"")</f>
        <v/>
      </c>
      <c r="M1922" s="7" t="str">
        <f>IFERROR(__xludf.DUMMYFUNCTION("IF('Respuestas de formulario 1'!M2035="""","""",TO_TEXT('Respuestas de formulario 1'!M2035))"),"")</f>
        <v/>
      </c>
      <c r="N1922" s="7" t="str">
        <f t="shared" si="1"/>
        <v/>
      </c>
      <c r="O1922" s="7" t="str">
        <f t="shared" si="2"/>
        <v/>
      </c>
      <c r="P1922" s="7"/>
    </row>
    <row r="1923">
      <c r="A1923" s="7" t="str">
        <f>'Respuestas de formulario 1'!A2036</f>
        <v/>
      </c>
      <c r="B1923" s="7" t="str">
        <f>'Respuestas de formulario 1'!B2036</f>
        <v/>
      </c>
      <c r="C1923" s="7" t="str">
        <f>'Respuestas de formulario 1'!C2036</f>
        <v/>
      </c>
      <c r="D1923" s="7" t="str">
        <f>'Respuestas de formulario 1'!D2036</f>
        <v/>
      </c>
      <c r="E1923" s="7" t="str">
        <f>'Respuestas de formulario 1'!E2036</f>
        <v/>
      </c>
      <c r="F1923" s="7" t="str">
        <f>'Respuestas de formulario 1'!F2036</f>
        <v/>
      </c>
      <c r="G1923" s="7" t="str">
        <f>IFERROR(__xludf.DUMMYFUNCTION("IF('Respuestas de formulario 1'!G2036="""","""",IF(LEFT(REGEXREPLACE(TO_TEXT('Respuestas de formulario 1'!G2036),""[^0-9]"",""""),2)=""54"",""+""&amp;REGEXREPLACE(TO_TEXT('Respuestas de formulario 1'!G2036),""[^0-9]"",""""),""+54""&amp;REGEXREPLACE(TO_TEXT('Respu"&amp;"estas de formulario 1'!G2036),""[^0-9]"","""")))"),"")</f>
        <v/>
      </c>
      <c r="H1923" s="7" t="str">
        <f>'Respuestas de formulario 1'!S2036</f>
        <v/>
      </c>
      <c r="I1923" s="7" t="str">
        <f>IFERROR(__xludf.DUMMYFUNCTION("IF('Respuestas de formulario 1'!I2036="""","""",TO_TEXT('Respuestas de formulario 1'!I2036))"),"")</f>
        <v/>
      </c>
      <c r="J1923" s="7" t="str">
        <f>IFERROR(__xludf.DUMMYFUNCTION("IF('Respuestas de formulario 1'!J2036&lt;&gt;"""",UPPER(TRIM(TO_TEXT('Respuestas de formulario 1'!J2036))),IF('Respuestas de formulario 1'!O2036&lt;&gt;"""",UPPER(TRIM(TO_TEXT('Respuestas de formulario 1'!O2036))),""""))"),"")</f>
        <v/>
      </c>
      <c r="K1923" s="7" t="str">
        <f>IFERROR(__xludf.DUMMYFUNCTION("IF('Respuestas de formulario 1'!K2036="""","""",TO_TEXT('Respuestas de formulario 1'!K2036))"),"")</f>
        <v/>
      </c>
      <c r="L1923" s="7" t="str">
        <f>IFERROR(__xludf.DUMMYFUNCTION("IF('Respuestas de formulario 1'!L2036="""","""",TO_TEXT('Respuestas de formulario 1'!L2036))"),"")</f>
        <v/>
      </c>
      <c r="M1923" s="7" t="str">
        <f>IFERROR(__xludf.DUMMYFUNCTION("IF('Respuestas de formulario 1'!M2036="""","""",TO_TEXT('Respuestas de formulario 1'!M2036))"),"")</f>
        <v/>
      </c>
      <c r="N1923" s="7" t="str">
        <f t="shared" si="1"/>
        <v/>
      </c>
      <c r="O1923" s="7" t="str">
        <f t="shared" si="2"/>
        <v/>
      </c>
      <c r="P1923" s="7"/>
    </row>
    <row r="1924">
      <c r="A1924" s="7" t="str">
        <f>'Respuestas de formulario 1'!A2037</f>
        <v/>
      </c>
      <c r="B1924" s="7" t="str">
        <f>'Respuestas de formulario 1'!B2037</f>
        <v/>
      </c>
      <c r="C1924" s="7" t="str">
        <f>'Respuestas de formulario 1'!C2037</f>
        <v/>
      </c>
      <c r="D1924" s="7" t="str">
        <f>'Respuestas de formulario 1'!D2037</f>
        <v/>
      </c>
      <c r="E1924" s="7" t="str">
        <f>'Respuestas de formulario 1'!E2037</f>
        <v/>
      </c>
      <c r="F1924" s="7" t="str">
        <f>'Respuestas de formulario 1'!F2037</f>
        <v/>
      </c>
      <c r="G1924" s="7" t="str">
        <f>IFERROR(__xludf.DUMMYFUNCTION("IF('Respuestas de formulario 1'!G2037="""","""",IF(LEFT(REGEXREPLACE(TO_TEXT('Respuestas de formulario 1'!G2037),""[^0-9]"",""""),2)=""54"",""+""&amp;REGEXREPLACE(TO_TEXT('Respuestas de formulario 1'!G2037),""[^0-9]"",""""),""+54""&amp;REGEXREPLACE(TO_TEXT('Respu"&amp;"estas de formulario 1'!G2037),""[^0-9]"","""")))"),"")</f>
        <v/>
      </c>
      <c r="H1924" s="7" t="str">
        <f>'Respuestas de formulario 1'!S2037</f>
        <v/>
      </c>
      <c r="I1924" s="7" t="str">
        <f>IFERROR(__xludf.DUMMYFUNCTION("IF('Respuestas de formulario 1'!I2037="""","""",TO_TEXT('Respuestas de formulario 1'!I2037))"),"")</f>
        <v/>
      </c>
      <c r="J1924" s="7" t="str">
        <f>IFERROR(__xludf.DUMMYFUNCTION("IF('Respuestas de formulario 1'!J2037&lt;&gt;"""",UPPER(TRIM(TO_TEXT('Respuestas de formulario 1'!J2037))),IF('Respuestas de formulario 1'!O2037&lt;&gt;"""",UPPER(TRIM(TO_TEXT('Respuestas de formulario 1'!O2037))),""""))"),"")</f>
        <v/>
      </c>
      <c r="K1924" s="7" t="str">
        <f>IFERROR(__xludf.DUMMYFUNCTION("IF('Respuestas de formulario 1'!K2037="""","""",TO_TEXT('Respuestas de formulario 1'!K2037))"),"")</f>
        <v/>
      </c>
      <c r="L1924" s="7" t="str">
        <f>IFERROR(__xludf.DUMMYFUNCTION("IF('Respuestas de formulario 1'!L2037="""","""",TO_TEXT('Respuestas de formulario 1'!L2037))"),"")</f>
        <v/>
      </c>
      <c r="M1924" s="7" t="str">
        <f>IFERROR(__xludf.DUMMYFUNCTION("IF('Respuestas de formulario 1'!M2037="""","""",TO_TEXT('Respuestas de formulario 1'!M2037))"),"")</f>
        <v/>
      </c>
      <c r="N1924" s="7" t="str">
        <f t="shared" si="1"/>
        <v/>
      </c>
      <c r="O1924" s="7" t="str">
        <f t="shared" si="2"/>
        <v/>
      </c>
      <c r="P1924" s="7"/>
    </row>
    <row r="1925">
      <c r="A1925" s="7" t="str">
        <f>'Respuestas de formulario 1'!A2038</f>
        <v/>
      </c>
      <c r="B1925" s="7" t="str">
        <f>'Respuestas de formulario 1'!B2038</f>
        <v/>
      </c>
      <c r="C1925" s="7" t="str">
        <f>'Respuestas de formulario 1'!C2038</f>
        <v/>
      </c>
      <c r="D1925" s="7" t="str">
        <f>'Respuestas de formulario 1'!D2038</f>
        <v/>
      </c>
      <c r="E1925" s="7" t="str">
        <f>'Respuestas de formulario 1'!E2038</f>
        <v/>
      </c>
      <c r="F1925" s="7" t="str">
        <f>'Respuestas de formulario 1'!F2038</f>
        <v/>
      </c>
      <c r="G1925" s="7" t="str">
        <f>IFERROR(__xludf.DUMMYFUNCTION("IF('Respuestas de formulario 1'!G2038="""","""",IF(LEFT(REGEXREPLACE(TO_TEXT('Respuestas de formulario 1'!G2038),""[^0-9]"",""""),2)=""54"",""+""&amp;REGEXREPLACE(TO_TEXT('Respuestas de formulario 1'!G2038),""[^0-9]"",""""),""+54""&amp;REGEXREPLACE(TO_TEXT('Respu"&amp;"estas de formulario 1'!G2038),""[^0-9]"","""")))"),"")</f>
        <v/>
      </c>
      <c r="H1925" s="7" t="str">
        <f>'Respuestas de formulario 1'!S2038</f>
        <v/>
      </c>
      <c r="I1925" s="7" t="str">
        <f>IFERROR(__xludf.DUMMYFUNCTION("IF('Respuestas de formulario 1'!I2038="""","""",TO_TEXT('Respuestas de formulario 1'!I2038))"),"")</f>
        <v/>
      </c>
      <c r="J1925" s="7" t="str">
        <f>IFERROR(__xludf.DUMMYFUNCTION("IF('Respuestas de formulario 1'!J2038&lt;&gt;"""",UPPER(TRIM(TO_TEXT('Respuestas de formulario 1'!J2038))),IF('Respuestas de formulario 1'!O2038&lt;&gt;"""",UPPER(TRIM(TO_TEXT('Respuestas de formulario 1'!O2038))),""""))"),"")</f>
        <v/>
      </c>
      <c r="K1925" s="7" t="str">
        <f>IFERROR(__xludf.DUMMYFUNCTION("IF('Respuestas de formulario 1'!K2038="""","""",TO_TEXT('Respuestas de formulario 1'!K2038))"),"")</f>
        <v/>
      </c>
      <c r="L1925" s="7" t="str">
        <f>IFERROR(__xludf.DUMMYFUNCTION("IF('Respuestas de formulario 1'!L2038="""","""",TO_TEXT('Respuestas de formulario 1'!L2038))"),"")</f>
        <v/>
      </c>
      <c r="M1925" s="7" t="str">
        <f>IFERROR(__xludf.DUMMYFUNCTION("IF('Respuestas de formulario 1'!M2038="""","""",TO_TEXT('Respuestas de formulario 1'!M2038))"),"")</f>
        <v/>
      </c>
      <c r="N1925" s="7" t="str">
        <f t="shared" si="1"/>
        <v/>
      </c>
      <c r="O1925" s="7" t="str">
        <f t="shared" si="2"/>
        <v/>
      </c>
      <c r="P1925" s="7"/>
    </row>
    <row r="1926">
      <c r="A1926" s="7" t="str">
        <f>'Respuestas de formulario 1'!A2039</f>
        <v/>
      </c>
      <c r="B1926" s="7" t="str">
        <f>'Respuestas de formulario 1'!B2039</f>
        <v/>
      </c>
      <c r="C1926" s="7" t="str">
        <f>'Respuestas de formulario 1'!C2039</f>
        <v/>
      </c>
      <c r="D1926" s="7" t="str">
        <f>'Respuestas de formulario 1'!D2039</f>
        <v/>
      </c>
      <c r="E1926" s="7" t="str">
        <f>'Respuestas de formulario 1'!E2039</f>
        <v/>
      </c>
      <c r="F1926" s="7" t="str">
        <f>'Respuestas de formulario 1'!F2039</f>
        <v/>
      </c>
      <c r="G1926" s="7" t="str">
        <f>IFERROR(__xludf.DUMMYFUNCTION("IF('Respuestas de formulario 1'!G2039="""","""",IF(LEFT(REGEXREPLACE(TO_TEXT('Respuestas de formulario 1'!G2039),""[^0-9]"",""""),2)=""54"",""+""&amp;REGEXREPLACE(TO_TEXT('Respuestas de formulario 1'!G2039),""[^0-9]"",""""),""+54""&amp;REGEXREPLACE(TO_TEXT('Respu"&amp;"estas de formulario 1'!G2039),""[^0-9]"","""")))"),"")</f>
        <v/>
      </c>
      <c r="H1926" s="7" t="str">
        <f>'Respuestas de formulario 1'!S2039</f>
        <v/>
      </c>
      <c r="I1926" s="7" t="str">
        <f>IFERROR(__xludf.DUMMYFUNCTION("IF('Respuestas de formulario 1'!I2039="""","""",TO_TEXT('Respuestas de formulario 1'!I2039))"),"")</f>
        <v/>
      </c>
      <c r="J1926" s="7" t="str">
        <f>IFERROR(__xludf.DUMMYFUNCTION("IF('Respuestas de formulario 1'!J2039&lt;&gt;"""",UPPER(TRIM(TO_TEXT('Respuestas de formulario 1'!J2039))),IF('Respuestas de formulario 1'!O2039&lt;&gt;"""",UPPER(TRIM(TO_TEXT('Respuestas de formulario 1'!O2039))),""""))"),"")</f>
        <v/>
      </c>
      <c r="K1926" s="7" t="str">
        <f>IFERROR(__xludf.DUMMYFUNCTION("IF('Respuestas de formulario 1'!K2039="""","""",TO_TEXT('Respuestas de formulario 1'!K2039))"),"")</f>
        <v/>
      </c>
      <c r="L1926" s="7" t="str">
        <f>IFERROR(__xludf.DUMMYFUNCTION("IF('Respuestas de formulario 1'!L2039="""","""",TO_TEXT('Respuestas de formulario 1'!L2039))"),"")</f>
        <v/>
      </c>
      <c r="M1926" s="7" t="str">
        <f>IFERROR(__xludf.DUMMYFUNCTION("IF('Respuestas de formulario 1'!M2039="""","""",TO_TEXT('Respuestas de formulario 1'!M2039))"),"")</f>
        <v/>
      </c>
      <c r="N1926" s="7" t="str">
        <f t="shared" si="1"/>
        <v/>
      </c>
      <c r="O1926" s="7" t="str">
        <f t="shared" si="2"/>
        <v/>
      </c>
      <c r="P1926" s="7"/>
    </row>
    <row r="1927">
      <c r="A1927" s="7" t="str">
        <f>'Respuestas de formulario 1'!A2040</f>
        <v/>
      </c>
      <c r="B1927" s="7" t="str">
        <f>'Respuestas de formulario 1'!B2040</f>
        <v/>
      </c>
      <c r="C1927" s="7" t="str">
        <f>'Respuestas de formulario 1'!C2040</f>
        <v/>
      </c>
      <c r="D1927" s="7" t="str">
        <f>'Respuestas de formulario 1'!D2040</f>
        <v/>
      </c>
      <c r="E1927" s="7" t="str">
        <f>'Respuestas de formulario 1'!E2040</f>
        <v/>
      </c>
      <c r="F1927" s="7" t="str">
        <f>'Respuestas de formulario 1'!F2040</f>
        <v/>
      </c>
      <c r="G1927" s="7" t="str">
        <f>IFERROR(__xludf.DUMMYFUNCTION("IF('Respuestas de formulario 1'!G2040="""","""",IF(LEFT(REGEXREPLACE(TO_TEXT('Respuestas de formulario 1'!G2040),""[^0-9]"",""""),2)=""54"",""+""&amp;REGEXREPLACE(TO_TEXT('Respuestas de formulario 1'!G2040),""[^0-9]"",""""),""+54""&amp;REGEXREPLACE(TO_TEXT('Respu"&amp;"estas de formulario 1'!G2040),""[^0-9]"","""")))"),"")</f>
        <v/>
      </c>
      <c r="H1927" s="7" t="str">
        <f>'Respuestas de formulario 1'!S2040</f>
        <v/>
      </c>
      <c r="I1927" s="7" t="str">
        <f>IFERROR(__xludf.DUMMYFUNCTION("IF('Respuestas de formulario 1'!I2040="""","""",TO_TEXT('Respuestas de formulario 1'!I2040))"),"")</f>
        <v/>
      </c>
      <c r="J1927" s="7" t="str">
        <f>IFERROR(__xludf.DUMMYFUNCTION("IF('Respuestas de formulario 1'!J2040&lt;&gt;"""",UPPER(TRIM(TO_TEXT('Respuestas de formulario 1'!J2040))),IF('Respuestas de formulario 1'!O2040&lt;&gt;"""",UPPER(TRIM(TO_TEXT('Respuestas de formulario 1'!O2040))),""""))"),"")</f>
        <v/>
      </c>
      <c r="K1927" s="7" t="str">
        <f>IFERROR(__xludf.DUMMYFUNCTION("IF('Respuestas de formulario 1'!K2040="""","""",TO_TEXT('Respuestas de formulario 1'!K2040))"),"")</f>
        <v/>
      </c>
      <c r="L1927" s="7" t="str">
        <f>IFERROR(__xludf.DUMMYFUNCTION("IF('Respuestas de formulario 1'!L2040="""","""",TO_TEXT('Respuestas de formulario 1'!L2040))"),"")</f>
        <v/>
      </c>
      <c r="M1927" s="7" t="str">
        <f>IFERROR(__xludf.DUMMYFUNCTION("IF('Respuestas de formulario 1'!M2040="""","""",TO_TEXT('Respuestas de formulario 1'!M2040))"),"")</f>
        <v/>
      </c>
      <c r="N1927" s="7" t="str">
        <f t="shared" si="1"/>
        <v/>
      </c>
      <c r="O1927" s="7" t="str">
        <f t="shared" si="2"/>
        <v/>
      </c>
      <c r="P1927" s="7"/>
    </row>
    <row r="1928">
      <c r="A1928" s="7" t="str">
        <f>'Respuestas de formulario 1'!A2041</f>
        <v/>
      </c>
      <c r="B1928" s="7" t="str">
        <f>'Respuestas de formulario 1'!B2041</f>
        <v/>
      </c>
      <c r="C1928" s="7" t="str">
        <f>'Respuestas de formulario 1'!C2041</f>
        <v/>
      </c>
      <c r="D1928" s="7" t="str">
        <f>'Respuestas de formulario 1'!D2041</f>
        <v/>
      </c>
      <c r="E1928" s="7" t="str">
        <f>'Respuestas de formulario 1'!E2041</f>
        <v/>
      </c>
      <c r="F1928" s="7" t="str">
        <f>'Respuestas de formulario 1'!F2041</f>
        <v/>
      </c>
      <c r="G1928" s="7" t="str">
        <f>IFERROR(__xludf.DUMMYFUNCTION("IF('Respuestas de formulario 1'!G2041="""","""",IF(LEFT(REGEXREPLACE(TO_TEXT('Respuestas de formulario 1'!G2041),""[^0-9]"",""""),2)=""54"",""+""&amp;REGEXREPLACE(TO_TEXT('Respuestas de formulario 1'!G2041),""[^0-9]"",""""),""+54""&amp;REGEXREPLACE(TO_TEXT('Respu"&amp;"estas de formulario 1'!G2041),""[^0-9]"","""")))"),"")</f>
        <v/>
      </c>
      <c r="H1928" s="7" t="str">
        <f>'Respuestas de formulario 1'!S2041</f>
        <v/>
      </c>
      <c r="I1928" s="7" t="str">
        <f>IFERROR(__xludf.DUMMYFUNCTION("IF('Respuestas de formulario 1'!I2041="""","""",TO_TEXT('Respuestas de formulario 1'!I2041))"),"")</f>
        <v/>
      </c>
      <c r="J1928" s="7" t="str">
        <f>IFERROR(__xludf.DUMMYFUNCTION("IF('Respuestas de formulario 1'!J2041&lt;&gt;"""",UPPER(TRIM(TO_TEXT('Respuestas de formulario 1'!J2041))),IF('Respuestas de formulario 1'!O2041&lt;&gt;"""",UPPER(TRIM(TO_TEXT('Respuestas de formulario 1'!O2041))),""""))"),"")</f>
        <v/>
      </c>
      <c r="K1928" s="7" t="str">
        <f>IFERROR(__xludf.DUMMYFUNCTION("IF('Respuestas de formulario 1'!K2041="""","""",TO_TEXT('Respuestas de formulario 1'!K2041))"),"")</f>
        <v/>
      </c>
      <c r="L1928" s="7" t="str">
        <f>IFERROR(__xludf.DUMMYFUNCTION("IF('Respuestas de formulario 1'!L2041="""","""",TO_TEXT('Respuestas de formulario 1'!L2041))"),"")</f>
        <v/>
      </c>
      <c r="M1928" s="7" t="str">
        <f>IFERROR(__xludf.DUMMYFUNCTION("IF('Respuestas de formulario 1'!M2041="""","""",TO_TEXT('Respuestas de formulario 1'!M2041))"),"")</f>
        <v/>
      </c>
      <c r="N1928" s="7" t="str">
        <f t="shared" si="1"/>
        <v/>
      </c>
      <c r="O1928" s="7" t="str">
        <f t="shared" si="2"/>
        <v/>
      </c>
      <c r="P1928" s="7"/>
    </row>
    <row r="1929">
      <c r="A1929" s="7" t="str">
        <f>'Respuestas de formulario 1'!A2042</f>
        <v/>
      </c>
      <c r="B1929" s="7" t="str">
        <f>'Respuestas de formulario 1'!B2042</f>
        <v/>
      </c>
      <c r="C1929" s="7" t="str">
        <f>'Respuestas de formulario 1'!C2042</f>
        <v/>
      </c>
      <c r="D1929" s="7" t="str">
        <f>'Respuestas de formulario 1'!D2042</f>
        <v/>
      </c>
      <c r="E1929" s="7" t="str">
        <f>'Respuestas de formulario 1'!E2042</f>
        <v/>
      </c>
      <c r="F1929" s="7" t="str">
        <f>'Respuestas de formulario 1'!F2042</f>
        <v/>
      </c>
      <c r="G1929" s="7" t="str">
        <f>IFERROR(__xludf.DUMMYFUNCTION("IF('Respuestas de formulario 1'!G2042="""","""",IF(LEFT(REGEXREPLACE(TO_TEXT('Respuestas de formulario 1'!G2042),""[^0-9]"",""""),2)=""54"",""+""&amp;REGEXREPLACE(TO_TEXT('Respuestas de formulario 1'!G2042),""[^0-9]"",""""),""+54""&amp;REGEXREPLACE(TO_TEXT('Respu"&amp;"estas de formulario 1'!G2042),""[^0-9]"","""")))"),"")</f>
        <v/>
      </c>
      <c r="H1929" s="7" t="str">
        <f>'Respuestas de formulario 1'!S2042</f>
        <v/>
      </c>
      <c r="I1929" s="7" t="str">
        <f>IFERROR(__xludf.DUMMYFUNCTION("IF('Respuestas de formulario 1'!I2042="""","""",TO_TEXT('Respuestas de formulario 1'!I2042))"),"")</f>
        <v/>
      </c>
      <c r="J1929" s="7" t="str">
        <f>IFERROR(__xludf.DUMMYFUNCTION("IF('Respuestas de formulario 1'!J2042&lt;&gt;"""",UPPER(TRIM(TO_TEXT('Respuestas de formulario 1'!J2042))),IF('Respuestas de formulario 1'!O2042&lt;&gt;"""",UPPER(TRIM(TO_TEXT('Respuestas de formulario 1'!O2042))),""""))"),"")</f>
        <v/>
      </c>
      <c r="K1929" s="7" t="str">
        <f>IFERROR(__xludf.DUMMYFUNCTION("IF('Respuestas de formulario 1'!K2042="""","""",TO_TEXT('Respuestas de formulario 1'!K2042))"),"")</f>
        <v/>
      </c>
      <c r="L1929" s="7" t="str">
        <f>IFERROR(__xludf.DUMMYFUNCTION("IF('Respuestas de formulario 1'!L2042="""","""",TO_TEXT('Respuestas de formulario 1'!L2042))"),"")</f>
        <v/>
      </c>
      <c r="M1929" s="7" t="str">
        <f>IFERROR(__xludf.DUMMYFUNCTION("IF('Respuestas de formulario 1'!M2042="""","""",TO_TEXT('Respuestas de formulario 1'!M2042))"),"")</f>
        <v/>
      </c>
      <c r="N1929" s="7" t="str">
        <f t="shared" si="1"/>
        <v/>
      </c>
      <c r="O1929" s="7" t="str">
        <f t="shared" si="2"/>
        <v/>
      </c>
      <c r="P1929" s="7"/>
    </row>
    <row r="1930">
      <c r="A1930" s="7" t="str">
        <f>'Respuestas de formulario 1'!A2043</f>
        <v/>
      </c>
      <c r="B1930" s="7" t="str">
        <f>'Respuestas de formulario 1'!B2043</f>
        <v/>
      </c>
      <c r="C1930" s="7" t="str">
        <f>'Respuestas de formulario 1'!C2043</f>
        <v/>
      </c>
      <c r="D1930" s="7" t="str">
        <f>'Respuestas de formulario 1'!D2043</f>
        <v/>
      </c>
      <c r="E1930" s="7" t="str">
        <f>'Respuestas de formulario 1'!E2043</f>
        <v/>
      </c>
      <c r="F1930" s="7" t="str">
        <f>'Respuestas de formulario 1'!F2043</f>
        <v/>
      </c>
      <c r="G1930" s="7" t="str">
        <f>IFERROR(__xludf.DUMMYFUNCTION("IF('Respuestas de formulario 1'!G2043="""","""",IF(LEFT(REGEXREPLACE(TO_TEXT('Respuestas de formulario 1'!G2043),""[^0-9]"",""""),2)=""54"",""+""&amp;REGEXREPLACE(TO_TEXT('Respuestas de formulario 1'!G2043),""[^0-9]"",""""),""+54""&amp;REGEXREPLACE(TO_TEXT('Respu"&amp;"estas de formulario 1'!G2043),""[^0-9]"","""")))"),"")</f>
        <v/>
      </c>
      <c r="H1930" s="7" t="str">
        <f>'Respuestas de formulario 1'!S2043</f>
        <v/>
      </c>
      <c r="I1930" s="7" t="str">
        <f>IFERROR(__xludf.DUMMYFUNCTION("IF('Respuestas de formulario 1'!I2043="""","""",TO_TEXT('Respuestas de formulario 1'!I2043))"),"")</f>
        <v/>
      </c>
      <c r="J1930" s="7" t="str">
        <f>IFERROR(__xludf.DUMMYFUNCTION("IF('Respuestas de formulario 1'!J2043&lt;&gt;"""",UPPER(TRIM(TO_TEXT('Respuestas de formulario 1'!J2043))),IF('Respuestas de formulario 1'!O2043&lt;&gt;"""",UPPER(TRIM(TO_TEXT('Respuestas de formulario 1'!O2043))),""""))"),"")</f>
        <v/>
      </c>
      <c r="K1930" s="7" t="str">
        <f>IFERROR(__xludf.DUMMYFUNCTION("IF('Respuestas de formulario 1'!K2043="""","""",TO_TEXT('Respuestas de formulario 1'!K2043))"),"")</f>
        <v/>
      </c>
      <c r="L1930" s="7" t="str">
        <f>IFERROR(__xludf.DUMMYFUNCTION("IF('Respuestas de formulario 1'!L2043="""","""",TO_TEXT('Respuestas de formulario 1'!L2043))"),"")</f>
        <v/>
      </c>
      <c r="M1930" s="7" t="str">
        <f>IFERROR(__xludf.DUMMYFUNCTION("IF('Respuestas de formulario 1'!M2043="""","""",TO_TEXT('Respuestas de formulario 1'!M2043))"),"")</f>
        <v/>
      </c>
      <c r="N1930" s="7" t="str">
        <f t="shared" si="1"/>
        <v/>
      </c>
      <c r="O1930" s="7" t="str">
        <f t="shared" si="2"/>
        <v/>
      </c>
      <c r="P1930" s="7"/>
    </row>
    <row r="1931">
      <c r="A1931" s="7" t="str">
        <f>'Respuestas de formulario 1'!A2044</f>
        <v/>
      </c>
      <c r="B1931" s="7" t="str">
        <f>'Respuestas de formulario 1'!B2044</f>
        <v/>
      </c>
      <c r="C1931" s="7" t="str">
        <f>'Respuestas de formulario 1'!C2044</f>
        <v/>
      </c>
      <c r="D1931" s="7" t="str">
        <f>'Respuestas de formulario 1'!D2044</f>
        <v/>
      </c>
      <c r="E1931" s="7" t="str">
        <f>'Respuestas de formulario 1'!E2044</f>
        <v/>
      </c>
      <c r="F1931" s="7" t="str">
        <f>'Respuestas de formulario 1'!F2044</f>
        <v/>
      </c>
      <c r="G1931" s="7" t="str">
        <f>IFERROR(__xludf.DUMMYFUNCTION("IF('Respuestas de formulario 1'!G2044="""","""",IF(LEFT(REGEXREPLACE(TO_TEXT('Respuestas de formulario 1'!G2044),""[^0-9]"",""""),2)=""54"",""+""&amp;REGEXREPLACE(TO_TEXT('Respuestas de formulario 1'!G2044),""[^0-9]"",""""),""+54""&amp;REGEXREPLACE(TO_TEXT('Respu"&amp;"estas de formulario 1'!G2044),""[^0-9]"","""")))"),"")</f>
        <v/>
      </c>
      <c r="H1931" s="7" t="str">
        <f>'Respuestas de formulario 1'!S2044</f>
        <v/>
      </c>
      <c r="I1931" s="7" t="str">
        <f>IFERROR(__xludf.DUMMYFUNCTION("IF('Respuestas de formulario 1'!I2044="""","""",TO_TEXT('Respuestas de formulario 1'!I2044))"),"")</f>
        <v/>
      </c>
      <c r="J1931" s="7" t="str">
        <f>IFERROR(__xludf.DUMMYFUNCTION("IF('Respuestas de formulario 1'!J2044&lt;&gt;"""",UPPER(TRIM(TO_TEXT('Respuestas de formulario 1'!J2044))),IF('Respuestas de formulario 1'!O2044&lt;&gt;"""",UPPER(TRIM(TO_TEXT('Respuestas de formulario 1'!O2044))),""""))"),"")</f>
        <v/>
      </c>
      <c r="K1931" s="7" t="str">
        <f>IFERROR(__xludf.DUMMYFUNCTION("IF('Respuestas de formulario 1'!K2044="""","""",TO_TEXT('Respuestas de formulario 1'!K2044))"),"")</f>
        <v/>
      </c>
      <c r="L1931" s="7" t="str">
        <f>IFERROR(__xludf.DUMMYFUNCTION("IF('Respuestas de formulario 1'!L2044="""","""",TO_TEXT('Respuestas de formulario 1'!L2044))"),"")</f>
        <v/>
      </c>
      <c r="M1931" s="7" t="str">
        <f>IFERROR(__xludf.DUMMYFUNCTION("IF('Respuestas de formulario 1'!M2044="""","""",TO_TEXT('Respuestas de formulario 1'!M2044))"),"")</f>
        <v/>
      </c>
      <c r="N1931" s="7" t="str">
        <f t="shared" si="1"/>
        <v/>
      </c>
      <c r="O1931" s="7" t="str">
        <f t="shared" si="2"/>
        <v/>
      </c>
      <c r="P1931" s="7"/>
    </row>
    <row r="1932">
      <c r="A1932" s="7" t="str">
        <f>'Respuestas de formulario 1'!A2045</f>
        <v/>
      </c>
      <c r="B1932" s="7" t="str">
        <f>'Respuestas de formulario 1'!B2045</f>
        <v/>
      </c>
      <c r="C1932" s="7" t="str">
        <f>'Respuestas de formulario 1'!C2045</f>
        <v/>
      </c>
      <c r="D1932" s="7" t="str">
        <f>'Respuestas de formulario 1'!D2045</f>
        <v/>
      </c>
      <c r="E1932" s="7" t="str">
        <f>'Respuestas de formulario 1'!E2045</f>
        <v/>
      </c>
      <c r="F1932" s="7" t="str">
        <f>'Respuestas de formulario 1'!F2045</f>
        <v/>
      </c>
      <c r="G1932" s="7" t="str">
        <f>IFERROR(__xludf.DUMMYFUNCTION("IF('Respuestas de formulario 1'!G2045="""","""",IF(LEFT(REGEXREPLACE(TO_TEXT('Respuestas de formulario 1'!G2045),""[^0-9]"",""""),2)=""54"",""+""&amp;REGEXREPLACE(TO_TEXT('Respuestas de formulario 1'!G2045),""[^0-9]"",""""),""+54""&amp;REGEXREPLACE(TO_TEXT('Respu"&amp;"estas de formulario 1'!G2045),""[^0-9]"","""")))"),"")</f>
        <v/>
      </c>
      <c r="H1932" s="7" t="str">
        <f>'Respuestas de formulario 1'!S2045</f>
        <v/>
      </c>
      <c r="I1932" s="7" t="str">
        <f>IFERROR(__xludf.DUMMYFUNCTION("IF('Respuestas de formulario 1'!I2045="""","""",TO_TEXT('Respuestas de formulario 1'!I2045))"),"")</f>
        <v/>
      </c>
      <c r="J1932" s="7" t="str">
        <f>IFERROR(__xludf.DUMMYFUNCTION("IF('Respuestas de formulario 1'!J2045&lt;&gt;"""",UPPER(TRIM(TO_TEXT('Respuestas de formulario 1'!J2045))),IF('Respuestas de formulario 1'!O2045&lt;&gt;"""",UPPER(TRIM(TO_TEXT('Respuestas de formulario 1'!O2045))),""""))"),"")</f>
        <v/>
      </c>
      <c r="K1932" s="7" t="str">
        <f>IFERROR(__xludf.DUMMYFUNCTION("IF('Respuestas de formulario 1'!K2045="""","""",TO_TEXT('Respuestas de formulario 1'!K2045))"),"")</f>
        <v/>
      </c>
      <c r="L1932" s="7" t="str">
        <f>IFERROR(__xludf.DUMMYFUNCTION("IF('Respuestas de formulario 1'!L2045="""","""",TO_TEXT('Respuestas de formulario 1'!L2045))"),"")</f>
        <v/>
      </c>
      <c r="M1932" s="7" t="str">
        <f>IFERROR(__xludf.DUMMYFUNCTION("IF('Respuestas de formulario 1'!M2045="""","""",TO_TEXT('Respuestas de formulario 1'!M2045))"),"")</f>
        <v/>
      </c>
      <c r="N1932" s="7" t="str">
        <f t="shared" si="1"/>
        <v/>
      </c>
      <c r="O1932" s="7" t="str">
        <f t="shared" si="2"/>
        <v/>
      </c>
      <c r="P1932" s="7"/>
    </row>
    <row r="1933">
      <c r="A1933" s="7" t="str">
        <f>'Respuestas de formulario 1'!A2046</f>
        <v/>
      </c>
      <c r="B1933" s="7" t="str">
        <f>'Respuestas de formulario 1'!B2046</f>
        <v/>
      </c>
      <c r="C1933" s="7" t="str">
        <f>'Respuestas de formulario 1'!C2046</f>
        <v/>
      </c>
      <c r="D1933" s="7" t="str">
        <f>'Respuestas de formulario 1'!D2046</f>
        <v/>
      </c>
      <c r="E1933" s="7" t="str">
        <f>'Respuestas de formulario 1'!E2046</f>
        <v/>
      </c>
      <c r="F1933" s="7" t="str">
        <f>'Respuestas de formulario 1'!F2046</f>
        <v/>
      </c>
      <c r="G1933" s="7" t="str">
        <f>IFERROR(__xludf.DUMMYFUNCTION("IF('Respuestas de formulario 1'!G2046="""","""",IF(LEFT(REGEXREPLACE(TO_TEXT('Respuestas de formulario 1'!G2046),""[^0-9]"",""""),2)=""54"",""+""&amp;REGEXREPLACE(TO_TEXT('Respuestas de formulario 1'!G2046),""[^0-9]"",""""),""+54""&amp;REGEXREPLACE(TO_TEXT('Respu"&amp;"estas de formulario 1'!G2046),""[^0-9]"","""")))"),"")</f>
        <v/>
      </c>
      <c r="H1933" s="7" t="str">
        <f>'Respuestas de formulario 1'!S2046</f>
        <v/>
      </c>
      <c r="I1933" s="7" t="str">
        <f>IFERROR(__xludf.DUMMYFUNCTION("IF('Respuestas de formulario 1'!I2046="""","""",TO_TEXT('Respuestas de formulario 1'!I2046))"),"")</f>
        <v/>
      </c>
      <c r="J1933" s="7" t="str">
        <f>IFERROR(__xludf.DUMMYFUNCTION("IF('Respuestas de formulario 1'!J2046&lt;&gt;"""",UPPER(TRIM(TO_TEXT('Respuestas de formulario 1'!J2046))),IF('Respuestas de formulario 1'!O2046&lt;&gt;"""",UPPER(TRIM(TO_TEXT('Respuestas de formulario 1'!O2046))),""""))"),"")</f>
        <v/>
      </c>
      <c r="K1933" s="7" t="str">
        <f>IFERROR(__xludf.DUMMYFUNCTION("IF('Respuestas de formulario 1'!K2046="""","""",TO_TEXT('Respuestas de formulario 1'!K2046))"),"")</f>
        <v/>
      </c>
      <c r="L1933" s="7" t="str">
        <f>IFERROR(__xludf.DUMMYFUNCTION("IF('Respuestas de formulario 1'!L2046="""","""",TO_TEXT('Respuestas de formulario 1'!L2046))"),"")</f>
        <v/>
      </c>
      <c r="M1933" s="7" t="str">
        <f>IFERROR(__xludf.DUMMYFUNCTION("IF('Respuestas de formulario 1'!M2046="""","""",TO_TEXT('Respuestas de formulario 1'!M2046))"),"")</f>
        <v/>
      </c>
      <c r="N1933" s="7" t="str">
        <f t="shared" si="1"/>
        <v/>
      </c>
      <c r="O1933" s="7" t="str">
        <f t="shared" si="2"/>
        <v/>
      </c>
      <c r="P1933" s="7"/>
    </row>
    <row r="1934">
      <c r="A1934" s="7" t="str">
        <f>'Respuestas de formulario 1'!A2047</f>
        <v/>
      </c>
      <c r="B1934" s="7" t="str">
        <f>'Respuestas de formulario 1'!B2047</f>
        <v/>
      </c>
      <c r="C1934" s="7" t="str">
        <f>'Respuestas de formulario 1'!C2047</f>
        <v/>
      </c>
      <c r="D1934" s="7" t="str">
        <f>'Respuestas de formulario 1'!D2047</f>
        <v/>
      </c>
      <c r="E1934" s="7" t="str">
        <f>'Respuestas de formulario 1'!E2047</f>
        <v/>
      </c>
      <c r="F1934" s="7" t="str">
        <f>'Respuestas de formulario 1'!F2047</f>
        <v/>
      </c>
      <c r="G1934" s="7" t="str">
        <f>IFERROR(__xludf.DUMMYFUNCTION("IF('Respuestas de formulario 1'!G2047="""","""",IF(LEFT(REGEXREPLACE(TO_TEXT('Respuestas de formulario 1'!G2047),""[^0-9]"",""""),2)=""54"",""+""&amp;REGEXREPLACE(TO_TEXT('Respuestas de formulario 1'!G2047),""[^0-9]"",""""),""+54""&amp;REGEXREPLACE(TO_TEXT('Respu"&amp;"estas de formulario 1'!G2047),""[^0-9]"","""")))"),"")</f>
        <v/>
      </c>
      <c r="H1934" s="7" t="str">
        <f>'Respuestas de formulario 1'!S2047</f>
        <v/>
      </c>
      <c r="I1934" s="7" t="str">
        <f>IFERROR(__xludf.DUMMYFUNCTION("IF('Respuestas de formulario 1'!I2047="""","""",TO_TEXT('Respuestas de formulario 1'!I2047))"),"")</f>
        <v/>
      </c>
      <c r="J1934" s="7" t="str">
        <f>IFERROR(__xludf.DUMMYFUNCTION("IF('Respuestas de formulario 1'!J2047&lt;&gt;"""",UPPER(TRIM(TO_TEXT('Respuestas de formulario 1'!J2047))),IF('Respuestas de formulario 1'!O2047&lt;&gt;"""",UPPER(TRIM(TO_TEXT('Respuestas de formulario 1'!O2047))),""""))"),"")</f>
        <v/>
      </c>
      <c r="K1934" s="7" t="str">
        <f>IFERROR(__xludf.DUMMYFUNCTION("IF('Respuestas de formulario 1'!K2047="""","""",TO_TEXT('Respuestas de formulario 1'!K2047))"),"")</f>
        <v/>
      </c>
      <c r="L1934" s="7" t="str">
        <f>IFERROR(__xludf.DUMMYFUNCTION("IF('Respuestas de formulario 1'!L2047="""","""",TO_TEXT('Respuestas de formulario 1'!L2047))"),"")</f>
        <v/>
      </c>
      <c r="M1934" s="7" t="str">
        <f>IFERROR(__xludf.DUMMYFUNCTION("IF('Respuestas de formulario 1'!M2047="""","""",TO_TEXT('Respuestas de formulario 1'!M2047))"),"")</f>
        <v/>
      </c>
      <c r="N1934" s="7" t="str">
        <f t="shared" si="1"/>
        <v/>
      </c>
      <c r="O1934" s="7" t="str">
        <f t="shared" si="2"/>
        <v/>
      </c>
      <c r="P1934" s="7"/>
    </row>
    <row r="1935">
      <c r="A1935" s="7" t="str">
        <f>'Respuestas de formulario 1'!A2048</f>
        <v/>
      </c>
      <c r="B1935" s="7" t="str">
        <f>'Respuestas de formulario 1'!B2048</f>
        <v/>
      </c>
      <c r="C1935" s="7" t="str">
        <f>'Respuestas de formulario 1'!C2048</f>
        <v/>
      </c>
      <c r="D1935" s="7" t="str">
        <f>'Respuestas de formulario 1'!D2048</f>
        <v/>
      </c>
      <c r="E1935" s="7" t="str">
        <f>'Respuestas de formulario 1'!E2048</f>
        <v/>
      </c>
      <c r="F1935" s="7" t="str">
        <f>'Respuestas de formulario 1'!F2048</f>
        <v/>
      </c>
      <c r="G1935" s="7" t="str">
        <f>IFERROR(__xludf.DUMMYFUNCTION("IF('Respuestas de formulario 1'!G2048="""","""",IF(LEFT(REGEXREPLACE(TO_TEXT('Respuestas de formulario 1'!G2048),""[^0-9]"",""""),2)=""54"",""+""&amp;REGEXREPLACE(TO_TEXT('Respuestas de formulario 1'!G2048),""[^0-9]"",""""),""+54""&amp;REGEXREPLACE(TO_TEXT('Respu"&amp;"estas de formulario 1'!G2048),""[^0-9]"","""")))"),"")</f>
        <v/>
      </c>
      <c r="H1935" s="7" t="str">
        <f>'Respuestas de formulario 1'!S2048</f>
        <v/>
      </c>
      <c r="I1935" s="7" t="str">
        <f>IFERROR(__xludf.DUMMYFUNCTION("IF('Respuestas de formulario 1'!I2048="""","""",TO_TEXT('Respuestas de formulario 1'!I2048))"),"")</f>
        <v/>
      </c>
      <c r="J1935" s="7" t="str">
        <f>IFERROR(__xludf.DUMMYFUNCTION("IF('Respuestas de formulario 1'!J2048&lt;&gt;"""",UPPER(TRIM(TO_TEXT('Respuestas de formulario 1'!J2048))),IF('Respuestas de formulario 1'!O2048&lt;&gt;"""",UPPER(TRIM(TO_TEXT('Respuestas de formulario 1'!O2048))),""""))"),"")</f>
        <v/>
      </c>
      <c r="K1935" s="7" t="str">
        <f>IFERROR(__xludf.DUMMYFUNCTION("IF('Respuestas de formulario 1'!K2048="""","""",TO_TEXT('Respuestas de formulario 1'!K2048))"),"")</f>
        <v/>
      </c>
      <c r="L1935" s="7" t="str">
        <f>IFERROR(__xludf.DUMMYFUNCTION("IF('Respuestas de formulario 1'!L2048="""","""",TO_TEXT('Respuestas de formulario 1'!L2048))"),"")</f>
        <v/>
      </c>
      <c r="M1935" s="7" t="str">
        <f>IFERROR(__xludf.DUMMYFUNCTION("IF('Respuestas de formulario 1'!M2048="""","""",TO_TEXT('Respuestas de formulario 1'!M2048))"),"")</f>
        <v/>
      </c>
      <c r="N1935" s="7" t="str">
        <f t="shared" si="1"/>
        <v/>
      </c>
      <c r="O1935" s="7" t="str">
        <f t="shared" si="2"/>
        <v/>
      </c>
      <c r="P1935" s="7"/>
    </row>
    <row r="1936">
      <c r="A1936" s="7" t="str">
        <f>'Respuestas de formulario 1'!A2049</f>
        <v/>
      </c>
      <c r="B1936" s="7" t="str">
        <f>'Respuestas de formulario 1'!B2049</f>
        <v/>
      </c>
      <c r="C1936" s="7" t="str">
        <f>'Respuestas de formulario 1'!C2049</f>
        <v/>
      </c>
      <c r="D1936" s="7" t="str">
        <f>'Respuestas de formulario 1'!D2049</f>
        <v/>
      </c>
      <c r="E1936" s="7" t="str">
        <f>'Respuestas de formulario 1'!E2049</f>
        <v/>
      </c>
      <c r="F1936" s="7" t="str">
        <f>'Respuestas de formulario 1'!F2049</f>
        <v/>
      </c>
      <c r="G1936" s="7" t="str">
        <f>IFERROR(__xludf.DUMMYFUNCTION("IF('Respuestas de formulario 1'!G2049="""","""",IF(LEFT(REGEXREPLACE(TO_TEXT('Respuestas de formulario 1'!G2049),""[^0-9]"",""""),2)=""54"",""+""&amp;REGEXREPLACE(TO_TEXT('Respuestas de formulario 1'!G2049),""[^0-9]"",""""),""+54""&amp;REGEXREPLACE(TO_TEXT('Respu"&amp;"estas de formulario 1'!G2049),""[^0-9]"","""")))"),"")</f>
        <v/>
      </c>
      <c r="H1936" s="7" t="str">
        <f>'Respuestas de formulario 1'!S2049</f>
        <v/>
      </c>
      <c r="I1936" s="7" t="str">
        <f>IFERROR(__xludf.DUMMYFUNCTION("IF('Respuestas de formulario 1'!I2049="""","""",TO_TEXT('Respuestas de formulario 1'!I2049))"),"")</f>
        <v/>
      </c>
      <c r="J1936" s="7" t="str">
        <f>IFERROR(__xludf.DUMMYFUNCTION("IF('Respuestas de formulario 1'!J2049&lt;&gt;"""",UPPER(TRIM(TO_TEXT('Respuestas de formulario 1'!J2049))),IF('Respuestas de formulario 1'!O2049&lt;&gt;"""",UPPER(TRIM(TO_TEXT('Respuestas de formulario 1'!O2049))),""""))"),"")</f>
        <v/>
      </c>
      <c r="K1936" s="7" t="str">
        <f>IFERROR(__xludf.DUMMYFUNCTION("IF('Respuestas de formulario 1'!K2049="""","""",TO_TEXT('Respuestas de formulario 1'!K2049))"),"")</f>
        <v/>
      </c>
      <c r="L1936" s="7" t="str">
        <f>IFERROR(__xludf.DUMMYFUNCTION("IF('Respuestas de formulario 1'!L2049="""","""",TO_TEXT('Respuestas de formulario 1'!L2049))"),"")</f>
        <v/>
      </c>
      <c r="M1936" s="7" t="str">
        <f>IFERROR(__xludf.DUMMYFUNCTION("IF('Respuestas de formulario 1'!M2049="""","""",TO_TEXT('Respuestas de formulario 1'!M2049))"),"")</f>
        <v/>
      </c>
      <c r="N1936" s="7" t="str">
        <f t="shared" si="1"/>
        <v/>
      </c>
      <c r="O1936" s="7" t="str">
        <f t="shared" si="2"/>
        <v/>
      </c>
      <c r="P1936" s="7"/>
    </row>
    <row r="1937">
      <c r="A1937" s="7" t="str">
        <f>'Respuestas de formulario 1'!A2050</f>
        <v/>
      </c>
      <c r="B1937" s="7" t="str">
        <f>'Respuestas de formulario 1'!B2050</f>
        <v/>
      </c>
      <c r="C1937" s="7" t="str">
        <f>'Respuestas de formulario 1'!C2050</f>
        <v/>
      </c>
      <c r="D1937" s="7" t="str">
        <f>'Respuestas de formulario 1'!D2050</f>
        <v/>
      </c>
      <c r="E1937" s="7" t="str">
        <f>'Respuestas de formulario 1'!E2050</f>
        <v/>
      </c>
      <c r="F1937" s="7" t="str">
        <f>'Respuestas de formulario 1'!F2050</f>
        <v/>
      </c>
      <c r="G1937" s="7" t="str">
        <f>IFERROR(__xludf.DUMMYFUNCTION("IF('Respuestas de formulario 1'!G2050="""","""",IF(LEFT(REGEXREPLACE(TO_TEXT('Respuestas de formulario 1'!G2050),""[^0-9]"",""""),2)=""54"",""+""&amp;REGEXREPLACE(TO_TEXT('Respuestas de formulario 1'!G2050),""[^0-9]"",""""),""+54""&amp;REGEXREPLACE(TO_TEXT('Respu"&amp;"estas de formulario 1'!G2050),""[^0-9]"","""")))"),"")</f>
        <v/>
      </c>
      <c r="H1937" s="7" t="str">
        <f>'Respuestas de formulario 1'!S2050</f>
        <v/>
      </c>
      <c r="I1937" s="7" t="str">
        <f>IFERROR(__xludf.DUMMYFUNCTION("IF('Respuestas de formulario 1'!I2050="""","""",TO_TEXT('Respuestas de formulario 1'!I2050))"),"")</f>
        <v/>
      </c>
      <c r="J1937" s="7" t="str">
        <f>IFERROR(__xludf.DUMMYFUNCTION("IF('Respuestas de formulario 1'!J2050&lt;&gt;"""",UPPER(TRIM(TO_TEXT('Respuestas de formulario 1'!J2050))),IF('Respuestas de formulario 1'!O2050&lt;&gt;"""",UPPER(TRIM(TO_TEXT('Respuestas de formulario 1'!O2050))),""""))"),"")</f>
        <v/>
      </c>
      <c r="K1937" s="7" t="str">
        <f>IFERROR(__xludf.DUMMYFUNCTION("IF('Respuestas de formulario 1'!K2050="""","""",TO_TEXT('Respuestas de formulario 1'!K2050))"),"")</f>
        <v/>
      </c>
      <c r="L1937" s="7" t="str">
        <f>IFERROR(__xludf.DUMMYFUNCTION("IF('Respuestas de formulario 1'!L2050="""","""",TO_TEXT('Respuestas de formulario 1'!L2050))"),"")</f>
        <v/>
      </c>
      <c r="M1937" s="7" t="str">
        <f>IFERROR(__xludf.DUMMYFUNCTION("IF('Respuestas de formulario 1'!M2050="""","""",TO_TEXT('Respuestas de formulario 1'!M2050))"),"")</f>
        <v/>
      </c>
      <c r="N1937" s="7" t="str">
        <f t="shared" si="1"/>
        <v/>
      </c>
      <c r="O1937" s="7" t="str">
        <f t="shared" si="2"/>
        <v/>
      </c>
      <c r="P1937" s="7"/>
    </row>
    <row r="1938">
      <c r="A1938" s="7" t="str">
        <f>'Respuestas de formulario 1'!A2051</f>
        <v/>
      </c>
      <c r="B1938" s="7" t="str">
        <f>'Respuestas de formulario 1'!B2051</f>
        <v/>
      </c>
      <c r="C1938" s="7" t="str">
        <f>'Respuestas de formulario 1'!C2051</f>
        <v/>
      </c>
      <c r="D1938" s="7" t="str">
        <f>'Respuestas de formulario 1'!D2051</f>
        <v/>
      </c>
      <c r="E1938" s="7" t="str">
        <f>'Respuestas de formulario 1'!E2051</f>
        <v/>
      </c>
      <c r="F1938" s="7" t="str">
        <f>'Respuestas de formulario 1'!F2051</f>
        <v/>
      </c>
      <c r="G1938" s="7" t="str">
        <f>IFERROR(__xludf.DUMMYFUNCTION("IF('Respuestas de formulario 1'!G2051="""","""",IF(LEFT(REGEXREPLACE(TO_TEXT('Respuestas de formulario 1'!G2051),""[^0-9]"",""""),2)=""54"",""+""&amp;REGEXREPLACE(TO_TEXT('Respuestas de formulario 1'!G2051),""[^0-9]"",""""),""+54""&amp;REGEXREPLACE(TO_TEXT('Respu"&amp;"estas de formulario 1'!G2051),""[^0-9]"","""")))"),"")</f>
        <v/>
      </c>
      <c r="H1938" s="7" t="str">
        <f>'Respuestas de formulario 1'!S2051</f>
        <v/>
      </c>
      <c r="I1938" s="7" t="str">
        <f>IFERROR(__xludf.DUMMYFUNCTION("IF('Respuestas de formulario 1'!I2051="""","""",TO_TEXT('Respuestas de formulario 1'!I2051))"),"")</f>
        <v/>
      </c>
      <c r="J1938" s="7" t="str">
        <f>IFERROR(__xludf.DUMMYFUNCTION("IF('Respuestas de formulario 1'!J2051&lt;&gt;"""",UPPER(TRIM(TO_TEXT('Respuestas de formulario 1'!J2051))),IF('Respuestas de formulario 1'!O2051&lt;&gt;"""",UPPER(TRIM(TO_TEXT('Respuestas de formulario 1'!O2051))),""""))"),"")</f>
        <v/>
      </c>
      <c r="K1938" s="7" t="str">
        <f>IFERROR(__xludf.DUMMYFUNCTION("IF('Respuestas de formulario 1'!K2051="""","""",TO_TEXT('Respuestas de formulario 1'!K2051))"),"")</f>
        <v/>
      </c>
      <c r="L1938" s="7" t="str">
        <f>IFERROR(__xludf.DUMMYFUNCTION("IF('Respuestas de formulario 1'!L2051="""","""",TO_TEXT('Respuestas de formulario 1'!L2051))"),"")</f>
        <v/>
      </c>
      <c r="M1938" s="7" t="str">
        <f>IFERROR(__xludf.DUMMYFUNCTION("IF('Respuestas de formulario 1'!M2051="""","""",TO_TEXT('Respuestas de formulario 1'!M2051))"),"")</f>
        <v/>
      </c>
      <c r="N1938" s="7" t="str">
        <f t="shared" si="1"/>
        <v/>
      </c>
      <c r="O1938" s="7" t="str">
        <f t="shared" si="2"/>
        <v/>
      </c>
      <c r="P1938" s="7"/>
    </row>
    <row r="1939">
      <c r="A1939" s="7" t="str">
        <f>'Respuestas de formulario 1'!A2052</f>
        <v/>
      </c>
      <c r="B1939" s="7" t="str">
        <f>'Respuestas de formulario 1'!B2052</f>
        <v/>
      </c>
      <c r="C1939" s="7" t="str">
        <f>'Respuestas de formulario 1'!C2052</f>
        <v/>
      </c>
      <c r="D1939" s="7" t="str">
        <f>'Respuestas de formulario 1'!D2052</f>
        <v/>
      </c>
      <c r="E1939" s="7" t="str">
        <f>'Respuestas de formulario 1'!E2052</f>
        <v/>
      </c>
      <c r="F1939" s="7" t="str">
        <f>'Respuestas de formulario 1'!F2052</f>
        <v/>
      </c>
      <c r="G1939" s="7" t="str">
        <f>IFERROR(__xludf.DUMMYFUNCTION("IF('Respuestas de formulario 1'!G2052="""","""",IF(LEFT(REGEXREPLACE(TO_TEXT('Respuestas de formulario 1'!G2052),""[^0-9]"",""""),2)=""54"",""+""&amp;REGEXREPLACE(TO_TEXT('Respuestas de formulario 1'!G2052),""[^0-9]"",""""),""+54""&amp;REGEXREPLACE(TO_TEXT('Respu"&amp;"estas de formulario 1'!G2052),""[^0-9]"","""")))"),"")</f>
        <v/>
      </c>
      <c r="H1939" s="7" t="str">
        <f>'Respuestas de formulario 1'!S2052</f>
        <v/>
      </c>
      <c r="I1939" s="7" t="str">
        <f>IFERROR(__xludf.DUMMYFUNCTION("IF('Respuestas de formulario 1'!I2052="""","""",TO_TEXT('Respuestas de formulario 1'!I2052))"),"")</f>
        <v/>
      </c>
      <c r="J1939" s="7" t="str">
        <f>IFERROR(__xludf.DUMMYFUNCTION("IF('Respuestas de formulario 1'!J2052&lt;&gt;"""",UPPER(TRIM(TO_TEXT('Respuestas de formulario 1'!J2052))),IF('Respuestas de formulario 1'!O2052&lt;&gt;"""",UPPER(TRIM(TO_TEXT('Respuestas de formulario 1'!O2052))),""""))"),"")</f>
        <v/>
      </c>
      <c r="K1939" s="7" t="str">
        <f>IFERROR(__xludf.DUMMYFUNCTION("IF('Respuestas de formulario 1'!K2052="""","""",TO_TEXT('Respuestas de formulario 1'!K2052))"),"")</f>
        <v/>
      </c>
      <c r="L1939" s="7" t="str">
        <f>IFERROR(__xludf.DUMMYFUNCTION("IF('Respuestas de formulario 1'!L2052="""","""",TO_TEXT('Respuestas de formulario 1'!L2052))"),"")</f>
        <v/>
      </c>
      <c r="M1939" s="7" t="str">
        <f>IFERROR(__xludf.DUMMYFUNCTION("IF('Respuestas de formulario 1'!M2052="""","""",TO_TEXT('Respuestas de formulario 1'!M2052))"),"")</f>
        <v/>
      </c>
      <c r="N1939" s="7" t="str">
        <f t="shared" si="1"/>
        <v/>
      </c>
      <c r="O1939" s="7" t="str">
        <f t="shared" si="2"/>
        <v/>
      </c>
      <c r="P1939" s="7"/>
    </row>
    <row r="1940">
      <c r="A1940" s="7" t="str">
        <f>'Respuestas de formulario 1'!A2053</f>
        <v/>
      </c>
      <c r="B1940" s="7" t="str">
        <f>'Respuestas de formulario 1'!B2053</f>
        <v/>
      </c>
      <c r="C1940" s="7" t="str">
        <f>'Respuestas de formulario 1'!C2053</f>
        <v/>
      </c>
      <c r="D1940" s="7" t="str">
        <f>'Respuestas de formulario 1'!D2053</f>
        <v/>
      </c>
      <c r="E1940" s="7" t="str">
        <f>'Respuestas de formulario 1'!E2053</f>
        <v/>
      </c>
      <c r="F1940" s="7" t="str">
        <f>'Respuestas de formulario 1'!F2053</f>
        <v/>
      </c>
      <c r="G1940" s="7" t="str">
        <f>IFERROR(__xludf.DUMMYFUNCTION("IF('Respuestas de formulario 1'!G2053="""","""",IF(LEFT(REGEXREPLACE(TO_TEXT('Respuestas de formulario 1'!G2053),""[^0-9]"",""""),2)=""54"",""+""&amp;REGEXREPLACE(TO_TEXT('Respuestas de formulario 1'!G2053),""[^0-9]"",""""),""+54""&amp;REGEXREPLACE(TO_TEXT('Respu"&amp;"estas de formulario 1'!G2053),""[^0-9]"","""")))"),"")</f>
        <v/>
      </c>
      <c r="H1940" s="7" t="str">
        <f>'Respuestas de formulario 1'!S2053</f>
        <v/>
      </c>
      <c r="I1940" s="7" t="str">
        <f>IFERROR(__xludf.DUMMYFUNCTION("IF('Respuestas de formulario 1'!I2053="""","""",TO_TEXT('Respuestas de formulario 1'!I2053))"),"")</f>
        <v/>
      </c>
      <c r="J1940" s="7" t="str">
        <f>IFERROR(__xludf.DUMMYFUNCTION("IF('Respuestas de formulario 1'!J2053&lt;&gt;"""",UPPER(TRIM(TO_TEXT('Respuestas de formulario 1'!J2053))),IF('Respuestas de formulario 1'!O2053&lt;&gt;"""",UPPER(TRIM(TO_TEXT('Respuestas de formulario 1'!O2053))),""""))"),"")</f>
        <v/>
      </c>
      <c r="K1940" s="7" t="str">
        <f>IFERROR(__xludf.DUMMYFUNCTION("IF('Respuestas de formulario 1'!K2053="""","""",TO_TEXT('Respuestas de formulario 1'!K2053))"),"")</f>
        <v/>
      </c>
      <c r="L1940" s="7" t="str">
        <f>IFERROR(__xludf.DUMMYFUNCTION("IF('Respuestas de formulario 1'!L2053="""","""",TO_TEXT('Respuestas de formulario 1'!L2053))"),"")</f>
        <v/>
      </c>
      <c r="M1940" s="7" t="str">
        <f>IFERROR(__xludf.DUMMYFUNCTION("IF('Respuestas de formulario 1'!M2053="""","""",TO_TEXT('Respuestas de formulario 1'!M2053))"),"")</f>
        <v/>
      </c>
      <c r="N1940" s="7" t="str">
        <f t="shared" si="1"/>
        <v/>
      </c>
      <c r="O1940" s="7" t="str">
        <f t="shared" si="2"/>
        <v/>
      </c>
      <c r="P1940" s="7"/>
    </row>
    <row r="1941">
      <c r="A1941" s="7" t="str">
        <f>'Respuestas de formulario 1'!A2054</f>
        <v/>
      </c>
      <c r="B1941" s="7" t="str">
        <f>'Respuestas de formulario 1'!B2054</f>
        <v/>
      </c>
      <c r="C1941" s="7" t="str">
        <f>'Respuestas de formulario 1'!C2054</f>
        <v/>
      </c>
      <c r="D1941" s="7" t="str">
        <f>'Respuestas de formulario 1'!D2054</f>
        <v/>
      </c>
      <c r="E1941" s="7" t="str">
        <f>'Respuestas de formulario 1'!E2054</f>
        <v/>
      </c>
      <c r="F1941" s="7" t="str">
        <f>'Respuestas de formulario 1'!F2054</f>
        <v/>
      </c>
      <c r="G1941" s="7" t="str">
        <f>IFERROR(__xludf.DUMMYFUNCTION("IF('Respuestas de formulario 1'!G2054="""","""",IF(LEFT(REGEXREPLACE(TO_TEXT('Respuestas de formulario 1'!G2054),""[^0-9]"",""""),2)=""54"",""+""&amp;REGEXREPLACE(TO_TEXT('Respuestas de formulario 1'!G2054),""[^0-9]"",""""),""+54""&amp;REGEXREPLACE(TO_TEXT('Respu"&amp;"estas de formulario 1'!G2054),""[^0-9]"","""")))"),"")</f>
        <v/>
      </c>
      <c r="H1941" s="7" t="str">
        <f>'Respuestas de formulario 1'!S2054</f>
        <v/>
      </c>
      <c r="I1941" s="7" t="str">
        <f>IFERROR(__xludf.DUMMYFUNCTION("IF('Respuestas de formulario 1'!I2054="""","""",TO_TEXT('Respuestas de formulario 1'!I2054))"),"")</f>
        <v/>
      </c>
      <c r="J1941" s="7" t="str">
        <f>IFERROR(__xludf.DUMMYFUNCTION("IF('Respuestas de formulario 1'!J2054&lt;&gt;"""",UPPER(TRIM(TO_TEXT('Respuestas de formulario 1'!J2054))),IF('Respuestas de formulario 1'!O2054&lt;&gt;"""",UPPER(TRIM(TO_TEXT('Respuestas de formulario 1'!O2054))),""""))"),"")</f>
        <v/>
      </c>
      <c r="K1941" s="7" t="str">
        <f>IFERROR(__xludf.DUMMYFUNCTION("IF('Respuestas de formulario 1'!K2054="""","""",TO_TEXT('Respuestas de formulario 1'!K2054))"),"")</f>
        <v/>
      </c>
      <c r="L1941" s="7" t="str">
        <f>IFERROR(__xludf.DUMMYFUNCTION("IF('Respuestas de formulario 1'!L2054="""","""",TO_TEXT('Respuestas de formulario 1'!L2054))"),"")</f>
        <v/>
      </c>
      <c r="M1941" s="7" t="str">
        <f>IFERROR(__xludf.DUMMYFUNCTION("IF('Respuestas de formulario 1'!M2054="""","""",TO_TEXT('Respuestas de formulario 1'!M2054))"),"")</f>
        <v/>
      </c>
      <c r="N1941" s="7" t="str">
        <f t="shared" si="1"/>
        <v/>
      </c>
      <c r="O1941" s="7" t="str">
        <f t="shared" si="2"/>
        <v/>
      </c>
      <c r="P1941" s="7"/>
    </row>
    <row r="1942">
      <c r="A1942" s="7" t="str">
        <f>'Respuestas de formulario 1'!A2055</f>
        <v/>
      </c>
      <c r="B1942" s="7" t="str">
        <f>'Respuestas de formulario 1'!B2055</f>
        <v/>
      </c>
      <c r="C1942" s="7" t="str">
        <f>'Respuestas de formulario 1'!C2055</f>
        <v/>
      </c>
      <c r="D1942" s="7" t="str">
        <f>'Respuestas de formulario 1'!D2055</f>
        <v/>
      </c>
      <c r="E1942" s="7" t="str">
        <f>'Respuestas de formulario 1'!E2055</f>
        <v/>
      </c>
      <c r="F1942" s="7" t="str">
        <f>'Respuestas de formulario 1'!F2055</f>
        <v/>
      </c>
      <c r="G1942" s="7" t="str">
        <f>IFERROR(__xludf.DUMMYFUNCTION("IF('Respuestas de formulario 1'!G2055="""","""",IF(LEFT(REGEXREPLACE(TO_TEXT('Respuestas de formulario 1'!G2055),""[^0-9]"",""""),2)=""54"",""+""&amp;REGEXREPLACE(TO_TEXT('Respuestas de formulario 1'!G2055),""[^0-9]"",""""),""+54""&amp;REGEXREPLACE(TO_TEXT('Respu"&amp;"estas de formulario 1'!G2055),""[^0-9]"","""")))"),"")</f>
        <v/>
      </c>
      <c r="H1942" s="7" t="str">
        <f>'Respuestas de formulario 1'!S2055</f>
        <v/>
      </c>
      <c r="I1942" s="7" t="str">
        <f>IFERROR(__xludf.DUMMYFUNCTION("IF('Respuestas de formulario 1'!I2055="""","""",TO_TEXT('Respuestas de formulario 1'!I2055))"),"")</f>
        <v/>
      </c>
      <c r="J1942" s="7" t="str">
        <f>IFERROR(__xludf.DUMMYFUNCTION("IF('Respuestas de formulario 1'!J2055&lt;&gt;"""",UPPER(TRIM(TO_TEXT('Respuestas de formulario 1'!J2055))),IF('Respuestas de formulario 1'!O2055&lt;&gt;"""",UPPER(TRIM(TO_TEXT('Respuestas de formulario 1'!O2055))),""""))"),"")</f>
        <v/>
      </c>
      <c r="K1942" s="7" t="str">
        <f>IFERROR(__xludf.DUMMYFUNCTION("IF('Respuestas de formulario 1'!K2055="""","""",TO_TEXT('Respuestas de formulario 1'!K2055))"),"")</f>
        <v/>
      </c>
      <c r="L1942" s="7" t="str">
        <f>IFERROR(__xludf.DUMMYFUNCTION("IF('Respuestas de formulario 1'!L2055="""","""",TO_TEXT('Respuestas de formulario 1'!L2055))"),"")</f>
        <v/>
      </c>
      <c r="M1942" s="7" t="str">
        <f>IFERROR(__xludf.DUMMYFUNCTION("IF('Respuestas de formulario 1'!M2055="""","""",TO_TEXT('Respuestas de formulario 1'!M2055))"),"")</f>
        <v/>
      </c>
      <c r="N1942" s="7" t="str">
        <f t="shared" si="1"/>
        <v/>
      </c>
      <c r="O1942" s="7" t="str">
        <f t="shared" si="2"/>
        <v/>
      </c>
      <c r="P1942" s="7"/>
    </row>
    <row r="1943">
      <c r="A1943" s="7" t="str">
        <f>'Respuestas de formulario 1'!A2056</f>
        <v/>
      </c>
      <c r="B1943" s="7" t="str">
        <f>'Respuestas de formulario 1'!B2056</f>
        <v/>
      </c>
      <c r="C1943" s="7" t="str">
        <f>'Respuestas de formulario 1'!C2056</f>
        <v/>
      </c>
      <c r="D1943" s="7" t="str">
        <f>'Respuestas de formulario 1'!D2056</f>
        <v/>
      </c>
      <c r="E1943" s="7" t="str">
        <f>'Respuestas de formulario 1'!E2056</f>
        <v/>
      </c>
      <c r="F1943" s="7" t="str">
        <f>'Respuestas de formulario 1'!F2056</f>
        <v/>
      </c>
      <c r="G1943" s="7" t="str">
        <f>IFERROR(__xludf.DUMMYFUNCTION("IF('Respuestas de formulario 1'!G2056="""","""",IF(LEFT(REGEXREPLACE(TO_TEXT('Respuestas de formulario 1'!G2056),""[^0-9]"",""""),2)=""54"",""+""&amp;REGEXREPLACE(TO_TEXT('Respuestas de formulario 1'!G2056),""[^0-9]"",""""),""+54""&amp;REGEXREPLACE(TO_TEXT('Respu"&amp;"estas de formulario 1'!G2056),""[^0-9]"","""")))"),"")</f>
        <v/>
      </c>
      <c r="H1943" s="7" t="str">
        <f>'Respuestas de formulario 1'!S2056</f>
        <v/>
      </c>
      <c r="I1943" s="7" t="str">
        <f>IFERROR(__xludf.DUMMYFUNCTION("IF('Respuestas de formulario 1'!I2056="""","""",TO_TEXT('Respuestas de formulario 1'!I2056))"),"")</f>
        <v/>
      </c>
      <c r="J1943" s="7" t="str">
        <f>IFERROR(__xludf.DUMMYFUNCTION("IF('Respuestas de formulario 1'!J2056&lt;&gt;"""",UPPER(TRIM(TO_TEXT('Respuestas de formulario 1'!J2056))),IF('Respuestas de formulario 1'!O2056&lt;&gt;"""",UPPER(TRIM(TO_TEXT('Respuestas de formulario 1'!O2056))),""""))"),"")</f>
        <v/>
      </c>
      <c r="K1943" s="7" t="str">
        <f>IFERROR(__xludf.DUMMYFUNCTION("IF('Respuestas de formulario 1'!K2056="""","""",TO_TEXT('Respuestas de formulario 1'!K2056))"),"")</f>
        <v/>
      </c>
      <c r="L1943" s="7" t="str">
        <f>IFERROR(__xludf.DUMMYFUNCTION("IF('Respuestas de formulario 1'!L2056="""","""",TO_TEXT('Respuestas de formulario 1'!L2056))"),"")</f>
        <v/>
      </c>
      <c r="M1943" s="7" t="str">
        <f>IFERROR(__xludf.DUMMYFUNCTION("IF('Respuestas de formulario 1'!M2056="""","""",TO_TEXT('Respuestas de formulario 1'!M2056))"),"")</f>
        <v/>
      </c>
      <c r="N1943" s="7" t="str">
        <f t="shared" si="1"/>
        <v/>
      </c>
      <c r="O1943" s="7" t="str">
        <f t="shared" si="2"/>
        <v/>
      </c>
      <c r="P1943" s="7"/>
    </row>
    <row r="1944">
      <c r="A1944" s="7" t="str">
        <f>'Respuestas de formulario 1'!A2057</f>
        <v/>
      </c>
      <c r="B1944" s="7" t="str">
        <f>'Respuestas de formulario 1'!B2057</f>
        <v/>
      </c>
      <c r="C1944" s="7" t="str">
        <f>'Respuestas de formulario 1'!C2057</f>
        <v/>
      </c>
      <c r="D1944" s="7" t="str">
        <f>'Respuestas de formulario 1'!D2057</f>
        <v/>
      </c>
      <c r="E1944" s="7" t="str">
        <f>'Respuestas de formulario 1'!E2057</f>
        <v/>
      </c>
      <c r="F1944" s="7" t="str">
        <f>'Respuestas de formulario 1'!F2057</f>
        <v/>
      </c>
      <c r="G1944" s="7" t="str">
        <f>IFERROR(__xludf.DUMMYFUNCTION("IF('Respuestas de formulario 1'!G2057="""","""",IF(LEFT(REGEXREPLACE(TO_TEXT('Respuestas de formulario 1'!G2057),""[^0-9]"",""""),2)=""54"",""+""&amp;REGEXREPLACE(TO_TEXT('Respuestas de formulario 1'!G2057),""[^0-9]"",""""),""+54""&amp;REGEXREPLACE(TO_TEXT('Respu"&amp;"estas de formulario 1'!G2057),""[^0-9]"","""")))"),"")</f>
        <v/>
      </c>
      <c r="H1944" s="7" t="str">
        <f>'Respuestas de formulario 1'!S2057</f>
        <v/>
      </c>
      <c r="I1944" s="7" t="str">
        <f>IFERROR(__xludf.DUMMYFUNCTION("IF('Respuestas de formulario 1'!I2057="""","""",TO_TEXT('Respuestas de formulario 1'!I2057))"),"")</f>
        <v/>
      </c>
      <c r="J1944" s="7" t="str">
        <f>IFERROR(__xludf.DUMMYFUNCTION("IF('Respuestas de formulario 1'!J2057&lt;&gt;"""",UPPER(TRIM(TO_TEXT('Respuestas de formulario 1'!J2057))),IF('Respuestas de formulario 1'!O2057&lt;&gt;"""",UPPER(TRIM(TO_TEXT('Respuestas de formulario 1'!O2057))),""""))"),"")</f>
        <v/>
      </c>
      <c r="K1944" s="7" t="str">
        <f>IFERROR(__xludf.DUMMYFUNCTION("IF('Respuestas de formulario 1'!K2057="""","""",TO_TEXT('Respuestas de formulario 1'!K2057))"),"")</f>
        <v/>
      </c>
      <c r="L1944" s="7" t="str">
        <f>IFERROR(__xludf.DUMMYFUNCTION("IF('Respuestas de formulario 1'!L2057="""","""",TO_TEXT('Respuestas de formulario 1'!L2057))"),"")</f>
        <v/>
      </c>
      <c r="M1944" s="7" t="str">
        <f>IFERROR(__xludf.DUMMYFUNCTION("IF('Respuestas de formulario 1'!M2057="""","""",TO_TEXT('Respuestas de formulario 1'!M2057))"),"")</f>
        <v/>
      </c>
      <c r="N1944" s="7" t="str">
        <f t="shared" si="1"/>
        <v/>
      </c>
      <c r="O1944" s="7" t="str">
        <f t="shared" si="2"/>
        <v/>
      </c>
      <c r="P1944" s="7"/>
    </row>
    <row r="1945">
      <c r="A1945" s="7" t="str">
        <f>'Respuestas de formulario 1'!A2058</f>
        <v/>
      </c>
      <c r="B1945" s="7" t="str">
        <f>'Respuestas de formulario 1'!B2058</f>
        <v/>
      </c>
      <c r="C1945" s="7" t="str">
        <f>'Respuestas de formulario 1'!C2058</f>
        <v/>
      </c>
      <c r="D1945" s="7" t="str">
        <f>'Respuestas de formulario 1'!D2058</f>
        <v/>
      </c>
      <c r="E1945" s="7" t="str">
        <f>'Respuestas de formulario 1'!E2058</f>
        <v/>
      </c>
      <c r="F1945" s="7" t="str">
        <f>'Respuestas de formulario 1'!F2058</f>
        <v/>
      </c>
      <c r="G1945" s="7" t="str">
        <f>IFERROR(__xludf.DUMMYFUNCTION("IF('Respuestas de formulario 1'!G2058="""","""",IF(LEFT(REGEXREPLACE(TO_TEXT('Respuestas de formulario 1'!G2058),""[^0-9]"",""""),2)=""54"",""+""&amp;REGEXREPLACE(TO_TEXT('Respuestas de formulario 1'!G2058),""[^0-9]"",""""),""+54""&amp;REGEXREPLACE(TO_TEXT('Respu"&amp;"estas de formulario 1'!G2058),""[^0-9]"","""")))"),"")</f>
        <v/>
      </c>
      <c r="H1945" s="7" t="str">
        <f>'Respuestas de formulario 1'!S2058</f>
        <v/>
      </c>
      <c r="I1945" s="7" t="str">
        <f>IFERROR(__xludf.DUMMYFUNCTION("IF('Respuestas de formulario 1'!I2058="""","""",TO_TEXT('Respuestas de formulario 1'!I2058))"),"")</f>
        <v/>
      </c>
      <c r="J1945" s="7" t="str">
        <f>IFERROR(__xludf.DUMMYFUNCTION("IF('Respuestas de formulario 1'!J2058&lt;&gt;"""",UPPER(TRIM(TO_TEXT('Respuestas de formulario 1'!J2058))),IF('Respuestas de formulario 1'!O2058&lt;&gt;"""",UPPER(TRIM(TO_TEXT('Respuestas de formulario 1'!O2058))),""""))"),"")</f>
        <v/>
      </c>
      <c r="K1945" s="7" t="str">
        <f>IFERROR(__xludf.DUMMYFUNCTION("IF('Respuestas de formulario 1'!K2058="""","""",TO_TEXT('Respuestas de formulario 1'!K2058))"),"")</f>
        <v/>
      </c>
      <c r="L1945" s="7" t="str">
        <f>IFERROR(__xludf.DUMMYFUNCTION("IF('Respuestas de formulario 1'!L2058="""","""",TO_TEXT('Respuestas de formulario 1'!L2058))"),"")</f>
        <v/>
      </c>
      <c r="M1945" s="7" t="str">
        <f>IFERROR(__xludf.DUMMYFUNCTION("IF('Respuestas de formulario 1'!M2058="""","""",TO_TEXT('Respuestas de formulario 1'!M2058))"),"")</f>
        <v/>
      </c>
      <c r="N1945" s="7" t="str">
        <f t="shared" si="1"/>
        <v/>
      </c>
      <c r="O1945" s="7" t="str">
        <f t="shared" si="2"/>
        <v/>
      </c>
      <c r="P1945" s="7"/>
    </row>
    <row r="1946">
      <c r="A1946" s="7" t="str">
        <f>'Respuestas de formulario 1'!A2059</f>
        <v/>
      </c>
      <c r="B1946" s="7" t="str">
        <f>'Respuestas de formulario 1'!B2059</f>
        <v/>
      </c>
      <c r="C1946" s="7" t="str">
        <f>'Respuestas de formulario 1'!C2059</f>
        <v/>
      </c>
      <c r="D1946" s="7" t="str">
        <f>'Respuestas de formulario 1'!D2059</f>
        <v/>
      </c>
      <c r="E1946" s="7" t="str">
        <f>'Respuestas de formulario 1'!E2059</f>
        <v/>
      </c>
      <c r="F1946" s="7" t="str">
        <f>'Respuestas de formulario 1'!F2059</f>
        <v/>
      </c>
      <c r="G1946" s="7" t="str">
        <f>IFERROR(__xludf.DUMMYFUNCTION("IF('Respuestas de formulario 1'!G2059="""","""",IF(LEFT(REGEXREPLACE(TO_TEXT('Respuestas de formulario 1'!G2059),""[^0-9]"",""""),2)=""54"",""+""&amp;REGEXREPLACE(TO_TEXT('Respuestas de formulario 1'!G2059),""[^0-9]"",""""),""+54""&amp;REGEXREPLACE(TO_TEXT('Respu"&amp;"estas de formulario 1'!G2059),""[^0-9]"","""")))"),"")</f>
        <v/>
      </c>
      <c r="H1946" s="7" t="str">
        <f>'Respuestas de formulario 1'!S2059</f>
        <v/>
      </c>
      <c r="I1946" s="7" t="str">
        <f>IFERROR(__xludf.DUMMYFUNCTION("IF('Respuestas de formulario 1'!I2059="""","""",TO_TEXT('Respuestas de formulario 1'!I2059))"),"")</f>
        <v/>
      </c>
      <c r="J1946" s="7" t="str">
        <f>IFERROR(__xludf.DUMMYFUNCTION("IF('Respuestas de formulario 1'!J2059&lt;&gt;"""",UPPER(TRIM(TO_TEXT('Respuestas de formulario 1'!J2059))),IF('Respuestas de formulario 1'!O2059&lt;&gt;"""",UPPER(TRIM(TO_TEXT('Respuestas de formulario 1'!O2059))),""""))"),"")</f>
        <v/>
      </c>
      <c r="K1946" s="7" t="str">
        <f>IFERROR(__xludf.DUMMYFUNCTION("IF('Respuestas de formulario 1'!K2059="""","""",TO_TEXT('Respuestas de formulario 1'!K2059))"),"")</f>
        <v/>
      </c>
      <c r="L1946" s="7" t="str">
        <f>IFERROR(__xludf.DUMMYFUNCTION("IF('Respuestas de formulario 1'!L2059="""","""",TO_TEXT('Respuestas de formulario 1'!L2059))"),"")</f>
        <v/>
      </c>
      <c r="M1946" s="7" t="str">
        <f>IFERROR(__xludf.DUMMYFUNCTION("IF('Respuestas de formulario 1'!M2059="""","""",TO_TEXT('Respuestas de formulario 1'!M2059))"),"")</f>
        <v/>
      </c>
      <c r="N1946" s="7" t="str">
        <f t="shared" si="1"/>
        <v/>
      </c>
      <c r="O1946" s="7" t="str">
        <f t="shared" si="2"/>
        <v/>
      </c>
      <c r="P1946" s="7"/>
    </row>
    <row r="1947">
      <c r="A1947" s="7" t="str">
        <f>'Respuestas de formulario 1'!A2060</f>
        <v/>
      </c>
      <c r="B1947" s="7" t="str">
        <f>'Respuestas de formulario 1'!B2060</f>
        <v/>
      </c>
      <c r="C1947" s="7" t="str">
        <f>'Respuestas de formulario 1'!C2060</f>
        <v/>
      </c>
      <c r="D1947" s="7" t="str">
        <f>'Respuestas de formulario 1'!D2060</f>
        <v/>
      </c>
      <c r="E1947" s="7" t="str">
        <f>'Respuestas de formulario 1'!E2060</f>
        <v/>
      </c>
      <c r="F1947" s="7" t="str">
        <f>'Respuestas de formulario 1'!F2060</f>
        <v/>
      </c>
      <c r="G1947" s="7" t="str">
        <f>IFERROR(__xludf.DUMMYFUNCTION("IF('Respuestas de formulario 1'!G2060="""","""",IF(LEFT(REGEXREPLACE(TO_TEXT('Respuestas de formulario 1'!G2060),""[^0-9]"",""""),2)=""54"",""+""&amp;REGEXREPLACE(TO_TEXT('Respuestas de formulario 1'!G2060),""[^0-9]"",""""),""+54""&amp;REGEXREPLACE(TO_TEXT('Respu"&amp;"estas de formulario 1'!G2060),""[^0-9]"","""")))"),"")</f>
        <v/>
      </c>
      <c r="H1947" s="7" t="str">
        <f>'Respuestas de formulario 1'!S2060</f>
        <v/>
      </c>
      <c r="I1947" s="7" t="str">
        <f>IFERROR(__xludf.DUMMYFUNCTION("IF('Respuestas de formulario 1'!I2060="""","""",TO_TEXT('Respuestas de formulario 1'!I2060))"),"")</f>
        <v/>
      </c>
      <c r="J1947" s="7" t="str">
        <f>IFERROR(__xludf.DUMMYFUNCTION("IF('Respuestas de formulario 1'!J2060&lt;&gt;"""",UPPER(TRIM(TO_TEXT('Respuestas de formulario 1'!J2060))),IF('Respuestas de formulario 1'!O2060&lt;&gt;"""",UPPER(TRIM(TO_TEXT('Respuestas de formulario 1'!O2060))),""""))"),"")</f>
        <v/>
      </c>
      <c r="K1947" s="7" t="str">
        <f>IFERROR(__xludf.DUMMYFUNCTION("IF('Respuestas de formulario 1'!K2060="""","""",TO_TEXT('Respuestas de formulario 1'!K2060))"),"")</f>
        <v/>
      </c>
      <c r="L1947" s="7" t="str">
        <f>IFERROR(__xludf.DUMMYFUNCTION("IF('Respuestas de formulario 1'!L2060="""","""",TO_TEXT('Respuestas de formulario 1'!L2060))"),"")</f>
        <v/>
      </c>
      <c r="M1947" s="7" t="str">
        <f>IFERROR(__xludf.DUMMYFUNCTION("IF('Respuestas de formulario 1'!M2060="""","""",TO_TEXT('Respuestas de formulario 1'!M2060))"),"")</f>
        <v/>
      </c>
      <c r="N1947" s="7" t="str">
        <f t="shared" si="1"/>
        <v/>
      </c>
      <c r="O1947" s="7" t="str">
        <f t="shared" si="2"/>
        <v/>
      </c>
      <c r="P1947" s="7"/>
    </row>
    <row r="1948">
      <c r="A1948" s="7" t="str">
        <f>'Respuestas de formulario 1'!A2061</f>
        <v/>
      </c>
      <c r="B1948" s="7" t="str">
        <f>'Respuestas de formulario 1'!B2061</f>
        <v/>
      </c>
      <c r="C1948" s="7" t="str">
        <f>'Respuestas de formulario 1'!C2061</f>
        <v/>
      </c>
      <c r="D1948" s="7" t="str">
        <f>'Respuestas de formulario 1'!D2061</f>
        <v/>
      </c>
      <c r="E1948" s="7" t="str">
        <f>'Respuestas de formulario 1'!E2061</f>
        <v/>
      </c>
      <c r="F1948" s="7" t="str">
        <f>'Respuestas de formulario 1'!F2061</f>
        <v/>
      </c>
      <c r="G1948" s="7" t="str">
        <f>IFERROR(__xludf.DUMMYFUNCTION("IF('Respuestas de formulario 1'!G2061="""","""",IF(LEFT(REGEXREPLACE(TO_TEXT('Respuestas de formulario 1'!G2061),""[^0-9]"",""""),2)=""54"",""+""&amp;REGEXREPLACE(TO_TEXT('Respuestas de formulario 1'!G2061),""[^0-9]"",""""),""+54""&amp;REGEXREPLACE(TO_TEXT('Respu"&amp;"estas de formulario 1'!G2061),""[^0-9]"","""")))"),"")</f>
        <v/>
      </c>
      <c r="H1948" s="7" t="str">
        <f>'Respuestas de formulario 1'!S2061</f>
        <v/>
      </c>
      <c r="I1948" s="7" t="str">
        <f>IFERROR(__xludf.DUMMYFUNCTION("IF('Respuestas de formulario 1'!I2061="""","""",TO_TEXT('Respuestas de formulario 1'!I2061))"),"")</f>
        <v/>
      </c>
      <c r="J1948" s="7" t="str">
        <f>IFERROR(__xludf.DUMMYFUNCTION("IF('Respuestas de formulario 1'!J2061&lt;&gt;"""",UPPER(TRIM(TO_TEXT('Respuestas de formulario 1'!J2061))),IF('Respuestas de formulario 1'!O2061&lt;&gt;"""",UPPER(TRIM(TO_TEXT('Respuestas de formulario 1'!O2061))),""""))"),"")</f>
        <v/>
      </c>
      <c r="K1948" s="7" t="str">
        <f>IFERROR(__xludf.DUMMYFUNCTION("IF('Respuestas de formulario 1'!K2061="""","""",TO_TEXT('Respuestas de formulario 1'!K2061))"),"")</f>
        <v/>
      </c>
      <c r="L1948" s="7" t="str">
        <f>IFERROR(__xludf.DUMMYFUNCTION("IF('Respuestas de formulario 1'!L2061="""","""",TO_TEXT('Respuestas de formulario 1'!L2061))"),"")</f>
        <v/>
      </c>
      <c r="M1948" s="7" t="str">
        <f>IFERROR(__xludf.DUMMYFUNCTION("IF('Respuestas de formulario 1'!M2061="""","""",TO_TEXT('Respuestas de formulario 1'!M2061))"),"")</f>
        <v/>
      </c>
      <c r="N1948" s="7" t="str">
        <f t="shared" si="1"/>
        <v/>
      </c>
      <c r="O1948" s="7" t="str">
        <f t="shared" si="2"/>
        <v/>
      </c>
      <c r="P1948" s="7"/>
    </row>
    <row r="1949">
      <c r="A1949" s="7" t="str">
        <f>'Respuestas de formulario 1'!A2062</f>
        <v/>
      </c>
      <c r="B1949" s="7" t="str">
        <f>'Respuestas de formulario 1'!B2062</f>
        <v/>
      </c>
      <c r="C1949" s="7" t="str">
        <f>'Respuestas de formulario 1'!C2062</f>
        <v/>
      </c>
      <c r="D1949" s="7" t="str">
        <f>'Respuestas de formulario 1'!D2062</f>
        <v/>
      </c>
      <c r="E1949" s="7" t="str">
        <f>'Respuestas de formulario 1'!E2062</f>
        <v/>
      </c>
      <c r="F1949" s="7" t="str">
        <f>'Respuestas de formulario 1'!F2062</f>
        <v/>
      </c>
      <c r="G1949" s="7" t="str">
        <f>IFERROR(__xludf.DUMMYFUNCTION("IF('Respuestas de formulario 1'!G2062="""","""",IF(LEFT(REGEXREPLACE(TO_TEXT('Respuestas de formulario 1'!G2062),""[^0-9]"",""""),2)=""54"",""+""&amp;REGEXREPLACE(TO_TEXT('Respuestas de formulario 1'!G2062),""[^0-9]"",""""),""+54""&amp;REGEXREPLACE(TO_TEXT('Respu"&amp;"estas de formulario 1'!G2062),""[^0-9]"","""")))"),"")</f>
        <v/>
      </c>
      <c r="H1949" s="7" t="str">
        <f>'Respuestas de formulario 1'!S2062</f>
        <v/>
      </c>
      <c r="I1949" s="7" t="str">
        <f>IFERROR(__xludf.DUMMYFUNCTION("IF('Respuestas de formulario 1'!I2062="""","""",TO_TEXT('Respuestas de formulario 1'!I2062))"),"")</f>
        <v/>
      </c>
      <c r="J1949" s="7" t="str">
        <f>IFERROR(__xludf.DUMMYFUNCTION("IF('Respuestas de formulario 1'!J2062&lt;&gt;"""",UPPER(TRIM(TO_TEXT('Respuestas de formulario 1'!J2062))),IF('Respuestas de formulario 1'!O2062&lt;&gt;"""",UPPER(TRIM(TO_TEXT('Respuestas de formulario 1'!O2062))),""""))"),"")</f>
        <v/>
      </c>
      <c r="K1949" s="7" t="str">
        <f>IFERROR(__xludf.DUMMYFUNCTION("IF('Respuestas de formulario 1'!K2062="""","""",TO_TEXT('Respuestas de formulario 1'!K2062))"),"")</f>
        <v/>
      </c>
      <c r="L1949" s="7" t="str">
        <f>IFERROR(__xludf.DUMMYFUNCTION("IF('Respuestas de formulario 1'!L2062="""","""",TO_TEXT('Respuestas de formulario 1'!L2062))"),"")</f>
        <v/>
      </c>
      <c r="M1949" s="7" t="str">
        <f>IFERROR(__xludf.DUMMYFUNCTION("IF('Respuestas de formulario 1'!M2062="""","""",TO_TEXT('Respuestas de formulario 1'!M2062))"),"")</f>
        <v/>
      </c>
      <c r="N1949" s="7" t="str">
        <f t="shared" si="1"/>
        <v/>
      </c>
      <c r="O1949" s="7" t="str">
        <f t="shared" si="2"/>
        <v/>
      </c>
      <c r="P1949" s="7"/>
    </row>
    <row r="1950">
      <c r="A1950" s="7" t="str">
        <f>'Respuestas de formulario 1'!A2063</f>
        <v/>
      </c>
      <c r="B1950" s="7" t="str">
        <f>'Respuestas de formulario 1'!B2063</f>
        <v/>
      </c>
      <c r="C1950" s="7" t="str">
        <f>'Respuestas de formulario 1'!C2063</f>
        <v/>
      </c>
      <c r="D1950" s="7" t="str">
        <f>'Respuestas de formulario 1'!D2063</f>
        <v/>
      </c>
      <c r="E1950" s="7" t="str">
        <f>'Respuestas de formulario 1'!E2063</f>
        <v/>
      </c>
      <c r="F1950" s="7" t="str">
        <f>'Respuestas de formulario 1'!F2063</f>
        <v/>
      </c>
      <c r="G1950" s="7" t="str">
        <f>IFERROR(__xludf.DUMMYFUNCTION("IF('Respuestas de formulario 1'!G2063="""","""",IF(LEFT(REGEXREPLACE(TO_TEXT('Respuestas de formulario 1'!G2063),""[^0-9]"",""""),2)=""54"",""+""&amp;REGEXREPLACE(TO_TEXT('Respuestas de formulario 1'!G2063),""[^0-9]"",""""),""+54""&amp;REGEXREPLACE(TO_TEXT('Respu"&amp;"estas de formulario 1'!G2063),""[^0-9]"","""")))"),"")</f>
        <v/>
      </c>
      <c r="H1950" s="7" t="str">
        <f>'Respuestas de formulario 1'!S2063</f>
        <v/>
      </c>
      <c r="I1950" s="7" t="str">
        <f>IFERROR(__xludf.DUMMYFUNCTION("IF('Respuestas de formulario 1'!I2063="""","""",TO_TEXT('Respuestas de formulario 1'!I2063))"),"")</f>
        <v/>
      </c>
      <c r="J1950" s="7" t="str">
        <f>IFERROR(__xludf.DUMMYFUNCTION("IF('Respuestas de formulario 1'!J2063&lt;&gt;"""",UPPER(TRIM(TO_TEXT('Respuestas de formulario 1'!J2063))),IF('Respuestas de formulario 1'!O2063&lt;&gt;"""",UPPER(TRIM(TO_TEXT('Respuestas de formulario 1'!O2063))),""""))"),"")</f>
        <v/>
      </c>
      <c r="K1950" s="7" t="str">
        <f>IFERROR(__xludf.DUMMYFUNCTION("IF('Respuestas de formulario 1'!K2063="""","""",TO_TEXT('Respuestas de formulario 1'!K2063))"),"")</f>
        <v/>
      </c>
      <c r="L1950" s="7" t="str">
        <f>IFERROR(__xludf.DUMMYFUNCTION("IF('Respuestas de formulario 1'!L2063="""","""",TO_TEXT('Respuestas de formulario 1'!L2063))"),"")</f>
        <v/>
      </c>
      <c r="M1950" s="7" t="str">
        <f>IFERROR(__xludf.DUMMYFUNCTION("IF('Respuestas de formulario 1'!M2063="""","""",TO_TEXT('Respuestas de formulario 1'!M2063))"),"")</f>
        <v/>
      </c>
      <c r="N1950" s="7" t="str">
        <f t="shared" si="1"/>
        <v/>
      </c>
      <c r="O1950" s="7" t="str">
        <f t="shared" si="2"/>
        <v/>
      </c>
      <c r="P1950" s="7"/>
    </row>
    <row r="1951">
      <c r="A1951" s="7" t="str">
        <f>'Respuestas de formulario 1'!A2064</f>
        <v/>
      </c>
      <c r="B1951" s="7" t="str">
        <f>'Respuestas de formulario 1'!B2064</f>
        <v/>
      </c>
      <c r="C1951" s="7" t="str">
        <f>'Respuestas de formulario 1'!C2064</f>
        <v/>
      </c>
      <c r="D1951" s="7" t="str">
        <f>'Respuestas de formulario 1'!D2064</f>
        <v/>
      </c>
      <c r="E1951" s="7" t="str">
        <f>'Respuestas de formulario 1'!E2064</f>
        <v/>
      </c>
      <c r="F1951" s="7" t="str">
        <f>'Respuestas de formulario 1'!F2064</f>
        <v/>
      </c>
      <c r="G1951" s="7" t="str">
        <f>IFERROR(__xludf.DUMMYFUNCTION("IF('Respuestas de formulario 1'!G2064="""","""",IF(LEFT(REGEXREPLACE(TO_TEXT('Respuestas de formulario 1'!G2064),""[^0-9]"",""""),2)=""54"",""+""&amp;REGEXREPLACE(TO_TEXT('Respuestas de formulario 1'!G2064),""[^0-9]"",""""),""+54""&amp;REGEXREPLACE(TO_TEXT('Respu"&amp;"estas de formulario 1'!G2064),""[^0-9]"","""")))"),"")</f>
        <v/>
      </c>
      <c r="H1951" s="7" t="str">
        <f>'Respuestas de formulario 1'!S2064</f>
        <v/>
      </c>
      <c r="I1951" s="7" t="str">
        <f>IFERROR(__xludf.DUMMYFUNCTION("IF('Respuestas de formulario 1'!I2064="""","""",TO_TEXT('Respuestas de formulario 1'!I2064))"),"")</f>
        <v/>
      </c>
      <c r="J1951" s="7" t="str">
        <f>IFERROR(__xludf.DUMMYFUNCTION("IF('Respuestas de formulario 1'!J2064&lt;&gt;"""",UPPER(TRIM(TO_TEXT('Respuestas de formulario 1'!J2064))),IF('Respuestas de formulario 1'!O2064&lt;&gt;"""",UPPER(TRIM(TO_TEXT('Respuestas de formulario 1'!O2064))),""""))"),"")</f>
        <v/>
      </c>
      <c r="K1951" s="7" t="str">
        <f>IFERROR(__xludf.DUMMYFUNCTION("IF('Respuestas de formulario 1'!K2064="""","""",TO_TEXT('Respuestas de formulario 1'!K2064))"),"")</f>
        <v/>
      </c>
      <c r="L1951" s="7" t="str">
        <f>IFERROR(__xludf.DUMMYFUNCTION("IF('Respuestas de formulario 1'!L2064="""","""",TO_TEXT('Respuestas de formulario 1'!L2064))"),"")</f>
        <v/>
      </c>
      <c r="M1951" s="7" t="str">
        <f>IFERROR(__xludf.DUMMYFUNCTION("IF('Respuestas de formulario 1'!M2064="""","""",TO_TEXT('Respuestas de formulario 1'!M2064))"),"")</f>
        <v/>
      </c>
      <c r="N1951" s="7" t="str">
        <f t="shared" si="1"/>
        <v/>
      </c>
      <c r="O1951" s="7" t="str">
        <f t="shared" si="2"/>
        <v/>
      </c>
      <c r="P1951" s="7"/>
    </row>
    <row r="1952">
      <c r="A1952" s="7" t="str">
        <f>'Respuestas de formulario 1'!A2065</f>
        <v/>
      </c>
      <c r="B1952" s="7" t="str">
        <f>'Respuestas de formulario 1'!B2065</f>
        <v/>
      </c>
      <c r="C1952" s="7" t="str">
        <f>'Respuestas de formulario 1'!C2065</f>
        <v/>
      </c>
      <c r="D1952" s="7" t="str">
        <f>'Respuestas de formulario 1'!D2065</f>
        <v/>
      </c>
      <c r="E1952" s="7" t="str">
        <f>'Respuestas de formulario 1'!E2065</f>
        <v/>
      </c>
      <c r="F1952" s="7" t="str">
        <f>'Respuestas de formulario 1'!F2065</f>
        <v/>
      </c>
      <c r="G1952" s="7" t="str">
        <f>IFERROR(__xludf.DUMMYFUNCTION("IF('Respuestas de formulario 1'!G2065="""","""",IF(LEFT(REGEXREPLACE(TO_TEXT('Respuestas de formulario 1'!G2065),""[^0-9]"",""""),2)=""54"",""+""&amp;REGEXREPLACE(TO_TEXT('Respuestas de formulario 1'!G2065),""[^0-9]"",""""),""+54""&amp;REGEXREPLACE(TO_TEXT('Respu"&amp;"estas de formulario 1'!G2065),""[^0-9]"","""")))"),"")</f>
        <v/>
      </c>
      <c r="H1952" s="7" t="str">
        <f>'Respuestas de formulario 1'!S2065</f>
        <v/>
      </c>
      <c r="I1952" s="7" t="str">
        <f>IFERROR(__xludf.DUMMYFUNCTION("IF('Respuestas de formulario 1'!I2065="""","""",TO_TEXT('Respuestas de formulario 1'!I2065))"),"")</f>
        <v/>
      </c>
      <c r="J1952" s="7" t="str">
        <f>IFERROR(__xludf.DUMMYFUNCTION("IF('Respuestas de formulario 1'!J2065&lt;&gt;"""",UPPER(TRIM(TO_TEXT('Respuestas de formulario 1'!J2065))),IF('Respuestas de formulario 1'!O2065&lt;&gt;"""",UPPER(TRIM(TO_TEXT('Respuestas de formulario 1'!O2065))),""""))"),"")</f>
        <v/>
      </c>
      <c r="K1952" s="7" t="str">
        <f>IFERROR(__xludf.DUMMYFUNCTION("IF('Respuestas de formulario 1'!K2065="""","""",TO_TEXT('Respuestas de formulario 1'!K2065))"),"")</f>
        <v/>
      </c>
      <c r="L1952" s="7" t="str">
        <f>IFERROR(__xludf.DUMMYFUNCTION("IF('Respuestas de formulario 1'!L2065="""","""",TO_TEXT('Respuestas de formulario 1'!L2065))"),"")</f>
        <v/>
      </c>
      <c r="M1952" s="7" t="str">
        <f>IFERROR(__xludf.DUMMYFUNCTION("IF('Respuestas de formulario 1'!M2065="""","""",TO_TEXT('Respuestas de formulario 1'!M2065))"),"")</f>
        <v/>
      </c>
      <c r="N1952" s="7" t="str">
        <f t="shared" si="1"/>
        <v/>
      </c>
      <c r="O1952" s="7" t="str">
        <f t="shared" si="2"/>
        <v/>
      </c>
      <c r="P1952" s="7"/>
    </row>
    <row r="1953">
      <c r="A1953" s="7" t="str">
        <f>'Respuestas de formulario 1'!A2066</f>
        <v/>
      </c>
      <c r="B1953" s="7" t="str">
        <f>'Respuestas de formulario 1'!B2066</f>
        <v/>
      </c>
      <c r="C1953" s="7" t="str">
        <f>'Respuestas de formulario 1'!C2066</f>
        <v/>
      </c>
      <c r="D1953" s="7" t="str">
        <f>'Respuestas de formulario 1'!D2066</f>
        <v/>
      </c>
      <c r="E1953" s="7" t="str">
        <f>'Respuestas de formulario 1'!E2066</f>
        <v/>
      </c>
      <c r="F1953" s="7" t="str">
        <f>'Respuestas de formulario 1'!F2066</f>
        <v/>
      </c>
      <c r="G1953" s="7" t="str">
        <f>IFERROR(__xludf.DUMMYFUNCTION("IF('Respuestas de formulario 1'!G2066="""","""",IF(LEFT(REGEXREPLACE(TO_TEXT('Respuestas de formulario 1'!G2066),""[^0-9]"",""""),2)=""54"",""+""&amp;REGEXREPLACE(TO_TEXT('Respuestas de formulario 1'!G2066),""[^0-9]"",""""),""+54""&amp;REGEXREPLACE(TO_TEXT('Respu"&amp;"estas de formulario 1'!G2066),""[^0-9]"","""")))"),"")</f>
        <v/>
      </c>
      <c r="H1953" s="7" t="str">
        <f>'Respuestas de formulario 1'!S2066</f>
        <v/>
      </c>
      <c r="I1953" s="7" t="str">
        <f>IFERROR(__xludf.DUMMYFUNCTION("IF('Respuestas de formulario 1'!I2066="""","""",TO_TEXT('Respuestas de formulario 1'!I2066))"),"")</f>
        <v/>
      </c>
      <c r="J1953" s="7" t="str">
        <f>IFERROR(__xludf.DUMMYFUNCTION("IF('Respuestas de formulario 1'!J2066&lt;&gt;"""",UPPER(TRIM(TO_TEXT('Respuestas de formulario 1'!J2066))),IF('Respuestas de formulario 1'!O2066&lt;&gt;"""",UPPER(TRIM(TO_TEXT('Respuestas de formulario 1'!O2066))),""""))"),"")</f>
        <v/>
      </c>
      <c r="K1953" s="7" t="str">
        <f>IFERROR(__xludf.DUMMYFUNCTION("IF('Respuestas de formulario 1'!K2066="""","""",TO_TEXT('Respuestas de formulario 1'!K2066))"),"")</f>
        <v/>
      </c>
      <c r="L1953" s="7" t="str">
        <f>IFERROR(__xludf.DUMMYFUNCTION("IF('Respuestas de formulario 1'!L2066="""","""",TO_TEXT('Respuestas de formulario 1'!L2066))"),"")</f>
        <v/>
      </c>
      <c r="M1953" s="7" t="str">
        <f>IFERROR(__xludf.DUMMYFUNCTION("IF('Respuestas de formulario 1'!M2066="""","""",TO_TEXT('Respuestas de formulario 1'!M2066))"),"")</f>
        <v/>
      </c>
      <c r="N1953" s="7" t="str">
        <f t="shared" si="1"/>
        <v/>
      </c>
      <c r="O1953" s="7" t="str">
        <f t="shared" si="2"/>
        <v/>
      </c>
      <c r="P1953" s="7"/>
    </row>
    <row r="1954">
      <c r="A1954" s="7" t="str">
        <f>'Respuestas de formulario 1'!A2067</f>
        <v/>
      </c>
      <c r="B1954" s="7" t="str">
        <f>'Respuestas de formulario 1'!B2067</f>
        <v/>
      </c>
      <c r="C1954" s="7" t="str">
        <f>'Respuestas de formulario 1'!C2067</f>
        <v/>
      </c>
      <c r="D1954" s="7" t="str">
        <f>'Respuestas de formulario 1'!D2067</f>
        <v/>
      </c>
      <c r="E1954" s="7" t="str">
        <f>'Respuestas de formulario 1'!E2067</f>
        <v/>
      </c>
      <c r="F1954" s="7" t="str">
        <f>'Respuestas de formulario 1'!F2067</f>
        <v/>
      </c>
      <c r="G1954" s="7" t="str">
        <f>IFERROR(__xludf.DUMMYFUNCTION("IF('Respuestas de formulario 1'!G2067="""","""",IF(LEFT(REGEXREPLACE(TO_TEXT('Respuestas de formulario 1'!G2067),""[^0-9]"",""""),2)=""54"",""+""&amp;REGEXREPLACE(TO_TEXT('Respuestas de formulario 1'!G2067),""[^0-9]"",""""),""+54""&amp;REGEXREPLACE(TO_TEXT('Respu"&amp;"estas de formulario 1'!G2067),""[^0-9]"","""")))"),"")</f>
        <v/>
      </c>
      <c r="H1954" s="7" t="str">
        <f>'Respuestas de formulario 1'!S2067</f>
        <v/>
      </c>
      <c r="I1954" s="7" t="str">
        <f>IFERROR(__xludf.DUMMYFUNCTION("IF('Respuestas de formulario 1'!I2067="""","""",TO_TEXT('Respuestas de formulario 1'!I2067))"),"")</f>
        <v/>
      </c>
      <c r="J1954" s="7" t="str">
        <f>IFERROR(__xludf.DUMMYFUNCTION("IF('Respuestas de formulario 1'!J2067&lt;&gt;"""",UPPER(TRIM(TO_TEXT('Respuestas de formulario 1'!J2067))),IF('Respuestas de formulario 1'!O2067&lt;&gt;"""",UPPER(TRIM(TO_TEXT('Respuestas de formulario 1'!O2067))),""""))"),"")</f>
        <v/>
      </c>
      <c r="K1954" s="7" t="str">
        <f>IFERROR(__xludf.DUMMYFUNCTION("IF('Respuestas de formulario 1'!K2067="""","""",TO_TEXT('Respuestas de formulario 1'!K2067))"),"")</f>
        <v/>
      </c>
      <c r="L1954" s="7" t="str">
        <f>IFERROR(__xludf.DUMMYFUNCTION("IF('Respuestas de formulario 1'!L2067="""","""",TO_TEXT('Respuestas de formulario 1'!L2067))"),"")</f>
        <v/>
      </c>
      <c r="M1954" s="7" t="str">
        <f>IFERROR(__xludf.DUMMYFUNCTION("IF('Respuestas de formulario 1'!M2067="""","""",TO_TEXT('Respuestas de formulario 1'!M2067))"),"")</f>
        <v/>
      </c>
      <c r="N1954" s="7" t="str">
        <f t="shared" si="1"/>
        <v/>
      </c>
      <c r="O1954" s="7" t="str">
        <f t="shared" si="2"/>
        <v/>
      </c>
      <c r="P1954" s="7"/>
    </row>
    <row r="1955">
      <c r="A1955" s="7" t="str">
        <f>'Respuestas de formulario 1'!A2068</f>
        <v/>
      </c>
      <c r="B1955" s="7" t="str">
        <f>'Respuestas de formulario 1'!B2068</f>
        <v/>
      </c>
      <c r="C1955" s="7" t="str">
        <f>'Respuestas de formulario 1'!C2068</f>
        <v/>
      </c>
      <c r="D1955" s="7" t="str">
        <f>'Respuestas de formulario 1'!D2068</f>
        <v/>
      </c>
      <c r="E1955" s="7" t="str">
        <f>'Respuestas de formulario 1'!E2068</f>
        <v/>
      </c>
      <c r="F1955" s="7" t="str">
        <f>'Respuestas de formulario 1'!F2068</f>
        <v/>
      </c>
      <c r="G1955" s="7" t="str">
        <f>IFERROR(__xludf.DUMMYFUNCTION("IF('Respuestas de formulario 1'!G2068="""","""",IF(LEFT(REGEXREPLACE(TO_TEXT('Respuestas de formulario 1'!G2068),""[^0-9]"",""""),2)=""54"",""+""&amp;REGEXREPLACE(TO_TEXT('Respuestas de formulario 1'!G2068),""[^0-9]"",""""),""+54""&amp;REGEXREPLACE(TO_TEXT('Respu"&amp;"estas de formulario 1'!G2068),""[^0-9]"","""")))"),"")</f>
        <v/>
      </c>
      <c r="H1955" s="7" t="str">
        <f>'Respuestas de formulario 1'!S2068</f>
        <v/>
      </c>
      <c r="I1955" s="7" t="str">
        <f>IFERROR(__xludf.DUMMYFUNCTION("IF('Respuestas de formulario 1'!I2068="""","""",TO_TEXT('Respuestas de formulario 1'!I2068))"),"")</f>
        <v/>
      </c>
      <c r="J1955" s="7" t="str">
        <f>IFERROR(__xludf.DUMMYFUNCTION("IF('Respuestas de formulario 1'!J2068&lt;&gt;"""",UPPER(TRIM(TO_TEXT('Respuestas de formulario 1'!J2068))),IF('Respuestas de formulario 1'!O2068&lt;&gt;"""",UPPER(TRIM(TO_TEXT('Respuestas de formulario 1'!O2068))),""""))"),"")</f>
        <v/>
      </c>
      <c r="K1955" s="7" t="str">
        <f>IFERROR(__xludf.DUMMYFUNCTION("IF('Respuestas de formulario 1'!K2068="""","""",TO_TEXT('Respuestas de formulario 1'!K2068))"),"")</f>
        <v/>
      </c>
      <c r="L1955" s="7" t="str">
        <f>IFERROR(__xludf.DUMMYFUNCTION("IF('Respuestas de formulario 1'!L2068="""","""",TO_TEXT('Respuestas de formulario 1'!L2068))"),"")</f>
        <v/>
      </c>
      <c r="M1955" s="7" t="str">
        <f>IFERROR(__xludf.DUMMYFUNCTION("IF('Respuestas de formulario 1'!M2068="""","""",TO_TEXT('Respuestas de formulario 1'!M2068))"),"")</f>
        <v/>
      </c>
      <c r="N1955" s="7" t="str">
        <f t="shared" si="1"/>
        <v/>
      </c>
      <c r="O1955" s="7" t="str">
        <f t="shared" si="2"/>
        <v/>
      </c>
      <c r="P1955" s="7"/>
    </row>
    <row r="1956">
      <c r="A1956" s="7" t="str">
        <f>'Respuestas de formulario 1'!A2069</f>
        <v/>
      </c>
      <c r="B1956" s="7" t="str">
        <f>'Respuestas de formulario 1'!B2069</f>
        <v/>
      </c>
      <c r="C1956" s="7" t="str">
        <f>'Respuestas de formulario 1'!C2069</f>
        <v/>
      </c>
      <c r="D1956" s="7" t="str">
        <f>'Respuestas de formulario 1'!D2069</f>
        <v/>
      </c>
      <c r="E1956" s="7" t="str">
        <f>'Respuestas de formulario 1'!E2069</f>
        <v/>
      </c>
      <c r="F1956" s="7" t="str">
        <f>'Respuestas de formulario 1'!F2069</f>
        <v/>
      </c>
      <c r="G1956" s="7" t="str">
        <f>IFERROR(__xludf.DUMMYFUNCTION("IF('Respuestas de formulario 1'!G2069="""","""",IF(LEFT(REGEXREPLACE(TO_TEXT('Respuestas de formulario 1'!G2069),""[^0-9]"",""""),2)=""54"",""+""&amp;REGEXREPLACE(TO_TEXT('Respuestas de formulario 1'!G2069),""[^0-9]"",""""),""+54""&amp;REGEXREPLACE(TO_TEXT('Respu"&amp;"estas de formulario 1'!G2069),""[^0-9]"","""")))"),"")</f>
        <v/>
      </c>
      <c r="H1956" s="7" t="str">
        <f>'Respuestas de formulario 1'!S2069</f>
        <v/>
      </c>
      <c r="I1956" s="7" t="str">
        <f>IFERROR(__xludf.DUMMYFUNCTION("IF('Respuestas de formulario 1'!I2069="""","""",TO_TEXT('Respuestas de formulario 1'!I2069))"),"")</f>
        <v/>
      </c>
      <c r="J1956" s="7" t="str">
        <f>IFERROR(__xludf.DUMMYFUNCTION("IF('Respuestas de formulario 1'!J2069&lt;&gt;"""",UPPER(TRIM(TO_TEXT('Respuestas de formulario 1'!J2069))),IF('Respuestas de formulario 1'!O2069&lt;&gt;"""",UPPER(TRIM(TO_TEXT('Respuestas de formulario 1'!O2069))),""""))"),"")</f>
        <v/>
      </c>
      <c r="K1956" s="7" t="str">
        <f>IFERROR(__xludf.DUMMYFUNCTION("IF('Respuestas de formulario 1'!K2069="""","""",TO_TEXT('Respuestas de formulario 1'!K2069))"),"")</f>
        <v/>
      </c>
      <c r="L1956" s="7" t="str">
        <f>IFERROR(__xludf.DUMMYFUNCTION("IF('Respuestas de formulario 1'!L2069="""","""",TO_TEXT('Respuestas de formulario 1'!L2069))"),"")</f>
        <v/>
      </c>
      <c r="M1956" s="7" t="str">
        <f>IFERROR(__xludf.DUMMYFUNCTION("IF('Respuestas de formulario 1'!M2069="""","""",TO_TEXT('Respuestas de formulario 1'!M2069))"),"")</f>
        <v/>
      </c>
      <c r="N1956" s="7" t="str">
        <f t="shared" si="1"/>
        <v/>
      </c>
      <c r="O1956" s="7" t="str">
        <f t="shared" si="2"/>
        <v/>
      </c>
      <c r="P1956" s="7"/>
    </row>
    <row r="1957">
      <c r="A1957" s="7" t="str">
        <f>'Respuestas de formulario 1'!A2070</f>
        <v/>
      </c>
      <c r="B1957" s="7" t="str">
        <f>'Respuestas de formulario 1'!B2070</f>
        <v/>
      </c>
      <c r="C1957" s="7" t="str">
        <f>'Respuestas de formulario 1'!C2070</f>
        <v/>
      </c>
      <c r="D1957" s="7" t="str">
        <f>'Respuestas de formulario 1'!D2070</f>
        <v/>
      </c>
      <c r="E1957" s="7" t="str">
        <f>'Respuestas de formulario 1'!E2070</f>
        <v/>
      </c>
      <c r="F1957" s="7" t="str">
        <f>'Respuestas de formulario 1'!F2070</f>
        <v/>
      </c>
      <c r="G1957" s="7" t="str">
        <f>IFERROR(__xludf.DUMMYFUNCTION("IF('Respuestas de formulario 1'!G2070="""","""",IF(LEFT(REGEXREPLACE(TO_TEXT('Respuestas de formulario 1'!G2070),""[^0-9]"",""""),2)=""54"",""+""&amp;REGEXREPLACE(TO_TEXT('Respuestas de formulario 1'!G2070),""[^0-9]"",""""),""+54""&amp;REGEXREPLACE(TO_TEXT('Respu"&amp;"estas de formulario 1'!G2070),""[^0-9]"","""")))"),"")</f>
        <v/>
      </c>
      <c r="H1957" s="7" t="str">
        <f>'Respuestas de formulario 1'!S2070</f>
        <v/>
      </c>
      <c r="I1957" s="7" t="str">
        <f>IFERROR(__xludf.DUMMYFUNCTION("IF('Respuestas de formulario 1'!I2070="""","""",TO_TEXT('Respuestas de formulario 1'!I2070))"),"")</f>
        <v/>
      </c>
      <c r="J1957" s="7" t="str">
        <f>IFERROR(__xludf.DUMMYFUNCTION("IF('Respuestas de formulario 1'!J2070&lt;&gt;"""",UPPER(TRIM(TO_TEXT('Respuestas de formulario 1'!J2070))),IF('Respuestas de formulario 1'!O2070&lt;&gt;"""",UPPER(TRIM(TO_TEXT('Respuestas de formulario 1'!O2070))),""""))"),"")</f>
        <v/>
      </c>
      <c r="K1957" s="7" t="str">
        <f>IFERROR(__xludf.DUMMYFUNCTION("IF('Respuestas de formulario 1'!K2070="""","""",TO_TEXT('Respuestas de formulario 1'!K2070))"),"")</f>
        <v/>
      </c>
      <c r="L1957" s="7" t="str">
        <f>IFERROR(__xludf.DUMMYFUNCTION("IF('Respuestas de formulario 1'!L2070="""","""",TO_TEXT('Respuestas de formulario 1'!L2070))"),"")</f>
        <v/>
      </c>
      <c r="M1957" s="7" t="str">
        <f>IFERROR(__xludf.DUMMYFUNCTION("IF('Respuestas de formulario 1'!M2070="""","""",TO_TEXT('Respuestas de formulario 1'!M2070))"),"")</f>
        <v/>
      </c>
      <c r="N1957" s="7" t="str">
        <f t="shared" si="1"/>
        <v/>
      </c>
      <c r="O1957" s="7" t="str">
        <f t="shared" si="2"/>
        <v/>
      </c>
      <c r="P1957" s="7"/>
    </row>
    <row r="1958">
      <c r="A1958" s="7" t="str">
        <f>'Respuestas de formulario 1'!A2071</f>
        <v/>
      </c>
      <c r="B1958" s="7" t="str">
        <f>'Respuestas de formulario 1'!B2071</f>
        <v/>
      </c>
      <c r="C1958" s="7" t="str">
        <f>'Respuestas de formulario 1'!C2071</f>
        <v/>
      </c>
      <c r="D1958" s="7" t="str">
        <f>'Respuestas de formulario 1'!D2071</f>
        <v/>
      </c>
      <c r="E1958" s="7" t="str">
        <f>'Respuestas de formulario 1'!E2071</f>
        <v/>
      </c>
      <c r="F1958" s="7" t="str">
        <f>'Respuestas de formulario 1'!F2071</f>
        <v/>
      </c>
      <c r="G1958" s="7" t="str">
        <f>IFERROR(__xludf.DUMMYFUNCTION("IF('Respuestas de formulario 1'!G2071="""","""",IF(LEFT(REGEXREPLACE(TO_TEXT('Respuestas de formulario 1'!G2071),""[^0-9]"",""""),2)=""54"",""+""&amp;REGEXREPLACE(TO_TEXT('Respuestas de formulario 1'!G2071),""[^0-9]"",""""),""+54""&amp;REGEXREPLACE(TO_TEXT('Respu"&amp;"estas de formulario 1'!G2071),""[^0-9]"","""")))"),"")</f>
        <v/>
      </c>
      <c r="H1958" s="7" t="str">
        <f>'Respuestas de formulario 1'!S2071</f>
        <v/>
      </c>
      <c r="I1958" s="7" t="str">
        <f>IFERROR(__xludf.DUMMYFUNCTION("IF('Respuestas de formulario 1'!I2071="""","""",TO_TEXT('Respuestas de formulario 1'!I2071))"),"")</f>
        <v/>
      </c>
      <c r="J1958" s="7" t="str">
        <f>IFERROR(__xludf.DUMMYFUNCTION("IF('Respuestas de formulario 1'!J2071&lt;&gt;"""",UPPER(TRIM(TO_TEXT('Respuestas de formulario 1'!J2071))),IF('Respuestas de formulario 1'!O2071&lt;&gt;"""",UPPER(TRIM(TO_TEXT('Respuestas de formulario 1'!O2071))),""""))"),"")</f>
        <v/>
      </c>
      <c r="K1958" s="7" t="str">
        <f>IFERROR(__xludf.DUMMYFUNCTION("IF('Respuestas de formulario 1'!K2071="""","""",TO_TEXT('Respuestas de formulario 1'!K2071))"),"")</f>
        <v/>
      </c>
      <c r="L1958" s="7" t="str">
        <f>IFERROR(__xludf.DUMMYFUNCTION("IF('Respuestas de formulario 1'!L2071="""","""",TO_TEXT('Respuestas de formulario 1'!L2071))"),"")</f>
        <v/>
      </c>
      <c r="M1958" s="7" t="str">
        <f>IFERROR(__xludf.DUMMYFUNCTION("IF('Respuestas de formulario 1'!M2071="""","""",TO_TEXT('Respuestas de formulario 1'!M2071))"),"")</f>
        <v/>
      </c>
      <c r="N1958" s="7" t="str">
        <f t="shared" si="1"/>
        <v/>
      </c>
      <c r="O1958" s="7" t="str">
        <f t="shared" si="2"/>
        <v/>
      </c>
      <c r="P1958" s="7"/>
    </row>
    <row r="1959">
      <c r="A1959" s="7" t="str">
        <f>'Respuestas de formulario 1'!A2072</f>
        <v/>
      </c>
      <c r="B1959" s="7" t="str">
        <f>'Respuestas de formulario 1'!B2072</f>
        <v/>
      </c>
      <c r="C1959" s="7" t="str">
        <f>'Respuestas de formulario 1'!C2072</f>
        <v/>
      </c>
      <c r="D1959" s="7" t="str">
        <f>'Respuestas de formulario 1'!D2072</f>
        <v/>
      </c>
      <c r="E1959" s="7" t="str">
        <f>'Respuestas de formulario 1'!E2072</f>
        <v/>
      </c>
      <c r="F1959" s="7" t="str">
        <f>'Respuestas de formulario 1'!F2072</f>
        <v/>
      </c>
      <c r="G1959" s="7" t="str">
        <f>IFERROR(__xludf.DUMMYFUNCTION("IF('Respuestas de formulario 1'!G2072="""","""",IF(LEFT(REGEXREPLACE(TO_TEXT('Respuestas de formulario 1'!G2072),""[^0-9]"",""""),2)=""54"",""+""&amp;REGEXREPLACE(TO_TEXT('Respuestas de formulario 1'!G2072),""[^0-9]"",""""),""+54""&amp;REGEXREPLACE(TO_TEXT('Respu"&amp;"estas de formulario 1'!G2072),""[^0-9]"","""")))"),"")</f>
        <v/>
      </c>
      <c r="H1959" s="7" t="str">
        <f>'Respuestas de formulario 1'!S2072</f>
        <v/>
      </c>
      <c r="I1959" s="7" t="str">
        <f>IFERROR(__xludf.DUMMYFUNCTION("IF('Respuestas de formulario 1'!I2072="""","""",TO_TEXT('Respuestas de formulario 1'!I2072))"),"")</f>
        <v/>
      </c>
      <c r="J1959" s="7" t="str">
        <f>IFERROR(__xludf.DUMMYFUNCTION("IF('Respuestas de formulario 1'!J2072&lt;&gt;"""",UPPER(TRIM(TO_TEXT('Respuestas de formulario 1'!J2072))),IF('Respuestas de formulario 1'!O2072&lt;&gt;"""",UPPER(TRIM(TO_TEXT('Respuestas de formulario 1'!O2072))),""""))"),"")</f>
        <v/>
      </c>
      <c r="K1959" s="7" t="str">
        <f>IFERROR(__xludf.DUMMYFUNCTION("IF('Respuestas de formulario 1'!K2072="""","""",TO_TEXT('Respuestas de formulario 1'!K2072))"),"")</f>
        <v/>
      </c>
      <c r="L1959" s="7" t="str">
        <f>IFERROR(__xludf.DUMMYFUNCTION("IF('Respuestas de formulario 1'!L2072="""","""",TO_TEXT('Respuestas de formulario 1'!L2072))"),"")</f>
        <v/>
      </c>
      <c r="M1959" s="7" t="str">
        <f>IFERROR(__xludf.DUMMYFUNCTION("IF('Respuestas de formulario 1'!M2072="""","""",TO_TEXT('Respuestas de formulario 1'!M2072))"),"")</f>
        <v/>
      </c>
      <c r="N1959" s="7" t="str">
        <f t="shared" si="1"/>
        <v/>
      </c>
      <c r="O1959" s="7" t="str">
        <f t="shared" si="2"/>
        <v/>
      </c>
      <c r="P1959" s="7"/>
    </row>
    <row r="1960">
      <c r="A1960" s="7" t="str">
        <f>'Respuestas de formulario 1'!A2073</f>
        <v/>
      </c>
      <c r="B1960" s="7" t="str">
        <f>'Respuestas de formulario 1'!B2073</f>
        <v/>
      </c>
      <c r="C1960" s="7" t="str">
        <f>'Respuestas de formulario 1'!C2073</f>
        <v/>
      </c>
      <c r="D1960" s="7" t="str">
        <f>'Respuestas de formulario 1'!D2073</f>
        <v/>
      </c>
      <c r="E1960" s="7" t="str">
        <f>'Respuestas de formulario 1'!E2073</f>
        <v/>
      </c>
      <c r="F1960" s="7" t="str">
        <f>'Respuestas de formulario 1'!F2073</f>
        <v/>
      </c>
      <c r="G1960" s="7" t="str">
        <f>IFERROR(__xludf.DUMMYFUNCTION("IF('Respuestas de formulario 1'!G2073="""","""",IF(LEFT(REGEXREPLACE(TO_TEXT('Respuestas de formulario 1'!G2073),""[^0-9]"",""""),2)=""54"",""+""&amp;REGEXREPLACE(TO_TEXT('Respuestas de formulario 1'!G2073),""[^0-9]"",""""),""+54""&amp;REGEXREPLACE(TO_TEXT('Respu"&amp;"estas de formulario 1'!G2073),""[^0-9]"","""")))"),"")</f>
        <v/>
      </c>
      <c r="H1960" s="7" t="str">
        <f>'Respuestas de formulario 1'!S2073</f>
        <v/>
      </c>
      <c r="I1960" s="7" t="str">
        <f>IFERROR(__xludf.DUMMYFUNCTION("IF('Respuestas de formulario 1'!I2073="""","""",TO_TEXT('Respuestas de formulario 1'!I2073))"),"")</f>
        <v/>
      </c>
      <c r="J1960" s="7" t="str">
        <f>IFERROR(__xludf.DUMMYFUNCTION("IF('Respuestas de formulario 1'!J2073&lt;&gt;"""",UPPER(TRIM(TO_TEXT('Respuestas de formulario 1'!J2073))),IF('Respuestas de formulario 1'!O2073&lt;&gt;"""",UPPER(TRIM(TO_TEXT('Respuestas de formulario 1'!O2073))),""""))"),"")</f>
        <v/>
      </c>
      <c r="K1960" s="7" t="str">
        <f>IFERROR(__xludf.DUMMYFUNCTION("IF('Respuestas de formulario 1'!K2073="""","""",TO_TEXT('Respuestas de formulario 1'!K2073))"),"")</f>
        <v/>
      </c>
      <c r="L1960" s="7" t="str">
        <f>IFERROR(__xludf.DUMMYFUNCTION("IF('Respuestas de formulario 1'!L2073="""","""",TO_TEXT('Respuestas de formulario 1'!L2073))"),"")</f>
        <v/>
      </c>
      <c r="M1960" s="7" t="str">
        <f>IFERROR(__xludf.DUMMYFUNCTION("IF('Respuestas de formulario 1'!M2073="""","""",TO_TEXT('Respuestas de formulario 1'!M2073))"),"")</f>
        <v/>
      </c>
      <c r="N1960" s="7" t="str">
        <f t="shared" si="1"/>
        <v/>
      </c>
      <c r="O1960" s="7" t="str">
        <f t="shared" si="2"/>
        <v/>
      </c>
      <c r="P1960" s="7"/>
    </row>
    <row r="1961">
      <c r="A1961" s="7" t="str">
        <f>'Respuestas de formulario 1'!A2074</f>
        <v/>
      </c>
      <c r="B1961" s="7" t="str">
        <f>'Respuestas de formulario 1'!B2074</f>
        <v/>
      </c>
      <c r="C1961" s="7" t="str">
        <f>'Respuestas de formulario 1'!C2074</f>
        <v/>
      </c>
      <c r="D1961" s="7" t="str">
        <f>'Respuestas de formulario 1'!D2074</f>
        <v/>
      </c>
      <c r="E1961" s="7" t="str">
        <f>'Respuestas de formulario 1'!E2074</f>
        <v/>
      </c>
      <c r="F1961" s="7" t="str">
        <f>'Respuestas de formulario 1'!F2074</f>
        <v/>
      </c>
      <c r="G1961" s="7" t="str">
        <f>IFERROR(__xludf.DUMMYFUNCTION("IF('Respuestas de formulario 1'!G2074="""","""",IF(LEFT(REGEXREPLACE(TO_TEXT('Respuestas de formulario 1'!G2074),""[^0-9]"",""""),2)=""54"",""+""&amp;REGEXREPLACE(TO_TEXT('Respuestas de formulario 1'!G2074),""[^0-9]"",""""),""+54""&amp;REGEXREPLACE(TO_TEXT('Respu"&amp;"estas de formulario 1'!G2074),""[^0-9]"","""")))"),"")</f>
        <v/>
      </c>
      <c r="H1961" s="7" t="str">
        <f>'Respuestas de formulario 1'!S2074</f>
        <v/>
      </c>
      <c r="I1961" s="7" t="str">
        <f>IFERROR(__xludf.DUMMYFUNCTION("IF('Respuestas de formulario 1'!I2074="""","""",TO_TEXT('Respuestas de formulario 1'!I2074))"),"")</f>
        <v/>
      </c>
      <c r="J1961" s="7" t="str">
        <f>IFERROR(__xludf.DUMMYFUNCTION("IF('Respuestas de formulario 1'!J2074&lt;&gt;"""",UPPER(TRIM(TO_TEXT('Respuestas de formulario 1'!J2074))),IF('Respuestas de formulario 1'!O2074&lt;&gt;"""",UPPER(TRIM(TO_TEXT('Respuestas de formulario 1'!O2074))),""""))"),"")</f>
        <v/>
      </c>
      <c r="K1961" s="7" t="str">
        <f>IFERROR(__xludf.DUMMYFUNCTION("IF('Respuestas de formulario 1'!K2074="""","""",TO_TEXT('Respuestas de formulario 1'!K2074))"),"")</f>
        <v/>
      </c>
      <c r="L1961" s="7" t="str">
        <f>IFERROR(__xludf.DUMMYFUNCTION("IF('Respuestas de formulario 1'!L2074="""","""",TO_TEXT('Respuestas de formulario 1'!L2074))"),"")</f>
        <v/>
      </c>
      <c r="M1961" s="7" t="str">
        <f>IFERROR(__xludf.DUMMYFUNCTION("IF('Respuestas de formulario 1'!M2074="""","""",TO_TEXT('Respuestas de formulario 1'!M2074))"),"")</f>
        <v/>
      </c>
      <c r="N1961" s="7" t="str">
        <f t="shared" si="1"/>
        <v/>
      </c>
      <c r="O1961" s="7" t="str">
        <f t="shared" si="2"/>
        <v/>
      </c>
      <c r="P1961" s="7"/>
    </row>
    <row r="1962">
      <c r="A1962" s="7" t="str">
        <f>'Respuestas de formulario 1'!A2075</f>
        <v/>
      </c>
      <c r="B1962" s="7" t="str">
        <f>'Respuestas de formulario 1'!B2075</f>
        <v/>
      </c>
      <c r="C1962" s="7" t="str">
        <f>'Respuestas de formulario 1'!C2075</f>
        <v/>
      </c>
      <c r="D1962" s="7" t="str">
        <f>'Respuestas de formulario 1'!D2075</f>
        <v/>
      </c>
      <c r="E1962" s="7" t="str">
        <f>'Respuestas de formulario 1'!E2075</f>
        <v/>
      </c>
      <c r="F1962" s="7" t="str">
        <f>'Respuestas de formulario 1'!F2075</f>
        <v/>
      </c>
      <c r="G1962" s="7" t="str">
        <f>IFERROR(__xludf.DUMMYFUNCTION("IF('Respuestas de formulario 1'!G2075="""","""",IF(LEFT(REGEXREPLACE(TO_TEXT('Respuestas de formulario 1'!G2075),""[^0-9]"",""""),2)=""54"",""+""&amp;REGEXREPLACE(TO_TEXT('Respuestas de formulario 1'!G2075),""[^0-9]"",""""),""+54""&amp;REGEXREPLACE(TO_TEXT('Respu"&amp;"estas de formulario 1'!G2075),""[^0-9]"","""")))"),"")</f>
        <v/>
      </c>
      <c r="H1962" s="7" t="str">
        <f>'Respuestas de formulario 1'!S2075</f>
        <v/>
      </c>
      <c r="I1962" s="7" t="str">
        <f>IFERROR(__xludf.DUMMYFUNCTION("IF('Respuestas de formulario 1'!I2075="""","""",TO_TEXT('Respuestas de formulario 1'!I2075))"),"")</f>
        <v/>
      </c>
      <c r="J1962" s="7" t="str">
        <f>IFERROR(__xludf.DUMMYFUNCTION("IF('Respuestas de formulario 1'!J2075&lt;&gt;"""",UPPER(TRIM(TO_TEXT('Respuestas de formulario 1'!J2075))),IF('Respuestas de formulario 1'!O2075&lt;&gt;"""",UPPER(TRIM(TO_TEXT('Respuestas de formulario 1'!O2075))),""""))"),"")</f>
        <v/>
      </c>
      <c r="K1962" s="7" t="str">
        <f>IFERROR(__xludf.DUMMYFUNCTION("IF('Respuestas de formulario 1'!K2075="""","""",TO_TEXT('Respuestas de formulario 1'!K2075))"),"")</f>
        <v/>
      </c>
      <c r="L1962" s="7" t="str">
        <f>IFERROR(__xludf.DUMMYFUNCTION("IF('Respuestas de formulario 1'!L2075="""","""",TO_TEXT('Respuestas de formulario 1'!L2075))"),"")</f>
        <v/>
      </c>
      <c r="M1962" s="7" t="str">
        <f>IFERROR(__xludf.DUMMYFUNCTION("IF('Respuestas de formulario 1'!M2075="""","""",TO_TEXT('Respuestas de formulario 1'!M2075))"),"")</f>
        <v/>
      </c>
      <c r="N1962" s="7" t="str">
        <f t="shared" si="1"/>
        <v/>
      </c>
      <c r="O1962" s="7" t="str">
        <f t="shared" si="2"/>
        <v/>
      </c>
      <c r="P1962" s="7"/>
    </row>
    <row r="1963">
      <c r="A1963" s="7" t="str">
        <f>'Respuestas de formulario 1'!A2076</f>
        <v/>
      </c>
      <c r="B1963" s="7" t="str">
        <f>'Respuestas de formulario 1'!B2076</f>
        <v/>
      </c>
      <c r="C1963" s="7" t="str">
        <f>'Respuestas de formulario 1'!C2076</f>
        <v/>
      </c>
      <c r="D1963" s="7" t="str">
        <f>'Respuestas de formulario 1'!D2076</f>
        <v/>
      </c>
      <c r="E1963" s="7" t="str">
        <f>'Respuestas de formulario 1'!E2076</f>
        <v/>
      </c>
      <c r="F1963" s="7" t="str">
        <f>'Respuestas de formulario 1'!F2076</f>
        <v/>
      </c>
      <c r="G1963" s="7" t="str">
        <f>IFERROR(__xludf.DUMMYFUNCTION("IF('Respuestas de formulario 1'!G2076="""","""",IF(LEFT(REGEXREPLACE(TO_TEXT('Respuestas de formulario 1'!G2076),""[^0-9]"",""""),2)=""54"",""+""&amp;REGEXREPLACE(TO_TEXT('Respuestas de formulario 1'!G2076),""[^0-9]"",""""),""+54""&amp;REGEXREPLACE(TO_TEXT('Respu"&amp;"estas de formulario 1'!G2076),""[^0-9]"","""")))"),"")</f>
        <v/>
      </c>
      <c r="H1963" s="7" t="str">
        <f>'Respuestas de formulario 1'!S2076</f>
        <v/>
      </c>
      <c r="I1963" s="7" t="str">
        <f>IFERROR(__xludf.DUMMYFUNCTION("IF('Respuestas de formulario 1'!I2076="""","""",TO_TEXT('Respuestas de formulario 1'!I2076))"),"")</f>
        <v/>
      </c>
      <c r="J1963" s="7" t="str">
        <f>IFERROR(__xludf.DUMMYFUNCTION("IF('Respuestas de formulario 1'!J2076&lt;&gt;"""",UPPER(TRIM(TO_TEXT('Respuestas de formulario 1'!J2076))),IF('Respuestas de formulario 1'!O2076&lt;&gt;"""",UPPER(TRIM(TO_TEXT('Respuestas de formulario 1'!O2076))),""""))"),"")</f>
        <v/>
      </c>
      <c r="K1963" s="7" t="str">
        <f>IFERROR(__xludf.DUMMYFUNCTION("IF('Respuestas de formulario 1'!K2076="""","""",TO_TEXT('Respuestas de formulario 1'!K2076))"),"")</f>
        <v/>
      </c>
      <c r="L1963" s="7" t="str">
        <f>IFERROR(__xludf.DUMMYFUNCTION("IF('Respuestas de formulario 1'!L2076="""","""",TO_TEXT('Respuestas de formulario 1'!L2076))"),"")</f>
        <v/>
      </c>
      <c r="M1963" s="7" t="str">
        <f>IFERROR(__xludf.DUMMYFUNCTION("IF('Respuestas de formulario 1'!M2076="""","""",TO_TEXT('Respuestas de formulario 1'!M2076))"),"")</f>
        <v/>
      </c>
      <c r="N1963" s="7" t="str">
        <f t="shared" si="1"/>
        <v/>
      </c>
      <c r="O1963" s="7" t="str">
        <f t="shared" si="2"/>
        <v/>
      </c>
      <c r="P1963" s="7"/>
    </row>
    <row r="1964">
      <c r="A1964" s="7" t="str">
        <f>'Respuestas de formulario 1'!A2077</f>
        <v/>
      </c>
      <c r="B1964" s="7" t="str">
        <f>'Respuestas de formulario 1'!B2077</f>
        <v/>
      </c>
      <c r="C1964" s="7" t="str">
        <f>'Respuestas de formulario 1'!C2077</f>
        <v/>
      </c>
      <c r="D1964" s="7" t="str">
        <f>'Respuestas de formulario 1'!D2077</f>
        <v/>
      </c>
      <c r="E1964" s="7" t="str">
        <f>'Respuestas de formulario 1'!E2077</f>
        <v/>
      </c>
      <c r="F1964" s="7" t="str">
        <f>'Respuestas de formulario 1'!F2077</f>
        <v/>
      </c>
      <c r="G1964" s="7" t="str">
        <f>IFERROR(__xludf.DUMMYFUNCTION("IF('Respuestas de formulario 1'!G2077="""","""",IF(LEFT(REGEXREPLACE(TO_TEXT('Respuestas de formulario 1'!G2077),""[^0-9]"",""""),2)=""54"",""+""&amp;REGEXREPLACE(TO_TEXT('Respuestas de formulario 1'!G2077),""[^0-9]"",""""),""+54""&amp;REGEXREPLACE(TO_TEXT('Respu"&amp;"estas de formulario 1'!G2077),""[^0-9]"","""")))"),"")</f>
        <v/>
      </c>
      <c r="H1964" s="7" t="str">
        <f>'Respuestas de formulario 1'!S2077</f>
        <v/>
      </c>
      <c r="I1964" s="7" t="str">
        <f>IFERROR(__xludf.DUMMYFUNCTION("IF('Respuestas de formulario 1'!I2077="""","""",TO_TEXT('Respuestas de formulario 1'!I2077))"),"")</f>
        <v/>
      </c>
      <c r="J1964" s="7" t="str">
        <f>IFERROR(__xludf.DUMMYFUNCTION("IF('Respuestas de formulario 1'!J2077&lt;&gt;"""",UPPER(TRIM(TO_TEXT('Respuestas de formulario 1'!J2077))),IF('Respuestas de formulario 1'!O2077&lt;&gt;"""",UPPER(TRIM(TO_TEXT('Respuestas de formulario 1'!O2077))),""""))"),"")</f>
        <v/>
      </c>
      <c r="K1964" s="7" t="str">
        <f>IFERROR(__xludf.DUMMYFUNCTION("IF('Respuestas de formulario 1'!K2077="""","""",TO_TEXT('Respuestas de formulario 1'!K2077))"),"")</f>
        <v/>
      </c>
      <c r="L1964" s="7" t="str">
        <f>IFERROR(__xludf.DUMMYFUNCTION("IF('Respuestas de formulario 1'!L2077="""","""",TO_TEXT('Respuestas de formulario 1'!L2077))"),"")</f>
        <v/>
      </c>
      <c r="M1964" s="7" t="str">
        <f>IFERROR(__xludf.DUMMYFUNCTION("IF('Respuestas de formulario 1'!M2077="""","""",TO_TEXT('Respuestas de formulario 1'!M2077))"),"")</f>
        <v/>
      </c>
      <c r="N1964" s="7" t="str">
        <f t="shared" si="1"/>
        <v/>
      </c>
      <c r="O1964" s="7" t="str">
        <f t="shared" si="2"/>
        <v/>
      </c>
      <c r="P1964" s="7"/>
    </row>
    <row r="1965">
      <c r="A1965" s="7" t="str">
        <f>'Respuestas de formulario 1'!A2078</f>
        <v/>
      </c>
      <c r="B1965" s="7" t="str">
        <f>'Respuestas de formulario 1'!B2078</f>
        <v/>
      </c>
      <c r="C1965" s="7" t="str">
        <f>'Respuestas de formulario 1'!C2078</f>
        <v/>
      </c>
      <c r="D1965" s="7" t="str">
        <f>'Respuestas de formulario 1'!D2078</f>
        <v/>
      </c>
      <c r="E1965" s="7" t="str">
        <f>'Respuestas de formulario 1'!E2078</f>
        <v/>
      </c>
      <c r="F1965" s="7" t="str">
        <f>'Respuestas de formulario 1'!F2078</f>
        <v/>
      </c>
      <c r="G1965" s="7" t="str">
        <f>IFERROR(__xludf.DUMMYFUNCTION("IF('Respuestas de formulario 1'!G2078="""","""",IF(LEFT(REGEXREPLACE(TO_TEXT('Respuestas de formulario 1'!G2078),""[^0-9]"",""""),2)=""54"",""+""&amp;REGEXREPLACE(TO_TEXT('Respuestas de formulario 1'!G2078),""[^0-9]"",""""),""+54""&amp;REGEXREPLACE(TO_TEXT('Respu"&amp;"estas de formulario 1'!G2078),""[^0-9]"","""")))"),"")</f>
        <v/>
      </c>
      <c r="H1965" s="7" t="str">
        <f>'Respuestas de formulario 1'!S2078</f>
        <v/>
      </c>
      <c r="I1965" s="7" t="str">
        <f>IFERROR(__xludf.DUMMYFUNCTION("IF('Respuestas de formulario 1'!I2078="""","""",TO_TEXT('Respuestas de formulario 1'!I2078))"),"")</f>
        <v/>
      </c>
      <c r="J1965" s="7" t="str">
        <f>IFERROR(__xludf.DUMMYFUNCTION("IF('Respuestas de formulario 1'!J2078&lt;&gt;"""",UPPER(TRIM(TO_TEXT('Respuestas de formulario 1'!J2078))),IF('Respuestas de formulario 1'!O2078&lt;&gt;"""",UPPER(TRIM(TO_TEXT('Respuestas de formulario 1'!O2078))),""""))"),"")</f>
        <v/>
      </c>
      <c r="K1965" s="7" t="str">
        <f>IFERROR(__xludf.DUMMYFUNCTION("IF('Respuestas de formulario 1'!K2078="""","""",TO_TEXT('Respuestas de formulario 1'!K2078))"),"")</f>
        <v/>
      </c>
      <c r="L1965" s="7" t="str">
        <f>IFERROR(__xludf.DUMMYFUNCTION("IF('Respuestas de formulario 1'!L2078="""","""",TO_TEXT('Respuestas de formulario 1'!L2078))"),"")</f>
        <v/>
      </c>
      <c r="M1965" s="7" t="str">
        <f>IFERROR(__xludf.DUMMYFUNCTION("IF('Respuestas de formulario 1'!M2078="""","""",TO_TEXT('Respuestas de formulario 1'!M2078))"),"")</f>
        <v/>
      </c>
      <c r="N1965" s="7" t="str">
        <f t="shared" si="1"/>
        <v/>
      </c>
      <c r="O1965" s="7" t="str">
        <f t="shared" si="2"/>
        <v/>
      </c>
      <c r="P1965" s="7"/>
    </row>
    <row r="1966">
      <c r="A1966" s="7" t="str">
        <f>'Respuestas de formulario 1'!A2079</f>
        <v/>
      </c>
      <c r="B1966" s="7" t="str">
        <f>'Respuestas de formulario 1'!B2079</f>
        <v/>
      </c>
      <c r="C1966" s="7" t="str">
        <f>'Respuestas de formulario 1'!C2079</f>
        <v/>
      </c>
      <c r="D1966" s="7" t="str">
        <f>'Respuestas de formulario 1'!D2079</f>
        <v/>
      </c>
      <c r="E1966" s="7" t="str">
        <f>'Respuestas de formulario 1'!E2079</f>
        <v/>
      </c>
      <c r="F1966" s="7" t="str">
        <f>'Respuestas de formulario 1'!F2079</f>
        <v/>
      </c>
      <c r="G1966" s="7" t="str">
        <f>IFERROR(__xludf.DUMMYFUNCTION("IF('Respuestas de formulario 1'!G2079="""","""",IF(LEFT(REGEXREPLACE(TO_TEXT('Respuestas de formulario 1'!G2079),""[^0-9]"",""""),2)=""54"",""+""&amp;REGEXREPLACE(TO_TEXT('Respuestas de formulario 1'!G2079),""[^0-9]"",""""),""+54""&amp;REGEXREPLACE(TO_TEXT('Respu"&amp;"estas de formulario 1'!G2079),""[^0-9]"","""")))"),"")</f>
        <v/>
      </c>
      <c r="H1966" s="7" t="str">
        <f>'Respuestas de formulario 1'!S2079</f>
        <v/>
      </c>
      <c r="I1966" s="7" t="str">
        <f>IFERROR(__xludf.DUMMYFUNCTION("IF('Respuestas de formulario 1'!I2079="""","""",TO_TEXT('Respuestas de formulario 1'!I2079))"),"")</f>
        <v/>
      </c>
      <c r="J1966" s="7" t="str">
        <f>IFERROR(__xludf.DUMMYFUNCTION("IF('Respuestas de formulario 1'!J2079&lt;&gt;"""",UPPER(TRIM(TO_TEXT('Respuestas de formulario 1'!J2079))),IF('Respuestas de formulario 1'!O2079&lt;&gt;"""",UPPER(TRIM(TO_TEXT('Respuestas de formulario 1'!O2079))),""""))"),"")</f>
        <v/>
      </c>
      <c r="K1966" s="7" t="str">
        <f>IFERROR(__xludf.DUMMYFUNCTION("IF('Respuestas de formulario 1'!K2079="""","""",TO_TEXT('Respuestas de formulario 1'!K2079))"),"")</f>
        <v/>
      </c>
      <c r="L1966" s="7" t="str">
        <f>IFERROR(__xludf.DUMMYFUNCTION("IF('Respuestas de formulario 1'!L2079="""","""",TO_TEXT('Respuestas de formulario 1'!L2079))"),"")</f>
        <v/>
      </c>
      <c r="M1966" s="7" t="str">
        <f>IFERROR(__xludf.DUMMYFUNCTION("IF('Respuestas de formulario 1'!M2079="""","""",TO_TEXT('Respuestas de formulario 1'!M2079))"),"")</f>
        <v/>
      </c>
      <c r="N1966" s="7" t="str">
        <f t="shared" si="1"/>
        <v/>
      </c>
      <c r="O1966" s="7" t="str">
        <f t="shared" si="2"/>
        <v/>
      </c>
      <c r="P1966" s="7"/>
    </row>
    <row r="1967">
      <c r="A1967" s="7" t="str">
        <f>'Respuestas de formulario 1'!A2080</f>
        <v/>
      </c>
      <c r="B1967" s="7" t="str">
        <f>'Respuestas de formulario 1'!B2080</f>
        <v/>
      </c>
      <c r="C1967" s="7" t="str">
        <f>'Respuestas de formulario 1'!C2080</f>
        <v/>
      </c>
      <c r="D1967" s="7" t="str">
        <f>'Respuestas de formulario 1'!D2080</f>
        <v/>
      </c>
      <c r="E1967" s="7" t="str">
        <f>'Respuestas de formulario 1'!E2080</f>
        <v/>
      </c>
      <c r="F1967" s="7" t="str">
        <f>'Respuestas de formulario 1'!F2080</f>
        <v/>
      </c>
      <c r="G1967" s="7" t="str">
        <f>IFERROR(__xludf.DUMMYFUNCTION("IF('Respuestas de formulario 1'!G2080="""","""",IF(LEFT(REGEXREPLACE(TO_TEXT('Respuestas de formulario 1'!G2080),""[^0-9]"",""""),2)=""54"",""+""&amp;REGEXREPLACE(TO_TEXT('Respuestas de formulario 1'!G2080),""[^0-9]"",""""),""+54""&amp;REGEXREPLACE(TO_TEXT('Respu"&amp;"estas de formulario 1'!G2080),""[^0-9]"","""")))"),"")</f>
        <v/>
      </c>
      <c r="H1967" s="7" t="str">
        <f>'Respuestas de formulario 1'!S2080</f>
        <v/>
      </c>
      <c r="I1967" s="7" t="str">
        <f>IFERROR(__xludf.DUMMYFUNCTION("IF('Respuestas de formulario 1'!I2080="""","""",TO_TEXT('Respuestas de formulario 1'!I2080))"),"")</f>
        <v/>
      </c>
      <c r="J1967" s="7" t="str">
        <f>IFERROR(__xludf.DUMMYFUNCTION("IF('Respuestas de formulario 1'!J2080&lt;&gt;"""",UPPER(TRIM(TO_TEXT('Respuestas de formulario 1'!J2080))),IF('Respuestas de formulario 1'!O2080&lt;&gt;"""",UPPER(TRIM(TO_TEXT('Respuestas de formulario 1'!O2080))),""""))"),"")</f>
        <v/>
      </c>
      <c r="K1967" s="7" t="str">
        <f>IFERROR(__xludf.DUMMYFUNCTION("IF('Respuestas de formulario 1'!K2080="""","""",TO_TEXT('Respuestas de formulario 1'!K2080))"),"")</f>
        <v/>
      </c>
      <c r="L1967" s="7" t="str">
        <f>IFERROR(__xludf.DUMMYFUNCTION("IF('Respuestas de formulario 1'!L2080="""","""",TO_TEXT('Respuestas de formulario 1'!L2080))"),"")</f>
        <v/>
      </c>
      <c r="M1967" s="7" t="str">
        <f>IFERROR(__xludf.DUMMYFUNCTION("IF('Respuestas de formulario 1'!M2080="""","""",TO_TEXT('Respuestas de formulario 1'!M2080))"),"")</f>
        <v/>
      </c>
      <c r="N1967" s="7" t="str">
        <f t="shared" si="1"/>
        <v/>
      </c>
      <c r="O1967" s="7" t="str">
        <f t="shared" si="2"/>
        <v/>
      </c>
      <c r="P1967" s="7"/>
    </row>
    <row r="1968">
      <c r="A1968" s="7" t="str">
        <f>'Respuestas de formulario 1'!A2081</f>
        <v/>
      </c>
      <c r="B1968" s="7" t="str">
        <f>'Respuestas de formulario 1'!B2081</f>
        <v/>
      </c>
      <c r="C1968" s="7" t="str">
        <f>'Respuestas de formulario 1'!C2081</f>
        <v/>
      </c>
      <c r="D1968" s="7" t="str">
        <f>'Respuestas de formulario 1'!D2081</f>
        <v/>
      </c>
      <c r="E1968" s="7" t="str">
        <f>'Respuestas de formulario 1'!E2081</f>
        <v/>
      </c>
      <c r="F1968" s="7" t="str">
        <f>'Respuestas de formulario 1'!F2081</f>
        <v/>
      </c>
      <c r="G1968" s="7" t="str">
        <f>IFERROR(__xludf.DUMMYFUNCTION("IF('Respuestas de formulario 1'!G2081="""","""",IF(LEFT(REGEXREPLACE(TO_TEXT('Respuestas de formulario 1'!G2081),""[^0-9]"",""""),2)=""54"",""+""&amp;REGEXREPLACE(TO_TEXT('Respuestas de formulario 1'!G2081),""[^0-9]"",""""),""+54""&amp;REGEXREPLACE(TO_TEXT('Respu"&amp;"estas de formulario 1'!G2081),""[^0-9]"","""")))"),"")</f>
        <v/>
      </c>
      <c r="H1968" s="7" t="str">
        <f>'Respuestas de formulario 1'!S2081</f>
        <v/>
      </c>
      <c r="I1968" s="7" t="str">
        <f>IFERROR(__xludf.DUMMYFUNCTION("IF('Respuestas de formulario 1'!I2081="""","""",TO_TEXT('Respuestas de formulario 1'!I2081))"),"")</f>
        <v/>
      </c>
      <c r="J1968" s="7" t="str">
        <f>IFERROR(__xludf.DUMMYFUNCTION("IF('Respuestas de formulario 1'!J2081&lt;&gt;"""",UPPER(TRIM(TO_TEXT('Respuestas de formulario 1'!J2081))),IF('Respuestas de formulario 1'!O2081&lt;&gt;"""",UPPER(TRIM(TO_TEXT('Respuestas de formulario 1'!O2081))),""""))"),"")</f>
        <v/>
      </c>
      <c r="K1968" s="7" t="str">
        <f>IFERROR(__xludf.DUMMYFUNCTION("IF('Respuestas de formulario 1'!K2081="""","""",TO_TEXT('Respuestas de formulario 1'!K2081))"),"")</f>
        <v/>
      </c>
      <c r="L1968" s="7" t="str">
        <f>IFERROR(__xludf.DUMMYFUNCTION("IF('Respuestas de formulario 1'!L2081="""","""",TO_TEXT('Respuestas de formulario 1'!L2081))"),"")</f>
        <v/>
      </c>
      <c r="M1968" s="7" t="str">
        <f>IFERROR(__xludf.DUMMYFUNCTION("IF('Respuestas de formulario 1'!M2081="""","""",TO_TEXT('Respuestas de formulario 1'!M2081))"),"")</f>
        <v/>
      </c>
      <c r="N1968" s="7" t="str">
        <f t="shared" si="1"/>
        <v/>
      </c>
      <c r="O1968" s="7" t="str">
        <f t="shared" si="2"/>
        <v/>
      </c>
      <c r="P1968" s="7"/>
    </row>
    <row r="1969">
      <c r="A1969" s="7" t="str">
        <f>'Respuestas de formulario 1'!A2082</f>
        <v/>
      </c>
      <c r="B1969" s="7" t="str">
        <f>'Respuestas de formulario 1'!B2082</f>
        <v/>
      </c>
      <c r="C1969" s="7" t="str">
        <f>'Respuestas de formulario 1'!C2082</f>
        <v/>
      </c>
      <c r="D1969" s="7" t="str">
        <f>'Respuestas de formulario 1'!D2082</f>
        <v/>
      </c>
      <c r="E1969" s="7" t="str">
        <f>'Respuestas de formulario 1'!E2082</f>
        <v/>
      </c>
      <c r="F1969" s="7" t="str">
        <f>'Respuestas de formulario 1'!F2082</f>
        <v/>
      </c>
      <c r="G1969" s="7" t="str">
        <f>IFERROR(__xludf.DUMMYFUNCTION("IF('Respuestas de formulario 1'!G2082="""","""",IF(LEFT(REGEXREPLACE(TO_TEXT('Respuestas de formulario 1'!G2082),""[^0-9]"",""""),2)=""54"",""+""&amp;REGEXREPLACE(TO_TEXT('Respuestas de formulario 1'!G2082),""[^0-9]"",""""),""+54""&amp;REGEXREPLACE(TO_TEXT('Respu"&amp;"estas de formulario 1'!G2082),""[^0-9]"","""")))"),"")</f>
        <v/>
      </c>
      <c r="H1969" s="7" t="str">
        <f>'Respuestas de formulario 1'!S2082</f>
        <v/>
      </c>
      <c r="I1969" s="7" t="str">
        <f>IFERROR(__xludf.DUMMYFUNCTION("IF('Respuestas de formulario 1'!I2082="""","""",TO_TEXT('Respuestas de formulario 1'!I2082))"),"")</f>
        <v/>
      </c>
      <c r="J1969" s="7" t="str">
        <f>IFERROR(__xludf.DUMMYFUNCTION("IF('Respuestas de formulario 1'!J2082&lt;&gt;"""",UPPER(TRIM(TO_TEXT('Respuestas de formulario 1'!J2082))),IF('Respuestas de formulario 1'!O2082&lt;&gt;"""",UPPER(TRIM(TO_TEXT('Respuestas de formulario 1'!O2082))),""""))"),"")</f>
        <v/>
      </c>
      <c r="K1969" s="7" t="str">
        <f>IFERROR(__xludf.DUMMYFUNCTION("IF('Respuestas de formulario 1'!K2082="""","""",TO_TEXT('Respuestas de formulario 1'!K2082))"),"")</f>
        <v/>
      </c>
      <c r="L1969" s="7" t="str">
        <f>IFERROR(__xludf.DUMMYFUNCTION("IF('Respuestas de formulario 1'!L2082="""","""",TO_TEXT('Respuestas de formulario 1'!L2082))"),"")</f>
        <v/>
      </c>
      <c r="M1969" s="7" t="str">
        <f>IFERROR(__xludf.DUMMYFUNCTION("IF('Respuestas de formulario 1'!M2082="""","""",TO_TEXT('Respuestas de formulario 1'!M2082))"),"")</f>
        <v/>
      </c>
      <c r="N1969" s="7" t="str">
        <f t="shared" si="1"/>
        <v/>
      </c>
      <c r="O1969" s="7" t="str">
        <f t="shared" si="2"/>
        <v/>
      </c>
      <c r="P1969" s="7"/>
    </row>
    <row r="1970">
      <c r="A1970" s="7" t="str">
        <f>'Respuestas de formulario 1'!A2083</f>
        <v/>
      </c>
      <c r="B1970" s="7" t="str">
        <f>'Respuestas de formulario 1'!B2083</f>
        <v/>
      </c>
      <c r="C1970" s="7" t="str">
        <f>'Respuestas de formulario 1'!C2083</f>
        <v/>
      </c>
      <c r="D1970" s="7" t="str">
        <f>'Respuestas de formulario 1'!D2083</f>
        <v/>
      </c>
      <c r="E1970" s="7" t="str">
        <f>'Respuestas de formulario 1'!E2083</f>
        <v/>
      </c>
      <c r="F1970" s="7" t="str">
        <f>'Respuestas de formulario 1'!F2083</f>
        <v/>
      </c>
      <c r="G1970" s="7" t="str">
        <f>IFERROR(__xludf.DUMMYFUNCTION("IF('Respuestas de formulario 1'!G2083="""","""",IF(LEFT(REGEXREPLACE(TO_TEXT('Respuestas de formulario 1'!G2083),""[^0-9]"",""""),2)=""54"",""+""&amp;REGEXREPLACE(TO_TEXT('Respuestas de formulario 1'!G2083),""[^0-9]"",""""),""+54""&amp;REGEXREPLACE(TO_TEXT('Respu"&amp;"estas de formulario 1'!G2083),""[^0-9]"","""")))"),"")</f>
        <v/>
      </c>
      <c r="H1970" s="7" t="str">
        <f>'Respuestas de formulario 1'!S2083</f>
        <v/>
      </c>
      <c r="I1970" s="7" t="str">
        <f>IFERROR(__xludf.DUMMYFUNCTION("IF('Respuestas de formulario 1'!I2083="""","""",TO_TEXT('Respuestas de formulario 1'!I2083))"),"")</f>
        <v/>
      </c>
      <c r="J1970" s="7" t="str">
        <f>IFERROR(__xludf.DUMMYFUNCTION("IF('Respuestas de formulario 1'!J2083&lt;&gt;"""",UPPER(TRIM(TO_TEXT('Respuestas de formulario 1'!J2083))),IF('Respuestas de formulario 1'!O2083&lt;&gt;"""",UPPER(TRIM(TO_TEXT('Respuestas de formulario 1'!O2083))),""""))"),"")</f>
        <v/>
      </c>
      <c r="K1970" s="7" t="str">
        <f>IFERROR(__xludf.DUMMYFUNCTION("IF('Respuestas de formulario 1'!K2083="""","""",TO_TEXT('Respuestas de formulario 1'!K2083))"),"")</f>
        <v/>
      </c>
      <c r="L1970" s="7" t="str">
        <f>IFERROR(__xludf.DUMMYFUNCTION("IF('Respuestas de formulario 1'!L2083="""","""",TO_TEXT('Respuestas de formulario 1'!L2083))"),"")</f>
        <v/>
      </c>
      <c r="M1970" s="7" t="str">
        <f>IFERROR(__xludf.DUMMYFUNCTION("IF('Respuestas de formulario 1'!M2083="""","""",TO_TEXT('Respuestas de formulario 1'!M2083))"),"")</f>
        <v/>
      </c>
      <c r="N1970" s="7" t="str">
        <f t="shared" si="1"/>
        <v/>
      </c>
      <c r="O1970" s="7" t="str">
        <f t="shared" si="2"/>
        <v/>
      </c>
      <c r="P1970" s="7"/>
    </row>
    <row r="1971">
      <c r="A1971" s="7" t="str">
        <f>'Respuestas de formulario 1'!A2084</f>
        <v/>
      </c>
      <c r="B1971" s="7" t="str">
        <f>'Respuestas de formulario 1'!B2084</f>
        <v/>
      </c>
      <c r="C1971" s="7" t="str">
        <f>'Respuestas de formulario 1'!C2084</f>
        <v/>
      </c>
      <c r="D1971" s="7" t="str">
        <f>'Respuestas de formulario 1'!D2084</f>
        <v/>
      </c>
      <c r="E1971" s="7" t="str">
        <f>'Respuestas de formulario 1'!E2084</f>
        <v/>
      </c>
      <c r="F1971" s="7" t="str">
        <f>'Respuestas de formulario 1'!F2084</f>
        <v/>
      </c>
      <c r="G1971" s="7" t="str">
        <f>IFERROR(__xludf.DUMMYFUNCTION("IF('Respuestas de formulario 1'!G2084="""","""",IF(LEFT(REGEXREPLACE(TO_TEXT('Respuestas de formulario 1'!G2084),""[^0-9]"",""""),2)=""54"",""+""&amp;REGEXREPLACE(TO_TEXT('Respuestas de formulario 1'!G2084),""[^0-9]"",""""),""+54""&amp;REGEXREPLACE(TO_TEXT('Respu"&amp;"estas de formulario 1'!G2084),""[^0-9]"","""")))"),"")</f>
        <v/>
      </c>
      <c r="H1971" s="7" t="str">
        <f>'Respuestas de formulario 1'!S2084</f>
        <v/>
      </c>
      <c r="I1971" s="7" t="str">
        <f>IFERROR(__xludf.DUMMYFUNCTION("IF('Respuestas de formulario 1'!I2084="""","""",TO_TEXT('Respuestas de formulario 1'!I2084))"),"")</f>
        <v/>
      </c>
      <c r="J1971" s="7" t="str">
        <f>IFERROR(__xludf.DUMMYFUNCTION("IF('Respuestas de formulario 1'!J2084&lt;&gt;"""",UPPER(TRIM(TO_TEXT('Respuestas de formulario 1'!J2084))),IF('Respuestas de formulario 1'!O2084&lt;&gt;"""",UPPER(TRIM(TO_TEXT('Respuestas de formulario 1'!O2084))),""""))"),"")</f>
        <v/>
      </c>
      <c r="K1971" s="7" t="str">
        <f>IFERROR(__xludf.DUMMYFUNCTION("IF('Respuestas de formulario 1'!K2084="""","""",TO_TEXT('Respuestas de formulario 1'!K2084))"),"")</f>
        <v/>
      </c>
      <c r="L1971" s="7" t="str">
        <f>IFERROR(__xludf.DUMMYFUNCTION("IF('Respuestas de formulario 1'!L2084="""","""",TO_TEXT('Respuestas de formulario 1'!L2084))"),"")</f>
        <v/>
      </c>
      <c r="M1971" s="7" t="str">
        <f>IFERROR(__xludf.DUMMYFUNCTION("IF('Respuestas de formulario 1'!M2084="""","""",TO_TEXT('Respuestas de formulario 1'!M2084))"),"")</f>
        <v/>
      </c>
      <c r="N1971" s="7" t="str">
        <f t="shared" si="1"/>
        <v/>
      </c>
      <c r="O1971" s="7" t="str">
        <f t="shared" si="2"/>
        <v/>
      </c>
      <c r="P1971" s="7"/>
    </row>
    <row r="1972">
      <c r="A1972" s="7" t="str">
        <f>'Respuestas de formulario 1'!A2085</f>
        <v/>
      </c>
      <c r="B1972" s="7" t="str">
        <f>'Respuestas de formulario 1'!B2085</f>
        <v/>
      </c>
      <c r="C1972" s="7" t="str">
        <f>'Respuestas de formulario 1'!C2085</f>
        <v/>
      </c>
      <c r="D1972" s="7" t="str">
        <f>'Respuestas de formulario 1'!D2085</f>
        <v/>
      </c>
      <c r="E1972" s="7" t="str">
        <f>'Respuestas de formulario 1'!E2085</f>
        <v/>
      </c>
      <c r="F1972" s="7" t="str">
        <f>'Respuestas de formulario 1'!F2085</f>
        <v/>
      </c>
      <c r="G1972" s="7" t="str">
        <f>IFERROR(__xludf.DUMMYFUNCTION("IF('Respuestas de formulario 1'!G2085="""","""",IF(LEFT(REGEXREPLACE(TO_TEXT('Respuestas de formulario 1'!G2085),""[^0-9]"",""""),2)=""54"",""+""&amp;REGEXREPLACE(TO_TEXT('Respuestas de formulario 1'!G2085),""[^0-9]"",""""),""+54""&amp;REGEXREPLACE(TO_TEXT('Respu"&amp;"estas de formulario 1'!G2085),""[^0-9]"","""")))"),"")</f>
        <v/>
      </c>
      <c r="H1972" s="7" t="str">
        <f>'Respuestas de formulario 1'!S2085</f>
        <v/>
      </c>
      <c r="I1972" s="7" t="str">
        <f>IFERROR(__xludf.DUMMYFUNCTION("IF('Respuestas de formulario 1'!I2085="""","""",TO_TEXT('Respuestas de formulario 1'!I2085))"),"")</f>
        <v/>
      </c>
      <c r="J1972" s="7" t="str">
        <f>IFERROR(__xludf.DUMMYFUNCTION("IF('Respuestas de formulario 1'!J2085&lt;&gt;"""",UPPER(TRIM(TO_TEXT('Respuestas de formulario 1'!J2085))),IF('Respuestas de formulario 1'!O2085&lt;&gt;"""",UPPER(TRIM(TO_TEXT('Respuestas de formulario 1'!O2085))),""""))"),"")</f>
        <v/>
      </c>
      <c r="K1972" s="7" t="str">
        <f>IFERROR(__xludf.DUMMYFUNCTION("IF('Respuestas de formulario 1'!K2085="""","""",TO_TEXT('Respuestas de formulario 1'!K2085))"),"")</f>
        <v/>
      </c>
      <c r="L1972" s="7" t="str">
        <f>IFERROR(__xludf.DUMMYFUNCTION("IF('Respuestas de formulario 1'!L2085="""","""",TO_TEXT('Respuestas de formulario 1'!L2085))"),"")</f>
        <v/>
      </c>
      <c r="M1972" s="7" t="str">
        <f>IFERROR(__xludf.DUMMYFUNCTION("IF('Respuestas de formulario 1'!M2085="""","""",TO_TEXT('Respuestas de formulario 1'!M2085))"),"")</f>
        <v/>
      </c>
      <c r="N1972" s="7" t="str">
        <f t="shared" si="1"/>
        <v/>
      </c>
      <c r="O1972" s="7" t="str">
        <f t="shared" si="2"/>
        <v/>
      </c>
      <c r="P1972" s="7"/>
    </row>
    <row r="1973">
      <c r="A1973" s="7" t="str">
        <f>'Respuestas de formulario 1'!A2086</f>
        <v/>
      </c>
      <c r="B1973" s="7" t="str">
        <f>'Respuestas de formulario 1'!B2086</f>
        <v/>
      </c>
      <c r="C1973" s="7" t="str">
        <f>'Respuestas de formulario 1'!C2086</f>
        <v/>
      </c>
      <c r="D1973" s="7" t="str">
        <f>'Respuestas de formulario 1'!D2086</f>
        <v/>
      </c>
      <c r="E1973" s="7" t="str">
        <f>'Respuestas de formulario 1'!E2086</f>
        <v/>
      </c>
      <c r="F1973" s="7" t="str">
        <f>'Respuestas de formulario 1'!F2086</f>
        <v/>
      </c>
      <c r="G1973" s="7" t="str">
        <f>IFERROR(__xludf.DUMMYFUNCTION("IF('Respuestas de formulario 1'!G2086="""","""",IF(LEFT(REGEXREPLACE(TO_TEXT('Respuestas de formulario 1'!G2086),""[^0-9]"",""""),2)=""54"",""+""&amp;REGEXREPLACE(TO_TEXT('Respuestas de formulario 1'!G2086),""[^0-9]"",""""),""+54""&amp;REGEXREPLACE(TO_TEXT('Respu"&amp;"estas de formulario 1'!G2086),""[^0-9]"","""")))"),"")</f>
        <v/>
      </c>
      <c r="H1973" s="7" t="str">
        <f>'Respuestas de formulario 1'!S2086</f>
        <v/>
      </c>
      <c r="I1973" s="7" t="str">
        <f>IFERROR(__xludf.DUMMYFUNCTION("IF('Respuestas de formulario 1'!I2086="""","""",TO_TEXT('Respuestas de formulario 1'!I2086))"),"")</f>
        <v/>
      </c>
      <c r="J1973" s="7" t="str">
        <f>IFERROR(__xludf.DUMMYFUNCTION("IF('Respuestas de formulario 1'!J2086&lt;&gt;"""",UPPER(TRIM(TO_TEXT('Respuestas de formulario 1'!J2086))),IF('Respuestas de formulario 1'!O2086&lt;&gt;"""",UPPER(TRIM(TO_TEXT('Respuestas de formulario 1'!O2086))),""""))"),"")</f>
        <v/>
      </c>
      <c r="K1973" s="7" t="str">
        <f>IFERROR(__xludf.DUMMYFUNCTION("IF('Respuestas de formulario 1'!K2086="""","""",TO_TEXT('Respuestas de formulario 1'!K2086))"),"")</f>
        <v/>
      </c>
      <c r="L1973" s="7" t="str">
        <f>IFERROR(__xludf.DUMMYFUNCTION("IF('Respuestas de formulario 1'!L2086="""","""",TO_TEXT('Respuestas de formulario 1'!L2086))"),"")</f>
        <v/>
      </c>
      <c r="M1973" s="7" t="str">
        <f>IFERROR(__xludf.DUMMYFUNCTION("IF('Respuestas de formulario 1'!M2086="""","""",TO_TEXT('Respuestas de formulario 1'!M2086))"),"")</f>
        <v/>
      </c>
      <c r="N1973" s="7" t="str">
        <f t="shared" si="1"/>
        <v/>
      </c>
      <c r="O1973" s="7" t="str">
        <f t="shared" si="2"/>
        <v/>
      </c>
      <c r="P1973" s="7"/>
    </row>
    <row r="1974">
      <c r="A1974" s="7" t="str">
        <f>'Respuestas de formulario 1'!A2087</f>
        <v/>
      </c>
      <c r="B1974" s="7" t="str">
        <f>'Respuestas de formulario 1'!B2087</f>
        <v/>
      </c>
      <c r="C1974" s="7" t="str">
        <f>'Respuestas de formulario 1'!C2087</f>
        <v/>
      </c>
      <c r="D1974" s="7" t="str">
        <f>'Respuestas de formulario 1'!D2087</f>
        <v/>
      </c>
      <c r="E1974" s="7" t="str">
        <f>'Respuestas de formulario 1'!E2087</f>
        <v/>
      </c>
      <c r="F1974" s="7" t="str">
        <f>'Respuestas de formulario 1'!F2087</f>
        <v/>
      </c>
      <c r="G1974" s="7" t="str">
        <f>IFERROR(__xludf.DUMMYFUNCTION("IF('Respuestas de formulario 1'!G2087="""","""",IF(LEFT(REGEXREPLACE(TO_TEXT('Respuestas de formulario 1'!G2087),""[^0-9]"",""""),2)=""54"",""+""&amp;REGEXREPLACE(TO_TEXT('Respuestas de formulario 1'!G2087),""[^0-9]"",""""),""+54""&amp;REGEXREPLACE(TO_TEXT('Respu"&amp;"estas de formulario 1'!G2087),""[^0-9]"","""")))"),"")</f>
        <v/>
      </c>
      <c r="H1974" s="7" t="str">
        <f>'Respuestas de formulario 1'!S2087</f>
        <v/>
      </c>
      <c r="I1974" s="7" t="str">
        <f>IFERROR(__xludf.DUMMYFUNCTION("IF('Respuestas de formulario 1'!I2087="""","""",TO_TEXT('Respuestas de formulario 1'!I2087))"),"")</f>
        <v/>
      </c>
      <c r="J1974" s="7" t="str">
        <f>IFERROR(__xludf.DUMMYFUNCTION("IF('Respuestas de formulario 1'!J2087&lt;&gt;"""",UPPER(TRIM(TO_TEXT('Respuestas de formulario 1'!J2087))),IF('Respuestas de formulario 1'!O2087&lt;&gt;"""",UPPER(TRIM(TO_TEXT('Respuestas de formulario 1'!O2087))),""""))"),"")</f>
        <v/>
      </c>
      <c r="K1974" s="7" t="str">
        <f>IFERROR(__xludf.DUMMYFUNCTION("IF('Respuestas de formulario 1'!K2087="""","""",TO_TEXT('Respuestas de formulario 1'!K2087))"),"")</f>
        <v/>
      </c>
      <c r="L1974" s="7" t="str">
        <f>IFERROR(__xludf.DUMMYFUNCTION("IF('Respuestas de formulario 1'!L2087="""","""",TO_TEXT('Respuestas de formulario 1'!L2087))"),"")</f>
        <v/>
      </c>
      <c r="M1974" s="7" t="str">
        <f>IFERROR(__xludf.DUMMYFUNCTION("IF('Respuestas de formulario 1'!M2087="""","""",TO_TEXT('Respuestas de formulario 1'!M2087))"),"")</f>
        <v/>
      </c>
      <c r="N1974" s="7" t="str">
        <f t="shared" si="1"/>
        <v/>
      </c>
      <c r="O1974" s="7" t="str">
        <f t="shared" si="2"/>
        <v/>
      </c>
      <c r="P1974" s="7"/>
    </row>
    <row r="1975">
      <c r="A1975" s="7" t="str">
        <f>'Respuestas de formulario 1'!A2088</f>
        <v/>
      </c>
      <c r="B1975" s="7" t="str">
        <f>'Respuestas de formulario 1'!B2088</f>
        <v/>
      </c>
      <c r="C1975" s="7" t="str">
        <f>'Respuestas de formulario 1'!C2088</f>
        <v/>
      </c>
      <c r="D1975" s="7" t="str">
        <f>'Respuestas de formulario 1'!D2088</f>
        <v/>
      </c>
      <c r="E1975" s="7" t="str">
        <f>'Respuestas de formulario 1'!E2088</f>
        <v/>
      </c>
      <c r="F1975" s="7" t="str">
        <f>'Respuestas de formulario 1'!F2088</f>
        <v/>
      </c>
      <c r="G1975" s="7" t="str">
        <f>IFERROR(__xludf.DUMMYFUNCTION("IF('Respuestas de formulario 1'!G2088="""","""",IF(LEFT(REGEXREPLACE(TO_TEXT('Respuestas de formulario 1'!G2088),""[^0-9]"",""""),2)=""54"",""+""&amp;REGEXREPLACE(TO_TEXT('Respuestas de formulario 1'!G2088),""[^0-9]"",""""),""+54""&amp;REGEXREPLACE(TO_TEXT('Respu"&amp;"estas de formulario 1'!G2088),""[^0-9]"","""")))"),"")</f>
        <v/>
      </c>
      <c r="H1975" s="7" t="str">
        <f>'Respuestas de formulario 1'!S2088</f>
        <v/>
      </c>
      <c r="I1975" s="7" t="str">
        <f>IFERROR(__xludf.DUMMYFUNCTION("IF('Respuestas de formulario 1'!I2088="""","""",TO_TEXT('Respuestas de formulario 1'!I2088))"),"")</f>
        <v/>
      </c>
      <c r="J1975" s="7" t="str">
        <f>IFERROR(__xludf.DUMMYFUNCTION("IF('Respuestas de formulario 1'!J2088&lt;&gt;"""",UPPER(TRIM(TO_TEXT('Respuestas de formulario 1'!J2088))),IF('Respuestas de formulario 1'!O2088&lt;&gt;"""",UPPER(TRIM(TO_TEXT('Respuestas de formulario 1'!O2088))),""""))"),"")</f>
        <v/>
      </c>
      <c r="K1975" s="7" t="str">
        <f>IFERROR(__xludf.DUMMYFUNCTION("IF('Respuestas de formulario 1'!K2088="""","""",TO_TEXT('Respuestas de formulario 1'!K2088))"),"")</f>
        <v/>
      </c>
      <c r="L1975" s="7" t="str">
        <f>IFERROR(__xludf.DUMMYFUNCTION("IF('Respuestas de formulario 1'!L2088="""","""",TO_TEXT('Respuestas de formulario 1'!L2088))"),"")</f>
        <v/>
      </c>
      <c r="M1975" s="7" t="str">
        <f>IFERROR(__xludf.DUMMYFUNCTION("IF('Respuestas de formulario 1'!M2088="""","""",TO_TEXT('Respuestas de formulario 1'!M2088))"),"")</f>
        <v/>
      </c>
      <c r="N1975" s="7" t="str">
        <f t="shared" si="1"/>
        <v/>
      </c>
      <c r="O1975" s="7" t="str">
        <f t="shared" si="2"/>
        <v/>
      </c>
      <c r="P1975" s="7"/>
    </row>
    <row r="1976">
      <c r="A1976" s="7" t="str">
        <f>'Respuestas de formulario 1'!A2089</f>
        <v/>
      </c>
      <c r="B1976" s="7" t="str">
        <f>'Respuestas de formulario 1'!B2089</f>
        <v/>
      </c>
      <c r="C1976" s="7" t="str">
        <f>'Respuestas de formulario 1'!C2089</f>
        <v/>
      </c>
      <c r="D1976" s="7" t="str">
        <f>'Respuestas de formulario 1'!D2089</f>
        <v/>
      </c>
      <c r="E1976" s="7" t="str">
        <f>'Respuestas de formulario 1'!E2089</f>
        <v/>
      </c>
      <c r="F1976" s="7" t="str">
        <f>'Respuestas de formulario 1'!F2089</f>
        <v/>
      </c>
      <c r="G1976" s="7" t="str">
        <f>IFERROR(__xludf.DUMMYFUNCTION("IF('Respuestas de formulario 1'!G2089="""","""",IF(LEFT(REGEXREPLACE(TO_TEXT('Respuestas de formulario 1'!G2089),""[^0-9]"",""""),2)=""54"",""+""&amp;REGEXREPLACE(TO_TEXT('Respuestas de formulario 1'!G2089),""[^0-9]"",""""),""+54""&amp;REGEXREPLACE(TO_TEXT('Respu"&amp;"estas de formulario 1'!G2089),""[^0-9]"","""")))"),"")</f>
        <v/>
      </c>
      <c r="H1976" s="7" t="str">
        <f>'Respuestas de formulario 1'!S2089</f>
        <v/>
      </c>
      <c r="I1976" s="7" t="str">
        <f>IFERROR(__xludf.DUMMYFUNCTION("IF('Respuestas de formulario 1'!I2089="""","""",TO_TEXT('Respuestas de formulario 1'!I2089))"),"")</f>
        <v/>
      </c>
      <c r="J1976" s="7" t="str">
        <f>IFERROR(__xludf.DUMMYFUNCTION("IF('Respuestas de formulario 1'!J2089&lt;&gt;"""",UPPER(TRIM(TO_TEXT('Respuestas de formulario 1'!J2089))),IF('Respuestas de formulario 1'!O2089&lt;&gt;"""",UPPER(TRIM(TO_TEXT('Respuestas de formulario 1'!O2089))),""""))"),"")</f>
        <v/>
      </c>
      <c r="K1976" s="7" t="str">
        <f>IFERROR(__xludf.DUMMYFUNCTION("IF('Respuestas de formulario 1'!K2089="""","""",TO_TEXT('Respuestas de formulario 1'!K2089))"),"")</f>
        <v/>
      </c>
      <c r="L1976" s="7" t="str">
        <f>IFERROR(__xludf.DUMMYFUNCTION("IF('Respuestas de formulario 1'!L2089="""","""",TO_TEXT('Respuestas de formulario 1'!L2089))"),"")</f>
        <v/>
      </c>
      <c r="M1976" s="7" t="str">
        <f>IFERROR(__xludf.DUMMYFUNCTION("IF('Respuestas de formulario 1'!M2089="""","""",TO_TEXT('Respuestas de formulario 1'!M2089))"),"")</f>
        <v/>
      </c>
      <c r="N1976" s="7" t="str">
        <f t="shared" si="1"/>
        <v/>
      </c>
      <c r="O1976" s="7" t="str">
        <f t="shared" si="2"/>
        <v/>
      </c>
      <c r="P1976" s="7"/>
    </row>
    <row r="1977">
      <c r="A1977" s="7" t="str">
        <f>'Respuestas de formulario 1'!A2090</f>
        <v/>
      </c>
      <c r="B1977" s="7" t="str">
        <f>'Respuestas de formulario 1'!B2090</f>
        <v/>
      </c>
      <c r="C1977" s="7" t="str">
        <f>'Respuestas de formulario 1'!C2090</f>
        <v/>
      </c>
      <c r="D1977" s="7" t="str">
        <f>'Respuestas de formulario 1'!D2090</f>
        <v/>
      </c>
      <c r="E1977" s="7" t="str">
        <f>'Respuestas de formulario 1'!E2090</f>
        <v/>
      </c>
      <c r="F1977" s="7" t="str">
        <f>'Respuestas de formulario 1'!F2090</f>
        <v/>
      </c>
      <c r="G1977" s="7" t="str">
        <f>IFERROR(__xludf.DUMMYFUNCTION("IF('Respuestas de formulario 1'!G2090="""","""",IF(LEFT(REGEXREPLACE(TO_TEXT('Respuestas de formulario 1'!G2090),""[^0-9]"",""""),2)=""54"",""+""&amp;REGEXREPLACE(TO_TEXT('Respuestas de formulario 1'!G2090),""[^0-9]"",""""),""+54""&amp;REGEXREPLACE(TO_TEXT('Respu"&amp;"estas de formulario 1'!G2090),""[^0-9]"","""")))"),"")</f>
        <v/>
      </c>
      <c r="H1977" s="7" t="str">
        <f>'Respuestas de formulario 1'!S2090</f>
        <v/>
      </c>
      <c r="I1977" s="7" t="str">
        <f>IFERROR(__xludf.DUMMYFUNCTION("IF('Respuestas de formulario 1'!I2090="""","""",TO_TEXT('Respuestas de formulario 1'!I2090))"),"")</f>
        <v/>
      </c>
      <c r="J1977" s="7" t="str">
        <f>IFERROR(__xludf.DUMMYFUNCTION("IF('Respuestas de formulario 1'!J2090&lt;&gt;"""",UPPER(TRIM(TO_TEXT('Respuestas de formulario 1'!J2090))),IF('Respuestas de formulario 1'!O2090&lt;&gt;"""",UPPER(TRIM(TO_TEXT('Respuestas de formulario 1'!O2090))),""""))"),"")</f>
        <v/>
      </c>
      <c r="K1977" s="7" t="str">
        <f>IFERROR(__xludf.DUMMYFUNCTION("IF('Respuestas de formulario 1'!K2090="""","""",TO_TEXT('Respuestas de formulario 1'!K2090))"),"")</f>
        <v/>
      </c>
      <c r="L1977" s="7" t="str">
        <f>IFERROR(__xludf.DUMMYFUNCTION("IF('Respuestas de formulario 1'!L2090="""","""",TO_TEXT('Respuestas de formulario 1'!L2090))"),"")</f>
        <v/>
      </c>
      <c r="M1977" s="7" t="str">
        <f>IFERROR(__xludf.DUMMYFUNCTION("IF('Respuestas de formulario 1'!M2090="""","""",TO_TEXT('Respuestas de formulario 1'!M2090))"),"")</f>
        <v/>
      </c>
      <c r="N1977" s="7" t="str">
        <f t="shared" si="1"/>
        <v/>
      </c>
      <c r="O1977" s="7" t="str">
        <f t="shared" si="2"/>
        <v/>
      </c>
      <c r="P1977" s="7"/>
    </row>
    <row r="1978">
      <c r="A1978" s="7" t="str">
        <f>'Respuestas de formulario 1'!A2091</f>
        <v/>
      </c>
      <c r="B1978" s="7" t="str">
        <f>'Respuestas de formulario 1'!B2091</f>
        <v/>
      </c>
      <c r="C1978" s="7" t="str">
        <f>'Respuestas de formulario 1'!C2091</f>
        <v/>
      </c>
      <c r="D1978" s="7" t="str">
        <f>'Respuestas de formulario 1'!D2091</f>
        <v/>
      </c>
      <c r="E1978" s="7" t="str">
        <f>'Respuestas de formulario 1'!E2091</f>
        <v/>
      </c>
      <c r="F1978" s="7" t="str">
        <f>'Respuestas de formulario 1'!F2091</f>
        <v/>
      </c>
      <c r="G1978" s="7" t="str">
        <f>IFERROR(__xludf.DUMMYFUNCTION("IF('Respuestas de formulario 1'!G2091="""","""",IF(LEFT(REGEXREPLACE(TO_TEXT('Respuestas de formulario 1'!G2091),""[^0-9]"",""""),2)=""54"",""+""&amp;REGEXREPLACE(TO_TEXT('Respuestas de formulario 1'!G2091),""[^0-9]"",""""),""+54""&amp;REGEXREPLACE(TO_TEXT('Respu"&amp;"estas de formulario 1'!G2091),""[^0-9]"","""")))"),"")</f>
        <v/>
      </c>
      <c r="H1978" s="7" t="str">
        <f>'Respuestas de formulario 1'!S2091</f>
        <v/>
      </c>
      <c r="I1978" s="7" t="str">
        <f>IFERROR(__xludf.DUMMYFUNCTION("IF('Respuestas de formulario 1'!I2091="""","""",TO_TEXT('Respuestas de formulario 1'!I2091))"),"")</f>
        <v/>
      </c>
      <c r="J1978" s="7" t="str">
        <f>IFERROR(__xludf.DUMMYFUNCTION("IF('Respuestas de formulario 1'!J2091&lt;&gt;"""",UPPER(TRIM(TO_TEXT('Respuestas de formulario 1'!J2091))),IF('Respuestas de formulario 1'!O2091&lt;&gt;"""",UPPER(TRIM(TO_TEXT('Respuestas de formulario 1'!O2091))),""""))"),"")</f>
        <v/>
      </c>
      <c r="K1978" s="7" t="str">
        <f>IFERROR(__xludf.DUMMYFUNCTION("IF('Respuestas de formulario 1'!K2091="""","""",TO_TEXT('Respuestas de formulario 1'!K2091))"),"")</f>
        <v/>
      </c>
      <c r="L1978" s="7" t="str">
        <f>IFERROR(__xludf.DUMMYFUNCTION("IF('Respuestas de formulario 1'!L2091="""","""",TO_TEXT('Respuestas de formulario 1'!L2091))"),"")</f>
        <v/>
      </c>
      <c r="M1978" s="7" t="str">
        <f>IFERROR(__xludf.DUMMYFUNCTION("IF('Respuestas de formulario 1'!M2091="""","""",TO_TEXT('Respuestas de formulario 1'!M2091))"),"")</f>
        <v/>
      </c>
      <c r="N1978" s="7" t="str">
        <f t="shared" si="1"/>
        <v/>
      </c>
      <c r="O1978" s="7" t="str">
        <f t="shared" si="2"/>
        <v/>
      </c>
      <c r="P1978" s="7"/>
    </row>
    <row r="1979">
      <c r="A1979" s="7" t="str">
        <f>'Respuestas de formulario 1'!A2092</f>
        <v/>
      </c>
      <c r="B1979" s="7" t="str">
        <f>'Respuestas de formulario 1'!B2092</f>
        <v/>
      </c>
      <c r="C1979" s="7" t="str">
        <f>'Respuestas de formulario 1'!C2092</f>
        <v/>
      </c>
      <c r="D1979" s="7" t="str">
        <f>'Respuestas de formulario 1'!D2092</f>
        <v/>
      </c>
      <c r="E1979" s="7" t="str">
        <f>'Respuestas de formulario 1'!E2092</f>
        <v/>
      </c>
      <c r="F1979" s="7" t="str">
        <f>'Respuestas de formulario 1'!F2092</f>
        <v/>
      </c>
      <c r="G1979" s="7" t="str">
        <f>IFERROR(__xludf.DUMMYFUNCTION("IF('Respuestas de formulario 1'!G2092="""","""",IF(LEFT(REGEXREPLACE(TO_TEXT('Respuestas de formulario 1'!G2092),""[^0-9]"",""""),2)=""54"",""+""&amp;REGEXREPLACE(TO_TEXT('Respuestas de formulario 1'!G2092),""[^0-9]"",""""),""+54""&amp;REGEXREPLACE(TO_TEXT('Respu"&amp;"estas de formulario 1'!G2092),""[^0-9]"","""")))"),"")</f>
        <v/>
      </c>
      <c r="H1979" s="7" t="str">
        <f>'Respuestas de formulario 1'!S2092</f>
        <v/>
      </c>
      <c r="I1979" s="7" t="str">
        <f>IFERROR(__xludf.DUMMYFUNCTION("IF('Respuestas de formulario 1'!I2092="""","""",TO_TEXT('Respuestas de formulario 1'!I2092))"),"")</f>
        <v/>
      </c>
      <c r="J1979" s="7" t="str">
        <f>IFERROR(__xludf.DUMMYFUNCTION("IF('Respuestas de formulario 1'!J2092&lt;&gt;"""",UPPER(TRIM(TO_TEXT('Respuestas de formulario 1'!J2092))),IF('Respuestas de formulario 1'!O2092&lt;&gt;"""",UPPER(TRIM(TO_TEXT('Respuestas de formulario 1'!O2092))),""""))"),"")</f>
        <v/>
      </c>
      <c r="K1979" s="7" t="str">
        <f>IFERROR(__xludf.DUMMYFUNCTION("IF('Respuestas de formulario 1'!K2092="""","""",TO_TEXT('Respuestas de formulario 1'!K2092))"),"")</f>
        <v/>
      </c>
      <c r="L1979" s="7" t="str">
        <f>IFERROR(__xludf.DUMMYFUNCTION("IF('Respuestas de formulario 1'!L2092="""","""",TO_TEXT('Respuestas de formulario 1'!L2092))"),"")</f>
        <v/>
      </c>
      <c r="M1979" s="7" t="str">
        <f>IFERROR(__xludf.DUMMYFUNCTION("IF('Respuestas de formulario 1'!M2092="""","""",TO_TEXT('Respuestas de formulario 1'!M2092))"),"")</f>
        <v/>
      </c>
      <c r="N1979" s="7" t="str">
        <f t="shared" si="1"/>
        <v/>
      </c>
      <c r="O1979" s="7" t="str">
        <f t="shared" si="2"/>
        <v/>
      </c>
      <c r="P1979" s="7"/>
    </row>
    <row r="1980">
      <c r="A1980" s="7" t="str">
        <f>'Respuestas de formulario 1'!A2093</f>
        <v/>
      </c>
      <c r="B1980" s="7" t="str">
        <f>'Respuestas de formulario 1'!B2093</f>
        <v/>
      </c>
      <c r="C1980" s="7" t="str">
        <f>'Respuestas de formulario 1'!C2093</f>
        <v/>
      </c>
      <c r="D1980" s="7" t="str">
        <f>'Respuestas de formulario 1'!D2093</f>
        <v/>
      </c>
      <c r="E1980" s="7" t="str">
        <f>'Respuestas de formulario 1'!E2093</f>
        <v/>
      </c>
      <c r="F1980" s="7" t="str">
        <f>'Respuestas de formulario 1'!F2093</f>
        <v/>
      </c>
      <c r="G1980" s="7" t="str">
        <f>IFERROR(__xludf.DUMMYFUNCTION("IF('Respuestas de formulario 1'!G2093="""","""",IF(LEFT(REGEXREPLACE(TO_TEXT('Respuestas de formulario 1'!G2093),""[^0-9]"",""""),2)=""54"",""+""&amp;REGEXREPLACE(TO_TEXT('Respuestas de formulario 1'!G2093),""[^0-9]"",""""),""+54""&amp;REGEXREPLACE(TO_TEXT('Respu"&amp;"estas de formulario 1'!G2093),""[^0-9]"","""")))"),"")</f>
        <v/>
      </c>
      <c r="H1980" s="7" t="str">
        <f>'Respuestas de formulario 1'!S2093</f>
        <v/>
      </c>
      <c r="I1980" s="7" t="str">
        <f>IFERROR(__xludf.DUMMYFUNCTION("IF('Respuestas de formulario 1'!I2093="""","""",TO_TEXT('Respuestas de formulario 1'!I2093))"),"")</f>
        <v/>
      </c>
      <c r="J1980" s="7" t="str">
        <f>IFERROR(__xludf.DUMMYFUNCTION("IF('Respuestas de formulario 1'!J2093&lt;&gt;"""",UPPER(TRIM(TO_TEXT('Respuestas de formulario 1'!J2093))),IF('Respuestas de formulario 1'!O2093&lt;&gt;"""",UPPER(TRIM(TO_TEXT('Respuestas de formulario 1'!O2093))),""""))"),"")</f>
        <v/>
      </c>
      <c r="K1980" s="7" t="str">
        <f>IFERROR(__xludf.DUMMYFUNCTION("IF('Respuestas de formulario 1'!K2093="""","""",TO_TEXT('Respuestas de formulario 1'!K2093))"),"")</f>
        <v/>
      </c>
      <c r="L1980" s="7" t="str">
        <f>IFERROR(__xludf.DUMMYFUNCTION("IF('Respuestas de formulario 1'!L2093="""","""",TO_TEXT('Respuestas de formulario 1'!L2093))"),"")</f>
        <v/>
      </c>
      <c r="M1980" s="7" t="str">
        <f>IFERROR(__xludf.DUMMYFUNCTION("IF('Respuestas de formulario 1'!M2093="""","""",TO_TEXT('Respuestas de formulario 1'!M2093))"),"")</f>
        <v/>
      </c>
      <c r="N1980" s="7" t="str">
        <f t="shared" si="1"/>
        <v/>
      </c>
      <c r="O1980" s="7" t="str">
        <f t="shared" si="2"/>
        <v/>
      </c>
      <c r="P1980" s="7"/>
    </row>
    <row r="1981">
      <c r="A1981" s="7" t="str">
        <f>'Respuestas de formulario 1'!A2094</f>
        <v/>
      </c>
      <c r="B1981" s="7" t="str">
        <f>'Respuestas de formulario 1'!B2094</f>
        <v/>
      </c>
      <c r="C1981" s="7" t="str">
        <f>'Respuestas de formulario 1'!C2094</f>
        <v/>
      </c>
      <c r="D1981" s="7" t="str">
        <f>'Respuestas de formulario 1'!D2094</f>
        <v/>
      </c>
      <c r="E1981" s="7" t="str">
        <f>'Respuestas de formulario 1'!E2094</f>
        <v/>
      </c>
      <c r="F1981" s="7" t="str">
        <f>'Respuestas de formulario 1'!F2094</f>
        <v/>
      </c>
      <c r="G1981" s="7" t="str">
        <f>IFERROR(__xludf.DUMMYFUNCTION("IF('Respuestas de formulario 1'!G2094="""","""",IF(LEFT(REGEXREPLACE(TO_TEXT('Respuestas de formulario 1'!G2094),""[^0-9]"",""""),2)=""54"",""+""&amp;REGEXREPLACE(TO_TEXT('Respuestas de formulario 1'!G2094),""[^0-9]"",""""),""+54""&amp;REGEXREPLACE(TO_TEXT('Respu"&amp;"estas de formulario 1'!G2094),""[^0-9]"","""")))"),"")</f>
        <v/>
      </c>
      <c r="H1981" s="7" t="str">
        <f>'Respuestas de formulario 1'!S2094</f>
        <v/>
      </c>
      <c r="I1981" s="7" t="str">
        <f>IFERROR(__xludf.DUMMYFUNCTION("IF('Respuestas de formulario 1'!I2094="""","""",TO_TEXT('Respuestas de formulario 1'!I2094))"),"")</f>
        <v/>
      </c>
      <c r="J1981" s="7" t="str">
        <f>IFERROR(__xludf.DUMMYFUNCTION("IF('Respuestas de formulario 1'!J2094&lt;&gt;"""",UPPER(TRIM(TO_TEXT('Respuestas de formulario 1'!J2094))),IF('Respuestas de formulario 1'!O2094&lt;&gt;"""",UPPER(TRIM(TO_TEXT('Respuestas de formulario 1'!O2094))),""""))"),"")</f>
        <v/>
      </c>
      <c r="K1981" s="7" t="str">
        <f>IFERROR(__xludf.DUMMYFUNCTION("IF('Respuestas de formulario 1'!K2094="""","""",TO_TEXT('Respuestas de formulario 1'!K2094))"),"")</f>
        <v/>
      </c>
      <c r="L1981" s="7" t="str">
        <f>IFERROR(__xludf.DUMMYFUNCTION("IF('Respuestas de formulario 1'!L2094="""","""",TO_TEXT('Respuestas de formulario 1'!L2094))"),"")</f>
        <v/>
      </c>
      <c r="M1981" s="7" t="str">
        <f>IFERROR(__xludf.DUMMYFUNCTION("IF('Respuestas de formulario 1'!M2094="""","""",TO_TEXT('Respuestas de formulario 1'!M2094))"),"")</f>
        <v/>
      </c>
      <c r="N1981" s="7" t="str">
        <f t="shared" si="1"/>
        <v/>
      </c>
      <c r="O1981" s="7" t="str">
        <f t="shared" si="2"/>
        <v/>
      </c>
      <c r="P1981" s="7"/>
    </row>
    <row r="1982">
      <c r="A1982" s="7" t="str">
        <f>'Respuestas de formulario 1'!A2095</f>
        <v/>
      </c>
      <c r="B1982" s="7" t="str">
        <f>'Respuestas de formulario 1'!B2095</f>
        <v/>
      </c>
      <c r="C1982" s="7" t="str">
        <f>'Respuestas de formulario 1'!C2095</f>
        <v/>
      </c>
      <c r="D1982" s="7" t="str">
        <f>'Respuestas de formulario 1'!D2095</f>
        <v/>
      </c>
      <c r="E1982" s="7" t="str">
        <f>'Respuestas de formulario 1'!E2095</f>
        <v/>
      </c>
      <c r="F1982" s="7" t="str">
        <f>'Respuestas de formulario 1'!F2095</f>
        <v/>
      </c>
      <c r="G1982" s="7" t="str">
        <f>IFERROR(__xludf.DUMMYFUNCTION("IF('Respuestas de formulario 1'!G2095="""","""",IF(LEFT(REGEXREPLACE(TO_TEXT('Respuestas de formulario 1'!G2095),""[^0-9]"",""""),2)=""54"",""+""&amp;REGEXREPLACE(TO_TEXT('Respuestas de formulario 1'!G2095),""[^0-9]"",""""),""+54""&amp;REGEXREPLACE(TO_TEXT('Respu"&amp;"estas de formulario 1'!G2095),""[^0-9]"","""")))"),"")</f>
        <v/>
      </c>
      <c r="H1982" s="7" t="str">
        <f>'Respuestas de formulario 1'!S2095</f>
        <v/>
      </c>
      <c r="I1982" s="7" t="str">
        <f>IFERROR(__xludf.DUMMYFUNCTION("IF('Respuestas de formulario 1'!I2095="""","""",TO_TEXT('Respuestas de formulario 1'!I2095))"),"")</f>
        <v/>
      </c>
      <c r="J1982" s="7" t="str">
        <f>IFERROR(__xludf.DUMMYFUNCTION("IF('Respuestas de formulario 1'!J2095&lt;&gt;"""",UPPER(TRIM(TO_TEXT('Respuestas de formulario 1'!J2095))),IF('Respuestas de formulario 1'!O2095&lt;&gt;"""",UPPER(TRIM(TO_TEXT('Respuestas de formulario 1'!O2095))),""""))"),"")</f>
        <v/>
      </c>
      <c r="K1982" s="7" t="str">
        <f>IFERROR(__xludf.DUMMYFUNCTION("IF('Respuestas de formulario 1'!K2095="""","""",TO_TEXT('Respuestas de formulario 1'!K2095))"),"")</f>
        <v/>
      </c>
      <c r="L1982" s="7" t="str">
        <f>IFERROR(__xludf.DUMMYFUNCTION("IF('Respuestas de formulario 1'!L2095="""","""",TO_TEXT('Respuestas de formulario 1'!L2095))"),"")</f>
        <v/>
      </c>
      <c r="M1982" s="7" t="str">
        <f>IFERROR(__xludf.DUMMYFUNCTION("IF('Respuestas de formulario 1'!M2095="""","""",TO_TEXT('Respuestas de formulario 1'!M2095))"),"")</f>
        <v/>
      </c>
      <c r="N1982" s="7" t="str">
        <f t="shared" si="1"/>
        <v/>
      </c>
      <c r="O1982" s="7" t="str">
        <f t="shared" si="2"/>
        <v/>
      </c>
      <c r="P1982" s="7"/>
    </row>
    <row r="1983">
      <c r="A1983" s="7" t="str">
        <f>'Respuestas de formulario 1'!A2096</f>
        <v/>
      </c>
      <c r="B1983" s="7" t="str">
        <f>'Respuestas de formulario 1'!B2096</f>
        <v/>
      </c>
      <c r="C1983" s="7" t="str">
        <f>'Respuestas de formulario 1'!C2096</f>
        <v/>
      </c>
      <c r="D1983" s="7" t="str">
        <f>'Respuestas de formulario 1'!D2096</f>
        <v/>
      </c>
      <c r="E1983" s="7" t="str">
        <f>'Respuestas de formulario 1'!E2096</f>
        <v/>
      </c>
      <c r="F1983" s="7" t="str">
        <f>'Respuestas de formulario 1'!F2096</f>
        <v/>
      </c>
      <c r="G1983" s="7" t="str">
        <f>IFERROR(__xludf.DUMMYFUNCTION("IF('Respuestas de formulario 1'!G2096="""","""",IF(LEFT(REGEXREPLACE(TO_TEXT('Respuestas de formulario 1'!G2096),""[^0-9]"",""""),2)=""54"",""+""&amp;REGEXREPLACE(TO_TEXT('Respuestas de formulario 1'!G2096),""[^0-9]"",""""),""+54""&amp;REGEXREPLACE(TO_TEXT('Respu"&amp;"estas de formulario 1'!G2096),""[^0-9]"","""")))"),"")</f>
        <v/>
      </c>
      <c r="H1983" s="7" t="str">
        <f>'Respuestas de formulario 1'!S2096</f>
        <v/>
      </c>
      <c r="I1983" s="7" t="str">
        <f>IFERROR(__xludf.DUMMYFUNCTION("IF('Respuestas de formulario 1'!I2096="""","""",TO_TEXT('Respuestas de formulario 1'!I2096))"),"")</f>
        <v/>
      </c>
      <c r="J1983" s="7" t="str">
        <f>IFERROR(__xludf.DUMMYFUNCTION("IF('Respuestas de formulario 1'!J2096&lt;&gt;"""",UPPER(TRIM(TO_TEXT('Respuestas de formulario 1'!J2096))),IF('Respuestas de formulario 1'!O2096&lt;&gt;"""",UPPER(TRIM(TO_TEXT('Respuestas de formulario 1'!O2096))),""""))"),"")</f>
        <v/>
      </c>
      <c r="K1983" s="7" t="str">
        <f>IFERROR(__xludf.DUMMYFUNCTION("IF('Respuestas de formulario 1'!K2096="""","""",TO_TEXT('Respuestas de formulario 1'!K2096))"),"")</f>
        <v/>
      </c>
      <c r="L1983" s="7" t="str">
        <f>IFERROR(__xludf.DUMMYFUNCTION("IF('Respuestas de formulario 1'!L2096="""","""",TO_TEXT('Respuestas de formulario 1'!L2096))"),"")</f>
        <v/>
      </c>
      <c r="M1983" s="7" t="str">
        <f>IFERROR(__xludf.DUMMYFUNCTION("IF('Respuestas de formulario 1'!M2096="""","""",TO_TEXT('Respuestas de formulario 1'!M2096))"),"")</f>
        <v/>
      </c>
      <c r="N1983" s="7" t="str">
        <f t="shared" si="1"/>
        <v/>
      </c>
      <c r="O1983" s="7" t="str">
        <f t="shared" si="2"/>
        <v/>
      </c>
      <c r="P1983" s="7"/>
    </row>
    <row r="1984">
      <c r="A1984" s="7" t="str">
        <f>'Respuestas de formulario 1'!A2097</f>
        <v/>
      </c>
      <c r="B1984" s="7" t="str">
        <f>'Respuestas de formulario 1'!B2097</f>
        <v/>
      </c>
      <c r="C1984" s="7" t="str">
        <f>'Respuestas de formulario 1'!C2097</f>
        <v/>
      </c>
      <c r="D1984" s="7" t="str">
        <f>'Respuestas de formulario 1'!D2097</f>
        <v/>
      </c>
      <c r="E1984" s="7" t="str">
        <f>'Respuestas de formulario 1'!E2097</f>
        <v/>
      </c>
      <c r="F1984" s="7" t="str">
        <f>'Respuestas de formulario 1'!F2097</f>
        <v/>
      </c>
      <c r="G1984" s="7" t="str">
        <f>IFERROR(__xludf.DUMMYFUNCTION("IF('Respuestas de formulario 1'!G2097="""","""",IF(LEFT(REGEXREPLACE(TO_TEXT('Respuestas de formulario 1'!G2097),""[^0-9]"",""""),2)=""54"",""+""&amp;REGEXREPLACE(TO_TEXT('Respuestas de formulario 1'!G2097),""[^0-9]"",""""),""+54""&amp;REGEXREPLACE(TO_TEXT('Respu"&amp;"estas de formulario 1'!G2097),""[^0-9]"","""")))"),"")</f>
        <v/>
      </c>
      <c r="H1984" s="7" t="str">
        <f>'Respuestas de formulario 1'!S2097</f>
        <v/>
      </c>
      <c r="I1984" s="7" t="str">
        <f>IFERROR(__xludf.DUMMYFUNCTION("IF('Respuestas de formulario 1'!I2097="""","""",TO_TEXT('Respuestas de formulario 1'!I2097))"),"")</f>
        <v/>
      </c>
      <c r="J1984" s="7" t="str">
        <f>IFERROR(__xludf.DUMMYFUNCTION("IF('Respuestas de formulario 1'!J2097&lt;&gt;"""",UPPER(TRIM(TO_TEXT('Respuestas de formulario 1'!J2097))),IF('Respuestas de formulario 1'!O2097&lt;&gt;"""",UPPER(TRIM(TO_TEXT('Respuestas de formulario 1'!O2097))),""""))"),"")</f>
        <v/>
      </c>
      <c r="K1984" s="7" t="str">
        <f>IFERROR(__xludf.DUMMYFUNCTION("IF('Respuestas de formulario 1'!K2097="""","""",TO_TEXT('Respuestas de formulario 1'!K2097))"),"")</f>
        <v/>
      </c>
      <c r="L1984" s="7" t="str">
        <f>IFERROR(__xludf.DUMMYFUNCTION("IF('Respuestas de formulario 1'!L2097="""","""",TO_TEXT('Respuestas de formulario 1'!L2097))"),"")</f>
        <v/>
      </c>
      <c r="M1984" s="7" t="str">
        <f>IFERROR(__xludf.DUMMYFUNCTION("IF('Respuestas de formulario 1'!M2097="""","""",TO_TEXT('Respuestas de formulario 1'!M2097))"),"")</f>
        <v/>
      </c>
      <c r="N1984" s="7" t="str">
        <f t="shared" si="1"/>
        <v/>
      </c>
      <c r="O1984" s="7" t="str">
        <f t="shared" si="2"/>
        <v/>
      </c>
      <c r="P1984" s="7"/>
    </row>
    <row r="1985">
      <c r="A1985" s="7" t="str">
        <f>'Respuestas de formulario 1'!A2098</f>
        <v/>
      </c>
      <c r="B1985" s="7" t="str">
        <f>'Respuestas de formulario 1'!B2098</f>
        <v/>
      </c>
      <c r="C1985" s="7" t="str">
        <f>'Respuestas de formulario 1'!C2098</f>
        <v/>
      </c>
      <c r="D1985" s="7" t="str">
        <f>'Respuestas de formulario 1'!D2098</f>
        <v/>
      </c>
      <c r="E1985" s="7" t="str">
        <f>'Respuestas de formulario 1'!E2098</f>
        <v/>
      </c>
      <c r="F1985" s="7" t="str">
        <f>'Respuestas de formulario 1'!F2098</f>
        <v/>
      </c>
      <c r="G1985" s="7" t="str">
        <f>IFERROR(__xludf.DUMMYFUNCTION("IF('Respuestas de formulario 1'!G2098="""","""",IF(LEFT(REGEXREPLACE(TO_TEXT('Respuestas de formulario 1'!G2098),""[^0-9]"",""""),2)=""54"",""+""&amp;REGEXREPLACE(TO_TEXT('Respuestas de formulario 1'!G2098),""[^0-9]"",""""),""+54""&amp;REGEXREPLACE(TO_TEXT('Respu"&amp;"estas de formulario 1'!G2098),""[^0-9]"","""")))"),"")</f>
        <v/>
      </c>
      <c r="H1985" s="7" t="str">
        <f>'Respuestas de formulario 1'!S2098</f>
        <v/>
      </c>
      <c r="I1985" s="7" t="str">
        <f>IFERROR(__xludf.DUMMYFUNCTION("IF('Respuestas de formulario 1'!I2098="""","""",TO_TEXT('Respuestas de formulario 1'!I2098))"),"")</f>
        <v/>
      </c>
      <c r="J1985" s="7" t="str">
        <f>IFERROR(__xludf.DUMMYFUNCTION("IF('Respuestas de formulario 1'!J2098&lt;&gt;"""",UPPER(TRIM(TO_TEXT('Respuestas de formulario 1'!J2098))),IF('Respuestas de formulario 1'!O2098&lt;&gt;"""",UPPER(TRIM(TO_TEXT('Respuestas de formulario 1'!O2098))),""""))"),"")</f>
        <v/>
      </c>
      <c r="K1985" s="7" t="str">
        <f>IFERROR(__xludf.DUMMYFUNCTION("IF('Respuestas de formulario 1'!K2098="""","""",TO_TEXT('Respuestas de formulario 1'!K2098))"),"")</f>
        <v/>
      </c>
      <c r="L1985" s="7" t="str">
        <f>IFERROR(__xludf.DUMMYFUNCTION("IF('Respuestas de formulario 1'!L2098="""","""",TO_TEXT('Respuestas de formulario 1'!L2098))"),"")</f>
        <v/>
      </c>
      <c r="M1985" s="7" t="str">
        <f>IFERROR(__xludf.DUMMYFUNCTION("IF('Respuestas de formulario 1'!M2098="""","""",TO_TEXT('Respuestas de formulario 1'!M2098))"),"")</f>
        <v/>
      </c>
      <c r="N1985" s="7" t="str">
        <f t="shared" si="1"/>
        <v/>
      </c>
      <c r="O1985" s="7" t="str">
        <f t="shared" si="2"/>
        <v/>
      </c>
      <c r="P1985" s="7"/>
    </row>
    <row r="1986">
      <c r="A1986" s="7" t="str">
        <f>'Respuestas de formulario 1'!A2099</f>
        <v/>
      </c>
      <c r="B1986" s="7" t="str">
        <f>'Respuestas de formulario 1'!B2099</f>
        <v/>
      </c>
      <c r="C1986" s="7" t="str">
        <f>'Respuestas de formulario 1'!C2099</f>
        <v/>
      </c>
      <c r="D1986" s="7" t="str">
        <f>'Respuestas de formulario 1'!D2099</f>
        <v/>
      </c>
      <c r="E1986" s="7" t="str">
        <f>'Respuestas de formulario 1'!E2099</f>
        <v/>
      </c>
      <c r="F1986" s="7" t="str">
        <f>'Respuestas de formulario 1'!F2099</f>
        <v/>
      </c>
      <c r="G1986" s="7" t="str">
        <f>IFERROR(__xludf.DUMMYFUNCTION("IF('Respuestas de formulario 1'!G2099="""","""",IF(LEFT(REGEXREPLACE(TO_TEXT('Respuestas de formulario 1'!G2099),""[^0-9]"",""""),2)=""54"",""+""&amp;REGEXREPLACE(TO_TEXT('Respuestas de formulario 1'!G2099),""[^0-9]"",""""),""+54""&amp;REGEXREPLACE(TO_TEXT('Respu"&amp;"estas de formulario 1'!G2099),""[^0-9]"","""")))"),"")</f>
        <v/>
      </c>
      <c r="H1986" s="7" t="str">
        <f>'Respuestas de formulario 1'!S2099</f>
        <v/>
      </c>
      <c r="I1986" s="7" t="str">
        <f>IFERROR(__xludf.DUMMYFUNCTION("IF('Respuestas de formulario 1'!I2099="""","""",TO_TEXT('Respuestas de formulario 1'!I2099))"),"")</f>
        <v/>
      </c>
      <c r="J1986" s="7" t="str">
        <f>IFERROR(__xludf.DUMMYFUNCTION("IF('Respuestas de formulario 1'!J2099&lt;&gt;"""",UPPER(TRIM(TO_TEXT('Respuestas de formulario 1'!J2099))),IF('Respuestas de formulario 1'!O2099&lt;&gt;"""",UPPER(TRIM(TO_TEXT('Respuestas de formulario 1'!O2099))),""""))"),"")</f>
        <v/>
      </c>
      <c r="K1986" s="7" t="str">
        <f>IFERROR(__xludf.DUMMYFUNCTION("IF('Respuestas de formulario 1'!K2099="""","""",TO_TEXT('Respuestas de formulario 1'!K2099))"),"")</f>
        <v/>
      </c>
      <c r="L1986" s="7" t="str">
        <f>IFERROR(__xludf.DUMMYFUNCTION("IF('Respuestas de formulario 1'!L2099="""","""",TO_TEXT('Respuestas de formulario 1'!L2099))"),"")</f>
        <v/>
      </c>
      <c r="M1986" s="7" t="str">
        <f>IFERROR(__xludf.DUMMYFUNCTION("IF('Respuestas de formulario 1'!M2099="""","""",TO_TEXT('Respuestas de formulario 1'!M2099))"),"")</f>
        <v/>
      </c>
      <c r="N1986" s="7" t="str">
        <f t="shared" si="1"/>
        <v/>
      </c>
      <c r="O1986" s="7" t="str">
        <f t="shared" si="2"/>
        <v/>
      </c>
      <c r="P1986" s="7"/>
    </row>
    <row r="1987">
      <c r="A1987" s="7" t="str">
        <f>'Respuestas de formulario 1'!A2100</f>
        <v/>
      </c>
      <c r="B1987" s="7" t="str">
        <f>'Respuestas de formulario 1'!B2100</f>
        <v/>
      </c>
      <c r="C1987" s="7" t="str">
        <f>'Respuestas de formulario 1'!C2100</f>
        <v/>
      </c>
      <c r="D1987" s="7" t="str">
        <f>'Respuestas de formulario 1'!D2100</f>
        <v/>
      </c>
      <c r="E1987" s="7" t="str">
        <f>'Respuestas de formulario 1'!E2100</f>
        <v/>
      </c>
      <c r="F1987" s="7" t="str">
        <f>'Respuestas de formulario 1'!F2100</f>
        <v/>
      </c>
      <c r="G1987" s="7" t="str">
        <f>IFERROR(__xludf.DUMMYFUNCTION("IF('Respuestas de formulario 1'!G2100="""","""",IF(LEFT(REGEXREPLACE(TO_TEXT('Respuestas de formulario 1'!G2100),""[^0-9]"",""""),2)=""54"",""+""&amp;REGEXREPLACE(TO_TEXT('Respuestas de formulario 1'!G2100),""[^0-9]"",""""),""+54""&amp;REGEXREPLACE(TO_TEXT('Respu"&amp;"estas de formulario 1'!G2100),""[^0-9]"","""")))"),"")</f>
        <v/>
      </c>
      <c r="H1987" s="7" t="str">
        <f>'Respuestas de formulario 1'!S2100</f>
        <v/>
      </c>
      <c r="I1987" s="7" t="str">
        <f>IFERROR(__xludf.DUMMYFUNCTION("IF('Respuestas de formulario 1'!I2100="""","""",TO_TEXT('Respuestas de formulario 1'!I2100))"),"")</f>
        <v/>
      </c>
      <c r="J1987" s="7" t="str">
        <f>IFERROR(__xludf.DUMMYFUNCTION("IF('Respuestas de formulario 1'!J2100&lt;&gt;"""",UPPER(TRIM(TO_TEXT('Respuestas de formulario 1'!J2100))),IF('Respuestas de formulario 1'!O2100&lt;&gt;"""",UPPER(TRIM(TO_TEXT('Respuestas de formulario 1'!O2100))),""""))"),"")</f>
        <v/>
      </c>
      <c r="K1987" s="7" t="str">
        <f>IFERROR(__xludf.DUMMYFUNCTION("IF('Respuestas de formulario 1'!K2100="""","""",TO_TEXT('Respuestas de formulario 1'!K2100))"),"")</f>
        <v/>
      </c>
      <c r="L1987" s="7" t="str">
        <f>IFERROR(__xludf.DUMMYFUNCTION("IF('Respuestas de formulario 1'!L2100="""","""",TO_TEXT('Respuestas de formulario 1'!L2100))"),"")</f>
        <v/>
      </c>
      <c r="M1987" s="7" t="str">
        <f>IFERROR(__xludf.DUMMYFUNCTION("IF('Respuestas de formulario 1'!M2100="""","""",TO_TEXT('Respuestas de formulario 1'!M2100))"),"")</f>
        <v/>
      </c>
      <c r="N1987" s="7" t="str">
        <f t="shared" si="1"/>
        <v/>
      </c>
      <c r="O1987" s="7" t="str">
        <f t="shared" si="2"/>
        <v/>
      </c>
      <c r="P1987" s="7"/>
    </row>
    <row r="1988">
      <c r="A1988" s="7" t="str">
        <f>'Respuestas de formulario 1'!A2101</f>
        <v/>
      </c>
      <c r="B1988" s="7" t="str">
        <f>'Respuestas de formulario 1'!B2101</f>
        <v/>
      </c>
      <c r="C1988" s="7" t="str">
        <f>'Respuestas de formulario 1'!C2101</f>
        <v/>
      </c>
      <c r="D1988" s="7" t="str">
        <f>'Respuestas de formulario 1'!D2101</f>
        <v/>
      </c>
      <c r="E1988" s="7" t="str">
        <f>'Respuestas de formulario 1'!E2101</f>
        <v/>
      </c>
      <c r="F1988" s="7" t="str">
        <f>'Respuestas de formulario 1'!F2101</f>
        <v/>
      </c>
      <c r="G1988" s="7" t="str">
        <f>IFERROR(__xludf.DUMMYFUNCTION("IF('Respuestas de formulario 1'!G2101="""","""",IF(LEFT(REGEXREPLACE(TO_TEXT('Respuestas de formulario 1'!G2101),""[^0-9]"",""""),2)=""54"",""+""&amp;REGEXREPLACE(TO_TEXT('Respuestas de formulario 1'!G2101),""[^0-9]"",""""),""+54""&amp;REGEXREPLACE(TO_TEXT('Respu"&amp;"estas de formulario 1'!G2101),""[^0-9]"","""")))"),"")</f>
        <v/>
      </c>
      <c r="H1988" s="7" t="str">
        <f>'Respuestas de formulario 1'!S2101</f>
        <v/>
      </c>
      <c r="I1988" s="7" t="str">
        <f>IFERROR(__xludf.DUMMYFUNCTION("IF('Respuestas de formulario 1'!I2101="""","""",TO_TEXT('Respuestas de formulario 1'!I2101))"),"")</f>
        <v/>
      </c>
      <c r="J1988" s="7" t="str">
        <f>IFERROR(__xludf.DUMMYFUNCTION("IF('Respuestas de formulario 1'!J2101&lt;&gt;"""",UPPER(TRIM(TO_TEXT('Respuestas de formulario 1'!J2101))),IF('Respuestas de formulario 1'!O2101&lt;&gt;"""",UPPER(TRIM(TO_TEXT('Respuestas de formulario 1'!O2101))),""""))"),"")</f>
        <v/>
      </c>
      <c r="K1988" s="7" t="str">
        <f>IFERROR(__xludf.DUMMYFUNCTION("IF('Respuestas de formulario 1'!K2101="""","""",TO_TEXT('Respuestas de formulario 1'!K2101))"),"")</f>
        <v/>
      </c>
      <c r="L1988" s="7" t="str">
        <f>IFERROR(__xludf.DUMMYFUNCTION("IF('Respuestas de formulario 1'!L2101="""","""",TO_TEXT('Respuestas de formulario 1'!L2101))"),"")</f>
        <v/>
      </c>
      <c r="M1988" s="7" t="str">
        <f>IFERROR(__xludf.DUMMYFUNCTION("IF('Respuestas de formulario 1'!M2101="""","""",TO_TEXT('Respuestas de formulario 1'!M2101))"),"")</f>
        <v/>
      </c>
      <c r="N1988" s="7" t="str">
        <f t="shared" si="1"/>
        <v/>
      </c>
      <c r="O1988" s="7" t="str">
        <f t="shared" si="2"/>
        <v/>
      </c>
      <c r="P1988" s="7"/>
    </row>
    <row r="1989">
      <c r="A1989" s="7" t="str">
        <f>'Respuestas de formulario 1'!A2102</f>
        <v/>
      </c>
      <c r="B1989" s="7" t="str">
        <f>'Respuestas de formulario 1'!B2102</f>
        <v/>
      </c>
      <c r="C1989" s="7" t="str">
        <f>'Respuestas de formulario 1'!C2102</f>
        <v/>
      </c>
      <c r="D1989" s="7" t="str">
        <f>'Respuestas de formulario 1'!D2102</f>
        <v/>
      </c>
      <c r="E1989" s="7" t="str">
        <f>'Respuestas de formulario 1'!E2102</f>
        <v/>
      </c>
      <c r="F1989" s="7" t="str">
        <f>'Respuestas de formulario 1'!F2102</f>
        <v/>
      </c>
      <c r="G1989" s="7" t="str">
        <f>IFERROR(__xludf.DUMMYFUNCTION("IF('Respuestas de formulario 1'!G2102="""","""",IF(LEFT(REGEXREPLACE(TO_TEXT('Respuestas de formulario 1'!G2102),""[^0-9]"",""""),2)=""54"",""+""&amp;REGEXREPLACE(TO_TEXT('Respuestas de formulario 1'!G2102),""[^0-9]"",""""),""+54""&amp;REGEXREPLACE(TO_TEXT('Respu"&amp;"estas de formulario 1'!G2102),""[^0-9]"","""")))"),"")</f>
        <v/>
      </c>
      <c r="H1989" s="7" t="str">
        <f>'Respuestas de formulario 1'!S2102</f>
        <v/>
      </c>
      <c r="I1989" s="7" t="str">
        <f>IFERROR(__xludf.DUMMYFUNCTION("IF('Respuestas de formulario 1'!I2102="""","""",TO_TEXT('Respuestas de formulario 1'!I2102))"),"")</f>
        <v/>
      </c>
      <c r="J1989" s="7" t="str">
        <f>IFERROR(__xludf.DUMMYFUNCTION("IF('Respuestas de formulario 1'!J2102&lt;&gt;"""",UPPER(TRIM(TO_TEXT('Respuestas de formulario 1'!J2102))),IF('Respuestas de formulario 1'!O2102&lt;&gt;"""",UPPER(TRIM(TO_TEXT('Respuestas de formulario 1'!O2102))),""""))"),"")</f>
        <v/>
      </c>
      <c r="K1989" s="7" t="str">
        <f>IFERROR(__xludf.DUMMYFUNCTION("IF('Respuestas de formulario 1'!K2102="""","""",TO_TEXT('Respuestas de formulario 1'!K2102))"),"")</f>
        <v/>
      </c>
      <c r="L1989" s="7" t="str">
        <f>IFERROR(__xludf.DUMMYFUNCTION("IF('Respuestas de formulario 1'!L2102="""","""",TO_TEXT('Respuestas de formulario 1'!L2102))"),"")</f>
        <v/>
      </c>
      <c r="M1989" s="7" t="str">
        <f>IFERROR(__xludf.DUMMYFUNCTION("IF('Respuestas de formulario 1'!M2102="""","""",TO_TEXT('Respuestas de formulario 1'!M2102))"),"")</f>
        <v/>
      </c>
      <c r="N1989" s="7" t="str">
        <f t="shared" si="1"/>
        <v/>
      </c>
      <c r="O1989" s="7" t="str">
        <f t="shared" si="2"/>
        <v/>
      </c>
      <c r="P1989" s="7"/>
    </row>
    <row r="1990">
      <c r="A1990" s="7" t="str">
        <f>'Respuestas de formulario 1'!A2103</f>
        <v/>
      </c>
      <c r="B1990" s="7" t="str">
        <f>'Respuestas de formulario 1'!B2103</f>
        <v/>
      </c>
      <c r="C1990" s="7" t="str">
        <f>'Respuestas de formulario 1'!C2103</f>
        <v/>
      </c>
      <c r="D1990" s="7" t="str">
        <f>'Respuestas de formulario 1'!D2103</f>
        <v/>
      </c>
      <c r="E1990" s="7" t="str">
        <f>'Respuestas de formulario 1'!E2103</f>
        <v/>
      </c>
      <c r="F1990" s="7" t="str">
        <f>'Respuestas de formulario 1'!F2103</f>
        <v/>
      </c>
      <c r="G1990" s="7" t="str">
        <f>IFERROR(__xludf.DUMMYFUNCTION("IF('Respuestas de formulario 1'!G2103="""","""",IF(LEFT(REGEXREPLACE(TO_TEXT('Respuestas de formulario 1'!G2103),""[^0-9]"",""""),2)=""54"",""+""&amp;REGEXREPLACE(TO_TEXT('Respuestas de formulario 1'!G2103),""[^0-9]"",""""),""+54""&amp;REGEXREPLACE(TO_TEXT('Respu"&amp;"estas de formulario 1'!G2103),""[^0-9]"","""")))"),"")</f>
        <v/>
      </c>
      <c r="H1990" s="7" t="str">
        <f>'Respuestas de formulario 1'!S2103</f>
        <v/>
      </c>
      <c r="I1990" s="7" t="str">
        <f>IFERROR(__xludf.DUMMYFUNCTION("IF('Respuestas de formulario 1'!I2103="""","""",TO_TEXT('Respuestas de formulario 1'!I2103))"),"")</f>
        <v/>
      </c>
      <c r="J1990" s="7" t="str">
        <f>IFERROR(__xludf.DUMMYFUNCTION("IF('Respuestas de formulario 1'!J2103&lt;&gt;"""",UPPER(TRIM(TO_TEXT('Respuestas de formulario 1'!J2103))),IF('Respuestas de formulario 1'!O2103&lt;&gt;"""",UPPER(TRIM(TO_TEXT('Respuestas de formulario 1'!O2103))),""""))"),"")</f>
        <v/>
      </c>
      <c r="K1990" s="7" t="str">
        <f>IFERROR(__xludf.DUMMYFUNCTION("IF('Respuestas de formulario 1'!K2103="""","""",TO_TEXT('Respuestas de formulario 1'!K2103))"),"")</f>
        <v/>
      </c>
      <c r="L1990" s="7" t="str">
        <f>IFERROR(__xludf.DUMMYFUNCTION("IF('Respuestas de formulario 1'!L2103="""","""",TO_TEXT('Respuestas de formulario 1'!L2103))"),"")</f>
        <v/>
      </c>
      <c r="M1990" s="7" t="str">
        <f>IFERROR(__xludf.DUMMYFUNCTION("IF('Respuestas de formulario 1'!M2103="""","""",TO_TEXT('Respuestas de formulario 1'!M2103))"),"")</f>
        <v/>
      </c>
      <c r="N1990" s="7" t="str">
        <f t="shared" si="1"/>
        <v/>
      </c>
      <c r="O1990" s="7" t="str">
        <f t="shared" si="2"/>
        <v/>
      </c>
      <c r="P1990" s="7"/>
    </row>
    <row r="1991">
      <c r="A1991" s="7" t="str">
        <f>'Respuestas de formulario 1'!A2104</f>
        <v/>
      </c>
      <c r="B1991" s="7" t="str">
        <f>'Respuestas de formulario 1'!B2104</f>
        <v/>
      </c>
      <c r="C1991" s="7" t="str">
        <f>'Respuestas de formulario 1'!C2104</f>
        <v/>
      </c>
      <c r="D1991" s="7" t="str">
        <f>'Respuestas de formulario 1'!D2104</f>
        <v/>
      </c>
      <c r="E1991" s="7" t="str">
        <f>'Respuestas de formulario 1'!E2104</f>
        <v/>
      </c>
      <c r="F1991" s="7" t="str">
        <f>'Respuestas de formulario 1'!F2104</f>
        <v/>
      </c>
      <c r="G1991" s="7" t="str">
        <f>IFERROR(__xludf.DUMMYFUNCTION("IF('Respuestas de formulario 1'!G2104="""","""",IF(LEFT(REGEXREPLACE(TO_TEXT('Respuestas de formulario 1'!G2104),""[^0-9]"",""""),2)=""54"",""+""&amp;REGEXREPLACE(TO_TEXT('Respuestas de formulario 1'!G2104),""[^0-9]"",""""),""+54""&amp;REGEXREPLACE(TO_TEXT('Respu"&amp;"estas de formulario 1'!G2104),""[^0-9]"","""")))"),"")</f>
        <v/>
      </c>
      <c r="H1991" s="7" t="str">
        <f>'Respuestas de formulario 1'!S2104</f>
        <v/>
      </c>
      <c r="I1991" s="7" t="str">
        <f>IFERROR(__xludf.DUMMYFUNCTION("IF('Respuestas de formulario 1'!I2104="""","""",TO_TEXT('Respuestas de formulario 1'!I2104))"),"")</f>
        <v/>
      </c>
      <c r="J1991" s="7" t="str">
        <f>IFERROR(__xludf.DUMMYFUNCTION("IF('Respuestas de formulario 1'!J2104&lt;&gt;"""",UPPER(TRIM(TO_TEXT('Respuestas de formulario 1'!J2104))),IF('Respuestas de formulario 1'!O2104&lt;&gt;"""",UPPER(TRIM(TO_TEXT('Respuestas de formulario 1'!O2104))),""""))"),"")</f>
        <v/>
      </c>
      <c r="K1991" s="7" t="str">
        <f>IFERROR(__xludf.DUMMYFUNCTION("IF('Respuestas de formulario 1'!K2104="""","""",TO_TEXT('Respuestas de formulario 1'!K2104))"),"")</f>
        <v/>
      </c>
      <c r="L1991" s="7" t="str">
        <f>IFERROR(__xludf.DUMMYFUNCTION("IF('Respuestas de formulario 1'!L2104="""","""",TO_TEXT('Respuestas de formulario 1'!L2104))"),"")</f>
        <v/>
      </c>
      <c r="M1991" s="7" t="str">
        <f>IFERROR(__xludf.DUMMYFUNCTION("IF('Respuestas de formulario 1'!M2104="""","""",TO_TEXT('Respuestas de formulario 1'!M2104))"),"")</f>
        <v/>
      </c>
      <c r="N1991" s="7" t="str">
        <f t="shared" si="1"/>
        <v/>
      </c>
      <c r="O1991" s="7" t="str">
        <f t="shared" si="2"/>
        <v/>
      </c>
      <c r="P1991" s="7"/>
    </row>
    <row r="1992">
      <c r="A1992" s="7" t="str">
        <f>'Respuestas de formulario 1'!A2105</f>
        <v/>
      </c>
      <c r="B1992" s="7" t="str">
        <f>'Respuestas de formulario 1'!B2105</f>
        <v/>
      </c>
      <c r="C1992" s="7" t="str">
        <f>'Respuestas de formulario 1'!C2105</f>
        <v/>
      </c>
      <c r="D1992" s="7" t="str">
        <f>'Respuestas de formulario 1'!D2105</f>
        <v/>
      </c>
      <c r="E1992" s="7" t="str">
        <f>'Respuestas de formulario 1'!E2105</f>
        <v/>
      </c>
      <c r="F1992" s="7" t="str">
        <f>'Respuestas de formulario 1'!F2105</f>
        <v/>
      </c>
      <c r="G1992" s="7" t="str">
        <f>IFERROR(__xludf.DUMMYFUNCTION("IF('Respuestas de formulario 1'!G2105="""","""",IF(LEFT(REGEXREPLACE(TO_TEXT('Respuestas de formulario 1'!G2105),""[^0-9]"",""""),2)=""54"",""+""&amp;REGEXREPLACE(TO_TEXT('Respuestas de formulario 1'!G2105),""[^0-9]"",""""),""+54""&amp;REGEXREPLACE(TO_TEXT('Respu"&amp;"estas de formulario 1'!G2105),""[^0-9]"","""")))"),"")</f>
        <v/>
      </c>
      <c r="H1992" s="7" t="str">
        <f>'Respuestas de formulario 1'!S2105</f>
        <v/>
      </c>
      <c r="I1992" s="7" t="str">
        <f>IFERROR(__xludf.DUMMYFUNCTION("IF('Respuestas de formulario 1'!I2105="""","""",TO_TEXT('Respuestas de formulario 1'!I2105))"),"")</f>
        <v/>
      </c>
      <c r="J1992" s="7" t="str">
        <f>IFERROR(__xludf.DUMMYFUNCTION("IF('Respuestas de formulario 1'!J2105&lt;&gt;"""",UPPER(TRIM(TO_TEXT('Respuestas de formulario 1'!J2105))),IF('Respuestas de formulario 1'!O2105&lt;&gt;"""",UPPER(TRIM(TO_TEXT('Respuestas de formulario 1'!O2105))),""""))"),"")</f>
        <v/>
      </c>
      <c r="K1992" s="7" t="str">
        <f>IFERROR(__xludf.DUMMYFUNCTION("IF('Respuestas de formulario 1'!K2105="""","""",TO_TEXT('Respuestas de formulario 1'!K2105))"),"")</f>
        <v/>
      </c>
      <c r="L1992" s="7" t="str">
        <f>IFERROR(__xludf.DUMMYFUNCTION("IF('Respuestas de formulario 1'!L2105="""","""",TO_TEXT('Respuestas de formulario 1'!L2105))"),"")</f>
        <v/>
      </c>
      <c r="M1992" s="7" t="str">
        <f>IFERROR(__xludf.DUMMYFUNCTION("IF('Respuestas de formulario 1'!M2105="""","""",TO_TEXT('Respuestas de formulario 1'!M2105))"),"")</f>
        <v/>
      </c>
      <c r="N1992" s="7" t="str">
        <f t="shared" si="1"/>
        <v/>
      </c>
      <c r="O1992" s="7" t="str">
        <f t="shared" si="2"/>
        <v/>
      </c>
      <c r="P1992" s="7"/>
    </row>
    <row r="1993">
      <c r="A1993" s="7" t="str">
        <f>'Respuestas de formulario 1'!A2106</f>
        <v/>
      </c>
      <c r="B1993" s="7" t="str">
        <f>'Respuestas de formulario 1'!B2106</f>
        <v/>
      </c>
      <c r="C1993" s="7" t="str">
        <f>'Respuestas de formulario 1'!C2106</f>
        <v/>
      </c>
      <c r="D1993" s="7" t="str">
        <f>'Respuestas de formulario 1'!D2106</f>
        <v/>
      </c>
      <c r="E1993" s="7" t="str">
        <f>'Respuestas de formulario 1'!E2106</f>
        <v/>
      </c>
      <c r="F1993" s="7" t="str">
        <f>'Respuestas de formulario 1'!F2106</f>
        <v/>
      </c>
      <c r="G1993" s="7" t="str">
        <f>IFERROR(__xludf.DUMMYFUNCTION("IF('Respuestas de formulario 1'!G2106="""","""",IF(LEFT(REGEXREPLACE(TO_TEXT('Respuestas de formulario 1'!G2106),""[^0-9]"",""""),2)=""54"",""+""&amp;REGEXREPLACE(TO_TEXT('Respuestas de formulario 1'!G2106),""[^0-9]"",""""),""+54""&amp;REGEXREPLACE(TO_TEXT('Respu"&amp;"estas de formulario 1'!G2106),""[^0-9]"","""")))"),"")</f>
        <v/>
      </c>
      <c r="H1993" s="7" t="str">
        <f>'Respuestas de formulario 1'!S2106</f>
        <v/>
      </c>
      <c r="I1993" s="7" t="str">
        <f>IFERROR(__xludf.DUMMYFUNCTION("IF('Respuestas de formulario 1'!I2106="""","""",TO_TEXT('Respuestas de formulario 1'!I2106))"),"")</f>
        <v/>
      </c>
      <c r="J1993" s="7" t="str">
        <f>IFERROR(__xludf.DUMMYFUNCTION("IF('Respuestas de formulario 1'!J2106&lt;&gt;"""",UPPER(TRIM(TO_TEXT('Respuestas de formulario 1'!J2106))),IF('Respuestas de formulario 1'!O2106&lt;&gt;"""",UPPER(TRIM(TO_TEXT('Respuestas de formulario 1'!O2106))),""""))"),"")</f>
        <v/>
      </c>
      <c r="K1993" s="7" t="str">
        <f>IFERROR(__xludf.DUMMYFUNCTION("IF('Respuestas de formulario 1'!K2106="""","""",TO_TEXT('Respuestas de formulario 1'!K2106))"),"")</f>
        <v/>
      </c>
      <c r="L1993" s="7" t="str">
        <f>IFERROR(__xludf.DUMMYFUNCTION("IF('Respuestas de formulario 1'!L2106="""","""",TO_TEXT('Respuestas de formulario 1'!L2106))"),"")</f>
        <v/>
      </c>
      <c r="M1993" s="7" t="str">
        <f>IFERROR(__xludf.DUMMYFUNCTION("IF('Respuestas de formulario 1'!M2106="""","""",TO_TEXT('Respuestas de formulario 1'!M2106))"),"")</f>
        <v/>
      </c>
      <c r="N1993" s="7" t="str">
        <f t="shared" si="1"/>
        <v/>
      </c>
      <c r="O1993" s="7" t="str">
        <f t="shared" si="2"/>
        <v/>
      </c>
      <c r="P1993" s="7"/>
    </row>
    <row r="1994">
      <c r="A1994" s="7" t="str">
        <f>'Respuestas de formulario 1'!A2107</f>
        <v/>
      </c>
      <c r="B1994" s="7" t="str">
        <f>'Respuestas de formulario 1'!B2107</f>
        <v/>
      </c>
      <c r="C1994" s="7" t="str">
        <f>'Respuestas de formulario 1'!C2107</f>
        <v/>
      </c>
      <c r="D1994" s="7" t="str">
        <f>'Respuestas de formulario 1'!D2107</f>
        <v/>
      </c>
      <c r="E1994" s="7" t="str">
        <f>'Respuestas de formulario 1'!E2107</f>
        <v/>
      </c>
      <c r="F1994" s="7" t="str">
        <f>'Respuestas de formulario 1'!F2107</f>
        <v/>
      </c>
      <c r="G1994" s="7" t="str">
        <f>IFERROR(__xludf.DUMMYFUNCTION("IF('Respuestas de formulario 1'!G2107="""","""",IF(LEFT(REGEXREPLACE(TO_TEXT('Respuestas de formulario 1'!G2107),""[^0-9]"",""""),2)=""54"",""+""&amp;REGEXREPLACE(TO_TEXT('Respuestas de formulario 1'!G2107),""[^0-9]"",""""),""+54""&amp;REGEXREPLACE(TO_TEXT('Respu"&amp;"estas de formulario 1'!G2107),""[^0-9]"","""")))"),"")</f>
        <v/>
      </c>
      <c r="H1994" s="7" t="str">
        <f>'Respuestas de formulario 1'!S2107</f>
        <v/>
      </c>
      <c r="I1994" s="7" t="str">
        <f>IFERROR(__xludf.DUMMYFUNCTION("IF('Respuestas de formulario 1'!I2107="""","""",TO_TEXT('Respuestas de formulario 1'!I2107))"),"")</f>
        <v/>
      </c>
      <c r="J1994" s="7" t="str">
        <f>IFERROR(__xludf.DUMMYFUNCTION("IF('Respuestas de formulario 1'!J2107&lt;&gt;"""",UPPER(TRIM(TO_TEXT('Respuestas de formulario 1'!J2107))),IF('Respuestas de formulario 1'!O2107&lt;&gt;"""",UPPER(TRIM(TO_TEXT('Respuestas de formulario 1'!O2107))),""""))"),"")</f>
        <v/>
      </c>
      <c r="K1994" s="7" t="str">
        <f>IFERROR(__xludf.DUMMYFUNCTION("IF('Respuestas de formulario 1'!K2107="""","""",TO_TEXT('Respuestas de formulario 1'!K2107))"),"")</f>
        <v/>
      </c>
      <c r="L1994" s="7" t="str">
        <f>IFERROR(__xludf.DUMMYFUNCTION("IF('Respuestas de formulario 1'!L2107="""","""",TO_TEXT('Respuestas de formulario 1'!L2107))"),"")</f>
        <v/>
      </c>
      <c r="M1994" s="7" t="str">
        <f>IFERROR(__xludf.DUMMYFUNCTION("IF('Respuestas de formulario 1'!M2107="""","""",TO_TEXT('Respuestas de formulario 1'!M2107))"),"")</f>
        <v/>
      </c>
      <c r="N1994" s="7" t="str">
        <f t="shared" si="1"/>
        <v/>
      </c>
      <c r="O1994" s="7" t="str">
        <f t="shared" si="2"/>
        <v/>
      </c>
      <c r="P1994" s="7"/>
    </row>
    <row r="1995">
      <c r="A1995" s="7" t="str">
        <f>'Respuestas de formulario 1'!A2108</f>
        <v/>
      </c>
      <c r="B1995" s="7" t="str">
        <f>'Respuestas de formulario 1'!B2108</f>
        <v/>
      </c>
      <c r="C1995" s="7" t="str">
        <f>'Respuestas de formulario 1'!C2108</f>
        <v/>
      </c>
      <c r="D1995" s="7" t="str">
        <f>'Respuestas de formulario 1'!D2108</f>
        <v/>
      </c>
      <c r="E1995" s="7" t="str">
        <f>'Respuestas de formulario 1'!E2108</f>
        <v/>
      </c>
      <c r="F1995" s="7" t="str">
        <f>'Respuestas de formulario 1'!F2108</f>
        <v/>
      </c>
      <c r="G1995" s="7" t="str">
        <f>IFERROR(__xludf.DUMMYFUNCTION("IF('Respuestas de formulario 1'!G2108="""","""",IF(LEFT(REGEXREPLACE(TO_TEXT('Respuestas de formulario 1'!G2108),""[^0-9]"",""""),2)=""54"",""+""&amp;REGEXREPLACE(TO_TEXT('Respuestas de formulario 1'!G2108),""[^0-9]"",""""),""+54""&amp;REGEXREPLACE(TO_TEXT('Respu"&amp;"estas de formulario 1'!G2108),""[^0-9]"","""")))"),"")</f>
        <v/>
      </c>
      <c r="H1995" s="7" t="str">
        <f>'Respuestas de formulario 1'!S2108</f>
        <v/>
      </c>
      <c r="I1995" s="7" t="str">
        <f>IFERROR(__xludf.DUMMYFUNCTION("IF('Respuestas de formulario 1'!I2108="""","""",TO_TEXT('Respuestas de formulario 1'!I2108))"),"")</f>
        <v/>
      </c>
      <c r="J1995" s="7" t="str">
        <f>IFERROR(__xludf.DUMMYFUNCTION("IF('Respuestas de formulario 1'!J2108&lt;&gt;"""",UPPER(TRIM(TO_TEXT('Respuestas de formulario 1'!J2108))),IF('Respuestas de formulario 1'!O2108&lt;&gt;"""",UPPER(TRIM(TO_TEXT('Respuestas de formulario 1'!O2108))),""""))"),"")</f>
        <v/>
      </c>
      <c r="K1995" s="7" t="str">
        <f>IFERROR(__xludf.DUMMYFUNCTION("IF('Respuestas de formulario 1'!K2108="""","""",TO_TEXT('Respuestas de formulario 1'!K2108))"),"")</f>
        <v/>
      </c>
      <c r="L1995" s="7" t="str">
        <f>IFERROR(__xludf.DUMMYFUNCTION("IF('Respuestas de formulario 1'!L2108="""","""",TO_TEXT('Respuestas de formulario 1'!L2108))"),"")</f>
        <v/>
      </c>
      <c r="M1995" s="7" t="str">
        <f>IFERROR(__xludf.DUMMYFUNCTION("IF('Respuestas de formulario 1'!M2108="""","""",TO_TEXT('Respuestas de formulario 1'!M2108))"),"")</f>
        <v/>
      </c>
      <c r="N1995" s="7" t="str">
        <f t="shared" si="1"/>
        <v/>
      </c>
      <c r="O1995" s="7" t="str">
        <f t="shared" si="2"/>
        <v/>
      </c>
      <c r="P1995" s="7"/>
    </row>
    <row r="1996">
      <c r="A1996" s="7" t="str">
        <f>'Respuestas de formulario 1'!A2109</f>
        <v/>
      </c>
      <c r="B1996" s="7" t="str">
        <f>'Respuestas de formulario 1'!B2109</f>
        <v/>
      </c>
      <c r="C1996" s="7" t="str">
        <f>'Respuestas de formulario 1'!C2109</f>
        <v/>
      </c>
      <c r="D1996" s="7" t="str">
        <f>'Respuestas de formulario 1'!D2109</f>
        <v/>
      </c>
      <c r="E1996" s="7" t="str">
        <f>'Respuestas de formulario 1'!E2109</f>
        <v/>
      </c>
      <c r="F1996" s="7" t="str">
        <f>'Respuestas de formulario 1'!F2109</f>
        <v/>
      </c>
      <c r="G1996" s="7" t="str">
        <f>IFERROR(__xludf.DUMMYFUNCTION("IF('Respuestas de formulario 1'!G2109="""","""",IF(LEFT(REGEXREPLACE(TO_TEXT('Respuestas de formulario 1'!G2109),""[^0-9]"",""""),2)=""54"",""+""&amp;REGEXREPLACE(TO_TEXT('Respuestas de formulario 1'!G2109),""[^0-9]"",""""),""+54""&amp;REGEXREPLACE(TO_TEXT('Respu"&amp;"estas de formulario 1'!G2109),""[^0-9]"","""")))"),"")</f>
        <v/>
      </c>
      <c r="H1996" s="7" t="str">
        <f>'Respuestas de formulario 1'!S2109</f>
        <v/>
      </c>
      <c r="I1996" s="7" t="str">
        <f>IFERROR(__xludf.DUMMYFUNCTION("IF('Respuestas de formulario 1'!I2109="""","""",TO_TEXT('Respuestas de formulario 1'!I2109))"),"")</f>
        <v/>
      </c>
      <c r="J1996" s="7" t="str">
        <f>IFERROR(__xludf.DUMMYFUNCTION("IF('Respuestas de formulario 1'!J2109&lt;&gt;"""",UPPER(TRIM(TO_TEXT('Respuestas de formulario 1'!J2109))),IF('Respuestas de formulario 1'!O2109&lt;&gt;"""",UPPER(TRIM(TO_TEXT('Respuestas de formulario 1'!O2109))),""""))"),"")</f>
        <v/>
      </c>
      <c r="K1996" s="7" t="str">
        <f>IFERROR(__xludf.DUMMYFUNCTION("IF('Respuestas de formulario 1'!K2109="""","""",TO_TEXT('Respuestas de formulario 1'!K2109))"),"")</f>
        <v/>
      </c>
      <c r="L1996" s="7" t="str">
        <f>IFERROR(__xludf.DUMMYFUNCTION("IF('Respuestas de formulario 1'!L2109="""","""",TO_TEXT('Respuestas de formulario 1'!L2109))"),"")</f>
        <v/>
      </c>
      <c r="M1996" s="7" t="str">
        <f>IFERROR(__xludf.DUMMYFUNCTION("IF('Respuestas de formulario 1'!M2109="""","""",TO_TEXT('Respuestas de formulario 1'!M2109))"),"")</f>
        <v/>
      </c>
      <c r="N1996" s="7" t="str">
        <f t="shared" si="1"/>
        <v/>
      </c>
      <c r="O1996" s="7" t="str">
        <f t="shared" si="2"/>
        <v/>
      </c>
      <c r="P1996" s="7"/>
    </row>
    <row r="1997">
      <c r="A1997" s="7" t="str">
        <f>'Respuestas de formulario 1'!A2110</f>
        <v/>
      </c>
      <c r="B1997" s="7" t="str">
        <f>'Respuestas de formulario 1'!B2110</f>
        <v/>
      </c>
      <c r="C1997" s="7" t="str">
        <f>'Respuestas de formulario 1'!C2110</f>
        <v/>
      </c>
      <c r="D1997" s="7" t="str">
        <f>'Respuestas de formulario 1'!D2110</f>
        <v/>
      </c>
      <c r="E1997" s="7" t="str">
        <f>'Respuestas de formulario 1'!E2110</f>
        <v/>
      </c>
      <c r="F1997" s="7" t="str">
        <f>'Respuestas de formulario 1'!F2110</f>
        <v/>
      </c>
      <c r="G1997" s="7" t="str">
        <f>IFERROR(__xludf.DUMMYFUNCTION("IF('Respuestas de formulario 1'!G2110="""","""",IF(LEFT(REGEXREPLACE(TO_TEXT('Respuestas de formulario 1'!G2110),""[^0-9]"",""""),2)=""54"",""+""&amp;REGEXREPLACE(TO_TEXT('Respuestas de formulario 1'!G2110),""[^0-9]"",""""),""+54""&amp;REGEXREPLACE(TO_TEXT('Respu"&amp;"estas de formulario 1'!G2110),""[^0-9]"","""")))"),"")</f>
        <v/>
      </c>
      <c r="H1997" s="7" t="str">
        <f>'Respuestas de formulario 1'!S2110</f>
        <v/>
      </c>
      <c r="I1997" s="7" t="str">
        <f>IFERROR(__xludf.DUMMYFUNCTION("IF('Respuestas de formulario 1'!I2110="""","""",TO_TEXT('Respuestas de formulario 1'!I2110))"),"")</f>
        <v/>
      </c>
      <c r="J1997" s="7" t="str">
        <f>IFERROR(__xludf.DUMMYFUNCTION("IF('Respuestas de formulario 1'!J2110&lt;&gt;"""",UPPER(TRIM(TO_TEXT('Respuestas de formulario 1'!J2110))),IF('Respuestas de formulario 1'!O2110&lt;&gt;"""",UPPER(TRIM(TO_TEXT('Respuestas de formulario 1'!O2110))),""""))"),"")</f>
        <v/>
      </c>
      <c r="K1997" s="7" t="str">
        <f>IFERROR(__xludf.DUMMYFUNCTION("IF('Respuestas de formulario 1'!K2110="""","""",TO_TEXT('Respuestas de formulario 1'!K2110))"),"")</f>
        <v/>
      </c>
      <c r="L1997" s="7" t="str">
        <f>IFERROR(__xludf.DUMMYFUNCTION("IF('Respuestas de formulario 1'!L2110="""","""",TO_TEXT('Respuestas de formulario 1'!L2110))"),"")</f>
        <v/>
      </c>
      <c r="M1997" s="7" t="str">
        <f>IFERROR(__xludf.DUMMYFUNCTION("IF('Respuestas de formulario 1'!M2110="""","""",TO_TEXT('Respuestas de formulario 1'!M2110))"),"")</f>
        <v/>
      </c>
      <c r="N1997" s="7" t="str">
        <f t="shared" si="1"/>
        <v/>
      </c>
      <c r="O1997" s="7" t="str">
        <f t="shared" si="2"/>
        <v/>
      </c>
      <c r="P1997" s="7"/>
    </row>
    <row r="1998">
      <c r="A1998" s="7" t="str">
        <f>'Respuestas de formulario 1'!A2111</f>
        <v/>
      </c>
      <c r="B1998" s="7" t="str">
        <f>'Respuestas de formulario 1'!B2111</f>
        <v/>
      </c>
      <c r="C1998" s="7" t="str">
        <f>'Respuestas de formulario 1'!C2111</f>
        <v/>
      </c>
      <c r="D1998" s="7" t="str">
        <f>'Respuestas de formulario 1'!D2111</f>
        <v/>
      </c>
      <c r="E1998" s="7" t="str">
        <f>'Respuestas de formulario 1'!E2111</f>
        <v/>
      </c>
      <c r="F1998" s="7" t="str">
        <f>'Respuestas de formulario 1'!F2111</f>
        <v/>
      </c>
      <c r="G1998" s="7" t="str">
        <f>IFERROR(__xludf.DUMMYFUNCTION("IF('Respuestas de formulario 1'!G2111="""","""",IF(LEFT(REGEXREPLACE(TO_TEXT('Respuestas de formulario 1'!G2111),""[^0-9]"",""""),2)=""54"",""+""&amp;REGEXREPLACE(TO_TEXT('Respuestas de formulario 1'!G2111),""[^0-9]"",""""),""+54""&amp;REGEXREPLACE(TO_TEXT('Respu"&amp;"estas de formulario 1'!G2111),""[^0-9]"","""")))"),"")</f>
        <v/>
      </c>
      <c r="H1998" s="7" t="str">
        <f>'Respuestas de formulario 1'!S2111</f>
        <v/>
      </c>
      <c r="I1998" s="7" t="str">
        <f>IFERROR(__xludf.DUMMYFUNCTION("IF('Respuestas de formulario 1'!I2111="""","""",TO_TEXT('Respuestas de formulario 1'!I2111))"),"")</f>
        <v/>
      </c>
      <c r="J1998" s="7" t="str">
        <f>IFERROR(__xludf.DUMMYFUNCTION("IF('Respuestas de formulario 1'!J2111&lt;&gt;"""",UPPER(TRIM(TO_TEXT('Respuestas de formulario 1'!J2111))),IF('Respuestas de formulario 1'!O2111&lt;&gt;"""",UPPER(TRIM(TO_TEXT('Respuestas de formulario 1'!O2111))),""""))"),"")</f>
        <v/>
      </c>
      <c r="K1998" s="7" t="str">
        <f>IFERROR(__xludf.DUMMYFUNCTION("IF('Respuestas de formulario 1'!K2111="""","""",TO_TEXT('Respuestas de formulario 1'!K2111))"),"")</f>
        <v/>
      </c>
      <c r="L1998" s="7" t="str">
        <f>IFERROR(__xludf.DUMMYFUNCTION("IF('Respuestas de formulario 1'!L2111="""","""",TO_TEXT('Respuestas de formulario 1'!L2111))"),"")</f>
        <v/>
      </c>
      <c r="M1998" s="7" t="str">
        <f>IFERROR(__xludf.DUMMYFUNCTION("IF('Respuestas de formulario 1'!M2111="""","""",TO_TEXT('Respuestas de formulario 1'!M2111))"),"")</f>
        <v/>
      </c>
      <c r="N1998" s="7" t="str">
        <f t="shared" si="1"/>
        <v/>
      </c>
      <c r="O1998" s="7" t="str">
        <f t="shared" si="2"/>
        <v/>
      </c>
      <c r="P1998" s="7"/>
    </row>
    <row r="1999">
      <c r="A1999" s="7" t="str">
        <f>'Respuestas de formulario 1'!A2115</f>
        <v/>
      </c>
      <c r="B1999" s="7" t="str">
        <f>'Respuestas de formulario 1'!B2113</f>
        <v/>
      </c>
      <c r="C1999" s="7" t="str">
        <f>'Respuestas de formulario 1'!C2113</f>
        <v/>
      </c>
      <c r="D1999" s="7" t="str">
        <f>'Respuestas de formulario 1'!D2113</f>
        <v/>
      </c>
      <c r="E1999" s="7" t="str">
        <f>'Respuestas de formulario 1'!E2113</f>
        <v/>
      </c>
      <c r="F1999" s="7" t="str">
        <f>'Respuestas de formulario 1'!F2113</f>
        <v/>
      </c>
      <c r="G1999" s="7" t="str">
        <f>IFERROR(__xludf.DUMMYFUNCTION("IF('Respuestas de formulario 1'!G2113="""","""",IF(LEFT(REGEXREPLACE(TO_TEXT('Respuestas de formulario 1'!G2113),""[^0-9]"",""""),2)=""54"",""+""&amp;REGEXREPLACE(TO_TEXT('Respuestas de formulario 1'!G2113),""[^0-9]"",""""),""+54""&amp;REGEXREPLACE(TO_TEXT('Respu"&amp;"estas de formulario 1'!G2113),""[^0-9]"","""")))"),"")</f>
        <v/>
      </c>
      <c r="H1999" s="7" t="str">
        <f>'Respuestas de formulario 1'!S2113</f>
        <v/>
      </c>
      <c r="I1999" s="7" t="str">
        <f>IFERROR(__xludf.DUMMYFUNCTION("IF('Respuestas de formulario 1'!I2113="""","""",TO_TEXT('Respuestas de formulario 1'!I2113))"),"")</f>
        <v/>
      </c>
      <c r="J1999" s="7" t="str">
        <f>IFERROR(__xludf.DUMMYFUNCTION("IF('Respuestas de formulario 1'!J2113&lt;&gt;"""",UPPER(TRIM(TO_TEXT('Respuestas de formulario 1'!J2113))),IF('Respuestas de formulario 1'!O2113&lt;&gt;"""",UPPER(TRIM(TO_TEXT('Respuestas de formulario 1'!O2113))),""""))"),"")</f>
        <v/>
      </c>
      <c r="K1999" s="7" t="str">
        <f>IFERROR(__xludf.DUMMYFUNCTION("IF('Respuestas de formulario 1'!K2113="""","""",TO_TEXT('Respuestas de formulario 1'!K2113))"),"")</f>
        <v/>
      </c>
      <c r="L1999" s="7" t="str">
        <f>IFERROR(__xludf.DUMMYFUNCTION("IF('Respuestas de formulario 1'!L2113="""","""",TO_TEXT('Respuestas de formulario 1'!L2113))"),"")</f>
        <v/>
      </c>
      <c r="M1999" s="7" t="str">
        <f>IFERROR(__xludf.DUMMYFUNCTION("IF('Respuestas de formulario 1'!M2113="""","""",TO_TEXT('Respuestas de formulario 1'!M2113))"),"")</f>
        <v/>
      </c>
      <c r="N1999" s="7" t="str">
        <f t="shared" si="1"/>
        <v/>
      </c>
      <c r="O1999" s="7" t="str">
        <f t="shared" si="2"/>
        <v/>
      </c>
      <c r="P1999" s="7"/>
    </row>
    <row r="2000">
      <c r="B2000" s="7" t="str">
        <f>'Respuestas de formulario 1'!B2114</f>
        <v/>
      </c>
      <c r="C2000" s="7" t="str">
        <f>'Respuestas de formulario 1'!C2114</f>
        <v/>
      </c>
      <c r="D2000" s="7" t="str">
        <f>'Respuestas de formulario 1'!D2114</f>
        <v/>
      </c>
      <c r="E2000" s="7" t="str">
        <f>'Respuestas de formulario 1'!E2114</f>
        <v/>
      </c>
      <c r="F2000" s="7" t="str">
        <f>'Respuestas de formulario 1'!F2114</f>
        <v/>
      </c>
      <c r="G2000" s="7" t="str">
        <f>IFERROR(__xludf.DUMMYFUNCTION("IF('Respuestas de formulario 1'!G2114="""","""",IF(LEFT(REGEXREPLACE(TO_TEXT('Respuestas de formulario 1'!G2114),""[^0-9]"",""""),2)=""54"",""+""&amp;REGEXREPLACE(TO_TEXT('Respuestas de formulario 1'!G2114),""[^0-9]"",""""),""+54""&amp;REGEXREPLACE(TO_TEXT('Respu"&amp;"estas de formulario 1'!G2114),""[^0-9]"","""")))"),"")</f>
        <v/>
      </c>
      <c r="H2000" s="7" t="str">
        <f>'Respuestas de formulario 1'!S2114</f>
        <v/>
      </c>
      <c r="I2000" s="7" t="str">
        <f>IFERROR(__xludf.DUMMYFUNCTION("IF('Respuestas de formulario 1'!I2114="""","""",TO_TEXT('Respuestas de formulario 1'!I2114))"),"")</f>
        <v/>
      </c>
      <c r="J2000" s="7" t="str">
        <f>IFERROR(__xludf.DUMMYFUNCTION("IF('Respuestas de formulario 1'!J2114&lt;&gt;"""",UPPER(TRIM(TO_TEXT('Respuestas de formulario 1'!J2114))),IF('Respuestas de formulario 1'!O2114&lt;&gt;"""",UPPER(TRIM(TO_TEXT('Respuestas de formulario 1'!O2114))),""""))"),"")</f>
        <v/>
      </c>
      <c r="K2000" s="7" t="str">
        <f>IFERROR(__xludf.DUMMYFUNCTION("IF('Respuestas de formulario 1'!K2114="""","""",TO_TEXT('Respuestas de formulario 1'!K2114))"),"")</f>
        <v/>
      </c>
      <c r="L2000" s="7" t="str">
        <f>IFERROR(__xludf.DUMMYFUNCTION("IF('Respuestas de formulario 1'!L2114="""","""",TO_TEXT('Respuestas de formulario 1'!L2114))"),"")</f>
        <v/>
      </c>
      <c r="M2000" s="7" t="str">
        <f>IFERROR(__xludf.DUMMYFUNCTION("IF('Respuestas de formulario 1'!M2114="""","""",TO_TEXT('Respuestas de formulario 1'!M2114))"),"")</f>
        <v/>
      </c>
      <c r="N2000" s="7" t="str">
        <f t="shared" si="1"/>
        <v/>
      </c>
      <c r="O2000" s="7" t="str">
        <f t="shared" si="2"/>
        <v/>
      </c>
      <c r="P2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</cols>
  <sheetData>
    <row r="1">
      <c r="A1" s="7" t="s">
        <v>7</v>
      </c>
      <c r="B1" s="3" t="s">
        <v>7207</v>
      </c>
    </row>
    <row r="2">
      <c r="A2" s="3" t="s">
        <v>21</v>
      </c>
      <c r="B2" s="3" t="s">
        <v>7215</v>
      </c>
    </row>
    <row r="3">
      <c r="A3" s="3" t="s">
        <v>27</v>
      </c>
      <c r="B3" s="3" t="s">
        <v>7216</v>
      </c>
    </row>
    <row r="4">
      <c r="A4" s="3" t="s">
        <v>38</v>
      </c>
      <c r="B4" s="3" t="s">
        <v>7216</v>
      </c>
    </row>
    <row r="5">
      <c r="A5" s="3" t="s">
        <v>44</v>
      </c>
      <c r="B5" s="3" t="s">
        <v>7217</v>
      </c>
    </row>
    <row r="6">
      <c r="A6" s="3" t="s">
        <v>64</v>
      </c>
      <c r="B6" s="3" t="s">
        <v>7216</v>
      </c>
    </row>
    <row r="7">
      <c r="A7" s="3" t="s">
        <v>148</v>
      </c>
      <c r="B7" s="3" t="s">
        <v>7218</v>
      </c>
    </row>
    <row r="8">
      <c r="A8" s="3" t="s">
        <v>189</v>
      </c>
      <c r="B8" s="3" t="s">
        <v>7216</v>
      </c>
    </row>
    <row r="9">
      <c r="A9" s="3" t="s">
        <v>210</v>
      </c>
      <c r="B9" s="3" t="s">
        <v>7215</v>
      </c>
    </row>
    <row r="10">
      <c r="A10" s="3" t="s">
        <v>244</v>
      </c>
      <c r="B10" s="3" t="s">
        <v>7219</v>
      </c>
    </row>
    <row r="11">
      <c r="A11" s="3" t="s">
        <v>339</v>
      </c>
      <c r="B11" s="3" t="s">
        <v>7219</v>
      </c>
    </row>
    <row r="12">
      <c r="A12" s="3" t="s">
        <v>393</v>
      </c>
      <c r="B12" s="3" t="s">
        <v>7216</v>
      </c>
    </row>
    <row r="13">
      <c r="A13" s="3" t="s">
        <v>415</v>
      </c>
      <c r="B13" s="3" t="s">
        <v>7215</v>
      </c>
    </row>
    <row r="14">
      <c r="A14" s="3" t="s">
        <v>425</v>
      </c>
      <c r="B14" s="3" t="s">
        <v>7216</v>
      </c>
    </row>
    <row r="15">
      <c r="A15" s="3" t="s">
        <v>463</v>
      </c>
      <c r="B15" s="3" t="s">
        <v>7216</v>
      </c>
    </row>
    <row r="16">
      <c r="A16" s="3" t="s">
        <v>471</v>
      </c>
      <c r="B16" s="3" t="s">
        <v>7216</v>
      </c>
    </row>
    <row r="17">
      <c r="A17" s="3" t="s">
        <v>635</v>
      </c>
      <c r="B17" s="3" t="s">
        <v>7215</v>
      </c>
    </row>
    <row r="18">
      <c r="A18" s="3" t="s">
        <v>650</v>
      </c>
      <c r="B18" s="3" t="s">
        <v>7216</v>
      </c>
    </row>
    <row r="19">
      <c r="A19" s="3" t="s">
        <v>717</v>
      </c>
      <c r="B19" s="3" t="s">
        <v>7216</v>
      </c>
    </row>
    <row r="20">
      <c r="A20" s="3" t="s">
        <v>846</v>
      </c>
      <c r="B20" s="3" t="s">
        <v>7216</v>
      </c>
    </row>
    <row r="21">
      <c r="A21" s="3" t="s">
        <v>885</v>
      </c>
      <c r="B21" s="3" t="s">
        <v>7215</v>
      </c>
    </row>
    <row r="22">
      <c r="A22" s="3" t="s">
        <v>939</v>
      </c>
      <c r="B22" s="3" t="s">
        <v>7216</v>
      </c>
    </row>
    <row r="23">
      <c r="A23" s="3" t="s">
        <v>953</v>
      </c>
      <c r="B23" s="3" t="s">
        <v>7216</v>
      </c>
    </row>
    <row r="24">
      <c r="A24" s="3" t="s">
        <v>1045</v>
      </c>
      <c r="B24" s="3" t="s">
        <v>7216</v>
      </c>
    </row>
    <row r="25">
      <c r="A25" s="3" t="s">
        <v>1119</v>
      </c>
      <c r="B25" s="3" t="s">
        <v>7215</v>
      </c>
    </row>
    <row r="26">
      <c r="A26" s="3" t="s">
        <v>1251</v>
      </c>
      <c r="B26" s="3" t="s">
        <v>7217</v>
      </c>
    </row>
    <row r="27">
      <c r="A27" s="3" t="s">
        <v>1275</v>
      </c>
      <c r="B27" s="3" t="s">
        <v>7216</v>
      </c>
    </row>
    <row r="28">
      <c r="A28" s="3" t="s">
        <v>1463</v>
      </c>
      <c r="B28" s="3" t="s">
        <v>7216</v>
      </c>
    </row>
    <row r="29">
      <c r="A29" s="3" t="s">
        <v>1505</v>
      </c>
      <c r="B29" s="3" t="s">
        <v>7216</v>
      </c>
    </row>
    <row r="30">
      <c r="A30" s="3" t="s">
        <v>1525</v>
      </c>
      <c r="B30" s="3" t="s">
        <v>7216</v>
      </c>
    </row>
    <row r="31">
      <c r="A31" s="3" t="s">
        <v>1600</v>
      </c>
      <c r="B31" s="3" t="s">
        <v>7216</v>
      </c>
    </row>
    <row r="32">
      <c r="A32" s="3" t="s">
        <v>1708</v>
      </c>
      <c r="B32" s="3" t="s">
        <v>7217</v>
      </c>
    </row>
    <row r="33">
      <c r="A33" s="3" t="s">
        <v>1736</v>
      </c>
      <c r="B33" s="3" t="s">
        <v>7216</v>
      </c>
    </row>
    <row r="34">
      <c r="A34" s="3" t="s">
        <v>236</v>
      </c>
      <c r="B34" s="3" t="s">
        <v>7216</v>
      </c>
    </row>
    <row r="35">
      <c r="A35" s="3" t="s">
        <v>1775</v>
      </c>
      <c r="B35" s="3" t="s">
        <v>7216</v>
      </c>
    </row>
    <row r="36">
      <c r="A36" s="3" t="s">
        <v>2017</v>
      </c>
      <c r="B36" s="3" t="s">
        <v>7216</v>
      </c>
    </row>
    <row r="37">
      <c r="A37" s="3" t="s">
        <v>2033</v>
      </c>
      <c r="B37" s="3" t="s">
        <v>7216</v>
      </c>
    </row>
    <row r="38">
      <c r="A38" s="3" t="s">
        <v>2048</v>
      </c>
      <c r="B38" s="3" t="s">
        <v>7216</v>
      </c>
    </row>
    <row r="39">
      <c r="A39" s="3" t="s">
        <v>2066</v>
      </c>
      <c r="B39" s="3" t="s">
        <v>7216</v>
      </c>
    </row>
    <row r="40">
      <c r="A40" s="3" t="s">
        <v>2090</v>
      </c>
      <c r="B40" s="3" t="s">
        <v>7216</v>
      </c>
    </row>
    <row r="41">
      <c r="A41" s="3" t="s">
        <v>2117</v>
      </c>
      <c r="B41" s="3" t="s">
        <v>7216</v>
      </c>
    </row>
    <row r="42">
      <c r="A42" s="3" t="s">
        <v>2160</v>
      </c>
      <c r="B42" s="3" t="s">
        <v>7216</v>
      </c>
    </row>
    <row r="43">
      <c r="A43" s="3" t="s">
        <v>2168</v>
      </c>
      <c r="B43" s="3" t="s">
        <v>7216</v>
      </c>
    </row>
    <row r="44">
      <c r="A44" s="3" t="s">
        <v>2184</v>
      </c>
      <c r="B44" s="3" t="s">
        <v>7217</v>
      </c>
    </row>
    <row r="45">
      <c r="A45" s="3" t="s">
        <v>2188</v>
      </c>
      <c r="B45" s="3" t="s">
        <v>7216</v>
      </c>
    </row>
    <row r="46">
      <c r="A46" s="3" t="s">
        <v>2229</v>
      </c>
      <c r="B46" s="3" t="s">
        <v>7216</v>
      </c>
    </row>
    <row r="47">
      <c r="A47" s="3" t="s">
        <v>2381</v>
      </c>
      <c r="B47" s="3" t="s">
        <v>7216</v>
      </c>
    </row>
    <row r="48">
      <c r="A48" s="3" t="s">
        <v>2407</v>
      </c>
      <c r="B48" s="3" t="s">
        <v>7216</v>
      </c>
    </row>
    <row r="49">
      <c r="A49" s="3" t="s">
        <v>2558</v>
      </c>
      <c r="B49" s="3" t="s">
        <v>7216</v>
      </c>
    </row>
    <row r="50">
      <c r="A50" s="3" t="s">
        <v>2663</v>
      </c>
      <c r="B50" s="3" t="s">
        <v>7216</v>
      </c>
    </row>
    <row r="51">
      <c r="A51" s="3" t="s">
        <v>2783</v>
      </c>
      <c r="B51" s="3" t="s">
        <v>7217</v>
      </c>
    </row>
    <row r="52">
      <c r="A52" s="3" t="s">
        <v>2822</v>
      </c>
      <c r="B52" s="3" t="s">
        <v>7215</v>
      </c>
    </row>
    <row r="53">
      <c r="A53" s="3" t="s">
        <v>2878</v>
      </c>
      <c r="B53" s="3" t="s">
        <v>7216</v>
      </c>
    </row>
    <row r="54">
      <c r="A54" s="3" t="s">
        <v>2978</v>
      </c>
      <c r="B54" s="3" t="s">
        <v>7216</v>
      </c>
    </row>
    <row r="55">
      <c r="A55" s="3" t="s">
        <v>3020</v>
      </c>
      <c r="B55" s="3" t="s">
        <v>7216</v>
      </c>
    </row>
    <row r="56">
      <c r="A56" s="3" t="s">
        <v>3116</v>
      </c>
      <c r="B56" s="3" t="s">
        <v>7217</v>
      </c>
    </row>
    <row r="57">
      <c r="A57" s="3" t="s">
        <v>3136</v>
      </c>
      <c r="B57" s="3" t="s">
        <v>7217</v>
      </c>
    </row>
    <row r="58">
      <c r="A58" s="3" t="s">
        <v>3153</v>
      </c>
      <c r="B58" s="3" t="s">
        <v>7218</v>
      </c>
    </row>
    <row r="59">
      <c r="A59" s="3" t="s">
        <v>3178</v>
      </c>
      <c r="B59" s="3" t="s">
        <v>7216</v>
      </c>
    </row>
    <row r="60">
      <c r="A60" s="3" t="s">
        <v>3181</v>
      </c>
      <c r="B60" s="3" t="s">
        <v>7217</v>
      </c>
    </row>
    <row r="61">
      <c r="A61" s="3" t="s">
        <v>3186</v>
      </c>
      <c r="B61" s="3" t="s">
        <v>7216</v>
      </c>
    </row>
    <row r="62">
      <c r="A62" s="3" t="s">
        <v>3226</v>
      </c>
      <c r="B62" s="3" t="s">
        <v>7217</v>
      </c>
    </row>
    <row r="63">
      <c r="A63" s="3" t="s">
        <v>3240</v>
      </c>
      <c r="B63" s="3" t="s">
        <v>7216</v>
      </c>
    </row>
    <row r="64">
      <c r="A64" s="3" t="s">
        <v>3281</v>
      </c>
      <c r="B64" s="3" t="s">
        <v>7216</v>
      </c>
    </row>
    <row r="65">
      <c r="A65" s="3" t="s">
        <v>3293</v>
      </c>
      <c r="B65" s="3" t="s">
        <v>7216</v>
      </c>
    </row>
    <row r="66">
      <c r="A66" s="3" t="s">
        <v>3297</v>
      </c>
      <c r="B66" s="3" t="s">
        <v>7216</v>
      </c>
    </row>
    <row r="67">
      <c r="A67" s="3" t="s">
        <v>3309</v>
      </c>
      <c r="B67" s="3" t="s">
        <v>7216</v>
      </c>
    </row>
    <row r="68">
      <c r="A68" s="3" t="s">
        <v>3335</v>
      </c>
      <c r="B68" s="3" t="s">
        <v>7216</v>
      </c>
    </row>
    <row r="69">
      <c r="A69" s="3" t="s">
        <v>3538</v>
      </c>
      <c r="B69" s="3" t="s">
        <v>7217</v>
      </c>
    </row>
    <row r="70">
      <c r="A70" s="3" t="s">
        <v>3606</v>
      </c>
      <c r="B70" s="3" t="s">
        <v>7217</v>
      </c>
    </row>
    <row r="71">
      <c r="A71" s="3" t="s">
        <v>3663</v>
      </c>
      <c r="B71" s="3" t="s">
        <v>7217</v>
      </c>
    </row>
    <row r="72">
      <c r="A72" s="3" t="s">
        <v>3731</v>
      </c>
      <c r="B72" s="3" t="s">
        <v>7217</v>
      </c>
    </row>
    <row r="73">
      <c r="A73" s="3" t="s">
        <v>3667</v>
      </c>
      <c r="B73" s="3" t="s">
        <v>7216</v>
      </c>
    </row>
    <row r="74">
      <c r="A74" s="3" t="s">
        <v>1133</v>
      </c>
      <c r="B74" s="3" t="s">
        <v>7217</v>
      </c>
    </row>
    <row r="75">
      <c r="A75" s="3" t="s">
        <v>3767</v>
      </c>
      <c r="B75" s="3" t="s">
        <v>7216</v>
      </c>
    </row>
    <row r="76">
      <c r="A76" s="3" t="s">
        <v>1133</v>
      </c>
      <c r="B76" s="3" t="s">
        <v>7217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13"/>
  </cols>
  <sheetData>
    <row r="1">
      <c r="A1" s="7" t="s">
        <v>7220</v>
      </c>
      <c r="B1" s="7"/>
      <c r="C1" s="7" t="s">
        <v>16</v>
      </c>
      <c r="D1" s="7" t="s">
        <v>17</v>
      </c>
      <c r="E1" s="7"/>
      <c r="F1" s="7"/>
      <c r="G1" s="7"/>
      <c r="H1" s="7"/>
      <c r="I1" s="7"/>
      <c r="J1" s="7"/>
    </row>
    <row r="2">
      <c r="A2" s="7"/>
      <c r="B2" s="7"/>
      <c r="C2" s="7" t="s">
        <v>7221</v>
      </c>
      <c r="D2" s="7" t="s">
        <v>7222</v>
      </c>
      <c r="E2" s="7" t="s">
        <v>7223</v>
      </c>
      <c r="F2" s="7" t="s">
        <v>7224</v>
      </c>
      <c r="G2" s="7">
        <v>2026.0</v>
      </c>
      <c r="H2" s="7"/>
      <c r="I2" s="7" t="s">
        <v>7225</v>
      </c>
      <c r="J2" s="7" t="s">
        <v>7226</v>
      </c>
    </row>
    <row r="3">
      <c r="A3" s="7" t="s">
        <v>15</v>
      </c>
      <c r="B3" s="7" t="s">
        <v>7</v>
      </c>
      <c r="C3" s="7"/>
      <c r="D3" s="7"/>
      <c r="E3" s="7"/>
      <c r="F3" s="7"/>
      <c r="G3" s="7">
        <v>1.0</v>
      </c>
      <c r="H3" s="7">
        <v>2.0</v>
      </c>
      <c r="I3" s="7"/>
      <c r="J3" s="7"/>
    </row>
    <row r="4">
      <c r="A4" s="7" t="s">
        <v>7227</v>
      </c>
      <c r="B4" s="7"/>
      <c r="C4" s="7">
        <v>19.0</v>
      </c>
      <c r="D4" s="7">
        <v>181.0</v>
      </c>
      <c r="E4" s="7">
        <v>177.0</v>
      </c>
      <c r="F4" s="7">
        <v>265.0</v>
      </c>
      <c r="G4" s="7">
        <v>20.0</v>
      </c>
      <c r="H4" s="7">
        <v>22.0</v>
      </c>
      <c r="I4" s="7">
        <v>42.0</v>
      </c>
      <c r="J4" s="7">
        <v>684.0</v>
      </c>
    </row>
    <row r="5">
      <c r="A5" s="7" t="s">
        <v>7228</v>
      </c>
      <c r="B5" s="7"/>
      <c r="C5" s="7">
        <v>4.0</v>
      </c>
      <c r="D5" s="7">
        <v>67.0</v>
      </c>
      <c r="E5" s="7">
        <v>86.0</v>
      </c>
      <c r="F5" s="7">
        <v>126.0</v>
      </c>
      <c r="G5" s="7">
        <v>11.0</v>
      </c>
      <c r="H5" s="7">
        <v>11.0</v>
      </c>
      <c r="I5" s="7">
        <v>22.0</v>
      </c>
      <c r="J5" s="7">
        <v>305.0</v>
      </c>
    </row>
    <row r="6">
      <c r="A6" s="7" t="s">
        <v>7229</v>
      </c>
      <c r="B6" s="7"/>
      <c r="C6" s="7">
        <v>11.0</v>
      </c>
      <c r="D6" s="7">
        <v>96.0</v>
      </c>
      <c r="E6" s="7">
        <v>92.0</v>
      </c>
      <c r="F6" s="7">
        <v>112.0</v>
      </c>
      <c r="G6" s="7">
        <v>12.0</v>
      </c>
      <c r="H6" s="7">
        <v>8.0</v>
      </c>
      <c r="I6" s="7">
        <v>20.0</v>
      </c>
      <c r="J6" s="7">
        <v>331.0</v>
      </c>
    </row>
    <row r="7">
      <c r="A7" s="7" t="s">
        <v>7230</v>
      </c>
      <c r="B7" s="7"/>
      <c r="C7" s="7"/>
      <c r="D7" s="7">
        <v>20.0</v>
      </c>
      <c r="E7" s="7">
        <v>21.0</v>
      </c>
      <c r="F7" s="7">
        <v>33.0</v>
      </c>
      <c r="G7" s="7">
        <v>1.0</v>
      </c>
      <c r="H7" s="7">
        <v>2.0</v>
      </c>
      <c r="I7" s="7">
        <v>3.0</v>
      </c>
      <c r="J7" s="7">
        <v>77.0</v>
      </c>
    </row>
    <row r="8">
      <c r="A8" s="7" t="s">
        <v>7231</v>
      </c>
      <c r="B8" s="7"/>
      <c r="C8" s="7"/>
      <c r="D8" s="7">
        <v>13.0</v>
      </c>
      <c r="E8" s="7">
        <v>30.0</v>
      </c>
      <c r="F8" s="7">
        <v>33.0</v>
      </c>
      <c r="G8" s="7">
        <v>1.0</v>
      </c>
      <c r="H8" s="7">
        <v>2.0</v>
      </c>
      <c r="I8" s="7">
        <v>3.0</v>
      </c>
      <c r="J8" s="7">
        <v>79.0</v>
      </c>
    </row>
    <row r="9">
      <c r="A9" s="7" t="s">
        <v>7226</v>
      </c>
      <c r="B9" s="7"/>
      <c r="C9" s="7">
        <v>34.0</v>
      </c>
      <c r="D9" s="7">
        <v>377.0</v>
      </c>
      <c r="E9" s="7">
        <v>406.0</v>
      </c>
      <c r="F9" s="7">
        <v>569.0</v>
      </c>
      <c r="G9" s="7">
        <v>45.0</v>
      </c>
      <c r="H9" s="7">
        <v>45.0</v>
      </c>
      <c r="I9" s="7">
        <v>90.0</v>
      </c>
      <c r="J9" s="7">
        <v>1476.0</v>
      </c>
    </row>
    <row r="17">
      <c r="A17" s="7" t="s">
        <v>7220</v>
      </c>
      <c r="B17" s="7"/>
      <c r="C17" s="7" t="s">
        <v>16</v>
      </c>
      <c r="D17" s="7" t="s">
        <v>17</v>
      </c>
      <c r="E17" s="7"/>
      <c r="F17" s="7"/>
      <c r="G17" s="7"/>
      <c r="H17" s="7"/>
      <c r="I17" s="7"/>
      <c r="J17" s="7"/>
    </row>
    <row r="18">
      <c r="A18" s="7"/>
      <c r="B18" s="7"/>
      <c r="C18" s="7" t="s">
        <v>7221</v>
      </c>
      <c r="D18" s="7" t="s">
        <v>7222</v>
      </c>
      <c r="E18" s="7" t="s">
        <v>7223</v>
      </c>
      <c r="F18" s="7" t="s">
        <v>7224</v>
      </c>
      <c r="G18" s="7">
        <v>2026.0</v>
      </c>
      <c r="H18" s="7"/>
      <c r="I18" s="7" t="s">
        <v>7225</v>
      </c>
      <c r="J18" s="7" t="s">
        <v>7226</v>
      </c>
    </row>
    <row r="19">
      <c r="A19" s="7" t="s">
        <v>15</v>
      </c>
      <c r="B19" s="7" t="s">
        <v>7</v>
      </c>
      <c r="C19" s="7"/>
      <c r="D19" s="7"/>
      <c r="E19" s="7"/>
      <c r="F19" s="7"/>
      <c r="G19" s="7">
        <v>1.0</v>
      </c>
      <c r="H19" s="7">
        <v>2.0</v>
      </c>
      <c r="I19" s="7"/>
      <c r="J19" s="7"/>
    </row>
    <row r="20">
      <c r="A20" s="7" t="s">
        <v>7227</v>
      </c>
      <c r="B20" s="7"/>
      <c r="C20" s="25">
        <v>0.5588235294117647</v>
      </c>
      <c r="D20" s="25">
        <v>0.48010610079575594</v>
      </c>
      <c r="E20" s="25">
        <v>0.43596059113300495</v>
      </c>
      <c r="F20" s="25">
        <v>0.46572934973637964</v>
      </c>
      <c r="G20" s="25">
        <v>0.4444444444444444</v>
      </c>
      <c r="H20" s="25">
        <v>0.4888888888888889</v>
      </c>
      <c r="I20" s="25">
        <v>0.4666666666666667</v>
      </c>
      <c r="J20" s="25">
        <v>0.4634146341463415</v>
      </c>
    </row>
    <row r="21">
      <c r="A21" s="7" t="s">
        <v>7228</v>
      </c>
      <c r="B21" s="7"/>
      <c r="C21" s="25">
        <v>0.11764705882352941</v>
      </c>
      <c r="D21" s="25">
        <v>0.17771883289124668</v>
      </c>
      <c r="E21" s="25">
        <v>0.21182266009852216</v>
      </c>
      <c r="F21" s="25">
        <v>0.22144112478031636</v>
      </c>
      <c r="G21" s="25">
        <v>0.24444444444444444</v>
      </c>
      <c r="H21" s="25">
        <v>0.24444444444444444</v>
      </c>
      <c r="I21" s="25">
        <v>0.24444444444444444</v>
      </c>
      <c r="J21" s="25">
        <v>0.20663956639566394</v>
      </c>
    </row>
    <row r="22">
      <c r="A22" s="7" t="s">
        <v>7229</v>
      </c>
      <c r="B22" s="7"/>
      <c r="C22" s="25">
        <v>0.3235294117647059</v>
      </c>
      <c r="D22" s="25">
        <v>0.2546419098143236</v>
      </c>
      <c r="E22" s="25">
        <v>0.22660098522167488</v>
      </c>
      <c r="F22" s="25">
        <v>0.1968365553602812</v>
      </c>
      <c r="G22" s="25">
        <v>0.26666666666666666</v>
      </c>
      <c r="H22" s="25">
        <v>0.17777777777777778</v>
      </c>
      <c r="I22" s="25">
        <v>0.2222222222222222</v>
      </c>
      <c r="J22" s="25">
        <v>0.22425474254742547</v>
      </c>
    </row>
    <row r="23">
      <c r="A23" s="7" t="s">
        <v>7230</v>
      </c>
      <c r="B23" s="7"/>
      <c r="C23" s="7"/>
      <c r="D23" s="25">
        <v>0.05305039787798409</v>
      </c>
      <c r="E23" s="25">
        <v>0.05172413793103448</v>
      </c>
      <c r="F23" s="25">
        <v>0.05799648506151142</v>
      </c>
      <c r="G23" s="25">
        <v>0.022222222222222223</v>
      </c>
      <c r="H23" s="25">
        <v>0.044444444444444446</v>
      </c>
      <c r="I23" s="25">
        <v>0.03333333333333333</v>
      </c>
      <c r="J23" s="25">
        <v>0.0521680216802168</v>
      </c>
    </row>
    <row r="24">
      <c r="A24" s="7" t="s">
        <v>7231</v>
      </c>
      <c r="B24" s="7"/>
      <c r="C24" s="7"/>
      <c r="D24" s="25">
        <v>0.034482758620689655</v>
      </c>
      <c r="E24" s="25">
        <v>0.07389162561576355</v>
      </c>
      <c r="F24" s="25">
        <v>0.05799648506151142</v>
      </c>
      <c r="G24" s="25">
        <v>0.022222222222222223</v>
      </c>
      <c r="H24" s="25">
        <v>0.044444444444444446</v>
      </c>
      <c r="I24" s="25">
        <v>0.03333333333333333</v>
      </c>
      <c r="J24" s="25">
        <v>0.0535230352303523</v>
      </c>
    </row>
    <row r="25">
      <c r="A25" s="7" t="s">
        <v>7226</v>
      </c>
      <c r="B25" s="7"/>
      <c r="C25" s="25">
        <v>1.0</v>
      </c>
      <c r="D25" s="25">
        <v>1.0</v>
      </c>
      <c r="E25" s="25">
        <v>1.0</v>
      </c>
      <c r="F25" s="25">
        <v>1.0</v>
      </c>
      <c r="G25" s="25">
        <v>1.0</v>
      </c>
      <c r="H25" s="25">
        <v>1.0</v>
      </c>
      <c r="I25" s="25">
        <v>1.0</v>
      </c>
      <c r="J25" s="25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 t="shared" ref="A1:A1000" si="1">D1&amp;", "&amp;E1</f>
        <v>Apellido, Nombre</v>
      </c>
      <c r="B1" s="3" t="s">
        <v>7232</v>
      </c>
      <c r="C1" s="26" t="str">
        <f>IFERROR(__xludf.DUMMYFUNCTION("IMPORTRANGE(""https://docs.google.com/spreadsheets/d/12kvqJIRMwIbdJij1SSzWoe0yONYO-PFC9AnOnfLB8gA/edit?gid=1730897113#gid=1730897113"",""Respuestas de formulario 1!a:q"")"),"Marca temporal")</f>
        <v>Marca temporal</v>
      </c>
      <c r="D1" s="26" t="str">
        <f>IFERROR(__xludf.DUMMYFUNCTION("""COMPUTED_VALUE"""),"Apellido")</f>
        <v>Apellido</v>
      </c>
      <c r="E1" s="26" t="str">
        <f>IFERROR(__xludf.DUMMYFUNCTION("""COMPUTED_VALUE"""),"Nombre")</f>
        <v>Nombre</v>
      </c>
      <c r="F1" s="26" t="str">
        <f>IFERROR(__xludf.DUMMYFUNCTION("""COMPUTED_VALUE"""),"e-mail")</f>
        <v>e-mail</v>
      </c>
      <c r="G1" s="26" t="str">
        <f>IFERROR(__xludf.DUMMYFUNCTION("""COMPUTED_VALUE"""),"Fecha de nacimiento")</f>
        <v>Fecha de nacimiento</v>
      </c>
      <c r="H1" s="26" t="str">
        <f>IFERROR(__xludf.DUMMYFUNCTION("""COMPUTED_VALUE"""),"DNI")</f>
        <v>DNI</v>
      </c>
      <c r="I1" s="26" t="str">
        <f>IFERROR(__xludf.DUMMYFUNCTION("""COMPUTED_VALUE"""),"Teléfono")</f>
        <v>Teléfono</v>
      </c>
      <c r="J1" s="26" t="str">
        <f>IFERROR(__xludf.DUMMYFUNCTION("""COMPUTED_VALUE"""),"¿Cómo nos encontraste?")</f>
        <v>¿Cómo nos encontraste?</v>
      </c>
      <c r="K1" s="26" t="str">
        <f>IFERROR(__xludf.DUMMYFUNCTION("""COMPUTED_VALUE"""),"¿Cómo te vas a atender?")</f>
        <v>¿Cómo te vas a atender?</v>
      </c>
      <c r="L1" s="26" t="str">
        <f>IFERROR(__xludf.DUMMYFUNCTION("""COMPUTED_VALUE"""),"¿Cuál es tu obra social?")</f>
        <v>¿Cuál es tu obra social?</v>
      </c>
      <c r="M1" s="26" t="str">
        <f>IFERROR(__xludf.DUMMYFUNCTION("""COMPUTED_VALUE"""),"¿Realizás actividad física?")</f>
        <v>¿Realizás actividad física?</v>
      </c>
      <c r="N1" s="26" t="str">
        <f>IFERROR(__xludf.DUMMYFUNCTION("""COMPUTED_VALUE"""),"¿Qué actividad física realizás?")</f>
        <v>¿Qué actividad física realizás?</v>
      </c>
      <c r="O1" s="26" t="str">
        <f>IFERROR(__xludf.DUMMYFUNCTION("""COMPUTED_VALUE"""),"¿Cuántas veces por semana entrenás?")</f>
        <v>¿Cuántas veces por semana entrenás?</v>
      </c>
      <c r="P1" s="26" t="str">
        <f>IFERROR(__xludf.DUMMYFUNCTION("""COMPUTED_VALUE"""),"¿Cómo te vas a atender?")</f>
        <v>¿Cómo te vas a atender?</v>
      </c>
      <c r="Q1" s="26" t="str">
        <f>IFERROR(__xludf.DUMMYFUNCTION("""COMPUTED_VALUE"""),"¿Cuál es tu obra social?")</f>
        <v>¿Cuál es tu obra social?</v>
      </c>
      <c r="R1" s="7" t="str">
        <f>IFERROR(__xludf.DUMMYFUNCTION("""COMPUTED_VALUE"""),"")</f>
        <v/>
      </c>
      <c r="S1" s="7" t="str">
        <f>IFERROR(__xludf.DUMMYFUNCTION("""COMPUTED_VALUE"""),"¿Realizás activad física?")</f>
        <v>¿Realizás activad física?</v>
      </c>
    </row>
    <row r="2">
      <c r="A2" s="7" t="str">
        <f t="shared" si="1"/>
        <v>Llanos, Cristian</v>
      </c>
      <c r="B2" s="7">
        <f>SUMIFS('bd caja'!$K$1:$K$1012,'bd caja'!$D$1:$D$1012,A2)</f>
        <v>0</v>
      </c>
      <c r="C2" s="19">
        <f>IFERROR(__xludf.DUMMYFUNCTION("""COMPUTED_VALUE"""),44865.66299075232)</f>
        <v>44865.66299</v>
      </c>
      <c r="D2" s="7" t="str">
        <f>IFERROR(__xludf.DUMMYFUNCTION("""COMPUTED_VALUE"""),"Llanos")</f>
        <v>Llanos</v>
      </c>
      <c r="E2" s="7" t="str">
        <f>IFERROR(__xludf.DUMMYFUNCTION("""COMPUTED_VALUE"""),"Cristian")</f>
        <v>Cristian</v>
      </c>
      <c r="F2" s="7" t="str">
        <f>IFERROR(__xludf.DUMMYFUNCTION("""COMPUTED_VALUE"""),"Cristian_kobe@hotmail.com ")</f>
        <v>Cristian_kobe@hotmail.com </v>
      </c>
      <c r="G2" s="20">
        <f>IFERROR(__xludf.DUMMYFUNCTION("""COMPUTED_VALUE"""),31427.0)</f>
        <v>31427</v>
      </c>
      <c r="H2" s="7">
        <f>IFERROR(__xludf.DUMMYFUNCTION("""COMPUTED_VALUE"""),3.2099118E7)</f>
        <v>32099118</v>
      </c>
      <c r="I2" s="7">
        <f>IFERROR(__xludf.DUMMYFUNCTION("""COMPUTED_VALUE"""),3.518046736E9)</f>
        <v>3518046736</v>
      </c>
      <c r="J2" s="7" t="str">
        <f>IFERROR(__xludf.DUMMYFUNCTION("""COMPUTED_VALUE"""),"Google")</f>
        <v>Google</v>
      </c>
      <c r="K2" s="7" t="str">
        <f>IFERROR(__xludf.DUMMYFUNCTION("""COMPUTED_VALUE"""),"Obra social")</f>
        <v>Obra social</v>
      </c>
      <c r="L2" s="7" t="str">
        <f>IFERROR(__xludf.DUMMYFUNCTION("""COMPUTED_VALUE"""),"APROSS")</f>
        <v>APROSS</v>
      </c>
      <c r="M2" s="7"/>
      <c r="N2" s="7"/>
      <c r="O2" s="7"/>
      <c r="P2" s="7"/>
      <c r="Q2" s="7"/>
      <c r="R2" s="7"/>
      <c r="S2" s="7"/>
    </row>
    <row r="3">
      <c r="A3" s="7" t="str">
        <f t="shared" si="1"/>
        <v>Leiva, Nilda Carolina </v>
      </c>
      <c r="B3" s="7">
        <f>SUMIFS('bd caja'!$K$1:$K$1012,'bd caja'!$D$1:$D$1012,A3)</f>
        <v>0</v>
      </c>
      <c r="C3" s="19">
        <f>IFERROR(__xludf.DUMMYFUNCTION("""COMPUTED_VALUE"""),44866.424805682866)</f>
        <v>44866.42481</v>
      </c>
      <c r="D3" s="7" t="str">
        <f>IFERROR(__xludf.DUMMYFUNCTION("""COMPUTED_VALUE"""),"Leiva")</f>
        <v>Leiva</v>
      </c>
      <c r="E3" s="7" t="str">
        <f>IFERROR(__xludf.DUMMYFUNCTION("""COMPUTED_VALUE"""),"Nilda Carolina ")</f>
        <v>Nilda Carolina </v>
      </c>
      <c r="F3" s="7" t="str">
        <f>IFERROR(__xludf.DUMMYFUNCTION("""COMPUTED_VALUE"""),"caroagus023@gmail.com")</f>
        <v>caroagus023@gmail.com</v>
      </c>
      <c r="G3" s="20">
        <f>IFERROR(__xludf.DUMMYFUNCTION("""COMPUTED_VALUE"""),29208.0)</f>
        <v>29208</v>
      </c>
      <c r="H3" s="7">
        <f>IFERROR(__xludf.DUMMYFUNCTION("""COMPUTED_VALUE"""),2.7671982E7)</f>
        <v>27671982</v>
      </c>
      <c r="I3" s="7">
        <f>IFERROR(__xludf.DUMMYFUNCTION("""COMPUTED_VALUE"""),3.513844529E9)</f>
        <v>3513844529</v>
      </c>
      <c r="J3" s="7" t="str">
        <f>IFERROR(__xludf.DUMMYFUNCTION("""COMPUTED_VALUE"""),"Recomendación")</f>
        <v>Recomendación</v>
      </c>
      <c r="K3" s="7" t="str">
        <f>IFERROR(__xludf.DUMMYFUNCTION("""COMPUTED_VALUE"""),"Particular")</f>
        <v>Particular</v>
      </c>
      <c r="L3" s="7"/>
      <c r="M3" s="7"/>
      <c r="N3" s="7"/>
      <c r="O3" s="7"/>
      <c r="P3" s="7"/>
      <c r="Q3" s="7"/>
      <c r="R3" s="7"/>
      <c r="S3" s="7"/>
    </row>
    <row r="4">
      <c r="A4" s="7" t="str">
        <f t="shared" si="1"/>
        <v>Far, Juan Manuel </v>
      </c>
      <c r="B4" s="7">
        <f>SUMIFS('bd caja'!$K$1:$K$1012,'bd caja'!$D$1:$D$1012,A4)</f>
        <v>0</v>
      </c>
      <c r="C4" s="19">
        <f>IFERROR(__xludf.DUMMYFUNCTION("""COMPUTED_VALUE"""),44872.85900496528)</f>
        <v>44872.859</v>
      </c>
      <c r="D4" s="7" t="str">
        <f>IFERROR(__xludf.DUMMYFUNCTION("""COMPUTED_VALUE"""),"Far")</f>
        <v>Far</v>
      </c>
      <c r="E4" s="7" t="str">
        <f>IFERROR(__xludf.DUMMYFUNCTION("""COMPUTED_VALUE"""),"Juan Manuel ")</f>
        <v>Juan Manuel </v>
      </c>
      <c r="F4" s="7" t="str">
        <f>IFERROR(__xludf.DUMMYFUNCTION("""COMPUTED_VALUE"""),"Manufar87@hotmail.com")</f>
        <v>Manufar87@hotmail.com</v>
      </c>
      <c r="G4" s="20">
        <f>IFERROR(__xludf.DUMMYFUNCTION("""COMPUTED_VALUE"""),31894.0)</f>
        <v>31894</v>
      </c>
      <c r="H4" s="7">
        <f>IFERROR(__xludf.DUMMYFUNCTION("""COMPUTED_VALUE"""),3.3082576E7)</f>
        <v>33082576</v>
      </c>
      <c r="I4" s="7">
        <f>IFERROR(__xludf.DUMMYFUNCTION("""COMPUTED_VALUE"""),3.512006711E9)</f>
        <v>3512006711</v>
      </c>
      <c r="J4" s="7" t="str">
        <f>IFERROR(__xludf.DUMMYFUNCTION("""COMPUTED_VALUE"""),"Recomendación")</f>
        <v>Recomendación</v>
      </c>
      <c r="K4" s="7" t="str">
        <f>IFERROR(__xludf.DUMMYFUNCTION("""COMPUTED_VALUE"""),"Particular")</f>
        <v>Particular</v>
      </c>
      <c r="L4" s="7"/>
      <c r="M4" s="7"/>
      <c r="N4" s="7"/>
      <c r="O4" s="7"/>
      <c r="P4" s="7"/>
      <c r="Q4" s="7"/>
      <c r="R4" s="7"/>
      <c r="S4" s="7"/>
    </row>
    <row r="5">
      <c r="A5" s="7" t="str">
        <f t="shared" si="1"/>
        <v>Urquía , Yohana</v>
      </c>
      <c r="B5" s="7">
        <f>SUMIFS('bd caja'!$K$1:$K$1012,'bd caja'!$D$1:$D$1012,A5)</f>
        <v>0</v>
      </c>
      <c r="C5" s="19">
        <f>IFERROR(__xludf.DUMMYFUNCTION("""COMPUTED_VALUE"""),44879.65375278935)</f>
        <v>44879.65375</v>
      </c>
      <c r="D5" s="7" t="str">
        <f>IFERROR(__xludf.DUMMYFUNCTION("""COMPUTED_VALUE"""),"Urquía ")</f>
        <v>Urquía </v>
      </c>
      <c r="E5" s="7" t="str">
        <f>IFERROR(__xludf.DUMMYFUNCTION("""COMPUTED_VALUE"""),"Yohana")</f>
        <v>Yohana</v>
      </c>
      <c r="F5" s="7" t="str">
        <f>IFERROR(__xludf.DUMMYFUNCTION("""COMPUTED_VALUE"""),"yohana.urquia@gmail.com")</f>
        <v>yohana.urquia@gmail.com</v>
      </c>
      <c r="G5" s="20">
        <f>IFERROR(__xludf.DUMMYFUNCTION("""COMPUTED_VALUE"""),31206.0)</f>
        <v>31206</v>
      </c>
      <c r="H5" s="7">
        <f>IFERROR(__xludf.DUMMYFUNCTION("""COMPUTED_VALUE"""),3.1647631E7)</f>
        <v>31647631</v>
      </c>
      <c r="I5" s="7">
        <f>IFERROR(__xludf.DUMMYFUNCTION("""COMPUTED_VALUE"""),3.516299562E9)</f>
        <v>3516299562</v>
      </c>
      <c r="J5" s="7" t="str">
        <f>IFERROR(__xludf.DUMMYFUNCTION("""COMPUTED_VALUE"""),"Recomendación")</f>
        <v>Recomendación</v>
      </c>
      <c r="K5" s="7" t="str">
        <f>IFERROR(__xludf.DUMMYFUNCTION("""COMPUTED_VALUE"""),"Particular")</f>
        <v>Particular</v>
      </c>
      <c r="L5" s="7"/>
      <c r="M5" s="7"/>
      <c r="N5" s="7"/>
      <c r="O5" s="7"/>
      <c r="P5" s="7"/>
      <c r="Q5" s="7"/>
      <c r="R5" s="7"/>
      <c r="S5" s="7"/>
    </row>
    <row r="6">
      <c r="A6" s="7" t="str">
        <f t="shared" si="1"/>
        <v>Lopez, Gonzalo Daniel</v>
      </c>
      <c r="B6" s="7">
        <f>SUMIFS('bd caja'!$K$1:$K$1012,'bd caja'!$D$1:$D$1012,A6)</f>
        <v>0</v>
      </c>
      <c r="C6" s="19">
        <f>IFERROR(__xludf.DUMMYFUNCTION("""COMPUTED_VALUE"""),44879.67125421297)</f>
        <v>44879.67125</v>
      </c>
      <c r="D6" s="7" t="str">
        <f>IFERROR(__xludf.DUMMYFUNCTION("""COMPUTED_VALUE"""),"Lopez")</f>
        <v>Lopez</v>
      </c>
      <c r="E6" s="7" t="str">
        <f>IFERROR(__xludf.DUMMYFUNCTION("""COMPUTED_VALUE"""),"Gonzalo Daniel")</f>
        <v>Gonzalo Daniel</v>
      </c>
      <c r="F6" s="7" t="str">
        <f>IFERROR(__xludf.DUMMYFUNCTION("""COMPUTED_VALUE"""),"Zonlopez10@gmail.com ")</f>
        <v>Zonlopez10@gmail.com </v>
      </c>
      <c r="G6" s="20">
        <f>IFERROR(__xludf.DUMMYFUNCTION("""COMPUTED_VALUE"""),34623.0)</f>
        <v>34623</v>
      </c>
      <c r="H6" s="7">
        <f>IFERROR(__xludf.DUMMYFUNCTION("""COMPUTED_VALUE"""),3.850125E7)</f>
        <v>38501250</v>
      </c>
      <c r="I6" s="7">
        <f>IFERROR(__xludf.DUMMYFUNCTION("""COMPUTED_VALUE"""),3.515186768E9)</f>
        <v>3515186768</v>
      </c>
      <c r="J6" s="7" t="str">
        <f>IFERROR(__xludf.DUMMYFUNCTION("""COMPUTED_VALUE"""),"Lo conozco al fabri de defensores")</f>
        <v>Lo conozco al fabri de defensores</v>
      </c>
      <c r="K6" s="7" t="str">
        <f>IFERROR(__xludf.DUMMYFUNCTION("""COMPUTED_VALUE"""),"Obra social")</f>
        <v>Obra social</v>
      </c>
      <c r="L6" s="7" t="str">
        <f>IFERROR(__xludf.DUMMYFUNCTION("""COMPUTED_VALUE"""),"APROSS")</f>
        <v>APROSS</v>
      </c>
      <c r="M6" s="7"/>
      <c r="N6" s="7"/>
      <c r="O6" s="7"/>
      <c r="P6" s="7"/>
      <c r="Q6" s="7"/>
      <c r="R6" s="7"/>
      <c r="S6" s="7"/>
    </row>
    <row r="7">
      <c r="A7" s="7" t="str">
        <f t="shared" si="1"/>
        <v>Agüero , Juan Manuel </v>
      </c>
      <c r="B7" s="7">
        <f>SUMIFS('bd caja'!$K$1:$K$1012,'bd caja'!$D$1:$D$1012,A7)</f>
        <v>0</v>
      </c>
      <c r="C7" s="19">
        <f>IFERROR(__xludf.DUMMYFUNCTION("""COMPUTED_VALUE"""),44880.470795393514)</f>
        <v>44880.4708</v>
      </c>
      <c r="D7" s="7" t="str">
        <f>IFERROR(__xludf.DUMMYFUNCTION("""COMPUTED_VALUE"""),"Agüero ")</f>
        <v>Agüero </v>
      </c>
      <c r="E7" s="7" t="str">
        <f>IFERROR(__xludf.DUMMYFUNCTION("""COMPUTED_VALUE"""),"Juan Manuel ")</f>
        <v>Juan Manuel </v>
      </c>
      <c r="F7" s="7" t="str">
        <f>IFERROR(__xludf.DUMMYFUNCTION("""COMPUTED_VALUE"""),"juanmamendiolaza@gmail.com ")</f>
        <v>juanmamendiolaza@gmail.com </v>
      </c>
      <c r="G7" s="20">
        <f>IFERROR(__xludf.DUMMYFUNCTION("""COMPUTED_VALUE"""),31846.0)</f>
        <v>31846</v>
      </c>
      <c r="H7" s="7">
        <f>IFERROR(__xludf.DUMMYFUNCTION("""COMPUTED_VALUE"""),3.2787354E7)</f>
        <v>32787354</v>
      </c>
      <c r="I7" s="7">
        <f>IFERROR(__xludf.DUMMYFUNCTION("""COMPUTED_VALUE"""),3.516219534E9)</f>
        <v>3516219534</v>
      </c>
      <c r="J7" s="7" t="str">
        <f>IFERROR(__xludf.DUMMYFUNCTION("""COMPUTED_VALUE"""),"Google")</f>
        <v>Google</v>
      </c>
      <c r="K7" s="7" t="str">
        <f>IFERROR(__xludf.DUMMYFUNCTION("""COMPUTED_VALUE"""),"Particular")</f>
        <v>Particular</v>
      </c>
      <c r="L7" s="7"/>
      <c r="M7" s="7"/>
      <c r="N7" s="7"/>
      <c r="O7" s="7"/>
      <c r="P7" s="7"/>
      <c r="Q7" s="7"/>
      <c r="R7" s="7"/>
      <c r="S7" s="7"/>
    </row>
    <row r="8">
      <c r="A8" s="7" t="str">
        <f t="shared" si="1"/>
        <v>Valdez , Rubén </v>
      </c>
      <c r="B8" s="7">
        <f>SUMIFS('bd caja'!$K$1:$K$1012,'bd caja'!$D$1:$D$1012,A8)</f>
        <v>0</v>
      </c>
      <c r="C8" s="19">
        <f>IFERROR(__xludf.DUMMYFUNCTION("""COMPUTED_VALUE"""),44880.50001721065)</f>
        <v>44880.50002</v>
      </c>
      <c r="D8" s="7" t="str">
        <f>IFERROR(__xludf.DUMMYFUNCTION("""COMPUTED_VALUE"""),"Valdez ")</f>
        <v>Valdez </v>
      </c>
      <c r="E8" s="7" t="str">
        <f>IFERROR(__xludf.DUMMYFUNCTION("""COMPUTED_VALUE"""),"Rubén ")</f>
        <v>Rubén </v>
      </c>
      <c r="F8" s="7" t="str">
        <f>IFERROR(__xludf.DUMMYFUNCTION("""COMPUTED_VALUE"""),"Rubenavaldez930@gmail.com")</f>
        <v>Rubenavaldez930@gmail.com</v>
      </c>
      <c r="G8" s="20">
        <f>IFERROR(__xludf.DUMMYFUNCTION("""COMPUTED_VALUE"""),34161.0)</f>
        <v>34161</v>
      </c>
      <c r="H8" s="7">
        <f>IFERROR(__xludf.DUMMYFUNCTION("""COMPUTED_VALUE"""),3.7733188E7)</f>
        <v>37733188</v>
      </c>
      <c r="I8" s="7">
        <f>IFERROR(__xludf.DUMMYFUNCTION("""COMPUTED_VALUE"""),3.513374771E9)</f>
        <v>3513374771</v>
      </c>
      <c r="J8" s="7" t="str">
        <f>IFERROR(__xludf.DUMMYFUNCTION("""COMPUTED_VALUE"""),"Voy al gym Manantial")</f>
        <v>Voy al gym Manantial</v>
      </c>
      <c r="K8" s="7"/>
      <c r="L8" s="7" t="str">
        <f>IFERROR(__xludf.DUMMYFUNCTION("""COMPUTED_VALUE"""),"APROSS")</f>
        <v>APROSS</v>
      </c>
      <c r="M8" s="7"/>
      <c r="N8" s="7"/>
      <c r="O8" s="7"/>
      <c r="P8" s="7"/>
      <c r="Q8" s="7"/>
      <c r="R8" s="7"/>
      <c r="S8" s="7"/>
    </row>
    <row r="9">
      <c r="A9" s="7" t="str">
        <f t="shared" si="1"/>
        <v>Giménez, Fernando</v>
      </c>
      <c r="B9" s="7">
        <f>SUMIFS('bd caja'!$K$1:$K$1012,'bd caja'!$D$1:$D$1012,A9)</f>
        <v>30000</v>
      </c>
      <c r="C9" s="19">
        <f>IFERROR(__xludf.DUMMYFUNCTION("""COMPUTED_VALUE"""),44881.41323293981)</f>
        <v>44881.41323</v>
      </c>
      <c r="D9" s="7" t="str">
        <f>IFERROR(__xludf.DUMMYFUNCTION("""COMPUTED_VALUE"""),"Giménez")</f>
        <v>Giménez</v>
      </c>
      <c r="E9" s="7" t="str">
        <f>IFERROR(__xludf.DUMMYFUNCTION("""COMPUTED_VALUE"""),"Fernando")</f>
        <v>Fernando</v>
      </c>
      <c r="F9" s="7" t="str">
        <f>IFERROR(__xludf.DUMMYFUNCTION("""COMPUTED_VALUE"""),"gimenezfa@gmail.com")</f>
        <v>gimenezfa@gmail.com</v>
      </c>
      <c r="G9" s="20">
        <f>IFERROR(__xludf.DUMMYFUNCTION("""COMPUTED_VALUE"""),35171.0)</f>
        <v>35171</v>
      </c>
      <c r="H9" s="7">
        <f>IFERROR(__xludf.DUMMYFUNCTION("""COMPUTED_VALUE"""),3.0544064E7)</f>
        <v>30544064</v>
      </c>
      <c r="I9" s="7">
        <f>IFERROR(__xludf.DUMMYFUNCTION("""COMPUTED_VALUE"""),3.516953672E9)</f>
        <v>3516953672</v>
      </c>
      <c r="J9" s="7" t="str">
        <f>IFERROR(__xludf.DUMMYFUNCTION("""COMPUTED_VALUE"""),"Recomendación")</f>
        <v>Recomendación</v>
      </c>
      <c r="K9" s="7" t="str">
        <f>IFERROR(__xludf.DUMMYFUNCTION("""COMPUTED_VALUE"""),"Obra social")</f>
        <v>Obra social</v>
      </c>
      <c r="L9" s="7" t="str">
        <f>IFERROR(__xludf.DUMMYFUNCTION("""COMPUTED_VALUE"""),"APROSS")</f>
        <v>APROSS</v>
      </c>
      <c r="M9" s="7"/>
      <c r="N9" s="7"/>
      <c r="O9" s="7"/>
      <c r="P9" s="7"/>
      <c r="Q9" s="7"/>
      <c r="R9" s="7"/>
      <c r="S9" s="7"/>
    </row>
    <row r="10">
      <c r="A10" s="7" t="str">
        <f t="shared" si="1"/>
        <v>JOHNSON, GUILLERMO</v>
      </c>
      <c r="B10" s="7">
        <f>SUMIFS('bd caja'!$K$1:$K$1012,'bd caja'!$D$1:$D$1012,A10)</f>
        <v>0</v>
      </c>
      <c r="C10" s="19">
        <f>IFERROR(__xludf.DUMMYFUNCTION("""COMPUTED_VALUE"""),44881.49076028935)</f>
        <v>44881.49076</v>
      </c>
      <c r="D10" s="7" t="str">
        <f>IFERROR(__xludf.DUMMYFUNCTION("""COMPUTED_VALUE"""),"JOHNSON")</f>
        <v>JOHNSON</v>
      </c>
      <c r="E10" s="7" t="str">
        <f>IFERROR(__xludf.DUMMYFUNCTION("""COMPUTED_VALUE"""),"GUILLERMO")</f>
        <v>GUILLERMO</v>
      </c>
      <c r="F10" s="7" t="str">
        <f>IFERROR(__xludf.DUMMYFUNCTION("""COMPUTED_VALUE"""),"guillermorjohnson@gmail.com")</f>
        <v>guillermorjohnson@gmail.com</v>
      </c>
      <c r="G10" s="20">
        <f>IFERROR(__xludf.DUMMYFUNCTION("""COMPUTED_VALUE"""),26996.0)</f>
        <v>26996</v>
      </c>
      <c r="H10" s="7">
        <f>IFERROR(__xludf.DUMMYFUNCTION("""COMPUTED_VALUE"""),2.3683982E7)</f>
        <v>23683982</v>
      </c>
      <c r="I10" s="7">
        <f>IFERROR(__xludf.DUMMYFUNCTION("""COMPUTED_VALUE"""),3.515138062E9)</f>
        <v>3515138062</v>
      </c>
      <c r="J10" s="7" t="str">
        <f>IFERROR(__xludf.DUMMYFUNCTION("""COMPUTED_VALUE"""),"Recomendación")</f>
        <v>Recomendación</v>
      </c>
      <c r="K10" s="7" t="str">
        <f>IFERROR(__xludf.DUMMYFUNCTION("""COMPUTED_VALUE"""),"Obra social")</f>
        <v>Obra social</v>
      </c>
      <c r="L10" s="7" t="str">
        <f>IFERROR(__xludf.DUMMYFUNCTION("""COMPUTED_VALUE"""),"caja Notarial")</f>
        <v>caja Notarial</v>
      </c>
      <c r="M10" s="7"/>
      <c r="N10" s="7"/>
      <c r="O10" s="7"/>
      <c r="P10" s="7"/>
      <c r="Q10" s="7"/>
      <c r="R10" s="7"/>
      <c r="S10" s="7"/>
    </row>
    <row r="11">
      <c r="A11" s="7" t="str">
        <f t="shared" si="1"/>
        <v>Carnevale, Mariela</v>
      </c>
      <c r="B11" s="7">
        <f>SUMIFS('bd caja'!$K$1:$K$1012,'bd caja'!$D$1:$D$1012,A11)</f>
        <v>0</v>
      </c>
      <c r="C11" s="19">
        <f>IFERROR(__xludf.DUMMYFUNCTION("""COMPUTED_VALUE"""),44881.68835405093)</f>
        <v>44881.68835</v>
      </c>
      <c r="D11" s="7" t="str">
        <f>IFERROR(__xludf.DUMMYFUNCTION("""COMPUTED_VALUE"""),"Carnevale")</f>
        <v>Carnevale</v>
      </c>
      <c r="E11" s="7" t="str">
        <f>IFERROR(__xludf.DUMMYFUNCTION("""COMPUTED_VALUE"""),"Mariela")</f>
        <v>Mariela</v>
      </c>
      <c r="F11" s="7" t="str">
        <f>IFERROR(__xludf.DUMMYFUNCTION("""COMPUTED_VALUE"""),"marielacarnevale533@hotmail.com")</f>
        <v>marielacarnevale533@hotmail.com</v>
      </c>
      <c r="G11" s="20">
        <f>IFERROR(__xludf.DUMMYFUNCTION("""COMPUTED_VALUE"""),29629.0)</f>
        <v>29629</v>
      </c>
      <c r="H11" s="7">
        <f>IFERROR(__xludf.DUMMYFUNCTION("""COMPUTED_VALUE"""),2.3683982E7)</f>
        <v>23683982</v>
      </c>
      <c r="I11" s="7">
        <f>IFERROR(__xludf.DUMMYFUNCTION("""COMPUTED_VALUE"""),3.513040216E9)</f>
        <v>3513040216</v>
      </c>
      <c r="J11" s="7" t="str">
        <f>IFERROR(__xludf.DUMMYFUNCTION("""COMPUTED_VALUE"""),"Google")</f>
        <v>Google</v>
      </c>
      <c r="K11" s="7" t="str">
        <f>IFERROR(__xludf.DUMMYFUNCTION("""COMPUTED_VALUE"""),"Particular")</f>
        <v>Particular</v>
      </c>
      <c r="L11" s="7"/>
      <c r="M11" s="7"/>
      <c r="N11" s="7"/>
      <c r="O11" s="7"/>
      <c r="P11" s="7"/>
      <c r="Q11" s="7"/>
      <c r="R11" s="7"/>
      <c r="S11" s="7"/>
    </row>
    <row r="12">
      <c r="A12" s="7" t="str">
        <f t="shared" si="1"/>
        <v>Isa Minuet, Elías</v>
      </c>
      <c r="B12" s="7">
        <f>SUMIFS('bd caja'!$K$1:$K$1012,'bd caja'!$D$1:$D$1012,A12)</f>
        <v>0</v>
      </c>
      <c r="C12" s="19">
        <f>IFERROR(__xludf.DUMMYFUNCTION("""COMPUTED_VALUE"""),44882.459621180555)</f>
        <v>44882.45962</v>
      </c>
      <c r="D12" s="7" t="str">
        <f>IFERROR(__xludf.DUMMYFUNCTION("""COMPUTED_VALUE"""),"Isa Minuet")</f>
        <v>Isa Minuet</v>
      </c>
      <c r="E12" s="7" t="str">
        <f>IFERROR(__xludf.DUMMYFUNCTION("""COMPUTED_VALUE"""),"Elías")</f>
        <v>Elías</v>
      </c>
      <c r="F12" s="7" t="str">
        <f>IFERROR(__xludf.DUMMYFUNCTION("""COMPUTED_VALUE"""),"eliasisaa@gmail.com")</f>
        <v>eliasisaa@gmail.com</v>
      </c>
      <c r="G12" s="20">
        <f>IFERROR(__xludf.DUMMYFUNCTION("""COMPUTED_VALUE"""),36108.0)</f>
        <v>36108</v>
      </c>
      <c r="H12" s="7">
        <f>IFERROR(__xludf.DUMMYFUNCTION("""COMPUTED_VALUE"""),4.1019335E7)</f>
        <v>41019335</v>
      </c>
      <c r="I12" s="7">
        <f>IFERROR(__xludf.DUMMYFUNCTION("""COMPUTED_VALUE"""),3.517580512E9)</f>
        <v>3517580512</v>
      </c>
      <c r="J12" s="7" t="str">
        <f>IFERROR(__xludf.DUMMYFUNCTION("""COMPUTED_VALUE"""),"Voy al gym Manantial")</f>
        <v>Voy al gym Manantial</v>
      </c>
      <c r="K12" s="7" t="str">
        <f>IFERROR(__xludf.DUMMYFUNCTION("""COMPUTED_VALUE"""),"Obra social")</f>
        <v>Obra social</v>
      </c>
      <c r="L12" s="7" t="str">
        <f>IFERROR(__xludf.DUMMYFUNCTION("""COMPUTED_VALUE"""),"SANCOR")</f>
        <v>SANCOR</v>
      </c>
      <c r="M12" s="7"/>
      <c r="N12" s="7"/>
      <c r="O12" s="7"/>
      <c r="P12" s="7"/>
      <c r="Q12" s="7"/>
      <c r="R12" s="7"/>
      <c r="S12" s="7"/>
    </row>
    <row r="13">
      <c r="A13" s="7" t="str">
        <f t="shared" si="1"/>
        <v>Ghibaudo, Pablo</v>
      </c>
      <c r="B13" s="7">
        <f>SUMIFS('bd caja'!$K$1:$K$1012,'bd caja'!$D$1:$D$1012,A13)</f>
        <v>0</v>
      </c>
      <c r="C13" s="19">
        <f>IFERROR(__xludf.DUMMYFUNCTION("""COMPUTED_VALUE"""),44888.413600092594)</f>
        <v>44888.4136</v>
      </c>
      <c r="D13" s="7" t="str">
        <f>IFERROR(__xludf.DUMMYFUNCTION("""COMPUTED_VALUE"""),"Ghibaudo")</f>
        <v>Ghibaudo</v>
      </c>
      <c r="E13" s="7" t="str">
        <f>IFERROR(__xludf.DUMMYFUNCTION("""COMPUTED_VALUE"""),"Pablo")</f>
        <v>Pablo</v>
      </c>
      <c r="F13" s="7" t="str">
        <f>IFERROR(__xludf.DUMMYFUNCTION("""COMPUTED_VALUE"""),"lic.pabloghibaudo@gmail.com")</f>
        <v>lic.pabloghibaudo@gmail.com</v>
      </c>
      <c r="G13" s="20">
        <f>IFERROR(__xludf.DUMMYFUNCTION("""COMPUTED_VALUE"""),29137.0)</f>
        <v>29137</v>
      </c>
      <c r="H13" s="7">
        <f>IFERROR(__xludf.DUMMYFUNCTION("""COMPUTED_VALUE"""),2.726762E7)</f>
        <v>27267620</v>
      </c>
      <c r="I13" s="7">
        <f>IFERROR(__xludf.DUMMYFUNCTION("""COMPUTED_VALUE"""),3.515528353E9)</f>
        <v>3515528353</v>
      </c>
      <c r="J13" s="7" t="str">
        <f>IFERROR(__xludf.DUMMYFUNCTION("""COMPUTED_VALUE"""),"Google")</f>
        <v>Google</v>
      </c>
      <c r="K13" s="7" t="str">
        <f>IFERROR(__xludf.DUMMYFUNCTION("""COMPUTED_VALUE"""),"Obra social")</f>
        <v>Obra social</v>
      </c>
      <c r="L13" s="7" t="str">
        <f>IFERROR(__xludf.DUMMYFUNCTION("""COMPUTED_VALUE"""),"APROSS")</f>
        <v>APROSS</v>
      </c>
      <c r="M13" s="7"/>
      <c r="N13" s="7"/>
      <c r="O13" s="7"/>
      <c r="P13" s="7"/>
      <c r="Q13" s="7"/>
      <c r="R13" s="7"/>
      <c r="S13" s="7"/>
    </row>
    <row r="14">
      <c r="A14" s="7" t="str">
        <f t="shared" si="1"/>
        <v>Asinari, Emanuel</v>
      </c>
      <c r="B14" s="7">
        <f>SUMIFS('bd caja'!$K$1:$K$1012,'bd caja'!$D$1:$D$1012,A14)</f>
        <v>0</v>
      </c>
      <c r="C14" s="19">
        <f>IFERROR(__xludf.DUMMYFUNCTION("""COMPUTED_VALUE"""),44889.821404201386)</f>
        <v>44889.8214</v>
      </c>
      <c r="D14" s="7" t="str">
        <f>IFERROR(__xludf.DUMMYFUNCTION("""COMPUTED_VALUE"""),"Asinari")</f>
        <v>Asinari</v>
      </c>
      <c r="E14" s="7" t="str">
        <f>IFERROR(__xludf.DUMMYFUNCTION("""COMPUTED_VALUE"""),"Emanuel")</f>
        <v>Emanuel</v>
      </c>
      <c r="F14" s="7" t="str">
        <f>IFERROR(__xludf.DUMMYFUNCTION("""COMPUTED_VALUE"""),"lic.pabloghibaudo@gmail.com")</f>
        <v>lic.pabloghibaudo@gmail.com</v>
      </c>
      <c r="G14" s="20">
        <f>IFERROR(__xludf.DUMMYFUNCTION("""COMPUTED_VALUE"""),34338.0)</f>
        <v>34338</v>
      </c>
      <c r="H14" s="7">
        <f>IFERROR(__xludf.DUMMYFUNCTION("""COMPUTED_VALUE"""),3.8001813E7)</f>
        <v>38001813</v>
      </c>
      <c r="I14" s="7">
        <f>IFERROR(__xludf.DUMMYFUNCTION("""COMPUTED_VALUE"""),3.51609855E9)</f>
        <v>3516098550</v>
      </c>
      <c r="J14" s="7" t="str">
        <f>IFERROR(__xludf.DUMMYFUNCTION("""COMPUTED_VALUE"""),"Soy amigo de la feliz pareja")</f>
        <v>Soy amigo de la feliz pareja</v>
      </c>
      <c r="K14" s="7" t="str">
        <f>IFERROR(__xludf.DUMMYFUNCTION("""COMPUTED_VALUE"""),"Particular")</f>
        <v>Particular</v>
      </c>
      <c r="L14" s="7"/>
      <c r="M14" s="7"/>
      <c r="N14" s="7"/>
      <c r="O14" s="7"/>
      <c r="P14" s="7"/>
      <c r="Q14" s="7"/>
      <c r="R14" s="7"/>
      <c r="S14" s="7"/>
    </row>
    <row r="15">
      <c r="A15" s="7" t="str">
        <f t="shared" si="1"/>
        <v>Rivara, Mauro Alejandro</v>
      </c>
      <c r="B15" s="7">
        <f>SUMIFS('bd caja'!$K$1:$K$1012,'bd caja'!$D$1:$D$1012,A15)</f>
        <v>0</v>
      </c>
      <c r="C15" s="19">
        <f>IFERROR(__xludf.DUMMYFUNCTION("""COMPUTED_VALUE"""),44890.79853166667)</f>
        <v>44890.79853</v>
      </c>
      <c r="D15" s="7" t="str">
        <f>IFERROR(__xludf.DUMMYFUNCTION("""COMPUTED_VALUE"""),"Rivara")</f>
        <v>Rivara</v>
      </c>
      <c r="E15" s="7" t="str">
        <f>IFERROR(__xludf.DUMMYFUNCTION("""COMPUTED_VALUE"""),"Mauro Alejandro")</f>
        <v>Mauro Alejandro</v>
      </c>
      <c r="F15" s="7" t="str">
        <f>IFERROR(__xludf.DUMMYFUNCTION("""COMPUTED_VALUE"""),"rivaramauro@hotmail.com")</f>
        <v>rivaramauro@hotmail.com</v>
      </c>
      <c r="G15" s="20">
        <f>IFERROR(__xludf.DUMMYFUNCTION("""COMPUTED_VALUE"""),22514.0)</f>
        <v>22514</v>
      </c>
      <c r="H15" s="7">
        <f>IFERROR(__xludf.DUMMYFUNCTION("""COMPUTED_VALUE"""),1.474739E7)</f>
        <v>14747390</v>
      </c>
      <c r="I15" s="7">
        <f>IFERROR(__xludf.DUMMYFUNCTION("""COMPUTED_VALUE"""),3.516536874E9)</f>
        <v>3516536874</v>
      </c>
      <c r="J15" s="7" t="str">
        <f>IFERROR(__xludf.DUMMYFUNCTION("""COMPUTED_VALUE"""),"Recomendación")</f>
        <v>Recomendación</v>
      </c>
      <c r="K15" s="7" t="str">
        <f>IFERROR(__xludf.DUMMYFUNCTION("""COMPUTED_VALUE"""),"Obra social")</f>
        <v>Obra social</v>
      </c>
      <c r="L15" s="7" t="str">
        <f>IFERROR(__xludf.DUMMYFUNCTION("""COMPUTED_VALUE"""),"CPCE")</f>
        <v>CPCE</v>
      </c>
      <c r="M15" s="7"/>
      <c r="N15" s="7"/>
      <c r="O15" s="7"/>
      <c r="P15" s="7"/>
      <c r="Q15" s="7"/>
      <c r="R15" s="7"/>
      <c r="S15" s="7"/>
    </row>
    <row r="16">
      <c r="A16" s="7" t="str">
        <f t="shared" si="1"/>
        <v>Andino, Guillermo Regino</v>
      </c>
      <c r="B16" s="7">
        <f>SUMIFS('bd caja'!$K$1:$K$1012,'bd caja'!$D$1:$D$1012,A16)</f>
        <v>0</v>
      </c>
      <c r="C16" s="19">
        <f>IFERROR(__xludf.DUMMYFUNCTION("""COMPUTED_VALUE"""),44891.47483369213)</f>
        <v>44891.47483</v>
      </c>
      <c r="D16" s="7" t="str">
        <f>IFERROR(__xludf.DUMMYFUNCTION("""COMPUTED_VALUE"""),"Andino")</f>
        <v>Andino</v>
      </c>
      <c r="E16" s="7" t="str">
        <f>IFERROR(__xludf.DUMMYFUNCTION("""COMPUTED_VALUE"""),"Guillermo Regino")</f>
        <v>Guillermo Regino</v>
      </c>
      <c r="F16" s="7" t="str">
        <f>IFERROR(__xludf.DUMMYFUNCTION("""COMPUTED_VALUE"""),"puchiandino1@gmail.com")</f>
        <v>puchiandino1@gmail.com</v>
      </c>
      <c r="G16" s="20">
        <f>IFERROR(__xludf.DUMMYFUNCTION("""COMPUTED_VALUE"""),37207.0)</f>
        <v>37207</v>
      </c>
      <c r="H16" s="7">
        <f>IFERROR(__xludf.DUMMYFUNCTION("""COMPUTED_VALUE"""),4.3693789E7)</f>
        <v>43693789</v>
      </c>
      <c r="I16" s="7">
        <f>IFERROR(__xludf.DUMMYFUNCTION("""COMPUTED_VALUE"""),3.517014316E9)</f>
        <v>3517014316</v>
      </c>
      <c r="J16" s="7" t="str">
        <f>IFERROR(__xludf.DUMMYFUNCTION("""COMPUTED_VALUE"""),"Recomendación")</f>
        <v>Recomendación</v>
      </c>
      <c r="K16" s="7" t="str">
        <f>IFERROR(__xludf.DUMMYFUNCTION("""COMPUTED_VALUE"""),"Obra social")</f>
        <v>Obra social</v>
      </c>
      <c r="L16" s="7" t="str">
        <f>IFERROR(__xludf.DUMMYFUNCTION("""COMPUTED_VALUE"""),"DASPU")</f>
        <v>DASPU</v>
      </c>
      <c r="M16" s="7"/>
      <c r="N16" s="7"/>
      <c r="O16" s="7"/>
      <c r="P16" s="7"/>
      <c r="Q16" s="7"/>
      <c r="R16" s="7"/>
      <c r="S16" s="7"/>
    </row>
    <row r="17">
      <c r="A17" s="7" t="str">
        <f t="shared" si="1"/>
        <v>MUÑOZ, Emery omar</v>
      </c>
      <c r="B17" s="7">
        <f>SUMIFS('bd caja'!$K$1:$K$1012,'bd caja'!$D$1:$D$1012,A17)</f>
        <v>0</v>
      </c>
      <c r="C17" s="19">
        <f>IFERROR(__xludf.DUMMYFUNCTION("""COMPUTED_VALUE"""),44893.4707246412)</f>
        <v>44893.47072</v>
      </c>
      <c r="D17" s="7" t="str">
        <f>IFERROR(__xludf.DUMMYFUNCTION("""COMPUTED_VALUE"""),"MUÑOZ")</f>
        <v>MUÑOZ</v>
      </c>
      <c r="E17" s="7" t="str">
        <f>IFERROR(__xludf.DUMMYFUNCTION("""COMPUTED_VALUE"""),"Emery omar")</f>
        <v>Emery omar</v>
      </c>
      <c r="F17" s="7" t="str">
        <f>IFERROR(__xludf.DUMMYFUNCTION("""COMPUTED_VALUE"""),"escribaniamunoz@gmail.com")</f>
        <v>escribaniamunoz@gmail.com</v>
      </c>
      <c r="G17" s="20">
        <f>IFERROR(__xludf.DUMMYFUNCTION("""COMPUTED_VALUE"""),28950.0)</f>
        <v>28950</v>
      </c>
      <c r="H17" s="7">
        <f>IFERROR(__xludf.DUMMYFUNCTION("""COMPUTED_VALUE"""),2.7303587E7)</f>
        <v>27303587</v>
      </c>
      <c r="I17" s="7">
        <f>IFERROR(__xludf.DUMMYFUNCTION("""COMPUTED_VALUE"""),3.513493623E9)</f>
        <v>3513493623</v>
      </c>
      <c r="J17" s="7" t="str">
        <f>IFERROR(__xludf.DUMMYFUNCTION("""COMPUTED_VALUE"""),"Voy al gym Manantial")</f>
        <v>Voy al gym Manantial</v>
      </c>
      <c r="K17" s="7" t="str">
        <f>IFERROR(__xludf.DUMMYFUNCTION("""COMPUTED_VALUE"""),"Obra social")</f>
        <v>Obra social</v>
      </c>
      <c r="L17" s="7" t="str">
        <f>IFERROR(__xludf.DUMMYFUNCTION("""COMPUTED_VALUE"""),"CAJA NOTARIAL")</f>
        <v>CAJA NOTARIAL</v>
      </c>
      <c r="M17" s="7"/>
      <c r="N17" s="7"/>
      <c r="O17" s="7"/>
      <c r="P17" s="7"/>
      <c r="Q17" s="7"/>
      <c r="R17" s="7"/>
      <c r="S17" s="7"/>
    </row>
    <row r="18">
      <c r="A18" s="7" t="str">
        <f t="shared" si="1"/>
        <v>Boasso, Lucas</v>
      </c>
      <c r="B18" s="7">
        <f>SUMIFS('bd caja'!$K$1:$K$1012,'bd caja'!$D$1:$D$1012,A18)</f>
        <v>0</v>
      </c>
      <c r="C18" s="19">
        <f>IFERROR(__xludf.DUMMYFUNCTION("""COMPUTED_VALUE"""),44893.50120216435)</f>
        <v>44893.5012</v>
      </c>
      <c r="D18" s="7" t="str">
        <f>IFERROR(__xludf.DUMMYFUNCTION("""COMPUTED_VALUE"""),"Boasso")</f>
        <v>Boasso</v>
      </c>
      <c r="E18" s="7" t="str">
        <f>IFERROR(__xludf.DUMMYFUNCTION("""COMPUTED_VALUE"""),"Lucas")</f>
        <v>Lucas</v>
      </c>
      <c r="F18" s="7" t="str">
        <f>IFERROR(__xludf.DUMMYFUNCTION("""COMPUTED_VALUE"""),"sosamariapia@hotmail.com ")</f>
        <v>sosamariapia@hotmail.com </v>
      </c>
      <c r="G18" s="20">
        <f>IFERROR(__xludf.DUMMYFUNCTION("""COMPUTED_VALUE"""),42410.0)</f>
        <v>42410</v>
      </c>
      <c r="H18" s="7">
        <f>IFERROR(__xludf.DUMMYFUNCTION("""COMPUTED_VALUE"""),5.5011829E7)</f>
        <v>55011829</v>
      </c>
      <c r="I18" s="7">
        <f>IFERROR(__xludf.DUMMYFUNCTION("""COMPUTED_VALUE"""),3.51628035E9)</f>
        <v>3516280350</v>
      </c>
      <c r="J18" s="7" t="str">
        <f>IFERROR(__xludf.DUMMYFUNCTION("""COMPUTED_VALUE"""),"Google")</f>
        <v>Google</v>
      </c>
      <c r="K18" s="7" t="str">
        <f>IFERROR(__xludf.DUMMYFUNCTION("""COMPUTED_VALUE"""),"Obra social")</f>
        <v>Obra social</v>
      </c>
      <c r="L18" s="7" t="str">
        <f>IFERROR(__xludf.DUMMYFUNCTION("""COMPUTED_VALUE"""),"APROSS")</f>
        <v>APROSS</v>
      </c>
      <c r="M18" s="7"/>
      <c r="N18" s="7"/>
      <c r="O18" s="7"/>
      <c r="P18" s="7"/>
      <c r="Q18" s="7"/>
      <c r="R18" s="7"/>
      <c r="S18" s="7"/>
    </row>
    <row r="19">
      <c r="A19" s="7" t="str">
        <f t="shared" si="1"/>
        <v>Druetta, Joaquín</v>
      </c>
      <c r="B19" s="7">
        <f>SUMIFS('bd caja'!$K$1:$K$1012,'bd caja'!$D$1:$D$1012,A19)</f>
        <v>0</v>
      </c>
      <c r="C19" s="19">
        <f>IFERROR(__xludf.DUMMYFUNCTION("""COMPUTED_VALUE"""),44895.83768556713)</f>
        <v>44895.83769</v>
      </c>
      <c r="D19" s="7" t="str">
        <f>IFERROR(__xludf.DUMMYFUNCTION("""COMPUTED_VALUE"""),"Druetta")</f>
        <v>Druetta</v>
      </c>
      <c r="E19" s="7" t="str">
        <f>IFERROR(__xludf.DUMMYFUNCTION("""COMPUTED_VALUE"""),"Joaquín")</f>
        <v>Joaquín</v>
      </c>
      <c r="F19" s="7" t="str">
        <f>IFERROR(__xludf.DUMMYFUNCTION("""COMPUTED_VALUE"""),"joadruetta@gmail.com")</f>
        <v>joadruetta@gmail.com</v>
      </c>
      <c r="G19" s="20">
        <f>IFERROR(__xludf.DUMMYFUNCTION("""COMPUTED_VALUE"""),35936.0)</f>
        <v>35936</v>
      </c>
      <c r="H19" s="7">
        <f>IFERROR(__xludf.DUMMYFUNCTION("""COMPUTED_VALUE"""),4081605.0)</f>
        <v>4081605</v>
      </c>
      <c r="I19" s="7">
        <f>IFERROR(__xludf.DUMMYFUNCTION("""COMPUTED_VALUE"""),3.513861638E9)</f>
        <v>3513861638</v>
      </c>
      <c r="J19" s="7" t="str">
        <f>IFERROR(__xludf.DUMMYFUNCTION("""COMPUTED_VALUE"""),"Recomendación")</f>
        <v>Recomendación</v>
      </c>
      <c r="K19" s="7" t="str">
        <f>IFERROR(__xludf.DUMMYFUNCTION("""COMPUTED_VALUE"""),"Particular")</f>
        <v>Particular</v>
      </c>
      <c r="L19" s="7"/>
      <c r="M19" s="7"/>
      <c r="N19" s="7"/>
      <c r="O19" s="7"/>
      <c r="P19" s="7"/>
      <c r="Q19" s="7"/>
      <c r="R19" s="7"/>
      <c r="S19" s="7"/>
    </row>
    <row r="20">
      <c r="A20" s="7" t="str">
        <f t="shared" si="1"/>
        <v>Hilbe, Estela</v>
      </c>
      <c r="B20" s="7">
        <f>SUMIFS('bd caja'!$K$1:$K$1012,'bd caja'!$D$1:$D$1012,A20)</f>
        <v>0</v>
      </c>
      <c r="C20" s="19">
        <f>IFERROR(__xludf.DUMMYFUNCTION("""COMPUTED_VALUE"""),44897.84809546296)</f>
        <v>44897.8481</v>
      </c>
      <c r="D20" s="7" t="str">
        <f>IFERROR(__xludf.DUMMYFUNCTION("""COMPUTED_VALUE"""),"Hilbe")</f>
        <v>Hilbe</v>
      </c>
      <c r="E20" s="7" t="str">
        <f>IFERROR(__xludf.DUMMYFUNCTION("""COMPUTED_VALUE"""),"Estela")</f>
        <v>Estela</v>
      </c>
      <c r="F20" s="7" t="str">
        <f>IFERROR(__xludf.DUMMYFUNCTION("""COMPUTED_VALUE"""),"Estelahilbe5@hotmail.com ")</f>
        <v>Estelahilbe5@hotmail.com </v>
      </c>
      <c r="G20" s="20">
        <f>IFERROR(__xludf.DUMMYFUNCTION("""COMPUTED_VALUE"""),19420.0)</f>
        <v>19420</v>
      </c>
      <c r="H20" s="7">
        <f>IFERROR(__xludf.DUMMYFUNCTION("""COMPUTED_VALUE"""),1.0756516E7)</f>
        <v>10756516</v>
      </c>
      <c r="I20" s="7">
        <f>IFERROR(__xludf.DUMMYFUNCTION("""COMPUTED_VALUE"""),3.513123179E9)</f>
        <v>3513123179</v>
      </c>
      <c r="J20" s="7" t="str">
        <f>IFERROR(__xludf.DUMMYFUNCTION("""COMPUTED_VALUE"""),"Recomendación")</f>
        <v>Recomendación</v>
      </c>
      <c r="K20" s="7" t="str">
        <f>IFERROR(__xludf.DUMMYFUNCTION("""COMPUTED_VALUE"""),"Obra social")</f>
        <v>Obra social</v>
      </c>
      <c r="L20" s="7" t="str">
        <f>IFERROR(__xludf.DUMMYFUNCTION("""COMPUTED_VALUE"""),"Jerarquico salud")</f>
        <v>Jerarquico salud</v>
      </c>
      <c r="M20" s="7"/>
      <c r="N20" s="7"/>
      <c r="O20" s="7"/>
      <c r="P20" s="7"/>
      <c r="Q20" s="7"/>
      <c r="R20" s="7"/>
      <c r="S20" s="7"/>
    </row>
    <row r="21">
      <c r="A21" s="7" t="str">
        <f t="shared" si="1"/>
        <v>Conrero, Valentino</v>
      </c>
      <c r="B21" s="7">
        <f>SUMIFS('bd caja'!$K$1:$K$1012,'bd caja'!$D$1:$D$1012,A21)</f>
        <v>0</v>
      </c>
      <c r="C21" s="19">
        <f>IFERROR(__xludf.DUMMYFUNCTION("""COMPUTED_VALUE"""),44901.88306773148)</f>
        <v>44901.88307</v>
      </c>
      <c r="D21" s="7" t="str">
        <f>IFERROR(__xludf.DUMMYFUNCTION("""COMPUTED_VALUE"""),"Conrero")</f>
        <v>Conrero</v>
      </c>
      <c r="E21" s="7" t="str">
        <f>IFERROR(__xludf.DUMMYFUNCTION("""COMPUTED_VALUE"""),"Valentino")</f>
        <v>Valentino</v>
      </c>
      <c r="F21" s="7" t="str">
        <f>IFERROR(__xludf.DUMMYFUNCTION("""COMPUTED_VALUE"""),"vconrero@gmail.com")</f>
        <v>vconrero@gmail.com</v>
      </c>
      <c r="G21" s="20">
        <f>IFERROR(__xludf.DUMMYFUNCTION("""COMPUTED_VALUE"""),37698.0)</f>
        <v>37698</v>
      </c>
      <c r="H21" s="7">
        <f>IFERROR(__xludf.DUMMYFUNCTION("""COMPUTED_VALUE"""),4.4694075E7)</f>
        <v>44694075</v>
      </c>
      <c r="I21" s="7">
        <f>IFERROR(__xludf.DUMMYFUNCTION("""COMPUTED_VALUE"""),3.515290969E9)</f>
        <v>3515290969</v>
      </c>
      <c r="J21" s="7" t="str">
        <f>IFERROR(__xludf.DUMMYFUNCTION("""COMPUTED_VALUE"""),"Google")</f>
        <v>Google</v>
      </c>
      <c r="K21" s="7" t="str">
        <f>IFERROR(__xludf.DUMMYFUNCTION("""COMPUTED_VALUE"""),"Obra social")</f>
        <v>Obra social</v>
      </c>
      <c r="L21" s="7" t="str">
        <f>IFERROR(__xludf.DUMMYFUNCTION("""COMPUTED_VALUE"""),"Medifé")</f>
        <v>Medifé</v>
      </c>
      <c r="M21" s="7"/>
      <c r="N21" s="7"/>
      <c r="O21" s="7"/>
      <c r="P21" s="7"/>
      <c r="Q21" s="7"/>
      <c r="R21" s="7"/>
      <c r="S21" s="7"/>
    </row>
    <row r="22">
      <c r="A22" s="7" t="str">
        <f t="shared" si="1"/>
        <v>Gonzalez, Nicolas </v>
      </c>
      <c r="B22" s="7">
        <f>SUMIFS('bd caja'!$K$1:$K$1012,'bd caja'!$D$1:$D$1012,A22)</f>
        <v>0</v>
      </c>
      <c r="C22" s="19">
        <f>IFERROR(__xludf.DUMMYFUNCTION("""COMPUTED_VALUE"""),44902.416306377316)</f>
        <v>44902.41631</v>
      </c>
      <c r="D22" s="7" t="str">
        <f>IFERROR(__xludf.DUMMYFUNCTION("""COMPUTED_VALUE"""),"Gonzalez")</f>
        <v>Gonzalez</v>
      </c>
      <c r="E22" s="7" t="str">
        <f>IFERROR(__xludf.DUMMYFUNCTION("""COMPUTED_VALUE"""),"Nicolas ")</f>
        <v>Nicolas </v>
      </c>
      <c r="F22" s="7" t="str">
        <f>IFERROR(__xludf.DUMMYFUNCTION("""COMPUTED_VALUE"""),"Nicomatigonzalez@hotmail.com")</f>
        <v>Nicomatigonzalez@hotmail.com</v>
      </c>
      <c r="G22" s="20">
        <f>IFERROR(__xludf.DUMMYFUNCTION("""COMPUTED_VALUE"""),34786.0)</f>
        <v>34786</v>
      </c>
      <c r="H22" s="7">
        <f>IFERROR(__xludf.DUMMYFUNCTION("""COMPUTED_VALUE"""),3.874917E7)</f>
        <v>38749170</v>
      </c>
      <c r="I22" s="7">
        <f>IFERROR(__xludf.DUMMYFUNCTION("""COMPUTED_VALUE"""),3.512558234E9)</f>
        <v>3512558234</v>
      </c>
      <c r="J22" s="7" t="str">
        <f>IFERROR(__xludf.DUMMYFUNCTION("""COMPUTED_VALUE"""),"Recomendación")</f>
        <v>Recomendación</v>
      </c>
      <c r="K22" s="7" t="str">
        <f>IFERROR(__xludf.DUMMYFUNCTION("""COMPUTED_VALUE"""),"Particular")</f>
        <v>Particular</v>
      </c>
      <c r="L22" s="7"/>
      <c r="M22" s="7"/>
      <c r="N22" s="7"/>
      <c r="O22" s="7"/>
      <c r="P22" s="7"/>
      <c r="Q22" s="7"/>
      <c r="R22" s="7"/>
      <c r="S22" s="7"/>
    </row>
    <row r="23">
      <c r="A23" s="7" t="str">
        <f t="shared" si="1"/>
        <v>Araujo, Dora Susana </v>
      </c>
      <c r="B23" s="7">
        <f>SUMIFS('bd caja'!$K$1:$K$1012,'bd caja'!$D$1:$D$1012,A23)</f>
        <v>0</v>
      </c>
      <c r="C23" s="19">
        <f>IFERROR(__xludf.DUMMYFUNCTION("""COMPUTED_VALUE"""),44907.700069178245)</f>
        <v>44907.70007</v>
      </c>
      <c r="D23" s="7" t="str">
        <f>IFERROR(__xludf.DUMMYFUNCTION("""COMPUTED_VALUE"""),"Araujo")</f>
        <v>Araujo</v>
      </c>
      <c r="E23" s="7" t="str">
        <f>IFERROR(__xludf.DUMMYFUNCTION("""COMPUTED_VALUE"""),"Dora Susana ")</f>
        <v>Dora Susana </v>
      </c>
      <c r="F23" s="7" t="str">
        <f>IFERROR(__xludf.DUMMYFUNCTION("""COMPUTED_VALUE"""),"sietejuana@gmail.com")</f>
        <v>sietejuana@gmail.com</v>
      </c>
      <c r="G23" s="20">
        <f>IFERROR(__xludf.DUMMYFUNCTION("""COMPUTED_VALUE"""),16564.0)</f>
        <v>16564</v>
      </c>
      <c r="H23" s="7">
        <f>IFERROR(__xludf.DUMMYFUNCTION("""COMPUTED_VALUE"""),4647485.0)</f>
        <v>4647485</v>
      </c>
      <c r="I23" s="7">
        <f>IFERROR(__xludf.DUMMYFUNCTION("""COMPUTED_VALUE"""),3.513503636E9)</f>
        <v>3513503636</v>
      </c>
      <c r="J23" s="7" t="str">
        <f>IFERROR(__xludf.DUMMYFUNCTION("""COMPUTED_VALUE"""),"Recomendación")</f>
        <v>Recomendación</v>
      </c>
      <c r="K23" s="7" t="str">
        <f>IFERROR(__xludf.DUMMYFUNCTION("""COMPUTED_VALUE"""),"Obra social")</f>
        <v>Obra social</v>
      </c>
      <c r="L23" s="7" t="str">
        <f>IFERROR(__xludf.DUMMYFUNCTION("""COMPUTED_VALUE"""),"APROSS")</f>
        <v>APROSS</v>
      </c>
      <c r="M23" s="7"/>
      <c r="N23" s="7"/>
      <c r="O23" s="7"/>
      <c r="P23" s="7"/>
      <c r="Q23" s="7"/>
      <c r="R23" s="7"/>
      <c r="S23" s="7"/>
    </row>
    <row r="24">
      <c r="A24" s="7" t="str">
        <f t="shared" si="1"/>
        <v>Boasi, Ivana</v>
      </c>
      <c r="B24" s="7">
        <f>SUMIFS('bd caja'!$K$1:$K$1012,'bd caja'!$D$1:$D$1012,A24)</f>
        <v>0</v>
      </c>
      <c r="C24" s="19">
        <f>IFERROR(__xludf.DUMMYFUNCTION("""COMPUTED_VALUE"""),44908.35121424768)</f>
        <v>44908.35121</v>
      </c>
      <c r="D24" s="7" t="str">
        <f>IFERROR(__xludf.DUMMYFUNCTION("""COMPUTED_VALUE"""),"Boasi")</f>
        <v>Boasi</v>
      </c>
      <c r="E24" s="7" t="str">
        <f>IFERROR(__xludf.DUMMYFUNCTION("""COMPUTED_VALUE"""),"Ivana")</f>
        <v>Ivana</v>
      </c>
      <c r="F24" s="7" t="str">
        <f>IFERROR(__xludf.DUMMYFUNCTION("""COMPUTED_VALUE"""),"ivanaboasi@gmail.com")</f>
        <v>ivanaboasi@gmail.com</v>
      </c>
      <c r="G24" s="20">
        <f>IFERROR(__xludf.DUMMYFUNCTION("""COMPUTED_VALUE"""),30556.0)</f>
        <v>30556</v>
      </c>
      <c r="H24" s="7">
        <f>IFERROR(__xludf.DUMMYFUNCTION("""COMPUTED_VALUE"""),3.0469315E7)</f>
        <v>30469315</v>
      </c>
      <c r="I24" s="7">
        <f>IFERROR(__xludf.DUMMYFUNCTION("""COMPUTED_VALUE"""),3.513732026E9)</f>
        <v>3513732026</v>
      </c>
      <c r="J24" s="7" t="str">
        <f>IFERROR(__xludf.DUMMYFUNCTION("""COMPUTED_VALUE"""),"Voy al gym Manantial")</f>
        <v>Voy al gym Manantial</v>
      </c>
      <c r="K24" s="7" t="str">
        <f>IFERROR(__xludf.DUMMYFUNCTION("""COMPUTED_VALUE"""),"Particular")</f>
        <v>Particular</v>
      </c>
      <c r="L24" s="7"/>
      <c r="M24" s="7"/>
      <c r="N24" s="7"/>
      <c r="O24" s="7"/>
      <c r="P24" s="7"/>
      <c r="Q24" s="7"/>
      <c r="R24" s="7"/>
      <c r="S24" s="7"/>
    </row>
    <row r="25">
      <c r="A25" s="7" t="str">
        <f t="shared" si="1"/>
        <v>Ferreyra, Ariel</v>
      </c>
      <c r="B25" s="7">
        <f>SUMIFS('bd caja'!$K$1:$K$1012,'bd caja'!$D$1:$D$1012,A25)</f>
        <v>0</v>
      </c>
      <c r="C25" s="19">
        <f>IFERROR(__xludf.DUMMYFUNCTION("""COMPUTED_VALUE"""),44908.902037754626)</f>
        <v>44908.90204</v>
      </c>
      <c r="D25" s="7" t="str">
        <f>IFERROR(__xludf.DUMMYFUNCTION("""COMPUTED_VALUE"""),"Ferreyra")</f>
        <v>Ferreyra</v>
      </c>
      <c r="E25" s="7" t="str">
        <f>IFERROR(__xludf.DUMMYFUNCTION("""COMPUTED_VALUE"""),"Ariel")</f>
        <v>Ariel</v>
      </c>
      <c r="F25" s="7" t="str">
        <f>IFERROR(__xludf.DUMMYFUNCTION("""COMPUTED_VALUE"""),"ariel.jferreyra@gmail.com")</f>
        <v>ariel.jferreyra@gmail.com</v>
      </c>
      <c r="G25" s="7" t="str">
        <f>IFERROR(__xludf.DUMMYFUNCTION("""COMPUTED_VALUE"""),"ramos")</f>
        <v>ramos</v>
      </c>
      <c r="H25" s="7">
        <f>IFERROR(__xludf.DUMMYFUNCTION("""COMPUTED_VALUE"""),2.4356325E7)</f>
        <v>24356325</v>
      </c>
      <c r="I25" s="7">
        <f>IFERROR(__xludf.DUMMYFUNCTION("""COMPUTED_VALUE"""),3.516535435E9)</f>
        <v>3516535435</v>
      </c>
      <c r="J25" s="7" t="str">
        <f>IFERROR(__xludf.DUMMYFUNCTION("""COMPUTED_VALUE"""),"Recomendación")</f>
        <v>Recomendación</v>
      </c>
      <c r="K25" s="7" t="str">
        <f>IFERROR(__xludf.DUMMYFUNCTION("""COMPUTED_VALUE"""),"Obra social")</f>
        <v>Obra social</v>
      </c>
      <c r="L25" s="7"/>
      <c r="M25" s="7"/>
      <c r="N25" s="7"/>
      <c r="O25" s="7"/>
      <c r="P25" s="7"/>
      <c r="Q25" s="7"/>
      <c r="R25" s="7"/>
      <c r="S25" s="7"/>
    </row>
    <row r="26">
      <c r="A26" s="7" t="str">
        <f t="shared" si="1"/>
        <v>Baena , Gustavo Ariel </v>
      </c>
      <c r="B26" s="7">
        <f>SUMIFS('bd caja'!$K$1:$K$1012,'bd caja'!$D$1:$D$1012,A26)</f>
        <v>0</v>
      </c>
      <c r="C26" s="19">
        <f>IFERROR(__xludf.DUMMYFUNCTION("""COMPUTED_VALUE"""),44909.90619232639)</f>
        <v>44909.90619</v>
      </c>
      <c r="D26" s="7" t="str">
        <f>IFERROR(__xludf.DUMMYFUNCTION("""COMPUTED_VALUE"""),"Baena ")</f>
        <v>Baena </v>
      </c>
      <c r="E26" s="7" t="str">
        <f>IFERROR(__xludf.DUMMYFUNCTION("""COMPUTED_VALUE"""),"Gustavo Ariel ")</f>
        <v>Gustavo Ariel </v>
      </c>
      <c r="F26" s="7" t="str">
        <f>IFERROR(__xludf.DUMMYFUNCTION("""COMPUTED_VALUE"""),"arielbaena@hotmail.com.ar ")</f>
        <v>arielbaena@hotmail.com.ar </v>
      </c>
      <c r="G26" s="20">
        <f>IFERROR(__xludf.DUMMYFUNCTION("""COMPUTED_VALUE"""),26901.0)</f>
        <v>26901</v>
      </c>
      <c r="H26" s="7">
        <f>IFERROR(__xludf.DUMMYFUNCTION("""COMPUTED_VALUE"""),2.344042E7)</f>
        <v>23440420</v>
      </c>
      <c r="I26" s="7">
        <f>IFERROR(__xludf.DUMMYFUNCTION("""COMPUTED_VALUE"""),3.516419517E9)</f>
        <v>3516419517</v>
      </c>
      <c r="J26" s="7" t="str">
        <f>IFERROR(__xludf.DUMMYFUNCTION("""COMPUTED_VALUE"""),"Recomendación")</f>
        <v>Recomendación</v>
      </c>
      <c r="K26" s="7" t="str">
        <f>IFERROR(__xludf.DUMMYFUNCTION("""COMPUTED_VALUE"""),"Obra social")</f>
        <v>Obra social</v>
      </c>
      <c r="L26" s="7" t="str">
        <f>IFERROR(__xludf.DUMMYFUNCTION("""COMPUTED_VALUE"""),"APROSS")</f>
        <v>APROSS</v>
      </c>
      <c r="M26" s="7"/>
      <c r="N26" s="7"/>
      <c r="O26" s="7"/>
      <c r="P26" s="7"/>
      <c r="Q26" s="7"/>
      <c r="R26" s="7"/>
      <c r="S26" s="7"/>
    </row>
    <row r="27">
      <c r="A27" s="7" t="str">
        <f t="shared" si="1"/>
        <v>Lozano, Ezequiel</v>
      </c>
      <c r="B27" s="7">
        <f>SUMIFS('bd caja'!$K$1:$K$1012,'bd caja'!$D$1:$D$1012,A27)</f>
        <v>0</v>
      </c>
      <c r="C27" s="19">
        <f>IFERROR(__xludf.DUMMYFUNCTION("""COMPUTED_VALUE"""),44911.64883736111)</f>
        <v>44911.64884</v>
      </c>
      <c r="D27" s="7" t="str">
        <f>IFERROR(__xludf.DUMMYFUNCTION("""COMPUTED_VALUE"""),"Lozano")</f>
        <v>Lozano</v>
      </c>
      <c r="E27" s="7" t="str">
        <f>IFERROR(__xludf.DUMMYFUNCTION("""COMPUTED_VALUE"""),"Ezequiel")</f>
        <v>Ezequiel</v>
      </c>
      <c r="F27" s="7" t="str">
        <f>IFERROR(__xludf.DUMMYFUNCTION("""COMPUTED_VALUE"""),"ezelozano7@gmail.com")</f>
        <v>ezelozano7@gmail.com</v>
      </c>
      <c r="G27" s="20">
        <f>IFERROR(__xludf.DUMMYFUNCTION("""COMPUTED_VALUE"""),34581.0)</f>
        <v>34581</v>
      </c>
      <c r="H27" s="7">
        <f>IFERROR(__xludf.DUMMYFUNCTION("""COMPUTED_VALUE"""),3.841207E7)</f>
        <v>38412070</v>
      </c>
      <c r="I27" s="7">
        <f>IFERROR(__xludf.DUMMYFUNCTION("""COMPUTED_VALUE"""),3.517384848E9)</f>
        <v>3517384848</v>
      </c>
      <c r="J27" s="7" t="str">
        <f>IFERROR(__xludf.DUMMYFUNCTION("""COMPUTED_VALUE"""),"Recomendación")</f>
        <v>Recomendación</v>
      </c>
      <c r="K27" s="7" t="str">
        <f>IFERROR(__xludf.DUMMYFUNCTION("""COMPUTED_VALUE"""),"Particular")</f>
        <v>Particular</v>
      </c>
      <c r="L27" s="7"/>
      <c r="M27" s="7"/>
      <c r="N27" s="7"/>
      <c r="O27" s="7"/>
      <c r="P27" s="7"/>
      <c r="Q27" s="7"/>
      <c r="R27" s="7"/>
      <c r="S27" s="7"/>
    </row>
    <row r="28">
      <c r="A28" s="7" t="str">
        <f t="shared" si="1"/>
        <v>Lazcano, Stella</v>
      </c>
      <c r="B28" s="7">
        <f>SUMIFS('bd caja'!$K$1:$K$1012,'bd caja'!$D$1:$D$1012,A28)</f>
        <v>0</v>
      </c>
      <c r="C28" s="19">
        <f>IFERROR(__xludf.DUMMYFUNCTION("""COMPUTED_VALUE"""),44918.476129710645)</f>
        <v>44918.47613</v>
      </c>
      <c r="D28" s="7" t="str">
        <f>IFERROR(__xludf.DUMMYFUNCTION("""COMPUTED_VALUE"""),"Lazcano")</f>
        <v>Lazcano</v>
      </c>
      <c r="E28" s="7" t="str">
        <f>IFERROR(__xludf.DUMMYFUNCTION("""COMPUTED_VALUE"""),"Stella")</f>
        <v>Stella</v>
      </c>
      <c r="F28" s="7"/>
      <c r="G28" s="20">
        <f>IFERROR(__xludf.DUMMYFUNCTION("""COMPUTED_VALUE"""),16642.0)</f>
        <v>16642</v>
      </c>
      <c r="H28" s="7">
        <f>IFERROR(__xludf.DUMMYFUNCTION("""COMPUTED_VALUE"""),5210099.0)</f>
        <v>5210099</v>
      </c>
      <c r="I28" s="7">
        <f>IFERROR(__xludf.DUMMYFUNCTION("""COMPUTED_VALUE"""),3.512757694E9)</f>
        <v>3512757694</v>
      </c>
      <c r="J28" s="7" t="str">
        <f>IFERROR(__xludf.DUMMYFUNCTION("""COMPUTED_VALUE"""),"Google")</f>
        <v>Google</v>
      </c>
      <c r="K28" s="7" t="str">
        <f>IFERROR(__xludf.DUMMYFUNCTION("""COMPUTED_VALUE"""),"Obra social")</f>
        <v>Obra social</v>
      </c>
      <c r="L28" s="7" t="str">
        <f>IFERROR(__xludf.DUMMYFUNCTION("""COMPUTED_VALUE"""),"APROSS")</f>
        <v>APROSS</v>
      </c>
      <c r="M28" s="7"/>
      <c r="N28" s="7"/>
      <c r="O28" s="7"/>
      <c r="P28" s="7"/>
      <c r="Q28" s="7"/>
      <c r="R28" s="7"/>
      <c r="S28" s="7"/>
    </row>
    <row r="29">
      <c r="A29" s="7" t="str">
        <f t="shared" si="1"/>
        <v>Accornero, Ignacio </v>
      </c>
      <c r="B29" s="7">
        <f>SUMIFS('bd caja'!$K$1:$K$1012,'bd caja'!$D$1:$D$1012,A29)</f>
        <v>0</v>
      </c>
      <c r="C29" s="19">
        <f>IFERROR(__xludf.DUMMYFUNCTION("""COMPUTED_VALUE"""),44920.965454571764)</f>
        <v>44920.96545</v>
      </c>
      <c r="D29" s="7" t="str">
        <f>IFERROR(__xludf.DUMMYFUNCTION("""COMPUTED_VALUE"""),"Accornero")</f>
        <v>Accornero</v>
      </c>
      <c r="E29" s="7" t="str">
        <f>IFERROR(__xludf.DUMMYFUNCTION("""COMPUTED_VALUE"""),"Ignacio ")</f>
        <v>Ignacio </v>
      </c>
      <c r="F29" s="7" t="str">
        <f>IFERROR(__xludf.DUMMYFUNCTION("""COMPUTED_VALUE"""),"nachoaccornero@hotmail.com")</f>
        <v>nachoaccornero@hotmail.com</v>
      </c>
      <c r="G29" s="20">
        <f>IFERROR(__xludf.DUMMYFUNCTION("""COMPUTED_VALUE"""),35767.0)</f>
        <v>35767</v>
      </c>
      <c r="H29" s="7">
        <f>IFERROR(__xludf.DUMMYFUNCTION("""COMPUTED_VALUE"""),4.0815684E7)</f>
        <v>40815684</v>
      </c>
      <c r="I29" s="7">
        <f>IFERROR(__xludf.DUMMYFUNCTION("""COMPUTED_VALUE"""),6.65987371E8)</f>
        <v>665987371</v>
      </c>
      <c r="J29" s="7" t="str">
        <f>IFERROR(__xludf.DUMMYFUNCTION("""COMPUTED_VALUE"""),"Recomendación")</f>
        <v>Recomendación</v>
      </c>
      <c r="K29" s="7" t="str">
        <f>IFERROR(__xludf.DUMMYFUNCTION("""COMPUTED_VALUE"""),"Particular")</f>
        <v>Particular</v>
      </c>
      <c r="L29" s="7"/>
      <c r="M29" s="7"/>
      <c r="N29" s="7"/>
      <c r="O29" s="7"/>
      <c r="P29" s="7"/>
      <c r="Q29" s="7"/>
      <c r="R29" s="7"/>
      <c r="S29" s="7"/>
    </row>
    <row r="30">
      <c r="A30" s="7" t="str">
        <f t="shared" si="1"/>
        <v>Ortelli, Esther</v>
      </c>
      <c r="B30" s="7">
        <f>SUMIFS('bd caja'!$K$1:$K$1012,'bd caja'!$D$1:$D$1012,A30)</f>
        <v>0</v>
      </c>
      <c r="C30" s="19">
        <f>IFERROR(__xludf.DUMMYFUNCTION("""COMPUTED_VALUE"""),44921.72984240741)</f>
        <v>44921.72984</v>
      </c>
      <c r="D30" s="7" t="str">
        <f>IFERROR(__xludf.DUMMYFUNCTION("""COMPUTED_VALUE"""),"Ortelli")</f>
        <v>Ortelli</v>
      </c>
      <c r="E30" s="7" t="str">
        <f>IFERROR(__xludf.DUMMYFUNCTION("""COMPUTED_VALUE"""),"Esther")</f>
        <v>Esther</v>
      </c>
      <c r="F30" s="7" t="str">
        <f>IFERROR(__xludf.DUMMYFUNCTION("""COMPUTED_VALUE"""),"esther.tarantino@hotmail.com")</f>
        <v>esther.tarantino@hotmail.com</v>
      </c>
      <c r="G30" s="20">
        <f>IFERROR(__xludf.DUMMYFUNCTION("""COMPUTED_VALUE"""),16144.0)</f>
        <v>16144</v>
      </c>
      <c r="H30" s="21">
        <f>IFERROR(__xludf.DUMMYFUNCTION("""COMPUTED_VALUE"""),4789045.0)</f>
        <v>4789045</v>
      </c>
      <c r="I30" s="7">
        <f>IFERROR(__xludf.DUMMYFUNCTION("""COMPUTED_VALUE"""),3.515306152E9)</f>
        <v>3515306152</v>
      </c>
      <c r="J30" s="7" t="str">
        <f>IFERROR(__xludf.DUMMYFUNCTION("""COMPUTED_VALUE"""),"Google")</f>
        <v>Google</v>
      </c>
      <c r="K30" s="7" t="str">
        <f>IFERROR(__xludf.DUMMYFUNCTION("""COMPUTED_VALUE"""),"Obra social")</f>
        <v>Obra social</v>
      </c>
      <c r="L30" s="7" t="str">
        <f>IFERROR(__xludf.DUMMYFUNCTION("""COMPUTED_VALUE"""),"CPCE")</f>
        <v>CPCE</v>
      </c>
      <c r="M30" s="7"/>
      <c r="N30" s="7"/>
      <c r="O30" s="7"/>
      <c r="P30" s="7"/>
      <c r="Q30" s="7"/>
      <c r="R30" s="7"/>
      <c r="S30" s="7"/>
    </row>
    <row r="31">
      <c r="A31" s="7" t="str">
        <f t="shared" si="1"/>
        <v>Sibona, Karina</v>
      </c>
      <c r="B31" s="7">
        <f>SUMIFS('bd caja'!$K$1:$K$1012,'bd caja'!$D$1:$D$1012,A31)</f>
        <v>0</v>
      </c>
      <c r="C31" s="19">
        <f>IFERROR(__xludf.DUMMYFUNCTION("""COMPUTED_VALUE"""),44923.41139163195)</f>
        <v>44923.41139</v>
      </c>
      <c r="D31" s="7" t="str">
        <f>IFERROR(__xludf.DUMMYFUNCTION("""COMPUTED_VALUE"""),"Sibona")</f>
        <v>Sibona</v>
      </c>
      <c r="E31" s="7" t="str">
        <f>IFERROR(__xludf.DUMMYFUNCTION("""COMPUTED_VALUE"""),"Karina")</f>
        <v>Karina</v>
      </c>
      <c r="F31" s="7" t="str">
        <f>IFERROR(__xludf.DUMMYFUNCTION("""COMPUTED_VALUE"""),"karinasibona@hotmail.com")</f>
        <v>karinasibona@hotmail.com</v>
      </c>
      <c r="G31" s="20">
        <f>IFERROR(__xludf.DUMMYFUNCTION("""COMPUTED_VALUE"""),26650.0)</f>
        <v>26650</v>
      </c>
      <c r="H31" s="7">
        <f>IFERROR(__xludf.DUMMYFUNCTION("""COMPUTED_VALUE"""),2.2795191E7)</f>
        <v>22795191</v>
      </c>
      <c r="I31" s="7">
        <f>IFERROR(__xludf.DUMMYFUNCTION("""COMPUTED_VALUE"""),3.512588741E9)</f>
        <v>3512588741</v>
      </c>
      <c r="J31" s="7" t="str">
        <f>IFERROR(__xludf.DUMMYFUNCTION("""COMPUTED_VALUE"""),"Google")</f>
        <v>Google</v>
      </c>
      <c r="K31" s="7" t="str">
        <f>IFERROR(__xludf.DUMMYFUNCTION("""COMPUTED_VALUE"""),"Obra social")</f>
        <v>Obra social</v>
      </c>
      <c r="L31" s="7" t="str">
        <f>IFERROR(__xludf.DUMMYFUNCTION("""COMPUTED_VALUE"""),"CPCE")</f>
        <v>CPCE</v>
      </c>
      <c r="M31" s="7"/>
      <c r="N31" s="7"/>
      <c r="O31" s="7"/>
      <c r="P31" s="7"/>
      <c r="Q31" s="7"/>
      <c r="R31" s="7"/>
      <c r="S31" s="7"/>
    </row>
    <row r="32">
      <c r="A32" s="7" t="str">
        <f t="shared" si="1"/>
        <v>Pepi, Bettina</v>
      </c>
      <c r="B32" s="7">
        <f>SUMIFS('bd caja'!$K$1:$K$1012,'bd caja'!$D$1:$D$1012,A32)</f>
        <v>0</v>
      </c>
      <c r="C32" s="19">
        <f>IFERROR(__xludf.DUMMYFUNCTION("""COMPUTED_VALUE"""),44923.41247686342)</f>
        <v>44923.41248</v>
      </c>
      <c r="D32" s="7" t="str">
        <f>IFERROR(__xludf.DUMMYFUNCTION("""COMPUTED_VALUE"""),"Pepi")</f>
        <v>Pepi</v>
      </c>
      <c r="E32" s="7" t="str">
        <f>IFERROR(__xludf.DUMMYFUNCTION("""COMPUTED_VALUE"""),"Bettina")</f>
        <v>Bettina</v>
      </c>
      <c r="F32" s="7" t="str">
        <f>IFERROR(__xludf.DUMMYFUNCTION("""COMPUTED_VALUE"""),"karinasibona@hotmail.com")</f>
        <v>karinasibona@hotmail.com</v>
      </c>
      <c r="G32" s="20">
        <f>IFERROR(__xludf.DUMMYFUNCTION("""COMPUTED_VALUE"""),41264.0)</f>
        <v>41264</v>
      </c>
      <c r="H32" s="7">
        <f>IFERROR(__xludf.DUMMYFUNCTION("""COMPUTED_VALUE"""),5.2466966E7)</f>
        <v>52466966</v>
      </c>
      <c r="I32" s="7">
        <f>IFERROR(__xludf.DUMMYFUNCTION("""COMPUTED_VALUE"""),3.512588741E9)</f>
        <v>3512588741</v>
      </c>
      <c r="J32" s="7" t="str">
        <f>IFERROR(__xludf.DUMMYFUNCTION("""COMPUTED_VALUE"""),"Google")</f>
        <v>Google</v>
      </c>
      <c r="K32" s="7" t="str">
        <f>IFERROR(__xludf.DUMMYFUNCTION("""COMPUTED_VALUE"""),"Obra social")</f>
        <v>Obra social</v>
      </c>
      <c r="L32" s="7" t="str">
        <f>IFERROR(__xludf.DUMMYFUNCTION("""COMPUTED_VALUE"""),"CPCE")</f>
        <v>CPCE</v>
      </c>
      <c r="M32" s="7"/>
      <c r="N32" s="7"/>
      <c r="O32" s="7"/>
      <c r="P32" s="7"/>
      <c r="Q32" s="7"/>
      <c r="R32" s="7"/>
      <c r="S32" s="7"/>
    </row>
    <row r="33">
      <c r="A33" s="7" t="str">
        <f t="shared" si="1"/>
        <v>Cardoni, Gino</v>
      </c>
      <c r="B33" s="7">
        <f>SUMIFS('bd caja'!$K$1:$K$1012,'bd caja'!$D$1:$D$1012,A33)</f>
        <v>0</v>
      </c>
      <c r="C33" s="19">
        <f>IFERROR(__xludf.DUMMYFUNCTION("""COMPUTED_VALUE"""),44924.730007997685)</f>
        <v>44924.73001</v>
      </c>
      <c r="D33" s="7" t="str">
        <f>IFERROR(__xludf.DUMMYFUNCTION("""COMPUTED_VALUE"""),"Cardoni")</f>
        <v>Cardoni</v>
      </c>
      <c r="E33" s="7" t="str">
        <f>IFERROR(__xludf.DUMMYFUNCTION("""COMPUTED_VALUE"""),"Gino")</f>
        <v>Gino</v>
      </c>
      <c r="F33" s="7" t="str">
        <f>IFERROR(__xludf.DUMMYFUNCTION("""COMPUTED_VALUE"""),"gino.baret@gmail.com")</f>
        <v>gino.baret@gmail.com</v>
      </c>
      <c r="G33" s="20">
        <f>IFERROR(__xludf.DUMMYFUNCTION("""COMPUTED_VALUE"""),31877.0)</f>
        <v>31877</v>
      </c>
      <c r="H33" s="7">
        <f>IFERROR(__xludf.DUMMYFUNCTION("""COMPUTED_VALUE"""),3.3117511E7)</f>
        <v>33117511</v>
      </c>
      <c r="I33" s="7">
        <f>IFERROR(__xludf.DUMMYFUNCTION("""COMPUTED_VALUE"""),3.512287296E9)</f>
        <v>3512287296</v>
      </c>
      <c r="J33" s="7" t="str">
        <f>IFERROR(__xludf.DUMMYFUNCTION("""COMPUTED_VALUE"""),"Recomendación")</f>
        <v>Recomendación</v>
      </c>
      <c r="K33" s="7" t="str">
        <f>IFERROR(__xludf.DUMMYFUNCTION("""COMPUTED_VALUE"""),"Particular")</f>
        <v>Particular</v>
      </c>
      <c r="L33" s="7"/>
      <c r="M33" s="7"/>
      <c r="N33" s="7"/>
      <c r="O33" s="7"/>
      <c r="P33" s="7"/>
      <c r="Q33" s="7"/>
      <c r="R33" s="7"/>
      <c r="S33" s="7"/>
    </row>
    <row r="34">
      <c r="A34" s="7" t="str">
        <f t="shared" si="1"/>
        <v>Gutiérrez , Ángela nora</v>
      </c>
      <c r="B34" s="7">
        <f>SUMIFS('bd caja'!$K$1:$K$1012,'bd caja'!$D$1:$D$1012,A34)</f>
        <v>0</v>
      </c>
      <c r="C34" s="19">
        <f>IFERROR(__xludf.DUMMYFUNCTION("""COMPUTED_VALUE"""),44924.83819850694)</f>
        <v>44924.8382</v>
      </c>
      <c r="D34" s="7" t="str">
        <f>IFERROR(__xludf.DUMMYFUNCTION("""COMPUTED_VALUE"""),"Gutiérrez ")</f>
        <v>Gutiérrez </v>
      </c>
      <c r="E34" s="7" t="str">
        <f>IFERROR(__xludf.DUMMYFUNCTION("""COMPUTED_VALUE"""),"Ángela nora")</f>
        <v>Ángela nora</v>
      </c>
      <c r="F34" s="7" t="str">
        <f>IFERROR(__xludf.DUMMYFUNCTION("""COMPUTED_VALUE"""),"angelanoragutierrez03@gmail.com")</f>
        <v>angelanoragutierrez03@gmail.com</v>
      </c>
      <c r="G34" s="20">
        <f>IFERROR(__xludf.DUMMYFUNCTION("""COMPUTED_VALUE"""),18600.0)</f>
        <v>18600</v>
      </c>
      <c r="H34" s="7">
        <f>IFERROR(__xludf.DUMMYFUNCTION("""COMPUTED_VALUE"""),6259516.0)</f>
        <v>6259516</v>
      </c>
      <c r="I34" s="7">
        <f>IFERROR(__xludf.DUMMYFUNCTION("""COMPUTED_VALUE"""),3.512484269E9)</f>
        <v>3512484269</v>
      </c>
      <c r="J34" s="7" t="str">
        <f>IFERROR(__xludf.DUMMYFUNCTION("""COMPUTED_VALUE"""),"Google")</f>
        <v>Google</v>
      </c>
      <c r="K34" s="7" t="str">
        <f>IFERROR(__xludf.DUMMYFUNCTION("""COMPUTED_VALUE"""),"Obra social")</f>
        <v>Obra social</v>
      </c>
      <c r="L34" s="7" t="str">
        <f>IFERROR(__xludf.DUMMYFUNCTION("""COMPUTED_VALUE"""),"APROSS")</f>
        <v>APROSS</v>
      </c>
      <c r="M34" s="7"/>
      <c r="N34" s="7"/>
      <c r="O34" s="7"/>
      <c r="P34" s="7"/>
      <c r="Q34" s="7"/>
      <c r="R34" s="7"/>
      <c r="S34" s="7"/>
    </row>
    <row r="35">
      <c r="A35" s="7" t="str">
        <f t="shared" si="1"/>
        <v>Heredia Pereyra , Mercedes Andrea </v>
      </c>
      <c r="B35" s="7">
        <f>SUMIFS('bd caja'!$K$1:$K$1012,'bd caja'!$D$1:$D$1012,A35)</f>
        <v>0</v>
      </c>
      <c r="C35" s="19">
        <f>IFERROR(__xludf.DUMMYFUNCTION("""COMPUTED_VALUE"""),44926.811601574074)</f>
        <v>44926.8116</v>
      </c>
      <c r="D35" s="7" t="str">
        <f>IFERROR(__xludf.DUMMYFUNCTION("""COMPUTED_VALUE"""),"Heredia Pereyra ")</f>
        <v>Heredia Pereyra </v>
      </c>
      <c r="E35" s="7" t="str">
        <f>IFERROR(__xludf.DUMMYFUNCTION("""COMPUTED_VALUE"""),"Mercedes Andrea ")</f>
        <v>Mercedes Andrea </v>
      </c>
      <c r="F35" s="7" t="str">
        <f>IFERROR(__xludf.DUMMYFUNCTION("""COMPUTED_VALUE"""),"mercedesahp@hotmail.com ")</f>
        <v>mercedesahp@hotmail.com </v>
      </c>
      <c r="G35" s="20">
        <f>IFERROR(__xludf.DUMMYFUNCTION("""COMPUTED_VALUE"""),29279.0)</f>
        <v>29279</v>
      </c>
      <c r="H35" s="7">
        <f>IFERROR(__xludf.DUMMYFUNCTION("""COMPUTED_VALUE"""),2.7955896E7)</f>
        <v>27955896</v>
      </c>
      <c r="I35" s="7">
        <f>IFERROR(__xludf.DUMMYFUNCTION("""COMPUTED_VALUE"""),3.513401354E9)</f>
        <v>3513401354</v>
      </c>
      <c r="J35" s="7" t="str">
        <f>IFERROR(__xludf.DUMMYFUNCTION("""COMPUTED_VALUE"""),"Recomendación")</f>
        <v>Recomendación</v>
      </c>
      <c r="K35" s="7" t="str">
        <f>IFERROR(__xludf.DUMMYFUNCTION("""COMPUTED_VALUE"""),"Obra social")</f>
        <v>Obra social</v>
      </c>
      <c r="L35" s="7" t="str">
        <f>IFERROR(__xludf.DUMMYFUNCTION("""COMPUTED_VALUE"""),"APROSS")</f>
        <v>APROSS</v>
      </c>
      <c r="M35" s="7"/>
      <c r="N35" s="7"/>
      <c r="O35" s="7"/>
      <c r="P35" s="7"/>
      <c r="Q35" s="7"/>
      <c r="R35" s="7"/>
      <c r="S35" s="7"/>
    </row>
    <row r="36">
      <c r="A36" s="7" t="str">
        <f t="shared" si="1"/>
        <v>Perini, Leonardo</v>
      </c>
      <c r="B36" s="7">
        <f>SUMIFS('bd caja'!$K$1:$K$1012,'bd caja'!$D$1:$D$1012,A36)</f>
        <v>0</v>
      </c>
      <c r="C36" s="19">
        <f>IFERROR(__xludf.DUMMYFUNCTION("""COMPUTED_VALUE"""),44928.44846900463)</f>
        <v>44928.44847</v>
      </c>
      <c r="D36" s="7" t="str">
        <f>IFERROR(__xludf.DUMMYFUNCTION("""COMPUTED_VALUE"""),"Perini")</f>
        <v>Perini</v>
      </c>
      <c r="E36" s="7" t="str">
        <f>IFERROR(__xludf.DUMMYFUNCTION("""COMPUTED_VALUE"""),"Leonardo")</f>
        <v>Leonardo</v>
      </c>
      <c r="F36" s="7" t="str">
        <f>IFERROR(__xludf.DUMMYFUNCTION("""COMPUTED_VALUE"""),"Lf04_cba@hotmail.com")</f>
        <v>Lf04_cba@hotmail.com</v>
      </c>
      <c r="G36" s="20">
        <f>IFERROR(__xludf.DUMMYFUNCTION("""COMPUTED_VALUE"""),32451.0)</f>
        <v>32451</v>
      </c>
      <c r="H36" s="7">
        <f>IFERROR(__xludf.DUMMYFUNCTION("""COMPUTED_VALUE"""),3.4069704E7)</f>
        <v>34069704</v>
      </c>
      <c r="I36" s="7">
        <f>IFERROR(__xludf.DUMMYFUNCTION("""COMPUTED_VALUE"""),3.512615886E9)</f>
        <v>3512615886</v>
      </c>
      <c r="J36" s="7" t="str">
        <f>IFERROR(__xludf.DUMMYFUNCTION("""COMPUTED_VALUE"""),"Google")</f>
        <v>Google</v>
      </c>
      <c r="K36" s="7" t="str">
        <f>IFERROR(__xludf.DUMMYFUNCTION("""COMPUTED_VALUE"""),"Particular")</f>
        <v>Particular</v>
      </c>
      <c r="L36" s="7"/>
      <c r="M36" s="7"/>
      <c r="N36" s="7"/>
      <c r="O36" s="7"/>
      <c r="P36" s="7"/>
      <c r="Q36" s="7"/>
      <c r="R36" s="7"/>
      <c r="S36" s="7"/>
    </row>
    <row r="37">
      <c r="A37" s="7" t="str">
        <f t="shared" si="1"/>
        <v>Brun, Luciano</v>
      </c>
      <c r="B37" s="7">
        <f>SUMIFS('bd caja'!$K$1:$K$1012,'bd caja'!$D$1:$D$1012,A37)</f>
        <v>0</v>
      </c>
      <c r="C37" s="19">
        <f>IFERROR(__xludf.DUMMYFUNCTION("""COMPUTED_VALUE"""),44928.82616415509)</f>
        <v>44928.82616</v>
      </c>
      <c r="D37" s="7" t="str">
        <f>IFERROR(__xludf.DUMMYFUNCTION("""COMPUTED_VALUE"""),"Brun")</f>
        <v>Brun</v>
      </c>
      <c r="E37" s="7" t="str">
        <f>IFERROR(__xludf.DUMMYFUNCTION("""COMPUTED_VALUE"""),"Luciano")</f>
        <v>Luciano</v>
      </c>
      <c r="F37" s="7" t="str">
        <f>IFERROR(__xludf.DUMMYFUNCTION("""COMPUTED_VALUE"""),"lucianobrun@hotmail.com")</f>
        <v>lucianobrun@hotmail.com</v>
      </c>
      <c r="G37" s="20">
        <f>IFERROR(__xludf.DUMMYFUNCTION("""COMPUTED_VALUE"""),29722.0)</f>
        <v>29722</v>
      </c>
      <c r="H37" s="7">
        <f>IFERROR(__xludf.DUMMYFUNCTION("""COMPUTED_VALUE"""),2.885095E7)</f>
        <v>28850950</v>
      </c>
      <c r="I37" s="7">
        <f>IFERROR(__xludf.DUMMYFUNCTION("""COMPUTED_VALUE"""),3.513904324E9)</f>
        <v>3513904324</v>
      </c>
      <c r="J37" s="7" t="str">
        <f>IFERROR(__xludf.DUMMYFUNCTION("""COMPUTED_VALUE"""),"Voy al gym Manantial")</f>
        <v>Voy al gym Manantial</v>
      </c>
      <c r="K37" s="7" t="str">
        <f>IFERROR(__xludf.DUMMYFUNCTION("""COMPUTED_VALUE"""),"Particular")</f>
        <v>Particular</v>
      </c>
      <c r="L37" s="7"/>
      <c r="M37" s="7"/>
      <c r="N37" s="7"/>
      <c r="O37" s="7"/>
      <c r="P37" s="7"/>
      <c r="Q37" s="7"/>
      <c r="R37" s="7"/>
      <c r="S37" s="7"/>
    </row>
    <row r="38">
      <c r="A38" s="7" t="str">
        <f t="shared" si="1"/>
        <v>Dolivo, Josefina</v>
      </c>
      <c r="B38" s="7">
        <f>SUMIFS('bd caja'!$K$1:$K$1012,'bd caja'!$D$1:$D$1012,A38)</f>
        <v>0</v>
      </c>
      <c r="C38" s="19">
        <f>IFERROR(__xludf.DUMMYFUNCTION("""COMPUTED_VALUE"""),44930.68617453704)</f>
        <v>44930.68617</v>
      </c>
      <c r="D38" s="7" t="str">
        <f>IFERROR(__xludf.DUMMYFUNCTION("""COMPUTED_VALUE"""),"Dolivo")</f>
        <v>Dolivo</v>
      </c>
      <c r="E38" s="7" t="str">
        <f>IFERROR(__xludf.DUMMYFUNCTION("""COMPUTED_VALUE"""),"Josefina")</f>
        <v>Josefina</v>
      </c>
      <c r="F38" s="7" t="str">
        <f>IFERROR(__xludf.DUMMYFUNCTION("""COMPUTED_VALUE"""),"dolivojosefina@gmail.com")</f>
        <v>dolivojosefina@gmail.com</v>
      </c>
      <c r="G38" s="20">
        <f>IFERROR(__xludf.DUMMYFUNCTION("""COMPUTED_VALUE"""),33208.0)</f>
        <v>33208</v>
      </c>
      <c r="H38" s="7">
        <f>IFERROR(__xludf.DUMMYFUNCTION("""COMPUTED_VALUE"""),3.5564552E7)</f>
        <v>35564552</v>
      </c>
      <c r="I38" s="7">
        <f>IFERROR(__xludf.DUMMYFUNCTION("""COMPUTED_VALUE"""),3.525454941E9)</f>
        <v>3525454941</v>
      </c>
      <c r="J38" s="7" t="str">
        <f>IFERROR(__xludf.DUMMYFUNCTION("""COMPUTED_VALUE"""),"Recomendación")</f>
        <v>Recomendación</v>
      </c>
      <c r="K38" s="7" t="str">
        <f>IFERROR(__xludf.DUMMYFUNCTION("""COMPUTED_VALUE"""),"Obra social")</f>
        <v>Obra social</v>
      </c>
      <c r="L38" s="7" t="str">
        <f>IFERROR(__xludf.DUMMYFUNCTION("""COMPUTED_VALUE"""),"SANCOR")</f>
        <v>SANCOR</v>
      </c>
      <c r="M38" s="7"/>
      <c r="N38" s="7"/>
      <c r="O38" s="7"/>
      <c r="P38" s="7"/>
      <c r="Q38" s="7"/>
      <c r="R38" s="7"/>
      <c r="S38" s="7"/>
    </row>
    <row r="39">
      <c r="A39" s="7" t="str">
        <f t="shared" si="1"/>
        <v>LASTRA, MELISA</v>
      </c>
      <c r="B39" s="7">
        <f>SUMIFS('bd caja'!$K$1:$K$1012,'bd caja'!$D$1:$D$1012,A39)</f>
        <v>0</v>
      </c>
      <c r="C39" s="19">
        <f>IFERROR(__xludf.DUMMYFUNCTION("""COMPUTED_VALUE"""),44930.971014027775)</f>
        <v>44930.97101</v>
      </c>
      <c r="D39" s="7" t="str">
        <f>IFERROR(__xludf.DUMMYFUNCTION("""COMPUTED_VALUE"""),"LASTRA")</f>
        <v>LASTRA</v>
      </c>
      <c r="E39" s="7" t="str">
        <f>IFERROR(__xludf.DUMMYFUNCTION("""COMPUTED_VALUE"""),"MELISA")</f>
        <v>MELISA</v>
      </c>
      <c r="F39" s="7" t="str">
        <f>IFERROR(__xludf.DUMMYFUNCTION("""COMPUTED_VALUE"""),"MELISALASTRA@GMAIL.COM")</f>
        <v>MELISALASTRA@GMAIL.COM</v>
      </c>
      <c r="G39" s="20">
        <f>IFERROR(__xludf.DUMMYFUNCTION("""COMPUTED_VALUE"""),32449.0)</f>
        <v>32449</v>
      </c>
      <c r="H39" s="7">
        <f>IFERROR(__xludf.DUMMYFUNCTION("""COMPUTED_VALUE"""),3.3976093E7)</f>
        <v>33976093</v>
      </c>
      <c r="I39" s="7">
        <f>IFERROR(__xludf.DUMMYFUNCTION("""COMPUTED_VALUE"""),3.512441614E9)</f>
        <v>3512441614</v>
      </c>
      <c r="J39" s="7" t="str">
        <f>IFERROR(__xludf.DUMMYFUNCTION("""COMPUTED_VALUE"""),"Voy al gym Manantial")</f>
        <v>Voy al gym Manantial</v>
      </c>
      <c r="K39" s="7" t="str">
        <f>IFERROR(__xludf.DUMMYFUNCTION("""COMPUTED_VALUE"""),"Obra social")</f>
        <v>Obra social</v>
      </c>
      <c r="L39" s="7" t="str">
        <f>IFERROR(__xludf.DUMMYFUNCTION("""COMPUTED_VALUE"""),"A.P.M")</f>
        <v>A.P.M</v>
      </c>
      <c r="M39" s="7"/>
      <c r="N39" s="7"/>
      <c r="O39" s="7"/>
      <c r="P39" s="7"/>
      <c r="Q39" s="7"/>
      <c r="R39" s="7"/>
      <c r="S39" s="7"/>
    </row>
    <row r="40">
      <c r="A40" s="7" t="str">
        <f t="shared" si="1"/>
        <v>Menzi, Antonio</v>
      </c>
      <c r="B40" s="7">
        <f>SUMIFS('bd caja'!$K$1:$K$1012,'bd caja'!$D$1:$D$1012,A40)</f>
        <v>0</v>
      </c>
      <c r="C40" s="19">
        <f>IFERROR(__xludf.DUMMYFUNCTION("""COMPUTED_VALUE"""),44932.67118863426)</f>
        <v>44932.67119</v>
      </c>
      <c r="D40" s="7" t="str">
        <f>IFERROR(__xludf.DUMMYFUNCTION("""COMPUTED_VALUE"""),"Menzi")</f>
        <v>Menzi</v>
      </c>
      <c r="E40" s="7" t="str">
        <f>IFERROR(__xludf.DUMMYFUNCTION("""COMPUTED_VALUE"""),"Antonio")</f>
        <v>Antonio</v>
      </c>
      <c r="F40" s="7" t="str">
        <f>IFERROR(__xludf.DUMMYFUNCTION("""COMPUTED_VALUE"""),"tony.menzi@gmail.com")</f>
        <v>tony.menzi@gmail.com</v>
      </c>
      <c r="G40" s="20">
        <f>IFERROR(__xludf.DUMMYFUNCTION("""COMPUTED_VALUE"""),35720.0)</f>
        <v>35720</v>
      </c>
      <c r="H40" s="7">
        <f>IFERROR(__xludf.DUMMYFUNCTION("""COMPUTED_VALUE"""),4.0686489E7)</f>
        <v>40686489</v>
      </c>
      <c r="I40" s="7">
        <f>IFERROR(__xludf.DUMMYFUNCTION("""COMPUTED_VALUE"""),3.512064245E9)</f>
        <v>3512064245</v>
      </c>
      <c r="J40" s="7" t="str">
        <f>IFERROR(__xludf.DUMMYFUNCTION("""COMPUTED_VALUE"""),"Cartilla Obra Social")</f>
        <v>Cartilla Obra Social</v>
      </c>
      <c r="K40" s="7" t="str">
        <f>IFERROR(__xludf.DUMMYFUNCTION("""COMPUTED_VALUE"""),"Obra social")</f>
        <v>Obra social</v>
      </c>
      <c r="L40" s="7" t="str">
        <f>IFERROR(__xludf.DUMMYFUNCTION("""COMPUTED_VALUE"""),"PREVENCIÓN")</f>
        <v>PREVENCIÓN</v>
      </c>
      <c r="M40" s="7"/>
      <c r="N40" s="7"/>
      <c r="O40" s="7"/>
      <c r="P40" s="7"/>
      <c r="Q40" s="7"/>
      <c r="R40" s="7"/>
      <c r="S40" s="7"/>
    </row>
    <row r="41">
      <c r="A41" s="7" t="str">
        <f t="shared" si="1"/>
        <v>MARQUEZ, ELENA BEATRIZ</v>
      </c>
      <c r="B41" s="7">
        <f>SUMIFS('bd caja'!$K$1:$K$1012,'bd caja'!$D$1:$D$1012,A41)</f>
        <v>0</v>
      </c>
      <c r="C41" s="19">
        <f>IFERROR(__xludf.DUMMYFUNCTION("""COMPUTED_VALUE"""),44935.81091314815)</f>
        <v>44935.81091</v>
      </c>
      <c r="D41" s="7" t="str">
        <f>IFERROR(__xludf.DUMMYFUNCTION("""COMPUTED_VALUE"""),"MARQUEZ")</f>
        <v>MARQUEZ</v>
      </c>
      <c r="E41" s="7" t="str">
        <f>IFERROR(__xludf.DUMMYFUNCTION("""COMPUTED_VALUE"""),"ELENA BEATRIZ")</f>
        <v>ELENA BEATRIZ</v>
      </c>
      <c r="F41" s="7" t="str">
        <f>IFERROR(__xludf.DUMMYFUNCTION("""COMPUTED_VALUE"""),"elenabeatrizmarquez@g.mail.com")</f>
        <v>elenabeatrizmarquez@g.mail.com</v>
      </c>
      <c r="G41" s="20">
        <f>IFERROR(__xludf.DUMMYFUNCTION("""COMPUTED_VALUE"""),20145.0)</f>
        <v>20145</v>
      </c>
      <c r="H41" s="7">
        <f>IFERROR(__xludf.DUMMYFUNCTION("""COMPUTED_VALUE"""),1.1745268E7)</f>
        <v>11745268</v>
      </c>
      <c r="I41" s="7">
        <f>IFERROR(__xludf.DUMMYFUNCTION("""COMPUTED_VALUE"""),3.512770181E9)</f>
        <v>3512770181</v>
      </c>
      <c r="J41" s="7" t="str">
        <f>IFERROR(__xludf.DUMMYFUNCTION("""COMPUTED_VALUE"""),"Recomendación")</f>
        <v>Recomendación</v>
      </c>
      <c r="K41" s="7" t="str">
        <f>IFERROR(__xludf.DUMMYFUNCTION("""COMPUTED_VALUE"""),"Obra social")</f>
        <v>Obra social</v>
      </c>
      <c r="L41" s="7" t="str">
        <f>IFERROR(__xludf.DUMMYFUNCTION("""COMPUTED_VALUE"""),"APROSS")</f>
        <v>APROSS</v>
      </c>
      <c r="M41" s="7"/>
      <c r="N41" s="7"/>
      <c r="O41" s="7"/>
      <c r="P41" s="7"/>
      <c r="Q41" s="7"/>
      <c r="R41" s="7"/>
      <c r="S41" s="7"/>
    </row>
    <row r="42">
      <c r="A42" s="7" t="str">
        <f t="shared" si="1"/>
        <v>Nievas Acosta, Marcos Daniel</v>
      </c>
      <c r="B42" s="7">
        <f>SUMIFS('bd caja'!$K$1:$K$1012,'bd caja'!$D$1:$D$1012,A42)</f>
        <v>0</v>
      </c>
      <c r="C42" s="19">
        <f>IFERROR(__xludf.DUMMYFUNCTION("""COMPUTED_VALUE"""),44937.558101284725)</f>
        <v>44937.5581</v>
      </c>
      <c r="D42" s="7" t="str">
        <f>IFERROR(__xludf.DUMMYFUNCTION("""COMPUTED_VALUE"""),"Nievas Acosta")</f>
        <v>Nievas Acosta</v>
      </c>
      <c r="E42" s="7" t="str">
        <f>IFERROR(__xludf.DUMMYFUNCTION("""COMPUTED_VALUE"""),"Marcos Daniel")</f>
        <v>Marcos Daniel</v>
      </c>
      <c r="F42" s="7" t="str">
        <f>IFERROR(__xludf.DUMMYFUNCTION("""COMPUTED_VALUE"""),"Mnievasacosta@gmail.com")</f>
        <v>Mnievasacosta@gmail.com</v>
      </c>
      <c r="G42" s="20">
        <f>IFERROR(__xludf.DUMMYFUNCTION("""COMPUTED_VALUE"""),34033.0)</f>
        <v>34033</v>
      </c>
      <c r="H42" s="7">
        <f>IFERROR(__xludf.DUMMYFUNCTION("""COMPUTED_VALUE"""),3.7317203E7)</f>
        <v>37317203</v>
      </c>
      <c r="I42" s="7">
        <f>IFERROR(__xludf.DUMMYFUNCTION("""COMPUTED_VALUE"""),3.516558107E9)</f>
        <v>3516558107</v>
      </c>
      <c r="J42" s="7" t="str">
        <f>IFERROR(__xludf.DUMMYFUNCTION("""COMPUTED_VALUE"""),"Recomendación")</f>
        <v>Recomendación</v>
      </c>
      <c r="K42" s="7" t="str">
        <f>IFERROR(__xludf.DUMMYFUNCTION("""COMPUTED_VALUE"""),"Particular")</f>
        <v>Particular</v>
      </c>
      <c r="L42" s="7"/>
      <c r="M42" s="7"/>
      <c r="N42" s="7"/>
      <c r="O42" s="7"/>
      <c r="P42" s="7"/>
      <c r="Q42" s="7"/>
      <c r="R42" s="7"/>
      <c r="S42" s="7"/>
    </row>
    <row r="43">
      <c r="A43" s="7" t="str">
        <f t="shared" si="1"/>
        <v>Vocos, Lucia</v>
      </c>
      <c r="B43" s="7">
        <f>SUMIFS('bd caja'!$K$1:$K$1012,'bd caja'!$D$1:$D$1012,A43)</f>
        <v>0</v>
      </c>
      <c r="C43" s="19">
        <f>IFERROR(__xludf.DUMMYFUNCTION("""COMPUTED_VALUE"""),44942.86966601852)</f>
        <v>44942.86967</v>
      </c>
      <c r="D43" s="7" t="str">
        <f>IFERROR(__xludf.DUMMYFUNCTION("""COMPUTED_VALUE"""),"Vocos")</f>
        <v>Vocos</v>
      </c>
      <c r="E43" s="7" t="str">
        <f>IFERROR(__xludf.DUMMYFUNCTION("""COMPUTED_VALUE"""),"Lucia")</f>
        <v>Lucia</v>
      </c>
      <c r="F43" s="7"/>
      <c r="G43" s="20">
        <f>IFERROR(__xludf.DUMMYFUNCTION("""COMPUTED_VALUE"""),32574.0)</f>
        <v>32574</v>
      </c>
      <c r="H43" s="7">
        <f>IFERROR(__xludf.DUMMYFUNCTION("""COMPUTED_VALUE"""),3.4315567E7)</f>
        <v>34315567</v>
      </c>
      <c r="I43" s="7">
        <f>IFERROR(__xludf.DUMMYFUNCTION("""COMPUTED_VALUE"""),1.7677271846E10)</f>
        <v>17677271846</v>
      </c>
      <c r="J43" s="7" t="str">
        <f>IFERROR(__xludf.DUMMYFUNCTION("""COMPUTED_VALUE"""),"Recomendación")</f>
        <v>Recomendación</v>
      </c>
      <c r="K43" s="7" t="str">
        <f>IFERROR(__xludf.DUMMYFUNCTION("""COMPUTED_VALUE"""),"Particular")</f>
        <v>Particular</v>
      </c>
      <c r="L43" s="7"/>
      <c r="M43" s="7"/>
      <c r="N43" s="7"/>
      <c r="O43" s="7"/>
      <c r="P43" s="7"/>
      <c r="Q43" s="7"/>
      <c r="R43" s="7"/>
      <c r="S43" s="7"/>
    </row>
    <row r="44">
      <c r="A44" s="7" t="str">
        <f t="shared" si="1"/>
        <v>Garino, Dario</v>
      </c>
      <c r="B44" s="7">
        <f>SUMIFS('bd caja'!$K$1:$K$1012,'bd caja'!$D$1:$D$1012,A44)</f>
        <v>0</v>
      </c>
      <c r="C44" s="19">
        <f>IFERROR(__xludf.DUMMYFUNCTION("""COMPUTED_VALUE"""),44951.763432499996)</f>
        <v>44951.76343</v>
      </c>
      <c r="D44" s="7" t="str">
        <f>IFERROR(__xludf.DUMMYFUNCTION("""COMPUTED_VALUE"""),"Garino")</f>
        <v>Garino</v>
      </c>
      <c r="E44" s="7" t="str">
        <f>IFERROR(__xludf.DUMMYFUNCTION("""COMPUTED_VALUE"""),"Dario")</f>
        <v>Dario</v>
      </c>
      <c r="F44" s="7" t="str">
        <f>IFERROR(__xludf.DUMMYFUNCTION("""COMPUTED_VALUE"""),"dariog128@hotmail.com")</f>
        <v>dariog128@hotmail.com</v>
      </c>
      <c r="G44" s="20">
        <f>IFERROR(__xludf.DUMMYFUNCTION("""COMPUTED_VALUE"""),32583.0)</f>
        <v>32583</v>
      </c>
      <c r="H44" s="7">
        <f>IFERROR(__xludf.DUMMYFUNCTION("""COMPUTED_VALUE"""),3.4247843E7)</f>
        <v>34247843</v>
      </c>
      <c r="I44" s="7">
        <f>IFERROR(__xludf.DUMMYFUNCTION("""COMPUTED_VALUE"""),3.515571888E9)</f>
        <v>3515571888</v>
      </c>
      <c r="J44" s="7" t="str">
        <f>IFERROR(__xludf.DUMMYFUNCTION("""COMPUTED_VALUE"""),"Recomendación")</f>
        <v>Recomendación</v>
      </c>
      <c r="K44" s="7" t="str">
        <f>IFERROR(__xludf.DUMMYFUNCTION("""COMPUTED_VALUE"""),"Particular")</f>
        <v>Particular</v>
      </c>
      <c r="L44" s="7"/>
      <c r="M44" s="7"/>
      <c r="N44" s="7"/>
      <c r="O44" s="7"/>
      <c r="P44" s="7"/>
      <c r="Q44" s="7"/>
      <c r="R44" s="7"/>
      <c r="S44" s="7"/>
    </row>
    <row r="45">
      <c r="A45" s="7" t="str">
        <f t="shared" si="1"/>
        <v>layus, Daniel</v>
      </c>
      <c r="B45" s="7">
        <f>SUMIFS('bd caja'!$K$1:$K$1012,'bd caja'!$D$1:$D$1012,A45)</f>
        <v>0</v>
      </c>
      <c r="C45" s="19">
        <f>IFERROR(__xludf.DUMMYFUNCTION("""COMPUTED_VALUE"""),44953.4892372801)</f>
        <v>44953.48924</v>
      </c>
      <c r="D45" s="7" t="str">
        <f>IFERROR(__xludf.DUMMYFUNCTION("""COMPUTED_VALUE"""),"layus")</f>
        <v>layus</v>
      </c>
      <c r="E45" s="7" t="str">
        <f>IFERROR(__xludf.DUMMYFUNCTION("""COMPUTED_VALUE"""),"Daniel")</f>
        <v>Daniel</v>
      </c>
      <c r="F45" s="7" t="str">
        <f>IFERROR(__xludf.DUMMYFUNCTION("""COMPUTED_VALUE"""),"dansocias77@gmail.com")</f>
        <v>dansocias77@gmail.com</v>
      </c>
      <c r="G45" s="20">
        <f>IFERROR(__xludf.DUMMYFUNCTION("""COMPUTED_VALUE"""),28046.0)</f>
        <v>28046</v>
      </c>
      <c r="H45" s="7">
        <f>IFERROR(__xludf.DUMMYFUNCTION("""COMPUTED_VALUE"""),2.6177948E7)</f>
        <v>26177948</v>
      </c>
      <c r="I45" s="7">
        <f>IFERROR(__xludf.DUMMYFUNCTION("""COMPUTED_VALUE"""),3.515471689E9)</f>
        <v>3515471689</v>
      </c>
      <c r="J45" s="7" t="str">
        <f>IFERROR(__xludf.DUMMYFUNCTION("""COMPUTED_VALUE"""),"Google")</f>
        <v>Google</v>
      </c>
      <c r="K45" s="7" t="str">
        <f>IFERROR(__xludf.DUMMYFUNCTION("""COMPUTED_VALUE"""),"Obra social")</f>
        <v>Obra social</v>
      </c>
      <c r="L45" s="7" t="str">
        <f>IFERROR(__xludf.DUMMYFUNCTION("""COMPUTED_VALUE"""),"PREVENCIÓN")</f>
        <v>PREVENCIÓN</v>
      </c>
      <c r="M45" s="7"/>
      <c r="N45" s="7"/>
      <c r="O45" s="7"/>
      <c r="P45" s="7"/>
      <c r="Q45" s="7"/>
      <c r="R45" s="7"/>
      <c r="S45" s="7"/>
    </row>
    <row r="46">
      <c r="A46" s="7" t="str">
        <f t="shared" si="1"/>
        <v>Retter, Norma</v>
      </c>
      <c r="B46" s="7">
        <f>SUMIFS('bd caja'!$K$1:$K$1012,'bd caja'!$D$1:$D$1012,A46)</f>
        <v>0</v>
      </c>
      <c r="C46" s="19">
        <f>IFERROR(__xludf.DUMMYFUNCTION("""COMPUTED_VALUE"""),44953.494708240745)</f>
        <v>44953.49471</v>
      </c>
      <c r="D46" s="7" t="str">
        <f>IFERROR(__xludf.DUMMYFUNCTION("""COMPUTED_VALUE"""),"Retter")</f>
        <v>Retter</v>
      </c>
      <c r="E46" s="7" t="str">
        <f>IFERROR(__xludf.DUMMYFUNCTION("""COMPUTED_VALUE"""),"Norma")</f>
        <v>Norma</v>
      </c>
      <c r="F46" s="7" t="str">
        <f>IFERROR(__xludf.DUMMYFUNCTION("""COMPUTED_VALUE"""),"normaretter@hotmail.com")</f>
        <v>normaretter@hotmail.com</v>
      </c>
      <c r="G46" s="20">
        <f>IFERROR(__xludf.DUMMYFUNCTION("""COMPUTED_VALUE"""),18169.0)</f>
        <v>18169</v>
      </c>
      <c r="H46" s="7">
        <f>IFERROR(__xludf.DUMMYFUNCTION("""COMPUTED_VALUE"""),6132407.0)</f>
        <v>6132407</v>
      </c>
      <c r="I46" s="7">
        <f>IFERROR(__xludf.DUMMYFUNCTION("""COMPUTED_VALUE"""),3.513241502E9)</f>
        <v>3513241502</v>
      </c>
      <c r="J46" s="7" t="str">
        <f>IFERROR(__xludf.DUMMYFUNCTION("""COMPUTED_VALUE"""),"Recomendación")</f>
        <v>Recomendación</v>
      </c>
      <c r="K46" s="7" t="str">
        <f>IFERROR(__xludf.DUMMYFUNCTION("""COMPUTED_VALUE"""),"Obra social")</f>
        <v>Obra social</v>
      </c>
      <c r="L46" s="7" t="str">
        <f>IFERROR(__xludf.DUMMYFUNCTION("""COMPUTED_VALUE"""),"DASPU")</f>
        <v>DASPU</v>
      </c>
      <c r="M46" s="7"/>
      <c r="N46" s="7"/>
      <c r="O46" s="7"/>
      <c r="P46" s="7"/>
      <c r="Q46" s="7"/>
      <c r="R46" s="7"/>
      <c r="S46" s="7"/>
    </row>
    <row r="47">
      <c r="A47" s="7" t="str">
        <f t="shared" si="1"/>
        <v>Bracco, Munir</v>
      </c>
      <c r="B47" s="7">
        <f>SUMIFS('bd caja'!$K$1:$K$1012,'bd caja'!$D$1:$D$1012,A47)</f>
        <v>0</v>
      </c>
      <c r="C47" s="19">
        <f>IFERROR(__xludf.DUMMYFUNCTION("""COMPUTED_VALUE"""),44953.5015500463)</f>
        <v>44953.50155</v>
      </c>
      <c r="D47" s="7" t="str">
        <f>IFERROR(__xludf.DUMMYFUNCTION("""COMPUTED_VALUE"""),"Bracco")</f>
        <v>Bracco</v>
      </c>
      <c r="E47" s="7" t="str">
        <f>IFERROR(__xludf.DUMMYFUNCTION("""COMPUTED_VALUE"""),"Munir")</f>
        <v>Munir</v>
      </c>
      <c r="F47" s="7" t="str">
        <f>IFERROR(__xludf.DUMMYFUNCTION("""COMPUTED_VALUE"""),"munirbracco@hotmail.com")</f>
        <v>munirbracco@hotmail.com</v>
      </c>
      <c r="G47" s="20">
        <f>IFERROR(__xludf.DUMMYFUNCTION("""COMPUTED_VALUE"""),27251.0)</f>
        <v>27251</v>
      </c>
      <c r="H47" s="7">
        <f>IFERROR(__xludf.DUMMYFUNCTION("""COMPUTED_VALUE"""),2.4088161E7)</f>
        <v>24088161</v>
      </c>
      <c r="I47" s="7">
        <f>IFERROR(__xludf.DUMMYFUNCTION("""COMPUTED_VALUE"""),3.515185921E9)</f>
        <v>3515185921</v>
      </c>
      <c r="J47" s="7" t="str">
        <f>IFERROR(__xludf.DUMMYFUNCTION("""COMPUTED_VALUE"""),"Recomendación")</f>
        <v>Recomendación</v>
      </c>
      <c r="K47" s="7" t="str">
        <f>IFERROR(__xludf.DUMMYFUNCTION("""COMPUTED_VALUE"""),"Obra social")</f>
        <v>Obra social</v>
      </c>
      <c r="L47" s="7" t="str">
        <f>IFERROR(__xludf.DUMMYFUNCTION("""COMPUTED_VALUE"""),"AE San Pedro")</f>
        <v>AE San Pedro</v>
      </c>
      <c r="M47" s="7"/>
      <c r="N47" s="7"/>
      <c r="O47" s="7"/>
      <c r="P47" s="7"/>
      <c r="Q47" s="7"/>
      <c r="R47" s="7"/>
      <c r="S47" s="7"/>
    </row>
    <row r="48">
      <c r="A48" s="7" t="str">
        <f t="shared" si="1"/>
        <v>Rodriguez , Reinaldo</v>
      </c>
      <c r="B48" s="7">
        <f>SUMIFS('bd caja'!$K$1:$K$1012,'bd caja'!$D$1:$D$1012,A48)</f>
        <v>0</v>
      </c>
      <c r="C48" s="19">
        <f>IFERROR(__xludf.DUMMYFUNCTION("""COMPUTED_VALUE"""),44953.74153159722)</f>
        <v>44953.74153</v>
      </c>
      <c r="D48" s="7" t="str">
        <f>IFERROR(__xludf.DUMMYFUNCTION("""COMPUTED_VALUE"""),"Rodriguez ")</f>
        <v>Rodriguez </v>
      </c>
      <c r="E48" s="7" t="str">
        <f>IFERROR(__xludf.DUMMYFUNCTION("""COMPUTED_VALUE"""),"Reinaldo")</f>
        <v>Reinaldo</v>
      </c>
      <c r="F48" s="7" t="str">
        <f>IFERROR(__xludf.DUMMYFUNCTION("""COMPUTED_VALUE"""),"Estelahilbe5@hotmail.com ")</f>
        <v>Estelahilbe5@hotmail.com </v>
      </c>
      <c r="G48" s="20">
        <f>IFERROR(__xludf.DUMMYFUNCTION("""COMPUTED_VALUE"""),18352.0)</f>
        <v>18352</v>
      </c>
      <c r="H48" s="7">
        <f>IFERROR(__xludf.DUMMYFUNCTION("""COMPUTED_VALUE"""),7868456.0)</f>
        <v>7868456</v>
      </c>
      <c r="I48" s="7">
        <f>IFERROR(__xludf.DUMMYFUNCTION("""COMPUTED_VALUE"""),3.491464298E9)</f>
        <v>3491464298</v>
      </c>
      <c r="J48" s="7" t="str">
        <f>IFERROR(__xludf.DUMMYFUNCTION("""COMPUTED_VALUE"""),"Recomendación")</f>
        <v>Recomendación</v>
      </c>
      <c r="K48" s="7" t="str">
        <f>IFERROR(__xludf.DUMMYFUNCTION("""COMPUTED_VALUE"""),"Obra social")</f>
        <v>Obra social</v>
      </c>
      <c r="L48" s="7" t="str">
        <f>IFERROR(__xludf.DUMMYFUNCTION("""COMPUTED_VALUE"""),"Jerarquicos salud")</f>
        <v>Jerarquicos salud</v>
      </c>
      <c r="M48" s="7"/>
      <c r="N48" s="7"/>
      <c r="O48" s="7"/>
      <c r="P48" s="7"/>
      <c r="Q48" s="7"/>
      <c r="R48" s="7"/>
      <c r="S48" s="7"/>
    </row>
    <row r="49">
      <c r="A49" s="7" t="str">
        <f t="shared" si="1"/>
        <v>Vega Machado, Alejandro</v>
      </c>
      <c r="B49" s="7">
        <f>SUMIFS('bd caja'!$K$1:$K$1012,'bd caja'!$D$1:$D$1012,A49)</f>
        <v>0</v>
      </c>
      <c r="C49" s="19">
        <f>IFERROR(__xludf.DUMMYFUNCTION("""COMPUTED_VALUE"""),44956.41278305555)</f>
        <v>44956.41278</v>
      </c>
      <c r="D49" s="7" t="str">
        <f>IFERROR(__xludf.DUMMYFUNCTION("""COMPUTED_VALUE"""),"Vega Machado")</f>
        <v>Vega Machado</v>
      </c>
      <c r="E49" s="7" t="str">
        <f>IFERROR(__xludf.DUMMYFUNCTION("""COMPUTED_VALUE"""),"Alejandro")</f>
        <v>Alejandro</v>
      </c>
      <c r="F49" s="7" t="str">
        <f>IFERROR(__xludf.DUMMYFUNCTION("""COMPUTED_VALUE"""),"alejandro.vega79@gmail.com")</f>
        <v>alejandro.vega79@gmail.com</v>
      </c>
      <c r="G49" s="20">
        <f>IFERROR(__xludf.DUMMYFUNCTION("""COMPUTED_VALUE"""),28911.0)</f>
        <v>28911</v>
      </c>
      <c r="H49" s="7">
        <f>IFERROR(__xludf.DUMMYFUNCTION("""COMPUTED_VALUE"""),2.7172103E7)</f>
        <v>27172103</v>
      </c>
      <c r="I49" s="7">
        <f>IFERROR(__xludf.DUMMYFUNCTION("""COMPUTED_VALUE"""),3.515583969E9)</f>
        <v>3515583969</v>
      </c>
      <c r="J49" s="7" t="str">
        <f>IFERROR(__xludf.DUMMYFUNCTION("""COMPUTED_VALUE"""),"Recomendación")</f>
        <v>Recomendación</v>
      </c>
      <c r="K49" s="7" t="str">
        <f>IFERROR(__xludf.DUMMYFUNCTION("""COMPUTED_VALUE"""),"Particular")</f>
        <v>Particular</v>
      </c>
      <c r="L49" s="7"/>
      <c r="M49" s="7"/>
      <c r="N49" s="7"/>
      <c r="O49" s="7"/>
      <c r="P49" s="7"/>
      <c r="Q49" s="7"/>
      <c r="R49" s="7"/>
      <c r="S49" s="7"/>
    </row>
    <row r="50">
      <c r="A50" s="7" t="str">
        <f t="shared" si="1"/>
        <v>Vega, Maria belen</v>
      </c>
      <c r="B50" s="7">
        <f>SUMIFS('bd caja'!$K$1:$K$1012,'bd caja'!$D$1:$D$1012,A50)</f>
        <v>0</v>
      </c>
      <c r="C50" s="19">
        <f>IFERROR(__xludf.DUMMYFUNCTION("""COMPUTED_VALUE"""),44957.46353460648)</f>
        <v>44957.46353</v>
      </c>
      <c r="D50" s="7" t="str">
        <f>IFERROR(__xludf.DUMMYFUNCTION("""COMPUTED_VALUE"""),"Vega")</f>
        <v>Vega</v>
      </c>
      <c r="E50" s="7" t="str">
        <f>IFERROR(__xludf.DUMMYFUNCTION("""COMPUTED_VALUE"""),"Maria belen")</f>
        <v>Maria belen</v>
      </c>
      <c r="F50" s="7"/>
      <c r="G50" s="20">
        <f>IFERROR(__xludf.DUMMYFUNCTION("""COMPUTED_VALUE"""),44957.0)</f>
        <v>44957</v>
      </c>
      <c r="H50" s="7">
        <f>IFERROR(__xludf.DUMMYFUNCTION("""COMPUTED_VALUE"""),3.1523085E7)</f>
        <v>31523085</v>
      </c>
      <c r="I50" s="7">
        <f>IFERROR(__xludf.DUMMYFUNCTION("""COMPUTED_VALUE"""),3.513798148E9)</f>
        <v>3513798148</v>
      </c>
      <c r="J50" s="7" t="str">
        <f>IFERROR(__xludf.DUMMYFUNCTION("""COMPUTED_VALUE"""),"Google")</f>
        <v>Google</v>
      </c>
      <c r="K50" s="7" t="str">
        <f>IFERROR(__xludf.DUMMYFUNCTION("""COMPUTED_VALUE"""),"Obra social")</f>
        <v>Obra social</v>
      </c>
      <c r="L50" s="7" t="str">
        <f>IFERROR(__xludf.DUMMYFUNCTION("""COMPUTED_VALUE"""),"APROSS")</f>
        <v>APROSS</v>
      </c>
      <c r="M50" s="7"/>
      <c r="N50" s="7"/>
      <c r="O50" s="7"/>
      <c r="P50" s="7"/>
      <c r="Q50" s="7"/>
      <c r="R50" s="7"/>
      <c r="S50" s="7"/>
    </row>
    <row r="51">
      <c r="A51" s="7" t="str">
        <f t="shared" si="1"/>
        <v>Micheloud, Santiago</v>
      </c>
      <c r="B51" s="7">
        <f>SUMIFS('bd caja'!$K$1:$K$1012,'bd caja'!$D$1:$D$1012,A51)</f>
        <v>0</v>
      </c>
      <c r="C51" s="19">
        <f>IFERROR(__xludf.DUMMYFUNCTION("""COMPUTED_VALUE"""),44957.68236560185)</f>
        <v>44957.68237</v>
      </c>
      <c r="D51" s="7" t="str">
        <f>IFERROR(__xludf.DUMMYFUNCTION("""COMPUTED_VALUE"""),"Micheloud")</f>
        <v>Micheloud</v>
      </c>
      <c r="E51" s="7" t="str">
        <f>IFERROR(__xludf.DUMMYFUNCTION("""COMPUTED_VALUE"""),"Santiago")</f>
        <v>Santiago</v>
      </c>
      <c r="F51" s="7" t="str">
        <f>IFERROR(__xludf.DUMMYFUNCTION("""COMPUTED_VALUE"""),"caroponce_@hotmail.com")</f>
        <v>caroponce_@hotmail.com</v>
      </c>
      <c r="G51" s="20">
        <f>IFERROR(__xludf.DUMMYFUNCTION("""COMPUTED_VALUE"""),40598.0)</f>
        <v>40598</v>
      </c>
      <c r="H51" s="7">
        <f>IFERROR(__xludf.DUMMYFUNCTION("""COMPUTED_VALUE"""),5.0631375E7)</f>
        <v>50631375</v>
      </c>
      <c r="I51" s="7">
        <f>IFERROR(__xludf.DUMMYFUNCTION("""COMPUTED_VALUE"""),3.51328771E9)</f>
        <v>3513287710</v>
      </c>
      <c r="J51" s="7" t="str">
        <f>IFERROR(__xludf.DUMMYFUNCTION("""COMPUTED_VALUE"""),"Google")</f>
        <v>Google</v>
      </c>
      <c r="K51" s="7" t="str">
        <f>IFERROR(__xludf.DUMMYFUNCTION("""COMPUTED_VALUE"""),"Particular")</f>
        <v>Particular</v>
      </c>
      <c r="L51" s="7"/>
      <c r="M51" s="7"/>
      <c r="N51" s="7"/>
      <c r="O51" s="7"/>
      <c r="P51" s="7"/>
      <c r="Q51" s="7"/>
      <c r="R51" s="7"/>
      <c r="S51" s="7"/>
    </row>
    <row r="52">
      <c r="A52" s="7" t="str">
        <f t="shared" si="1"/>
        <v>Palacios, Santiago</v>
      </c>
      <c r="B52" s="7">
        <f>SUMIFS('bd caja'!$K$1:$K$1012,'bd caja'!$D$1:$D$1012,A52)</f>
        <v>0</v>
      </c>
      <c r="C52" s="19">
        <f>IFERROR(__xludf.DUMMYFUNCTION("""COMPUTED_VALUE"""),44957.745726863424)</f>
        <v>44957.74573</v>
      </c>
      <c r="D52" s="7" t="str">
        <f>IFERROR(__xludf.DUMMYFUNCTION("""COMPUTED_VALUE"""),"Palacios")</f>
        <v>Palacios</v>
      </c>
      <c r="E52" s="7" t="str">
        <f>IFERROR(__xludf.DUMMYFUNCTION("""COMPUTED_VALUE"""),"Santiago")</f>
        <v>Santiago</v>
      </c>
      <c r="F52" s="7" t="str">
        <f>IFERROR(__xludf.DUMMYFUNCTION("""COMPUTED_VALUE"""),"santipalacios17@hotmail.com")</f>
        <v>santipalacios17@hotmail.com</v>
      </c>
      <c r="G52" s="20">
        <f>IFERROR(__xludf.DUMMYFUNCTION("""COMPUTED_VALUE"""),36599.0)</f>
        <v>36599</v>
      </c>
      <c r="H52" s="7">
        <f>IFERROR(__xludf.DUMMYFUNCTION("""COMPUTED_VALUE"""),4.2697056E7)</f>
        <v>42697056</v>
      </c>
      <c r="I52" s="7">
        <f>IFERROR(__xludf.DUMMYFUNCTION("""COMPUTED_VALUE"""),3.516160854E9)</f>
        <v>3516160854</v>
      </c>
      <c r="J52" s="7" t="str">
        <f>IFERROR(__xludf.DUMMYFUNCTION("""COMPUTED_VALUE"""),"Google")</f>
        <v>Google</v>
      </c>
      <c r="K52" s="7" t="str">
        <f>IFERROR(__xludf.DUMMYFUNCTION("""COMPUTED_VALUE"""),"Particular")</f>
        <v>Particular</v>
      </c>
      <c r="L52" s="7"/>
      <c r="M52" s="7"/>
      <c r="N52" s="7"/>
      <c r="O52" s="7"/>
      <c r="P52" s="7"/>
      <c r="Q52" s="7"/>
      <c r="R52" s="7"/>
      <c r="S52" s="7"/>
    </row>
    <row r="53">
      <c r="A53" s="7" t="str">
        <f t="shared" si="1"/>
        <v>Viberti , Carlos</v>
      </c>
      <c r="B53" s="7">
        <f>SUMIFS('bd caja'!$K$1:$K$1012,'bd caja'!$D$1:$D$1012,A53)</f>
        <v>0</v>
      </c>
      <c r="C53" s="19">
        <f>IFERROR(__xludf.DUMMYFUNCTION("""COMPUTED_VALUE"""),44959.757838391204)</f>
        <v>44959.75784</v>
      </c>
      <c r="D53" s="7" t="str">
        <f>IFERROR(__xludf.DUMMYFUNCTION("""COMPUTED_VALUE"""),"Viberti ")</f>
        <v>Viberti </v>
      </c>
      <c r="E53" s="7" t="str">
        <f>IFERROR(__xludf.DUMMYFUNCTION("""COMPUTED_VALUE"""),"Carlos")</f>
        <v>Carlos</v>
      </c>
      <c r="F53" s="7"/>
      <c r="G53" s="20">
        <f>IFERROR(__xludf.DUMMYFUNCTION("""COMPUTED_VALUE"""),14333.0)</f>
        <v>14333</v>
      </c>
      <c r="H53" s="7">
        <f>IFERROR(__xludf.DUMMYFUNCTION("""COMPUTED_VALUE"""),6385089.0)</f>
        <v>6385089</v>
      </c>
      <c r="I53" s="7">
        <f>IFERROR(__xludf.DUMMYFUNCTION("""COMPUTED_VALUE"""),3.515385789E9)</f>
        <v>3515385789</v>
      </c>
      <c r="J53" s="7" t="str">
        <f>IFERROR(__xludf.DUMMYFUNCTION("""COMPUTED_VALUE"""),"Recomendación")</f>
        <v>Recomendación</v>
      </c>
      <c r="K53" s="7" t="str">
        <f>IFERROR(__xludf.DUMMYFUNCTION("""COMPUTED_VALUE"""),"Obra social")</f>
        <v>Obra social</v>
      </c>
      <c r="L53" s="7" t="str">
        <f>IFERROR(__xludf.DUMMYFUNCTION("""COMPUTED_VALUE"""),"APROSS")</f>
        <v>APROSS</v>
      </c>
      <c r="M53" s="7"/>
      <c r="N53" s="7"/>
      <c r="O53" s="7"/>
      <c r="P53" s="7"/>
      <c r="Q53" s="7"/>
      <c r="R53" s="7"/>
      <c r="S53" s="7"/>
    </row>
    <row r="54">
      <c r="A54" s="7" t="str">
        <f t="shared" si="1"/>
        <v>Arrieta, Claudio Carlos</v>
      </c>
      <c r="B54" s="7">
        <f>SUMIFS('bd caja'!$K$1:$K$1012,'bd caja'!$D$1:$D$1012,A54)</f>
        <v>0</v>
      </c>
      <c r="C54" s="19">
        <f>IFERROR(__xludf.DUMMYFUNCTION("""COMPUTED_VALUE"""),44959.82011681713)</f>
        <v>44959.82012</v>
      </c>
      <c r="D54" s="7" t="str">
        <f>IFERROR(__xludf.DUMMYFUNCTION("""COMPUTED_VALUE"""),"Arrieta")</f>
        <v>Arrieta</v>
      </c>
      <c r="E54" s="7" t="str">
        <f>IFERROR(__xludf.DUMMYFUNCTION("""COMPUTED_VALUE"""),"Claudio Carlos")</f>
        <v>Claudio Carlos</v>
      </c>
      <c r="F54" s="7" t="str">
        <f>IFERROR(__xludf.DUMMYFUNCTION("""COMPUTED_VALUE"""),"ccarrieta@gmail.com")</f>
        <v>ccarrieta@gmail.com</v>
      </c>
      <c r="G54" s="20">
        <f>IFERROR(__xludf.DUMMYFUNCTION("""COMPUTED_VALUE"""),27145.0)</f>
        <v>27145</v>
      </c>
      <c r="H54" s="7">
        <f>IFERROR(__xludf.DUMMYFUNCTION("""COMPUTED_VALUE"""),2.3824551E7)</f>
        <v>23824551</v>
      </c>
      <c r="I54" s="7">
        <f>IFERROR(__xludf.DUMMYFUNCTION("""COMPUTED_VALUE"""),3.516137697E9)</f>
        <v>3516137697</v>
      </c>
      <c r="J54" s="7" t="str">
        <f>IFERROR(__xludf.DUMMYFUNCTION("""COMPUTED_VALUE"""),"Compañera natación")</f>
        <v>Compañera natación</v>
      </c>
      <c r="K54" s="7" t="str">
        <f>IFERROR(__xludf.DUMMYFUNCTION("""COMPUTED_VALUE"""),"Obra social")</f>
        <v>Obra social</v>
      </c>
      <c r="L54" s="7" t="str">
        <f>IFERROR(__xludf.DUMMYFUNCTION("""COMPUTED_VALUE"""),"APROSS")</f>
        <v>APROSS</v>
      </c>
      <c r="M54" s="7"/>
      <c r="N54" s="7"/>
      <c r="O54" s="7"/>
      <c r="P54" s="7"/>
      <c r="Q54" s="7"/>
      <c r="R54" s="7"/>
      <c r="S54" s="7"/>
    </row>
    <row r="55">
      <c r="A55" s="7" t="str">
        <f t="shared" si="1"/>
        <v>Martinez, Sergio dario</v>
      </c>
      <c r="B55" s="7">
        <f>SUMIFS('bd caja'!$K$1:$K$1012,'bd caja'!$D$1:$D$1012,A55)</f>
        <v>0</v>
      </c>
      <c r="C55" s="19">
        <f>IFERROR(__xludf.DUMMYFUNCTION("""COMPUTED_VALUE"""),44959.88307789352)</f>
        <v>44959.88308</v>
      </c>
      <c r="D55" s="7" t="str">
        <f>IFERROR(__xludf.DUMMYFUNCTION("""COMPUTED_VALUE"""),"Martinez")</f>
        <v>Martinez</v>
      </c>
      <c r="E55" s="7" t="str">
        <f>IFERROR(__xludf.DUMMYFUNCTION("""COMPUTED_VALUE"""),"Sergio dario")</f>
        <v>Sergio dario</v>
      </c>
      <c r="F55" s="7" t="str">
        <f>IFERROR(__xludf.DUMMYFUNCTION("""COMPUTED_VALUE"""),"Sergiooomartinezz.@gmail.")</f>
        <v>Sergiooomartinezz.@gmail.</v>
      </c>
      <c r="G55" s="20">
        <f>IFERROR(__xludf.DUMMYFUNCTION("""COMPUTED_VALUE"""),23655.0)</f>
        <v>23655</v>
      </c>
      <c r="H55" s="7">
        <f>IFERROR(__xludf.DUMMYFUNCTION("""COMPUTED_VALUE"""),1.715462E7)</f>
        <v>17154620</v>
      </c>
      <c r="I55" s="7">
        <f>IFERROR(__xludf.DUMMYFUNCTION("""COMPUTED_VALUE"""),3.513516889E9)</f>
        <v>3513516889</v>
      </c>
      <c r="J55" s="7" t="str">
        <f>IFERROR(__xludf.DUMMYFUNCTION("""COMPUTED_VALUE"""),"Recomendación")</f>
        <v>Recomendación</v>
      </c>
      <c r="K55" s="7" t="str">
        <f>IFERROR(__xludf.DUMMYFUNCTION("""COMPUTED_VALUE"""),"Particular")</f>
        <v>Particular</v>
      </c>
      <c r="L55" s="7"/>
      <c r="M55" s="7"/>
      <c r="N55" s="7"/>
      <c r="O55" s="7"/>
      <c r="P55" s="7"/>
      <c r="Q55" s="7"/>
      <c r="R55" s="7"/>
      <c r="S55" s="7"/>
    </row>
    <row r="56">
      <c r="A56" s="7" t="str">
        <f t="shared" si="1"/>
        <v>Ibarra, Marta</v>
      </c>
      <c r="B56" s="7">
        <f>SUMIFS('bd caja'!$K$1:$K$1012,'bd caja'!$D$1:$D$1012,A56)</f>
        <v>0</v>
      </c>
      <c r="C56" s="19">
        <f>IFERROR(__xludf.DUMMYFUNCTION("""COMPUTED_VALUE"""),44960.457987754635)</f>
        <v>44960.45799</v>
      </c>
      <c r="D56" s="7" t="str">
        <f>IFERROR(__xludf.DUMMYFUNCTION("""COMPUTED_VALUE"""),"Ibarra")</f>
        <v>Ibarra</v>
      </c>
      <c r="E56" s="7" t="str">
        <f>IFERROR(__xludf.DUMMYFUNCTION("""COMPUTED_VALUE"""),"Marta")</f>
        <v>Marta</v>
      </c>
      <c r="F56" s="7" t="str">
        <f>IFERROR(__xludf.DUMMYFUNCTION("""COMPUTED_VALUE"""),"draibarrajaramillo@gmail.com")</f>
        <v>draibarrajaramillo@gmail.com</v>
      </c>
      <c r="G56" s="20">
        <f>IFERROR(__xludf.DUMMYFUNCTION("""COMPUTED_VALUE"""),19122.0)</f>
        <v>19122</v>
      </c>
      <c r="H56" s="7">
        <f>IFERROR(__xludf.DUMMYFUNCTION("""COMPUTED_VALUE"""),1.0377891E7)</f>
        <v>10377891</v>
      </c>
      <c r="I56" s="7">
        <f>IFERROR(__xludf.DUMMYFUNCTION("""COMPUTED_VALUE"""),3.516505375E9)</f>
        <v>3516505375</v>
      </c>
      <c r="J56" s="7" t="str">
        <f>IFERROR(__xludf.DUMMYFUNCTION("""COMPUTED_VALUE"""),"Voy al gym Manantial")</f>
        <v>Voy al gym Manantial</v>
      </c>
      <c r="K56" s="7" t="str">
        <f>IFERROR(__xludf.DUMMYFUNCTION("""COMPUTED_VALUE"""),"Obra social")</f>
        <v>Obra social</v>
      </c>
      <c r="L56" s="7" t="str">
        <f>IFERROR(__xludf.DUMMYFUNCTION("""COMPUTED_VALUE"""),"APROSS")</f>
        <v>APROSS</v>
      </c>
      <c r="M56" s="7"/>
      <c r="N56" s="7"/>
      <c r="O56" s="7"/>
      <c r="P56" s="7"/>
      <c r="Q56" s="7"/>
      <c r="R56" s="7"/>
      <c r="S56" s="7"/>
    </row>
    <row r="57">
      <c r="A57" s="7" t="str">
        <f t="shared" si="1"/>
        <v>Avila, Patricia</v>
      </c>
      <c r="B57" s="7">
        <f>SUMIFS('bd caja'!$K$1:$K$1012,'bd caja'!$D$1:$D$1012,A57)</f>
        <v>0</v>
      </c>
      <c r="C57" s="19">
        <f>IFERROR(__xludf.DUMMYFUNCTION("""COMPUTED_VALUE"""),44960.46383219908)</f>
        <v>44960.46383</v>
      </c>
      <c r="D57" s="7" t="str">
        <f>IFERROR(__xludf.DUMMYFUNCTION("""COMPUTED_VALUE"""),"Avila")</f>
        <v>Avila</v>
      </c>
      <c r="E57" s="7" t="str">
        <f>IFERROR(__xludf.DUMMYFUNCTION("""COMPUTED_VALUE"""),"Patricia")</f>
        <v>Patricia</v>
      </c>
      <c r="F57" s="7" t="str">
        <f>IFERROR(__xludf.DUMMYFUNCTION("""COMPUTED_VALUE"""),"avilapati@hotmail.com")</f>
        <v>avilapati@hotmail.com</v>
      </c>
      <c r="G57" s="20">
        <f>IFERROR(__xludf.DUMMYFUNCTION("""COMPUTED_VALUE"""),21135.0)</f>
        <v>21135</v>
      </c>
      <c r="H57" s="7">
        <f>IFERROR(__xludf.DUMMYFUNCTION("""COMPUTED_VALUE"""),1.3597824E7)</f>
        <v>13597824</v>
      </c>
      <c r="I57" s="7">
        <f>IFERROR(__xludf.DUMMYFUNCTION("""COMPUTED_VALUE"""),3.512774033E9)</f>
        <v>3512774033</v>
      </c>
      <c r="J57" s="7" t="str">
        <f>IFERROR(__xludf.DUMMYFUNCTION("""COMPUTED_VALUE"""),"Recomendación")</f>
        <v>Recomendación</v>
      </c>
      <c r="K57" s="7" t="str">
        <f>IFERROR(__xludf.DUMMYFUNCTION("""COMPUTED_VALUE"""),"Obra social")</f>
        <v>Obra social</v>
      </c>
      <c r="L57" s="7" t="str">
        <f>IFERROR(__xludf.DUMMYFUNCTION("""COMPUTED_VALUE"""),"APROSS")</f>
        <v>APROSS</v>
      </c>
      <c r="M57" s="7"/>
      <c r="N57" s="7"/>
      <c r="O57" s="7"/>
      <c r="P57" s="7"/>
      <c r="Q57" s="7"/>
      <c r="R57" s="7"/>
      <c r="S57" s="7"/>
    </row>
    <row r="58">
      <c r="A58" s="7" t="str">
        <f t="shared" si="1"/>
        <v>Teran , Emanuel</v>
      </c>
      <c r="B58" s="7">
        <f>SUMIFS('bd caja'!$K$1:$K$1012,'bd caja'!$D$1:$D$1012,A58)</f>
        <v>0</v>
      </c>
      <c r="C58" s="19">
        <f>IFERROR(__xludf.DUMMYFUNCTION("""COMPUTED_VALUE"""),44964.139727511574)</f>
        <v>44964.13973</v>
      </c>
      <c r="D58" s="7" t="str">
        <f>IFERROR(__xludf.DUMMYFUNCTION("""COMPUTED_VALUE"""),"Teran ")</f>
        <v>Teran </v>
      </c>
      <c r="E58" s="7" t="str">
        <f>IFERROR(__xludf.DUMMYFUNCTION("""COMPUTED_VALUE"""),"Emanuel")</f>
        <v>Emanuel</v>
      </c>
      <c r="F58" s="7" t="str">
        <f>IFERROR(__xludf.DUMMYFUNCTION("""COMPUTED_VALUE"""),"emanuelterande05@gmail.com")</f>
        <v>emanuelterande05@gmail.com</v>
      </c>
      <c r="G58" s="20">
        <f>IFERROR(__xludf.DUMMYFUNCTION("""COMPUTED_VALUE"""),37330.0)</f>
        <v>37330</v>
      </c>
      <c r="H58" s="7">
        <f>IFERROR(__xludf.DUMMYFUNCTION("""COMPUTED_VALUE"""),4.381247E7)</f>
        <v>43812470</v>
      </c>
      <c r="I58" s="7">
        <f>IFERROR(__xludf.DUMMYFUNCTION("""COMPUTED_VALUE"""),3.51813735E9)</f>
        <v>3518137350</v>
      </c>
      <c r="J58" s="7" t="str">
        <f>IFERROR(__xludf.DUMMYFUNCTION("""COMPUTED_VALUE"""),"Recomendación")</f>
        <v>Recomendación</v>
      </c>
      <c r="K58" s="7" t="str">
        <f>IFERROR(__xludf.DUMMYFUNCTION("""COMPUTED_VALUE"""),"Particular")</f>
        <v>Particular</v>
      </c>
      <c r="L58" s="7"/>
      <c r="M58" s="7"/>
      <c r="N58" s="7"/>
      <c r="O58" s="7"/>
      <c r="P58" s="7"/>
      <c r="Q58" s="7"/>
      <c r="R58" s="7"/>
      <c r="S58" s="7"/>
    </row>
    <row r="59">
      <c r="A59" s="7" t="str">
        <f t="shared" si="1"/>
        <v>Abadie, Raul</v>
      </c>
      <c r="B59" s="7">
        <f>SUMIFS('bd caja'!$K$1:$K$1012,'bd caja'!$D$1:$D$1012,A59)</f>
        <v>0</v>
      </c>
      <c r="C59" s="19">
        <f>IFERROR(__xludf.DUMMYFUNCTION("""COMPUTED_VALUE"""),44964.71296443287)</f>
        <v>44964.71296</v>
      </c>
      <c r="D59" s="7" t="str">
        <f>IFERROR(__xludf.DUMMYFUNCTION("""COMPUTED_VALUE"""),"Abadie")</f>
        <v>Abadie</v>
      </c>
      <c r="E59" s="7" t="str">
        <f>IFERROR(__xludf.DUMMYFUNCTION("""COMPUTED_VALUE"""),"Raul")</f>
        <v>Raul</v>
      </c>
      <c r="F59" s="7" t="str">
        <f>IFERROR(__xludf.DUMMYFUNCTION("""COMPUTED_VALUE"""),"raulgabadie@hotmail.com")</f>
        <v>raulgabadie@hotmail.com</v>
      </c>
      <c r="G59" s="20">
        <f>IFERROR(__xludf.DUMMYFUNCTION("""COMPUTED_VALUE"""),27999.0)</f>
        <v>27999</v>
      </c>
      <c r="H59" s="7">
        <f>IFERROR(__xludf.DUMMYFUNCTION("""COMPUTED_VALUE"""),2.5281585E7)</f>
        <v>25281585</v>
      </c>
      <c r="I59" s="7">
        <f>IFERROR(__xludf.DUMMYFUNCTION("""COMPUTED_VALUE"""),3.516655602E9)</f>
        <v>3516655602</v>
      </c>
      <c r="J59" s="7" t="str">
        <f>IFERROR(__xludf.DUMMYFUNCTION("""COMPUTED_VALUE"""),"Google")</f>
        <v>Google</v>
      </c>
      <c r="K59" s="7" t="str">
        <f>IFERROR(__xludf.DUMMYFUNCTION("""COMPUTED_VALUE"""),"Particular")</f>
        <v>Particular</v>
      </c>
      <c r="L59" s="7"/>
      <c r="M59" s="7"/>
      <c r="N59" s="7"/>
      <c r="O59" s="7"/>
      <c r="P59" s="7"/>
      <c r="Q59" s="7"/>
      <c r="R59" s="7"/>
      <c r="S59" s="7"/>
    </row>
    <row r="60">
      <c r="A60" s="7" t="str">
        <f t="shared" si="1"/>
        <v>Ceballos, José</v>
      </c>
      <c r="B60" s="7">
        <f>SUMIFS('bd caja'!$K$1:$K$1012,'bd caja'!$D$1:$D$1012,A60)</f>
        <v>0</v>
      </c>
      <c r="C60" s="19">
        <f>IFERROR(__xludf.DUMMYFUNCTION("""COMPUTED_VALUE"""),44964.886004699074)</f>
        <v>44964.886</v>
      </c>
      <c r="D60" s="7" t="str">
        <f>IFERROR(__xludf.DUMMYFUNCTION("""COMPUTED_VALUE"""),"Ceballos")</f>
        <v>Ceballos</v>
      </c>
      <c r="E60" s="7" t="str">
        <f>IFERROR(__xludf.DUMMYFUNCTION("""COMPUTED_VALUE"""),"José")</f>
        <v>José</v>
      </c>
      <c r="F60" s="7" t="str">
        <f>IFERROR(__xludf.DUMMYFUNCTION("""COMPUTED_VALUE"""),"Jose.maria.ceballos94@gmail.com")</f>
        <v>Jose.maria.ceballos94@gmail.com</v>
      </c>
      <c r="G60" s="20">
        <f>IFERROR(__xludf.DUMMYFUNCTION("""COMPUTED_VALUE"""),34699.0)</f>
        <v>34699</v>
      </c>
      <c r="H60" s="7">
        <f>IFERROR(__xludf.DUMMYFUNCTION("""COMPUTED_VALUE"""),3.8645431E7)</f>
        <v>38645431</v>
      </c>
      <c r="I60" s="7">
        <f>IFERROR(__xludf.DUMMYFUNCTION("""COMPUTED_VALUE"""),3.517590683E9)</f>
        <v>3517590683</v>
      </c>
      <c r="J60" s="7" t="str">
        <f>IFERROR(__xludf.DUMMYFUNCTION("""COMPUTED_VALUE"""),"Recomendación")</f>
        <v>Recomendación</v>
      </c>
      <c r="K60" s="7" t="str">
        <f>IFERROR(__xludf.DUMMYFUNCTION("""COMPUTED_VALUE"""),"Obra social")</f>
        <v>Obra social</v>
      </c>
      <c r="L60" s="7" t="str">
        <f>IFERROR(__xludf.DUMMYFUNCTION("""COMPUTED_VALUE"""),"PREVENCIÓN")</f>
        <v>PREVENCIÓN</v>
      </c>
      <c r="M60" s="7"/>
      <c r="N60" s="7"/>
      <c r="O60" s="7"/>
      <c r="P60" s="7"/>
      <c r="Q60" s="7"/>
      <c r="R60" s="7"/>
      <c r="S60" s="7"/>
    </row>
    <row r="61">
      <c r="A61" s="7" t="str">
        <f t="shared" si="1"/>
        <v>Raffin, Vilma Rosa </v>
      </c>
      <c r="B61" s="7">
        <f>SUMIFS('bd caja'!$K$1:$K$1012,'bd caja'!$D$1:$D$1012,A61)</f>
        <v>0</v>
      </c>
      <c r="C61" s="19">
        <f>IFERROR(__xludf.DUMMYFUNCTION("""COMPUTED_VALUE"""),44967.53268866898)</f>
        <v>44967.53269</v>
      </c>
      <c r="D61" s="7" t="str">
        <f>IFERROR(__xludf.DUMMYFUNCTION("""COMPUTED_VALUE"""),"Raffin")</f>
        <v>Raffin</v>
      </c>
      <c r="E61" s="7" t="str">
        <f>IFERROR(__xludf.DUMMYFUNCTION("""COMPUTED_VALUE"""),"Vilma Rosa ")</f>
        <v>Vilma Rosa </v>
      </c>
      <c r="F61" s="7" t="str">
        <f>IFERROR(__xludf.DUMMYFUNCTION("""COMPUTED_VALUE"""),"vraffin002@gmail.com")</f>
        <v>vraffin002@gmail.com</v>
      </c>
      <c r="G61" s="20">
        <f>IFERROR(__xludf.DUMMYFUNCTION("""COMPUTED_VALUE"""),25111.0)</f>
        <v>25111</v>
      </c>
      <c r="H61" s="7">
        <f>IFERROR(__xludf.DUMMYFUNCTION("""COMPUTED_VALUE"""),2.0454528E7)</f>
        <v>20454528</v>
      </c>
      <c r="I61" s="7">
        <f>IFERROR(__xludf.DUMMYFUNCTION("""COMPUTED_VALUE"""),3.515389887E9)</f>
        <v>3515389887</v>
      </c>
      <c r="J61" s="7" t="str">
        <f>IFERROR(__xludf.DUMMYFUNCTION("""COMPUTED_VALUE"""),"Propaganda en noticias")</f>
        <v>Propaganda en noticias</v>
      </c>
      <c r="K61" s="7" t="str">
        <f>IFERROR(__xludf.DUMMYFUNCTION("""COMPUTED_VALUE"""),"Particular")</f>
        <v>Particular</v>
      </c>
      <c r="L61" s="7"/>
      <c r="M61" s="7"/>
      <c r="N61" s="7"/>
      <c r="O61" s="7"/>
      <c r="P61" s="7"/>
      <c r="Q61" s="7"/>
      <c r="R61" s="7"/>
      <c r="S61" s="7"/>
    </row>
    <row r="62">
      <c r="A62" s="7" t="str">
        <f t="shared" si="1"/>
        <v>ICIKSON, Tomas</v>
      </c>
      <c r="B62" s="7">
        <f>SUMIFS('bd caja'!$K$1:$K$1012,'bd caja'!$D$1:$D$1012,A62)</f>
        <v>0</v>
      </c>
      <c r="C62" s="19">
        <f>IFERROR(__xludf.DUMMYFUNCTION("""COMPUTED_VALUE"""),44970.443104895836)</f>
        <v>44970.4431</v>
      </c>
      <c r="D62" s="7" t="str">
        <f>IFERROR(__xludf.DUMMYFUNCTION("""COMPUTED_VALUE"""),"ICIKSON")</f>
        <v>ICIKSON</v>
      </c>
      <c r="E62" s="7" t="str">
        <f>IFERROR(__xludf.DUMMYFUNCTION("""COMPUTED_VALUE"""),"Tomas")</f>
        <v>Tomas</v>
      </c>
      <c r="F62" s="7" t="str">
        <f>IFERROR(__xludf.DUMMYFUNCTION("""COMPUTED_VALUE"""),"tomasicikson@gmail.com")</f>
        <v>tomasicikson@gmail.com</v>
      </c>
      <c r="G62" s="20">
        <f>IFERROR(__xludf.DUMMYFUNCTION("""COMPUTED_VALUE"""),35040.0)</f>
        <v>35040</v>
      </c>
      <c r="H62" s="7">
        <f>IFERROR(__xludf.DUMMYFUNCTION("""COMPUTED_VALUE"""),4.0520046E7)</f>
        <v>40520046</v>
      </c>
      <c r="I62" s="7">
        <f>IFERROR(__xludf.DUMMYFUNCTION("""COMPUTED_VALUE"""),3.51611379E9)</f>
        <v>3516113790</v>
      </c>
      <c r="J62" s="7" t="str">
        <f>IFERROR(__xludf.DUMMYFUNCTION("""COMPUTED_VALUE"""),"Voy al gym Manantial")</f>
        <v>Voy al gym Manantial</v>
      </c>
      <c r="K62" s="7" t="str">
        <f>IFERROR(__xludf.DUMMYFUNCTION("""COMPUTED_VALUE"""),"Particular")</f>
        <v>Particular</v>
      </c>
      <c r="L62" s="7"/>
      <c r="M62" s="7"/>
      <c r="N62" s="7"/>
      <c r="O62" s="7"/>
      <c r="P62" s="7"/>
      <c r="Q62" s="7"/>
      <c r="R62" s="7"/>
      <c r="S62" s="7"/>
    </row>
    <row r="63">
      <c r="A63" s="7" t="str">
        <f t="shared" si="1"/>
        <v>Rios giache, Luciano lucas</v>
      </c>
      <c r="B63" s="7">
        <f>SUMIFS('bd caja'!$K$1:$K$1012,'bd caja'!$D$1:$D$1012,A63)</f>
        <v>0</v>
      </c>
      <c r="C63" s="19">
        <f>IFERROR(__xludf.DUMMYFUNCTION("""COMPUTED_VALUE"""),44970.64905070602)</f>
        <v>44970.64905</v>
      </c>
      <c r="D63" s="7" t="str">
        <f>IFERROR(__xludf.DUMMYFUNCTION("""COMPUTED_VALUE"""),"Rios giache")</f>
        <v>Rios giache</v>
      </c>
      <c r="E63" s="7" t="str">
        <f>IFERROR(__xludf.DUMMYFUNCTION("""COMPUTED_VALUE"""),"Luciano lucas")</f>
        <v>Luciano lucas</v>
      </c>
      <c r="F63" s="7" t="str">
        <f>IFERROR(__xludf.DUMMYFUNCTION("""COMPUTED_VALUE"""),"Lucianolucasrg98@gmail.com ")</f>
        <v>Lucianolucasrg98@gmail.com </v>
      </c>
      <c r="G63" s="20">
        <f>IFERROR(__xludf.DUMMYFUNCTION("""COMPUTED_VALUE"""),35949.0)</f>
        <v>35949</v>
      </c>
      <c r="H63" s="7">
        <f>IFERROR(__xludf.DUMMYFUNCTION("""COMPUTED_VALUE"""),4.1279824E7)</f>
        <v>41279824</v>
      </c>
      <c r="I63" s="7">
        <f>IFERROR(__xludf.DUMMYFUNCTION("""COMPUTED_VALUE"""),3.512893805E9)</f>
        <v>3512893805</v>
      </c>
      <c r="J63" s="7" t="str">
        <f>IFERROR(__xludf.DUMMYFUNCTION("""COMPUTED_VALUE"""),"Cartilla Obra Social")</f>
        <v>Cartilla Obra Social</v>
      </c>
      <c r="K63" s="7" t="str">
        <f>IFERROR(__xludf.DUMMYFUNCTION("""COMPUTED_VALUE"""),"Particular")</f>
        <v>Particular</v>
      </c>
      <c r="L63" s="7"/>
      <c r="M63" s="7"/>
      <c r="N63" s="7"/>
      <c r="O63" s="7"/>
      <c r="P63" s="7"/>
      <c r="Q63" s="7"/>
      <c r="R63" s="7"/>
      <c r="S63" s="7"/>
    </row>
    <row r="64">
      <c r="A64" s="7" t="str">
        <f t="shared" si="1"/>
        <v>Ruiz, Luis</v>
      </c>
      <c r="B64" s="7">
        <f>SUMIFS('bd caja'!$K$1:$K$1012,'bd caja'!$D$1:$D$1012,A64)</f>
        <v>0</v>
      </c>
      <c r="C64" s="19">
        <f>IFERROR(__xludf.DUMMYFUNCTION("""COMPUTED_VALUE"""),44970.799435416666)</f>
        <v>44970.79944</v>
      </c>
      <c r="D64" s="7" t="str">
        <f>IFERROR(__xludf.DUMMYFUNCTION("""COMPUTED_VALUE"""),"Ruiz")</f>
        <v>Ruiz</v>
      </c>
      <c r="E64" s="7" t="str">
        <f>IFERROR(__xludf.DUMMYFUNCTION("""COMPUTED_VALUE"""),"Luis")</f>
        <v>Luis</v>
      </c>
      <c r="F64" s="7" t="str">
        <f>IFERROR(__xludf.DUMMYFUNCTION("""COMPUTED_VALUE"""),"Lruizgalizi@gmail.com")</f>
        <v>Lruizgalizi@gmail.com</v>
      </c>
      <c r="G64" s="20">
        <f>IFERROR(__xludf.DUMMYFUNCTION("""COMPUTED_VALUE"""),33653.0)</f>
        <v>33653</v>
      </c>
      <c r="H64" s="7">
        <f>IFERROR(__xludf.DUMMYFUNCTION("""COMPUTED_VALUE"""),3.614798E7)</f>
        <v>36147980</v>
      </c>
      <c r="I64" s="7">
        <f>IFERROR(__xludf.DUMMYFUNCTION("""COMPUTED_VALUE"""),3.518142452E9)</f>
        <v>3518142452</v>
      </c>
      <c r="J64" s="7" t="str">
        <f>IFERROR(__xludf.DUMMYFUNCTION("""COMPUTED_VALUE"""),"Recomendación")</f>
        <v>Recomendación</v>
      </c>
      <c r="K64" s="7" t="str">
        <f>IFERROR(__xludf.DUMMYFUNCTION("""COMPUTED_VALUE"""),"Particular")</f>
        <v>Particular</v>
      </c>
      <c r="L64" s="7"/>
      <c r="M64" s="7"/>
      <c r="N64" s="7"/>
      <c r="O64" s="7"/>
      <c r="P64" s="7"/>
      <c r="Q64" s="7"/>
      <c r="R64" s="7"/>
      <c r="S64" s="7"/>
    </row>
    <row r="65">
      <c r="A65" s="7" t="str">
        <f t="shared" si="1"/>
        <v>Martinez, Joaquin Adolfo</v>
      </c>
      <c r="B65" s="7">
        <f>SUMIFS('bd caja'!$K$1:$K$1012,'bd caja'!$D$1:$D$1012,A65)</f>
        <v>0</v>
      </c>
      <c r="C65" s="19">
        <f>IFERROR(__xludf.DUMMYFUNCTION("""COMPUTED_VALUE"""),44971.42453559028)</f>
        <v>44971.42454</v>
      </c>
      <c r="D65" s="7" t="str">
        <f>IFERROR(__xludf.DUMMYFUNCTION("""COMPUTED_VALUE"""),"Martinez")</f>
        <v>Martinez</v>
      </c>
      <c r="E65" s="7" t="str">
        <f>IFERROR(__xludf.DUMMYFUNCTION("""COMPUTED_VALUE"""),"Joaquin Adolfo")</f>
        <v>Joaquin Adolfo</v>
      </c>
      <c r="F65" s="7"/>
      <c r="G65" s="20">
        <f>IFERROR(__xludf.DUMMYFUNCTION("""COMPUTED_VALUE"""),19629.0)</f>
        <v>19629</v>
      </c>
      <c r="H65" s="7">
        <f>IFERROR(__xludf.DUMMYFUNCTION("""COMPUTED_VALUE"""),1.0903673E7)</f>
        <v>10903673</v>
      </c>
      <c r="I65" s="7">
        <f>IFERROR(__xludf.DUMMYFUNCTION("""COMPUTED_VALUE"""),3.516566224E9)</f>
        <v>3516566224</v>
      </c>
      <c r="J65" s="7" t="str">
        <f>IFERROR(__xludf.DUMMYFUNCTION("""COMPUTED_VALUE"""),"Google")</f>
        <v>Google</v>
      </c>
      <c r="K65" s="7" t="str">
        <f>IFERROR(__xludf.DUMMYFUNCTION("""COMPUTED_VALUE"""),"Obra social")</f>
        <v>Obra social</v>
      </c>
      <c r="L65" s="7" t="str">
        <f>IFERROR(__xludf.DUMMYFUNCTION("""COMPUTED_VALUE"""),"APROSS")</f>
        <v>APROSS</v>
      </c>
      <c r="M65" s="7"/>
      <c r="N65" s="7"/>
      <c r="O65" s="7"/>
      <c r="P65" s="7"/>
      <c r="Q65" s="7"/>
      <c r="R65" s="7"/>
      <c r="S65" s="7"/>
    </row>
    <row r="66">
      <c r="A66" s="7" t="str">
        <f t="shared" si="1"/>
        <v> Inbrechts , Lisett</v>
      </c>
      <c r="B66" s="7">
        <f>SUMIFS('bd caja'!$K$1:$K$1012,'bd caja'!$D$1:$D$1012,A66)</f>
        <v>0</v>
      </c>
      <c r="C66" s="19">
        <f>IFERROR(__xludf.DUMMYFUNCTION("""COMPUTED_VALUE"""),44971.49563456018)</f>
        <v>44971.49563</v>
      </c>
      <c r="D66" s="7" t="str">
        <f>IFERROR(__xludf.DUMMYFUNCTION("""COMPUTED_VALUE""")," Inbrechts ")</f>
        <v> Inbrechts </v>
      </c>
      <c r="E66" s="7" t="str">
        <f>IFERROR(__xludf.DUMMYFUNCTION("""COMPUTED_VALUE"""),"Lisett")</f>
        <v>Lisett</v>
      </c>
      <c r="F66" s="7" t="str">
        <f>IFERROR(__xludf.DUMMYFUNCTION("""COMPUTED_VALUE"""),"inbrechts@gmail.com")</f>
        <v>inbrechts@gmail.com</v>
      </c>
      <c r="G66" s="20">
        <f>IFERROR(__xludf.DUMMYFUNCTION("""COMPUTED_VALUE"""),31725.0)</f>
        <v>31725</v>
      </c>
      <c r="H66" s="7">
        <f>IFERROR(__xludf.DUMMYFUNCTION("""COMPUTED_VALUE"""),9.5826217E7)</f>
        <v>95826217</v>
      </c>
      <c r="I66" s="7">
        <f>IFERROR(__xludf.DUMMYFUNCTION("""COMPUTED_VALUE"""),3.513475295E9)</f>
        <v>3513475295</v>
      </c>
      <c r="J66" s="7" t="str">
        <f>IFERROR(__xludf.DUMMYFUNCTION("""COMPUTED_VALUE"""),"Google")</f>
        <v>Google</v>
      </c>
      <c r="K66" s="7" t="str">
        <f>IFERROR(__xludf.DUMMYFUNCTION("""COMPUTED_VALUE"""),"Particular")</f>
        <v>Particular</v>
      </c>
      <c r="L66" s="7"/>
      <c r="M66" s="7"/>
      <c r="N66" s="7"/>
      <c r="O66" s="7"/>
      <c r="P66" s="7"/>
      <c r="Q66" s="7"/>
      <c r="R66" s="7"/>
      <c r="S66" s="7"/>
    </row>
    <row r="67">
      <c r="A67" s="7" t="str">
        <f t="shared" si="1"/>
        <v>Gutiérrez , Ledis</v>
      </c>
      <c r="B67" s="7">
        <f>SUMIFS('bd caja'!$K$1:$K$1012,'bd caja'!$D$1:$D$1012,A67)</f>
        <v>0</v>
      </c>
      <c r="C67" s="19">
        <f>IFERROR(__xludf.DUMMYFUNCTION("""COMPUTED_VALUE"""),44971.49867100695)</f>
        <v>44971.49867</v>
      </c>
      <c r="D67" s="7" t="str">
        <f>IFERROR(__xludf.DUMMYFUNCTION("""COMPUTED_VALUE"""),"Gutiérrez ")</f>
        <v>Gutiérrez </v>
      </c>
      <c r="E67" s="7" t="str">
        <f>IFERROR(__xludf.DUMMYFUNCTION("""COMPUTED_VALUE"""),"Ledis")</f>
        <v>Ledis</v>
      </c>
      <c r="F67" s="7" t="str">
        <f>IFERROR(__xludf.DUMMYFUNCTION("""COMPUTED_VALUE"""),"inbrechts@gmail.com")</f>
        <v>inbrechts@gmail.com</v>
      </c>
      <c r="G67" s="20">
        <f>IFERROR(__xludf.DUMMYFUNCTION("""COMPUTED_VALUE"""),23350.0)</f>
        <v>23350</v>
      </c>
      <c r="H67" s="7">
        <f>IFERROR(__xludf.DUMMYFUNCTION("""COMPUTED_VALUE"""),3.9153938E7)</f>
        <v>39153938</v>
      </c>
      <c r="I67" s="7">
        <f>IFERROR(__xludf.DUMMYFUNCTION("""COMPUTED_VALUE"""),3.513475295E9)</f>
        <v>3513475295</v>
      </c>
      <c r="J67" s="7" t="str">
        <f>IFERROR(__xludf.DUMMYFUNCTION("""COMPUTED_VALUE"""),"Google")</f>
        <v>Google</v>
      </c>
      <c r="K67" s="7" t="str">
        <f>IFERROR(__xludf.DUMMYFUNCTION("""COMPUTED_VALUE"""),"Particular")</f>
        <v>Particular</v>
      </c>
      <c r="L67" s="7"/>
      <c r="M67" s="7"/>
      <c r="N67" s="7"/>
      <c r="O67" s="7"/>
      <c r="P67" s="7"/>
      <c r="Q67" s="7"/>
      <c r="R67" s="7"/>
      <c r="S67" s="7"/>
    </row>
    <row r="68">
      <c r="A68" s="7" t="str">
        <f t="shared" si="1"/>
        <v>Galarce , Carlos</v>
      </c>
      <c r="B68" s="7">
        <f>SUMIFS('bd caja'!$K$1:$K$1012,'bd caja'!$D$1:$D$1012,A68)</f>
        <v>0</v>
      </c>
      <c r="C68" s="19">
        <f>IFERROR(__xludf.DUMMYFUNCTION("""COMPUTED_VALUE"""),44972.483579259264)</f>
        <v>44972.48358</v>
      </c>
      <c r="D68" s="7" t="str">
        <f>IFERROR(__xludf.DUMMYFUNCTION("""COMPUTED_VALUE"""),"Galarce ")</f>
        <v>Galarce </v>
      </c>
      <c r="E68" s="7" t="str">
        <f>IFERROR(__xludf.DUMMYFUNCTION("""COMPUTED_VALUE"""),"Carlos")</f>
        <v>Carlos</v>
      </c>
      <c r="F68" s="7" t="str">
        <f>IFERROR(__xludf.DUMMYFUNCTION("""COMPUTED_VALUE"""),"Cag1@hotmail.com.ar ")</f>
        <v>Cag1@hotmail.com.ar </v>
      </c>
      <c r="G68" s="20">
        <f>IFERROR(__xludf.DUMMYFUNCTION("""COMPUTED_VALUE"""),28696.0)</f>
        <v>28696</v>
      </c>
      <c r="H68" s="7">
        <f>IFERROR(__xludf.DUMMYFUNCTION("""COMPUTED_VALUE"""),2.6672639E7)</f>
        <v>26672639</v>
      </c>
      <c r="I68" s="7">
        <f>IFERROR(__xludf.DUMMYFUNCTION("""COMPUTED_VALUE"""),3.51364221E9)</f>
        <v>3513642210</v>
      </c>
      <c r="J68" s="7" t="str">
        <f>IFERROR(__xludf.DUMMYFUNCTION("""COMPUTED_VALUE"""),"Google")</f>
        <v>Google</v>
      </c>
      <c r="K68" s="7" t="str">
        <f>IFERROR(__xludf.DUMMYFUNCTION("""COMPUTED_VALUE"""),"Particular")</f>
        <v>Particular</v>
      </c>
      <c r="L68" s="7"/>
      <c r="M68" s="7"/>
      <c r="N68" s="7"/>
      <c r="O68" s="7"/>
      <c r="P68" s="7"/>
      <c r="Q68" s="7"/>
      <c r="R68" s="7"/>
      <c r="S68" s="7"/>
    </row>
    <row r="69">
      <c r="A69" s="7" t="str">
        <f t="shared" si="1"/>
        <v>Aisa, Ruben</v>
      </c>
      <c r="B69" s="7">
        <f>SUMIFS('bd caja'!$K$1:$K$1012,'bd caja'!$D$1:$D$1012,A69)</f>
        <v>0</v>
      </c>
      <c r="C69" s="19">
        <f>IFERROR(__xludf.DUMMYFUNCTION("""COMPUTED_VALUE"""),44972.78220511574)</f>
        <v>44972.78221</v>
      </c>
      <c r="D69" s="7" t="str">
        <f>IFERROR(__xludf.DUMMYFUNCTION("""COMPUTED_VALUE"""),"Aisa")</f>
        <v>Aisa</v>
      </c>
      <c r="E69" s="7" t="str">
        <f>IFERROR(__xludf.DUMMYFUNCTION("""COMPUTED_VALUE"""),"Ruben")</f>
        <v>Ruben</v>
      </c>
      <c r="F69" s="7" t="str">
        <f>IFERROR(__xludf.DUMMYFUNCTION("""COMPUTED_VALUE"""),"rubenelderaisa@hotmail.com")</f>
        <v>rubenelderaisa@hotmail.com</v>
      </c>
      <c r="G69" s="20">
        <f>IFERROR(__xludf.DUMMYFUNCTION("""COMPUTED_VALUE"""),21530.0)</f>
        <v>21530</v>
      </c>
      <c r="H69" s="7">
        <f>IFERROR(__xludf.DUMMYFUNCTION("""COMPUTED_VALUE"""),1.2671913E7)</f>
        <v>12671913</v>
      </c>
      <c r="I69" s="7">
        <f>IFERROR(__xludf.DUMMYFUNCTION("""COMPUTED_VALUE"""),3.515415895E9)</f>
        <v>3515415895</v>
      </c>
      <c r="J69" s="7" t="str">
        <f>IFERROR(__xludf.DUMMYFUNCTION("""COMPUTED_VALUE"""),"Voy al gym Manantial")</f>
        <v>Voy al gym Manantial</v>
      </c>
      <c r="K69" s="7" t="str">
        <f>IFERROR(__xludf.DUMMYFUNCTION("""COMPUTED_VALUE"""),"Particular")</f>
        <v>Particular</v>
      </c>
      <c r="L69" s="7"/>
      <c r="M69" s="7"/>
      <c r="N69" s="7"/>
      <c r="O69" s="7"/>
      <c r="P69" s="7"/>
      <c r="Q69" s="7"/>
      <c r="R69" s="7"/>
      <c r="S69" s="7"/>
    </row>
    <row r="70">
      <c r="A70" s="7" t="str">
        <f t="shared" si="1"/>
        <v>Reyna, Lucas</v>
      </c>
      <c r="B70" s="7">
        <f>SUMIFS('bd caja'!$K$1:$K$1012,'bd caja'!$D$1:$D$1012,A70)</f>
        <v>0</v>
      </c>
      <c r="C70" s="19">
        <f>IFERROR(__xludf.DUMMYFUNCTION("""COMPUTED_VALUE"""),44972.796466747684)</f>
        <v>44972.79647</v>
      </c>
      <c r="D70" s="7" t="str">
        <f>IFERROR(__xludf.DUMMYFUNCTION("""COMPUTED_VALUE"""),"Reyna")</f>
        <v>Reyna</v>
      </c>
      <c r="E70" s="7" t="str">
        <f>IFERROR(__xludf.DUMMYFUNCTION("""COMPUTED_VALUE"""),"Lucas")</f>
        <v>Lucas</v>
      </c>
      <c r="F70" s="7" t="str">
        <f>IFERROR(__xludf.DUMMYFUNCTION("""COMPUTED_VALUE"""),"lucasereyna@gmail.com")</f>
        <v>lucasereyna@gmail.com</v>
      </c>
      <c r="G70" s="20">
        <f>IFERROR(__xludf.DUMMYFUNCTION("""COMPUTED_VALUE"""),31862.0)</f>
        <v>31862</v>
      </c>
      <c r="H70" s="7">
        <f>IFERROR(__xludf.DUMMYFUNCTION("""COMPUTED_VALUE"""),3.292517E7)</f>
        <v>32925170</v>
      </c>
      <c r="I70" s="7">
        <f>IFERROR(__xludf.DUMMYFUNCTION("""COMPUTED_VALUE"""),3.515131485E9)</f>
        <v>3515131485</v>
      </c>
      <c r="J70" s="7" t="str">
        <f>IFERROR(__xludf.DUMMYFUNCTION("""COMPUTED_VALUE"""),"Recomendación")</f>
        <v>Recomendación</v>
      </c>
      <c r="K70" s="7" t="str">
        <f>IFERROR(__xludf.DUMMYFUNCTION("""COMPUTED_VALUE"""),"Particular")</f>
        <v>Particular</v>
      </c>
      <c r="L70" s="7"/>
      <c r="M70" s="7"/>
      <c r="N70" s="7"/>
      <c r="O70" s="7"/>
      <c r="P70" s="7"/>
      <c r="Q70" s="7"/>
      <c r="R70" s="7"/>
      <c r="S70" s="7"/>
    </row>
    <row r="71">
      <c r="A71" s="7" t="str">
        <f t="shared" si="1"/>
        <v>Quiligotti, Pablo</v>
      </c>
      <c r="B71" s="7">
        <f>SUMIFS('bd caja'!$K$1:$K$1012,'bd caja'!$D$1:$D$1012,A71)</f>
        <v>0</v>
      </c>
      <c r="C71" s="19">
        <f>IFERROR(__xludf.DUMMYFUNCTION("""COMPUTED_VALUE"""),44974.513292488424)</f>
        <v>44974.51329</v>
      </c>
      <c r="D71" s="7" t="str">
        <f>IFERROR(__xludf.DUMMYFUNCTION("""COMPUTED_VALUE"""),"Quiligotti")</f>
        <v>Quiligotti</v>
      </c>
      <c r="E71" s="7" t="str">
        <f>IFERROR(__xludf.DUMMYFUNCTION("""COMPUTED_VALUE"""),"Pablo")</f>
        <v>Pablo</v>
      </c>
      <c r="F71" s="7" t="str">
        <f>IFERROR(__xludf.DUMMYFUNCTION("""COMPUTED_VALUE"""),"pabloquiligotti@gmail.com")</f>
        <v>pabloquiligotti@gmail.com</v>
      </c>
      <c r="G71" s="20">
        <f>IFERROR(__xludf.DUMMYFUNCTION("""COMPUTED_VALUE"""),30214.0)</f>
        <v>30214</v>
      </c>
      <c r="H71" s="7">
        <f>IFERROR(__xludf.DUMMYFUNCTION("""COMPUTED_VALUE"""),2.9706314E7)</f>
        <v>29706314</v>
      </c>
      <c r="I71" s="7">
        <f>IFERROR(__xludf.DUMMYFUNCTION("""COMPUTED_VALUE"""),3.516870843E9)</f>
        <v>3516870843</v>
      </c>
      <c r="J71" s="7" t="str">
        <f>IFERROR(__xludf.DUMMYFUNCTION("""COMPUTED_VALUE"""),"Recomendación")</f>
        <v>Recomendación</v>
      </c>
      <c r="K71" s="7" t="str">
        <f>IFERROR(__xludf.DUMMYFUNCTION("""COMPUTED_VALUE"""),"Obra social")</f>
        <v>Obra social</v>
      </c>
      <c r="L71" s="7" t="str">
        <f>IFERROR(__xludf.DUMMYFUNCTION("""COMPUTED_VALUE"""),"Federada Salud")</f>
        <v>Federada Salud</v>
      </c>
      <c r="M71" s="7"/>
      <c r="N71" s="7"/>
      <c r="O71" s="7"/>
      <c r="P71" s="7"/>
      <c r="Q71" s="7"/>
      <c r="R71" s="7"/>
      <c r="S71" s="7"/>
    </row>
    <row r="72">
      <c r="A72" s="7" t="str">
        <f t="shared" si="1"/>
        <v>Armando, Marcos</v>
      </c>
      <c r="B72" s="7">
        <f>SUMIFS('bd caja'!$K$1:$K$1012,'bd caja'!$D$1:$D$1012,A72)</f>
        <v>0</v>
      </c>
      <c r="C72" s="19">
        <f>IFERROR(__xludf.DUMMYFUNCTION("""COMPUTED_VALUE"""),44978.72340721065)</f>
        <v>44978.72341</v>
      </c>
      <c r="D72" s="7" t="str">
        <f>IFERROR(__xludf.DUMMYFUNCTION("""COMPUTED_VALUE"""),"Armando")</f>
        <v>Armando</v>
      </c>
      <c r="E72" s="7" t="str">
        <f>IFERROR(__xludf.DUMMYFUNCTION("""COMPUTED_VALUE"""),"Marcos")</f>
        <v>Marcos</v>
      </c>
      <c r="F72" s="7" t="str">
        <f>IFERROR(__xludf.DUMMYFUNCTION("""COMPUTED_VALUE"""),"marcos.armando1@gmail.com")</f>
        <v>marcos.armando1@gmail.com</v>
      </c>
      <c r="G72" s="20">
        <f>IFERROR(__xludf.DUMMYFUNCTION("""COMPUTED_VALUE"""),32509.0)</f>
        <v>32509</v>
      </c>
      <c r="H72" s="7">
        <f>IFERROR(__xludf.DUMMYFUNCTION("""COMPUTED_VALUE"""),3.4130395E7)</f>
        <v>34130395</v>
      </c>
      <c r="I72" s="7">
        <f>IFERROR(__xludf.DUMMYFUNCTION("""COMPUTED_VALUE"""),3.513887184E9)</f>
        <v>3513887184</v>
      </c>
      <c r="J72" s="7" t="str">
        <f>IFERROR(__xludf.DUMMYFUNCTION("""COMPUTED_VALUE"""),"Google")</f>
        <v>Google</v>
      </c>
      <c r="K72" s="7" t="str">
        <f>IFERROR(__xludf.DUMMYFUNCTION("""COMPUTED_VALUE"""),"Particular")</f>
        <v>Particular</v>
      </c>
      <c r="L72" s="7"/>
      <c r="M72" s="7"/>
      <c r="N72" s="7"/>
      <c r="O72" s="7"/>
      <c r="P72" s="7"/>
      <c r="Q72" s="7"/>
      <c r="R72" s="7"/>
      <c r="S72" s="7"/>
    </row>
    <row r="73">
      <c r="A73" s="7" t="str">
        <f t="shared" si="1"/>
        <v>Heredia, Andres</v>
      </c>
      <c r="B73" s="7">
        <f>SUMIFS('bd caja'!$K$1:$K$1012,'bd caja'!$D$1:$D$1012,A73)</f>
        <v>0</v>
      </c>
      <c r="C73" s="19">
        <f>IFERROR(__xludf.DUMMYFUNCTION("""COMPUTED_VALUE"""),44978.8018878125)</f>
        <v>44978.80189</v>
      </c>
      <c r="D73" s="7" t="str">
        <f>IFERROR(__xludf.DUMMYFUNCTION("""COMPUTED_VALUE"""),"Heredia")</f>
        <v>Heredia</v>
      </c>
      <c r="E73" s="7" t="str">
        <f>IFERROR(__xludf.DUMMYFUNCTION("""COMPUTED_VALUE"""),"Andres")</f>
        <v>Andres</v>
      </c>
      <c r="F73" s="7" t="str">
        <f>IFERROR(__xludf.DUMMYFUNCTION("""COMPUTED_VALUE"""),"andresheredia911@gmail.com ")</f>
        <v>andresheredia911@gmail.com </v>
      </c>
      <c r="G73" s="20">
        <f>IFERROR(__xludf.DUMMYFUNCTION("""COMPUTED_VALUE"""),35500.0)</f>
        <v>35500</v>
      </c>
      <c r="H73" s="7">
        <f>IFERROR(__xludf.DUMMYFUNCTION("""COMPUTED_VALUE"""),4.0248804E7)</f>
        <v>40248804</v>
      </c>
      <c r="I73" s="7">
        <f>IFERROR(__xludf.DUMMYFUNCTION("""COMPUTED_VALUE"""),3.515331363E9)</f>
        <v>3515331363</v>
      </c>
      <c r="J73" s="7" t="str">
        <f>IFERROR(__xludf.DUMMYFUNCTION("""COMPUTED_VALUE"""),"Voy al gym Manantial")</f>
        <v>Voy al gym Manantial</v>
      </c>
      <c r="K73" s="7" t="str">
        <f>IFERROR(__xludf.DUMMYFUNCTION("""COMPUTED_VALUE"""),"Obra social")</f>
        <v>Obra social</v>
      </c>
      <c r="L73" s="7" t="str">
        <f>IFERROR(__xludf.DUMMYFUNCTION("""COMPUTED_VALUE"""),"DASPU")</f>
        <v>DASPU</v>
      </c>
      <c r="M73" s="7"/>
      <c r="N73" s="7"/>
      <c r="O73" s="7"/>
      <c r="P73" s="7"/>
      <c r="Q73" s="7"/>
      <c r="R73" s="7"/>
      <c r="S73" s="7"/>
    </row>
    <row r="74">
      <c r="A74" s="7" t="str">
        <f t="shared" si="1"/>
        <v>Sebastián, Octavio</v>
      </c>
      <c r="B74" s="7">
        <f>SUMIFS('bd caja'!$K$1:$K$1012,'bd caja'!$D$1:$D$1012,A74)</f>
        <v>0</v>
      </c>
      <c r="C74" s="19">
        <f>IFERROR(__xludf.DUMMYFUNCTION("""COMPUTED_VALUE"""),44979.69197722222)</f>
        <v>44979.69198</v>
      </c>
      <c r="D74" s="7" t="str">
        <f>IFERROR(__xludf.DUMMYFUNCTION("""COMPUTED_VALUE"""),"Sebastián")</f>
        <v>Sebastián</v>
      </c>
      <c r="E74" s="7" t="str">
        <f>IFERROR(__xludf.DUMMYFUNCTION("""COMPUTED_VALUE"""),"Octavio")</f>
        <v>Octavio</v>
      </c>
      <c r="F74" s="7" t="str">
        <f>IFERROR(__xludf.DUMMYFUNCTION("""COMPUTED_VALUE"""),"octaviosebastiann@gmail.com")</f>
        <v>octaviosebastiann@gmail.com</v>
      </c>
      <c r="G74" s="20">
        <f>IFERROR(__xludf.DUMMYFUNCTION("""COMPUTED_VALUE"""),34072.0)</f>
        <v>34072</v>
      </c>
      <c r="H74" s="7">
        <f>IFERROR(__xludf.DUMMYFUNCTION("""COMPUTED_VALUE"""),3.7476306E7)</f>
        <v>37476306</v>
      </c>
      <c r="I74" s="7">
        <f>IFERROR(__xludf.DUMMYFUNCTION("""COMPUTED_VALUE"""),3.517060825E9)</f>
        <v>3517060825</v>
      </c>
      <c r="J74" s="7" t="str">
        <f>IFERROR(__xludf.DUMMYFUNCTION("""COMPUTED_VALUE"""),"Instagram")</f>
        <v>Instagram</v>
      </c>
      <c r="K74" s="7" t="str">
        <f>IFERROR(__xludf.DUMMYFUNCTION("""COMPUTED_VALUE"""),"Particular")</f>
        <v>Particular</v>
      </c>
      <c r="L74" s="7"/>
      <c r="M74" s="7"/>
      <c r="N74" s="7"/>
      <c r="O74" s="7"/>
      <c r="P74" s="7"/>
      <c r="Q74" s="7"/>
      <c r="R74" s="7"/>
      <c r="S74" s="7"/>
    </row>
    <row r="75">
      <c r="A75" s="7" t="str">
        <f t="shared" si="1"/>
        <v>Fernández , Marcos Gabriel</v>
      </c>
      <c r="B75" s="7">
        <f>SUMIFS('bd caja'!$K$1:$K$1012,'bd caja'!$D$1:$D$1012,A75)</f>
        <v>0</v>
      </c>
      <c r="C75" s="19">
        <f>IFERROR(__xludf.DUMMYFUNCTION("""COMPUTED_VALUE"""),44979.80101303241)</f>
        <v>44979.80101</v>
      </c>
      <c r="D75" s="7" t="str">
        <f>IFERROR(__xludf.DUMMYFUNCTION("""COMPUTED_VALUE"""),"Fernández ")</f>
        <v>Fernández </v>
      </c>
      <c r="E75" s="7" t="str">
        <f>IFERROR(__xludf.DUMMYFUNCTION("""COMPUTED_VALUE"""),"Marcos Gabriel")</f>
        <v>Marcos Gabriel</v>
      </c>
      <c r="F75" s="7" t="str">
        <f>IFERROR(__xludf.DUMMYFUNCTION("""COMPUTED_VALUE"""),"markosgabriel_1206@hotmail.com ")</f>
        <v>markosgabriel_1206@hotmail.com </v>
      </c>
      <c r="G75" s="20">
        <f>IFERROR(__xludf.DUMMYFUNCTION("""COMPUTED_VALUE"""),28653.0)</f>
        <v>28653</v>
      </c>
      <c r="H75" s="7">
        <f>IFERROR(__xludf.DUMMYFUNCTION("""COMPUTED_VALUE"""),2.6484703E7)</f>
        <v>26484703</v>
      </c>
      <c r="I75" s="7">
        <f>IFERROR(__xludf.DUMMYFUNCTION("""COMPUTED_VALUE"""),3.516324625E9)</f>
        <v>3516324625</v>
      </c>
      <c r="J75" s="7" t="str">
        <f>IFERROR(__xludf.DUMMYFUNCTION("""COMPUTED_VALUE"""),"Voy al gym Manantial")</f>
        <v>Voy al gym Manantial</v>
      </c>
      <c r="K75" s="7" t="str">
        <f>IFERROR(__xludf.DUMMYFUNCTION("""COMPUTED_VALUE"""),"Obra social")</f>
        <v>Obra social</v>
      </c>
      <c r="L75" s="7" t="str">
        <f>IFERROR(__xludf.DUMMYFUNCTION("""COMPUTED_VALUE"""),"Apromed")</f>
        <v>Apromed</v>
      </c>
      <c r="M75" s="7"/>
      <c r="N75" s="7"/>
      <c r="O75" s="7"/>
      <c r="P75" s="7"/>
      <c r="Q75" s="7"/>
      <c r="R75" s="7"/>
      <c r="S75" s="7"/>
    </row>
    <row r="76">
      <c r="A76" s="7" t="str">
        <f t="shared" si="1"/>
        <v>Cantonati, María Belén </v>
      </c>
      <c r="B76" s="7">
        <f>SUMIFS('bd caja'!$K$1:$K$1012,'bd caja'!$D$1:$D$1012,A76)</f>
        <v>0</v>
      </c>
      <c r="C76" s="19">
        <f>IFERROR(__xludf.DUMMYFUNCTION("""COMPUTED_VALUE"""),44985.69754150463)</f>
        <v>44985.69754</v>
      </c>
      <c r="D76" s="7" t="str">
        <f>IFERROR(__xludf.DUMMYFUNCTION("""COMPUTED_VALUE"""),"Cantonati")</f>
        <v>Cantonati</v>
      </c>
      <c r="E76" s="7" t="str">
        <f>IFERROR(__xludf.DUMMYFUNCTION("""COMPUTED_VALUE"""),"María Belén ")</f>
        <v>María Belén </v>
      </c>
      <c r="F76" s="7" t="str">
        <f>IFERROR(__xludf.DUMMYFUNCTION("""COMPUTED_VALUE"""),"Belcantonati@hotmail.com")</f>
        <v>Belcantonati@hotmail.com</v>
      </c>
      <c r="G76" s="20">
        <f>IFERROR(__xludf.DUMMYFUNCTION("""COMPUTED_VALUE"""),31031.0)</f>
        <v>31031</v>
      </c>
      <c r="H76" s="7">
        <f>IFERROR(__xludf.DUMMYFUNCTION("""COMPUTED_VALUE"""),3.1187943E7)</f>
        <v>31187943</v>
      </c>
      <c r="I76" s="7">
        <f>IFERROR(__xludf.DUMMYFUNCTION("""COMPUTED_VALUE"""),3.51633059E9)</f>
        <v>3516330590</v>
      </c>
      <c r="J76" s="7" t="str">
        <f>IFERROR(__xludf.DUMMYFUNCTION("""COMPUTED_VALUE"""),"Recomendación")</f>
        <v>Recomendación</v>
      </c>
      <c r="K76" s="7" t="str">
        <f>IFERROR(__xludf.DUMMYFUNCTION("""COMPUTED_VALUE"""),"Particular")</f>
        <v>Particular</v>
      </c>
      <c r="L76" s="7"/>
      <c r="M76" s="7"/>
      <c r="N76" s="7"/>
      <c r="O76" s="7"/>
      <c r="P76" s="7"/>
      <c r="Q76" s="7"/>
      <c r="R76" s="7"/>
      <c r="S76" s="7"/>
    </row>
    <row r="77">
      <c r="A77" s="7" t="str">
        <f t="shared" si="1"/>
        <v>Druetta, Camila</v>
      </c>
      <c r="B77" s="7">
        <f>SUMIFS('bd caja'!$K$1:$K$1012,'bd caja'!$D$1:$D$1012,A77)</f>
        <v>0</v>
      </c>
      <c r="C77" s="19">
        <f>IFERROR(__xludf.DUMMYFUNCTION("""COMPUTED_VALUE"""),44986.3589996875)</f>
        <v>44986.359</v>
      </c>
      <c r="D77" s="7" t="str">
        <f>IFERROR(__xludf.DUMMYFUNCTION("""COMPUTED_VALUE"""),"Druetta")</f>
        <v>Druetta</v>
      </c>
      <c r="E77" s="7" t="str">
        <f>IFERROR(__xludf.DUMMYFUNCTION("""COMPUTED_VALUE"""),"Camila")</f>
        <v>Camila</v>
      </c>
      <c r="F77" s="7" t="str">
        <f>IFERROR(__xludf.DUMMYFUNCTION("""COMPUTED_VALUE"""),"camidrue@gmail.com")</f>
        <v>camidrue@gmail.com</v>
      </c>
      <c r="G77" s="20">
        <f>IFERROR(__xludf.DUMMYFUNCTION("""COMPUTED_VALUE"""),36796.0)</f>
        <v>36796</v>
      </c>
      <c r="H77" s="7">
        <f>IFERROR(__xludf.DUMMYFUNCTION("""COMPUTED_VALUE"""),4.2892997E7)</f>
        <v>42892997</v>
      </c>
      <c r="I77" s="7">
        <f>IFERROR(__xludf.DUMMYFUNCTION("""COMPUTED_VALUE"""),3.512024838E9)</f>
        <v>3512024838</v>
      </c>
      <c r="J77" s="7" t="str">
        <f>IFERROR(__xludf.DUMMYFUNCTION("""COMPUTED_VALUE"""),"Recomendación")</f>
        <v>Recomendación</v>
      </c>
      <c r="K77" s="7" t="str">
        <f>IFERROR(__xludf.DUMMYFUNCTION("""COMPUTED_VALUE"""),"Particular")</f>
        <v>Particular</v>
      </c>
      <c r="L77" s="7"/>
      <c r="M77" s="7"/>
      <c r="N77" s="7"/>
      <c r="O77" s="7"/>
      <c r="P77" s="7"/>
      <c r="Q77" s="7"/>
      <c r="R77" s="7"/>
      <c r="S77" s="7"/>
    </row>
    <row r="78">
      <c r="A78" s="7" t="str">
        <f t="shared" si="1"/>
        <v>CASTRO, Mirta Cristina</v>
      </c>
      <c r="B78" s="7">
        <f>SUMIFS('bd caja'!$K$1:$K$1012,'bd caja'!$D$1:$D$1012,A78)</f>
        <v>0</v>
      </c>
      <c r="C78" s="19">
        <f>IFERROR(__xludf.DUMMYFUNCTION("""COMPUTED_VALUE"""),44986.4743349537)</f>
        <v>44986.47433</v>
      </c>
      <c r="D78" s="7" t="str">
        <f>IFERROR(__xludf.DUMMYFUNCTION("""COMPUTED_VALUE"""),"CASTRO")</f>
        <v>CASTRO</v>
      </c>
      <c r="E78" s="7" t="str">
        <f>IFERROR(__xludf.DUMMYFUNCTION("""COMPUTED_VALUE"""),"Mirta Cristina")</f>
        <v>Mirta Cristina</v>
      </c>
      <c r="F78" s="7" t="str">
        <f>IFERROR(__xludf.DUMMYFUNCTION("""COMPUTED_VALUE"""),"micricas@hotmail.com")</f>
        <v>micricas@hotmail.com</v>
      </c>
      <c r="G78" s="20">
        <f>IFERROR(__xludf.DUMMYFUNCTION("""COMPUTED_VALUE"""),26826.0)</f>
        <v>26826</v>
      </c>
      <c r="H78" s="7">
        <f>IFERROR(__xludf.DUMMYFUNCTION("""COMPUTED_VALUE"""),2.3198663E7)</f>
        <v>23198663</v>
      </c>
      <c r="I78" s="7">
        <f>IFERROR(__xludf.DUMMYFUNCTION("""COMPUTED_VALUE"""),3.516520221E9)</f>
        <v>3516520221</v>
      </c>
      <c r="J78" s="7" t="str">
        <f>IFERROR(__xludf.DUMMYFUNCTION("""COMPUTED_VALUE"""),"Recomendación")</f>
        <v>Recomendación</v>
      </c>
      <c r="K78" s="7" t="str">
        <f>IFERROR(__xludf.DUMMYFUNCTION("""COMPUTED_VALUE"""),"Obra social")</f>
        <v>Obra social</v>
      </c>
      <c r="L78" s="7" t="str">
        <f>IFERROR(__xludf.DUMMYFUNCTION("""COMPUTED_VALUE"""),"DASPU")</f>
        <v>DASPU</v>
      </c>
      <c r="M78" s="7"/>
      <c r="N78" s="7"/>
      <c r="O78" s="7"/>
      <c r="P78" s="7"/>
      <c r="Q78" s="7"/>
      <c r="R78" s="7"/>
      <c r="S78" s="7"/>
    </row>
    <row r="79">
      <c r="A79" s="7" t="str">
        <f t="shared" si="1"/>
        <v>Semeraro, Nora</v>
      </c>
      <c r="B79" s="7">
        <f>SUMIFS('bd caja'!$K$1:$K$1012,'bd caja'!$D$1:$D$1012,A79)</f>
        <v>0</v>
      </c>
      <c r="C79" s="19">
        <f>IFERROR(__xludf.DUMMYFUNCTION("""COMPUTED_VALUE"""),44986.644390914356)</f>
        <v>44986.64439</v>
      </c>
      <c r="D79" s="7" t="str">
        <f>IFERROR(__xludf.DUMMYFUNCTION("""COMPUTED_VALUE"""),"Semeraro")</f>
        <v>Semeraro</v>
      </c>
      <c r="E79" s="7" t="str">
        <f>IFERROR(__xludf.DUMMYFUNCTION("""COMPUTED_VALUE"""),"Nora")</f>
        <v>Nora</v>
      </c>
      <c r="F79" s="7" t="str">
        <f>IFERROR(__xludf.DUMMYFUNCTION("""COMPUTED_VALUE"""),"norasemeraro@gmail.com")</f>
        <v>norasemeraro@gmail.com</v>
      </c>
      <c r="G79" s="20">
        <f>IFERROR(__xludf.DUMMYFUNCTION("""COMPUTED_VALUE"""),21195.0)</f>
        <v>21195</v>
      </c>
      <c r="H79" s="7">
        <f>IFERROR(__xludf.DUMMYFUNCTION("""COMPUTED_VALUE"""),1.2270859E7)</f>
        <v>12270859</v>
      </c>
      <c r="I79" s="7">
        <f>IFERROR(__xludf.DUMMYFUNCTION("""COMPUTED_VALUE"""),3.516608455E9)</f>
        <v>3516608455</v>
      </c>
      <c r="J79" s="7" t="str">
        <f>IFERROR(__xludf.DUMMYFUNCTION("""COMPUTED_VALUE"""),"Voy al gym Manantial")</f>
        <v>Voy al gym Manantial</v>
      </c>
      <c r="K79" s="7" t="str">
        <f>IFERROR(__xludf.DUMMYFUNCTION("""COMPUTED_VALUE"""),"Obra social")</f>
        <v>Obra social</v>
      </c>
      <c r="L79" s="7" t="str">
        <f>IFERROR(__xludf.DUMMYFUNCTION("""COMPUTED_VALUE"""),"OSSEG")</f>
        <v>OSSEG</v>
      </c>
      <c r="M79" s="7"/>
      <c r="N79" s="7"/>
      <c r="O79" s="7"/>
      <c r="P79" s="7"/>
      <c r="Q79" s="7"/>
      <c r="R79" s="7"/>
      <c r="S79" s="7"/>
    </row>
    <row r="80">
      <c r="A80" s="7" t="str">
        <f t="shared" si="1"/>
        <v>Sueldo, Belkis Anabella</v>
      </c>
      <c r="B80" s="7">
        <f>SUMIFS('bd caja'!$K$1:$K$1012,'bd caja'!$D$1:$D$1012,A80)</f>
        <v>0</v>
      </c>
      <c r="C80" s="19">
        <f>IFERROR(__xludf.DUMMYFUNCTION("""COMPUTED_VALUE"""),44986.80322581019)</f>
        <v>44986.80323</v>
      </c>
      <c r="D80" s="7" t="str">
        <f>IFERROR(__xludf.DUMMYFUNCTION("""COMPUTED_VALUE"""),"Sueldo")</f>
        <v>Sueldo</v>
      </c>
      <c r="E80" s="7" t="str">
        <f>IFERROR(__xludf.DUMMYFUNCTION("""COMPUTED_VALUE"""),"Belkis Anabella")</f>
        <v>Belkis Anabella</v>
      </c>
      <c r="F80" s="7" t="str">
        <f>IFERROR(__xludf.DUMMYFUNCTION("""COMPUTED_VALUE"""),"basueldo@gmail.com")</f>
        <v>basueldo@gmail.com</v>
      </c>
      <c r="G80" s="20">
        <f>IFERROR(__xludf.DUMMYFUNCTION("""COMPUTED_VALUE"""),31671.0)</f>
        <v>31671</v>
      </c>
      <c r="H80" s="7">
        <f>IFERROR(__xludf.DUMMYFUNCTION("""COMPUTED_VALUE"""),3.2518805E7)</f>
        <v>32518805</v>
      </c>
      <c r="I80" s="7">
        <f>IFERROR(__xludf.DUMMYFUNCTION("""COMPUTED_VALUE"""),3.512466755E9)</f>
        <v>3512466755</v>
      </c>
      <c r="J80" s="7" t="str">
        <f>IFERROR(__xludf.DUMMYFUNCTION("""COMPUTED_VALUE"""),"Google")</f>
        <v>Google</v>
      </c>
      <c r="K80" s="7" t="str">
        <f>IFERROR(__xludf.DUMMYFUNCTION("""COMPUTED_VALUE"""),"Particular")</f>
        <v>Particular</v>
      </c>
      <c r="L80" s="7"/>
      <c r="M80" s="7"/>
      <c r="N80" s="7"/>
      <c r="O80" s="7"/>
      <c r="P80" s="7"/>
      <c r="Q80" s="7"/>
      <c r="R80" s="7"/>
      <c r="S80" s="7"/>
    </row>
    <row r="81">
      <c r="A81" s="7" t="str">
        <f t="shared" si="1"/>
        <v>Ponce, Federico</v>
      </c>
      <c r="B81" s="7">
        <f>SUMIFS('bd caja'!$K$1:$K$1012,'bd caja'!$D$1:$D$1012,A81)</f>
        <v>0</v>
      </c>
      <c r="C81" s="19">
        <f>IFERROR(__xludf.DUMMYFUNCTION("""COMPUTED_VALUE"""),44987.38946446759)</f>
        <v>44987.38946</v>
      </c>
      <c r="D81" s="7" t="str">
        <f>IFERROR(__xludf.DUMMYFUNCTION("""COMPUTED_VALUE"""),"Ponce")</f>
        <v>Ponce</v>
      </c>
      <c r="E81" s="7" t="str">
        <f>IFERROR(__xludf.DUMMYFUNCTION("""COMPUTED_VALUE"""),"Federico")</f>
        <v>Federico</v>
      </c>
      <c r="F81" s="7" t="str">
        <f>IFERROR(__xludf.DUMMYFUNCTION("""COMPUTED_VALUE"""),"federico.jponce@gmail.com")</f>
        <v>federico.jponce@gmail.com</v>
      </c>
      <c r="G81" s="20">
        <f>IFERROR(__xludf.DUMMYFUNCTION("""COMPUTED_VALUE"""),34895.0)</f>
        <v>34895</v>
      </c>
      <c r="H81" s="7">
        <f>IFERROR(__xludf.DUMMYFUNCTION("""COMPUTED_VALUE"""),3.9072489E7)</f>
        <v>39072489</v>
      </c>
      <c r="I81" s="7">
        <f>IFERROR(__xludf.DUMMYFUNCTION("""COMPUTED_VALUE"""),3.517502384E9)</f>
        <v>3517502384</v>
      </c>
      <c r="J81" s="7" t="str">
        <f>IFERROR(__xludf.DUMMYFUNCTION("""COMPUTED_VALUE"""),"Recomendación")</f>
        <v>Recomendación</v>
      </c>
      <c r="K81" s="7" t="str">
        <f>IFERROR(__xludf.DUMMYFUNCTION("""COMPUTED_VALUE"""),"Obra social")</f>
        <v>Obra social</v>
      </c>
      <c r="L81" s="7" t="str">
        <f>IFERROR(__xludf.DUMMYFUNCTION("""COMPUTED_VALUE"""),"APROSS")</f>
        <v>APROSS</v>
      </c>
      <c r="M81" s="7"/>
      <c r="N81" s="7"/>
      <c r="O81" s="7"/>
      <c r="P81" s="7"/>
      <c r="Q81" s="7"/>
      <c r="R81" s="7"/>
      <c r="S81" s="7"/>
    </row>
    <row r="82">
      <c r="A82" s="7" t="str">
        <f t="shared" si="1"/>
        <v>Baigorri , Joel</v>
      </c>
      <c r="B82" s="7">
        <f>SUMIFS('bd caja'!$K$1:$K$1012,'bd caja'!$D$1:$D$1012,A82)</f>
        <v>0</v>
      </c>
      <c r="C82" s="19">
        <f>IFERROR(__xludf.DUMMYFUNCTION("""COMPUTED_VALUE"""),44987.457483125)</f>
        <v>44987.45748</v>
      </c>
      <c r="D82" s="7" t="str">
        <f>IFERROR(__xludf.DUMMYFUNCTION("""COMPUTED_VALUE"""),"Baigorri ")</f>
        <v>Baigorri </v>
      </c>
      <c r="E82" s="7" t="str">
        <f>IFERROR(__xludf.DUMMYFUNCTION("""COMPUTED_VALUE"""),"Joel")</f>
        <v>Joel</v>
      </c>
      <c r="F82" s="7" t="str">
        <f>IFERROR(__xludf.DUMMYFUNCTION("""COMPUTED_VALUE"""),"Baigorri.joel@gmail.com")</f>
        <v>Baigorri.joel@gmail.com</v>
      </c>
      <c r="G82" s="20">
        <f>IFERROR(__xludf.DUMMYFUNCTION("""COMPUTED_VALUE"""),31593.0)</f>
        <v>31593</v>
      </c>
      <c r="H82" s="7">
        <f>IFERROR(__xludf.DUMMYFUNCTION("""COMPUTED_VALUE"""),3.2372182E7)</f>
        <v>32372182</v>
      </c>
      <c r="I82" s="7">
        <f>IFERROR(__xludf.DUMMYFUNCTION("""COMPUTED_VALUE"""),3.51347122E9)</f>
        <v>3513471220</v>
      </c>
      <c r="J82" s="7" t="str">
        <f>IFERROR(__xludf.DUMMYFUNCTION("""COMPUTED_VALUE"""),"Google")</f>
        <v>Google</v>
      </c>
      <c r="K82" s="7" t="str">
        <f>IFERROR(__xludf.DUMMYFUNCTION("""COMPUTED_VALUE"""),"Particular")</f>
        <v>Particular</v>
      </c>
      <c r="L82" s="7"/>
      <c r="M82" s="7"/>
      <c r="N82" s="7"/>
      <c r="O82" s="7"/>
      <c r="P82" s="7"/>
      <c r="Q82" s="7"/>
      <c r="R82" s="7"/>
      <c r="S82" s="7"/>
    </row>
    <row r="83">
      <c r="A83" s="7" t="str">
        <f t="shared" si="1"/>
        <v>Grion, Alejandro</v>
      </c>
      <c r="B83" s="7">
        <f>SUMIFS('bd caja'!$K$1:$K$1012,'bd caja'!$D$1:$D$1012,A83)</f>
        <v>0</v>
      </c>
      <c r="C83" s="19">
        <f>IFERROR(__xludf.DUMMYFUNCTION("""COMPUTED_VALUE"""),44988.74688664352)</f>
        <v>44988.74689</v>
      </c>
      <c r="D83" s="7" t="str">
        <f>IFERROR(__xludf.DUMMYFUNCTION("""COMPUTED_VALUE"""),"Grion")</f>
        <v>Grion</v>
      </c>
      <c r="E83" s="7" t="str">
        <f>IFERROR(__xludf.DUMMYFUNCTION("""COMPUTED_VALUE"""),"Alejandro")</f>
        <v>Alejandro</v>
      </c>
      <c r="F83" s="7" t="str">
        <f>IFERROR(__xludf.DUMMYFUNCTION("""COMPUTED_VALUE"""),"alejandrogrion@gmail.com")</f>
        <v>alejandrogrion@gmail.com</v>
      </c>
      <c r="G83" s="20">
        <f>IFERROR(__xludf.DUMMYFUNCTION("""COMPUTED_VALUE"""),25928.0)</f>
        <v>25928</v>
      </c>
      <c r="H83" s="7">
        <f>IFERROR(__xludf.DUMMYFUNCTION("""COMPUTED_VALUE"""),2.196721E7)</f>
        <v>21967210</v>
      </c>
      <c r="I83" s="7">
        <f>IFERROR(__xludf.DUMMYFUNCTION("""COMPUTED_VALUE"""),3.512388424E9)</f>
        <v>3512388424</v>
      </c>
      <c r="J83" s="7" t="str">
        <f>IFERROR(__xludf.DUMMYFUNCTION("""COMPUTED_VALUE"""),"Google")</f>
        <v>Google</v>
      </c>
      <c r="K83" s="7" t="str">
        <f>IFERROR(__xludf.DUMMYFUNCTION("""COMPUTED_VALUE"""),"Particular")</f>
        <v>Particular</v>
      </c>
      <c r="L83" s="7"/>
      <c r="M83" s="7"/>
      <c r="N83" s="7"/>
      <c r="O83" s="7"/>
      <c r="P83" s="7"/>
      <c r="Q83" s="7"/>
      <c r="R83" s="7"/>
      <c r="S83" s="7"/>
    </row>
    <row r="84">
      <c r="A84" s="7" t="str">
        <f t="shared" si="1"/>
        <v>Biani, Jeremias </v>
      </c>
      <c r="B84" s="7">
        <f>SUMIFS('bd caja'!$K$1:$K$1012,'bd caja'!$D$1:$D$1012,A84)</f>
        <v>0</v>
      </c>
      <c r="C84" s="19">
        <f>IFERROR(__xludf.DUMMYFUNCTION("""COMPUTED_VALUE"""),44991.51030392361)</f>
        <v>44991.5103</v>
      </c>
      <c r="D84" s="7" t="str">
        <f>IFERROR(__xludf.DUMMYFUNCTION("""COMPUTED_VALUE"""),"Biani")</f>
        <v>Biani</v>
      </c>
      <c r="E84" s="7" t="str">
        <f>IFERROR(__xludf.DUMMYFUNCTION("""COMPUTED_VALUE"""),"Jeremias ")</f>
        <v>Jeremias </v>
      </c>
      <c r="F84" s="7" t="str">
        <f>IFERROR(__xludf.DUMMYFUNCTION("""COMPUTED_VALUE"""),"diegoivanbiani79@gmail.com")</f>
        <v>diegoivanbiani79@gmail.com</v>
      </c>
      <c r="G84" s="20">
        <f>IFERROR(__xludf.DUMMYFUNCTION("""COMPUTED_VALUE"""),39526.0)</f>
        <v>39526</v>
      </c>
      <c r="H84" s="7">
        <f>IFERROR(__xludf.DUMMYFUNCTION("""COMPUTED_VALUE"""),4.8124818E7)</f>
        <v>48124818</v>
      </c>
      <c r="I84" s="7">
        <f>IFERROR(__xludf.DUMMYFUNCTION("""COMPUTED_VALUE"""),3.513357046E9)</f>
        <v>3513357046</v>
      </c>
      <c r="J84" s="7" t="str">
        <f>IFERROR(__xludf.DUMMYFUNCTION("""COMPUTED_VALUE"""),"Google")</f>
        <v>Google</v>
      </c>
      <c r="K84" s="7" t="str">
        <f>IFERROR(__xludf.DUMMYFUNCTION("""COMPUTED_VALUE"""),"Particular")</f>
        <v>Particular</v>
      </c>
      <c r="L84" s="7"/>
      <c r="M84" s="7"/>
      <c r="N84" s="7"/>
      <c r="O84" s="7"/>
      <c r="P84" s="7"/>
      <c r="Q84" s="7"/>
      <c r="R84" s="7"/>
      <c r="S84" s="7"/>
    </row>
    <row r="85">
      <c r="A85" s="7" t="str">
        <f t="shared" si="1"/>
        <v>Castro , Facundo </v>
      </c>
      <c r="B85" s="7">
        <f>SUMIFS('bd caja'!$K$1:$K$1012,'bd caja'!$D$1:$D$1012,A85)</f>
        <v>0</v>
      </c>
      <c r="C85" s="19">
        <f>IFERROR(__xludf.DUMMYFUNCTION("""COMPUTED_VALUE"""),44991.863355416666)</f>
        <v>44991.86336</v>
      </c>
      <c r="D85" s="7" t="str">
        <f>IFERROR(__xludf.DUMMYFUNCTION("""COMPUTED_VALUE"""),"Castro ")</f>
        <v>Castro </v>
      </c>
      <c r="E85" s="7" t="str">
        <f>IFERROR(__xludf.DUMMYFUNCTION("""COMPUTED_VALUE"""),"Facundo ")</f>
        <v>Facundo </v>
      </c>
      <c r="F85" s="7" t="str">
        <f>IFERROR(__xludf.DUMMYFUNCTION("""COMPUTED_VALUE"""),"castrofacundo265@gmail.com")</f>
        <v>castrofacundo265@gmail.com</v>
      </c>
      <c r="G85" s="20">
        <f>IFERROR(__xludf.DUMMYFUNCTION("""COMPUTED_VALUE"""),36204.0)</f>
        <v>36204</v>
      </c>
      <c r="H85" s="7">
        <f>IFERROR(__xludf.DUMMYFUNCTION("""COMPUTED_VALUE"""),4.0506846E7)</f>
        <v>40506846</v>
      </c>
      <c r="I85" s="7">
        <f>IFERROR(__xludf.DUMMYFUNCTION("""COMPUTED_VALUE"""),3.542461695E9)</f>
        <v>3542461695</v>
      </c>
      <c r="J85" s="7" t="str">
        <f>IFERROR(__xludf.DUMMYFUNCTION("""COMPUTED_VALUE"""),"Recomendación")</f>
        <v>Recomendación</v>
      </c>
      <c r="K85" s="7" t="str">
        <f>IFERROR(__xludf.DUMMYFUNCTION("""COMPUTED_VALUE"""),"Obra social")</f>
        <v>Obra social</v>
      </c>
      <c r="L85" s="7" t="str">
        <f>IFERROR(__xludf.DUMMYFUNCTION("""COMPUTED_VALUE"""),"APROSS")</f>
        <v>APROSS</v>
      </c>
      <c r="M85" s="7"/>
      <c r="N85" s="7"/>
      <c r="O85" s="7"/>
      <c r="P85" s="7"/>
      <c r="Q85" s="7"/>
      <c r="R85" s="7"/>
      <c r="S85" s="7"/>
    </row>
    <row r="86">
      <c r="A86" s="7" t="str">
        <f t="shared" si="1"/>
        <v>DUARTE POLANCO, AXEL MATIAS</v>
      </c>
      <c r="B86" s="7">
        <f>SUMIFS('bd caja'!$K$1:$K$1012,'bd caja'!$D$1:$D$1012,A86)</f>
        <v>0</v>
      </c>
      <c r="C86" s="19">
        <f>IFERROR(__xludf.DUMMYFUNCTION("""COMPUTED_VALUE"""),44992.49794803241)</f>
        <v>44992.49795</v>
      </c>
      <c r="D86" s="7" t="str">
        <f>IFERROR(__xludf.DUMMYFUNCTION("""COMPUTED_VALUE"""),"DUARTE POLANCO")</f>
        <v>DUARTE POLANCO</v>
      </c>
      <c r="E86" s="7" t="str">
        <f>IFERROR(__xludf.DUMMYFUNCTION("""COMPUTED_VALUE"""),"AXEL MATIAS")</f>
        <v>AXEL MATIAS</v>
      </c>
      <c r="F86" s="7" t="str">
        <f>IFERROR(__xludf.DUMMYFUNCTION("""COMPUTED_VALUE"""),"amatiasduarte@gmail.com")</f>
        <v>amatiasduarte@gmail.com</v>
      </c>
      <c r="G86" s="20">
        <f>IFERROR(__xludf.DUMMYFUNCTION("""COMPUTED_VALUE"""),32925.0)</f>
        <v>32925</v>
      </c>
      <c r="H86" s="7">
        <f>IFERROR(__xludf.DUMMYFUNCTION("""COMPUTED_VALUE"""),3.5054004E7)</f>
        <v>35054004</v>
      </c>
      <c r="I86" s="7">
        <f>IFERROR(__xludf.DUMMYFUNCTION("""COMPUTED_VALUE"""),3.513792102E9)</f>
        <v>3513792102</v>
      </c>
      <c r="J86" s="7" t="str">
        <f>IFERROR(__xludf.DUMMYFUNCTION("""COMPUTED_VALUE"""),"Google")</f>
        <v>Google</v>
      </c>
      <c r="K86" s="7" t="str">
        <f>IFERROR(__xludf.DUMMYFUNCTION("""COMPUTED_VALUE"""),"Obra social")</f>
        <v>Obra social</v>
      </c>
      <c r="L86" s="7" t="str">
        <f>IFERROR(__xludf.DUMMYFUNCTION("""COMPUTED_VALUE"""),"SANCOR")</f>
        <v>SANCOR</v>
      </c>
      <c r="M86" s="7"/>
      <c r="N86" s="7"/>
      <c r="O86" s="7"/>
      <c r="P86" s="7"/>
      <c r="Q86" s="7"/>
      <c r="R86" s="7"/>
      <c r="S86" s="7"/>
    </row>
    <row r="87">
      <c r="A87" s="7" t="str">
        <f t="shared" si="1"/>
        <v>Bordino, Alvaro </v>
      </c>
      <c r="B87" s="7">
        <f>SUMIFS('bd caja'!$K$1:$K$1012,'bd caja'!$D$1:$D$1012,A87)</f>
        <v>0</v>
      </c>
      <c r="C87" s="19">
        <f>IFERROR(__xludf.DUMMYFUNCTION("""COMPUTED_VALUE"""),44992.868745520835)</f>
        <v>44992.86875</v>
      </c>
      <c r="D87" s="7" t="str">
        <f>IFERROR(__xludf.DUMMYFUNCTION("""COMPUTED_VALUE"""),"Bordino")</f>
        <v>Bordino</v>
      </c>
      <c r="E87" s="7" t="str">
        <f>IFERROR(__xludf.DUMMYFUNCTION("""COMPUTED_VALUE"""),"Alvaro ")</f>
        <v>Alvaro </v>
      </c>
      <c r="F87" s="7" t="str">
        <f>IFERROR(__xludf.DUMMYFUNCTION("""COMPUTED_VALUE"""),"Alvarobordino1995@gmail.com ")</f>
        <v>Alvarobordino1995@gmail.com </v>
      </c>
      <c r="G87" s="20">
        <f>IFERROR(__xludf.DUMMYFUNCTION("""COMPUTED_VALUE"""),34460.0)</f>
        <v>34460</v>
      </c>
      <c r="H87" s="7">
        <f>IFERROR(__xludf.DUMMYFUNCTION("""COMPUTED_VALUE"""),3.8183134E7)</f>
        <v>38183134</v>
      </c>
      <c r="I87" s="7">
        <f>IFERROR(__xludf.DUMMYFUNCTION("""COMPUTED_VALUE"""),3.51533772E9)</f>
        <v>3515337720</v>
      </c>
      <c r="J87" s="7" t="str">
        <f>IFERROR(__xludf.DUMMYFUNCTION("""COMPUTED_VALUE"""),"Google")</f>
        <v>Google</v>
      </c>
      <c r="K87" s="7" t="str">
        <f>IFERROR(__xludf.DUMMYFUNCTION("""COMPUTED_VALUE"""),"Particular")</f>
        <v>Particular</v>
      </c>
      <c r="L87" s="7"/>
      <c r="M87" s="7"/>
      <c r="N87" s="7"/>
      <c r="O87" s="7"/>
      <c r="P87" s="7"/>
      <c r="Q87" s="7"/>
      <c r="R87" s="7"/>
      <c r="S87" s="7"/>
    </row>
    <row r="88">
      <c r="A88" s="7" t="str">
        <f t="shared" si="1"/>
        <v>Freno, Pablo Manuel</v>
      </c>
      <c r="B88" s="7">
        <f>SUMIFS('bd caja'!$K$1:$K$1012,'bd caja'!$D$1:$D$1012,A88)</f>
        <v>0</v>
      </c>
      <c r="C88" s="19">
        <f>IFERROR(__xludf.DUMMYFUNCTION("""COMPUTED_VALUE"""),44993.77411267361)</f>
        <v>44993.77411</v>
      </c>
      <c r="D88" s="7" t="str">
        <f>IFERROR(__xludf.DUMMYFUNCTION("""COMPUTED_VALUE"""),"Freno")</f>
        <v>Freno</v>
      </c>
      <c r="E88" s="7" t="str">
        <f>IFERROR(__xludf.DUMMYFUNCTION("""COMPUTED_VALUE"""),"Pablo Manuel")</f>
        <v>Pablo Manuel</v>
      </c>
      <c r="F88" s="7" t="str">
        <f>IFERROR(__xludf.DUMMYFUNCTION("""COMPUTED_VALUE"""),"pablomanuelfreno@gmail.com")</f>
        <v>pablomanuelfreno@gmail.com</v>
      </c>
      <c r="G88" s="20">
        <f>IFERROR(__xludf.DUMMYFUNCTION("""COMPUTED_VALUE"""),21433.0)</f>
        <v>21433</v>
      </c>
      <c r="H88" s="7">
        <f>IFERROR(__xludf.DUMMYFUNCTION("""COMPUTED_VALUE"""),1.2613243E7)</f>
        <v>12613243</v>
      </c>
      <c r="I88" s="7">
        <f>IFERROR(__xludf.DUMMYFUNCTION("""COMPUTED_VALUE"""),3.515435327E9)</f>
        <v>3515435327</v>
      </c>
      <c r="J88" s="7" t="str">
        <f>IFERROR(__xludf.DUMMYFUNCTION("""COMPUTED_VALUE"""),"Recomendación")</f>
        <v>Recomendación</v>
      </c>
      <c r="K88" s="7" t="str">
        <f>IFERROR(__xludf.DUMMYFUNCTION("""COMPUTED_VALUE"""),"Obra social")</f>
        <v>Obra social</v>
      </c>
      <c r="L88" s="7" t="str">
        <f>IFERROR(__xludf.DUMMYFUNCTION("""COMPUTED_VALUE"""),"Medife")</f>
        <v>Medife</v>
      </c>
      <c r="M88" s="7"/>
      <c r="N88" s="7"/>
      <c r="O88" s="7"/>
      <c r="P88" s="7"/>
      <c r="Q88" s="7"/>
      <c r="R88" s="7"/>
      <c r="S88" s="7"/>
    </row>
    <row r="89">
      <c r="A89" s="7" t="str">
        <f t="shared" si="1"/>
        <v>Gadea, Erik paul</v>
      </c>
      <c r="B89" s="7">
        <f>SUMIFS('bd caja'!$K$1:$K$1012,'bd caja'!$D$1:$D$1012,A89)</f>
        <v>0</v>
      </c>
      <c r="C89" s="19">
        <f>IFERROR(__xludf.DUMMYFUNCTION("""COMPUTED_VALUE"""),44998.42286020833)</f>
        <v>44998.42286</v>
      </c>
      <c r="D89" s="7" t="str">
        <f>IFERROR(__xludf.DUMMYFUNCTION("""COMPUTED_VALUE"""),"Gadea")</f>
        <v>Gadea</v>
      </c>
      <c r="E89" s="7" t="str">
        <f>IFERROR(__xludf.DUMMYFUNCTION("""COMPUTED_VALUE"""),"Erik paul")</f>
        <v>Erik paul</v>
      </c>
      <c r="F89" s="7" t="str">
        <f>IFERROR(__xludf.DUMMYFUNCTION("""COMPUTED_VALUE"""),"erikgadea@hotmail.com.ar ")</f>
        <v>erikgadea@hotmail.com.ar </v>
      </c>
      <c r="G89" s="20">
        <f>IFERROR(__xludf.DUMMYFUNCTION("""COMPUTED_VALUE"""),35542.0)</f>
        <v>35542</v>
      </c>
      <c r="H89" s="7">
        <f>IFERROR(__xludf.DUMMYFUNCTION("""COMPUTED_VALUE"""),4.0203248E7)</f>
        <v>40203248</v>
      </c>
      <c r="I89" s="7">
        <f>IFERROR(__xludf.DUMMYFUNCTION("""COMPUTED_VALUE"""),3.522400613E9)</f>
        <v>3522400613</v>
      </c>
      <c r="J89" s="7" t="str">
        <f>IFERROR(__xludf.DUMMYFUNCTION("""COMPUTED_VALUE"""),"Recomendación")</f>
        <v>Recomendación</v>
      </c>
      <c r="K89" s="7" t="str">
        <f>IFERROR(__xludf.DUMMYFUNCTION("""COMPUTED_VALUE"""),"Obra social")</f>
        <v>Obra social</v>
      </c>
      <c r="L89" s="7" t="str">
        <f>IFERROR(__xludf.DUMMYFUNCTION("""COMPUTED_VALUE"""),"Unimed")</f>
        <v>Unimed</v>
      </c>
      <c r="M89" s="7"/>
      <c r="N89" s="7"/>
      <c r="O89" s="7"/>
      <c r="P89" s="7"/>
      <c r="Q89" s="7"/>
      <c r="R89" s="7"/>
      <c r="S89" s="7"/>
    </row>
    <row r="90">
      <c r="A90" s="7" t="str">
        <f t="shared" si="1"/>
        <v>Charif, Asdrubal </v>
      </c>
      <c r="B90" s="7">
        <f>SUMIFS('bd caja'!$K$1:$K$1012,'bd caja'!$D$1:$D$1012,A90)</f>
        <v>0</v>
      </c>
      <c r="C90" s="19">
        <f>IFERROR(__xludf.DUMMYFUNCTION("""COMPUTED_VALUE"""),44999.481721979166)</f>
        <v>44999.48172</v>
      </c>
      <c r="D90" s="7" t="str">
        <f>IFERROR(__xludf.DUMMYFUNCTION("""COMPUTED_VALUE"""),"Charif")</f>
        <v>Charif</v>
      </c>
      <c r="E90" s="7" t="str">
        <f>IFERROR(__xludf.DUMMYFUNCTION("""COMPUTED_VALUE"""),"Asdrubal ")</f>
        <v>Asdrubal </v>
      </c>
      <c r="F90" s="7" t="str">
        <f>IFERROR(__xludf.DUMMYFUNCTION("""COMPUTED_VALUE"""),"Ivoncharif556@gmail.com ")</f>
        <v>Ivoncharif556@gmail.com </v>
      </c>
      <c r="G90" s="20">
        <f>IFERROR(__xludf.DUMMYFUNCTION("""COMPUTED_VALUE"""),26823.0)</f>
        <v>26823</v>
      </c>
      <c r="H90" s="7">
        <f>IFERROR(__xludf.DUMMYFUNCTION("""COMPUTED_VALUE"""),2.3458302E7)</f>
        <v>23458302</v>
      </c>
      <c r="I90" s="7">
        <f>IFERROR(__xludf.DUMMYFUNCTION("""COMPUTED_VALUE"""),3.513537495E9)</f>
        <v>3513537495</v>
      </c>
      <c r="J90" s="7" t="str">
        <f>IFERROR(__xludf.DUMMYFUNCTION("""COMPUTED_VALUE"""),"Google")</f>
        <v>Google</v>
      </c>
      <c r="K90" s="7" t="str">
        <f>IFERROR(__xludf.DUMMYFUNCTION("""COMPUTED_VALUE"""),"Particular")</f>
        <v>Particular</v>
      </c>
      <c r="L90" s="7"/>
      <c r="M90" s="7"/>
      <c r="N90" s="7"/>
      <c r="O90" s="7"/>
      <c r="P90" s="7"/>
      <c r="Q90" s="7"/>
      <c r="R90" s="7"/>
      <c r="S90" s="7"/>
    </row>
    <row r="91">
      <c r="A91" s="7" t="str">
        <f t="shared" si="1"/>
        <v>Oña, Ignacio</v>
      </c>
      <c r="B91" s="7">
        <f>SUMIFS('bd caja'!$K$1:$K$1012,'bd caja'!$D$1:$D$1012,A91)</f>
        <v>0</v>
      </c>
      <c r="C91" s="19">
        <f>IFERROR(__xludf.DUMMYFUNCTION("""COMPUTED_VALUE"""),45005.43750789352)</f>
        <v>45005.43751</v>
      </c>
      <c r="D91" s="7" t="str">
        <f>IFERROR(__xludf.DUMMYFUNCTION("""COMPUTED_VALUE"""),"Oña")</f>
        <v>Oña</v>
      </c>
      <c r="E91" s="7" t="str">
        <f>IFERROR(__xludf.DUMMYFUNCTION("""COMPUTED_VALUE"""),"Ignacio")</f>
        <v>Ignacio</v>
      </c>
      <c r="F91" s="7" t="str">
        <f>IFERROR(__xludf.DUMMYFUNCTION("""COMPUTED_VALUE"""),"ignaona@gmail.com")</f>
        <v>ignaona@gmail.com</v>
      </c>
      <c r="G91" s="20">
        <f>IFERROR(__xludf.DUMMYFUNCTION("""COMPUTED_VALUE"""),31219.0)</f>
        <v>31219</v>
      </c>
      <c r="H91" s="7">
        <f>IFERROR(__xludf.DUMMYFUNCTION("""COMPUTED_VALUE"""),3.1669854E7)</f>
        <v>31669854</v>
      </c>
      <c r="I91" s="7">
        <f>IFERROR(__xludf.DUMMYFUNCTION("""COMPUTED_VALUE"""),3.51374666E9)</f>
        <v>3513746660</v>
      </c>
      <c r="J91" s="7" t="str">
        <f>IFERROR(__xludf.DUMMYFUNCTION("""COMPUTED_VALUE"""),"Voy al gym Manantial")</f>
        <v>Voy al gym Manantial</v>
      </c>
      <c r="K91" s="7" t="str">
        <f>IFERROR(__xludf.DUMMYFUNCTION("""COMPUTED_VALUE"""),"Obra social")</f>
        <v>Obra social</v>
      </c>
      <c r="L91" s="7" t="str">
        <f>IFERROR(__xludf.DUMMYFUNCTION("""COMPUTED_VALUE"""),"PREVENCIÓN")</f>
        <v>PREVENCIÓN</v>
      </c>
      <c r="M91" s="7"/>
      <c r="N91" s="7"/>
      <c r="O91" s="7"/>
      <c r="P91" s="7"/>
      <c r="Q91" s="7"/>
      <c r="R91" s="7"/>
      <c r="S91" s="7"/>
    </row>
    <row r="92">
      <c r="A92" s="7" t="str">
        <f t="shared" si="1"/>
        <v>Depaul, Emilia</v>
      </c>
      <c r="B92" s="7">
        <f>SUMIFS('bd caja'!$K$1:$K$1012,'bd caja'!$D$1:$D$1012,A92)</f>
        <v>0</v>
      </c>
      <c r="C92" s="19">
        <f>IFERROR(__xludf.DUMMYFUNCTION("""COMPUTED_VALUE"""),45005.454570208334)</f>
        <v>45005.45457</v>
      </c>
      <c r="D92" s="7" t="str">
        <f>IFERROR(__xludf.DUMMYFUNCTION("""COMPUTED_VALUE"""),"Depaul")</f>
        <v>Depaul</v>
      </c>
      <c r="E92" s="7" t="str">
        <f>IFERROR(__xludf.DUMMYFUNCTION("""COMPUTED_VALUE"""),"Emilia")</f>
        <v>Emilia</v>
      </c>
      <c r="F92" s="7" t="str">
        <f>IFERROR(__xludf.DUMMYFUNCTION("""COMPUTED_VALUE"""),"emiliadepaul.mkt@gmail.com")</f>
        <v>emiliadepaul.mkt@gmail.com</v>
      </c>
      <c r="G92" s="20">
        <f>IFERROR(__xludf.DUMMYFUNCTION("""COMPUTED_VALUE"""),36598.0)</f>
        <v>36598</v>
      </c>
      <c r="H92" s="7">
        <f>IFERROR(__xludf.DUMMYFUNCTION("""COMPUTED_VALUE"""),4.2383051E7)</f>
        <v>42383051</v>
      </c>
      <c r="I92" s="7">
        <f>IFERROR(__xludf.DUMMYFUNCTION("""COMPUTED_VALUE"""),3.517680758E9)</f>
        <v>3517680758</v>
      </c>
      <c r="J92" s="7" t="str">
        <f>IFERROR(__xludf.DUMMYFUNCTION("""COMPUTED_VALUE"""),"Cartilla Obra Social")</f>
        <v>Cartilla Obra Social</v>
      </c>
      <c r="K92" s="7" t="str">
        <f>IFERROR(__xludf.DUMMYFUNCTION("""COMPUTED_VALUE"""),"Obra social")</f>
        <v>Obra social</v>
      </c>
      <c r="L92" s="7" t="str">
        <f>IFERROR(__xludf.DUMMYFUNCTION("""COMPUTED_VALUE"""),"PREVENCIÓN")</f>
        <v>PREVENCIÓN</v>
      </c>
      <c r="M92" s="7"/>
      <c r="N92" s="7"/>
      <c r="O92" s="7"/>
      <c r="P92" s="7"/>
      <c r="Q92" s="7"/>
      <c r="R92" s="7"/>
      <c r="S92" s="7"/>
    </row>
    <row r="93">
      <c r="A93" s="7" t="str">
        <f t="shared" si="1"/>
        <v>Menacho , Silvia </v>
      </c>
      <c r="B93" s="7">
        <f>SUMIFS('bd caja'!$K$1:$K$1012,'bd caja'!$D$1:$D$1012,A93)</f>
        <v>0</v>
      </c>
      <c r="C93" s="19">
        <f>IFERROR(__xludf.DUMMYFUNCTION("""COMPUTED_VALUE"""),45005.548009328704)</f>
        <v>45005.54801</v>
      </c>
      <c r="D93" s="7" t="str">
        <f>IFERROR(__xludf.DUMMYFUNCTION("""COMPUTED_VALUE"""),"Menacho ")</f>
        <v>Menacho </v>
      </c>
      <c r="E93" s="7" t="str">
        <f>IFERROR(__xludf.DUMMYFUNCTION("""COMPUTED_VALUE"""),"Silvia ")</f>
        <v>Silvia </v>
      </c>
      <c r="F93" s="7" t="str">
        <f>IFERROR(__xludf.DUMMYFUNCTION("""COMPUTED_VALUE"""),"silviambaigorri@gmail.com")</f>
        <v>silviambaigorri@gmail.com</v>
      </c>
      <c r="G93" s="20">
        <f>IFERROR(__xludf.DUMMYFUNCTION("""COMPUTED_VALUE"""),24935.0)</f>
        <v>24935</v>
      </c>
      <c r="H93" s="7">
        <f>IFERROR(__xludf.DUMMYFUNCTION("""COMPUTED_VALUE"""),2.0346063E7)</f>
        <v>20346063</v>
      </c>
      <c r="I93" s="7">
        <f>IFERROR(__xludf.DUMMYFUNCTION("""COMPUTED_VALUE"""),3.513854962E9)</f>
        <v>3513854962</v>
      </c>
      <c r="J93" s="7" t="str">
        <f>IFERROR(__xludf.DUMMYFUNCTION("""COMPUTED_VALUE"""),"Recomendación")</f>
        <v>Recomendación</v>
      </c>
      <c r="K93" s="7" t="str">
        <f>IFERROR(__xludf.DUMMYFUNCTION("""COMPUTED_VALUE"""),"Particular")</f>
        <v>Particular</v>
      </c>
      <c r="L93" s="7"/>
      <c r="M93" s="7"/>
      <c r="N93" s="7"/>
      <c r="O93" s="7"/>
      <c r="P93" s="7"/>
      <c r="Q93" s="7"/>
      <c r="R93" s="7"/>
      <c r="S93" s="7"/>
    </row>
    <row r="94">
      <c r="A94" s="7" t="str">
        <f t="shared" si="1"/>
        <v>Fernandez Lopez, Jeronimo</v>
      </c>
      <c r="B94" s="7">
        <f>SUMIFS('bd caja'!$K$1:$K$1012,'bd caja'!$D$1:$D$1012,A94)</f>
        <v>0</v>
      </c>
      <c r="C94" s="19">
        <f>IFERROR(__xludf.DUMMYFUNCTION("""COMPUTED_VALUE"""),45005.79444863426)</f>
        <v>45005.79445</v>
      </c>
      <c r="D94" s="7" t="str">
        <f>IFERROR(__xludf.DUMMYFUNCTION("""COMPUTED_VALUE"""),"Fernandez Lopez")</f>
        <v>Fernandez Lopez</v>
      </c>
      <c r="E94" s="7" t="str">
        <f>IFERROR(__xludf.DUMMYFUNCTION("""COMPUTED_VALUE"""),"Jeronimo")</f>
        <v>Jeronimo</v>
      </c>
      <c r="F94" s="7" t="str">
        <f>IFERROR(__xludf.DUMMYFUNCTION("""COMPUTED_VALUE"""),"jerofernandezlopez@gmail.com")</f>
        <v>jerofernandezlopez@gmail.com</v>
      </c>
      <c r="G94" s="20">
        <f>IFERROR(__xludf.DUMMYFUNCTION("""COMPUTED_VALUE"""),39119.0)</f>
        <v>39119</v>
      </c>
      <c r="H94" s="7">
        <f>IFERROR(__xludf.DUMMYFUNCTION("""COMPUTED_VALUE"""),4.766264E7)</f>
        <v>47662640</v>
      </c>
      <c r="I94" s="7">
        <f>IFERROR(__xludf.DUMMYFUNCTION("""COMPUTED_VALUE"""),3.518069982E9)</f>
        <v>3518069982</v>
      </c>
      <c r="J94" s="7" t="str">
        <f>IFERROR(__xludf.DUMMYFUNCTION("""COMPUTED_VALUE"""),"Google")</f>
        <v>Google</v>
      </c>
      <c r="K94" s="7" t="str">
        <f>IFERROR(__xludf.DUMMYFUNCTION("""COMPUTED_VALUE"""),"Particular")</f>
        <v>Particular</v>
      </c>
      <c r="L94" s="7"/>
      <c r="M94" s="7"/>
      <c r="N94" s="7"/>
      <c r="O94" s="7"/>
      <c r="P94" s="7"/>
      <c r="Q94" s="7"/>
      <c r="R94" s="7"/>
      <c r="S94" s="7"/>
    </row>
    <row r="95">
      <c r="A95" s="7" t="str">
        <f t="shared" si="1"/>
        <v>Sosa, Carlos Alberto </v>
      </c>
      <c r="B95" s="7">
        <f>SUMIFS('bd caja'!$K$1:$K$1012,'bd caja'!$D$1:$D$1012,A95)</f>
        <v>0</v>
      </c>
      <c r="C95" s="19">
        <f>IFERROR(__xludf.DUMMYFUNCTION("""COMPUTED_VALUE"""),45006.65512877315)</f>
        <v>45006.65513</v>
      </c>
      <c r="D95" s="7" t="str">
        <f>IFERROR(__xludf.DUMMYFUNCTION("""COMPUTED_VALUE"""),"Sosa")</f>
        <v>Sosa</v>
      </c>
      <c r="E95" s="7" t="str">
        <f>IFERROR(__xludf.DUMMYFUNCTION("""COMPUTED_VALUE"""),"Carlos Alberto ")</f>
        <v>Carlos Alberto </v>
      </c>
      <c r="F95" s="7" t="str">
        <f>IFERROR(__xludf.DUMMYFUNCTION("""COMPUTED_VALUE"""),"caro-elstein@hotmail.com")</f>
        <v>caro-elstein@hotmail.com</v>
      </c>
      <c r="G95" s="20">
        <f>IFERROR(__xludf.DUMMYFUNCTION("""COMPUTED_VALUE"""),25511.0)</f>
        <v>25511</v>
      </c>
      <c r="H95" s="7">
        <f>IFERROR(__xludf.DUMMYFUNCTION("""COMPUTED_VALUE"""),2.1013856E7)</f>
        <v>21013856</v>
      </c>
      <c r="I95" s="7">
        <f>IFERROR(__xludf.DUMMYFUNCTION("""COMPUTED_VALUE"""),3.513242191E9)</f>
        <v>3513242191</v>
      </c>
      <c r="J95" s="7" t="str">
        <f>IFERROR(__xludf.DUMMYFUNCTION("""COMPUTED_VALUE"""),"Instagram")</f>
        <v>Instagram</v>
      </c>
      <c r="K95" s="7" t="str">
        <f>IFERROR(__xludf.DUMMYFUNCTION("""COMPUTED_VALUE"""),"Obra social")</f>
        <v>Obra social</v>
      </c>
      <c r="L95" s="7" t="str">
        <f>IFERROR(__xludf.DUMMYFUNCTION("""COMPUTED_VALUE"""),"Ositac")</f>
        <v>Ositac</v>
      </c>
      <c r="M95" s="7"/>
      <c r="N95" s="7"/>
      <c r="O95" s="7"/>
      <c r="P95" s="7"/>
      <c r="Q95" s="7"/>
      <c r="R95" s="7"/>
      <c r="S95" s="7"/>
    </row>
    <row r="96">
      <c r="A96" s="7" t="str">
        <f t="shared" si="1"/>
        <v>Romano, Camilo Francisco</v>
      </c>
      <c r="B96" s="7">
        <f>SUMIFS('bd caja'!$K$1:$K$1012,'bd caja'!$D$1:$D$1012,A96)</f>
        <v>0</v>
      </c>
      <c r="C96" s="19">
        <f>IFERROR(__xludf.DUMMYFUNCTION("""COMPUTED_VALUE"""),45007.51839546296)</f>
        <v>45007.5184</v>
      </c>
      <c r="D96" s="7" t="str">
        <f>IFERROR(__xludf.DUMMYFUNCTION("""COMPUTED_VALUE"""),"Romano")</f>
        <v>Romano</v>
      </c>
      <c r="E96" s="7" t="str">
        <f>IFERROR(__xludf.DUMMYFUNCTION("""COMPUTED_VALUE"""),"Camilo Francisco")</f>
        <v>Camilo Francisco</v>
      </c>
      <c r="F96" s="7" t="str">
        <f>IFERROR(__xludf.DUMMYFUNCTION("""COMPUTED_VALUE"""),"camilofranciscoromano@gmail.com")</f>
        <v>camilofranciscoromano@gmail.com</v>
      </c>
      <c r="G96" s="20">
        <f>IFERROR(__xludf.DUMMYFUNCTION("""COMPUTED_VALUE"""),38540.0)</f>
        <v>38540</v>
      </c>
      <c r="H96" s="7">
        <f>IFERROR(__xludf.DUMMYFUNCTION("""COMPUTED_VALUE"""),4.6283518E7)</f>
        <v>46283518</v>
      </c>
      <c r="I96" s="7">
        <f>IFERROR(__xludf.DUMMYFUNCTION("""COMPUTED_VALUE"""),3.512486914E9)</f>
        <v>3512486914</v>
      </c>
      <c r="J96" s="7" t="str">
        <f>IFERROR(__xludf.DUMMYFUNCTION("""COMPUTED_VALUE"""),"Instagram")</f>
        <v>Instagram</v>
      </c>
      <c r="K96" s="7" t="str">
        <f>IFERROR(__xludf.DUMMYFUNCTION("""COMPUTED_VALUE"""),"Obra social")</f>
        <v>Obra social</v>
      </c>
      <c r="L96" s="7" t="str">
        <f>IFERROR(__xludf.DUMMYFUNCTION("""COMPUTED_VALUE"""),"Medife ")</f>
        <v>Medife </v>
      </c>
      <c r="M96" s="7"/>
      <c r="N96" s="7"/>
      <c r="O96" s="7"/>
      <c r="P96" s="7"/>
      <c r="Q96" s="7"/>
      <c r="R96" s="7"/>
      <c r="S96" s="7"/>
    </row>
    <row r="97">
      <c r="A97" s="7" t="str">
        <f t="shared" si="1"/>
        <v>España luppo, Emilia</v>
      </c>
      <c r="B97" s="7">
        <f>SUMIFS('bd caja'!$K$1:$K$1012,'bd caja'!$D$1:$D$1012,A97)</f>
        <v>0</v>
      </c>
      <c r="C97" s="19">
        <f>IFERROR(__xludf.DUMMYFUNCTION("""COMPUTED_VALUE"""),45012.67114975695)</f>
        <v>45012.67115</v>
      </c>
      <c r="D97" s="7" t="str">
        <f>IFERROR(__xludf.DUMMYFUNCTION("""COMPUTED_VALUE"""),"España luppo")</f>
        <v>España luppo</v>
      </c>
      <c r="E97" s="7" t="str">
        <f>IFERROR(__xludf.DUMMYFUNCTION("""COMPUTED_VALUE"""),"Emilia")</f>
        <v>Emilia</v>
      </c>
      <c r="F97" s="7" t="str">
        <f>IFERROR(__xludf.DUMMYFUNCTION("""COMPUTED_VALUE"""),"Emilia040905@gmail.com ")</f>
        <v>Emilia040905@gmail.com </v>
      </c>
      <c r="G97" s="20">
        <f>IFERROR(__xludf.DUMMYFUNCTION("""COMPUTED_VALUE"""),38599.0)</f>
        <v>38599</v>
      </c>
      <c r="H97" s="7">
        <f>IFERROR(__xludf.DUMMYFUNCTION("""COMPUTED_VALUE"""),4.6505684E7)</f>
        <v>46505684</v>
      </c>
      <c r="I97" s="7">
        <f>IFERROR(__xludf.DUMMYFUNCTION("""COMPUTED_VALUE"""),3.516166272E9)</f>
        <v>3516166272</v>
      </c>
      <c r="J97" s="7" t="str">
        <f>IFERROR(__xludf.DUMMYFUNCTION("""COMPUTED_VALUE"""),"Voy al gym Manantial")</f>
        <v>Voy al gym Manantial</v>
      </c>
      <c r="K97" s="7" t="str">
        <f>IFERROR(__xludf.DUMMYFUNCTION("""COMPUTED_VALUE"""),"Particular")</f>
        <v>Particular</v>
      </c>
      <c r="L97" s="7"/>
      <c r="M97" s="7"/>
      <c r="N97" s="7"/>
      <c r="O97" s="7"/>
      <c r="P97" s="7"/>
      <c r="Q97" s="7"/>
      <c r="R97" s="7"/>
      <c r="S97" s="7"/>
    </row>
    <row r="98">
      <c r="A98" s="7" t="str">
        <f t="shared" si="1"/>
        <v>Caminoa, Abril </v>
      </c>
      <c r="B98" s="7">
        <f>SUMIFS('bd caja'!$K$1:$K$1012,'bd caja'!$D$1:$D$1012,A98)</f>
        <v>0</v>
      </c>
      <c r="C98" s="19">
        <f>IFERROR(__xludf.DUMMYFUNCTION("""COMPUTED_VALUE"""),45012.6758797338)</f>
        <v>45012.67588</v>
      </c>
      <c r="D98" s="7" t="str">
        <f>IFERROR(__xludf.DUMMYFUNCTION("""COMPUTED_VALUE"""),"Caminoa")</f>
        <v>Caminoa</v>
      </c>
      <c r="E98" s="7" t="str">
        <f>IFERROR(__xludf.DUMMYFUNCTION("""COMPUTED_VALUE"""),"Abril ")</f>
        <v>Abril </v>
      </c>
      <c r="F98" s="7" t="str">
        <f>IFERROR(__xludf.DUMMYFUNCTION("""COMPUTED_VALUE"""),"Abril.caminoa16@gmail.com")</f>
        <v>Abril.caminoa16@gmail.com</v>
      </c>
      <c r="G98" s="20">
        <f>IFERROR(__xludf.DUMMYFUNCTION("""COMPUTED_VALUE"""),36516.0)</f>
        <v>36516</v>
      </c>
      <c r="H98" s="7">
        <f>IFERROR(__xludf.DUMMYFUNCTION("""COMPUTED_VALUE"""),4.2208997E7)</f>
        <v>42208997</v>
      </c>
      <c r="I98" s="7">
        <f>IFERROR(__xludf.DUMMYFUNCTION("""COMPUTED_VALUE"""),2.23541444E9)</f>
        <v>2235414440</v>
      </c>
      <c r="J98" s="7" t="str">
        <f>IFERROR(__xludf.DUMMYFUNCTION("""COMPUTED_VALUE"""),"Recomendación")</f>
        <v>Recomendación</v>
      </c>
      <c r="K98" s="7" t="str">
        <f>IFERROR(__xludf.DUMMYFUNCTION("""COMPUTED_VALUE"""),"Particular")</f>
        <v>Particular</v>
      </c>
      <c r="L98" s="7"/>
      <c r="M98" s="7"/>
      <c r="N98" s="7"/>
      <c r="O98" s="7"/>
      <c r="P98" s="7"/>
      <c r="Q98" s="7"/>
      <c r="R98" s="7"/>
      <c r="S98" s="7"/>
    </row>
    <row r="99">
      <c r="A99" s="7" t="str">
        <f t="shared" si="1"/>
        <v>Prieto Marconi, Sofia</v>
      </c>
      <c r="B99" s="7">
        <f>SUMIFS('bd caja'!$K$1:$K$1012,'bd caja'!$D$1:$D$1012,A99)</f>
        <v>0</v>
      </c>
      <c r="C99" s="19">
        <f>IFERROR(__xludf.DUMMYFUNCTION("""COMPUTED_VALUE"""),45012.80351534722)</f>
        <v>45012.80352</v>
      </c>
      <c r="D99" s="7" t="str">
        <f>IFERROR(__xludf.DUMMYFUNCTION("""COMPUTED_VALUE"""),"Prieto Marconi")</f>
        <v>Prieto Marconi</v>
      </c>
      <c r="E99" s="7" t="str">
        <f>IFERROR(__xludf.DUMMYFUNCTION("""COMPUTED_VALUE"""),"Sofia")</f>
        <v>Sofia</v>
      </c>
      <c r="F99" s="7" t="str">
        <f>IFERROR(__xludf.DUMMYFUNCTION("""COMPUTED_VALUE"""),"sofiprieto070215@gmail.com")</f>
        <v>sofiprieto070215@gmail.com</v>
      </c>
      <c r="G99" s="20">
        <f>IFERROR(__xludf.DUMMYFUNCTION("""COMPUTED_VALUE"""),37294.0)</f>
        <v>37294</v>
      </c>
      <c r="H99" s="7">
        <f>IFERROR(__xludf.DUMMYFUNCTION("""COMPUTED_VALUE"""),4.3879802E7)</f>
        <v>43879802</v>
      </c>
      <c r="I99" s="7">
        <f>IFERROR(__xludf.DUMMYFUNCTION("""COMPUTED_VALUE"""),3.515485039E9)</f>
        <v>3515485039</v>
      </c>
      <c r="J99" s="7" t="str">
        <f>IFERROR(__xludf.DUMMYFUNCTION("""COMPUTED_VALUE"""),"Voy al gym Manantial")</f>
        <v>Voy al gym Manantial</v>
      </c>
      <c r="K99" s="7" t="str">
        <f>IFERROR(__xludf.DUMMYFUNCTION("""COMPUTED_VALUE"""),"Particular")</f>
        <v>Particular</v>
      </c>
      <c r="L99" s="7"/>
      <c r="M99" s="7"/>
      <c r="N99" s="7"/>
      <c r="O99" s="7"/>
      <c r="P99" s="7"/>
      <c r="Q99" s="7"/>
      <c r="R99" s="7"/>
      <c r="S99" s="7"/>
    </row>
    <row r="100">
      <c r="A100" s="7" t="str">
        <f t="shared" si="1"/>
        <v>Abaca, Lucas Hernan</v>
      </c>
      <c r="B100" s="7">
        <f>SUMIFS('bd caja'!$K$1:$K$1012,'bd caja'!$D$1:$D$1012,A100)</f>
        <v>0</v>
      </c>
      <c r="C100" s="19">
        <f>IFERROR(__xludf.DUMMYFUNCTION("""COMPUTED_VALUE"""),45013.836459143524)</f>
        <v>45013.83646</v>
      </c>
      <c r="D100" s="7" t="str">
        <f>IFERROR(__xludf.DUMMYFUNCTION("""COMPUTED_VALUE"""),"Abaca")</f>
        <v>Abaca</v>
      </c>
      <c r="E100" s="7" t="str">
        <f>IFERROR(__xludf.DUMMYFUNCTION("""COMPUTED_VALUE"""),"Lucas Hernan")</f>
        <v>Lucas Hernan</v>
      </c>
      <c r="F100" s="7" t="str">
        <f>IFERROR(__xludf.DUMMYFUNCTION("""COMPUTED_VALUE"""),"lucasabaca@hotmail.como")</f>
        <v>lucasabaca@hotmail.como</v>
      </c>
      <c r="G100" s="20">
        <f>IFERROR(__xludf.DUMMYFUNCTION("""COMPUTED_VALUE"""),29889.0)</f>
        <v>29889</v>
      </c>
      <c r="H100" s="7">
        <f>IFERROR(__xludf.DUMMYFUNCTION("""COMPUTED_VALUE"""),2.9136743E7)</f>
        <v>29136743</v>
      </c>
      <c r="I100" s="7">
        <f>IFERROR(__xludf.DUMMYFUNCTION("""COMPUTED_VALUE"""),3.517582118E9)</f>
        <v>3517582118</v>
      </c>
      <c r="J100" s="7" t="str">
        <f>IFERROR(__xludf.DUMMYFUNCTION("""COMPUTED_VALUE"""),"Voy al gym Manantial")</f>
        <v>Voy al gym Manantial</v>
      </c>
      <c r="K100" s="7" t="str">
        <f>IFERROR(__xludf.DUMMYFUNCTION("""COMPUTED_VALUE"""),"Obra social")</f>
        <v>Obra social</v>
      </c>
      <c r="L100" s="7" t="str">
        <f>IFERROR(__xludf.DUMMYFUNCTION("""COMPUTED_VALUE"""),"Avalian ")</f>
        <v>Avalian </v>
      </c>
      <c r="M100" s="7"/>
      <c r="N100" s="7"/>
      <c r="O100" s="7"/>
      <c r="P100" s="7"/>
      <c r="Q100" s="7"/>
      <c r="R100" s="7"/>
      <c r="S100" s="7"/>
    </row>
    <row r="101">
      <c r="A101" s="7" t="str">
        <f t="shared" si="1"/>
        <v>Lake, Matías Eduardo </v>
      </c>
      <c r="B101" s="7">
        <f>SUMIFS('bd caja'!$K$1:$K$1012,'bd caja'!$D$1:$D$1012,A101)</f>
        <v>0</v>
      </c>
      <c r="C101" s="19">
        <f>IFERROR(__xludf.DUMMYFUNCTION("""COMPUTED_VALUE"""),45013.846242824075)</f>
        <v>45013.84624</v>
      </c>
      <c r="D101" s="7" t="str">
        <f>IFERROR(__xludf.DUMMYFUNCTION("""COMPUTED_VALUE"""),"Lake")</f>
        <v>Lake</v>
      </c>
      <c r="E101" s="7" t="str">
        <f>IFERROR(__xludf.DUMMYFUNCTION("""COMPUTED_VALUE"""),"Matías Eduardo ")</f>
        <v>Matías Eduardo </v>
      </c>
      <c r="F101" s="7" t="str">
        <f>IFERROR(__xludf.DUMMYFUNCTION("""COMPUTED_VALUE"""),"matiaslake23@gmail.com")</f>
        <v>matiaslake23@gmail.com</v>
      </c>
      <c r="G101" s="20">
        <f>IFERROR(__xludf.DUMMYFUNCTION("""COMPUTED_VALUE"""),33267.0)</f>
        <v>33267</v>
      </c>
      <c r="H101" s="7">
        <f>IFERROR(__xludf.DUMMYFUNCTION("""COMPUTED_VALUE"""),3.5575473E7)</f>
        <v>35575473</v>
      </c>
      <c r="I101" s="7">
        <f>IFERROR(__xludf.DUMMYFUNCTION("""COMPUTED_VALUE"""),3.543310724E9)</f>
        <v>3543310724</v>
      </c>
      <c r="J101" s="7" t="str">
        <f>IFERROR(__xludf.DUMMYFUNCTION("""COMPUTED_VALUE"""),"Recomendación")</f>
        <v>Recomendación</v>
      </c>
      <c r="K101" s="7" t="str">
        <f>IFERROR(__xludf.DUMMYFUNCTION("""COMPUTED_VALUE"""),"Particular")</f>
        <v>Particular</v>
      </c>
      <c r="L101" s="7"/>
      <c r="M101" s="7"/>
      <c r="N101" s="7"/>
      <c r="O101" s="7"/>
      <c r="P101" s="7"/>
      <c r="Q101" s="7"/>
      <c r="R101" s="7"/>
      <c r="S101" s="7"/>
    </row>
    <row r="102">
      <c r="A102" s="7" t="str">
        <f t="shared" si="1"/>
        <v>Daniele, Maria teresa</v>
      </c>
      <c r="B102" s="7">
        <f>SUMIFS('bd caja'!$K$1:$K$1012,'bd caja'!$D$1:$D$1012,A102)</f>
        <v>0</v>
      </c>
      <c r="C102" s="19">
        <f>IFERROR(__xludf.DUMMYFUNCTION("""COMPUTED_VALUE"""),45014.65210908565)</f>
        <v>45014.65211</v>
      </c>
      <c r="D102" s="7" t="str">
        <f>IFERROR(__xludf.DUMMYFUNCTION("""COMPUTED_VALUE"""),"Daniele")</f>
        <v>Daniele</v>
      </c>
      <c r="E102" s="7" t="str">
        <f>IFERROR(__xludf.DUMMYFUNCTION("""COMPUTED_VALUE"""),"Maria teresa")</f>
        <v>Maria teresa</v>
      </c>
      <c r="F102" s="7" t="str">
        <f>IFERROR(__xludf.DUMMYFUNCTION("""COMPUTED_VALUE"""),"danielemariateresa83@gmail.com ")</f>
        <v>danielemariateresa83@gmail.com </v>
      </c>
      <c r="G102" s="20">
        <f>IFERROR(__xludf.DUMMYFUNCTION("""COMPUTED_VALUE"""),18833.0)</f>
        <v>18833</v>
      </c>
      <c r="H102" s="7">
        <f>IFERROR(__xludf.DUMMYFUNCTION("""COMPUTED_VALUE"""),6683127.0)</f>
        <v>6683127</v>
      </c>
      <c r="I102" s="7">
        <f>IFERROR(__xludf.DUMMYFUNCTION("""COMPUTED_VALUE"""),3.572528274E9)</f>
        <v>3572528274</v>
      </c>
      <c r="J102" s="7" t="str">
        <f>IFERROR(__xludf.DUMMYFUNCTION("""COMPUTED_VALUE"""),"Recomendación")</f>
        <v>Recomendación</v>
      </c>
      <c r="K102" s="7" t="str">
        <f>IFERROR(__xludf.DUMMYFUNCTION("""COMPUTED_VALUE"""),"Obra social")</f>
        <v>Obra social</v>
      </c>
      <c r="L102" s="7" t="str">
        <f>IFERROR(__xludf.DUMMYFUNCTION("""COMPUTED_VALUE"""),"CPCE")</f>
        <v>CPCE</v>
      </c>
      <c r="M102" s="7"/>
      <c r="N102" s="7"/>
      <c r="O102" s="7"/>
      <c r="P102" s="7"/>
      <c r="Q102" s="7"/>
      <c r="R102" s="7"/>
      <c r="S102" s="7"/>
    </row>
    <row r="103">
      <c r="A103" s="7" t="str">
        <f t="shared" si="1"/>
        <v>Chantre, Diego agustin</v>
      </c>
      <c r="B103" s="7">
        <f>SUMIFS('bd caja'!$K$1:$K$1012,'bd caja'!$D$1:$D$1012,A103)</f>
        <v>0</v>
      </c>
      <c r="C103" s="19">
        <f>IFERROR(__xludf.DUMMYFUNCTION("""COMPUTED_VALUE"""),45014.83136165509)</f>
        <v>45014.83136</v>
      </c>
      <c r="D103" s="7" t="str">
        <f>IFERROR(__xludf.DUMMYFUNCTION("""COMPUTED_VALUE"""),"Chantre")</f>
        <v>Chantre</v>
      </c>
      <c r="E103" s="7" t="str">
        <f>IFERROR(__xludf.DUMMYFUNCTION("""COMPUTED_VALUE"""),"Diego agustin")</f>
        <v>Diego agustin</v>
      </c>
      <c r="F103" s="7" t="str">
        <f>IFERROR(__xludf.DUMMYFUNCTION("""COMPUTED_VALUE"""),"diegochantre@gmail.com")</f>
        <v>diegochantre@gmail.com</v>
      </c>
      <c r="G103" s="20">
        <f>IFERROR(__xludf.DUMMYFUNCTION("""COMPUTED_VALUE"""),28415.0)</f>
        <v>28415</v>
      </c>
      <c r="H103" s="7">
        <f>IFERROR(__xludf.DUMMYFUNCTION("""COMPUTED_VALUE"""),2.6178254E7)</f>
        <v>26178254</v>
      </c>
      <c r="I103" s="7">
        <f>IFERROR(__xludf.DUMMYFUNCTION("""COMPUTED_VALUE"""),3.515916832E9)</f>
        <v>3515916832</v>
      </c>
      <c r="J103" s="7" t="str">
        <f>IFERROR(__xludf.DUMMYFUNCTION("""COMPUTED_VALUE"""),"Google")</f>
        <v>Google</v>
      </c>
      <c r="K103" s="7" t="str">
        <f>IFERROR(__xludf.DUMMYFUNCTION("""COMPUTED_VALUE"""),"Obra social")</f>
        <v>Obra social</v>
      </c>
      <c r="L103" s="7" t="str">
        <f>IFERROR(__xludf.DUMMYFUNCTION("""COMPUTED_VALUE"""),"Medife")</f>
        <v>Medife</v>
      </c>
      <c r="M103" s="7"/>
      <c r="N103" s="7"/>
      <c r="O103" s="7"/>
      <c r="P103" s="7"/>
      <c r="Q103" s="7"/>
      <c r="R103" s="7"/>
      <c r="S103" s="7"/>
    </row>
    <row r="104">
      <c r="A104" s="7" t="str">
        <f t="shared" si="1"/>
        <v>Rizzi, Diego</v>
      </c>
      <c r="B104" s="7">
        <f>SUMIFS('bd caja'!$K$1:$K$1012,'bd caja'!$D$1:$D$1012,A104)</f>
        <v>0</v>
      </c>
      <c r="C104" s="19">
        <f>IFERROR(__xludf.DUMMYFUNCTION("""COMPUTED_VALUE"""),45015.688734641204)</f>
        <v>45015.68873</v>
      </c>
      <c r="D104" s="7" t="str">
        <f>IFERROR(__xludf.DUMMYFUNCTION("""COMPUTED_VALUE"""),"Rizzi")</f>
        <v>Rizzi</v>
      </c>
      <c r="E104" s="7" t="str">
        <f>IFERROR(__xludf.DUMMYFUNCTION("""COMPUTED_VALUE"""),"Diego")</f>
        <v>Diego</v>
      </c>
      <c r="F104" s="7" t="str">
        <f>IFERROR(__xludf.DUMMYFUNCTION("""COMPUTED_VALUE"""),"Diegorizzi17@gmail.com.ar")</f>
        <v>Diegorizzi17@gmail.com.ar</v>
      </c>
      <c r="G104" s="20">
        <f>IFERROR(__xludf.DUMMYFUNCTION("""COMPUTED_VALUE"""),33718.0)</f>
        <v>33718</v>
      </c>
      <c r="H104" s="7">
        <f>IFERROR(__xludf.DUMMYFUNCTION("""COMPUTED_VALUE"""),3.6234317E7)</f>
        <v>36234317</v>
      </c>
      <c r="I104" s="7">
        <f>IFERROR(__xludf.DUMMYFUNCTION("""COMPUTED_VALUE"""),3.512194317E9)</f>
        <v>3512194317</v>
      </c>
      <c r="J104" s="7" t="str">
        <f>IFERROR(__xludf.DUMMYFUNCTION("""COMPUTED_VALUE"""),"Facebook")</f>
        <v>Facebook</v>
      </c>
      <c r="K104" s="7" t="str">
        <f>IFERROR(__xludf.DUMMYFUNCTION("""COMPUTED_VALUE"""),"Particular")</f>
        <v>Particular</v>
      </c>
      <c r="L104" s="7"/>
      <c r="M104" s="7"/>
      <c r="N104" s="7"/>
      <c r="O104" s="7"/>
      <c r="P104" s="7"/>
      <c r="Q104" s="7"/>
      <c r="R104" s="7"/>
      <c r="S104" s="7"/>
    </row>
    <row r="105">
      <c r="A105" s="7" t="str">
        <f t="shared" si="1"/>
        <v>Diaz, Jose Angel</v>
      </c>
      <c r="B105" s="7">
        <f>SUMIFS('bd caja'!$K$1:$K$1012,'bd caja'!$D$1:$D$1012,A105)</f>
        <v>0</v>
      </c>
      <c r="C105" s="19">
        <f>IFERROR(__xludf.DUMMYFUNCTION("""COMPUTED_VALUE"""),45017.49172958333)</f>
        <v>45017.49173</v>
      </c>
      <c r="D105" s="7" t="str">
        <f>IFERROR(__xludf.DUMMYFUNCTION("""COMPUTED_VALUE"""),"Diaz")</f>
        <v>Diaz</v>
      </c>
      <c r="E105" s="7" t="str">
        <f>IFERROR(__xludf.DUMMYFUNCTION("""COMPUTED_VALUE"""),"Jose Angel")</f>
        <v>Jose Angel</v>
      </c>
      <c r="F105" s="7" t="str">
        <f>IFERROR(__xludf.DUMMYFUNCTION("""COMPUTED_VALUE"""),"rubenjdiaz@yahoo.com")</f>
        <v>rubenjdiaz@yahoo.com</v>
      </c>
      <c r="G105" s="20">
        <f>IFERROR(__xludf.DUMMYFUNCTION("""COMPUTED_VALUE"""),16036.0)</f>
        <v>16036</v>
      </c>
      <c r="H105" s="7">
        <f>IFERROR(__xludf.DUMMYFUNCTION("""COMPUTED_VALUE"""),6393584.0)</f>
        <v>6393584</v>
      </c>
      <c r="I105" s="7">
        <f>IFERROR(__xludf.DUMMYFUNCTION("""COMPUTED_VALUE"""),3.514765141E9)</f>
        <v>3514765141</v>
      </c>
      <c r="J105" s="7" t="str">
        <f>IFERROR(__xludf.DUMMYFUNCTION("""COMPUTED_VALUE"""),"Google")</f>
        <v>Google</v>
      </c>
      <c r="K105" s="7" t="str">
        <f>IFERROR(__xludf.DUMMYFUNCTION("""COMPUTED_VALUE"""),"Particular")</f>
        <v>Particular</v>
      </c>
      <c r="L105" s="7"/>
      <c r="M105" s="7"/>
      <c r="N105" s="7"/>
      <c r="O105" s="7"/>
      <c r="P105" s="7"/>
      <c r="Q105" s="7"/>
      <c r="R105" s="7"/>
      <c r="S105" s="7"/>
    </row>
    <row r="106">
      <c r="A106" s="7" t="str">
        <f t="shared" si="1"/>
        <v>Cabrera, Rodrigo</v>
      </c>
      <c r="B106" s="7">
        <f>SUMIFS('bd caja'!$K$1:$K$1012,'bd caja'!$D$1:$D$1012,A106)</f>
        <v>0</v>
      </c>
      <c r="C106" s="19">
        <f>IFERROR(__xludf.DUMMYFUNCTION("""COMPUTED_VALUE"""),45019.51244925926)</f>
        <v>45019.51245</v>
      </c>
      <c r="D106" s="7" t="str">
        <f>IFERROR(__xludf.DUMMYFUNCTION("""COMPUTED_VALUE"""),"Cabrera")</f>
        <v>Cabrera</v>
      </c>
      <c r="E106" s="7" t="str">
        <f>IFERROR(__xludf.DUMMYFUNCTION("""COMPUTED_VALUE"""),"Rodrigo")</f>
        <v>Rodrigo</v>
      </c>
      <c r="F106" s="7" t="str">
        <f>IFERROR(__xludf.DUMMYFUNCTION("""COMPUTED_VALUE"""),"lrcabrera85@gmail.com ")</f>
        <v>lrcabrera85@gmail.com </v>
      </c>
      <c r="G106" s="20">
        <f>IFERROR(__xludf.DUMMYFUNCTION("""COMPUTED_VALUE"""),31404.0)</f>
        <v>31404</v>
      </c>
      <c r="H106" s="7">
        <f>IFERROR(__xludf.DUMMYFUNCTION("""COMPUTED_VALUE"""),3.209941E7)</f>
        <v>32099410</v>
      </c>
      <c r="I106" s="7">
        <f>IFERROR(__xludf.DUMMYFUNCTION("""COMPUTED_VALUE"""),3.517451367E9)</f>
        <v>3517451367</v>
      </c>
      <c r="J106" s="7" t="str">
        <f>IFERROR(__xludf.DUMMYFUNCTION("""COMPUTED_VALUE"""),"Recomendación")</f>
        <v>Recomendación</v>
      </c>
      <c r="K106" s="7" t="str">
        <f>IFERROR(__xludf.DUMMYFUNCTION("""COMPUTED_VALUE"""),"Obra social")</f>
        <v>Obra social</v>
      </c>
      <c r="L106" s="7" t="str">
        <f>IFERROR(__xludf.DUMMYFUNCTION("""COMPUTED_VALUE"""),"AVALIAN ")</f>
        <v>AVALIAN </v>
      </c>
      <c r="M106" s="7"/>
      <c r="N106" s="7"/>
      <c r="O106" s="7"/>
      <c r="P106" s="7"/>
      <c r="Q106" s="7"/>
      <c r="R106" s="7"/>
      <c r="S106" s="7"/>
    </row>
    <row r="107">
      <c r="A107" s="7" t="str">
        <f t="shared" si="1"/>
        <v>Gauna , Kevin Maico </v>
      </c>
      <c r="B107" s="7">
        <f>SUMIFS('bd caja'!$K$1:$K$1012,'bd caja'!$D$1:$D$1012,A107)</f>
        <v>0</v>
      </c>
      <c r="C107" s="19">
        <f>IFERROR(__xludf.DUMMYFUNCTION("""COMPUTED_VALUE"""),45019.5541484375)</f>
        <v>45019.55415</v>
      </c>
      <c r="D107" s="7" t="str">
        <f>IFERROR(__xludf.DUMMYFUNCTION("""COMPUTED_VALUE"""),"Gauna ")</f>
        <v>Gauna </v>
      </c>
      <c r="E107" s="7" t="str">
        <f>IFERROR(__xludf.DUMMYFUNCTION("""COMPUTED_VALUE"""),"Kevin Maico ")</f>
        <v>Kevin Maico </v>
      </c>
      <c r="F107" s="7" t="str">
        <f>IFERROR(__xludf.DUMMYFUNCTION("""COMPUTED_VALUE"""),"Kevingauna123@gmail.com ")</f>
        <v>Kevingauna123@gmail.com </v>
      </c>
      <c r="G107" s="20">
        <f>IFERROR(__xludf.DUMMYFUNCTION("""COMPUTED_VALUE"""),36152.0)</f>
        <v>36152</v>
      </c>
      <c r="H107" s="7">
        <f>IFERROR(__xludf.DUMMYFUNCTION("""COMPUTED_VALUE"""),4.2691545E7)</f>
        <v>42691545</v>
      </c>
      <c r="I107" s="7">
        <f>IFERROR(__xludf.DUMMYFUNCTION("""COMPUTED_VALUE"""),3.515170701E9)</f>
        <v>3515170701</v>
      </c>
      <c r="J107" s="7" t="str">
        <f>IFERROR(__xludf.DUMMYFUNCTION("""COMPUTED_VALUE"""),"Recomendación")</f>
        <v>Recomendación</v>
      </c>
      <c r="K107" s="7" t="str">
        <f>IFERROR(__xludf.DUMMYFUNCTION("""COMPUTED_VALUE"""),"Particular")</f>
        <v>Particular</v>
      </c>
      <c r="L107" s="7"/>
      <c r="M107" s="7"/>
      <c r="N107" s="7"/>
      <c r="O107" s="7"/>
      <c r="P107" s="7"/>
      <c r="Q107" s="7"/>
      <c r="R107" s="7"/>
      <c r="S107" s="7"/>
    </row>
    <row r="108">
      <c r="A108" s="7" t="str">
        <f t="shared" si="1"/>
        <v>Ande , Jazmin</v>
      </c>
      <c r="B108" s="7">
        <f>SUMIFS('bd caja'!$K$1:$K$1012,'bd caja'!$D$1:$D$1012,A108)</f>
        <v>0</v>
      </c>
      <c r="C108" s="19">
        <f>IFERROR(__xludf.DUMMYFUNCTION("""COMPUTED_VALUE"""),45019.57328881945)</f>
        <v>45019.57329</v>
      </c>
      <c r="D108" s="7" t="str">
        <f>IFERROR(__xludf.DUMMYFUNCTION("""COMPUTED_VALUE"""),"Ande ")</f>
        <v>Ande </v>
      </c>
      <c r="E108" s="7" t="str">
        <f>IFERROR(__xludf.DUMMYFUNCTION("""COMPUTED_VALUE"""),"Jazmin")</f>
        <v>Jazmin</v>
      </c>
      <c r="F108" s="7" t="str">
        <f>IFERROR(__xludf.DUMMYFUNCTION("""COMPUTED_VALUE"""),"jazminande@icloud.com")</f>
        <v>jazminande@icloud.com</v>
      </c>
      <c r="G108" s="20">
        <f>IFERROR(__xludf.DUMMYFUNCTION("""COMPUTED_VALUE"""),37171.0)</f>
        <v>37171</v>
      </c>
      <c r="H108" s="7">
        <f>IFERROR(__xludf.DUMMYFUNCTION("""COMPUTED_VALUE"""),4.3560849E7)</f>
        <v>43560849</v>
      </c>
      <c r="I108" s="7">
        <f>IFERROR(__xludf.DUMMYFUNCTION("""COMPUTED_VALUE"""),3.513959141E9)</f>
        <v>3513959141</v>
      </c>
      <c r="J108" s="7" t="str">
        <f>IFERROR(__xludf.DUMMYFUNCTION("""COMPUTED_VALUE"""),"Google")</f>
        <v>Google</v>
      </c>
      <c r="K108" s="7" t="str">
        <f>IFERROR(__xludf.DUMMYFUNCTION("""COMPUTED_VALUE"""),"Particular")</f>
        <v>Particular</v>
      </c>
      <c r="L108" s="7"/>
      <c r="M108" s="7"/>
      <c r="N108" s="7"/>
      <c r="O108" s="7"/>
      <c r="P108" s="7"/>
      <c r="Q108" s="7"/>
      <c r="R108" s="7"/>
      <c r="S108" s="7"/>
    </row>
    <row r="109">
      <c r="A109" s="7" t="str">
        <f t="shared" si="1"/>
        <v>España, Ezequiel Mariano </v>
      </c>
      <c r="B109" s="7">
        <f>SUMIFS('bd caja'!$K$1:$K$1012,'bd caja'!$D$1:$D$1012,A109)</f>
        <v>0</v>
      </c>
      <c r="C109" s="19">
        <f>IFERROR(__xludf.DUMMYFUNCTION("""COMPUTED_VALUE"""),45019.63999538195)</f>
        <v>45019.64</v>
      </c>
      <c r="D109" s="7" t="str">
        <f>IFERROR(__xludf.DUMMYFUNCTION("""COMPUTED_VALUE"""),"España")</f>
        <v>España</v>
      </c>
      <c r="E109" s="7" t="str">
        <f>IFERROR(__xludf.DUMMYFUNCTION("""COMPUTED_VALUE"""),"Ezequiel Mariano ")</f>
        <v>Ezequiel Mariano </v>
      </c>
      <c r="F109" s="7" t="str">
        <f>IFERROR(__xludf.DUMMYFUNCTION("""COMPUTED_VALUE"""),"marianoezequiel79@gmail.com")</f>
        <v>marianoezequiel79@gmail.com</v>
      </c>
      <c r="G109" s="20">
        <f>IFERROR(__xludf.DUMMYFUNCTION("""COMPUTED_VALUE"""),45019.0)</f>
        <v>45019</v>
      </c>
      <c r="H109" s="7">
        <f>IFERROR(__xludf.DUMMYFUNCTION("""COMPUTED_VALUE"""),2.707724E7)</f>
        <v>27077240</v>
      </c>
      <c r="I109" s="7">
        <f>IFERROR(__xludf.DUMMYFUNCTION("""COMPUTED_VALUE"""),3.515165404E9)</f>
        <v>3515165404</v>
      </c>
      <c r="J109" s="7" t="str">
        <f>IFERROR(__xludf.DUMMYFUNCTION("""COMPUTED_VALUE"""),"Recomendación")</f>
        <v>Recomendación</v>
      </c>
      <c r="K109" s="7" t="str">
        <f>IFERROR(__xludf.DUMMYFUNCTION("""COMPUTED_VALUE"""),"Particular")</f>
        <v>Particular</v>
      </c>
      <c r="L109" s="7"/>
      <c r="M109" s="7"/>
      <c r="N109" s="7"/>
      <c r="O109" s="7"/>
      <c r="P109" s="7"/>
      <c r="Q109" s="7"/>
      <c r="R109" s="7"/>
      <c r="S109" s="7"/>
    </row>
    <row r="110">
      <c r="A110" s="7" t="str">
        <f t="shared" si="1"/>
        <v>Morales , Francisco</v>
      </c>
      <c r="B110" s="7">
        <f>SUMIFS('bd caja'!$K$1:$K$1012,'bd caja'!$D$1:$D$1012,A110)</f>
        <v>0</v>
      </c>
      <c r="C110" s="19">
        <f>IFERROR(__xludf.DUMMYFUNCTION("""COMPUTED_VALUE"""),45019.66563600695)</f>
        <v>45019.66564</v>
      </c>
      <c r="D110" s="7" t="str">
        <f>IFERROR(__xludf.DUMMYFUNCTION("""COMPUTED_VALUE"""),"Morales ")</f>
        <v>Morales </v>
      </c>
      <c r="E110" s="7" t="str">
        <f>IFERROR(__xludf.DUMMYFUNCTION("""COMPUTED_VALUE"""),"Francisco")</f>
        <v>Francisco</v>
      </c>
      <c r="F110" s="7" t="str">
        <f>IFERROR(__xludf.DUMMYFUNCTION("""COMPUTED_VALUE"""),"Cra_mcs@hotmail.com")</f>
        <v>Cra_mcs@hotmail.com</v>
      </c>
      <c r="G110" s="20">
        <f>IFERROR(__xludf.DUMMYFUNCTION("""COMPUTED_VALUE"""),38395.0)</f>
        <v>38395</v>
      </c>
      <c r="H110" s="7">
        <f>IFERROR(__xludf.DUMMYFUNCTION("""COMPUTED_VALUE"""),4.6309945E7)</f>
        <v>46309945</v>
      </c>
      <c r="I110" s="7">
        <f>IFERROR(__xludf.DUMMYFUNCTION("""COMPUTED_VALUE"""),3.516524747E9)</f>
        <v>3516524747</v>
      </c>
      <c r="J110" s="7" t="str">
        <f>IFERROR(__xludf.DUMMYFUNCTION("""COMPUTED_VALUE"""),"Recomendación")</f>
        <v>Recomendación</v>
      </c>
      <c r="K110" s="7" t="str">
        <f>IFERROR(__xludf.DUMMYFUNCTION("""COMPUTED_VALUE"""),"Obra social")</f>
        <v>Obra social</v>
      </c>
      <c r="L110" s="7" t="str">
        <f>IFERROR(__xludf.DUMMYFUNCTION("""COMPUTED_VALUE"""),"Avalian")</f>
        <v>Avalian</v>
      </c>
      <c r="M110" s="7"/>
      <c r="N110" s="7"/>
      <c r="O110" s="7"/>
      <c r="P110" s="7"/>
      <c r="Q110" s="7"/>
      <c r="R110" s="7"/>
      <c r="S110" s="7"/>
    </row>
    <row r="111">
      <c r="A111" s="7" t="str">
        <f t="shared" si="1"/>
        <v>Garcia, Miriam Beatriz</v>
      </c>
      <c r="B111" s="7">
        <f>SUMIFS('bd caja'!$K$1:$K$1012,'bd caja'!$D$1:$D$1012,A111)</f>
        <v>0</v>
      </c>
      <c r="C111" s="19">
        <f>IFERROR(__xludf.DUMMYFUNCTION("""COMPUTED_VALUE"""),45019.79656123843)</f>
        <v>45019.79656</v>
      </c>
      <c r="D111" s="7" t="str">
        <f>IFERROR(__xludf.DUMMYFUNCTION("""COMPUTED_VALUE"""),"Garcia")</f>
        <v>Garcia</v>
      </c>
      <c r="E111" s="7" t="str">
        <f>IFERROR(__xludf.DUMMYFUNCTION("""COMPUTED_VALUE"""),"Miriam Beatriz")</f>
        <v>Miriam Beatriz</v>
      </c>
      <c r="F111" s="7" t="str">
        <f>IFERROR(__xludf.DUMMYFUNCTION("""COMPUTED_VALUE"""),"miriamkica245@gmail.com")</f>
        <v>miriamkica245@gmail.com</v>
      </c>
      <c r="G111" s="20">
        <f>IFERROR(__xludf.DUMMYFUNCTION("""COMPUTED_VALUE"""),26253.0)</f>
        <v>26253</v>
      </c>
      <c r="H111" s="7">
        <f>IFERROR(__xludf.DUMMYFUNCTION("""COMPUTED_VALUE"""),2.2361234E7)</f>
        <v>22361234</v>
      </c>
      <c r="I111" s="7">
        <f>IFERROR(__xludf.DUMMYFUNCTION("""COMPUTED_VALUE"""),3.518196953E9)</f>
        <v>3518196953</v>
      </c>
      <c r="J111" s="7" t="str">
        <f>IFERROR(__xludf.DUMMYFUNCTION("""COMPUTED_VALUE"""),"Google")</f>
        <v>Google</v>
      </c>
      <c r="K111" s="7" t="str">
        <f>IFERROR(__xludf.DUMMYFUNCTION("""COMPUTED_VALUE"""),"Particular")</f>
        <v>Particular</v>
      </c>
      <c r="L111" s="7"/>
      <c r="M111" s="7"/>
      <c r="N111" s="7"/>
      <c r="O111" s="7"/>
      <c r="P111" s="7"/>
      <c r="Q111" s="7"/>
      <c r="R111" s="7"/>
      <c r="S111" s="7"/>
    </row>
    <row r="112">
      <c r="A112" s="7" t="str">
        <f t="shared" si="1"/>
        <v>Polesel , Facundo Tiziano</v>
      </c>
      <c r="B112" s="7">
        <f>SUMIFS('bd caja'!$K$1:$K$1012,'bd caja'!$D$1:$D$1012,A112)</f>
        <v>0</v>
      </c>
      <c r="C112" s="19">
        <f>IFERROR(__xludf.DUMMYFUNCTION("""COMPUTED_VALUE"""),45019.91267430555)</f>
        <v>45019.91267</v>
      </c>
      <c r="D112" s="7" t="str">
        <f>IFERROR(__xludf.DUMMYFUNCTION("""COMPUTED_VALUE"""),"Polesel ")</f>
        <v>Polesel </v>
      </c>
      <c r="E112" s="7" t="str">
        <f>IFERROR(__xludf.DUMMYFUNCTION("""COMPUTED_VALUE"""),"Facundo Tiziano")</f>
        <v>Facundo Tiziano</v>
      </c>
      <c r="F112" s="7" t="str">
        <f>IFERROR(__xludf.DUMMYFUNCTION("""COMPUTED_VALUE"""),"facundopolesel@gmail.com ")</f>
        <v>facundopolesel@gmail.com </v>
      </c>
      <c r="G112" s="20">
        <f>IFERROR(__xludf.DUMMYFUNCTION("""COMPUTED_VALUE"""),36262.0)</f>
        <v>36262</v>
      </c>
      <c r="H112" s="7">
        <f>IFERROR(__xludf.DUMMYFUNCTION("""COMPUTED_VALUE"""),4.1697667E7)</f>
        <v>41697667</v>
      </c>
      <c r="I112" s="7">
        <f>IFERROR(__xludf.DUMMYFUNCTION("""COMPUTED_VALUE"""),3.522650239E9)</f>
        <v>3522650239</v>
      </c>
      <c r="J112" s="7" t="str">
        <f>IFERROR(__xludf.DUMMYFUNCTION("""COMPUTED_VALUE"""),"Recomendación")</f>
        <v>Recomendación</v>
      </c>
      <c r="K112" s="7" t="str">
        <f>IFERROR(__xludf.DUMMYFUNCTION("""COMPUTED_VALUE"""),"Obra social")</f>
        <v>Obra social</v>
      </c>
      <c r="L112" s="7" t="str">
        <f>IFERROR(__xludf.DUMMYFUNCTION("""COMPUTED_VALUE"""),"APROSS")</f>
        <v>APROSS</v>
      </c>
      <c r="M112" s="7"/>
      <c r="N112" s="7"/>
      <c r="O112" s="7"/>
      <c r="P112" s="7"/>
      <c r="Q112" s="7"/>
      <c r="R112" s="7"/>
      <c r="S112" s="7"/>
    </row>
    <row r="113">
      <c r="A113" s="7" t="str">
        <f t="shared" si="1"/>
        <v>Diaz, Kevin</v>
      </c>
      <c r="B113" s="7">
        <f>SUMIFS('bd caja'!$K$1:$K$1012,'bd caja'!$D$1:$D$1012,A113)</f>
        <v>0</v>
      </c>
      <c r="C113" s="19">
        <f>IFERROR(__xludf.DUMMYFUNCTION("""COMPUTED_VALUE"""),45020.59384480324)</f>
        <v>45020.59384</v>
      </c>
      <c r="D113" s="7" t="str">
        <f>IFERROR(__xludf.DUMMYFUNCTION("""COMPUTED_VALUE"""),"Diaz")</f>
        <v>Diaz</v>
      </c>
      <c r="E113" s="7" t="str">
        <f>IFERROR(__xludf.DUMMYFUNCTION("""COMPUTED_VALUE"""),"Kevin")</f>
        <v>Kevin</v>
      </c>
      <c r="F113" s="7" t="str">
        <f>IFERROR(__xludf.DUMMYFUNCTION("""COMPUTED_VALUE"""),"agustina.ramirez.582001@gmail.com")</f>
        <v>agustina.ramirez.582001@gmail.com</v>
      </c>
      <c r="G113" s="20">
        <f>IFERROR(__xludf.DUMMYFUNCTION("""COMPUTED_VALUE"""),36084.0)</f>
        <v>36084</v>
      </c>
      <c r="H113" s="7">
        <f>IFERROR(__xludf.DUMMYFUNCTION("""COMPUTED_VALUE"""),4.160042E7)</f>
        <v>41600420</v>
      </c>
      <c r="I113" s="7">
        <f>IFERROR(__xludf.DUMMYFUNCTION("""COMPUTED_VALUE"""),3.541644433E9)</f>
        <v>3541644433</v>
      </c>
      <c r="J113" s="7" t="str">
        <f>IFERROR(__xludf.DUMMYFUNCTION("""COMPUTED_VALUE"""),"Google")</f>
        <v>Google</v>
      </c>
      <c r="K113" s="7" t="str">
        <f>IFERROR(__xludf.DUMMYFUNCTION("""COMPUTED_VALUE"""),"Particular")</f>
        <v>Particular</v>
      </c>
      <c r="L113" s="7"/>
      <c r="M113" s="7"/>
      <c r="N113" s="7"/>
      <c r="O113" s="7"/>
      <c r="P113" s="7"/>
      <c r="Q113" s="7"/>
      <c r="R113" s="7"/>
      <c r="S113" s="7"/>
    </row>
    <row r="114">
      <c r="A114" s="7" t="str">
        <f t="shared" si="1"/>
        <v>FRAIRE, Fernando</v>
      </c>
      <c r="B114" s="7">
        <f>SUMIFS('bd caja'!$K$1:$K$1012,'bd caja'!$D$1:$D$1012,A114)</f>
        <v>0</v>
      </c>
      <c r="C114" s="19">
        <f>IFERROR(__xludf.DUMMYFUNCTION("""COMPUTED_VALUE"""),45021.72223018519)</f>
        <v>45021.72223</v>
      </c>
      <c r="D114" s="7" t="str">
        <f>IFERROR(__xludf.DUMMYFUNCTION("""COMPUTED_VALUE"""),"FRAIRE")</f>
        <v>FRAIRE</v>
      </c>
      <c r="E114" s="7" t="str">
        <f>IFERROR(__xludf.DUMMYFUNCTION("""COMPUTED_VALUE"""),"Fernando")</f>
        <v>Fernando</v>
      </c>
      <c r="F114" s="7" t="str">
        <f>IFERROR(__xludf.DUMMYFUNCTION("""COMPUTED_VALUE"""),"fluisf59@gmail.com")</f>
        <v>fluisf59@gmail.com</v>
      </c>
      <c r="G114" s="20">
        <f>IFERROR(__xludf.DUMMYFUNCTION("""COMPUTED_VALUE"""),21846.0)</f>
        <v>21846</v>
      </c>
      <c r="H114" s="7">
        <f>IFERROR(__xludf.DUMMYFUNCTION("""COMPUTED_VALUE"""),1.3682442E7)</f>
        <v>13682442</v>
      </c>
      <c r="I114" s="7">
        <f>IFERROR(__xludf.DUMMYFUNCTION("""COMPUTED_VALUE"""),3.513878291E9)</f>
        <v>3513878291</v>
      </c>
      <c r="J114" s="7" t="str">
        <f>IFERROR(__xludf.DUMMYFUNCTION("""COMPUTED_VALUE"""),"Voy al gym Manantial")</f>
        <v>Voy al gym Manantial</v>
      </c>
      <c r="K114" s="7" t="str">
        <f>IFERROR(__xludf.DUMMYFUNCTION("""COMPUTED_VALUE"""),"Particular")</f>
        <v>Particular</v>
      </c>
      <c r="L114" s="7"/>
      <c r="M114" s="7"/>
      <c r="N114" s="7"/>
      <c r="O114" s="7"/>
      <c r="P114" s="7"/>
      <c r="Q114" s="7"/>
      <c r="R114" s="7"/>
      <c r="S114" s="7"/>
    </row>
    <row r="115">
      <c r="A115" s="7" t="str">
        <f t="shared" si="1"/>
        <v>Bonaldi, Damián </v>
      </c>
      <c r="B115" s="7">
        <f>SUMIFS('bd caja'!$K$1:$K$1012,'bd caja'!$D$1:$D$1012,A115)</f>
        <v>0</v>
      </c>
      <c r="C115" s="19">
        <f>IFERROR(__xludf.DUMMYFUNCTION("""COMPUTED_VALUE"""),45021.81251253472)</f>
        <v>45021.81251</v>
      </c>
      <c r="D115" s="7" t="str">
        <f>IFERROR(__xludf.DUMMYFUNCTION("""COMPUTED_VALUE"""),"Bonaldi")</f>
        <v>Bonaldi</v>
      </c>
      <c r="E115" s="7" t="str">
        <f>IFERROR(__xludf.DUMMYFUNCTION("""COMPUTED_VALUE"""),"Damián ")</f>
        <v>Damián </v>
      </c>
      <c r="F115" s="7" t="str">
        <f>IFERROR(__xludf.DUMMYFUNCTION("""COMPUTED_VALUE"""),"damianbadbonaldi@yahoo.com.ar")</f>
        <v>damianbadbonaldi@yahoo.com.ar</v>
      </c>
      <c r="G115" s="20">
        <f>IFERROR(__xludf.DUMMYFUNCTION("""COMPUTED_VALUE"""),28411.0)</f>
        <v>28411</v>
      </c>
      <c r="H115" s="7">
        <f>IFERROR(__xludf.DUMMYFUNCTION("""COMPUTED_VALUE"""),2.6178025E7)</f>
        <v>26178025</v>
      </c>
      <c r="I115" s="7">
        <f>IFERROR(__xludf.DUMMYFUNCTION("""COMPUTED_VALUE"""),3.512261804E9)</f>
        <v>3512261804</v>
      </c>
      <c r="J115" s="7" t="str">
        <f>IFERROR(__xludf.DUMMYFUNCTION("""COMPUTED_VALUE"""),"Voy al gym Manantial")</f>
        <v>Voy al gym Manantial</v>
      </c>
      <c r="K115" s="7" t="str">
        <f>IFERROR(__xludf.DUMMYFUNCTION("""COMPUTED_VALUE"""),"Obra social")</f>
        <v>Obra social</v>
      </c>
      <c r="L115" s="7" t="str">
        <f>IFERROR(__xludf.DUMMYFUNCTION("""COMPUTED_VALUE"""),"Medife")</f>
        <v>Medife</v>
      </c>
      <c r="M115" s="7"/>
      <c r="N115" s="7"/>
      <c r="O115" s="7"/>
      <c r="P115" s="7"/>
      <c r="Q115" s="7"/>
      <c r="R115" s="7"/>
      <c r="S115" s="7"/>
    </row>
    <row r="116">
      <c r="A116" s="7" t="str">
        <f t="shared" si="1"/>
        <v>Pussetto, Lucas</v>
      </c>
      <c r="B116" s="7">
        <f>SUMIFS('bd caja'!$K$1:$K$1012,'bd caja'!$D$1:$D$1012,A116)</f>
        <v>0</v>
      </c>
      <c r="C116" s="19">
        <f>IFERROR(__xludf.DUMMYFUNCTION("""COMPUTED_VALUE"""),45026.4407315162)</f>
        <v>45026.44073</v>
      </c>
      <c r="D116" s="7" t="str">
        <f>IFERROR(__xludf.DUMMYFUNCTION("""COMPUTED_VALUE"""),"Pussetto")</f>
        <v>Pussetto</v>
      </c>
      <c r="E116" s="7" t="str">
        <f>IFERROR(__xludf.DUMMYFUNCTION("""COMPUTED_VALUE"""),"Lucas")</f>
        <v>Lucas</v>
      </c>
      <c r="F116" s="7" t="str">
        <f>IFERROR(__xludf.DUMMYFUNCTION("""COMPUTED_VALUE"""),"lucaspussetto@gmail.com")</f>
        <v>lucaspussetto@gmail.com</v>
      </c>
      <c r="G116" s="20">
        <f>IFERROR(__xludf.DUMMYFUNCTION("""COMPUTED_VALUE"""),45026.0)</f>
        <v>45026</v>
      </c>
      <c r="H116" s="7">
        <f>IFERROR(__xludf.DUMMYFUNCTION("""COMPUTED_VALUE"""),3.4850736E7)</f>
        <v>34850736</v>
      </c>
      <c r="I116" s="7">
        <f>IFERROR(__xludf.DUMMYFUNCTION("""COMPUTED_VALUE"""),3.512350238E9)</f>
        <v>3512350238</v>
      </c>
      <c r="J116" s="7" t="str">
        <f>IFERROR(__xludf.DUMMYFUNCTION("""COMPUTED_VALUE"""),"Google")</f>
        <v>Google</v>
      </c>
      <c r="K116" s="7" t="str">
        <f>IFERROR(__xludf.DUMMYFUNCTION("""COMPUTED_VALUE"""),"Obra social")</f>
        <v>Obra social</v>
      </c>
      <c r="L116" s="7" t="str">
        <f>IFERROR(__xludf.DUMMYFUNCTION("""COMPUTED_VALUE"""),"Federada salud")</f>
        <v>Federada salud</v>
      </c>
      <c r="M116" s="7"/>
      <c r="N116" s="7"/>
      <c r="O116" s="7"/>
      <c r="P116" s="7"/>
      <c r="Q116" s="7"/>
      <c r="R116" s="7"/>
      <c r="S116" s="7"/>
    </row>
    <row r="117">
      <c r="A117" s="7" t="str">
        <f t="shared" si="1"/>
        <v>Medina, Ana Paula </v>
      </c>
      <c r="B117" s="7">
        <f>SUMIFS('bd caja'!$K$1:$K$1012,'bd caja'!$D$1:$D$1012,A117)</f>
        <v>0</v>
      </c>
      <c r="C117" s="19">
        <f>IFERROR(__xludf.DUMMYFUNCTION("""COMPUTED_VALUE"""),45026.61465018518)</f>
        <v>45026.61465</v>
      </c>
      <c r="D117" s="7" t="str">
        <f>IFERROR(__xludf.DUMMYFUNCTION("""COMPUTED_VALUE"""),"Medina")</f>
        <v>Medina</v>
      </c>
      <c r="E117" s="7" t="str">
        <f>IFERROR(__xludf.DUMMYFUNCTION("""COMPUTED_VALUE"""),"Ana Paula ")</f>
        <v>Ana Paula </v>
      </c>
      <c r="F117" s="7" t="str">
        <f>IFERROR(__xludf.DUMMYFUNCTION("""COMPUTED_VALUE"""),"apaulamedina26@gmail.com")</f>
        <v>apaulamedina26@gmail.com</v>
      </c>
      <c r="G117" s="20">
        <f>IFERROR(__xludf.DUMMYFUNCTION("""COMPUTED_VALUE"""),37433.0)</f>
        <v>37433</v>
      </c>
      <c r="H117" s="7">
        <f>IFERROR(__xludf.DUMMYFUNCTION("""COMPUTED_VALUE"""),4.4193031E7)</f>
        <v>44193031</v>
      </c>
      <c r="I117" s="7">
        <f>IFERROR(__xludf.DUMMYFUNCTION("""COMPUTED_VALUE"""),3.517184341E9)</f>
        <v>3517184341</v>
      </c>
      <c r="J117" s="7" t="str">
        <f>IFERROR(__xludf.DUMMYFUNCTION("""COMPUTED_VALUE"""),"Recomendación")</f>
        <v>Recomendación</v>
      </c>
      <c r="K117" s="7" t="str">
        <f>IFERROR(__xludf.DUMMYFUNCTION("""COMPUTED_VALUE"""),"Particular")</f>
        <v>Particular</v>
      </c>
      <c r="L117" s="7"/>
      <c r="M117" s="7"/>
      <c r="N117" s="7"/>
      <c r="O117" s="7"/>
      <c r="P117" s="7"/>
      <c r="Q117" s="7"/>
      <c r="R117" s="7"/>
      <c r="S117" s="7"/>
    </row>
    <row r="118">
      <c r="A118" s="7" t="str">
        <f t="shared" si="1"/>
        <v>Olivera, Franco Emanuel</v>
      </c>
      <c r="B118" s="7">
        <f>SUMIFS('bd caja'!$K$1:$K$1012,'bd caja'!$D$1:$D$1012,A118)</f>
        <v>0</v>
      </c>
      <c r="C118" s="19">
        <f>IFERROR(__xludf.DUMMYFUNCTION("""COMPUTED_VALUE"""),45027.44063747685)</f>
        <v>45027.44064</v>
      </c>
      <c r="D118" s="7" t="str">
        <f>IFERROR(__xludf.DUMMYFUNCTION("""COMPUTED_VALUE"""),"Olivera")</f>
        <v>Olivera</v>
      </c>
      <c r="E118" s="7" t="str">
        <f>IFERROR(__xludf.DUMMYFUNCTION("""COMPUTED_VALUE"""),"Franco Emanuel")</f>
        <v>Franco Emanuel</v>
      </c>
      <c r="F118" s="7" t="str">
        <f>IFERROR(__xludf.DUMMYFUNCTION("""COMPUTED_VALUE"""),"franco_boca48@hotmail.com")</f>
        <v>franco_boca48@hotmail.com</v>
      </c>
      <c r="G118" s="20">
        <f>IFERROR(__xludf.DUMMYFUNCTION("""COMPUTED_VALUE"""),34465.0)</f>
        <v>34465</v>
      </c>
      <c r="H118" s="7">
        <f>IFERROR(__xludf.DUMMYFUNCTION("""COMPUTED_VALUE"""),3.8411002E7)</f>
        <v>38411002</v>
      </c>
      <c r="I118" s="7">
        <f>IFERROR(__xludf.DUMMYFUNCTION("""COMPUTED_VALUE"""),3.647613949E9)</f>
        <v>3647613949</v>
      </c>
      <c r="J118" s="7" t="str">
        <f>IFERROR(__xludf.DUMMYFUNCTION("""COMPUTED_VALUE"""),"Google")</f>
        <v>Google</v>
      </c>
      <c r="K118" s="7" t="str">
        <f>IFERROR(__xludf.DUMMYFUNCTION("""COMPUTED_VALUE"""),"Particular")</f>
        <v>Particular</v>
      </c>
      <c r="L118" s="7"/>
      <c r="M118" s="7"/>
      <c r="N118" s="7"/>
      <c r="O118" s="7"/>
      <c r="P118" s="7"/>
      <c r="Q118" s="7"/>
      <c r="R118" s="7"/>
      <c r="S118" s="7"/>
    </row>
    <row r="119">
      <c r="A119" s="7" t="str">
        <f t="shared" si="1"/>
        <v>Cavalli, Cesar Matias </v>
      </c>
      <c r="B119" s="7">
        <f>SUMIFS('bd caja'!$K$1:$K$1012,'bd caja'!$D$1:$D$1012,A119)</f>
        <v>0</v>
      </c>
      <c r="C119" s="19">
        <f>IFERROR(__xludf.DUMMYFUNCTION("""COMPUTED_VALUE"""),45028.66003791666)</f>
        <v>45028.66004</v>
      </c>
      <c r="D119" s="7" t="str">
        <f>IFERROR(__xludf.DUMMYFUNCTION("""COMPUTED_VALUE"""),"Cavalli")</f>
        <v>Cavalli</v>
      </c>
      <c r="E119" s="7" t="str">
        <f>IFERROR(__xludf.DUMMYFUNCTION("""COMPUTED_VALUE"""),"Cesar Matias ")</f>
        <v>Cesar Matias </v>
      </c>
      <c r="F119" s="7" t="str">
        <f>IFERROR(__xludf.DUMMYFUNCTION("""COMPUTED_VALUE"""),"cavallicesarmatias@gmail.com")</f>
        <v>cavallicesarmatias@gmail.com</v>
      </c>
      <c r="G119" s="20">
        <f>IFERROR(__xludf.DUMMYFUNCTION("""COMPUTED_VALUE"""),31438.0)</f>
        <v>31438</v>
      </c>
      <c r="H119" s="7">
        <f>IFERROR(__xludf.DUMMYFUNCTION("""COMPUTED_VALUE"""),3.2099584E7)</f>
        <v>32099584</v>
      </c>
      <c r="I119" s="7">
        <f>IFERROR(__xludf.DUMMYFUNCTION("""COMPUTED_VALUE"""),3.513967686E9)</f>
        <v>3513967686</v>
      </c>
      <c r="J119" s="7" t="str">
        <f>IFERROR(__xludf.DUMMYFUNCTION("""COMPUTED_VALUE"""),"Recomendación")</f>
        <v>Recomendación</v>
      </c>
      <c r="K119" s="7" t="str">
        <f>IFERROR(__xludf.DUMMYFUNCTION("""COMPUTED_VALUE"""),"Obra social")</f>
        <v>Obra social</v>
      </c>
      <c r="L119" s="7" t="str">
        <f>IFERROR(__xludf.DUMMYFUNCTION("""COMPUTED_VALUE"""),"SANCOR")</f>
        <v>SANCOR</v>
      </c>
      <c r="M119" s="7"/>
      <c r="N119" s="7"/>
      <c r="O119" s="7"/>
      <c r="P119" s="7"/>
      <c r="Q119" s="7"/>
      <c r="R119" s="7"/>
      <c r="S119" s="7"/>
    </row>
    <row r="120">
      <c r="A120" s="7" t="str">
        <f t="shared" si="1"/>
        <v>Martinez, Horacio </v>
      </c>
      <c r="B120" s="7">
        <f>SUMIFS('bd caja'!$K$1:$K$1012,'bd caja'!$D$1:$D$1012,A120)</f>
        <v>0</v>
      </c>
      <c r="C120" s="19">
        <f>IFERROR(__xludf.DUMMYFUNCTION("""COMPUTED_VALUE"""),45028.73433228009)</f>
        <v>45028.73433</v>
      </c>
      <c r="D120" s="7" t="str">
        <f>IFERROR(__xludf.DUMMYFUNCTION("""COMPUTED_VALUE"""),"Martinez")</f>
        <v>Martinez</v>
      </c>
      <c r="E120" s="7" t="str">
        <f>IFERROR(__xludf.DUMMYFUNCTION("""COMPUTED_VALUE"""),"Horacio ")</f>
        <v>Horacio </v>
      </c>
      <c r="F120" s="7" t="str">
        <f>IFERROR(__xludf.DUMMYFUNCTION("""COMPUTED_VALUE"""),"mhoracioagustin@gmail.com")</f>
        <v>mhoracioagustin@gmail.com</v>
      </c>
      <c r="G120" s="20">
        <f>IFERROR(__xludf.DUMMYFUNCTION("""COMPUTED_VALUE"""),35701.0)</f>
        <v>35701</v>
      </c>
      <c r="H120" s="7">
        <f>IFERROR(__xludf.DUMMYFUNCTION("""COMPUTED_VALUE"""),4.0683198E7)</f>
        <v>40683198</v>
      </c>
      <c r="I120" s="7">
        <f>IFERROR(__xludf.DUMMYFUNCTION("""COMPUTED_VALUE"""),3.512280898E9)</f>
        <v>3512280898</v>
      </c>
      <c r="J120" s="7" t="str">
        <f>IFERROR(__xludf.DUMMYFUNCTION("""COMPUTED_VALUE"""),"Voy al gym Manantial")</f>
        <v>Voy al gym Manantial</v>
      </c>
      <c r="K120" s="7" t="str">
        <f>IFERROR(__xludf.DUMMYFUNCTION("""COMPUTED_VALUE"""),"Obra social")</f>
        <v>Obra social</v>
      </c>
      <c r="L120" s="7" t="str">
        <f>IFERROR(__xludf.DUMMYFUNCTION("""COMPUTED_VALUE"""),"DASPU")</f>
        <v>DASPU</v>
      </c>
      <c r="M120" s="7"/>
      <c r="N120" s="7"/>
      <c r="O120" s="7"/>
      <c r="P120" s="7"/>
      <c r="Q120" s="7"/>
      <c r="R120" s="7"/>
      <c r="S120" s="7"/>
    </row>
    <row r="121">
      <c r="A121" s="7" t="str">
        <f t="shared" si="1"/>
        <v>Ordóñez, Santiago </v>
      </c>
      <c r="B121" s="7">
        <f>SUMIFS('bd caja'!$K$1:$K$1012,'bd caja'!$D$1:$D$1012,A121)</f>
        <v>0</v>
      </c>
      <c r="C121" s="19">
        <f>IFERROR(__xludf.DUMMYFUNCTION("""COMPUTED_VALUE"""),45028.827226099536)</f>
        <v>45028.82723</v>
      </c>
      <c r="D121" s="7" t="str">
        <f>IFERROR(__xludf.DUMMYFUNCTION("""COMPUTED_VALUE"""),"Ordóñez")</f>
        <v>Ordóñez</v>
      </c>
      <c r="E121" s="7" t="str">
        <f>IFERROR(__xludf.DUMMYFUNCTION("""COMPUTED_VALUE"""),"Santiago ")</f>
        <v>Santiago </v>
      </c>
      <c r="F121" s="7" t="str">
        <f>IFERROR(__xludf.DUMMYFUNCTION("""COMPUTED_VALUE"""),"sordonez1951@gmail.com")</f>
        <v>sordonez1951@gmail.com</v>
      </c>
      <c r="G121" s="20">
        <f>IFERROR(__xludf.DUMMYFUNCTION("""COMPUTED_VALUE"""),18645.0)</f>
        <v>18645</v>
      </c>
      <c r="H121" s="7">
        <f>IFERROR(__xludf.DUMMYFUNCTION("""COMPUTED_VALUE"""),8531201.0)</f>
        <v>8531201</v>
      </c>
      <c r="I121" s="7">
        <f>IFERROR(__xludf.DUMMYFUNCTION("""COMPUTED_VALUE"""),3.518070833E9)</f>
        <v>3518070833</v>
      </c>
      <c r="J121" s="7" t="str">
        <f>IFERROR(__xludf.DUMMYFUNCTION("""COMPUTED_VALUE"""),"Recomendación")</f>
        <v>Recomendación</v>
      </c>
      <c r="K121" s="7" t="str">
        <f>IFERROR(__xludf.DUMMYFUNCTION("""COMPUTED_VALUE"""),"Particular")</f>
        <v>Particular</v>
      </c>
      <c r="L121" s="7"/>
      <c r="M121" s="7"/>
      <c r="N121" s="7"/>
      <c r="O121" s="7"/>
      <c r="P121" s="7"/>
      <c r="Q121" s="7"/>
      <c r="R121" s="7"/>
      <c r="S121" s="7"/>
    </row>
    <row r="122">
      <c r="A122" s="7" t="str">
        <f t="shared" si="1"/>
        <v>LIBRETTI, Vanessa del rosario</v>
      </c>
      <c r="B122" s="7">
        <f>SUMIFS('bd caja'!$K$1:$K$1012,'bd caja'!$D$1:$D$1012,A122)</f>
        <v>0</v>
      </c>
      <c r="C122" s="19">
        <f>IFERROR(__xludf.DUMMYFUNCTION("""COMPUTED_VALUE"""),45030.45700185186)</f>
        <v>45030.457</v>
      </c>
      <c r="D122" s="7" t="str">
        <f>IFERROR(__xludf.DUMMYFUNCTION("""COMPUTED_VALUE"""),"LIBRETTI")</f>
        <v>LIBRETTI</v>
      </c>
      <c r="E122" s="7" t="str">
        <f>IFERROR(__xludf.DUMMYFUNCTION("""COMPUTED_VALUE"""),"Vanessa del rosario")</f>
        <v>Vanessa del rosario</v>
      </c>
      <c r="F122" s="7" t="str">
        <f>IFERROR(__xludf.DUMMYFUNCTION("""COMPUTED_VALUE"""),"Vanelibretti@hotmail.com ")</f>
        <v>Vanelibretti@hotmail.com </v>
      </c>
      <c r="G122" s="20">
        <f>IFERROR(__xludf.DUMMYFUNCTION("""COMPUTED_VALUE"""),33214.0)</f>
        <v>33214</v>
      </c>
      <c r="H122" s="7">
        <f>IFERROR(__xludf.DUMMYFUNCTION("""COMPUTED_VALUE"""),3.5572961E7)</f>
        <v>35572961</v>
      </c>
      <c r="I122" s="7">
        <f>IFERROR(__xludf.DUMMYFUNCTION("""COMPUTED_VALUE"""),3.516427771E9)</f>
        <v>3516427771</v>
      </c>
      <c r="J122" s="7" t="str">
        <f>IFERROR(__xludf.DUMMYFUNCTION("""COMPUTED_VALUE"""),"Porque sos mi amigo ! ")</f>
        <v>Porque sos mi amigo ! </v>
      </c>
      <c r="K122" s="7" t="str">
        <f>IFERROR(__xludf.DUMMYFUNCTION("""COMPUTED_VALUE"""),"Obra social")</f>
        <v>Obra social</v>
      </c>
      <c r="L122" s="7" t="str">
        <f>IFERROR(__xludf.DUMMYFUNCTION("""COMPUTED_VALUE"""),"APROSS")</f>
        <v>APROSS</v>
      </c>
      <c r="M122" s="7"/>
      <c r="N122" s="7"/>
      <c r="O122" s="7"/>
      <c r="P122" s="7"/>
      <c r="Q122" s="7"/>
      <c r="R122" s="7"/>
      <c r="S122" s="7"/>
    </row>
    <row r="123">
      <c r="A123" s="7" t="str">
        <f t="shared" si="1"/>
        <v>Moretto, Marcos</v>
      </c>
      <c r="B123" s="7">
        <f>SUMIFS('bd caja'!$K$1:$K$1012,'bd caja'!$D$1:$D$1012,A123)</f>
        <v>0</v>
      </c>
      <c r="C123" s="19">
        <f>IFERROR(__xludf.DUMMYFUNCTION("""COMPUTED_VALUE"""),45033.7191434375)</f>
        <v>45033.71914</v>
      </c>
      <c r="D123" s="7" t="str">
        <f>IFERROR(__xludf.DUMMYFUNCTION("""COMPUTED_VALUE"""),"Moretto")</f>
        <v>Moretto</v>
      </c>
      <c r="E123" s="7" t="str">
        <f>IFERROR(__xludf.DUMMYFUNCTION("""COMPUTED_VALUE"""),"Marcos")</f>
        <v>Marcos</v>
      </c>
      <c r="F123" s="7" t="str">
        <f>IFERROR(__xludf.DUMMYFUNCTION("""COMPUTED_VALUE"""),"Paco_95_pl@outlook.es")</f>
        <v>Paco_95_pl@outlook.es</v>
      </c>
      <c r="G123" s="20">
        <f>IFERROR(__xludf.DUMMYFUNCTION("""COMPUTED_VALUE"""),34729.0)</f>
        <v>34729</v>
      </c>
      <c r="H123" s="7">
        <f>IFERROR(__xludf.DUMMYFUNCTION("""COMPUTED_VALUE"""),3.8647401E7)</f>
        <v>38647401</v>
      </c>
      <c r="I123" s="7">
        <f>IFERROR(__xludf.DUMMYFUNCTION("""COMPUTED_VALUE"""),3.512012248E9)</f>
        <v>3512012248</v>
      </c>
      <c r="J123" s="7" t="str">
        <f>IFERROR(__xludf.DUMMYFUNCTION("""COMPUTED_VALUE"""),"Recomendación")</f>
        <v>Recomendación</v>
      </c>
      <c r="K123" s="7" t="str">
        <f>IFERROR(__xludf.DUMMYFUNCTION("""COMPUTED_VALUE"""),"Particular")</f>
        <v>Particular</v>
      </c>
      <c r="L123" s="7"/>
      <c r="M123" s="7"/>
      <c r="N123" s="7"/>
      <c r="O123" s="7"/>
      <c r="P123" s="7"/>
      <c r="Q123" s="7"/>
      <c r="R123" s="7"/>
      <c r="S123" s="7"/>
    </row>
    <row r="124">
      <c r="A124" s="7" t="str">
        <f t="shared" si="1"/>
        <v>Gandini, Sofia</v>
      </c>
      <c r="B124" s="7">
        <f>SUMIFS('bd caja'!$K$1:$K$1012,'bd caja'!$D$1:$D$1012,A124)</f>
        <v>0</v>
      </c>
      <c r="C124" s="19">
        <f>IFERROR(__xludf.DUMMYFUNCTION("""COMPUTED_VALUE"""),45033.79088586806)</f>
        <v>45033.79089</v>
      </c>
      <c r="D124" s="7" t="str">
        <f>IFERROR(__xludf.DUMMYFUNCTION("""COMPUTED_VALUE"""),"Gandini")</f>
        <v>Gandini</v>
      </c>
      <c r="E124" s="7" t="str">
        <f>IFERROR(__xludf.DUMMYFUNCTION("""COMPUTED_VALUE"""),"Sofia")</f>
        <v>Sofia</v>
      </c>
      <c r="F124" s="7" t="str">
        <f>IFERROR(__xludf.DUMMYFUNCTION("""COMPUTED_VALUE"""),"sofigandini93@gmail.com")</f>
        <v>sofigandini93@gmail.com</v>
      </c>
      <c r="G124" s="20">
        <f>IFERROR(__xludf.DUMMYFUNCTION("""COMPUTED_VALUE"""),34228.0)</f>
        <v>34228</v>
      </c>
      <c r="H124" s="7">
        <f>IFERROR(__xludf.DUMMYFUNCTION("""COMPUTED_VALUE"""),3.7618465E7)</f>
        <v>37618465</v>
      </c>
      <c r="I124" s="7">
        <f>IFERROR(__xludf.DUMMYFUNCTION("""COMPUTED_VALUE"""),3.513082496E9)</f>
        <v>3513082496</v>
      </c>
      <c r="J124" s="7" t="str">
        <f>IFERROR(__xludf.DUMMYFUNCTION("""COMPUTED_VALUE"""),"Recomendación")</f>
        <v>Recomendación</v>
      </c>
      <c r="K124" s="7" t="str">
        <f>IFERROR(__xludf.DUMMYFUNCTION("""COMPUTED_VALUE"""),"Obra social")</f>
        <v>Obra social</v>
      </c>
      <c r="L124" s="7" t="str">
        <f>IFERROR(__xludf.DUMMYFUNCTION("""COMPUTED_VALUE"""),"CPCE")</f>
        <v>CPCE</v>
      </c>
      <c r="M124" s="7"/>
      <c r="N124" s="7"/>
      <c r="O124" s="7"/>
      <c r="P124" s="7"/>
      <c r="Q124" s="7"/>
      <c r="R124" s="7"/>
      <c r="S124" s="7"/>
    </row>
    <row r="125">
      <c r="A125" s="7" t="str">
        <f t="shared" si="1"/>
        <v>LASCANO, Stella</v>
      </c>
      <c r="B125" s="7">
        <f>SUMIFS('bd caja'!$K$1:$K$1012,'bd caja'!$D$1:$D$1012,A125)</f>
        <v>0</v>
      </c>
      <c r="C125" s="19">
        <f>IFERROR(__xludf.DUMMYFUNCTION("""COMPUTED_VALUE"""),45035.46702273148)</f>
        <v>45035.46702</v>
      </c>
      <c r="D125" s="7" t="str">
        <f>IFERROR(__xludf.DUMMYFUNCTION("""COMPUTED_VALUE"""),"LASCANO")</f>
        <v>LASCANO</v>
      </c>
      <c r="E125" s="7" t="str">
        <f>IFERROR(__xludf.DUMMYFUNCTION("""COMPUTED_VALUE"""),"Stella")</f>
        <v>Stella</v>
      </c>
      <c r="F125" s="7"/>
      <c r="G125" s="20">
        <f>IFERROR(__xludf.DUMMYFUNCTION("""COMPUTED_VALUE"""),16642.0)</f>
        <v>16642</v>
      </c>
      <c r="H125" s="7">
        <f>IFERROR(__xludf.DUMMYFUNCTION("""COMPUTED_VALUE"""),5210099.0)</f>
        <v>5210099</v>
      </c>
      <c r="I125" s="7">
        <f>IFERROR(__xludf.DUMMYFUNCTION("""COMPUTED_VALUE"""),3.512757694E9)</f>
        <v>3512757694</v>
      </c>
      <c r="J125" s="7" t="str">
        <f>IFERROR(__xludf.DUMMYFUNCTION("""COMPUTED_VALUE"""),"Google")</f>
        <v>Google</v>
      </c>
      <c r="K125" s="7" t="str">
        <f>IFERROR(__xludf.DUMMYFUNCTION("""COMPUTED_VALUE"""),"Obra social")</f>
        <v>Obra social</v>
      </c>
      <c r="L125" s="7" t="str">
        <f>IFERROR(__xludf.DUMMYFUNCTION("""COMPUTED_VALUE"""),"APROSS")</f>
        <v>APROSS</v>
      </c>
      <c r="M125" s="7"/>
      <c r="N125" s="7"/>
      <c r="O125" s="7"/>
      <c r="P125" s="7"/>
      <c r="Q125" s="7"/>
      <c r="R125" s="7"/>
      <c r="S125" s="7"/>
    </row>
    <row r="126">
      <c r="A126" s="7" t="str">
        <f t="shared" si="1"/>
        <v>Brusco, Lillian Maria</v>
      </c>
      <c r="B126" s="7">
        <f>SUMIFS('bd caja'!$K$1:$K$1012,'bd caja'!$D$1:$D$1012,A126)</f>
        <v>0</v>
      </c>
      <c r="C126" s="19">
        <f>IFERROR(__xludf.DUMMYFUNCTION("""COMPUTED_VALUE"""),45035.8334890625)</f>
        <v>45035.83349</v>
      </c>
      <c r="D126" s="7" t="str">
        <f>IFERROR(__xludf.DUMMYFUNCTION("""COMPUTED_VALUE"""),"Brusco")</f>
        <v>Brusco</v>
      </c>
      <c r="E126" s="7" t="str">
        <f>IFERROR(__xludf.DUMMYFUNCTION("""COMPUTED_VALUE"""),"Lillian Maria")</f>
        <v>Lillian Maria</v>
      </c>
      <c r="F126" s="7" t="str">
        <f>IFERROR(__xludf.DUMMYFUNCTION("""COMPUTED_VALUE"""),"lilibrusco@yahoo.com.ar")</f>
        <v>lilibrusco@yahoo.com.ar</v>
      </c>
      <c r="G126" s="20">
        <f>IFERROR(__xludf.DUMMYFUNCTION("""COMPUTED_VALUE"""),24608.0)</f>
        <v>24608</v>
      </c>
      <c r="H126" s="7">
        <f>IFERROR(__xludf.DUMMYFUNCTION("""COMPUTED_VALUE"""),1.8568759E7)</f>
        <v>18568759</v>
      </c>
      <c r="I126" s="7">
        <f>IFERROR(__xludf.DUMMYFUNCTION("""COMPUTED_VALUE"""),3.516208417E9)</f>
        <v>3516208417</v>
      </c>
      <c r="J126" s="7" t="str">
        <f>IFERROR(__xludf.DUMMYFUNCTION("""COMPUTED_VALUE"""),"Voy al gym Manantial")</f>
        <v>Voy al gym Manantial</v>
      </c>
      <c r="K126" s="7" t="str">
        <f>IFERROR(__xludf.DUMMYFUNCTION("""COMPUTED_VALUE"""),"Obra social")</f>
        <v>Obra social</v>
      </c>
      <c r="L126" s="7" t="str">
        <f>IFERROR(__xludf.DUMMYFUNCTION("""COMPUTED_VALUE"""),"APROSS")</f>
        <v>APROSS</v>
      </c>
      <c r="M126" s="7"/>
      <c r="N126" s="7"/>
      <c r="O126" s="7"/>
      <c r="P126" s="7"/>
      <c r="Q126" s="7"/>
      <c r="R126" s="7"/>
      <c r="S126" s="7"/>
    </row>
    <row r="127">
      <c r="A127" s="7" t="str">
        <f t="shared" si="1"/>
        <v>Pereyra , Guadalupe </v>
      </c>
      <c r="B127" s="7">
        <f>SUMIFS('bd caja'!$K$1:$K$1012,'bd caja'!$D$1:$D$1012,A127)</f>
        <v>0</v>
      </c>
      <c r="C127" s="19">
        <f>IFERROR(__xludf.DUMMYFUNCTION("""COMPUTED_VALUE"""),45036.72470896991)</f>
        <v>45036.72471</v>
      </c>
      <c r="D127" s="7" t="str">
        <f>IFERROR(__xludf.DUMMYFUNCTION("""COMPUTED_VALUE"""),"Pereyra ")</f>
        <v>Pereyra </v>
      </c>
      <c r="E127" s="7" t="str">
        <f>IFERROR(__xludf.DUMMYFUNCTION("""COMPUTED_VALUE"""),"Guadalupe ")</f>
        <v>Guadalupe </v>
      </c>
      <c r="F127" s="7" t="str">
        <f>IFERROR(__xludf.DUMMYFUNCTION("""COMPUTED_VALUE"""),"Guadalupepereyrabrusco@gmail.com")</f>
        <v>Guadalupepereyrabrusco@gmail.com</v>
      </c>
      <c r="G127" s="20">
        <f>IFERROR(__xludf.DUMMYFUNCTION("""COMPUTED_VALUE"""),39972.0)</f>
        <v>39972</v>
      </c>
      <c r="H127" s="7">
        <f>IFERROR(__xludf.DUMMYFUNCTION("""COMPUTED_VALUE"""),4.9555747E7)</f>
        <v>49555747</v>
      </c>
      <c r="I127" s="7">
        <f>IFERROR(__xludf.DUMMYFUNCTION("""COMPUTED_VALUE"""),3.513565463E9)</f>
        <v>3513565463</v>
      </c>
      <c r="J127" s="7" t="str">
        <f>IFERROR(__xludf.DUMMYFUNCTION("""COMPUTED_VALUE"""),"Voy al gym Manantial")</f>
        <v>Voy al gym Manantial</v>
      </c>
      <c r="K127" s="7" t="str">
        <f>IFERROR(__xludf.DUMMYFUNCTION("""COMPUTED_VALUE"""),"Obra social")</f>
        <v>Obra social</v>
      </c>
      <c r="L127" s="7" t="str">
        <f>IFERROR(__xludf.DUMMYFUNCTION("""COMPUTED_VALUE"""),"APROSS")</f>
        <v>APROSS</v>
      </c>
      <c r="M127" s="7"/>
      <c r="N127" s="7"/>
      <c r="O127" s="7"/>
      <c r="P127" s="7"/>
      <c r="Q127" s="7"/>
      <c r="R127" s="7"/>
      <c r="S127" s="7"/>
    </row>
    <row r="128">
      <c r="A128" s="7" t="str">
        <f t="shared" si="1"/>
        <v>Pucheta, Facundo</v>
      </c>
      <c r="B128" s="7">
        <f>SUMIFS('bd caja'!$K$1:$K$1012,'bd caja'!$D$1:$D$1012,A128)</f>
        <v>0</v>
      </c>
      <c r="C128" s="19">
        <f>IFERROR(__xludf.DUMMYFUNCTION("""COMPUTED_VALUE"""),45037.46774129629)</f>
        <v>45037.46774</v>
      </c>
      <c r="D128" s="7" t="str">
        <f>IFERROR(__xludf.DUMMYFUNCTION("""COMPUTED_VALUE"""),"Pucheta")</f>
        <v>Pucheta</v>
      </c>
      <c r="E128" s="7" t="str">
        <f>IFERROR(__xludf.DUMMYFUNCTION("""COMPUTED_VALUE"""),"Facundo")</f>
        <v>Facundo</v>
      </c>
      <c r="F128" s="7" t="str">
        <f>IFERROR(__xludf.DUMMYFUNCTION("""COMPUTED_VALUE"""),"facupuche1995@gmail.com")</f>
        <v>facupuche1995@gmail.com</v>
      </c>
      <c r="G128" s="20">
        <f>IFERROR(__xludf.DUMMYFUNCTION("""COMPUTED_VALUE"""),35043.0)</f>
        <v>35043</v>
      </c>
      <c r="H128" s="7">
        <f>IFERROR(__xludf.DUMMYFUNCTION("""COMPUTED_VALUE"""),3.9421166E7)</f>
        <v>39421166</v>
      </c>
      <c r="I128" s="7">
        <f>IFERROR(__xludf.DUMMYFUNCTION("""COMPUTED_VALUE"""),3.518061862E9)</f>
        <v>3518061862</v>
      </c>
      <c r="J128" s="7" t="str">
        <f>IFERROR(__xludf.DUMMYFUNCTION("""COMPUTED_VALUE"""),"Recomendación")</f>
        <v>Recomendación</v>
      </c>
      <c r="K128" s="7" t="str">
        <f>IFERROR(__xludf.DUMMYFUNCTION("""COMPUTED_VALUE"""),"Obra social")</f>
        <v>Obra social</v>
      </c>
      <c r="L128" s="7" t="str">
        <f>IFERROR(__xludf.DUMMYFUNCTION("""COMPUTED_VALUE"""),"Ospia")</f>
        <v>Ospia</v>
      </c>
      <c r="M128" s="7"/>
      <c r="N128" s="7"/>
      <c r="O128" s="7"/>
      <c r="P128" s="7"/>
      <c r="Q128" s="7"/>
      <c r="R128" s="7"/>
      <c r="S128" s="7"/>
    </row>
    <row r="129">
      <c r="A129" s="7" t="str">
        <f t="shared" si="1"/>
        <v>Castro, Ramiro</v>
      </c>
      <c r="B129" s="7">
        <f>SUMIFS('bd caja'!$K$1:$K$1012,'bd caja'!$D$1:$D$1012,A129)</f>
        <v>0</v>
      </c>
      <c r="C129" s="19">
        <f>IFERROR(__xludf.DUMMYFUNCTION("""COMPUTED_VALUE"""),45040.46408252315)</f>
        <v>45040.46408</v>
      </c>
      <c r="D129" s="7" t="str">
        <f>IFERROR(__xludf.DUMMYFUNCTION("""COMPUTED_VALUE"""),"Castro")</f>
        <v>Castro</v>
      </c>
      <c r="E129" s="7" t="str">
        <f>IFERROR(__xludf.DUMMYFUNCTION("""COMPUTED_VALUE"""),"Ramiro")</f>
        <v>Ramiro</v>
      </c>
      <c r="F129" s="7" t="str">
        <f>IFERROR(__xludf.DUMMYFUNCTION("""COMPUTED_VALUE""")," Cesatro@hotmail.com")</f>
        <v> Cesatro@hotmail.com</v>
      </c>
      <c r="G129" s="20">
        <f>IFERROR(__xludf.DUMMYFUNCTION("""COMPUTED_VALUE"""),38549.0)</f>
        <v>38549</v>
      </c>
      <c r="H129" s="7">
        <f>IFERROR(__xludf.DUMMYFUNCTION("""COMPUTED_VALUE"""),4.9863919E7)</f>
        <v>49863919</v>
      </c>
      <c r="I129" s="7">
        <f>IFERROR(__xludf.DUMMYFUNCTION("""COMPUTED_VALUE"""),3.517691077E9)</f>
        <v>3517691077</v>
      </c>
      <c r="J129" s="7" t="str">
        <f>IFERROR(__xludf.DUMMYFUNCTION("""COMPUTED_VALUE"""),"Voy al gym Manantial")</f>
        <v>Voy al gym Manantial</v>
      </c>
      <c r="K129" s="7" t="str">
        <f>IFERROR(__xludf.DUMMYFUNCTION("""COMPUTED_VALUE"""),"Particular")</f>
        <v>Particular</v>
      </c>
      <c r="L129" s="7"/>
      <c r="M129" s="7"/>
      <c r="N129" s="7"/>
      <c r="O129" s="7"/>
      <c r="P129" s="7"/>
      <c r="Q129" s="7"/>
      <c r="R129" s="7"/>
      <c r="S129" s="7"/>
    </row>
    <row r="130">
      <c r="A130" s="7" t="str">
        <f t="shared" si="1"/>
        <v>Ponce , Lucas </v>
      </c>
      <c r="B130" s="7">
        <f>SUMIFS('bd caja'!$K$1:$K$1012,'bd caja'!$D$1:$D$1012,A130)</f>
        <v>0</v>
      </c>
      <c r="C130" s="19">
        <f>IFERROR(__xludf.DUMMYFUNCTION("""COMPUTED_VALUE"""),45040.668784988426)</f>
        <v>45040.66878</v>
      </c>
      <c r="D130" s="7" t="str">
        <f>IFERROR(__xludf.DUMMYFUNCTION("""COMPUTED_VALUE"""),"Ponce ")</f>
        <v>Ponce </v>
      </c>
      <c r="E130" s="7" t="str">
        <f>IFERROR(__xludf.DUMMYFUNCTION("""COMPUTED_VALUE"""),"Lucas ")</f>
        <v>Lucas </v>
      </c>
      <c r="F130" s="7" t="str">
        <f>IFERROR(__xludf.DUMMYFUNCTION("""COMPUTED_VALUE"""),"Lucasiponcev@gmail.com ")</f>
        <v>Lucasiponcev@gmail.com </v>
      </c>
      <c r="G130" s="20">
        <f>IFERROR(__xludf.DUMMYFUNCTION("""COMPUTED_VALUE"""),28488.0)</f>
        <v>28488</v>
      </c>
      <c r="H130" s="7">
        <f>IFERROR(__xludf.DUMMYFUNCTION("""COMPUTED_VALUE"""),2.6313432E7)</f>
        <v>26313432</v>
      </c>
      <c r="I130" s="7">
        <f>IFERROR(__xludf.DUMMYFUNCTION("""COMPUTED_VALUE"""),3.516789198E9)</f>
        <v>3516789198</v>
      </c>
      <c r="J130" s="7" t="str">
        <f>IFERROR(__xludf.DUMMYFUNCTION("""COMPUTED_VALUE"""),"Google maps ")</f>
        <v>Google maps </v>
      </c>
      <c r="K130" s="7" t="str">
        <f>IFERROR(__xludf.DUMMYFUNCTION("""COMPUTED_VALUE"""),"Particular")</f>
        <v>Particular</v>
      </c>
      <c r="L130" s="7"/>
      <c r="M130" s="7"/>
      <c r="N130" s="7"/>
      <c r="O130" s="7"/>
      <c r="P130" s="7"/>
      <c r="Q130" s="7"/>
      <c r="R130" s="7"/>
      <c r="S130" s="7"/>
    </row>
    <row r="131">
      <c r="A131" s="7" t="str">
        <f t="shared" si="1"/>
        <v>ANTUNEZ, JORGE ALEXANDER</v>
      </c>
      <c r="B131" s="7">
        <f>SUMIFS('bd caja'!$K$1:$K$1012,'bd caja'!$D$1:$D$1012,A131)</f>
        <v>0</v>
      </c>
      <c r="C131" s="19">
        <f>IFERROR(__xludf.DUMMYFUNCTION("""COMPUTED_VALUE"""),45040.67917108796)</f>
        <v>45040.67917</v>
      </c>
      <c r="D131" s="7" t="str">
        <f>IFERROR(__xludf.DUMMYFUNCTION("""COMPUTED_VALUE"""),"ANTUNEZ")</f>
        <v>ANTUNEZ</v>
      </c>
      <c r="E131" s="7" t="str">
        <f>IFERROR(__xludf.DUMMYFUNCTION("""COMPUTED_VALUE"""),"JORGE ALEXANDER")</f>
        <v>JORGE ALEXANDER</v>
      </c>
      <c r="F131" s="7" t="str">
        <f>IFERROR(__xludf.DUMMYFUNCTION("""COMPUTED_VALUE"""),"JORGEALEXANDERANTUNEZ@GMAIL.COM")</f>
        <v>JORGEALEXANDERANTUNEZ@GMAIL.COM</v>
      </c>
      <c r="G131" s="20">
        <f>IFERROR(__xludf.DUMMYFUNCTION("""COMPUTED_VALUE"""),35977.0)</f>
        <v>35977</v>
      </c>
      <c r="H131" s="7">
        <f>IFERROR(__xludf.DUMMYFUNCTION("""COMPUTED_VALUE"""),4.1502844E7)</f>
        <v>41502844</v>
      </c>
      <c r="I131" s="7">
        <f>IFERROR(__xludf.DUMMYFUNCTION("""COMPUTED_VALUE"""),3.765221448E9)</f>
        <v>3765221448</v>
      </c>
      <c r="J131" s="7" t="str">
        <f>IFERROR(__xludf.DUMMYFUNCTION("""COMPUTED_VALUE"""),"Voy al gym Manantial")</f>
        <v>Voy al gym Manantial</v>
      </c>
      <c r="K131" s="7" t="str">
        <f>IFERROR(__xludf.DUMMYFUNCTION("""COMPUTED_VALUE"""),"Particular")</f>
        <v>Particular</v>
      </c>
      <c r="L131" s="7"/>
      <c r="M131" s="7"/>
      <c r="N131" s="7"/>
      <c r="O131" s="7"/>
      <c r="P131" s="7"/>
      <c r="Q131" s="7"/>
      <c r="R131" s="7"/>
      <c r="S131" s="7"/>
    </row>
    <row r="132">
      <c r="A132" s="7" t="str">
        <f t="shared" si="1"/>
        <v>AGUIRRE, Juan</v>
      </c>
      <c r="B132" s="7">
        <f>SUMIFS('bd caja'!$K$1:$K$1012,'bd caja'!$D$1:$D$1012,A132)</f>
        <v>0</v>
      </c>
      <c r="C132" s="19">
        <f>IFERROR(__xludf.DUMMYFUNCTION("""COMPUTED_VALUE"""),45041.35484112268)</f>
        <v>45041.35484</v>
      </c>
      <c r="D132" s="7" t="str">
        <f>IFERROR(__xludf.DUMMYFUNCTION("""COMPUTED_VALUE"""),"AGUIRRE")</f>
        <v>AGUIRRE</v>
      </c>
      <c r="E132" s="7" t="str">
        <f>IFERROR(__xludf.DUMMYFUNCTION("""COMPUTED_VALUE"""),"Juan")</f>
        <v>Juan</v>
      </c>
      <c r="F132" s="7" t="str">
        <f>IFERROR(__xludf.DUMMYFUNCTION("""COMPUTED_VALUE"""),"-")</f>
        <v>-</v>
      </c>
      <c r="G132" s="20">
        <f>IFERROR(__xludf.DUMMYFUNCTION("""COMPUTED_VALUE"""),28464.0)</f>
        <v>28464</v>
      </c>
      <c r="H132" s="7">
        <f>IFERROR(__xludf.DUMMYFUNCTION("""COMPUTED_VALUE"""),2.6181107E7)</f>
        <v>26181107</v>
      </c>
      <c r="I132" s="7">
        <f>IFERROR(__xludf.DUMMYFUNCTION("""COMPUTED_VALUE"""),3.515094262E9)</f>
        <v>3515094262</v>
      </c>
      <c r="J132" s="7" t="str">
        <f>IFERROR(__xludf.DUMMYFUNCTION("""COMPUTED_VALUE"""),"Facebook")</f>
        <v>Facebook</v>
      </c>
      <c r="K132" s="7" t="str">
        <f>IFERROR(__xludf.DUMMYFUNCTION("""COMPUTED_VALUE"""),"Obra social")</f>
        <v>Obra social</v>
      </c>
      <c r="L132" s="7" t="str">
        <f>IFERROR(__xludf.DUMMYFUNCTION("""COMPUTED_VALUE"""),"Integral Salud")</f>
        <v>Integral Salud</v>
      </c>
      <c r="M132" s="7"/>
      <c r="N132" s="7"/>
      <c r="O132" s="7"/>
      <c r="P132" s="7"/>
      <c r="Q132" s="7"/>
      <c r="R132" s="7"/>
      <c r="S132" s="7"/>
    </row>
    <row r="133">
      <c r="A133" s="7" t="str">
        <f t="shared" si="1"/>
        <v>Martinez, Facundo</v>
      </c>
      <c r="B133" s="7">
        <f>SUMIFS('bd caja'!$K$1:$K$1012,'bd caja'!$D$1:$D$1012,A133)</f>
        <v>0</v>
      </c>
      <c r="C133" s="19">
        <f>IFERROR(__xludf.DUMMYFUNCTION("""COMPUTED_VALUE"""),45041.92086254629)</f>
        <v>45041.92086</v>
      </c>
      <c r="D133" s="7" t="str">
        <f>IFERROR(__xludf.DUMMYFUNCTION("""COMPUTED_VALUE"""),"Martinez")</f>
        <v>Martinez</v>
      </c>
      <c r="E133" s="7" t="str">
        <f>IFERROR(__xludf.DUMMYFUNCTION("""COMPUTED_VALUE"""),"Facundo")</f>
        <v>Facundo</v>
      </c>
      <c r="F133" s="7" t="str">
        <f>IFERROR(__xludf.DUMMYFUNCTION("""COMPUTED_VALUE"""),"Facundom_15@hotmail.com")</f>
        <v>Facundom_15@hotmail.com</v>
      </c>
      <c r="G133" s="20">
        <f>IFERROR(__xludf.DUMMYFUNCTION("""COMPUTED_VALUE"""),35598.0)</f>
        <v>35598</v>
      </c>
      <c r="H133" s="7">
        <f>IFERROR(__xludf.DUMMYFUNCTION("""COMPUTED_VALUE"""),4.0401993E7)</f>
        <v>40401993</v>
      </c>
      <c r="I133" s="7">
        <f>IFERROR(__xludf.DUMMYFUNCTION("""COMPUTED_VALUE"""),3.513890655E9)</f>
        <v>3513890655</v>
      </c>
      <c r="J133" s="7" t="str">
        <f>IFERROR(__xludf.DUMMYFUNCTION("""COMPUTED_VALUE"""),"Recomendación")</f>
        <v>Recomendación</v>
      </c>
      <c r="K133" s="7" t="str">
        <f>IFERROR(__xludf.DUMMYFUNCTION("""COMPUTED_VALUE"""),"Obra social")</f>
        <v>Obra social</v>
      </c>
      <c r="L133" s="7" t="str">
        <f>IFERROR(__xludf.DUMMYFUNCTION("""COMPUTED_VALUE"""),"PREVENCIÓN")</f>
        <v>PREVENCIÓN</v>
      </c>
      <c r="M133" s="7"/>
      <c r="N133" s="7"/>
      <c r="O133" s="7"/>
      <c r="P133" s="7"/>
      <c r="Q133" s="7"/>
      <c r="R133" s="7"/>
      <c r="S133" s="7"/>
    </row>
    <row r="134">
      <c r="A134" s="7" t="str">
        <f t="shared" si="1"/>
        <v>Marques, Patricia</v>
      </c>
      <c r="B134" s="7">
        <f>SUMIFS('bd caja'!$K$1:$K$1012,'bd caja'!$D$1:$D$1012,A134)</f>
        <v>0</v>
      </c>
      <c r="C134" s="19">
        <f>IFERROR(__xludf.DUMMYFUNCTION("""COMPUTED_VALUE"""),45042.75548361111)</f>
        <v>45042.75548</v>
      </c>
      <c r="D134" s="7" t="str">
        <f>IFERROR(__xludf.DUMMYFUNCTION("""COMPUTED_VALUE"""),"Marques")</f>
        <v>Marques</v>
      </c>
      <c r="E134" s="7" t="str">
        <f>IFERROR(__xludf.DUMMYFUNCTION("""COMPUTED_VALUE"""),"Patricia")</f>
        <v>Patricia</v>
      </c>
      <c r="F134" s="7"/>
      <c r="G134" s="20">
        <f>IFERROR(__xludf.DUMMYFUNCTION("""COMPUTED_VALUE"""),23601.0)</f>
        <v>23601</v>
      </c>
      <c r="H134" s="7">
        <f>IFERROR(__xludf.DUMMYFUNCTION("""COMPUTED_VALUE"""),1.6731338E7)</f>
        <v>16731338</v>
      </c>
      <c r="I134" s="7">
        <f>IFERROR(__xludf.DUMMYFUNCTION("""COMPUTED_VALUE"""),2.964454765E9)</f>
        <v>2964454765</v>
      </c>
      <c r="J134" s="7" t="str">
        <f>IFERROR(__xludf.DUMMYFUNCTION("""COMPUTED_VALUE"""),"Recomendacion Medica")</f>
        <v>Recomendacion Medica</v>
      </c>
      <c r="K134" s="7" t="str">
        <f>IFERROR(__xludf.DUMMYFUNCTION("""COMPUTED_VALUE"""),"Particular")</f>
        <v>Particular</v>
      </c>
      <c r="L134" s="7"/>
      <c r="M134" s="7"/>
      <c r="N134" s="7"/>
      <c r="O134" s="7"/>
      <c r="P134" s="7"/>
      <c r="Q134" s="7"/>
      <c r="R134" s="7"/>
      <c r="S134" s="7"/>
    </row>
    <row r="135">
      <c r="A135" s="7" t="str">
        <f t="shared" si="1"/>
        <v>Araujo, Cledy</v>
      </c>
      <c r="B135" s="7">
        <f>SUMIFS('bd caja'!$K$1:$K$1012,'bd caja'!$D$1:$D$1012,A135)</f>
        <v>0</v>
      </c>
      <c r="C135" s="19">
        <f>IFERROR(__xludf.DUMMYFUNCTION("""COMPUTED_VALUE"""),45043.77888517361)</f>
        <v>45043.77889</v>
      </c>
      <c r="D135" s="7" t="str">
        <f>IFERROR(__xludf.DUMMYFUNCTION("""COMPUTED_VALUE"""),"Araujo")</f>
        <v>Araujo</v>
      </c>
      <c r="E135" s="7" t="str">
        <f>IFERROR(__xludf.DUMMYFUNCTION("""COMPUTED_VALUE"""),"Cledy")</f>
        <v>Cledy</v>
      </c>
      <c r="F135" s="7"/>
      <c r="G135" s="20">
        <f>IFERROR(__xludf.DUMMYFUNCTION("""COMPUTED_VALUE"""),12837.0)</f>
        <v>12837</v>
      </c>
      <c r="H135" s="7">
        <f>IFERROR(__xludf.DUMMYFUNCTION("""COMPUTED_VALUE"""),1398602.0)</f>
        <v>1398602</v>
      </c>
      <c r="I135" s="7">
        <f>IFERROR(__xludf.DUMMYFUNCTION("""COMPUTED_VALUE"""),3.584838207E9)</f>
        <v>3584838207</v>
      </c>
      <c r="J135" s="7" t="str">
        <f>IFERROR(__xludf.DUMMYFUNCTION("""COMPUTED_VALUE"""),"Recomendación")</f>
        <v>Recomendación</v>
      </c>
      <c r="K135" s="7" t="str">
        <f>IFERROR(__xludf.DUMMYFUNCTION("""COMPUTED_VALUE"""),"Obra social")</f>
        <v>Obra social</v>
      </c>
      <c r="L135" s="7" t="str">
        <f>IFERROR(__xludf.DUMMYFUNCTION("""COMPUTED_VALUE"""),"APROSS")</f>
        <v>APROSS</v>
      </c>
      <c r="M135" s="7"/>
      <c r="N135" s="7"/>
      <c r="O135" s="7"/>
      <c r="P135" s="7"/>
      <c r="Q135" s="7"/>
      <c r="R135" s="7"/>
      <c r="S135" s="7"/>
    </row>
    <row r="136">
      <c r="A136" s="7" t="str">
        <f t="shared" si="1"/>
        <v>Barrios , Rita</v>
      </c>
      <c r="B136" s="7">
        <f>SUMIFS('bd caja'!$K$1:$K$1012,'bd caja'!$D$1:$D$1012,A136)</f>
        <v>0</v>
      </c>
      <c r="C136" s="19">
        <f>IFERROR(__xludf.DUMMYFUNCTION("""COMPUTED_VALUE"""),45043.822263888884)</f>
        <v>45043.82226</v>
      </c>
      <c r="D136" s="7" t="str">
        <f>IFERROR(__xludf.DUMMYFUNCTION("""COMPUTED_VALUE"""),"Barrios ")</f>
        <v>Barrios </v>
      </c>
      <c r="E136" s="7" t="str">
        <f>IFERROR(__xludf.DUMMYFUNCTION("""COMPUTED_VALUE"""),"Rita")</f>
        <v>Rita</v>
      </c>
      <c r="F136" s="7" t="str">
        <f>IFERROR(__xludf.DUMMYFUNCTION("""COMPUTED_VALUE"""),"ritaebarrios@hotmail.com")</f>
        <v>ritaebarrios@hotmail.com</v>
      </c>
      <c r="G136" s="20">
        <f>IFERROR(__xludf.DUMMYFUNCTION("""COMPUTED_VALUE"""),45037.0)</f>
        <v>45037</v>
      </c>
      <c r="H136" s="7">
        <f>IFERROR(__xludf.DUMMYFUNCTION("""COMPUTED_VALUE"""),2.7585767E7)</f>
        <v>27585767</v>
      </c>
      <c r="I136" s="7">
        <f>IFERROR(__xludf.DUMMYFUNCTION("""COMPUTED_VALUE"""),3.515217761E9)</f>
        <v>3515217761</v>
      </c>
      <c r="J136" s="7" t="str">
        <f>IFERROR(__xludf.DUMMYFUNCTION("""COMPUTED_VALUE"""),"Recomendación")</f>
        <v>Recomendación</v>
      </c>
      <c r="K136" s="7" t="str">
        <f>IFERROR(__xludf.DUMMYFUNCTION("""COMPUTED_VALUE"""),"Obra social")</f>
        <v>Obra social</v>
      </c>
      <c r="L136" s="7" t="str">
        <f>IFERROR(__xludf.DUMMYFUNCTION("""COMPUTED_VALUE"""),"DASPU")</f>
        <v>DASPU</v>
      </c>
      <c r="M136" s="7"/>
      <c r="N136" s="7"/>
      <c r="O136" s="7"/>
      <c r="P136" s="7"/>
      <c r="Q136" s="7"/>
      <c r="R136" s="7"/>
      <c r="S136" s="7"/>
    </row>
    <row r="137">
      <c r="A137" s="7" t="str">
        <f t="shared" si="1"/>
        <v>CARRION, Miriam</v>
      </c>
      <c r="B137" s="7">
        <f>SUMIFS('bd caja'!$K$1:$K$1012,'bd caja'!$D$1:$D$1012,A137)</f>
        <v>0</v>
      </c>
      <c r="C137" s="19">
        <f>IFERROR(__xludf.DUMMYFUNCTION("""COMPUTED_VALUE"""),45044.47807842593)</f>
        <v>45044.47808</v>
      </c>
      <c r="D137" s="7" t="str">
        <f>IFERROR(__xludf.DUMMYFUNCTION("""COMPUTED_VALUE"""),"CARRION")</f>
        <v>CARRION</v>
      </c>
      <c r="E137" s="7" t="str">
        <f>IFERROR(__xludf.DUMMYFUNCTION("""COMPUTED_VALUE"""),"Miriam")</f>
        <v>Miriam</v>
      </c>
      <c r="F137" s="7" t="str">
        <f>IFERROR(__xludf.DUMMYFUNCTION("""COMPUTED_VALUE"""),"-")</f>
        <v>-</v>
      </c>
      <c r="G137" s="20">
        <f>IFERROR(__xludf.DUMMYFUNCTION("""COMPUTED_VALUE"""),19873.0)</f>
        <v>19873</v>
      </c>
      <c r="H137" s="7">
        <f>IFERROR(__xludf.DUMMYFUNCTION("""COMPUTED_VALUE"""),1.1054167E7)</f>
        <v>11054167</v>
      </c>
      <c r="I137" s="7">
        <f>IFERROR(__xludf.DUMMYFUNCTION("""COMPUTED_VALUE"""),3.513026863E9)</f>
        <v>3513026863</v>
      </c>
      <c r="J137" s="7" t="str">
        <f>IFERROR(__xludf.DUMMYFUNCTION("""COMPUTED_VALUE"""),"Recomendación")</f>
        <v>Recomendación</v>
      </c>
      <c r="K137" s="7" t="str">
        <f>IFERROR(__xludf.DUMMYFUNCTION("""COMPUTED_VALUE"""),"Particular")</f>
        <v>Particular</v>
      </c>
      <c r="L137" s="7"/>
      <c r="M137" s="7"/>
      <c r="N137" s="7"/>
      <c r="O137" s="7"/>
      <c r="P137" s="7"/>
      <c r="Q137" s="7"/>
      <c r="R137" s="7"/>
      <c r="S137" s="7"/>
    </row>
    <row r="138">
      <c r="A138" s="7" t="str">
        <f t="shared" si="1"/>
        <v>Velez, Soledad</v>
      </c>
      <c r="B138" s="7">
        <f>SUMIFS('bd caja'!$K$1:$K$1012,'bd caja'!$D$1:$D$1012,A138)</f>
        <v>0</v>
      </c>
      <c r="C138" s="19">
        <f>IFERROR(__xludf.DUMMYFUNCTION("""COMPUTED_VALUE"""),45044.77124778935)</f>
        <v>45044.77125</v>
      </c>
      <c r="D138" s="7" t="str">
        <f>IFERROR(__xludf.DUMMYFUNCTION("""COMPUTED_VALUE"""),"Velez")</f>
        <v>Velez</v>
      </c>
      <c r="E138" s="7" t="str">
        <f>IFERROR(__xludf.DUMMYFUNCTION("""COMPUTED_VALUE"""),"Soledad")</f>
        <v>Soledad</v>
      </c>
      <c r="F138" s="7" t="str">
        <f>IFERROR(__xludf.DUMMYFUNCTION("""COMPUTED_VALUE"""),"mariasoledad.velez@gmail.com")</f>
        <v>mariasoledad.velez@gmail.com</v>
      </c>
      <c r="G138" s="20">
        <f>IFERROR(__xludf.DUMMYFUNCTION("""COMPUTED_VALUE"""),28732.0)</f>
        <v>28732</v>
      </c>
      <c r="H138" s="7">
        <f>IFERROR(__xludf.DUMMYFUNCTION("""COMPUTED_VALUE"""),2.6815242E7)</f>
        <v>26815242</v>
      </c>
      <c r="I138" s="7">
        <f>IFERROR(__xludf.DUMMYFUNCTION("""COMPUTED_VALUE"""),3.513918579E9)</f>
        <v>3513918579</v>
      </c>
      <c r="J138" s="7" t="str">
        <f>IFERROR(__xludf.DUMMYFUNCTION("""COMPUTED_VALUE"""),"Recomendación")</f>
        <v>Recomendación</v>
      </c>
      <c r="K138" s="7" t="str">
        <f>IFERROR(__xludf.DUMMYFUNCTION("""COMPUTED_VALUE"""),"Obra social")</f>
        <v>Obra social</v>
      </c>
      <c r="L138" s="7" t="str">
        <f>IFERROR(__xludf.DUMMYFUNCTION("""COMPUTED_VALUE"""),"Medife")</f>
        <v>Medife</v>
      </c>
      <c r="M138" s="7"/>
      <c r="N138" s="7"/>
      <c r="O138" s="7"/>
      <c r="P138" s="7"/>
      <c r="Q138" s="7"/>
      <c r="R138" s="7"/>
      <c r="S138" s="7"/>
    </row>
    <row r="139">
      <c r="A139" s="7" t="str">
        <f t="shared" si="1"/>
        <v>RUIZ, Eduardo</v>
      </c>
      <c r="B139" s="7">
        <f>SUMIFS('bd caja'!$K$1:$K$1012,'bd caja'!$D$1:$D$1012,A139)</f>
        <v>0</v>
      </c>
      <c r="C139" s="19">
        <f>IFERROR(__xludf.DUMMYFUNCTION("""COMPUTED_VALUE"""),45044.80883699074)</f>
        <v>45044.80884</v>
      </c>
      <c r="D139" s="7" t="str">
        <f>IFERROR(__xludf.DUMMYFUNCTION("""COMPUTED_VALUE"""),"RUIZ")</f>
        <v>RUIZ</v>
      </c>
      <c r="E139" s="7" t="str">
        <f>IFERROR(__xludf.DUMMYFUNCTION("""COMPUTED_VALUE"""),"Eduardo")</f>
        <v>Eduardo</v>
      </c>
      <c r="F139" s="7"/>
      <c r="G139" s="20">
        <f>IFERROR(__xludf.DUMMYFUNCTION("""COMPUTED_VALUE"""),18748.0)</f>
        <v>18748</v>
      </c>
      <c r="H139" s="7">
        <f>IFERROR(__xludf.DUMMYFUNCTION("""COMPUTED_VALUE"""),8625059.0)</f>
        <v>8625059</v>
      </c>
      <c r="I139" s="7">
        <f>IFERROR(__xludf.DUMMYFUNCTION("""COMPUTED_VALUE"""),3.515462813E9)</f>
        <v>3515462813</v>
      </c>
      <c r="J139" s="7" t="str">
        <f>IFERROR(__xludf.DUMMYFUNCTION("""COMPUTED_VALUE"""),"Google")</f>
        <v>Google</v>
      </c>
      <c r="K139" s="7" t="str">
        <f>IFERROR(__xludf.DUMMYFUNCTION("""COMPUTED_VALUE"""),"Particular")</f>
        <v>Particular</v>
      </c>
      <c r="L139" s="7"/>
      <c r="M139" s="7"/>
      <c r="N139" s="7"/>
      <c r="O139" s="7"/>
      <c r="P139" s="7"/>
      <c r="Q139" s="7"/>
      <c r="R139" s="7"/>
      <c r="S139" s="7"/>
    </row>
    <row r="140">
      <c r="A140" s="7" t="str">
        <f t="shared" si="1"/>
        <v>Lascano, Daniel</v>
      </c>
      <c r="B140" s="7">
        <f>SUMIFS('bd caja'!$K$1:$K$1012,'bd caja'!$D$1:$D$1012,A140)</f>
        <v>0</v>
      </c>
      <c r="C140" s="19">
        <f>IFERROR(__xludf.DUMMYFUNCTION("""COMPUTED_VALUE"""),45048.63293386574)</f>
        <v>45048.63293</v>
      </c>
      <c r="D140" s="7" t="str">
        <f>IFERROR(__xludf.DUMMYFUNCTION("""COMPUTED_VALUE"""),"Lascano")</f>
        <v>Lascano</v>
      </c>
      <c r="E140" s="7" t="str">
        <f>IFERROR(__xludf.DUMMYFUNCTION("""COMPUTED_VALUE"""),"Daniel")</f>
        <v>Daniel</v>
      </c>
      <c r="F140" s="7" t="str">
        <f>IFERROR(__xludf.DUMMYFUNCTION("""COMPUTED_VALUE"""),"lascano.daniel@gmail.com")</f>
        <v>lascano.daniel@gmail.com</v>
      </c>
      <c r="G140" s="20">
        <f>IFERROR(__xludf.DUMMYFUNCTION("""COMPUTED_VALUE"""),25105.0)</f>
        <v>25105</v>
      </c>
      <c r="H140" s="7">
        <f>IFERROR(__xludf.DUMMYFUNCTION("""COMPUTED_VALUE"""),2.0531002E7)</f>
        <v>20531002</v>
      </c>
      <c r="I140" s="7">
        <f>IFERROR(__xludf.DUMMYFUNCTION("""COMPUTED_VALUE"""),3.512860038E9)</f>
        <v>3512860038</v>
      </c>
      <c r="J140" s="7" t="str">
        <f>IFERROR(__xludf.DUMMYFUNCTION("""COMPUTED_VALUE"""),"Google")</f>
        <v>Google</v>
      </c>
      <c r="K140" s="7" t="str">
        <f>IFERROR(__xludf.DUMMYFUNCTION("""COMPUTED_VALUE"""),"Obra social")</f>
        <v>Obra social</v>
      </c>
      <c r="L140" s="7" t="str">
        <f>IFERROR(__xludf.DUMMYFUNCTION("""COMPUTED_VALUE"""),"AVALIAN")</f>
        <v>AVALIAN</v>
      </c>
      <c r="M140" s="7"/>
      <c r="N140" s="7"/>
      <c r="O140" s="7"/>
      <c r="P140" s="7"/>
      <c r="Q140" s="7"/>
      <c r="R140" s="7"/>
      <c r="S140" s="7"/>
    </row>
    <row r="141">
      <c r="A141" s="7" t="str">
        <f t="shared" si="1"/>
        <v>Ramirez , Paula vanesa </v>
      </c>
      <c r="B141" s="7">
        <f>SUMIFS('bd caja'!$K$1:$K$1012,'bd caja'!$D$1:$D$1012,A141)</f>
        <v>0</v>
      </c>
      <c r="C141" s="19">
        <f>IFERROR(__xludf.DUMMYFUNCTION("""COMPUTED_VALUE"""),45048.768085104166)</f>
        <v>45048.76809</v>
      </c>
      <c r="D141" s="7" t="str">
        <f>IFERROR(__xludf.DUMMYFUNCTION("""COMPUTED_VALUE"""),"Ramirez ")</f>
        <v>Ramirez </v>
      </c>
      <c r="E141" s="7" t="str">
        <f>IFERROR(__xludf.DUMMYFUNCTION("""COMPUTED_VALUE"""),"Paula vanesa ")</f>
        <v>Paula vanesa </v>
      </c>
      <c r="F141" s="7" t="str">
        <f>IFERROR(__xludf.DUMMYFUNCTION("""COMPUTED_VALUE"""),"Pauu8439@gmail.com")</f>
        <v>Pauu8439@gmail.com</v>
      </c>
      <c r="G141" s="20">
        <f>IFERROR(__xludf.DUMMYFUNCTION("""COMPUTED_VALUE"""),30580.0)</f>
        <v>30580</v>
      </c>
      <c r="H141" s="7">
        <f>IFERROR(__xludf.DUMMYFUNCTION("""COMPUTED_VALUE"""),3.0472452E7)</f>
        <v>30472452</v>
      </c>
      <c r="I141" s="7">
        <f>IFERROR(__xludf.DUMMYFUNCTION("""COMPUTED_VALUE"""),3.513994011E9)</f>
        <v>3513994011</v>
      </c>
      <c r="J141" s="7" t="str">
        <f>IFERROR(__xludf.DUMMYFUNCTION("""COMPUTED_VALUE"""),"Instagram")</f>
        <v>Instagram</v>
      </c>
      <c r="K141" s="7" t="str">
        <f>IFERROR(__xludf.DUMMYFUNCTION("""COMPUTED_VALUE"""),"Particular")</f>
        <v>Particular</v>
      </c>
      <c r="L141" s="7"/>
      <c r="M141" s="7"/>
      <c r="N141" s="7"/>
      <c r="O141" s="7"/>
      <c r="P141" s="7"/>
      <c r="Q141" s="7"/>
      <c r="R141" s="7"/>
      <c r="S141" s="7"/>
    </row>
    <row r="142">
      <c r="A142" s="7" t="str">
        <f t="shared" si="1"/>
        <v>Llorens, Juan</v>
      </c>
      <c r="B142" s="7">
        <f>SUMIFS('bd caja'!$K$1:$K$1012,'bd caja'!$D$1:$D$1012,A142)</f>
        <v>0</v>
      </c>
      <c r="C142" s="19">
        <f>IFERROR(__xludf.DUMMYFUNCTION("""COMPUTED_VALUE"""),45048.81634452546)</f>
        <v>45048.81634</v>
      </c>
      <c r="D142" s="7" t="str">
        <f>IFERROR(__xludf.DUMMYFUNCTION("""COMPUTED_VALUE"""),"Llorens")</f>
        <v>Llorens</v>
      </c>
      <c r="E142" s="7" t="str">
        <f>IFERROR(__xludf.DUMMYFUNCTION("""COMPUTED_VALUE"""),"Juan")</f>
        <v>Juan</v>
      </c>
      <c r="F142" s="7" t="str">
        <f>IFERROR(__xludf.DUMMYFUNCTION("""COMPUTED_VALUE"""),"juansellorens@msn.com")</f>
        <v>juansellorens@msn.com</v>
      </c>
      <c r="G142" s="20">
        <f>IFERROR(__xludf.DUMMYFUNCTION("""COMPUTED_VALUE"""),28154.0)</f>
        <v>28154</v>
      </c>
      <c r="H142" s="7">
        <f>IFERROR(__xludf.DUMMYFUNCTION("""COMPUTED_VALUE"""),2.5247505E7)</f>
        <v>25247505</v>
      </c>
      <c r="I142" s="7">
        <f>IFERROR(__xludf.DUMMYFUNCTION("""COMPUTED_VALUE"""),3.516515677E9)</f>
        <v>3516515677</v>
      </c>
      <c r="J142" s="7" t="str">
        <f>IFERROR(__xludf.DUMMYFUNCTION("""COMPUTED_VALUE"""),"Voy al gym Manantial")</f>
        <v>Voy al gym Manantial</v>
      </c>
      <c r="K142" s="7" t="str">
        <f>IFERROR(__xludf.DUMMYFUNCTION("""COMPUTED_VALUE"""),"Obra social")</f>
        <v>Obra social</v>
      </c>
      <c r="L142" s="7" t="str">
        <f>IFERROR(__xludf.DUMMYFUNCTION("""COMPUTED_VALUE"""),"DASPU")</f>
        <v>DASPU</v>
      </c>
      <c r="M142" s="7"/>
      <c r="N142" s="7"/>
      <c r="O142" s="7"/>
      <c r="P142" s="7"/>
      <c r="Q142" s="7"/>
      <c r="R142" s="7"/>
      <c r="S142" s="7"/>
    </row>
    <row r="143">
      <c r="A143" s="7" t="str">
        <f t="shared" si="1"/>
        <v>Alaye, María Alejandra </v>
      </c>
      <c r="B143" s="7">
        <f>SUMIFS('bd caja'!$K$1:$K$1012,'bd caja'!$D$1:$D$1012,A143)</f>
        <v>0</v>
      </c>
      <c r="C143" s="19">
        <f>IFERROR(__xludf.DUMMYFUNCTION("""COMPUTED_VALUE"""),45048.87084246528)</f>
        <v>45048.87084</v>
      </c>
      <c r="D143" s="7" t="str">
        <f>IFERROR(__xludf.DUMMYFUNCTION("""COMPUTED_VALUE"""),"Alaye")</f>
        <v>Alaye</v>
      </c>
      <c r="E143" s="7" t="str">
        <f>IFERROR(__xludf.DUMMYFUNCTION("""COMPUTED_VALUE"""),"María Alejandra ")</f>
        <v>María Alejandra </v>
      </c>
      <c r="F143" s="7" t="str">
        <f>IFERROR(__xludf.DUMMYFUNCTION("""COMPUTED_VALUE"""),"alejandra.alaye@gmail.com")</f>
        <v>alejandra.alaye@gmail.com</v>
      </c>
      <c r="G143" s="20">
        <f>IFERROR(__xludf.DUMMYFUNCTION("""COMPUTED_VALUE"""),45103.0)</f>
        <v>45103</v>
      </c>
      <c r="H143" s="7">
        <f>IFERROR(__xludf.DUMMYFUNCTION("""COMPUTED_VALUE"""),1.3680768E7)</f>
        <v>13680768</v>
      </c>
      <c r="I143" s="7">
        <f>IFERROR(__xludf.DUMMYFUNCTION("""COMPUTED_VALUE"""),3.51617456E9)</f>
        <v>3516174560</v>
      </c>
      <c r="J143" s="7" t="str">
        <f>IFERROR(__xludf.DUMMYFUNCTION("""COMPUTED_VALUE"""),"Cartilla Obra Social")</f>
        <v>Cartilla Obra Social</v>
      </c>
      <c r="K143" s="7" t="str">
        <f>IFERROR(__xludf.DUMMYFUNCTION("""COMPUTED_VALUE"""),"Obra social")</f>
        <v>Obra social</v>
      </c>
      <c r="L143" s="7" t="str">
        <f>IFERROR(__xludf.DUMMYFUNCTION("""COMPUTED_VALUE"""),"SANCOR")</f>
        <v>SANCOR</v>
      </c>
      <c r="M143" s="7"/>
      <c r="N143" s="7"/>
      <c r="O143" s="7"/>
      <c r="P143" s="7"/>
      <c r="Q143" s="7"/>
      <c r="R143" s="7"/>
      <c r="S143" s="7"/>
    </row>
    <row r="144">
      <c r="A144" s="7" t="str">
        <f t="shared" si="1"/>
        <v>Costamagna, Franco</v>
      </c>
      <c r="B144" s="7">
        <f>SUMIFS('bd caja'!$K$1:$K$1012,'bd caja'!$D$1:$D$1012,A144)</f>
        <v>0</v>
      </c>
      <c r="C144" s="19">
        <f>IFERROR(__xludf.DUMMYFUNCTION("""COMPUTED_VALUE"""),45049.69734721065)</f>
        <v>45049.69735</v>
      </c>
      <c r="D144" s="7" t="str">
        <f>IFERROR(__xludf.DUMMYFUNCTION("""COMPUTED_VALUE"""),"Costamagna")</f>
        <v>Costamagna</v>
      </c>
      <c r="E144" s="7" t="str">
        <f>IFERROR(__xludf.DUMMYFUNCTION("""COMPUTED_VALUE"""),"Franco")</f>
        <v>Franco</v>
      </c>
      <c r="F144" s="7" t="str">
        <f>IFERROR(__xludf.DUMMYFUNCTION("""COMPUTED_VALUE"""),"francolcosta1@gmail.com")</f>
        <v>francolcosta1@gmail.com</v>
      </c>
      <c r="G144" s="20">
        <f>IFERROR(__xludf.DUMMYFUNCTION("""COMPUTED_VALUE"""),34401.0)</f>
        <v>34401</v>
      </c>
      <c r="H144" s="7">
        <f>IFERROR(__xludf.DUMMYFUNCTION("""COMPUTED_VALUE"""),3.8136223E7)</f>
        <v>38136223</v>
      </c>
      <c r="I144" s="7">
        <f>IFERROR(__xludf.DUMMYFUNCTION("""COMPUTED_VALUE"""),3.512127858E9)</f>
        <v>3512127858</v>
      </c>
      <c r="J144" s="7" t="str">
        <f>IFERROR(__xludf.DUMMYFUNCTION("""COMPUTED_VALUE"""),"Voy al gym Manantial")</f>
        <v>Voy al gym Manantial</v>
      </c>
      <c r="K144" s="7" t="str">
        <f>IFERROR(__xludf.DUMMYFUNCTION("""COMPUTED_VALUE"""),"Particular")</f>
        <v>Particular</v>
      </c>
      <c r="L144" s="7"/>
      <c r="M144" s="7"/>
      <c r="N144" s="7"/>
      <c r="O144" s="7"/>
      <c r="P144" s="7"/>
      <c r="Q144" s="7"/>
      <c r="R144" s="7"/>
      <c r="S144" s="7"/>
    </row>
    <row r="145">
      <c r="A145" s="7" t="str">
        <f t="shared" si="1"/>
        <v>Núñez , Viviana del Valle</v>
      </c>
      <c r="B145" s="7">
        <f>SUMIFS('bd caja'!$K$1:$K$1012,'bd caja'!$D$1:$D$1012,A145)</f>
        <v>0</v>
      </c>
      <c r="C145" s="19">
        <f>IFERROR(__xludf.DUMMYFUNCTION("""COMPUTED_VALUE"""),45049.70806740741)</f>
        <v>45049.70807</v>
      </c>
      <c r="D145" s="7" t="str">
        <f>IFERROR(__xludf.DUMMYFUNCTION("""COMPUTED_VALUE"""),"Núñez ")</f>
        <v>Núñez </v>
      </c>
      <c r="E145" s="7" t="str">
        <f>IFERROR(__xludf.DUMMYFUNCTION("""COMPUTED_VALUE"""),"Viviana del Valle")</f>
        <v>Viviana del Valle</v>
      </c>
      <c r="F145" s="7" t="str">
        <f>IFERROR(__xludf.DUMMYFUNCTION("""COMPUTED_VALUE"""),"videval10@gmail.com")</f>
        <v>videval10@gmail.com</v>
      </c>
      <c r="G145" s="20">
        <f>IFERROR(__xludf.DUMMYFUNCTION("""COMPUTED_VALUE"""),22887.0)</f>
        <v>22887</v>
      </c>
      <c r="H145" s="7">
        <f>IFERROR(__xludf.DUMMYFUNCTION("""COMPUTED_VALUE"""),1.6157552E7)</f>
        <v>16157552</v>
      </c>
      <c r="I145" s="7">
        <f>IFERROR(__xludf.DUMMYFUNCTION("""COMPUTED_VALUE"""),3.515644065E9)</f>
        <v>3515644065</v>
      </c>
      <c r="J145" s="7" t="str">
        <f>IFERROR(__xludf.DUMMYFUNCTION("""COMPUTED_VALUE"""),"Recomendación")</f>
        <v>Recomendación</v>
      </c>
      <c r="K145" s="7" t="str">
        <f>IFERROR(__xludf.DUMMYFUNCTION("""COMPUTED_VALUE"""),"Obra social")</f>
        <v>Obra social</v>
      </c>
      <c r="L145" s="7" t="str">
        <f>IFERROR(__xludf.DUMMYFUNCTION("""COMPUTED_VALUE"""),"APROSS")</f>
        <v>APROSS</v>
      </c>
      <c r="M145" s="7"/>
      <c r="N145" s="7"/>
      <c r="O145" s="7"/>
      <c r="P145" s="7"/>
      <c r="Q145" s="7"/>
      <c r="R145" s="7"/>
      <c r="S145" s="7"/>
    </row>
    <row r="146">
      <c r="A146" s="7" t="str">
        <f t="shared" si="1"/>
        <v>Balbin , Nicolas </v>
      </c>
      <c r="B146" s="7">
        <f>SUMIFS('bd caja'!$K$1:$K$1012,'bd caja'!$D$1:$D$1012,A146)</f>
        <v>0</v>
      </c>
      <c r="C146" s="19">
        <f>IFERROR(__xludf.DUMMYFUNCTION("""COMPUTED_VALUE"""),45050.56772409722)</f>
        <v>45050.56772</v>
      </c>
      <c r="D146" s="7" t="str">
        <f>IFERROR(__xludf.DUMMYFUNCTION("""COMPUTED_VALUE"""),"Balbin ")</f>
        <v>Balbin </v>
      </c>
      <c r="E146" s="7" t="str">
        <f>IFERROR(__xludf.DUMMYFUNCTION("""COMPUTED_VALUE"""),"Nicolas ")</f>
        <v>Nicolas </v>
      </c>
      <c r="F146" s="7" t="str">
        <f>IFERROR(__xludf.DUMMYFUNCTION("""COMPUTED_VALUE"""),"nicolasebalbin@gmail.com")</f>
        <v>nicolasebalbin@gmail.com</v>
      </c>
      <c r="G146" s="20">
        <f>IFERROR(__xludf.DUMMYFUNCTION("""COMPUTED_VALUE"""),34144.0)</f>
        <v>34144</v>
      </c>
      <c r="H146" s="7">
        <f>IFERROR(__xludf.DUMMYFUNCTION("""COMPUTED_VALUE"""),3.7359279E7)</f>
        <v>37359279</v>
      </c>
      <c r="I146" s="7">
        <f>IFERROR(__xludf.DUMMYFUNCTION("""COMPUTED_VALUE"""),3.517527822E9)</f>
        <v>3517527822</v>
      </c>
      <c r="J146" s="7" t="str">
        <f>IFERROR(__xludf.DUMMYFUNCTION("""COMPUTED_VALUE"""),"Google")</f>
        <v>Google</v>
      </c>
      <c r="K146" s="7" t="str">
        <f>IFERROR(__xludf.DUMMYFUNCTION("""COMPUTED_VALUE"""),"Obra social")</f>
        <v>Obra social</v>
      </c>
      <c r="L146" s="7" t="str">
        <f>IFERROR(__xludf.DUMMYFUNCTION("""COMPUTED_VALUE"""),"Federada salud ")</f>
        <v>Federada salud </v>
      </c>
      <c r="M146" s="7"/>
      <c r="N146" s="7"/>
      <c r="O146" s="7"/>
      <c r="P146" s="7"/>
      <c r="Q146" s="7"/>
      <c r="R146" s="7"/>
      <c r="S146" s="7"/>
    </row>
    <row r="147">
      <c r="A147" s="7" t="str">
        <f t="shared" si="1"/>
        <v>Messina, Ana</v>
      </c>
      <c r="B147" s="7">
        <f>SUMIFS('bd caja'!$K$1:$K$1012,'bd caja'!$D$1:$D$1012,A147)</f>
        <v>0</v>
      </c>
      <c r="C147" s="19">
        <f>IFERROR(__xludf.DUMMYFUNCTION("""COMPUTED_VALUE"""),45056.666540555554)</f>
        <v>45056.66654</v>
      </c>
      <c r="D147" s="7" t="str">
        <f>IFERROR(__xludf.DUMMYFUNCTION("""COMPUTED_VALUE"""),"Messina")</f>
        <v>Messina</v>
      </c>
      <c r="E147" s="7" t="str">
        <f>IFERROR(__xludf.DUMMYFUNCTION("""COMPUTED_VALUE"""),"Ana")</f>
        <v>Ana</v>
      </c>
      <c r="F147" s="7" t="str">
        <f>IFERROR(__xludf.DUMMYFUNCTION("""COMPUTED_VALUE"""),"Ana-messina@hotmail.com")</f>
        <v>Ana-messina@hotmail.com</v>
      </c>
      <c r="G147" s="20">
        <f>IFERROR(__xludf.DUMMYFUNCTION("""COMPUTED_VALUE"""),23687.0)</f>
        <v>23687</v>
      </c>
      <c r="H147" s="7">
        <f>IFERROR(__xludf.DUMMYFUNCTION("""COMPUTED_VALUE"""),1.709954E7)</f>
        <v>17099540</v>
      </c>
      <c r="I147" s="7">
        <f>IFERROR(__xludf.DUMMYFUNCTION("""COMPUTED_VALUE"""),3.515915922E9)</f>
        <v>3515915922</v>
      </c>
      <c r="J147" s="7" t="str">
        <f>IFERROR(__xludf.DUMMYFUNCTION("""COMPUTED_VALUE"""),"Google")</f>
        <v>Google</v>
      </c>
      <c r="K147" s="7" t="str">
        <f>IFERROR(__xludf.DUMMYFUNCTION("""COMPUTED_VALUE"""),"Obra social")</f>
        <v>Obra social</v>
      </c>
      <c r="L147" s="7" t="str">
        <f>IFERROR(__xludf.DUMMYFUNCTION("""COMPUTED_VALUE"""),"Bramed")</f>
        <v>Bramed</v>
      </c>
      <c r="M147" s="7"/>
      <c r="N147" s="7"/>
      <c r="O147" s="7"/>
      <c r="P147" s="7"/>
      <c r="Q147" s="7"/>
      <c r="R147" s="7"/>
      <c r="S147" s="7"/>
    </row>
    <row r="148">
      <c r="A148" s="7" t="str">
        <f t="shared" si="1"/>
        <v>Pedroni, Pablo</v>
      </c>
      <c r="B148" s="7">
        <f>SUMIFS('bd caja'!$K$1:$K$1012,'bd caja'!$D$1:$D$1012,A148)</f>
        <v>0</v>
      </c>
      <c r="C148" s="19">
        <f>IFERROR(__xludf.DUMMYFUNCTION("""COMPUTED_VALUE"""),45057.45225765047)</f>
        <v>45057.45226</v>
      </c>
      <c r="D148" s="7" t="str">
        <f>IFERROR(__xludf.DUMMYFUNCTION("""COMPUTED_VALUE"""),"Pedroni")</f>
        <v>Pedroni</v>
      </c>
      <c r="E148" s="7" t="str">
        <f>IFERROR(__xludf.DUMMYFUNCTION("""COMPUTED_VALUE"""),"Pablo")</f>
        <v>Pablo</v>
      </c>
      <c r="F148" s="7" t="str">
        <f>IFERROR(__xludf.DUMMYFUNCTION("""COMPUTED_VALUE"""),"ingpablopedroni@yahoo.com.ar")</f>
        <v>ingpablopedroni@yahoo.com.ar</v>
      </c>
      <c r="G148" s="20">
        <f>IFERROR(__xludf.DUMMYFUNCTION("""COMPUTED_VALUE"""),16472.0)</f>
        <v>16472</v>
      </c>
      <c r="H148" s="7">
        <f>IFERROR(__xludf.DUMMYFUNCTION("""COMPUTED_VALUE"""),7981772.0)</f>
        <v>7981772</v>
      </c>
      <c r="I148" s="7">
        <f>IFERROR(__xludf.DUMMYFUNCTION("""COMPUTED_VALUE"""),3.514597882E9)</f>
        <v>3514597882</v>
      </c>
      <c r="J148" s="7" t="str">
        <f>IFERROR(__xludf.DUMMYFUNCTION("""COMPUTED_VALUE"""),"Recomendacion ")</f>
        <v>Recomendacion </v>
      </c>
      <c r="K148" s="7" t="str">
        <f>IFERROR(__xludf.DUMMYFUNCTION("""COMPUTED_VALUE"""),"Obra social")</f>
        <v>Obra social</v>
      </c>
      <c r="L148" s="7" t="str">
        <f>IFERROR(__xludf.DUMMYFUNCTION("""COMPUTED_VALUE"""),"Dasuten")</f>
        <v>Dasuten</v>
      </c>
      <c r="M148" s="7"/>
      <c r="N148" s="7"/>
      <c r="O148" s="7"/>
      <c r="P148" s="7"/>
      <c r="Q148" s="7"/>
      <c r="R148" s="7"/>
      <c r="S148" s="7"/>
    </row>
    <row r="149">
      <c r="A149" s="7" t="str">
        <f t="shared" si="1"/>
        <v>Pereira, Americo</v>
      </c>
      <c r="B149" s="7">
        <f>SUMIFS('bd caja'!$K$1:$K$1012,'bd caja'!$D$1:$D$1012,A149)</f>
        <v>0</v>
      </c>
      <c r="C149" s="19">
        <f>IFERROR(__xludf.DUMMYFUNCTION("""COMPUTED_VALUE"""),45057.86763003472)</f>
        <v>45057.86763</v>
      </c>
      <c r="D149" s="7" t="str">
        <f>IFERROR(__xludf.DUMMYFUNCTION("""COMPUTED_VALUE"""),"Pereira")</f>
        <v>Pereira</v>
      </c>
      <c r="E149" s="7" t="str">
        <f>IFERROR(__xludf.DUMMYFUNCTION("""COMPUTED_VALUE"""),"Americo")</f>
        <v>Americo</v>
      </c>
      <c r="F149" s="7"/>
      <c r="G149" s="20">
        <f>IFERROR(__xludf.DUMMYFUNCTION("""COMPUTED_VALUE"""),27643.0)</f>
        <v>27643</v>
      </c>
      <c r="H149" s="7">
        <f>IFERROR(__xludf.DUMMYFUNCTION("""COMPUTED_VALUE"""),2.4884061E7)</f>
        <v>24884061</v>
      </c>
      <c r="I149" s="7">
        <f>IFERROR(__xludf.DUMMYFUNCTION("""COMPUTED_VALUE"""),3.515177527E9)</f>
        <v>3515177527</v>
      </c>
      <c r="J149" s="7" t="str">
        <f>IFERROR(__xludf.DUMMYFUNCTION("""COMPUTED_VALUE"""),"Recomendación")</f>
        <v>Recomendación</v>
      </c>
      <c r="K149" s="7" t="str">
        <f>IFERROR(__xludf.DUMMYFUNCTION("""COMPUTED_VALUE"""),"Obra social")</f>
        <v>Obra social</v>
      </c>
      <c r="L149" s="7" t="str">
        <f>IFERROR(__xludf.DUMMYFUNCTION("""COMPUTED_VALUE"""),"Integral")</f>
        <v>Integral</v>
      </c>
      <c r="M149" s="7"/>
      <c r="N149" s="7"/>
      <c r="O149" s="7"/>
      <c r="P149" s="7"/>
      <c r="Q149" s="7"/>
      <c r="R149" s="7"/>
      <c r="S149" s="7"/>
    </row>
    <row r="150">
      <c r="A150" s="7" t="str">
        <f t="shared" si="1"/>
        <v>CONTE, Andrea</v>
      </c>
      <c r="B150" s="7">
        <f>SUMIFS('bd caja'!$K$1:$K$1012,'bd caja'!$D$1:$D$1012,A150)</f>
        <v>0</v>
      </c>
      <c r="C150" s="19">
        <f>IFERROR(__xludf.DUMMYFUNCTION("""COMPUTED_VALUE"""),45058.52992828704)</f>
        <v>45058.52993</v>
      </c>
      <c r="D150" s="7" t="str">
        <f>IFERROR(__xludf.DUMMYFUNCTION("""COMPUTED_VALUE"""),"CONTE")</f>
        <v>CONTE</v>
      </c>
      <c r="E150" s="7" t="str">
        <f>IFERROR(__xludf.DUMMYFUNCTION("""COMPUTED_VALUE"""),"Andrea")</f>
        <v>Andrea</v>
      </c>
      <c r="F150" s="7" t="str">
        <f>IFERROR(__xludf.DUMMYFUNCTION("""COMPUTED_VALUE"""),"fabianmolinajr@hotmail.com")</f>
        <v>fabianmolinajr@hotmail.com</v>
      </c>
      <c r="G150" s="20">
        <f>IFERROR(__xludf.DUMMYFUNCTION("""COMPUTED_VALUE"""),25397.0)</f>
        <v>25397</v>
      </c>
      <c r="H150" s="7">
        <f>IFERROR(__xludf.DUMMYFUNCTION("""COMPUTED_VALUE"""),2.0785005E7)</f>
        <v>20785005</v>
      </c>
      <c r="I150" s="7">
        <f>IFERROR(__xludf.DUMMYFUNCTION("""COMPUTED_VALUE"""),3.515902432E9)</f>
        <v>3515902432</v>
      </c>
      <c r="J150" s="7" t="str">
        <f>IFERROR(__xludf.DUMMYFUNCTION("""COMPUTED_VALUE"""),"Recomendacion")</f>
        <v>Recomendacion</v>
      </c>
      <c r="K150" s="7" t="str">
        <f>IFERROR(__xludf.DUMMYFUNCTION("""COMPUTED_VALUE"""),"Obra social")</f>
        <v>Obra social</v>
      </c>
      <c r="L150" s="7" t="str">
        <f>IFERROR(__xludf.DUMMYFUNCTION("""COMPUTED_VALUE"""),"APROSS")</f>
        <v>APROSS</v>
      </c>
      <c r="M150" s="7"/>
      <c r="N150" s="7"/>
      <c r="O150" s="7"/>
      <c r="P150" s="7"/>
      <c r="Q150" s="7"/>
      <c r="R150" s="7"/>
      <c r="S150" s="7"/>
    </row>
    <row r="151">
      <c r="A151" s="7" t="str">
        <f t="shared" si="1"/>
        <v>Silva, Grisel </v>
      </c>
      <c r="B151" s="7">
        <f>SUMIFS('bd caja'!$K$1:$K$1012,'bd caja'!$D$1:$D$1012,A151)</f>
        <v>0</v>
      </c>
      <c r="C151" s="19">
        <f>IFERROR(__xludf.DUMMYFUNCTION("""COMPUTED_VALUE"""),45061.45098267361)</f>
        <v>45061.45098</v>
      </c>
      <c r="D151" s="7" t="str">
        <f>IFERROR(__xludf.DUMMYFUNCTION("""COMPUTED_VALUE"""),"Silva")</f>
        <v>Silva</v>
      </c>
      <c r="E151" s="7" t="str">
        <f>IFERROR(__xludf.DUMMYFUNCTION("""COMPUTED_VALUE"""),"Grisel ")</f>
        <v>Grisel </v>
      </c>
      <c r="F151" s="7" t="str">
        <f>IFERROR(__xludf.DUMMYFUNCTION("""COMPUTED_VALUE"""),"gdani1981@gmail.com ")</f>
        <v>gdani1981@gmail.com </v>
      </c>
      <c r="G151" s="20">
        <f>IFERROR(__xludf.DUMMYFUNCTION("""COMPUTED_VALUE"""),21656.0)</f>
        <v>21656</v>
      </c>
      <c r="H151" s="7">
        <f>IFERROR(__xludf.DUMMYFUNCTION("""COMPUTED_VALUE"""),9.2419231E7)</f>
        <v>92419231</v>
      </c>
      <c r="I151" s="7">
        <f>IFERROR(__xludf.DUMMYFUNCTION("""COMPUTED_VALUE"""),3.51303133E9)</f>
        <v>3513031330</v>
      </c>
      <c r="J151" s="7" t="str">
        <f>IFERROR(__xludf.DUMMYFUNCTION("""COMPUTED_VALUE"""),"Recomendación")</f>
        <v>Recomendación</v>
      </c>
      <c r="K151" s="7" t="str">
        <f>IFERROR(__xludf.DUMMYFUNCTION("""COMPUTED_VALUE"""),"Obra social")</f>
        <v>Obra social</v>
      </c>
      <c r="L151" s="7" t="str">
        <f>IFERROR(__xludf.DUMMYFUNCTION("""COMPUTED_VALUE"""),"APROSS")</f>
        <v>APROSS</v>
      </c>
      <c r="M151" s="7"/>
      <c r="N151" s="7"/>
      <c r="O151" s="7"/>
      <c r="P151" s="7"/>
      <c r="Q151" s="7"/>
      <c r="R151" s="7"/>
      <c r="S151" s="7"/>
    </row>
    <row r="152">
      <c r="A152" s="7" t="str">
        <f t="shared" si="1"/>
        <v>SERAFINI , Jorgelina </v>
      </c>
      <c r="B152" s="7">
        <f>SUMIFS('bd caja'!$K$1:$K$1012,'bd caja'!$D$1:$D$1012,A152)</f>
        <v>0</v>
      </c>
      <c r="C152" s="19">
        <f>IFERROR(__xludf.DUMMYFUNCTION("""COMPUTED_VALUE"""),45062.53033746528)</f>
        <v>45062.53034</v>
      </c>
      <c r="D152" s="7" t="str">
        <f>IFERROR(__xludf.DUMMYFUNCTION("""COMPUTED_VALUE"""),"SERAFINI ")</f>
        <v>SERAFINI </v>
      </c>
      <c r="E152" s="7" t="str">
        <f>IFERROR(__xludf.DUMMYFUNCTION("""COMPUTED_VALUE"""),"Jorgelina ")</f>
        <v>Jorgelina </v>
      </c>
      <c r="F152" s="7" t="str">
        <f>IFERROR(__xludf.DUMMYFUNCTION("""COMPUTED_VALUE"""),"jor.serafini@gmail.com")</f>
        <v>jor.serafini@gmail.com</v>
      </c>
      <c r="G152" s="20">
        <f>IFERROR(__xludf.DUMMYFUNCTION("""COMPUTED_VALUE"""),29090.0)</f>
        <v>29090</v>
      </c>
      <c r="H152" s="7">
        <f>IFERROR(__xludf.DUMMYFUNCTION("""COMPUTED_VALUE"""),2.7357952E7)</f>
        <v>27357952</v>
      </c>
      <c r="I152" s="7">
        <f>IFERROR(__xludf.DUMMYFUNCTION("""COMPUTED_VALUE"""),3.513843569E9)</f>
        <v>3513843569</v>
      </c>
      <c r="J152" s="7" t="str">
        <f>IFERROR(__xludf.DUMMYFUNCTION("""COMPUTED_VALUE"""),"Google")</f>
        <v>Google</v>
      </c>
      <c r="K152" s="7" t="str">
        <f>IFERROR(__xludf.DUMMYFUNCTION("""COMPUTED_VALUE"""),"Obra social")</f>
        <v>Obra social</v>
      </c>
      <c r="L152" s="7" t="str">
        <f>IFERROR(__xludf.DUMMYFUNCTION("""COMPUTED_VALUE"""),"APROSS")</f>
        <v>APROSS</v>
      </c>
      <c r="M152" s="7"/>
      <c r="N152" s="7"/>
      <c r="O152" s="7"/>
      <c r="P152" s="7"/>
      <c r="Q152" s="7"/>
      <c r="R152" s="7"/>
      <c r="S152" s="7"/>
    </row>
    <row r="153">
      <c r="A153" s="7" t="str">
        <f t="shared" si="1"/>
        <v>Seveso, Federico</v>
      </c>
      <c r="B153" s="7">
        <f>SUMIFS('bd caja'!$K$1:$K$1012,'bd caja'!$D$1:$D$1012,A153)</f>
        <v>0</v>
      </c>
      <c r="C153" s="19">
        <f>IFERROR(__xludf.DUMMYFUNCTION("""COMPUTED_VALUE"""),45064.69337765046)</f>
        <v>45064.69338</v>
      </c>
      <c r="D153" s="7" t="str">
        <f>IFERROR(__xludf.DUMMYFUNCTION("""COMPUTED_VALUE"""),"Seveso")</f>
        <v>Seveso</v>
      </c>
      <c r="E153" s="7" t="str">
        <f>IFERROR(__xludf.DUMMYFUNCTION("""COMPUTED_VALUE"""),"Federico")</f>
        <v>Federico</v>
      </c>
      <c r="F153" s="7" t="str">
        <f>IFERROR(__xludf.DUMMYFUNCTION("""COMPUTED_VALUE"""),"fseveso@gmail.com")</f>
        <v>fseveso@gmail.com</v>
      </c>
      <c r="G153" s="20">
        <f>IFERROR(__xludf.DUMMYFUNCTION("""COMPUTED_VALUE"""),32000.0)</f>
        <v>32000</v>
      </c>
      <c r="H153" s="7">
        <f>IFERROR(__xludf.DUMMYFUNCTION("""COMPUTED_VALUE"""),3.3162363E7)</f>
        <v>33162363</v>
      </c>
      <c r="I153" s="7">
        <f>IFERROR(__xludf.DUMMYFUNCTION("""COMPUTED_VALUE"""),3.516241259E9)</f>
        <v>3516241259</v>
      </c>
      <c r="J153" s="7" t="str">
        <f>IFERROR(__xludf.DUMMYFUNCTION("""COMPUTED_VALUE"""),"Google")</f>
        <v>Google</v>
      </c>
      <c r="K153" s="7" t="str">
        <f>IFERROR(__xludf.DUMMYFUNCTION("""COMPUTED_VALUE"""),"Obra social")</f>
        <v>Obra social</v>
      </c>
      <c r="L153" s="7" t="str">
        <f>IFERROR(__xludf.DUMMYFUNCTION("""COMPUTED_VALUE"""),"APROSS")</f>
        <v>APROSS</v>
      </c>
      <c r="M153" s="7"/>
      <c r="N153" s="7"/>
      <c r="O153" s="7"/>
      <c r="P153" s="7"/>
      <c r="Q153" s="7"/>
      <c r="R153" s="7"/>
      <c r="S153" s="7"/>
    </row>
    <row r="154">
      <c r="A154" s="7" t="str">
        <f t="shared" si="1"/>
        <v>COUFIS, ELENA</v>
      </c>
      <c r="B154" s="7">
        <f>SUMIFS('bd caja'!$K$1:$K$1012,'bd caja'!$D$1:$D$1012,A154)</f>
        <v>0</v>
      </c>
      <c r="C154" s="19">
        <f>IFERROR(__xludf.DUMMYFUNCTION("""COMPUTED_VALUE"""),45065.8120453125)</f>
        <v>45065.81205</v>
      </c>
      <c r="D154" s="7" t="str">
        <f>IFERROR(__xludf.DUMMYFUNCTION("""COMPUTED_VALUE"""),"COUFIS")</f>
        <v>COUFIS</v>
      </c>
      <c r="E154" s="7" t="str">
        <f>IFERROR(__xludf.DUMMYFUNCTION("""COMPUTED_VALUE"""),"ELENA")</f>
        <v>ELENA</v>
      </c>
      <c r="F154" s="7" t="str">
        <f>IFERROR(__xludf.DUMMYFUNCTION("""COMPUTED_VALUE"""),"MIKONOS_CBA@HOTMAIL.COM")</f>
        <v>MIKONOS_CBA@HOTMAIL.COM</v>
      </c>
      <c r="G154" s="20">
        <f>IFERROR(__xludf.DUMMYFUNCTION("""COMPUTED_VALUE"""),45048.0)</f>
        <v>45048</v>
      </c>
      <c r="H154" s="7">
        <f>IFERROR(__xludf.DUMMYFUNCTION("""COMPUTED_VALUE"""),2.0871395E7)</f>
        <v>20871395</v>
      </c>
      <c r="I154" s="7">
        <f>IFERROR(__xludf.DUMMYFUNCTION("""COMPUTED_VALUE"""),3.517639805E9)</f>
        <v>3517639805</v>
      </c>
      <c r="J154" s="7" t="str">
        <f>IFERROR(__xludf.DUMMYFUNCTION("""COMPUTED_VALUE"""),"Recomendación")</f>
        <v>Recomendación</v>
      </c>
      <c r="K154" s="7" t="str">
        <f>IFERROR(__xludf.DUMMYFUNCTION("""COMPUTED_VALUE"""),"Particular")</f>
        <v>Particular</v>
      </c>
      <c r="L154" s="7"/>
      <c r="M154" s="7"/>
      <c r="N154" s="7"/>
      <c r="O154" s="7"/>
      <c r="P154" s="7"/>
      <c r="Q154" s="7"/>
      <c r="R154" s="7"/>
      <c r="S154" s="7"/>
    </row>
    <row r="155">
      <c r="A155" s="7" t="str">
        <f t="shared" si="1"/>
        <v>Loyola, Antonio </v>
      </c>
      <c r="B155" s="7">
        <f>SUMIFS('bd caja'!$K$1:$K$1012,'bd caja'!$D$1:$D$1012,A155)</f>
        <v>0</v>
      </c>
      <c r="C155" s="19">
        <f>IFERROR(__xludf.DUMMYFUNCTION("""COMPUTED_VALUE"""),45068.80764827546)</f>
        <v>45068.80765</v>
      </c>
      <c r="D155" s="7" t="str">
        <f>IFERROR(__xludf.DUMMYFUNCTION("""COMPUTED_VALUE"""),"Loyola")</f>
        <v>Loyola</v>
      </c>
      <c r="E155" s="7" t="str">
        <f>IFERROR(__xludf.DUMMYFUNCTION("""COMPUTED_VALUE"""),"Antonio ")</f>
        <v>Antonio </v>
      </c>
      <c r="F155" s="7" t="str">
        <f>IFERROR(__xludf.DUMMYFUNCTION("""COMPUTED_VALUE"""),"carmenolariaga1@gmail.com")</f>
        <v>carmenolariaga1@gmail.com</v>
      </c>
      <c r="G155" s="20">
        <f>IFERROR(__xludf.DUMMYFUNCTION("""COMPUTED_VALUE"""),23031.0)</f>
        <v>23031</v>
      </c>
      <c r="H155" s="7">
        <f>IFERROR(__xludf.DUMMYFUNCTION("""COMPUTED_VALUE"""),1.6507379E7)</f>
        <v>16507379</v>
      </c>
      <c r="I155" s="7">
        <f>IFERROR(__xludf.DUMMYFUNCTION("""COMPUTED_VALUE"""),3.512634458E9)</f>
        <v>3512634458</v>
      </c>
      <c r="J155" s="7" t="str">
        <f>IFERROR(__xludf.DUMMYFUNCTION("""COMPUTED_VALUE"""),"Recomendación")</f>
        <v>Recomendación</v>
      </c>
      <c r="K155" s="7" t="str">
        <f>IFERROR(__xludf.DUMMYFUNCTION("""COMPUTED_VALUE"""),"Obra social")</f>
        <v>Obra social</v>
      </c>
      <c r="L155" s="7" t="str">
        <f>IFERROR(__xludf.DUMMYFUNCTION("""COMPUTED_VALUE"""),"APROSS")</f>
        <v>APROSS</v>
      </c>
      <c r="M155" s="7"/>
      <c r="N155" s="7"/>
      <c r="O155" s="7"/>
      <c r="P155" s="7"/>
      <c r="Q155" s="7"/>
      <c r="R155" s="7"/>
      <c r="S155" s="7"/>
    </row>
    <row r="156">
      <c r="A156" s="7" t="str">
        <f t="shared" si="1"/>
        <v>FARIAS, Mercedes Cristina</v>
      </c>
      <c r="B156" s="7">
        <f>SUMIFS('bd caja'!$K$1:$K$1012,'bd caja'!$D$1:$D$1012,A156)</f>
        <v>0</v>
      </c>
      <c r="C156" s="19">
        <f>IFERROR(__xludf.DUMMYFUNCTION("""COMPUTED_VALUE"""),45069.46701393518)</f>
        <v>45069.46701</v>
      </c>
      <c r="D156" s="7" t="str">
        <f>IFERROR(__xludf.DUMMYFUNCTION("""COMPUTED_VALUE"""),"FARIAS")</f>
        <v>FARIAS</v>
      </c>
      <c r="E156" s="7" t="str">
        <f>IFERROR(__xludf.DUMMYFUNCTION("""COMPUTED_VALUE"""),"Mercedes Cristina")</f>
        <v>Mercedes Cristina</v>
      </c>
      <c r="F156" s="7"/>
      <c r="G156" s="20">
        <f>IFERROR(__xludf.DUMMYFUNCTION("""COMPUTED_VALUE"""),20826.0)</f>
        <v>20826</v>
      </c>
      <c r="H156" s="7">
        <f>IFERROR(__xludf.DUMMYFUNCTION("""COMPUTED_VALUE"""),1.2763616E7)</f>
        <v>12763616</v>
      </c>
      <c r="I156" s="7">
        <f>IFERROR(__xludf.DUMMYFUNCTION("""COMPUTED_VALUE"""),3.512606736E9)</f>
        <v>3512606736</v>
      </c>
      <c r="J156" s="7" t="str">
        <f>IFERROR(__xludf.DUMMYFUNCTION("""COMPUTED_VALUE"""),"Google")</f>
        <v>Google</v>
      </c>
      <c r="K156" s="7" t="str">
        <f>IFERROR(__xludf.DUMMYFUNCTION("""COMPUTED_VALUE"""),"Particular")</f>
        <v>Particular</v>
      </c>
      <c r="L156" s="7"/>
      <c r="M156" s="7"/>
      <c r="N156" s="7"/>
      <c r="O156" s="7"/>
      <c r="P156" s="7"/>
      <c r="Q156" s="7"/>
      <c r="R156" s="7"/>
      <c r="S156" s="7"/>
    </row>
    <row r="157">
      <c r="A157" s="7" t="str">
        <f t="shared" si="1"/>
        <v>Torres, Cecilia</v>
      </c>
      <c r="B157" s="7">
        <f>SUMIFS('bd caja'!$K$1:$K$1012,'bd caja'!$D$1:$D$1012,A157)</f>
        <v>0</v>
      </c>
      <c r="C157" s="19">
        <f>IFERROR(__xludf.DUMMYFUNCTION("""COMPUTED_VALUE"""),45069.47080513889)</f>
        <v>45069.47081</v>
      </c>
      <c r="D157" s="7" t="str">
        <f>IFERROR(__xludf.DUMMYFUNCTION("""COMPUTED_VALUE"""),"Torres")</f>
        <v>Torres</v>
      </c>
      <c r="E157" s="7" t="str">
        <f>IFERROR(__xludf.DUMMYFUNCTION("""COMPUTED_VALUE"""),"Cecilia")</f>
        <v>Cecilia</v>
      </c>
      <c r="F157" s="7" t="str">
        <f>IFERROR(__xludf.DUMMYFUNCTION("""COMPUTED_VALUE"""),"Ceciliatbazzini@gmail.com")</f>
        <v>Ceciliatbazzini@gmail.com</v>
      </c>
      <c r="G157" s="20">
        <f>IFERROR(__xludf.DUMMYFUNCTION("""COMPUTED_VALUE"""),20619.0)</f>
        <v>20619</v>
      </c>
      <c r="H157" s="7">
        <f>IFERROR(__xludf.DUMMYFUNCTION("""COMPUTED_VALUE"""),1.2995415E7)</f>
        <v>12995415</v>
      </c>
      <c r="I157" s="7">
        <f>IFERROR(__xludf.DUMMYFUNCTION("""COMPUTED_VALUE"""),3.511528811E9)</f>
        <v>3511528811</v>
      </c>
      <c r="J157" s="7" t="str">
        <f>IFERROR(__xludf.DUMMYFUNCTION("""COMPUTED_VALUE"""),"Recomendación")</f>
        <v>Recomendación</v>
      </c>
      <c r="K157" s="7" t="str">
        <f>IFERROR(__xludf.DUMMYFUNCTION("""COMPUTED_VALUE"""),"Particular")</f>
        <v>Particular</v>
      </c>
      <c r="L157" s="7"/>
      <c r="M157" s="7"/>
      <c r="N157" s="7"/>
      <c r="O157" s="7"/>
      <c r="P157" s="7"/>
      <c r="Q157" s="7"/>
      <c r="R157" s="7"/>
      <c r="S157" s="7"/>
    </row>
    <row r="158">
      <c r="A158" s="7" t="str">
        <f t="shared" si="1"/>
        <v>Garlati, Alexia</v>
      </c>
      <c r="B158" s="7">
        <f>SUMIFS('bd caja'!$K$1:$K$1012,'bd caja'!$D$1:$D$1012,A158)</f>
        <v>0</v>
      </c>
      <c r="C158" s="19">
        <f>IFERROR(__xludf.DUMMYFUNCTION("""COMPUTED_VALUE"""),45069.660359664354)</f>
        <v>45069.66036</v>
      </c>
      <c r="D158" s="7" t="str">
        <f>IFERROR(__xludf.DUMMYFUNCTION("""COMPUTED_VALUE"""),"Garlati")</f>
        <v>Garlati</v>
      </c>
      <c r="E158" s="7" t="str">
        <f>IFERROR(__xludf.DUMMYFUNCTION("""COMPUTED_VALUE"""),"Alexia")</f>
        <v>Alexia</v>
      </c>
      <c r="F158" s="7" t="str">
        <f>IFERROR(__xludf.DUMMYFUNCTION("""COMPUTED_VALUE"""),"ale_garlati8@hotmail.com")</f>
        <v>ale_garlati8@hotmail.com</v>
      </c>
      <c r="G158" s="20">
        <f>IFERROR(__xludf.DUMMYFUNCTION("""COMPUTED_VALUE"""),33792.0)</f>
        <v>33792</v>
      </c>
      <c r="H158" s="7">
        <f>IFERROR(__xludf.DUMMYFUNCTION("""COMPUTED_VALUE"""),3.6357904E7)</f>
        <v>36357904</v>
      </c>
      <c r="I158" s="7">
        <f>IFERROR(__xludf.DUMMYFUNCTION("""COMPUTED_VALUE"""),3.517632469E9)</f>
        <v>3517632469</v>
      </c>
      <c r="J158" s="7" t="str">
        <f>IFERROR(__xludf.DUMMYFUNCTION("""COMPUTED_VALUE"""),"Google")</f>
        <v>Google</v>
      </c>
      <c r="K158" s="7" t="str">
        <f>IFERROR(__xludf.DUMMYFUNCTION("""COMPUTED_VALUE"""),"Obra social")</f>
        <v>Obra social</v>
      </c>
      <c r="L158" s="7" t="str">
        <f>IFERROR(__xludf.DUMMYFUNCTION("""COMPUTED_VALUE"""),"DASPU")</f>
        <v>DASPU</v>
      </c>
      <c r="M158" s="7"/>
      <c r="N158" s="7"/>
      <c r="O158" s="7"/>
      <c r="P158" s="7"/>
      <c r="Q158" s="7"/>
      <c r="R158" s="7"/>
      <c r="S158" s="7"/>
    </row>
    <row r="159">
      <c r="A159" s="7" t="str">
        <f t="shared" si="1"/>
        <v>Casartelli, Graciela</v>
      </c>
      <c r="B159" s="7">
        <f>SUMIFS('bd caja'!$K$1:$K$1012,'bd caja'!$D$1:$D$1012,A159)</f>
        <v>0</v>
      </c>
      <c r="C159" s="19">
        <f>IFERROR(__xludf.DUMMYFUNCTION("""COMPUTED_VALUE"""),45069.75105946759)</f>
        <v>45069.75106</v>
      </c>
      <c r="D159" s="7" t="str">
        <f>IFERROR(__xludf.DUMMYFUNCTION("""COMPUTED_VALUE"""),"Casartelli")</f>
        <v>Casartelli</v>
      </c>
      <c r="E159" s="7" t="str">
        <f>IFERROR(__xludf.DUMMYFUNCTION("""COMPUTED_VALUE"""),"Graciela")</f>
        <v>Graciela</v>
      </c>
      <c r="F159" s="7" t="str">
        <f>IFERROR(__xludf.DUMMYFUNCTION("""COMPUTED_VALUE"""),"-")</f>
        <v>-</v>
      </c>
      <c r="G159" s="20">
        <f>IFERROR(__xludf.DUMMYFUNCTION("""COMPUTED_VALUE"""),17139.0)</f>
        <v>17139</v>
      </c>
      <c r="H159" s="7">
        <f>IFERROR(__xludf.DUMMYFUNCTION("""COMPUTED_VALUE"""),5489581.0)</f>
        <v>5489581</v>
      </c>
      <c r="I159" s="7">
        <f>IFERROR(__xludf.DUMMYFUNCTION("""COMPUTED_VALUE"""),3.512116536E9)</f>
        <v>3512116536</v>
      </c>
      <c r="J159" s="7" t="str">
        <f>IFERROR(__xludf.DUMMYFUNCTION("""COMPUTED_VALUE"""),"Google")</f>
        <v>Google</v>
      </c>
      <c r="K159" s="7" t="str">
        <f>IFERROR(__xludf.DUMMYFUNCTION("""COMPUTED_VALUE"""),"Obra social")</f>
        <v>Obra social</v>
      </c>
      <c r="L159" s="7" t="str">
        <f>IFERROR(__xludf.DUMMYFUNCTION("""COMPUTED_VALUE"""),"APROSS")</f>
        <v>APROSS</v>
      </c>
      <c r="M159" s="7"/>
      <c r="N159" s="7"/>
      <c r="O159" s="7"/>
      <c r="P159" s="7"/>
      <c r="Q159" s="7"/>
      <c r="R159" s="7"/>
      <c r="S159" s="7"/>
    </row>
    <row r="160">
      <c r="A160" s="7" t="str">
        <f t="shared" si="1"/>
        <v>Tejeda, Silvana</v>
      </c>
      <c r="B160" s="7">
        <f>SUMIFS('bd caja'!$K$1:$K$1012,'bd caja'!$D$1:$D$1012,A160)</f>
        <v>0</v>
      </c>
      <c r="C160" s="19">
        <f>IFERROR(__xludf.DUMMYFUNCTION("""COMPUTED_VALUE"""),45069.80449634259)</f>
        <v>45069.8045</v>
      </c>
      <c r="D160" s="7" t="str">
        <f>IFERROR(__xludf.DUMMYFUNCTION("""COMPUTED_VALUE"""),"Tejeda")</f>
        <v>Tejeda</v>
      </c>
      <c r="E160" s="7" t="str">
        <f>IFERROR(__xludf.DUMMYFUNCTION("""COMPUTED_VALUE"""),"Silvana")</f>
        <v>Silvana</v>
      </c>
      <c r="F160" s="7" t="str">
        <f>IFERROR(__xludf.DUMMYFUNCTION("""COMPUTED_VALUE"""),"Sikitejeda@gmail.com")</f>
        <v>Sikitejeda@gmail.com</v>
      </c>
      <c r="G160" s="20">
        <f>IFERROR(__xludf.DUMMYFUNCTION("""COMPUTED_VALUE"""),28133.0)</f>
        <v>28133</v>
      </c>
      <c r="H160" s="7">
        <f>IFERROR(__xludf.DUMMYFUNCTION("""COMPUTED_VALUE"""),2.5570768E7)</f>
        <v>25570768</v>
      </c>
      <c r="I160" s="7">
        <f>IFERROR(__xludf.DUMMYFUNCTION("""COMPUTED_VALUE"""),3.515125167E9)</f>
        <v>3515125167</v>
      </c>
      <c r="J160" s="7" t="str">
        <f>IFERROR(__xludf.DUMMYFUNCTION("""COMPUTED_VALUE"""),"Cartilla Obra Social")</f>
        <v>Cartilla Obra Social</v>
      </c>
      <c r="K160" s="7" t="str">
        <f>IFERROR(__xludf.DUMMYFUNCTION("""COMPUTED_VALUE"""),"Obra social")</f>
        <v>Obra social</v>
      </c>
      <c r="L160" s="7" t="str">
        <f>IFERROR(__xludf.DUMMYFUNCTION("""COMPUTED_VALUE"""),"PREVENCIÓN")</f>
        <v>PREVENCIÓN</v>
      </c>
      <c r="M160" s="7"/>
      <c r="N160" s="7"/>
      <c r="O160" s="7"/>
      <c r="P160" s="7"/>
      <c r="Q160" s="7"/>
      <c r="R160" s="7"/>
      <c r="S160" s="7"/>
    </row>
    <row r="161">
      <c r="A161" s="7" t="str">
        <f t="shared" si="1"/>
        <v>Najle, Pedro</v>
      </c>
      <c r="B161" s="7">
        <f>SUMIFS('bd caja'!$K$1:$K$1012,'bd caja'!$D$1:$D$1012,A161)</f>
        <v>0</v>
      </c>
      <c r="C161" s="19">
        <f>IFERROR(__xludf.DUMMYFUNCTION("""COMPUTED_VALUE"""),45071.79775211806)</f>
        <v>45071.79775</v>
      </c>
      <c r="D161" s="7" t="str">
        <f>IFERROR(__xludf.DUMMYFUNCTION("""COMPUTED_VALUE"""),"Najle")</f>
        <v>Najle</v>
      </c>
      <c r="E161" s="7" t="str">
        <f>IFERROR(__xludf.DUMMYFUNCTION("""COMPUTED_VALUE"""),"Pedro")</f>
        <v>Pedro</v>
      </c>
      <c r="F161" s="7" t="str">
        <f>IFERROR(__xludf.DUMMYFUNCTION("""COMPUTED_VALUE"""),"pedronajle2003@gmail.com")</f>
        <v>pedronajle2003@gmail.com</v>
      </c>
      <c r="G161" s="20">
        <f>IFERROR(__xludf.DUMMYFUNCTION("""COMPUTED_VALUE"""),37904.0)</f>
        <v>37904</v>
      </c>
      <c r="H161" s="7">
        <f>IFERROR(__xludf.DUMMYFUNCTION("""COMPUTED_VALUE"""),4.5234593E7)</f>
        <v>45234593</v>
      </c>
      <c r="I161" s="7">
        <f>IFERROR(__xludf.DUMMYFUNCTION("""COMPUTED_VALUE"""),3.512396381E9)</f>
        <v>3512396381</v>
      </c>
      <c r="J161" s="7" t="str">
        <f>IFERROR(__xludf.DUMMYFUNCTION("""COMPUTED_VALUE"""),"Recomendación")</f>
        <v>Recomendación</v>
      </c>
      <c r="K161" s="7" t="str">
        <f>IFERROR(__xludf.DUMMYFUNCTION("""COMPUTED_VALUE"""),"Particular")</f>
        <v>Particular</v>
      </c>
      <c r="L161" s="7"/>
      <c r="M161" s="7"/>
      <c r="N161" s="7"/>
      <c r="O161" s="7"/>
      <c r="P161" s="7"/>
      <c r="Q161" s="7"/>
      <c r="R161" s="7"/>
      <c r="S161" s="7"/>
    </row>
    <row r="162">
      <c r="A162" s="7" t="str">
        <f t="shared" si="1"/>
        <v>Monzon, Juan Manuel</v>
      </c>
      <c r="B162" s="7">
        <f>SUMIFS('bd caja'!$K$1:$K$1012,'bd caja'!$D$1:$D$1012,A162)</f>
        <v>0</v>
      </c>
      <c r="C162" s="19">
        <f>IFERROR(__xludf.DUMMYFUNCTION("""COMPUTED_VALUE"""),45075.75125645833)</f>
        <v>45075.75126</v>
      </c>
      <c r="D162" s="7" t="str">
        <f>IFERROR(__xludf.DUMMYFUNCTION("""COMPUTED_VALUE"""),"Monzon")</f>
        <v>Monzon</v>
      </c>
      <c r="E162" s="7" t="str">
        <f>IFERROR(__xludf.DUMMYFUNCTION("""COMPUTED_VALUE"""),"Juan Manuel")</f>
        <v>Juan Manuel</v>
      </c>
      <c r="F162" s="7" t="str">
        <f>IFERROR(__xludf.DUMMYFUNCTION("""COMPUTED_VALUE"""),"juanmonzon9713@gmail.com")</f>
        <v>juanmonzon9713@gmail.com</v>
      </c>
      <c r="G162" s="20">
        <f>IFERROR(__xludf.DUMMYFUNCTION("""COMPUTED_VALUE"""),35500.0)</f>
        <v>35500</v>
      </c>
      <c r="H162" s="7">
        <f>IFERROR(__xludf.DUMMYFUNCTION("""COMPUTED_VALUE"""),4.0248074E7)</f>
        <v>40248074</v>
      </c>
      <c r="I162" s="7">
        <f>IFERROR(__xludf.DUMMYFUNCTION("""COMPUTED_VALUE"""),3.512534884E9)</f>
        <v>3512534884</v>
      </c>
      <c r="J162" s="7" t="str">
        <f>IFERROR(__xludf.DUMMYFUNCTION("""COMPUTED_VALUE"""),"Recomendación")</f>
        <v>Recomendación</v>
      </c>
      <c r="K162" s="7" t="str">
        <f>IFERROR(__xludf.DUMMYFUNCTION("""COMPUTED_VALUE"""),"Obra social")</f>
        <v>Obra social</v>
      </c>
      <c r="L162" s="7" t="str">
        <f>IFERROR(__xludf.DUMMYFUNCTION("""COMPUTED_VALUE"""),"APROSS")</f>
        <v>APROSS</v>
      </c>
      <c r="M162" s="7"/>
      <c r="N162" s="7"/>
      <c r="O162" s="7"/>
      <c r="P162" s="7"/>
      <c r="Q162" s="7"/>
      <c r="R162" s="7"/>
      <c r="S162" s="7"/>
    </row>
    <row r="163">
      <c r="A163" s="7" t="str">
        <f t="shared" si="1"/>
        <v>Castro, Susana</v>
      </c>
      <c r="B163" s="7">
        <f>SUMIFS('bd caja'!$K$1:$K$1012,'bd caja'!$D$1:$D$1012,A163)</f>
        <v>0</v>
      </c>
      <c r="C163" s="19">
        <f>IFERROR(__xludf.DUMMYFUNCTION("""COMPUTED_VALUE"""),45076.69244210648)</f>
        <v>45076.69244</v>
      </c>
      <c r="D163" s="7" t="str">
        <f>IFERROR(__xludf.DUMMYFUNCTION("""COMPUTED_VALUE"""),"Castro")</f>
        <v>Castro</v>
      </c>
      <c r="E163" s="7" t="str">
        <f>IFERROR(__xludf.DUMMYFUNCTION("""COMPUTED_VALUE"""),"Susana")</f>
        <v>Susana</v>
      </c>
      <c r="F163" s="7" t="str">
        <f>IFERROR(__xludf.DUMMYFUNCTION("""COMPUTED_VALUE"""),"susamelia1941@hotmail.com")</f>
        <v>susamelia1941@hotmail.com</v>
      </c>
      <c r="G163" s="20">
        <f>IFERROR(__xludf.DUMMYFUNCTION("""COMPUTED_VALUE"""),16853.0)</f>
        <v>16853</v>
      </c>
      <c r="H163" s="7">
        <f>IFERROR(__xludf.DUMMYFUNCTION("""COMPUTED_VALUE"""),5148843.0)</f>
        <v>5148843</v>
      </c>
      <c r="I163" s="7">
        <f>IFERROR(__xludf.DUMMYFUNCTION("""COMPUTED_VALUE"""),3.512022176E9)</f>
        <v>3512022176</v>
      </c>
      <c r="J163" s="7" t="str">
        <f>IFERROR(__xludf.DUMMYFUNCTION("""COMPUTED_VALUE"""),"Google")</f>
        <v>Google</v>
      </c>
      <c r="K163" s="7" t="str">
        <f>IFERROR(__xludf.DUMMYFUNCTION("""COMPUTED_VALUE"""),"Particular")</f>
        <v>Particular</v>
      </c>
      <c r="L163" s="7"/>
      <c r="M163" s="7"/>
      <c r="N163" s="7"/>
      <c r="O163" s="7"/>
      <c r="P163" s="7"/>
      <c r="Q163" s="7"/>
      <c r="R163" s="7"/>
      <c r="S163" s="7"/>
    </row>
    <row r="164">
      <c r="A164" s="7" t="str">
        <f t="shared" si="1"/>
        <v>Franciosi, Augusto</v>
      </c>
      <c r="B164" s="7">
        <f>SUMIFS('bd caja'!$K$1:$K$1012,'bd caja'!$D$1:$D$1012,A164)</f>
        <v>0</v>
      </c>
      <c r="C164" s="19">
        <f>IFERROR(__xludf.DUMMYFUNCTION("""COMPUTED_VALUE"""),45076.79967965277)</f>
        <v>45076.79968</v>
      </c>
      <c r="D164" s="7" t="str">
        <f>IFERROR(__xludf.DUMMYFUNCTION("""COMPUTED_VALUE"""),"Franciosi")</f>
        <v>Franciosi</v>
      </c>
      <c r="E164" s="7" t="str">
        <f>IFERROR(__xludf.DUMMYFUNCTION("""COMPUTED_VALUE"""),"Augusto")</f>
        <v>Augusto</v>
      </c>
      <c r="F164" s="7" t="str">
        <f>IFERROR(__xludf.DUMMYFUNCTION("""COMPUTED_VALUE"""),"augustogfranciosi@gmail.com")</f>
        <v>augustogfranciosi@gmail.com</v>
      </c>
      <c r="G164" s="20">
        <f>IFERROR(__xludf.DUMMYFUNCTION("""COMPUTED_VALUE"""),35075.0)</f>
        <v>35075</v>
      </c>
      <c r="H164" s="7">
        <f>IFERROR(__xludf.DUMMYFUNCTION("""COMPUTED_VALUE"""),3.9445328E7)</f>
        <v>39445328</v>
      </c>
      <c r="I164" s="7">
        <f>IFERROR(__xludf.DUMMYFUNCTION("""COMPUTED_VALUE"""),3.516143218E9)</f>
        <v>3516143218</v>
      </c>
      <c r="J164" s="7" t="str">
        <f>IFERROR(__xludf.DUMMYFUNCTION("""COMPUTED_VALUE"""),"Voy al gym Manantial")</f>
        <v>Voy al gym Manantial</v>
      </c>
      <c r="K164" s="7" t="str">
        <f>IFERROR(__xludf.DUMMYFUNCTION("""COMPUTED_VALUE"""),"Particular")</f>
        <v>Particular</v>
      </c>
      <c r="L164" s="7"/>
      <c r="M164" s="7"/>
      <c r="N164" s="7"/>
      <c r="O164" s="7"/>
      <c r="P164" s="7"/>
      <c r="Q164" s="7"/>
      <c r="R164" s="7"/>
      <c r="S164" s="7"/>
    </row>
    <row r="165">
      <c r="A165" s="7" t="str">
        <f t="shared" si="1"/>
        <v>Bazan, Santiago</v>
      </c>
      <c r="B165" s="7">
        <f>SUMIFS('bd caja'!$K$1:$K$1012,'bd caja'!$D$1:$D$1012,A165)</f>
        <v>0</v>
      </c>
      <c r="C165" s="19">
        <f>IFERROR(__xludf.DUMMYFUNCTION("""COMPUTED_VALUE"""),45077.389439375)</f>
        <v>45077.38944</v>
      </c>
      <c r="D165" s="7" t="str">
        <f>IFERROR(__xludf.DUMMYFUNCTION("""COMPUTED_VALUE"""),"Bazan")</f>
        <v>Bazan</v>
      </c>
      <c r="E165" s="7" t="str">
        <f>IFERROR(__xludf.DUMMYFUNCTION("""COMPUTED_VALUE"""),"Santiago")</f>
        <v>Santiago</v>
      </c>
      <c r="F165" s="7" t="str">
        <f>IFERROR(__xludf.DUMMYFUNCTION("""COMPUTED_VALUE"""),"santibazan@hotmail.com")</f>
        <v>santibazan@hotmail.com</v>
      </c>
      <c r="G165" s="20">
        <f>IFERROR(__xludf.DUMMYFUNCTION("""COMPUTED_VALUE"""),31185.0)</f>
        <v>31185</v>
      </c>
      <c r="H165" s="7">
        <f>IFERROR(__xludf.DUMMYFUNCTION("""COMPUTED_VALUE"""),3.1646048E7)</f>
        <v>31646048</v>
      </c>
      <c r="I165" s="7">
        <f>IFERROR(__xludf.DUMMYFUNCTION("""COMPUTED_VALUE"""),3.516090602E9)</f>
        <v>3516090602</v>
      </c>
      <c r="J165" s="7" t="str">
        <f>IFERROR(__xludf.DUMMYFUNCTION("""COMPUTED_VALUE"""),"Google")</f>
        <v>Google</v>
      </c>
      <c r="K165" s="7" t="str">
        <f>IFERROR(__xludf.DUMMYFUNCTION("""COMPUTED_VALUE"""),"Obra social")</f>
        <v>Obra social</v>
      </c>
      <c r="L165" s="7" t="str">
        <f>IFERROR(__xludf.DUMMYFUNCTION("""COMPUTED_VALUE"""),"DASPU")</f>
        <v>DASPU</v>
      </c>
      <c r="M165" s="7"/>
      <c r="N165" s="7"/>
      <c r="O165" s="7"/>
      <c r="P165" s="7"/>
      <c r="Q165" s="7"/>
      <c r="R165" s="7"/>
      <c r="S165" s="7"/>
    </row>
    <row r="166">
      <c r="A166" s="7" t="str">
        <f t="shared" si="1"/>
        <v>Gaite, Gaston</v>
      </c>
      <c r="B166" s="7">
        <f>SUMIFS('bd caja'!$K$1:$K$1012,'bd caja'!$D$1:$D$1012,A166)</f>
        <v>0</v>
      </c>
      <c r="C166" s="19">
        <f>IFERROR(__xludf.DUMMYFUNCTION("""COMPUTED_VALUE"""),45077.6862115625)</f>
        <v>45077.68621</v>
      </c>
      <c r="D166" s="7" t="str">
        <f>IFERROR(__xludf.DUMMYFUNCTION("""COMPUTED_VALUE"""),"Gaite")</f>
        <v>Gaite</v>
      </c>
      <c r="E166" s="7" t="str">
        <f>IFERROR(__xludf.DUMMYFUNCTION("""COMPUTED_VALUE"""),"Gaston")</f>
        <v>Gaston</v>
      </c>
      <c r="F166" s="7" t="str">
        <f>IFERROR(__xludf.DUMMYFUNCTION("""COMPUTED_VALUE"""),"gastongabrielgaite@gmail.com")</f>
        <v>gastongabrielgaite@gmail.com</v>
      </c>
      <c r="G166" s="20">
        <f>IFERROR(__xludf.DUMMYFUNCTION("""COMPUTED_VALUE"""),36594.0)</f>
        <v>36594</v>
      </c>
      <c r="H166" s="7">
        <f>IFERROR(__xludf.DUMMYFUNCTION("""COMPUTED_VALUE"""),4.2384668E7)</f>
        <v>42384668</v>
      </c>
      <c r="I166" s="7">
        <f>IFERROR(__xludf.DUMMYFUNCTION("""COMPUTED_VALUE"""),3.513510356E9)</f>
        <v>3513510356</v>
      </c>
      <c r="J166" s="7" t="str">
        <f>IFERROR(__xludf.DUMMYFUNCTION("""COMPUTED_VALUE"""),"Recomendación")</f>
        <v>Recomendación</v>
      </c>
      <c r="K166" s="7" t="str">
        <f>IFERROR(__xludf.DUMMYFUNCTION("""COMPUTED_VALUE"""),"Particular")</f>
        <v>Particular</v>
      </c>
      <c r="L166" s="7"/>
      <c r="M166" s="7"/>
      <c r="N166" s="7"/>
      <c r="O166" s="7"/>
      <c r="P166" s="7"/>
      <c r="Q166" s="7"/>
      <c r="R166" s="7"/>
      <c r="S166" s="7"/>
    </row>
    <row r="167">
      <c r="A167" s="7" t="str">
        <f t="shared" si="1"/>
        <v>Cordoba , Ariel</v>
      </c>
      <c r="B167" s="7">
        <f>SUMIFS('bd caja'!$K$1:$K$1012,'bd caja'!$D$1:$D$1012,A167)</f>
        <v>0</v>
      </c>
      <c r="C167" s="19">
        <f>IFERROR(__xludf.DUMMYFUNCTION("""COMPUTED_VALUE"""),45077.83588510417)</f>
        <v>45077.83589</v>
      </c>
      <c r="D167" s="7" t="str">
        <f>IFERROR(__xludf.DUMMYFUNCTION("""COMPUTED_VALUE"""),"Cordoba ")</f>
        <v>Cordoba </v>
      </c>
      <c r="E167" s="7" t="str">
        <f>IFERROR(__xludf.DUMMYFUNCTION("""COMPUTED_VALUE"""),"Ariel")</f>
        <v>Ariel</v>
      </c>
      <c r="F167" s="7" t="str">
        <f>IFERROR(__xludf.DUMMYFUNCTION("""COMPUTED_VALUE"""),"arielcordoba79@gmail.com")</f>
        <v>arielcordoba79@gmail.com</v>
      </c>
      <c r="G167" s="20">
        <f>IFERROR(__xludf.DUMMYFUNCTION("""COMPUTED_VALUE"""),28993.0)</f>
        <v>28993</v>
      </c>
      <c r="H167" s="7">
        <f>IFERROR(__xludf.DUMMYFUNCTION("""COMPUTED_VALUE"""),2.7248386E7)</f>
        <v>27248386</v>
      </c>
      <c r="I167" s="7">
        <f>IFERROR(__xludf.DUMMYFUNCTION("""COMPUTED_VALUE"""),3.516831832E9)</f>
        <v>3516831832</v>
      </c>
      <c r="J167" s="7" t="str">
        <f>IFERROR(__xludf.DUMMYFUNCTION("""COMPUTED_VALUE"""),"Google")</f>
        <v>Google</v>
      </c>
      <c r="K167" s="7" t="str">
        <f>IFERROR(__xludf.DUMMYFUNCTION("""COMPUTED_VALUE"""),"Obra social")</f>
        <v>Obra social</v>
      </c>
      <c r="L167" s="7" t="str">
        <f>IFERROR(__xludf.DUMMYFUNCTION("""COMPUTED_VALUE"""),"SANCOR")</f>
        <v>SANCOR</v>
      </c>
      <c r="M167" s="7"/>
      <c r="N167" s="7"/>
      <c r="O167" s="7"/>
      <c r="P167" s="7"/>
      <c r="Q167" s="7"/>
      <c r="R167" s="7"/>
      <c r="S167" s="7"/>
    </row>
    <row r="168">
      <c r="A168" s="7" t="str">
        <f t="shared" si="1"/>
        <v>Yunes, Miguel</v>
      </c>
      <c r="B168" s="7">
        <f>SUMIFS('bd caja'!$K$1:$K$1012,'bd caja'!$D$1:$D$1012,A168)</f>
        <v>0</v>
      </c>
      <c r="C168" s="19">
        <f>IFERROR(__xludf.DUMMYFUNCTION("""COMPUTED_VALUE"""),45078.51433210648)</f>
        <v>45078.51433</v>
      </c>
      <c r="D168" s="7" t="str">
        <f>IFERROR(__xludf.DUMMYFUNCTION("""COMPUTED_VALUE"""),"Yunes")</f>
        <v>Yunes</v>
      </c>
      <c r="E168" s="7" t="str">
        <f>IFERROR(__xludf.DUMMYFUNCTION("""COMPUTED_VALUE"""),"Miguel")</f>
        <v>Miguel</v>
      </c>
      <c r="F168" s="7" t="str">
        <f>IFERROR(__xludf.DUMMYFUNCTION("""COMPUTED_VALUE"""),"arqyunes@gmail.com")</f>
        <v>arqyunes@gmail.com</v>
      </c>
      <c r="G168" s="20">
        <f>IFERROR(__xludf.DUMMYFUNCTION("""COMPUTED_VALUE"""),16566.0)</f>
        <v>16566</v>
      </c>
      <c r="H168" s="7">
        <f>IFERROR(__xludf.DUMMYFUNCTION("""COMPUTED_VALUE"""),7984098.0)</f>
        <v>7984098</v>
      </c>
      <c r="I168" s="7">
        <f>IFERROR(__xludf.DUMMYFUNCTION("""COMPUTED_VALUE"""),3.515105133E9)</f>
        <v>3515105133</v>
      </c>
      <c r="J168" s="7" t="str">
        <f>IFERROR(__xludf.DUMMYFUNCTION("""COMPUTED_VALUE"""),"Cartilla Obra Social")</f>
        <v>Cartilla Obra Social</v>
      </c>
      <c r="K168" s="7" t="str">
        <f>IFERROR(__xludf.DUMMYFUNCTION("""COMPUTED_VALUE"""),"Obra social")</f>
        <v>Obra social</v>
      </c>
      <c r="L168" s="7" t="str">
        <f>IFERROR(__xludf.DUMMYFUNCTION("""COMPUTED_VALUE"""),"APROSS")</f>
        <v>APROSS</v>
      </c>
      <c r="M168" s="7"/>
      <c r="N168" s="7"/>
      <c r="O168" s="7"/>
      <c r="P168" s="7"/>
      <c r="Q168" s="7"/>
      <c r="R168" s="7"/>
      <c r="S168" s="7"/>
    </row>
    <row r="169">
      <c r="A169" s="7" t="str">
        <f t="shared" si="1"/>
        <v>Issoglio, Javier</v>
      </c>
      <c r="B169" s="7">
        <f>SUMIFS('bd caja'!$K$1:$K$1012,'bd caja'!$D$1:$D$1012,A169)</f>
        <v>0</v>
      </c>
      <c r="C169" s="19">
        <f>IFERROR(__xludf.DUMMYFUNCTION("""COMPUTED_VALUE"""),45078.57196922453)</f>
        <v>45078.57197</v>
      </c>
      <c r="D169" s="7" t="str">
        <f>IFERROR(__xludf.DUMMYFUNCTION("""COMPUTED_VALUE"""),"Issoglio")</f>
        <v>Issoglio</v>
      </c>
      <c r="E169" s="7" t="str">
        <f>IFERROR(__xludf.DUMMYFUNCTION("""COMPUTED_VALUE"""),"Javier")</f>
        <v>Javier</v>
      </c>
      <c r="F169" s="7" t="str">
        <f>IFERROR(__xludf.DUMMYFUNCTION("""COMPUTED_VALUE"""),"javier.issoglio@gmail.com")</f>
        <v>javier.issoglio@gmail.com</v>
      </c>
      <c r="G169" s="20">
        <f>IFERROR(__xludf.DUMMYFUNCTION("""COMPUTED_VALUE"""),30677.0)</f>
        <v>30677</v>
      </c>
      <c r="H169" s="7">
        <f>IFERROR(__xludf.DUMMYFUNCTION("""COMPUTED_VALUE"""),3.0657915E7)</f>
        <v>30657915</v>
      </c>
      <c r="I169" s="7">
        <f>IFERROR(__xludf.DUMMYFUNCTION("""COMPUTED_VALUE"""),3.51390294E9)</f>
        <v>3513902940</v>
      </c>
      <c r="J169" s="7" t="str">
        <f>IFERROR(__xludf.DUMMYFUNCTION("""COMPUTED_VALUE"""),"Google")</f>
        <v>Google</v>
      </c>
      <c r="K169" s="7" t="str">
        <f>IFERROR(__xludf.DUMMYFUNCTION("""COMPUTED_VALUE"""),"Obra social")</f>
        <v>Obra social</v>
      </c>
      <c r="L169" s="7" t="str">
        <f>IFERROR(__xludf.DUMMYFUNCTION("""COMPUTED_VALUE"""),"PREVENCIÓN")</f>
        <v>PREVENCIÓN</v>
      </c>
      <c r="M169" s="7"/>
      <c r="N169" s="7"/>
      <c r="O169" s="7"/>
      <c r="P169" s="7"/>
      <c r="Q169" s="7"/>
      <c r="R169" s="7"/>
      <c r="S169" s="7"/>
    </row>
    <row r="170">
      <c r="A170" s="7" t="str">
        <f t="shared" si="1"/>
        <v>Cuello, Alexis</v>
      </c>
      <c r="B170" s="7">
        <f>SUMIFS('bd caja'!$K$1:$K$1012,'bd caja'!$D$1:$D$1012,A170)</f>
        <v>0</v>
      </c>
      <c r="C170" s="19">
        <f>IFERROR(__xludf.DUMMYFUNCTION("""COMPUTED_VALUE"""),45079.45362917824)</f>
        <v>45079.45363</v>
      </c>
      <c r="D170" s="7" t="str">
        <f>IFERROR(__xludf.DUMMYFUNCTION("""COMPUTED_VALUE"""),"Cuello")</f>
        <v>Cuello</v>
      </c>
      <c r="E170" s="7" t="str">
        <f>IFERROR(__xludf.DUMMYFUNCTION("""COMPUTED_VALUE"""),"Alexis")</f>
        <v>Alexis</v>
      </c>
      <c r="F170" s="7" t="str">
        <f>IFERROR(__xludf.DUMMYFUNCTION("""COMPUTED_VALUE"""),"alexiscuello98@gmail.com")</f>
        <v>alexiscuello98@gmail.com</v>
      </c>
      <c r="G170" s="20">
        <f>IFERROR(__xludf.DUMMYFUNCTION("""COMPUTED_VALUE"""),35910.0)</f>
        <v>35910</v>
      </c>
      <c r="H170" s="7">
        <f>IFERROR(__xludf.DUMMYFUNCTION("""COMPUTED_VALUE"""),4.1115237E7)</f>
        <v>41115237</v>
      </c>
      <c r="I170" s="7">
        <f>IFERROR(__xludf.DUMMYFUNCTION("""COMPUTED_VALUE"""),3.51662728E9)</f>
        <v>3516627280</v>
      </c>
      <c r="J170" s="7" t="str">
        <f>IFERROR(__xludf.DUMMYFUNCTION("""COMPUTED_VALUE"""),"Recomendación")</f>
        <v>Recomendación</v>
      </c>
      <c r="K170" s="7" t="str">
        <f>IFERROR(__xludf.DUMMYFUNCTION("""COMPUTED_VALUE"""),"Particular")</f>
        <v>Particular</v>
      </c>
      <c r="L170" s="7"/>
      <c r="M170" s="7"/>
      <c r="N170" s="7"/>
      <c r="O170" s="7"/>
      <c r="P170" s="7"/>
      <c r="Q170" s="7"/>
      <c r="R170" s="7"/>
      <c r="S170" s="7"/>
    </row>
    <row r="171">
      <c r="A171" s="7" t="str">
        <f t="shared" si="1"/>
        <v>Oviedo, Federico</v>
      </c>
      <c r="B171" s="7">
        <f>SUMIFS('bd caja'!$K$1:$K$1012,'bd caja'!$D$1:$D$1012,A171)</f>
        <v>0</v>
      </c>
      <c r="C171" s="19">
        <f>IFERROR(__xludf.DUMMYFUNCTION("""COMPUTED_VALUE"""),45079.54665134259)</f>
        <v>45079.54665</v>
      </c>
      <c r="D171" s="7" t="str">
        <f>IFERROR(__xludf.DUMMYFUNCTION("""COMPUTED_VALUE"""),"Oviedo")</f>
        <v>Oviedo</v>
      </c>
      <c r="E171" s="7" t="str">
        <f>IFERROR(__xludf.DUMMYFUNCTION("""COMPUTED_VALUE"""),"Federico")</f>
        <v>Federico</v>
      </c>
      <c r="F171" s="7" t="str">
        <f>IFERROR(__xludf.DUMMYFUNCTION("""COMPUTED_VALUE"""),"Fedeoviedo1992@gmail.com")</f>
        <v>Fedeoviedo1992@gmail.com</v>
      </c>
      <c r="G171" s="20">
        <f>IFERROR(__xludf.DUMMYFUNCTION("""COMPUTED_VALUE"""),33831.0)</f>
        <v>33831</v>
      </c>
      <c r="H171" s="7">
        <f>IFERROR(__xludf.DUMMYFUNCTION("""COMPUTED_VALUE"""),3.6429292E7)</f>
        <v>36429292</v>
      </c>
      <c r="I171" s="7">
        <f>IFERROR(__xludf.DUMMYFUNCTION("""COMPUTED_VALUE"""),3.516826366E9)</f>
        <v>3516826366</v>
      </c>
      <c r="J171" s="7" t="str">
        <f>IFERROR(__xludf.DUMMYFUNCTION("""COMPUTED_VALUE"""),"Recomendación")</f>
        <v>Recomendación</v>
      </c>
      <c r="K171" s="7" t="str">
        <f>IFERROR(__xludf.DUMMYFUNCTION("""COMPUTED_VALUE"""),"Obra social")</f>
        <v>Obra social</v>
      </c>
      <c r="L171" s="7" t="str">
        <f>IFERROR(__xludf.DUMMYFUNCTION("""COMPUTED_VALUE"""),"PREVENCIÓN")</f>
        <v>PREVENCIÓN</v>
      </c>
      <c r="M171" s="7"/>
      <c r="N171" s="7"/>
      <c r="O171" s="7"/>
      <c r="P171" s="7"/>
      <c r="Q171" s="7"/>
      <c r="R171" s="7"/>
      <c r="S171" s="7"/>
    </row>
    <row r="172">
      <c r="A172" s="7" t="str">
        <f t="shared" si="1"/>
        <v>Petenian, Mariana</v>
      </c>
      <c r="B172" s="7">
        <f>SUMIFS('bd caja'!$K$1:$K$1012,'bd caja'!$D$1:$D$1012,A172)</f>
        <v>0</v>
      </c>
      <c r="C172" s="19">
        <f>IFERROR(__xludf.DUMMYFUNCTION("""COMPUTED_VALUE"""),45079.7899554051)</f>
        <v>45079.78996</v>
      </c>
      <c r="D172" s="7" t="str">
        <f>IFERROR(__xludf.DUMMYFUNCTION("""COMPUTED_VALUE"""),"Petenian")</f>
        <v>Petenian</v>
      </c>
      <c r="E172" s="7" t="str">
        <f>IFERROR(__xludf.DUMMYFUNCTION("""COMPUTED_VALUE"""),"Mariana")</f>
        <v>Mariana</v>
      </c>
      <c r="F172" s="7" t="str">
        <f>IFERROR(__xludf.DUMMYFUNCTION("""COMPUTED_VALUE"""),"petenianmariana @gmail.com")</f>
        <v>petenianmariana @gmail.com</v>
      </c>
      <c r="G172" s="20">
        <f>IFERROR(__xludf.DUMMYFUNCTION("""COMPUTED_VALUE"""),29674.0)</f>
        <v>29674</v>
      </c>
      <c r="H172" s="7">
        <f>IFERROR(__xludf.DUMMYFUNCTION("""COMPUTED_VALUE"""),2.8654734E7)</f>
        <v>28654734</v>
      </c>
      <c r="I172" s="7">
        <f>IFERROR(__xludf.DUMMYFUNCTION("""COMPUTED_VALUE"""),3.512050186E9)</f>
        <v>3512050186</v>
      </c>
      <c r="J172" s="7" t="str">
        <f>IFERROR(__xludf.DUMMYFUNCTION("""COMPUTED_VALUE"""),"Voy al gym Manantial")</f>
        <v>Voy al gym Manantial</v>
      </c>
      <c r="K172" s="7" t="str">
        <f>IFERROR(__xludf.DUMMYFUNCTION("""COMPUTED_VALUE"""),"Particular")</f>
        <v>Particular</v>
      </c>
      <c r="L172" s="7"/>
      <c r="M172" s="7"/>
      <c r="N172" s="7"/>
      <c r="O172" s="7"/>
      <c r="P172" s="7"/>
      <c r="Q172" s="7"/>
      <c r="R172" s="7"/>
      <c r="S172" s="7"/>
    </row>
    <row r="173">
      <c r="A173" s="7" t="str">
        <f t="shared" si="1"/>
        <v>Butiler , Kevin</v>
      </c>
      <c r="B173" s="7">
        <f>SUMIFS('bd caja'!$K$1:$K$1012,'bd caja'!$D$1:$D$1012,A173)</f>
        <v>0</v>
      </c>
      <c r="C173" s="19">
        <f>IFERROR(__xludf.DUMMYFUNCTION("""COMPUTED_VALUE"""),45079.8005516088)</f>
        <v>45079.80055</v>
      </c>
      <c r="D173" s="7" t="str">
        <f>IFERROR(__xludf.DUMMYFUNCTION("""COMPUTED_VALUE"""),"Butiler ")</f>
        <v>Butiler </v>
      </c>
      <c r="E173" s="7" t="str">
        <f>IFERROR(__xludf.DUMMYFUNCTION("""COMPUTED_VALUE"""),"Kevin")</f>
        <v>Kevin</v>
      </c>
      <c r="F173" s="7" t="str">
        <f>IFERROR(__xludf.DUMMYFUNCTION("""COMPUTED_VALUE"""),"kevin22-03@hotmail.com")</f>
        <v>kevin22-03@hotmail.com</v>
      </c>
      <c r="G173" s="20">
        <f>IFERROR(__xludf.DUMMYFUNCTION("""COMPUTED_VALUE"""),45079.0)</f>
        <v>45079</v>
      </c>
      <c r="H173" s="7">
        <f>IFERROR(__xludf.DUMMYFUNCTION("""COMPUTED_VALUE"""),4.1827735E7)</f>
        <v>41827735</v>
      </c>
      <c r="I173" s="7">
        <f>IFERROR(__xludf.DUMMYFUNCTION("""COMPUTED_VALUE"""),3.517028458E9)</f>
        <v>3517028458</v>
      </c>
      <c r="J173" s="7" t="str">
        <f>IFERROR(__xludf.DUMMYFUNCTION("""COMPUTED_VALUE"""),"Recomendación")</f>
        <v>Recomendación</v>
      </c>
      <c r="K173" s="7" t="str">
        <f>IFERROR(__xludf.DUMMYFUNCTION("""COMPUTED_VALUE"""),"Particular")</f>
        <v>Particular</v>
      </c>
      <c r="L173" s="7"/>
      <c r="M173" s="7"/>
      <c r="N173" s="7"/>
      <c r="O173" s="7"/>
      <c r="P173" s="7"/>
      <c r="Q173" s="7"/>
      <c r="R173" s="7"/>
      <c r="S173" s="7"/>
    </row>
    <row r="174">
      <c r="A174" s="7" t="str">
        <f t="shared" si="1"/>
        <v>Johnson, Benjamín</v>
      </c>
      <c r="B174" s="7">
        <f>SUMIFS('bd caja'!$K$1:$K$1012,'bd caja'!$D$1:$D$1012,A174)</f>
        <v>0</v>
      </c>
      <c r="C174" s="19">
        <f>IFERROR(__xludf.DUMMYFUNCTION("""COMPUTED_VALUE"""),45082.49003226851)</f>
        <v>45082.49003</v>
      </c>
      <c r="D174" s="7" t="str">
        <f>IFERROR(__xludf.DUMMYFUNCTION("""COMPUTED_VALUE"""),"Johnson")</f>
        <v>Johnson</v>
      </c>
      <c r="E174" s="7" t="str">
        <f>IFERROR(__xludf.DUMMYFUNCTION("""COMPUTED_VALUE"""),"Benjamín")</f>
        <v>Benjamín</v>
      </c>
      <c r="F174" s="7" t="str">
        <f>IFERROR(__xludf.DUMMYFUNCTION("""COMPUTED_VALUE"""),"benjawamba@gmail.com")</f>
        <v>benjawamba@gmail.com</v>
      </c>
      <c r="G174" s="20">
        <f>IFERROR(__xludf.DUMMYFUNCTION("""COMPUTED_VALUE"""),35675.0)</f>
        <v>35675</v>
      </c>
      <c r="H174" s="7">
        <f>IFERROR(__xludf.DUMMYFUNCTION("""COMPUTED_VALUE"""),4.0661818E7)</f>
        <v>40661818</v>
      </c>
      <c r="I174" s="7">
        <f>IFERROR(__xludf.DUMMYFUNCTION("""COMPUTED_VALUE"""),3.515159997E9)</f>
        <v>3515159997</v>
      </c>
      <c r="J174" s="7" t="str">
        <f>IFERROR(__xludf.DUMMYFUNCTION("""COMPUTED_VALUE"""),"Recomendación")</f>
        <v>Recomendación</v>
      </c>
      <c r="K174" s="7" t="str">
        <f>IFERROR(__xludf.DUMMYFUNCTION("""COMPUTED_VALUE"""),"Obra social")</f>
        <v>Obra social</v>
      </c>
      <c r="L174" s="7" t="str">
        <f>IFERROR(__xludf.DUMMYFUNCTION("""COMPUTED_VALUE"""),"Caja Notarial")</f>
        <v>Caja Notarial</v>
      </c>
      <c r="M174" s="7"/>
      <c r="N174" s="7"/>
      <c r="O174" s="7"/>
      <c r="P174" s="7"/>
      <c r="Q174" s="7"/>
      <c r="R174" s="7"/>
      <c r="S174" s="7"/>
    </row>
    <row r="175">
      <c r="A175" s="7" t="str">
        <f t="shared" si="1"/>
        <v>Di Gregorio Soria , Lucas </v>
      </c>
      <c r="B175" s="7">
        <f>SUMIFS('bd caja'!$K$1:$K$1012,'bd caja'!$D$1:$D$1012,A175)</f>
        <v>0</v>
      </c>
      <c r="C175" s="19">
        <f>IFERROR(__xludf.DUMMYFUNCTION("""COMPUTED_VALUE"""),45082.663089837966)</f>
        <v>45082.66309</v>
      </c>
      <c r="D175" s="7" t="str">
        <f>IFERROR(__xludf.DUMMYFUNCTION("""COMPUTED_VALUE"""),"Di Gregorio Soria ")</f>
        <v>Di Gregorio Soria </v>
      </c>
      <c r="E175" s="7" t="str">
        <f>IFERROR(__xludf.DUMMYFUNCTION("""COMPUTED_VALUE"""),"Lucas ")</f>
        <v>Lucas </v>
      </c>
      <c r="F175" s="7" t="str">
        <f>IFERROR(__xludf.DUMMYFUNCTION("""COMPUTED_VALUE"""),"andreasoria70@live.com.ar")</f>
        <v>andreasoria70@live.com.ar</v>
      </c>
      <c r="G175" s="20">
        <f>IFERROR(__xludf.DUMMYFUNCTION("""COMPUTED_VALUE"""),38974.0)</f>
        <v>38974</v>
      </c>
      <c r="H175" s="7">
        <f>IFERROR(__xludf.DUMMYFUNCTION("""COMPUTED_VALUE"""),4.6656787E7)</f>
        <v>46656787</v>
      </c>
      <c r="I175" s="7">
        <f>IFERROR(__xludf.DUMMYFUNCTION("""COMPUTED_VALUE"""),3.512328741E9)</f>
        <v>3512328741</v>
      </c>
      <c r="J175" s="7" t="str">
        <f>IFERROR(__xludf.DUMMYFUNCTION("""COMPUTED_VALUE"""),"Google")</f>
        <v>Google</v>
      </c>
      <c r="K175" s="7" t="str">
        <f>IFERROR(__xludf.DUMMYFUNCTION("""COMPUTED_VALUE"""),"Particular")</f>
        <v>Particular</v>
      </c>
      <c r="L175" s="7"/>
      <c r="M175" s="7"/>
      <c r="N175" s="7"/>
      <c r="O175" s="7"/>
      <c r="P175" s="7"/>
      <c r="Q175" s="7"/>
      <c r="R175" s="7"/>
      <c r="S175" s="7"/>
    </row>
    <row r="176">
      <c r="A176" s="7" t="str">
        <f t="shared" si="1"/>
        <v>Dominguez , Maria Florencia </v>
      </c>
      <c r="B176" s="7">
        <f>SUMIFS('bd caja'!$K$1:$K$1012,'bd caja'!$D$1:$D$1012,A176)</f>
        <v>0</v>
      </c>
      <c r="C176" s="19">
        <f>IFERROR(__xludf.DUMMYFUNCTION("""COMPUTED_VALUE"""),45082.76692516204)</f>
        <v>45082.76693</v>
      </c>
      <c r="D176" s="7" t="str">
        <f>IFERROR(__xludf.DUMMYFUNCTION("""COMPUTED_VALUE"""),"Dominguez ")</f>
        <v>Dominguez </v>
      </c>
      <c r="E176" s="7" t="str">
        <f>IFERROR(__xludf.DUMMYFUNCTION("""COMPUTED_VALUE"""),"Maria Florencia ")</f>
        <v>Maria Florencia </v>
      </c>
      <c r="F176" s="7" t="str">
        <f>IFERROR(__xludf.DUMMYFUNCTION("""COMPUTED_VALUE"""),"flopid@hotmail.com")</f>
        <v>flopid@hotmail.com</v>
      </c>
      <c r="G176" s="20">
        <f>IFERROR(__xludf.DUMMYFUNCTION("""COMPUTED_VALUE"""),33193.0)</f>
        <v>33193</v>
      </c>
      <c r="H176" s="7">
        <f>IFERROR(__xludf.DUMMYFUNCTION("""COMPUTED_VALUE"""),3.557479E7)</f>
        <v>35574790</v>
      </c>
      <c r="I176" s="7">
        <f>IFERROR(__xludf.DUMMYFUNCTION("""COMPUTED_VALUE"""),3.5128947E9)</f>
        <v>3512894700</v>
      </c>
      <c r="J176" s="7" t="str">
        <f>IFERROR(__xludf.DUMMYFUNCTION("""COMPUTED_VALUE"""),"Voy al gym Manantial")</f>
        <v>Voy al gym Manantial</v>
      </c>
      <c r="K176" s="7" t="str">
        <f>IFERROR(__xludf.DUMMYFUNCTION("""COMPUTED_VALUE"""),"Obra social")</f>
        <v>Obra social</v>
      </c>
      <c r="L176" s="7" t="str">
        <f>IFERROR(__xludf.DUMMYFUNCTION("""COMPUTED_VALUE"""),"Apm")</f>
        <v>Apm</v>
      </c>
      <c r="M176" s="7"/>
      <c r="N176" s="7"/>
      <c r="O176" s="7"/>
      <c r="P176" s="7"/>
      <c r="Q176" s="7"/>
      <c r="R176" s="7"/>
      <c r="S176" s="7"/>
    </row>
    <row r="177">
      <c r="A177" s="7" t="str">
        <f t="shared" si="1"/>
        <v>Loza, Delfina</v>
      </c>
      <c r="B177" s="7">
        <f>SUMIFS('bd caja'!$K$1:$K$1012,'bd caja'!$D$1:$D$1012,A177)</f>
        <v>0</v>
      </c>
      <c r="C177" s="19">
        <f>IFERROR(__xludf.DUMMYFUNCTION("""COMPUTED_VALUE"""),45082.78397267361)</f>
        <v>45082.78397</v>
      </c>
      <c r="D177" s="7" t="str">
        <f>IFERROR(__xludf.DUMMYFUNCTION("""COMPUTED_VALUE"""),"Loza")</f>
        <v>Loza</v>
      </c>
      <c r="E177" s="7" t="str">
        <f>IFERROR(__xludf.DUMMYFUNCTION("""COMPUTED_VALUE"""),"Delfina")</f>
        <v>Delfina</v>
      </c>
      <c r="F177" s="7" t="str">
        <f>IFERROR(__xludf.DUMMYFUNCTION("""COMPUTED_VALUE"""),"gabrieladagatti6@gmail.com")</f>
        <v>gabrieladagatti6@gmail.com</v>
      </c>
      <c r="G177" s="20">
        <f>IFERROR(__xludf.DUMMYFUNCTION("""COMPUTED_VALUE"""),40549.0)</f>
        <v>40549</v>
      </c>
      <c r="H177" s="7">
        <f>IFERROR(__xludf.DUMMYFUNCTION("""COMPUTED_VALUE"""),5.0628769E7)</f>
        <v>50628769</v>
      </c>
      <c r="I177" s="7">
        <f>IFERROR(__xludf.DUMMYFUNCTION("""COMPUTED_VALUE"""),3.516960587E9)</f>
        <v>3516960587</v>
      </c>
      <c r="J177" s="7" t="str">
        <f>IFERROR(__xludf.DUMMYFUNCTION("""COMPUTED_VALUE"""),"Google")</f>
        <v>Google</v>
      </c>
      <c r="K177" s="7" t="str">
        <f>IFERROR(__xludf.DUMMYFUNCTION("""COMPUTED_VALUE"""),"Particular")</f>
        <v>Particular</v>
      </c>
      <c r="L177" s="7"/>
      <c r="M177" s="7"/>
      <c r="N177" s="7"/>
      <c r="O177" s="7"/>
      <c r="P177" s="7"/>
      <c r="Q177" s="7"/>
      <c r="R177" s="7"/>
      <c r="S177" s="7"/>
    </row>
    <row r="178">
      <c r="A178" s="7" t="str">
        <f t="shared" si="1"/>
        <v>Ramos , Mario jose</v>
      </c>
      <c r="B178" s="7">
        <f>SUMIFS('bd caja'!$K$1:$K$1012,'bd caja'!$D$1:$D$1012,A178)</f>
        <v>0</v>
      </c>
      <c r="C178" s="19">
        <f>IFERROR(__xludf.DUMMYFUNCTION("""COMPUTED_VALUE"""),45083.62755160879)</f>
        <v>45083.62755</v>
      </c>
      <c r="D178" s="7" t="str">
        <f>IFERROR(__xludf.DUMMYFUNCTION("""COMPUTED_VALUE"""),"Ramos ")</f>
        <v>Ramos </v>
      </c>
      <c r="E178" s="7" t="str">
        <f>IFERROR(__xludf.DUMMYFUNCTION("""COMPUTED_VALUE"""),"Mario jose")</f>
        <v>Mario jose</v>
      </c>
      <c r="F178" s="7" t="str">
        <f>IFERROR(__xludf.DUMMYFUNCTION("""COMPUTED_VALUE"""),"ramosmariojose@gmail.com")</f>
        <v>ramosmariojose@gmail.com</v>
      </c>
      <c r="G178" s="20">
        <f>IFERROR(__xludf.DUMMYFUNCTION("""COMPUTED_VALUE"""),36179.0)</f>
        <v>36179</v>
      </c>
      <c r="H178" s="7">
        <f>IFERROR(__xludf.DUMMYFUNCTION("""COMPUTED_VALUE"""),9.4668323E7)</f>
        <v>94668323</v>
      </c>
      <c r="I178" s="7">
        <f>IFERROR(__xludf.DUMMYFUNCTION("""COMPUTED_VALUE"""),3.512785708E9)</f>
        <v>3512785708</v>
      </c>
      <c r="J178" s="7" t="str">
        <f>IFERROR(__xludf.DUMMYFUNCTION("""COMPUTED_VALUE"""),"Google")</f>
        <v>Google</v>
      </c>
      <c r="K178" s="7" t="str">
        <f>IFERROR(__xludf.DUMMYFUNCTION("""COMPUTED_VALUE"""),"Particular")</f>
        <v>Particular</v>
      </c>
      <c r="L178" s="7"/>
      <c r="M178" s="7"/>
      <c r="N178" s="7"/>
      <c r="O178" s="7"/>
      <c r="P178" s="7"/>
      <c r="Q178" s="7"/>
      <c r="R178" s="7"/>
      <c r="S178" s="7"/>
    </row>
    <row r="179">
      <c r="A179" s="7" t="str">
        <f t="shared" si="1"/>
        <v>Quilaleo, Alejandra</v>
      </c>
      <c r="B179" s="7">
        <f>SUMIFS('bd caja'!$K$1:$K$1012,'bd caja'!$D$1:$D$1012,A179)</f>
        <v>0</v>
      </c>
      <c r="C179" s="19">
        <f>IFERROR(__xludf.DUMMYFUNCTION("""COMPUTED_VALUE"""),45083.83730337963)</f>
        <v>45083.8373</v>
      </c>
      <c r="D179" s="7" t="str">
        <f>IFERROR(__xludf.DUMMYFUNCTION("""COMPUTED_VALUE"""),"Quilaleo")</f>
        <v>Quilaleo</v>
      </c>
      <c r="E179" s="7" t="str">
        <f>IFERROR(__xludf.DUMMYFUNCTION("""COMPUTED_VALUE"""),"Alejandra")</f>
        <v>Alejandra</v>
      </c>
      <c r="F179" s="7" t="str">
        <f>IFERROR(__xludf.DUMMYFUNCTION("""COMPUTED_VALUE"""),"alebquilaleo@gmail.com ")</f>
        <v>alebquilaleo@gmail.com </v>
      </c>
      <c r="G179" s="20">
        <f>IFERROR(__xludf.DUMMYFUNCTION("""COMPUTED_VALUE"""),30933.0)</f>
        <v>30933</v>
      </c>
      <c r="H179" s="7">
        <f>IFERROR(__xludf.DUMMYFUNCTION("""COMPUTED_VALUE"""),3.113259E7)</f>
        <v>31132590</v>
      </c>
      <c r="I179" s="7">
        <f>IFERROR(__xludf.DUMMYFUNCTION("""COMPUTED_VALUE"""),3.516123681E9)</f>
        <v>3516123681</v>
      </c>
      <c r="J179" s="7" t="str">
        <f>IFERROR(__xludf.DUMMYFUNCTION("""COMPUTED_VALUE"""),"Google")</f>
        <v>Google</v>
      </c>
      <c r="K179" s="7" t="str">
        <f>IFERROR(__xludf.DUMMYFUNCTION("""COMPUTED_VALUE"""),"Obra social")</f>
        <v>Obra social</v>
      </c>
      <c r="L179" s="7" t="str">
        <f>IFERROR(__xludf.DUMMYFUNCTION("""COMPUTED_VALUE"""),"PREVENCIÓN")</f>
        <v>PREVENCIÓN</v>
      </c>
      <c r="M179" s="7"/>
      <c r="N179" s="7"/>
      <c r="O179" s="7"/>
      <c r="P179" s="7"/>
      <c r="Q179" s="7"/>
      <c r="R179" s="7"/>
      <c r="S179" s="7"/>
    </row>
    <row r="180">
      <c r="A180" s="7" t="str">
        <f t="shared" si="1"/>
        <v>Ardiles, Constanza</v>
      </c>
      <c r="B180" s="7">
        <f>SUMIFS('bd caja'!$K$1:$K$1012,'bd caja'!$D$1:$D$1012,A180)</f>
        <v>0</v>
      </c>
      <c r="C180" s="19">
        <f>IFERROR(__xludf.DUMMYFUNCTION("""COMPUTED_VALUE"""),45084.79481583333)</f>
        <v>45084.79482</v>
      </c>
      <c r="D180" s="7" t="str">
        <f>IFERROR(__xludf.DUMMYFUNCTION("""COMPUTED_VALUE"""),"Ardiles")</f>
        <v>Ardiles</v>
      </c>
      <c r="E180" s="7" t="str">
        <f>IFERROR(__xludf.DUMMYFUNCTION("""COMPUTED_VALUE"""),"Constanza")</f>
        <v>Constanza</v>
      </c>
      <c r="F180" s="7" t="str">
        <f>IFERROR(__xludf.DUMMYFUNCTION("""COMPUTED_VALUE"""),"cotyard4@hotmail.com")</f>
        <v>cotyard4@hotmail.com</v>
      </c>
      <c r="G180" s="20">
        <f>IFERROR(__xludf.DUMMYFUNCTION("""COMPUTED_VALUE"""),31675.0)</f>
        <v>31675</v>
      </c>
      <c r="H180" s="7">
        <f>IFERROR(__xludf.DUMMYFUNCTION("""COMPUTED_VALUE"""),3.2492462E7)</f>
        <v>32492462</v>
      </c>
      <c r="I180" s="7">
        <f>IFERROR(__xludf.DUMMYFUNCTION("""COMPUTED_VALUE"""),3.51637247E9)</f>
        <v>3516372470</v>
      </c>
      <c r="J180" s="7" t="str">
        <f>IFERROR(__xludf.DUMMYFUNCTION("""COMPUTED_VALUE"""),"Voy al gym Manantial")</f>
        <v>Voy al gym Manantial</v>
      </c>
      <c r="K180" s="7" t="str">
        <f>IFERROR(__xludf.DUMMYFUNCTION("""COMPUTED_VALUE"""),"Particular")</f>
        <v>Particular</v>
      </c>
      <c r="L180" s="7"/>
      <c r="M180" s="7"/>
      <c r="N180" s="7"/>
      <c r="O180" s="7"/>
      <c r="P180" s="7"/>
      <c r="Q180" s="7"/>
      <c r="R180" s="7"/>
      <c r="S180" s="7"/>
    </row>
    <row r="181">
      <c r="A181" s="7" t="str">
        <f t="shared" si="1"/>
        <v>Ruiz , Raul </v>
      </c>
      <c r="B181" s="7">
        <f>SUMIFS('bd caja'!$K$1:$K$1012,'bd caja'!$D$1:$D$1012,A181)</f>
        <v>0</v>
      </c>
      <c r="C181" s="19">
        <f>IFERROR(__xludf.DUMMYFUNCTION("""COMPUTED_VALUE"""),45084.86501084491)</f>
        <v>45084.86501</v>
      </c>
      <c r="D181" s="7" t="str">
        <f>IFERROR(__xludf.DUMMYFUNCTION("""COMPUTED_VALUE"""),"Ruiz ")</f>
        <v>Ruiz </v>
      </c>
      <c r="E181" s="7" t="str">
        <f>IFERROR(__xludf.DUMMYFUNCTION("""COMPUTED_VALUE"""),"Raul ")</f>
        <v>Raul </v>
      </c>
      <c r="F181" s="7" t="str">
        <f>IFERROR(__xludf.DUMMYFUNCTION("""COMPUTED_VALUE"""),"Raulruize05@gmail.com")</f>
        <v>Raulruize05@gmail.com</v>
      </c>
      <c r="G181" s="20">
        <f>IFERROR(__xludf.DUMMYFUNCTION("""COMPUTED_VALUE"""),36615.0)</f>
        <v>36615</v>
      </c>
      <c r="H181" s="7">
        <f>IFERROR(__xludf.DUMMYFUNCTION("""COMPUTED_VALUE"""),4.2439034E7)</f>
        <v>42439034</v>
      </c>
      <c r="I181" s="7">
        <f>IFERROR(__xludf.DUMMYFUNCTION("""COMPUTED_VALUE"""),3.516725368E9)</f>
        <v>3516725368</v>
      </c>
      <c r="J181" s="7" t="str">
        <f>IFERROR(__xludf.DUMMYFUNCTION("""COMPUTED_VALUE"""),"Recomendación")</f>
        <v>Recomendación</v>
      </c>
      <c r="K181" s="7" t="str">
        <f>IFERROR(__xludf.DUMMYFUNCTION("""COMPUTED_VALUE"""),"Particular")</f>
        <v>Particular</v>
      </c>
      <c r="L181" s="7"/>
      <c r="M181" s="7"/>
      <c r="N181" s="7"/>
      <c r="O181" s="7"/>
      <c r="P181" s="7"/>
      <c r="Q181" s="7"/>
      <c r="R181" s="7"/>
      <c r="S181" s="7"/>
    </row>
    <row r="182">
      <c r="A182" s="7" t="str">
        <f t="shared" si="1"/>
        <v>Maidana, Tomas</v>
      </c>
      <c r="B182" s="7">
        <f>SUMIFS('bd caja'!$K$1:$K$1012,'bd caja'!$D$1:$D$1012,A182)</f>
        <v>0</v>
      </c>
      <c r="C182" s="19">
        <f>IFERROR(__xludf.DUMMYFUNCTION("""COMPUTED_VALUE"""),45085.80769797454)</f>
        <v>45085.8077</v>
      </c>
      <c r="D182" s="7" t="str">
        <f>IFERROR(__xludf.DUMMYFUNCTION("""COMPUTED_VALUE"""),"Maidana")</f>
        <v>Maidana</v>
      </c>
      <c r="E182" s="7" t="str">
        <f>IFERROR(__xludf.DUMMYFUNCTION("""COMPUTED_VALUE"""),"Tomas")</f>
        <v>Tomas</v>
      </c>
      <c r="F182" s="7" t="str">
        <f>IFERROR(__xludf.DUMMYFUNCTION("""COMPUTED_VALUE"""),"tomasmaidana08@gmail.com")</f>
        <v>tomasmaidana08@gmail.com</v>
      </c>
      <c r="G182" s="20">
        <f>IFERROR(__xludf.DUMMYFUNCTION("""COMPUTED_VALUE"""),38930.0)</f>
        <v>38930</v>
      </c>
      <c r="H182" s="7">
        <f>IFERROR(__xludf.DUMMYFUNCTION("""COMPUTED_VALUE"""),4.7350605E7)</f>
        <v>47350605</v>
      </c>
      <c r="I182" s="7">
        <f>IFERROR(__xludf.DUMMYFUNCTION("""COMPUTED_VALUE"""),3.517307004E9)</f>
        <v>3517307004</v>
      </c>
      <c r="J182" s="7" t="str">
        <f>IFERROR(__xludf.DUMMYFUNCTION("""COMPUTED_VALUE"""),"Recomendación")</f>
        <v>Recomendación</v>
      </c>
      <c r="K182" s="7" t="str">
        <f>IFERROR(__xludf.DUMMYFUNCTION("""COMPUTED_VALUE"""),"Obra social")</f>
        <v>Obra social</v>
      </c>
      <c r="L182" s="7" t="str">
        <f>IFERROR(__xludf.DUMMYFUNCTION("""COMPUTED_VALUE"""),"APROSS")</f>
        <v>APROSS</v>
      </c>
      <c r="M182" s="7"/>
      <c r="N182" s="7"/>
      <c r="O182" s="7"/>
      <c r="P182" s="7"/>
      <c r="Q182" s="7"/>
      <c r="R182" s="7"/>
      <c r="S182" s="7"/>
    </row>
    <row r="183">
      <c r="A183" s="7" t="str">
        <f t="shared" si="1"/>
        <v>ARAYA CORNEJO, LAUTARO</v>
      </c>
      <c r="B183" s="7">
        <f>SUMIFS('bd caja'!$K$1:$K$1012,'bd caja'!$D$1:$D$1012,A183)</f>
        <v>0</v>
      </c>
      <c r="C183" s="19">
        <f>IFERROR(__xludf.DUMMYFUNCTION("""COMPUTED_VALUE"""),45085.85142706019)</f>
        <v>45085.85143</v>
      </c>
      <c r="D183" s="7" t="str">
        <f>IFERROR(__xludf.DUMMYFUNCTION("""COMPUTED_VALUE"""),"ARAYA CORNEJO")</f>
        <v>ARAYA CORNEJO</v>
      </c>
      <c r="E183" s="7" t="str">
        <f>IFERROR(__xludf.DUMMYFUNCTION("""COMPUTED_VALUE"""),"LAUTARO")</f>
        <v>LAUTARO</v>
      </c>
      <c r="F183" s="7" t="str">
        <f>IFERROR(__xludf.DUMMYFUNCTION("""COMPUTED_VALUE"""),"GABITOCORNEJO@HOTMAIL.COM")</f>
        <v>GABITOCORNEJO@HOTMAIL.COM</v>
      </c>
      <c r="G183" s="20">
        <f>IFERROR(__xludf.DUMMYFUNCTION("""COMPUTED_VALUE"""),41169.0)</f>
        <v>41169</v>
      </c>
      <c r="H183" s="7">
        <f>IFERROR(__xludf.DUMMYFUNCTION("""COMPUTED_VALUE"""),5.2233982E7)</f>
        <v>52233982</v>
      </c>
      <c r="I183" s="7">
        <f>IFERROR(__xludf.DUMMYFUNCTION("""COMPUTED_VALUE"""),3.512187399E9)</f>
        <v>3512187399</v>
      </c>
      <c r="J183" s="7" t="str">
        <f>IFERROR(__xludf.DUMMYFUNCTION("""COMPUTED_VALUE"""),"Recomendación")</f>
        <v>Recomendación</v>
      </c>
      <c r="K183" s="7" t="str">
        <f>IFERROR(__xludf.DUMMYFUNCTION("""COMPUTED_VALUE"""),"Particular")</f>
        <v>Particular</v>
      </c>
      <c r="L183" s="7"/>
      <c r="M183" s="7"/>
      <c r="N183" s="7"/>
      <c r="O183" s="7"/>
      <c r="P183" s="7"/>
      <c r="Q183" s="7"/>
      <c r="R183" s="7"/>
      <c r="S183" s="7"/>
    </row>
    <row r="184">
      <c r="A184" s="7" t="str">
        <f t="shared" si="1"/>
        <v>WAMBA, MARIA VICTORIA</v>
      </c>
      <c r="B184" s="7">
        <f>SUMIFS('bd caja'!$K$1:$K$1012,'bd caja'!$D$1:$D$1012,A184)</f>
        <v>0</v>
      </c>
      <c r="C184" s="19">
        <f>IFERROR(__xludf.DUMMYFUNCTION("""COMPUTED_VALUE"""),45086.451726921296)</f>
        <v>45086.45173</v>
      </c>
      <c r="D184" s="7" t="str">
        <f>IFERROR(__xludf.DUMMYFUNCTION("""COMPUTED_VALUE"""),"WAMBA")</f>
        <v>WAMBA</v>
      </c>
      <c r="E184" s="7" t="str">
        <f>IFERROR(__xludf.DUMMYFUNCTION("""COMPUTED_VALUE"""),"MARIA VICTORIA")</f>
        <v>MARIA VICTORIA</v>
      </c>
      <c r="F184" s="7" t="str">
        <f>IFERROR(__xludf.DUMMYFUNCTION("""COMPUTED_VALUE"""),"vickywamba@hotmail.com")</f>
        <v>vickywamba@hotmail.com</v>
      </c>
      <c r="G184" s="20">
        <f>IFERROR(__xludf.DUMMYFUNCTION("""COMPUTED_VALUE"""),28249.0)</f>
        <v>28249</v>
      </c>
      <c r="H184" s="7">
        <f>IFERROR(__xludf.DUMMYFUNCTION("""COMPUTED_VALUE"""),2.5917273E7)</f>
        <v>25917273</v>
      </c>
      <c r="I184" s="7">
        <f>IFERROR(__xludf.DUMMYFUNCTION("""COMPUTED_VALUE"""),3.515138175E9)</f>
        <v>3515138175</v>
      </c>
      <c r="J184" s="7" t="str">
        <f>IFERROR(__xludf.DUMMYFUNCTION("""COMPUTED_VALUE"""),"Recomendación")</f>
        <v>Recomendación</v>
      </c>
      <c r="K184" s="7" t="str">
        <f>IFERROR(__xludf.DUMMYFUNCTION("""COMPUTED_VALUE"""),"Obra social")</f>
        <v>Obra social</v>
      </c>
      <c r="L184" s="7" t="str">
        <f>IFERROR(__xludf.DUMMYFUNCTION("""COMPUTED_VALUE"""),"CAJA NOTARIAL")</f>
        <v>CAJA NOTARIAL</v>
      </c>
      <c r="M184" s="7"/>
      <c r="N184" s="7"/>
      <c r="O184" s="7"/>
      <c r="P184" s="7"/>
      <c r="Q184" s="7"/>
      <c r="R184" s="7"/>
      <c r="S184" s="7"/>
    </row>
    <row r="185">
      <c r="A185" s="7" t="str">
        <f t="shared" si="1"/>
        <v>Vartanian, Marcelo</v>
      </c>
      <c r="B185" s="7">
        <f>SUMIFS('bd caja'!$K$1:$K$1012,'bd caja'!$D$1:$D$1012,A185)</f>
        <v>0</v>
      </c>
      <c r="C185" s="19">
        <f>IFERROR(__xludf.DUMMYFUNCTION("""COMPUTED_VALUE"""),45086.82634329861)</f>
        <v>45086.82634</v>
      </c>
      <c r="D185" s="7" t="str">
        <f>IFERROR(__xludf.DUMMYFUNCTION("""COMPUTED_VALUE"""),"Vartanian")</f>
        <v>Vartanian</v>
      </c>
      <c r="E185" s="7" t="str">
        <f>IFERROR(__xludf.DUMMYFUNCTION("""COMPUTED_VALUE"""),"Marcelo")</f>
        <v>Marcelo</v>
      </c>
      <c r="F185" s="7" t="str">
        <f>IFERROR(__xludf.DUMMYFUNCTION("""COMPUTED_VALUE"""),"vartanianmarcelo@hotmail.com")</f>
        <v>vartanianmarcelo@hotmail.com</v>
      </c>
      <c r="G185" s="20">
        <f>IFERROR(__xludf.DUMMYFUNCTION("""COMPUTED_VALUE"""),26319.0)</f>
        <v>26319</v>
      </c>
      <c r="H185" s="7">
        <f>IFERROR(__xludf.DUMMYFUNCTION("""COMPUTED_VALUE"""),2.256362E7)</f>
        <v>22563620</v>
      </c>
      <c r="I185" s="7">
        <f>IFERROR(__xludf.DUMMYFUNCTION("""COMPUTED_VALUE"""),3.512050168E9)</f>
        <v>3512050168</v>
      </c>
      <c r="J185" s="7" t="str">
        <f>IFERROR(__xludf.DUMMYFUNCTION("""COMPUTED_VALUE"""),"Recomendación")</f>
        <v>Recomendación</v>
      </c>
      <c r="K185" s="7" t="str">
        <f>IFERROR(__xludf.DUMMYFUNCTION("""COMPUTED_VALUE"""),"Particular")</f>
        <v>Particular</v>
      </c>
      <c r="L185" s="7"/>
      <c r="M185" s="7"/>
      <c r="N185" s="7"/>
      <c r="O185" s="7"/>
      <c r="P185" s="7"/>
      <c r="Q185" s="7"/>
      <c r="R185" s="7"/>
      <c r="S185" s="7"/>
    </row>
    <row r="186">
      <c r="A186" s="7" t="str">
        <f t="shared" si="1"/>
        <v>Pucheta, Jorge luis</v>
      </c>
      <c r="B186" s="7">
        <f>SUMIFS('bd caja'!$K$1:$K$1012,'bd caja'!$D$1:$D$1012,A186)</f>
        <v>0</v>
      </c>
      <c r="C186" s="19">
        <f>IFERROR(__xludf.DUMMYFUNCTION("""COMPUTED_VALUE"""),45089.63113069444)</f>
        <v>45089.63113</v>
      </c>
      <c r="D186" s="7" t="str">
        <f>IFERROR(__xludf.DUMMYFUNCTION("""COMPUTED_VALUE"""),"Pucheta")</f>
        <v>Pucheta</v>
      </c>
      <c r="E186" s="7" t="str">
        <f>IFERROR(__xludf.DUMMYFUNCTION("""COMPUTED_VALUE"""),"Jorge luis")</f>
        <v>Jorge luis</v>
      </c>
      <c r="F186" s="7" t="str">
        <f>IFERROR(__xludf.DUMMYFUNCTION("""COMPUTED_VALUE"""),"Puchetajorge498@gmail.com")</f>
        <v>Puchetajorge498@gmail.com</v>
      </c>
      <c r="G186" s="20">
        <f>IFERROR(__xludf.DUMMYFUNCTION("""COMPUTED_VALUE"""),23013.0)</f>
        <v>23013</v>
      </c>
      <c r="H186" s="7">
        <f>IFERROR(__xludf.DUMMYFUNCTION("""COMPUTED_VALUE"""),1.6123236E7)</f>
        <v>16123236</v>
      </c>
      <c r="I186" s="7">
        <f>IFERROR(__xludf.DUMMYFUNCTION("""COMPUTED_VALUE"""),3.515631119E9)</f>
        <v>3515631119</v>
      </c>
      <c r="J186" s="7" t="str">
        <f>IFERROR(__xludf.DUMMYFUNCTION("""COMPUTED_VALUE"""),"Recomendación")</f>
        <v>Recomendación</v>
      </c>
      <c r="K186" s="7" t="str">
        <f>IFERROR(__xludf.DUMMYFUNCTION("""COMPUTED_VALUE"""),"Particular")</f>
        <v>Particular</v>
      </c>
      <c r="L186" s="7"/>
      <c r="M186" s="7"/>
      <c r="N186" s="7"/>
      <c r="O186" s="7"/>
      <c r="P186" s="7"/>
      <c r="Q186" s="7"/>
      <c r="R186" s="7"/>
      <c r="S186" s="7"/>
    </row>
    <row r="187">
      <c r="A187" s="7" t="str">
        <f t="shared" si="1"/>
        <v>Rivero , Cecilia del Valle </v>
      </c>
      <c r="B187" s="7">
        <f>SUMIFS('bd caja'!$K$1:$K$1012,'bd caja'!$D$1:$D$1012,A187)</f>
        <v>0</v>
      </c>
      <c r="C187" s="19">
        <f>IFERROR(__xludf.DUMMYFUNCTION("""COMPUTED_VALUE"""),45089.7304990625)</f>
        <v>45089.7305</v>
      </c>
      <c r="D187" s="7" t="str">
        <f>IFERROR(__xludf.DUMMYFUNCTION("""COMPUTED_VALUE"""),"Rivero ")</f>
        <v>Rivero </v>
      </c>
      <c r="E187" s="7" t="str">
        <f>IFERROR(__xludf.DUMMYFUNCTION("""COMPUTED_VALUE"""),"Cecilia del Valle ")</f>
        <v>Cecilia del Valle </v>
      </c>
      <c r="F187" s="7" t="str">
        <f>IFERROR(__xludf.DUMMYFUNCTION("""COMPUTED_VALUE"""),"ceciliarivero1975@yahoo.com.ar")</f>
        <v>ceciliarivero1975@yahoo.com.ar</v>
      </c>
      <c r="G187" s="20">
        <f>IFERROR(__xludf.DUMMYFUNCTION("""COMPUTED_VALUE"""),27578.0)</f>
        <v>27578</v>
      </c>
      <c r="H187" s="21">
        <f>IFERROR(__xludf.DUMMYFUNCTION("""COMPUTED_VALUE"""),2.4726469E7)</f>
        <v>24726469</v>
      </c>
      <c r="I187" s="7">
        <f>IFERROR(__xludf.DUMMYFUNCTION("""COMPUTED_VALUE"""),3.516575554E9)</f>
        <v>3516575554</v>
      </c>
      <c r="J187" s="7" t="str">
        <f>IFERROR(__xludf.DUMMYFUNCTION("""COMPUTED_VALUE"""),"Cartilla Obra Social")</f>
        <v>Cartilla Obra Social</v>
      </c>
      <c r="K187" s="7" t="str">
        <f>IFERROR(__xludf.DUMMYFUNCTION("""COMPUTED_VALUE"""),"Obra social")</f>
        <v>Obra social</v>
      </c>
      <c r="L187" s="7" t="str">
        <f>IFERROR(__xludf.DUMMYFUNCTION("""COMPUTED_VALUE"""),"PREVENCIÓN")</f>
        <v>PREVENCIÓN</v>
      </c>
      <c r="M187" s="7"/>
      <c r="N187" s="7"/>
      <c r="O187" s="7"/>
      <c r="P187" s="7"/>
      <c r="Q187" s="7"/>
      <c r="R187" s="7"/>
      <c r="S187" s="7"/>
    </row>
    <row r="188">
      <c r="A188" s="7" t="str">
        <f t="shared" si="1"/>
        <v>Bellido , Alberto </v>
      </c>
      <c r="B188" s="7">
        <f>SUMIFS('bd caja'!$K$1:$K$1012,'bd caja'!$D$1:$D$1012,A188)</f>
        <v>0</v>
      </c>
      <c r="C188" s="19">
        <f>IFERROR(__xludf.DUMMYFUNCTION("""COMPUTED_VALUE"""),45090.72352435185)</f>
        <v>45090.72352</v>
      </c>
      <c r="D188" s="7" t="str">
        <f>IFERROR(__xludf.DUMMYFUNCTION("""COMPUTED_VALUE"""),"Bellido ")</f>
        <v>Bellido </v>
      </c>
      <c r="E188" s="7" t="str">
        <f>IFERROR(__xludf.DUMMYFUNCTION("""COMPUTED_VALUE"""),"Alberto ")</f>
        <v>Alberto </v>
      </c>
      <c r="F188" s="7" t="str">
        <f>IFERROR(__xludf.DUMMYFUNCTION("""COMPUTED_VALUE"""),"Albertobell@gmail.com")</f>
        <v>Albertobell@gmail.com</v>
      </c>
      <c r="G188" s="20">
        <f>IFERROR(__xludf.DUMMYFUNCTION("""COMPUTED_VALUE"""),27482.0)</f>
        <v>27482</v>
      </c>
      <c r="H188" s="7">
        <f>IFERROR(__xludf.DUMMYFUNCTION("""COMPUTED_VALUE"""),2.4504732E7)</f>
        <v>24504732</v>
      </c>
      <c r="I188" s="7">
        <f>IFERROR(__xludf.DUMMYFUNCTION("""COMPUTED_VALUE"""),3.512191091E9)</f>
        <v>3512191091</v>
      </c>
      <c r="J188" s="7" t="str">
        <f>IFERROR(__xludf.DUMMYFUNCTION("""COMPUTED_VALUE"""),"Recomendación")</f>
        <v>Recomendación</v>
      </c>
      <c r="K188" s="7" t="str">
        <f>IFERROR(__xludf.DUMMYFUNCTION("""COMPUTED_VALUE"""),"Particular")</f>
        <v>Particular</v>
      </c>
      <c r="L188" s="7"/>
      <c r="M188" s="7"/>
      <c r="N188" s="7"/>
      <c r="O188" s="7"/>
      <c r="P188" s="7"/>
      <c r="Q188" s="7"/>
      <c r="R188" s="7"/>
      <c r="S188" s="7"/>
    </row>
    <row r="189">
      <c r="A189" s="7" t="str">
        <f t="shared" si="1"/>
        <v>Agundez , Alejo</v>
      </c>
      <c r="B189" s="7">
        <f>SUMIFS('bd caja'!$K$1:$K$1012,'bd caja'!$D$1:$D$1012,A189)</f>
        <v>0</v>
      </c>
      <c r="C189" s="19">
        <f>IFERROR(__xludf.DUMMYFUNCTION("""COMPUTED_VALUE"""),45090.73405766203)</f>
        <v>45090.73406</v>
      </c>
      <c r="D189" s="7" t="str">
        <f>IFERROR(__xludf.DUMMYFUNCTION("""COMPUTED_VALUE"""),"Agundez ")</f>
        <v>Agundez </v>
      </c>
      <c r="E189" s="7" t="str">
        <f>IFERROR(__xludf.DUMMYFUNCTION("""COMPUTED_VALUE"""),"Alejo")</f>
        <v>Alejo</v>
      </c>
      <c r="F189" s="7" t="str">
        <f>IFERROR(__xludf.DUMMYFUNCTION("""COMPUTED_VALUE"""),"alejoagundez13@gmail.com")</f>
        <v>alejoagundez13@gmail.com</v>
      </c>
      <c r="G189" s="20">
        <f>IFERROR(__xludf.DUMMYFUNCTION("""COMPUTED_VALUE"""),37677.0)</f>
        <v>37677</v>
      </c>
      <c r="H189" s="7">
        <f>IFERROR(__xludf.DUMMYFUNCTION("""COMPUTED_VALUE"""),4.4672704E7)</f>
        <v>44672704</v>
      </c>
      <c r="I189" s="7">
        <f>IFERROR(__xludf.DUMMYFUNCTION("""COMPUTED_VALUE"""),3.5137396E9)</f>
        <v>3513739600</v>
      </c>
      <c r="J189" s="7" t="str">
        <f>IFERROR(__xludf.DUMMYFUNCTION("""COMPUTED_VALUE"""),"Recomendación")</f>
        <v>Recomendación</v>
      </c>
      <c r="K189" s="7" t="str">
        <f>IFERROR(__xludf.DUMMYFUNCTION("""COMPUTED_VALUE"""),"Obra social")</f>
        <v>Obra social</v>
      </c>
      <c r="L189" s="7" t="str">
        <f>IFERROR(__xludf.DUMMYFUNCTION("""COMPUTED_VALUE"""),"Medife")</f>
        <v>Medife</v>
      </c>
      <c r="M189" s="7"/>
      <c r="N189" s="7"/>
      <c r="O189" s="7"/>
      <c r="P189" s="7"/>
      <c r="Q189" s="7"/>
      <c r="R189" s="7"/>
      <c r="S189" s="7"/>
    </row>
    <row r="190">
      <c r="A190" s="7" t="str">
        <f t="shared" si="1"/>
        <v>Piechenstainer , Estefania </v>
      </c>
      <c r="B190" s="7">
        <f>SUMIFS('bd caja'!$K$1:$K$1012,'bd caja'!$D$1:$D$1012,A190)</f>
        <v>0</v>
      </c>
      <c r="C190" s="19">
        <f>IFERROR(__xludf.DUMMYFUNCTION("""COMPUTED_VALUE"""),45090.83396101852)</f>
        <v>45090.83396</v>
      </c>
      <c r="D190" s="7" t="str">
        <f>IFERROR(__xludf.DUMMYFUNCTION("""COMPUTED_VALUE"""),"Piechenstainer ")</f>
        <v>Piechenstainer </v>
      </c>
      <c r="E190" s="7" t="str">
        <f>IFERROR(__xludf.DUMMYFUNCTION("""COMPUTED_VALUE"""),"Estefania ")</f>
        <v>Estefania </v>
      </c>
      <c r="F190" s="7" t="str">
        <f>IFERROR(__xludf.DUMMYFUNCTION("""COMPUTED_VALUE"""),"estefaniapiechenstainer@gmail.com")</f>
        <v>estefaniapiechenstainer@gmail.com</v>
      </c>
      <c r="G190" s="20">
        <f>IFERROR(__xludf.DUMMYFUNCTION("""COMPUTED_VALUE"""),29738.0)</f>
        <v>29738</v>
      </c>
      <c r="H190" s="7">
        <f>IFERROR(__xludf.DUMMYFUNCTION("""COMPUTED_VALUE"""),2.885093E7)</f>
        <v>28850930</v>
      </c>
      <c r="I190" s="7">
        <f>IFERROR(__xludf.DUMMYFUNCTION("""COMPUTED_VALUE"""),3.513235241E9)</f>
        <v>3513235241</v>
      </c>
      <c r="J190" s="7" t="str">
        <f>IFERROR(__xludf.DUMMYFUNCTION("""COMPUTED_VALUE"""),"Recomendación")</f>
        <v>Recomendación</v>
      </c>
      <c r="K190" s="7" t="str">
        <f>IFERROR(__xludf.DUMMYFUNCTION("""COMPUTED_VALUE"""),"Obra social")</f>
        <v>Obra social</v>
      </c>
      <c r="L190" s="7" t="str">
        <f>IFERROR(__xludf.DUMMYFUNCTION("""COMPUTED_VALUE"""),"DASPU")</f>
        <v>DASPU</v>
      </c>
      <c r="M190" s="7"/>
      <c r="N190" s="7"/>
      <c r="O190" s="7"/>
      <c r="P190" s="7"/>
      <c r="Q190" s="7"/>
      <c r="R190" s="7"/>
      <c r="S190" s="7"/>
    </row>
    <row r="191">
      <c r="A191" s="7" t="str">
        <f t="shared" si="1"/>
        <v>Rosso, Maximiliano </v>
      </c>
      <c r="B191" s="7">
        <f>SUMIFS('bd caja'!$K$1:$K$1012,'bd caja'!$D$1:$D$1012,A191)</f>
        <v>0</v>
      </c>
      <c r="C191" s="19">
        <f>IFERROR(__xludf.DUMMYFUNCTION("""COMPUTED_VALUE"""),45091.511530856485)</f>
        <v>45091.51153</v>
      </c>
      <c r="D191" s="7" t="str">
        <f>IFERROR(__xludf.DUMMYFUNCTION("""COMPUTED_VALUE"""),"Rosso")</f>
        <v>Rosso</v>
      </c>
      <c r="E191" s="7" t="str">
        <f>IFERROR(__xludf.DUMMYFUNCTION("""COMPUTED_VALUE"""),"Maximiliano ")</f>
        <v>Maximiliano </v>
      </c>
      <c r="F191" s="7" t="str">
        <f>IFERROR(__xludf.DUMMYFUNCTION("""COMPUTED_VALUE"""),"maxirosso271@gmail.com")</f>
        <v>maxirosso271@gmail.com</v>
      </c>
      <c r="G191" s="20">
        <f>IFERROR(__xludf.DUMMYFUNCTION("""COMPUTED_VALUE"""),37806.0)</f>
        <v>37806</v>
      </c>
      <c r="H191" s="7">
        <f>IFERROR(__xludf.DUMMYFUNCTION("""COMPUTED_VALUE"""),4.4872734E7)</f>
        <v>44872734</v>
      </c>
      <c r="I191" s="7">
        <f>IFERROR(__xludf.DUMMYFUNCTION("""COMPUTED_VALUE"""),3.512254247E9)</f>
        <v>3512254247</v>
      </c>
      <c r="J191" s="7" t="str">
        <f>IFERROR(__xludf.DUMMYFUNCTION("""COMPUTED_VALUE"""),"Voy al gym Manantial")</f>
        <v>Voy al gym Manantial</v>
      </c>
      <c r="K191" s="7" t="str">
        <f>IFERROR(__xludf.DUMMYFUNCTION("""COMPUTED_VALUE"""),"Obra social")</f>
        <v>Obra social</v>
      </c>
      <c r="L191" s="7" t="str">
        <f>IFERROR(__xludf.DUMMYFUNCTION("""COMPUTED_VALUE"""),"Medifé ")</f>
        <v>Medifé </v>
      </c>
      <c r="M191" s="7"/>
      <c r="N191" s="7"/>
      <c r="O191" s="7"/>
      <c r="P191" s="7"/>
      <c r="Q191" s="7"/>
      <c r="R191" s="7"/>
      <c r="S191" s="7"/>
    </row>
    <row r="192">
      <c r="A192" s="7" t="str">
        <f t="shared" si="1"/>
        <v>Maldona, Lucas</v>
      </c>
      <c r="B192" s="7">
        <f>SUMIFS('bd caja'!$K$1:$K$1012,'bd caja'!$D$1:$D$1012,A192)</f>
        <v>0</v>
      </c>
      <c r="C192" s="19">
        <f>IFERROR(__xludf.DUMMYFUNCTION("""COMPUTED_VALUE"""),45098.633617060186)</f>
        <v>45098.63362</v>
      </c>
      <c r="D192" s="7" t="str">
        <f>IFERROR(__xludf.DUMMYFUNCTION("""COMPUTED_VALUE"""),"Maldona")</f>
        <v>Maldona</v>
      </c>
      <c r="E192" s="7" t="str">
        <f>IFERROR(__xludf.DUMMYFUNCTION("""COMPUTED_VALUE"""),"Lucas")</f>
        <v>Lucas</v>
      </c>
      <c r="F192" s="7" t="str">
        <f>IFERROR(__xludf.DUMMYFUNCTION("""COMPUTED_VALUE"""),"lucasmaldonado1960@gmail.com")</f>
        <v>lucasmaldonado1960@gmail.com</v>
      </c>
      <c r="G192" s="20">
        <f>IFERROR(__xludf.DUMMYFUNCTION("""COMPUTED_VALUE"""),22094.0)</f>
        <v>22094</v>
      </c>
      <c r="H192" s="7">
        <f>IFERROR(__xludf.DUMMYFUNCTION("""COMPUTED_VALUE"""),1.3269689E7)</f>
        <v>13269689</v>
      </c>
      <c r="I192" s="7">
        <f>IFERROR(__xludf.DUMMYFUNCTION("""COMPUTED_VALUE"""),3.5136098E9)</f>
        <v>3513609800</v>
      </c>
      <c r="J192" s="7" t="str">
        <f>IFERROR(__xludf.DUMMYFUNCTION("""COMPUTED_VALUE"""),"Recomendación")</f>
        <v>Recomendación</v>
      </c>
      <c r="K192" s="7" t="str">
        <f>IFERROR(__xludf.DUMMYFUNCTION("""COMPUTED_VALUE"""),"Obra social")</f>
        <v>Obra social</v>
      </c>
      <c r="L192" s="7" t="str">
        <f>IFERROR(__xludf.DUMMYFUNCTION("""COMPUTED_VALUE"""),"CPCE")</f>
        <v>CPCE</v>
      </c>
      <c r="M192" s="7"/>
      <c r="N192" s="7"/>
      <c r="O192" s="7"/>
      <c r="P192" s="7"/>
      <c r="Q192" s="7"/>
      <c r="R192" s="7"/>
      <c r="S192" s="7"/>
    </row>
    <row r="193">
      <c r="A193" s="7" t="str">
        <f t="shared" si="1"/>
        <v>Caballero, Daina</v>
      </c>
      <c r="B193" s="7">
        <f>SUMIFS('bd caja'!$K$1:$K$1012,'bd caja'!$D$1:$D$1012,A193)</f>
        <v>0</v>
      </c>
      <c r="C193" s="19">
        <f>IFERROR(__xludf.DUMMYFUNCTION("""COMPUTED_VALUE"""),45098.86861443287)</f>
        <v>45098.86861</v>
      </c>
      <c r="D193" s="7" t="str">
        <f>IFERROR(__xludf.DUMMYFUNCTION("""COMPUTED_VALUE"""),"Caballero")</f>
        <v>Caballero</v>
      </c>
      <c r="E193" s="7" t="str">
        <f>IFERROR(__xludf.DUMMYFUNCTION("""COMPUTED_VALUE"""),"Daina")</f>
        <v>Daina</v>
      </c>
      <c r="F193" s="7" t="str">
        <f>IFERROR(__xludf.DUMMYFUNCTION("""COMPUTED_VALUE"""),"daianacaballero063@gmail.com")</f>
        <v>daianacaballero063@gmail.com</v>
      </c>
      <c r="G193" s="20">
        <f>IFERROR(__xludf.DUMMYFUNCTION("""COMPUTED_VALUE"""),35140.0)</f>
        <v>35140</v>
      </c>
      <c r="H193" s="7">
        <f>IFERROR(__xludf.DUMMYFUNCTION("""COMPUTED_VALUE"""),3.9605038E7)</f>
        <v>39605038</v>
      </c>
      <c r="I193" s="7">
        <f>IFERROR(__xludf.DUMMYFUNCTION("""COMPUTED_VALUE"""),3.516456821E9)</f>
        <v>3516456821</v>
      </c>
      <c r="J193" s="7" t="str">
        <f>IFERROR(__xludf.DUMMYFUNCTION("""COMPUTED_VALUE"""),"Recomendación")</f>
        <v>Recomendación</v>
      </c>
      <c r="K193" s="7" t="str">
        <f>IFERROR(__xludf.DUMMYFUNCTION("""COMPUTED_VALUE"""),"Obra social")</f>
        <v>Obra social</v>
      </c>
      <c r="L193" s="7" t="str">
        <f>IFERROR(__xludf.DUMMYFUNCTION("""COMPUTED_VALUE"""),"Ossoelsac")</f>
        <v>Ossoelsac</v>
      </c>
      <c r="M193" s="7"/>
      <c r="N193" s="7"/>
      <c r="O193" s="7"/>
      <c r="P193" s="7"/>
      <c r="Q193" s="7"/>
      <c r="R193" s="7"/>
      <c r="S193" s="7"/>
    </row>
    <row r="194">
      <c r="A194" s="7" t="str">
        <f t="shared" si="1"/>
        <v>Bianchi, Chiara</v>
      </c>
      <c r="B194" s="7">
        <f>SUMIFS('bd caja'!$K$1:$K$1012,'bd caja'!$D$1:$D$1012,A194)</f>
        <v>0</v>
      </c>
      <c r="C194" s="19">
        <f>IFERROR(__xludf.DUMMYFUNCTION("""COMPUTED_VALUE"""),45099.79159581018)</f>
        <v>45099.7916</v>
      </c>
      <c r="D194" s="7" t="str">
        <f>IFERROR(__xludf.DUMMYFUNCTION("""COMPUTED_VALUE"""),"Bianchi")</f>
        <v>Bianchi</v>
      </c>
      <c r="E194" s="7" t="str">
        <f>IFERROR(__xludf.DUMMYFUNCTION("""COMPUTED_VALUE"""),"Chiara")</f>
        <v>Chiara</v>
      </c>
      <c r="F194" s="7" t="str">
        <f>IFERROR(__xludf.DUMMYFUNCTION("""COMPUTED_VALUE"""),"chiaribianchi378@gmail.com")</f>
        <v>chiaribianchi378@gmail.com</v>
      </c>
      <c r="G194" s="20">
        <f>IFERROR(__xludf.DUMMYFUNCTION("""COMPUTED_VALUE"""),37261.0)</f>
        <v>37261</v>
      </c>
      <c r="H194" s="7">
        <f>IFERROR(__xludf.DUMMYFUNCTION("""COMPUTED_VALUE"""),4.3812698E7)</f>
        <v>43812698</v>
      </c>
      <c r="I194" s="7">
        <f>IFERROR(__xludf.DUMMYFUNCTION("""COMPUTED_VALUE"""),3.512834841E9)</f>
        <v>3512834841</v>
      </c>
      <c r="J194" s="7" t="str">
        <f>IFERROR(__xludf.DUMMYFUNCTION("""COMPUTED_VALUE"""),"Recomendación")</f>
        <v>Recomendación</v>
      </c>
      <c r="K194" s="7" t="str">
        <f>IFERROR(__xludf.DUMMYFUNCTION("""COMPUTED_VALUE"""),"Obra social")</f>
        <v>Obra social</v>
      </c>
      <c r="L194" s="7" t="str">
        <f>IFERROR(__xludf.DUMMYFUNCTION("""COMPUTED_VALUE"""),"APROSS")</f>
        <v>APROSS</v>
      </c>
      <c r="M194" s="7"/>
      <c r="N194" s="7"/>
      <c r="O194" s="7"/>
      <c r="P194" s="7"/>
      <c r="Q194" s="7"/>
      <c r="R194" s="7"/>
      <c r="S194" s="7"/>
    </row>
    <row r="195">
      <c r="A195" s="7" t="str">
        <f t="shared" si="1"/>
        <v>Albarracin, Alberto</v>
      </c>
      <c r="B195" s="7">
        <f>SUMIFS('bd caja'!$K$1:$K$1012,'bd caja'!$D$1:$D$1012,A195)</f>
        <v>0</v>
      </c>
      <c r="C195" s="19">
        <f>IFERROR(__xludf.DUMMYFUNCTION("""COMPUTED_VALUE"""),45099.832243275465)</f>
        <v>45099.83224</v>
      </c>
      <c r="D195" s="7" t="str">
        <f>IFERROR(__xludf.DUMMYFUNCTION("""COMPUTED_VALUE"""),"Albarracin")</f>
        <v>Albarracin</v>
      </c>
      <c r="E195" s="7" t="str">
        <f>IFERROR(__xludf.DUMMYFUNCTION("""COMPUTED_VALUE"""),"Alberto")</f>
        <v>Alberto</v>
      </c>
      <c r="F195" s="7" t="str">
        <f>IFERROR(__xludf.DUMMYFUNCTION("""COMPUTED_VALUE"""),"Ventas@gtecdesarrollosyservicios.com")</f>
        <v>Ventas@gtecdesarrollosyservicios.com</v>
      </c>
      <c r="G195" s="20">
        <f>IFERROR(__xludf.DUMMYFUNCTION("""COMPUTED_VALUE"""),31941.0)</f>
        <v>31941</v>
      </c>
      <c r="H195" s="7">
        <f>IFERROR(__xludf.DUMMYFUNCTION("""COMPUTED_VALUE"""),3.3101207E7)</f>
        <v>33101207</v>
      </c>
      <c r="I195" s="7">
        <f>IFERROR(__xludf.DUMMYFUNCTION("""COMPUTED_VALUE"""),3.513165406E9)</f>
        <v>3513165406</v>
      </c>
      <c r="J195" s="7" t="str">
        <f>IFERROR(__xludf.DUMMYFUNCTION("""COMPUTED_VALUE"""),"Recomendación")</f>
        <v>Recomendación</v>
      </c>
      <c r="K195" s="7" t="str">
        <f>IFERROR(__xludf.DUMMYFUNCTION("""COMPUTED_VALUE"""),"Particular")</f>
        <v>Particular</v>
      </c>
      <c r="L195" s="7"/>
      <c r="M195" s="7"/>
      <c r="N195" s="7"/>
      <c r="O195" s="7"/>
      <c r="P195" s="7"/>
      <c r="Q195" s="7"/>
      <c r="R195" s="7"/>
      <c r="S195" s="7"/>
    </row>
    <row r="196">
      <c r="A196" s="7" t="str">
        <f t="shared" si="1"/>
        <v>ROQUE, MARIA EMILIA</v>
      </c>
      <c r="B196" s="7">
        <f>SUMIFS('bd caja'!$K$1:$K$1012,'bd caja'!$D$1:$D$1012,A196)</f>
        <v>0</v>
      </c>
      <c r="C196" s="19">
        <f>IFERROR(__xludf.DUMMYFUNCTION("""COMPUTED_VALUE"""),45100.63430614583)</f>
        <v>45100.63431</v>
      </c>
      <c r="D196" s="7" t="str">
        <f>IFERROR(__xludf.DUMMYFUNCTION("""COMPUTED_VALUE"""),"ROQUE")</f>
        <v>ROQUE</v>
      </c>
      <c r="E196" s="7" t="str">
        <f>IFERROR(__xludf.DUMMYFUNCTION("""COMPUTED_VALUE"""),"MARIA EMILIA")</f>
        <v>MARIA EMILIA</v>
      </c>
      <c r="F196" s="7" t="str">
        <f>IFERROR(__xludf.DUMMYFUNCTION("""COMPUTED_VALUE"""),"maraiemiliaroque@gmail.com")</f>
        <v>maraiemiliaroque@gmail.com</v>
      </c>
      <c r="G196" s="20">
        <f>IFERROR(__xludf.DUMMYFUNCTION("""COMPUTED_VALUE"""),33540.0)</f>
        <v>33540</v>
      </c>
      <c r="H196" s="7">
        <f>IFERROR(__xludf.DUMMYFUNCTION("""COMPUTED_VALUE"""),3.6141845E7)</f>
        <v>36141845</v>
      </c>
      <c r="I196" s="7">
        <f>IFERROR(__xludf.DUMMYFUNCTION("""COMPUTED_VALUE"""),3.516367337E9)</f>
        <v>3516367337</v>
      </c>
      <c r="J196" s="7" t="str">
        <f>IFERROR(__xludf.DUMMYFUNCTION("""COMPUTED_VALUE"""),"Recomendación")</f>
        <v>Recomendación</v>
      </c>
      <c r="K196" s="7" t="str">
        <f>IFERROR(__xludf.DUMMYFUNCTION("""COMPUTED_VALUE"""),"Particular")</f>
        <v>Particular</v>
      </c>
      <c r="L196" s="7"/>
      <c r="M196" s="7"/>
      <c r="N196" s="7"/>
      <c r="O196" s="7"/>
      <c r="P196" s="7"/>
      <c r="Q196" s="7"/>
      <c r="R196" s="7"/>
      <c r="S196" s="7"/>
    </row>
    <row r="197">
      <c r="A197" s="7" t="str">
        <f t="shared" si="1"/>
        <v>RIVELLO, Nora</v>
      </c>
      <c r="B197" s="7">
        <f>SUMIFS('bd caja'!$K$1:$K$1012,'bd caja'!$D$1:$D$1012,A197)</f>
        <v>0</v>
      </c>
      <c r="C197" s="19">
        <f>IFERROR(__xludf.DUMMYFUNCTION("""COMPUTED_VALUE"""),45103.70873989583)</f>
        <v>45103.70874</v>
      </c>
      <c r="D197" s="7" t="str">
        <f>IFERROR(__xludf.DUMMYFUNCTION("""COMPUTED_VALUE"""),"RIVELLO")</f>
        <v>RIVELLO</v>
      </c>
      <c r="E197" s="7" t="str">
        <f>IFERROR(__xludf.DUMMYFUNCTION("""COMPUTED_VALUE"""),"Nora")</f>
        <v>Nora</v>
      </c>
      <c r="F197" s="7" t="str">
        <f>IFERROR(__xludf.DUMMYFUNCTION("""COMPUTED_VALUE"""),"norasrivello@gmail.com")</f>
        <v>norasrivello@gmail.com</v>
      </c>
      <c r="G197" s="20">
        <f>IFERROR(__xludf.DUMMYFUNCTION("""COMPUTED_VALUE"""),22168.0)</f>
        <v>22168</v>
      </c>
      <c r="H197" s="7">
        <f>IFERROR(__xludf.DUMMYFUNCTION("""COMPUTED_VALUE"""),1.4292414E7)</f>
        <v>14292414</v>
      </c>
      <c r="I197" s="7">
        <f>IFERROR(__xludf.DUMMYFUNCTION("""COMPUTED_VALUE"""),3.517606768E9)</f>
        <v>3517606768</v>
      </c>
      <c r="J197" s="7" t="str">
        <f>IFERROR(__xludf.DUMMYFUNCTION("""COMPUTED_VALUE"""),"Recomendación")</f>
        <v>Recomendación</v>
      </c>
      <c r="K197" s="7" t="str">
        <f>IFERROR(__xludf.DUMMYFUNCTION("""COMPUTED_VALUE"""),"Obra social")</f>
        <v>Obra social</v>
      </c>
      <c r="L197" s="7" t="str">
        <f>IFERROR(__xludf.DUMMYFUNCTION("""COMPUTED_VALUE"""),"CPCE")</f>
        <v>CPCE</v>
      </c>
      <c r="M197" s="7"/>
      <c r="N197" s="7"/>
      <c r="O197" s="7"/>
      <c r="P197" s="7"/>
      <c r="Q197" s="7"/>
      <c r="R197" s="7"/>
      <c r="S197" s="7"/>
    </row>
    <row r="198">
      <c r="A198" s="7" t="str">
        <f t="shared" si="1"/>
        <v>Amilibia, Camila</v>
      </c>
      <c r="B198" s="7">
        <f>SUMIFS('bd caja'!$K$1:$K$1012,'bd caja'!$D$1:$D$1012,A198)</f>
        <v>0</v>
      </c>
      <c r="C198" s="19">
        <f>IFERROR(__xludf.DUMMYFUNCTION("""COMPUTED_VALUE"""),45103.84089894676)</f>
        <v>45103.8409</v>
      </c>
      <c r="D198" s="7" t="str">
        <f>IFERROR(__xludf.DUMMYFUNCTION("""COMPUTED_VALUE"""),"Amilibia")</f>
        <v>Amilibia</v>
      </c>
      <c r="E198" s="7" t="str">
        <f>IFERROR(__xludf.DUMMYFUNCTION("""COMPUTED_VALUE"""),"Camila")</f>
        <v>Camila</v>
      </c>
      <c r="F198" s="7" t="str">
        <f>IFERROR(__xludf.DUMMYFUNCTION("""COMPUTED_VALUE"""),"cami-amilibia@hotmail.com")</f>
        <v>cami-amilibia@hotmail.com</v>
      </c>
      <c r="G198" s="20">
        <f>IFERROR(__xludf.DUMMYFUNCTION("""COMPUTED_VALUE"""),36460.0)</f>
        <v>36460</v>
      </c>
      <c r="H198" s="7">
        <f>IFERROR(__xludf.DUMMYFUNCTION("""COMPUTED_VALUE"""),4.2160571E7)</f>
        <v>42160571</v>
      </c>
      <c r="I198" s="7">
        <f>IFERROR(__xludf.DUMMYFUNCTION("""COMPUTED_VALUE"""),3.513492216E9)</f>
        <v>3513492216</v>
      </c>
      <c r="J198" s="7" t="str">
        <f>IFERROR(__xludf.DUMMYFUNCTION("""COMPUTED_VALUE"""),"Recomendación")</f>
        <v>Recomendación</v>
      </c>
      <c r="K198" s="7" t="str">
        <f>IFERROR(__xludf.DUMMYFUNCTION("""COMPUTED_VALUE"""),"Obra social")</f>
        <v>Obra social</v>
      </c>
      <c r="L198" s="7" t="str">
        <f>IFERROR(__xludf.DUMMYFUNCTION("""COMPUTED_VALUE"""),"SANCOR")</f>
        <v>SANCOR</v>
      </c>
      <c r="M198" s="7"/>
      <c r="N198" s="7"/>
      <c r="O198" s="7"/>
      <c r="P198" s="7"/>
      <c r="Q198" s="7"/>
      <c r="R198" s="7"/>
      <c r="S198" s="7"/>
    </row>
    <row r="199">
      <c r="A199" s="7" t="str">
        <f t="shared" si="1"/>
        <v>Barbero Gatica, Bautista</v>
      </c>
      <c r="B199" s="7">
        <f>SUMIFS('bd caja'!$K$1:$K$1012,'bd caja'!$D$1:$D$1012,A199)</f>
        <v>0</v>
      </c>
      <c r="C199" s="19">
        <f>IFERROR(__xludf.DUMMYFUNCTION("""COMPUTED_VALUE"""),45104.86476898148)</f>
        <v>45104.86477</v>
      </c>
      <c r="D199" s="7" t="str">
        <f>IFERROR(__xludf.DUMMYFUNCTION("""COMPUTED_VALUE"""),"Barbero Gatica")</f>
        <v>Barbero Gatica</v>
      </c>
      <c r="E199" s="7" t="str">
        <f>IFERROR(__xludf.DUMMYFUNCTION("""COMPUTED_VALUE"""),"Bautista")</f>
        <v>Bautista</v>
      </c>
      <c r="F199" s="7" t="str">
        <f>IFERROR(__xludf.DUMMYFUNCTION("""COMPUTED_VALUE"""),"barberogaticabautista@gmail.com")</f>
        <v>barberogaticabautista@gmail.com</v>
      </c>
      <c r="G199" s="20">
        <f>IFERROR(__xludf.DUMMYFUNCTION("""COMPUTED_VALUE"""),39045.0)</f>
        <v>39045</v>
      </c>
      <c r="H199" s="7">
        <f>IFERROR(__xludf.DUMMYFUNCTION("""COMPUTED_VALUE"""),4.7351636E7)</f>
        <v>47351636</v>
      </c>
      <c r="I199" s="7">
        <f>IFERROR(__xludf.DUMMYFUNCTION("""COMPUTED_VALUE"""),3.515306105E9)</f>
        <v>3515306105</v>
      </c>
      <c r="J199" s="7" t="str">
        <f>IFERROR(__xludf.DUMMYFUNCTION("""COMPUTED_VALUE"""),"Recomendación")</f>
        <v>Recomendación</v>
      </c>
      <c r="K199" s="7" t="str">
        <f>IFERROR(__xludf.DUMMYFUNCTION("""COMPUTED_VALUE"""),"Obra social")</f>
        <v>Obra social</v>
      </c>
      <c r="L199" s="7" t="str">
        <f>IFERROR(__xludf.DUMMYFUNCTION("""COMPUTED_VALUE"""),"APROSS")</f>
        <v>APROSS</v>
      </c>
      <c r="M199" s="7"/>
      <c r="N199" s="7"/>
      <c r="O199" s="7"/>
      <c r="P199" s="7"/>
      <c r="Q199" s="7"/>
      <c r="R199" s="7"/>
      <c r="S199" s="7"/>
    </row>
    <row r="200">
      <c r="A200" s="7" t="str">
        <f t="shared" si="1"/>
        <v>Fantin, Augusto</v>
      </c>
      <c r="B200" s="7">
        <f>SUMIFS('bd caja'!$K$1:$K$1012,'bd caja'!$D$1:$D$1012,A200)</f>
        <v>0</v>
      </c>
      <c r="C200" s="19">
        <f>IFERROR(__xludf.DUMMYFUNCTION("""COMPUTED_VALUE"""),45105.66254804398)</f>
        <v>45105.66255</v>
      </c>
      <c r="D200" s="7" t="str">
        <f>IFERROR(__xludf.DUMMYFUNCTION("""COMPUTED_VALUE"""),"Fantin")</f>
        <v>Fantin</v>
      </c>
      <c r="E200" s="7" t="str">
        <f>IFERROR(__xludf.DUMMYFUNCTION("""COMPUTED_VALUE"""),"Augusto")</f>
        <v>Augusto</v>
      </c>
      <c r="F200" s="7" t="str">
        <f>IFERROR(__xludf.DUMMYFUNCTION("""COMPUTED_VALUE"""),"augustofantinf@gmail.com")</f>
        <v>augustofantinf@gmail.com</v>
      </c>
      <c r="G200" s="20">
        <f>IFERROR(__xludf.DUMMYFUNCTION("""COMPUTED_VALUE"""),37264.0)</f>
        <v>37264</v>
      </c>
      <c r="H200" s="7">
        <f>IFERROR(__xludf.DUMMYFUNCTION("""COMPUTED_VALUE"""),4.3880406E7)</f>
        <v>43880406</v>
      </c>
      <c r="I200" s="7">
        <f>IFERROR(__xludf.DUMMYFUNCTION("""COMPUTED_VALUE"""),3.513302736E9)</f>
        <v>3513302736</v>
      </c>
      <c r="J200" s="7" t="str">
        <f>IFERROR(__xludf.DUMMYFUNCTION("""COMPUTED_VALUE"""),"Recomendación")</f>
        <v>Recomendación</v>
      </c>
      <c r="K200" s="7" t="str">
        <f>IFERROR(__xludf.DUMMYFUNCTION("""COMPUTED_VALUE"""),"Particular")</f>
        <v>Particular</v>
      </c>
      <c r="L200" s="7"/>
      <c r="M200" s="7"/>
      <c r="N200" s="7"/>
      <c r="O200" s="7"/>
      <c r="P200" s="7"/>
      <c r="Q200" s="7"/>
      <c r="R200" s="7"/>
      <c r="S200" s="7"/>
    </row>
    <row r="201">
      <c r="A201" s="7" t="str">
        <f t="shared" si="1"/>
        <v>Baez, Carolina</v>
      </c>
      <c r="B201" s="7">
        <f>SUMIFS('bd caja'!$K$1:$K$1012,'bd caja'!$D$1:$D$1012,A201)</f>
        <v>0</v>
      </c>
      <c r="C201" s="19">
        <f>IFERROR(__xludf.DUMMYFUNCTION("""COMPUTED_VALUE"""),45105.81765871528)</f>
        <v>45105.81766</v>
      </c>
      <c r="D201" s="7" t="str">
        <f>IFERROR(__xludf.DUMMYFUNCTION("""COMPUTED_VALUE"""),"Baez")</f>
        <v>Baez</v>
      </c>
      <c r="E201" s="7" t="str">
        <f>IFERROR(__xludf.DUMMYFUNCTION("""COMPUTED_VALUE"""),"Carolina")</f>
        <v>Carolina</v>
      </c>
      <c r="F201" s="7" t="str">
        <f>IFERROR(__xludf.DUMMYFUNCTION("""COMPUTED_VALUE"""),"Caro_Baez_97@hotmail.com")</f>
        <v>Caro_Baez_97@hotmail.com</v>
      </c>
      <c r="G201" s="20">
        <f>IFERROR(__xludf.DUMMYFUNCTION("""COMPUTED_VALUE"""),35508.0)</f>
        <v>35508</v>
      </c>
      <c r="H201" s="7">
        <f>IFERROR(__xludf.DUMMYFUNCTION("""COMPUTED_VALUE"""),4.0108393E7)</f>
        <v>40108393</v>
      </c>
      <c r="I201" s="7">
        <f>IFERROR(__xludf.DUMMYFUNCTION("""COMPUTED_VALUE"""),3.515488755E9)</f>
        <v>3515488755</v>
      </c>
      <c r="J201" s="7" t="str">
        <f>IFERROR(__xludf.DUMMYFUNCTION("""COMPUTED_VALUE"""),"Recomendación")</f>
        <v>Recomendación</v>
      </c>
      <c r="K201" s="7" t="str">
        <f>IFERROR(__xludf.DUMMYFUNCTION("""COMPUTED_VALUE"""),"Obra social")</f>
        <v>Obra social</v>
      </c>
      <c r="L201" s="7" t="str">
        <f>IFERROR(__xludf.DUMMYFUNCTION("""COMPUTED_VALUE"""),"SANCOR")</f>
        <v>SANCOR</v>
      </c>
      <c r="M201" s="7"/>
      <c r="N201" s="7"/>
      <c r="O201" s="7"/>
      <c r="P201" s="7"/>
      <c r="Q201" s="7"/>
      <c r="R201" s="7"/>
      <c r="S201" s="7"/>
    </row>
    <row r="202">
      <c r="A202" s="7" t="str">
        <f t="shared" si="1"/>
        <v>FARIAS, Mayra Paola</v>
      </c>
      <c r="B202" s="7">
        <f>SUMIFS('bd caja'!$K$1:$K$1012,'bd caja'!$D$1:$D$1012,A202)</f>
        <v>0</v>
      </c>
      <c r="C202" s="19">
        <f>IFERROR(__xludf.DUMMYFUNCTION("""COMPUTED_VALUE"""),45106.79437310185)</f>
        <v>45106.79437</v>
      </c>
      <c r="D202" s="7" t="str">
        <f>IFERROR(__xludf.DUMMYFUNCTION("""COMPUTED_VALUE"""),"FARIAS")</f>
        <v>FARIAS</v>
      </c>
      <c r="E202" s="7" t="str">
        <f>IFERROR(__xludf.DUMMYFUNCTION("""COMPUTED_VALUE"""),"Mayra Paola")</f>
        <v>Mayra Paola</v>
      </c>
      <c r="F202" s="7" t="str">
        <f>IFERROR(__xludf.DUMMYFUNCTION("""COMPUTED_VALUE"""),"mpfariasq@gmail.com")</f>
        <v>mpfariasq@gmail.com</v>
      </c>
      <c r="G202" s="20">
        <f>IFERROR(__xludf.DUMMYFUNCTION("""COMPUTED_VALUE"""),25443.0)</f>
        <v>25443</v>
      </c>
      <c r="H202" s="7">
        <f>IFERROR(__xludf.DUMMYFUNCTION("""COMPUTED_VALUE"""),2.0785446E7)</f>
        <v>20785446</v>
      </c>
      <c r="I202" s="7">
        <f>IFERROR(__xludf.DUMMYFUNCTION("""COMPUTED_VALUE"""),3.513755004E9)</f>
        <v>3513755004</v>
      </c>
      <c r="J202" s="7" t="str">
        <f>IFERROR(__xludf.DUMMYFUNCTION("""COMPUTED_VALUE"""),"Voy al gym Manantial")</f>
        <v>Voy al gym Manantial</v>
      </c>
      <c r="K202" s="7" t="str">
        <f>IFERROR(__xludf.DUMMYFUNCTION("""COMPUTED_VALUE"""),"Obra social")</f>
        <v>Obra social</v>
      </c>
      <c r="L202" s="7" t="str">
        <f>IFERROR(__xludf.DUMMYFUNCTION("""COMPUTED_VALUE"""),"APROSS")</f>
        <v>APROSS</v>
      </c>
      <c r="M202" s="7"/>
      <c r="N202" s="7"/>
      <c r="O202" s="7"/>
      <c r="P202" s="7"/>
      <c r="Q202" s="7"/>
      <c r="R202" s="7"/>
      <c r="S202" s="7"/>
    </row>
    <row r="203">
      <c r="A203" s="7" t="str">
        <f t="shared" si="1"/>
        <v>Lavezzo, Ignacio</v>
      </c>
      <c r="B203" s="7">
        <f>SUMIFS('bd caja'!$K$1:$K$1012,'bd caja'!$D$1:$D$1012,A203)</f>
        <v>0</v>
      </c>
      <c r="C203" s="19">
        <f>IFERROR(__xludf.DUMMYFUNCTION("""COMPUTED_VALUE"""),45106.80147255787)</f>
        <v>45106.80147</v>
      </c>
      <c r="D203" s="7" t="str">
        <f>IFERROR(__xludf.DUMMYFUNCTION("""COMPUTED_VALUE"""),"Lavezzo")</f>
        <v>Lavezzo</v>
      </c>
      <c r="E203" s="7" t="str">
        <f>IFERROR(__xludf.DUMMYFUNCTION("""COMPUTED_VALUE"""),"Ignacio")</f>
        <v>Ignacio</v>
      </c>
      <c r="F203" s="7" t="str">
        <f>IFERROR(__xludf.DUMMYFUNCTION("""COMPUTED_VALUE"""),"ilavezzo@yahoo.com.ar")</f>
        <v>ilavezzo@yahoo.com.ar</v>
      </c>
      <c r="G203" s="20">
        <f>IFERROR(__xludf.DUMMYFUNCTION("""COMPUTED_VALUE"""),32258.0)</f>
        <v>32258</v>
      </c>
      <c r="H203" s="7">
        <f>IFERROR(__xludf.DUMMYFUNCTION("""COMPUTED_VALUE"""),3.3701488E7)</f>
        <v>33701488</v>
      </c>
      <c r="I203" s="7">
        <f>IFERROR(__xludf.DUMMYFUNCTION("""COMPUTED_VALUE"""),3.515720444E9)</f>
        <v>3515720444</v>
      </c>
      <c r="J203" s="7" t="str">
        <f>IFERROR(__xludf.DUMMYFUNCTION("""COMPUTED_VALUE"""),"Recomendación")</f>
        <v>Recomendación</v>
      </c>
      <c r="K203" s="7" t="str">
        <f>IFERROR(__xludf.DUMMYFUNCTION("""COMPUTED_VALUE"""),"Particular")</f>
        <v>Particular</v>
      </c>
      <c r="L203" s="7"/>
      <c r="M203" s="7"/>
      <c r="N203" s="7"/>
      <c r="O203" s="7"/>
      <c r="P203" s="7"/>
      <c r="Q203" s="7"/>
      <c r="R203" s="7"/>
      <c r="S203" s="7"/>
    </row>
    <row r="204">
      <c r="A204" s="7" t="str">
        <f t="shared" si="1"/>
        <v>Martinez , Haydee </v>
      </c>
      <c r="B204" s="7">
        <f>SUMIFS('bd caja'!$K$1:$K$1012,'bd caja'!$D$1:$D$1012,A204)</f>
        <v>0</v>
      </c>
      <c r="C204" s="19">
        <f>IFERROR(__xludf.DUMMYFUNCTION("""COMPUTED_VALUE"""),45107.773273136576)</f>
        <v>45107.77327</v>
      </c>
      <c r="D204" s="7" t="str">
        <f>IFERROR(__xludf.DUMMYFUNCTION("""COMPUTED_VALUE"""),"Martinez ")</f>
        <v>Martinez </v>
      </c>
      <c r="E204" s="7" t="str">
        <f>IFERROR(__xludf.DUMMYFUNCTION("""COMPUTED_VALUE"""),"Haydee ")</f>
        <v>Haydee </v>
      </c>
      <c r="F204" s="7" t="str">
        <f>IFERROR(__xludf.DUMMYFUNCTION("""COMPUTED_VALUE"""),"m.oviedomarce@gmail.com")</f>
        <v>m.oviedomarce@gmail.com</v>
      </c>
      <c r="G204" s="20">
        <f>IFERROR(__xludf.DUMMYFUNCTION("""COMPUTED_VALUE"""),45107.0)</f>
        <v>45107</v>
      </c>
      <c r="H204" s="7">
        <f>IFERROR(__xludf.DUMMYFUNCTION("""COMPUTED_VALUE"""),3749490.0)</f>
        <v>3749490</v>
      </c>
      <c r="I204" s="7">
        <f>IFERROR(__xludf.DUMMYFUNCTION("""COMPUTED_VALUE"""),3.512357242E9)</f>
        <v>3512357242</v>
      </c>
      <c r="J204" s="7" t="str">
        <f>IFERROR(__xludf.DUMMYFUNCTION("""COMPUTED_VALUE"""),"Google")</f>
        <v>Google</v>
      </c>
      <c r="K204" s="7" t="str">
        <f>IFERROR(__xludf.DUMMYFUNCTION("""COMPUTED_VALUE"""),"Particular")</f>
        <v>Particular</v>
      </c>
      <c r="L204" s="7"/>
      <c r="M204" s="7"/>
      <c r="N204" s="7"/>
      <c r="O204" s="7"/>
      <c r="P204" s="7"/>
      <c r="Q204" s="7"/>
      <c r="R204" s="7"/>
      <c r="S204" s="7"/>
    </row>
    <row r="205">
      <c r="A205" s="7" t="str">
        <f t="shared" si="1"/>
        <v>Cortez, Bárbara Melisa </v>
      </c>
      <c r="B205" s="7">
        <f>SUMIFS('bd caja'!$K$1:$K$1012,'bd caja'!$D$1:$D$1012,A205)</f>
        <v>0</v>
      </c>
      <c r="C205" s="19">
        <f>IFERROR(__xludf.DUMMYFUNCTION("""COMPUTED_VALUE"""),45110.395088668985)</f>
        <v>45110.39509</v>
      </c>
      <c r="D205" s="7" t="str">
        <f>IFERROR(__xludf.DUMMYFUNCTION("""COMPUTED_VALUE"""),"Cortez")</f>
        <v>Cortez</v>
      </c>
      <c r="E205" s="7" t="str">
        <f>IFERROR(__xludf.DUMMYFUNCTION("""COMPUTED_VALUE"""),"Bárbara Melisa ")</f>
        <v>Bárbara Melisa </v>
      </c>
      <c r="F205" s="7" t="str">
        <f>IFERROR(__xludf.DUMMYFUNCTION("""COMPUTED_VALUE"""),"melisacortez@hotmail.com.ar")</f>
        <v>melisacortez@hotmail.com.ar</v>
      </c>
      <c r="G205" s="20">
        <f>IFERROR(__xludf.DUMMYFUNCTION("""COMPUTED_VALUE"""),30315.0)</f>
        <v>30315</v>
      </c>
      <c r="H205" s="7">
        <f>IFERROR(__xludf.DUMMYFUNCTION("""COMPUTED_VALUE"""),2.9858145E7)</f>
        <v>29858145</v>
      </c>
      <c r="I205" s="7">
        <f>IFERROR(__xludf.DUMMYFUNCTION("""COMPUTED_VALUE"""),3.513272243E9)</f>
        <v>3513272243</v>
      </c>
      <c r="J205" s="7" t="str">
        <f>IFERROR(__xludf.DUMMYFUNCTION("""COMPUTED_VALUE"""),"Google")</f>
        <v>Google</v>
      </c>
      <c r="K205" s="7" t="str">
        <f>IFERROR(__xludf.DUMMYFUNCTION("""COMPUTED_VALUE"""),"Obra social")</f>
        <v>Obra social</v>
      </c>
      <c r="L205" s="7" t="str">
        <f>IFERROR(__xludf.DUMMYFUNCTION("""COMPUTED_VALUE"""),"DASPU")</f>
        <v>DASPU</v>
      </c>
      <c r="M205" s="7"/>
      <c r="N205" s="7"/>
      <c r="O205" s="7"/>
      <c r="P205" s="7"/>
      <c r="Q205" s="7"/>
      <c r="R205" s="7"/>
      <c r="S205" s="7"/>
    </row>
    <row r="206">
      <c r="A206" s="7" t="str">
        <f t="shared" si="1"/>
        <v>Lastra, Alberto</v>
      </c>
      <c r="B206" s="7">
        <f>SUMIFS('bd caja'!$K$1:$K$1012,'bd caja'!$D$1:$D$1012,A206)</f>
        <v>0</v>
      </c>
      <c r="C206" s="19">
        <f>IFERROR(__xludf.DUMMYFUNCTION("""COMPUTED_VALUE"""),45110.62329737269)</f>
        <v>45110.6233</v>
      </c>
      <c r="D206" s="7" t="str">
        <f>IFERROR(__xludf.DUMMYFUNCTION("""COMPUTED_VALUE"""),"Lastra")</f>
        <v>Lastra</v>
      </c>
      <c r="E206" s="7" t="str">
        <f>IFERROR(__xludf.DUMMYFUNCTION("""COMPUTED_VALUE"""),"Alberto")</f>
        <v>Alberto</v>
      </c>
      <c r="F206" s="7"/>
      <c r="G206" s="20">
        <f>IFERROR(__xludf.DUMMYFUNCTION("""COMPUTED_VALUE"""),19428.0)</f>
        <v>19428</v>
      </c>
      <c r="H206" s="7">
        <f>IFERROR(__xludf.DUMMYFUNCTION("""COMPUTED_VALUE"""),1.0420633E7)</f>
        <v>10420633</v>
      </c>
      <c r="I206" s="7">
        <f>IFERROR(__xludf.DUMMYFUNCTION("""COMPUTED_VALUE"""),3.517664617E9)</f>
        <v>3517664617</v>
      </c>
      <c r="J206" s="7" t="str">
        <f>IFERROR(__xludf.DUMMYFUNCTION("""COMPUTED_VALUE"""),"Voy al gym Manantial")</f>
        <v>Voy al gym Manantial</v>
      </c>
      <c r="K206" s="7" t="str">
        <f>IFERROR(__xludf.DUMMYFUNCTION("""COMPUTED_VALUE"""),"Obra social")</f>
        <v>Obra social</v>
      </c>
      <c r="L206" s="7" t="str">
        <f>IFERROR(__xludf.DUMMYFUNCTION("""COMPUTED_VALUE"""),"APM")</f>
        <v>APM</v>
      </c>
      <c r="M206" s="7"/>
      <c r="N206" s="7"/>
      <c r="O206" s="7"/>
      <c r="P206" s="7"/>
      <c r="Q206" s="7"/>
      <c r="R206" s="7"/>
      <c r="S206" s="7"/>
    </row>
    <row r="207">
      <c r="A207" s="7" t="str">
        <f t="shared" si="1"/>
        <v>Labraga, Mercedes</v>
      </c>
      <c r="B207" s="7">
        <f>SUMIFS('bd caja'!$K$1:$K$1012,'bd caja'!$D$1:$D$1012,A207)</f>
        <v>0</v>
      </c>
      <c r="C207" s="19">
        <f>IFERROR(__xludf.DUMMYFUNCTION("""COMPUTED_VALUE"""),45110.745138715276)</f>
        <v>45110.74514</v>
      </c>
      <c r="D207" s="7" t="str">
        <f>IFERROR(__xludf.DUMMYFUNCTION("""COMPUTED_VALUE"""),"Labraga")</f>
        <v>Labraga</v>
      </c>
      <c r="E207" s="7" t="str">
        <f>IFERROR(__xludf.DUMMYFUNCTION("""COMPUTED_VALUE"""),"Mercedes")</f>
        <v>Mercedes</v>
      </c>
      <c r="F207" s="7" t="str">
        <f>IFERROR(__xludf.DUMMYFUNCTION("""COMPUTED_VALUE"""),"labraga3204@gmail.com")</f>
        <v>labraga3204@gmail.com</v>
      </c>
      <c r="G207" s="20">
        <f>IFERROR(__xludf.DUMMYFUNCTION("""COMPUTED_VALUE"""),22912.0)</f>
        <v>22912</v>
      </c>
      <c r="H207" s="7">
        <f>IFERROR(__xludf.DUMMYFUNCTION("""COMPUTED_VALUE"""),1.6322891E7)</f>
        <v>16322891</v>
      </c>
      <c r="I207" s="7">
        <f>IFERROR(__xludf.DUMMYFUNCTION("""COMPUTED_VALUE"""),2.944663487E9)</f>
        <v>2944663487</v>
      </c>
      <c r="J207" s="7" t="str">
        <f>IFERROR(__xludf.DUMMYFUNCTION("""COMPUTED_VALUE"""),"Recomendación")</f>
        <v>Recomendación</v>
      </c>
      <c r="K207" s="7" t="str">
        <f>IFERROR(__xludf.DUMMYFUNCTION("""COMPUTED_VALUE"""),"Obra social")</f>
        <v>Obra social</v>
      </c>
      <c r="L207" s="7" t="str">
        <f>IFERROR(__xludf.DUMMYFUNCTION("""COMPUTED_VALUE"""),"APROSS")</f>
        <v>APROSS</v>
      </c>
      <c r="M207" s="7"/>
      <c r="N207" s="7"/>
      <c r="O207" s="7"/>
      <c r="P207" s="7"/>
      <c r="Q207" s="7"/>
      <c r="R207" s="7"/>
      <c r="S207" s="7"/>
    </row>
    <row r="208">
      <c r="A208" s="7" t="str">
        <f t="shared" si="1"/>
        <v>Aranda , Estela monica </v>
      </c>
      <c r="B208" s="7">
        <f>SUMIFS('bd caja'!$K$1:$K$1012,'bd caja'!$D$1:$D$1012,A208)</f>
        <v>0</v>
      </c>
      <c r="C208" s="19">
        <f>IFERROR(__xludf.DUMMYFUNCTION("""COMPUTED_VALUE"""),45110.8484321875)</f>
        <v>45110.84843</v>
      </c>
      <c r="D208" s="7" t="str">
        <f>IFERROR(__xludf.DUMMYFUNCTION("""COMPUTED_VALUE"""),"Aranda ")</f>
        <v>Aranda </v>
      </c>
      <c r="E208" s="7" t="str">
        <f>IFERROR(__xludf.DUMMYFUNCTION("""COMPUTED_VALUE"""),"Estela monica ")</f>
        <v>Estela monica </v>
      </c>
      <c r="F208" s="7" t="str">
        <f>IFERROR(__xludf.DUMMYFUNCTION("""COMPUTED_VALUE"""),"arandamoni@hotmail.com")</f>
        <v>arandamoni@hotmail.com</v>
      </c>
      <c r="G208" s="20">
        <f>IFERROR(__xludf.DUMMYFUNCTION("""COMPUTED_VALUE"""),25003.0)</f>
        <v>25003</v>
      </c>
      <c r="H208" s="7">
        <f>IFERROR(__xludf.DUMMYFUNCTION("""COMPUTED_VALUE"""),2.0314883E7)</f>
        <v>20314883</v>
      </c>
      <c r="I208" s="7">
        <f>IFERROR(__xludf.DUMMYFUNCTION("""COMPUTED_VALUE"""),3.512804614E9)</f>
        <v>3512804614</v>
      </c>
      <c r="J208" s="7" t="str">
        <f>IFERROR(__xludf.DUMMYFUNCTION("""COMPUTED_VALUE"""),"Google")</f>
        <v>Google</v>
      </c>
      <c r="K208" s="7" t="str">
        <f>IFERROR(__xludf.DUMMYFUNCTION("""COMPUTED_VALUE"""),"Obra social")</f>
        <v>Obra social</v>
      </c>
      <c r="L208" s="7" t="str">
        <f>IFERROR(__xludf.DUMMYFUNCTION("""COMPUTED_VALUE"""),"APROSS")</f>
        <v>APROSS</v>
      </c>
      <c r="M208" s="7"/>
      <c r="N208" s="7"/>
      <c r="O208" s="7"/>
      <c r="P208" s="7"/>
      <c r="Q208" s="7"/>
      <c r="R208" s="7"/>
      <c r="S208" s="7"/>
    </row>
    <row r="209">
      <c r="A209" s="7" t="str">
        <f t="shared" si="1"/>
        <v>Heinzen, Lidia Claudia</v>
      </c>
      <c r="B209" s="7">
        <f>SUMIFS('bd caja'!$K$1:$K$1012,'bd caja'!$D$1:$D$1012,A209)</f>
        <v>0</v>
      </c>
      <c r="C209" s="19">
        <f>IFERROR(__xludf.DUMMYFUNCTION("""COMPUTED_VALUE"""),45110.862711064816)</f>
        <v>45110.86271</v>
      </c>
      <c r="D209" s="7" t="str">
        <f>IFERROR(__xludf.DUMMYFUNCTION("""COMPUTED_VALUE"""),"Heinzen")</f>
        <v>Heinzen</v>
      </c>
      <c r="E209" s="7" t="str">
        <f>IFERROR(__xludf.DUMMYFUNCTION("""COMPUTED_VALUE"""),"Lidia Claudia")</f>
        <v>Lidia Claudia</v>
      </c>
      <c r="F209" s="7" t="str">
        <f>IFERROR(__xludf.DUMMYFUNCTION("""COMPUTED_VALUE"""),"indiaheinzen@gmial.com")</f>
        <v>indiaheinzen@gmial.com</v>
      </c>
      <c r="G209" s="20">
        <f>IFERROR(__xludf.DUMMYFUNCTION("""COMPUTED_VALUE"""),32509.0)</f>
        <v>32509</v>
      </c>
      <c r="H209" s="7">
        <f>IFERROR(__xludf.DUMMYFUNCTION("""COMPUTED_VALUE"""),3.4359932E7)</f>
        <v>34359932</v>
      </c>
      <c r="I209" s="7">
        <f>IFERROR(__xludf.DUMMYFUNCTION("""COMPUTED_VALUE"""),3.496547548E9)</f>
        <v>3496547548</v>
      </c>
      <c r="J209" s="7" t="str">
        <f>IFERROR(__xludf.DUMMYFUNCTION("""COMPUTED_VALUE"""),"Google maps")</f>
        <v>Google maps</v>
      </c>
      <c r="K209" s="7" t="str">
        <f>IFERROR(__xludf.DUMMYFUNCTION("""COMPUTED_VALUE"""),"Particular")</f>
        <v>Particular</v>
      </c>
      <c r="L209" s="7"/>
      <c r="M209" s="7"/>
      <c r="N209" s="7"/>
      <c r="O209" s="7"/>
      <c r="P209" s="7"/>
      <c r="Q209" s="7"/>
      <c r="R209" s="7"/>
      <c r="S209" s="7"/>
    </row>
    <row r="210">
      <c r="A210" s="7" t="str">
        <f t="shared" si="1"/>
        <v>Capdevila, Leonardo</v>
      </c>
      <c r="B210" s="7">
        <f>SUMIFS('bd caja'!$K$1:$K$1012,'bd caja'!$D$1:$D$1012,A210)</f>
        <v>0</v>
      </c>
      <c r="C210" s="19">
        <f>IFERROR(__xludf.DUMMYFUNCTION("""COMPUTED_VALUE"""),45111.862171053246)</f>
        <v>45111.86217</v>
      </c>
      <c r="D210" s="7" t="str">
        <f>IFERROR(__xludf.DUMMYFUNCTION("""COMPUTED_VALUE"""),"Capdevila")</f>
        <v>Capdevila</v>
      </c>
      <c r="E210" s="7" t="str">
        <f>IFERROR(__xludf.DUMMYFUNCTION("""COMPUTED_VALUE"""),"Leonardo")</f>
        <v>Leonardo</v>
      </c>
      <c r="F210" s="7" t="str">
        <f>IFERROR(__xludf.DUMMYFUNCTION("""COMPUTED_VALUE"""),"leo.capdevila@hotmail.com")</f>
        <v>leo.capdevila@hotmail.com</v>
      </c>
      <c r="G210" s="20">
        <f>IFERROR(__xludf.DUMMYFUNCTION("""COMPUTED_VALUE"""),31591.0)</f>
        <v>31591</v>
      </c>
      <c r="H210" s="7">
        <f>IFERROR(__xludf.DUMMYFUNCTION("""COMPUTED_VALUE"""),3.2346839E7)</f>
        <v>32346839</v>
      </c>
      <c r="I210" s="7">
        <f>IFERROR(__xludf.DUMMYFUNCTION("""COMPUTED_VALUE"""),3.51248292E9)</f>
        <v>3512482920</v>
      </c>
      <c r="J210" s="7" t="str">
        <f>IFERROR(__xludf.DUMMYFUNCTION("""COMPUTED_VALUE"""),"Voy al gym Manantial")</f>
        <v>Voy al gym Manantial</v>
      </c>
      <c r="K210" s="7" t="str">
        <f>IFERROR(__xludf.DUMMYFUNCTION("""COMPUTED_VALUE"""),"Obra social")</f>
        <v>Obra social</v>
      </c>
      <c r="L210" s="7" t="str">
        <f>IFERROR(__xludf.DUMMYFUNCTION("""COMPUTED_VALUE"""),"OMINT ")</f>
        <v>OMINT </v>
      </c>
      <c r="M210" s="7"/>
      <c r="N210" s="7"/>
      <c r="O210" s="7"/>
      <c r="P210" s="7"/>
      <c r="Q210" s="7"/>
      <c r="R210" s="7"/>
      <c r="S210" s="7"/>
    </row>
    <row r="211">
      <c r="A211" s="7" t="str">
        <f t="shared" si="1"/>
        <v>Sánchez Gavier, Joaquín </v>
      </c>
      <c r="B211" s="7">
        <f>SUMIFS('bd caja'!$K$1:$K$1012,'bd caja'!$D$1:$D$1012,A211)</f>
        <v>0</v>
      </c>
      <c r="C211" s="19">
        <f>IFERROR(__xludf.DUMMYFUNCTION("""COMPUTED_VALUE"""),45112.41862252315)</f>
        <v>45112.41862</v>
      </c>
      <c r="D211" s="7" t="str">
        <f>IFERROR(__xludf.DUMMYFUNCTION("""COMPUTED_VALUE"""),"Sánchez Gavier")</f>
        <v>Sánchez Gavier</v>
      </c>
      <c r="E211" s="7" t="str">
        <f>IFERROR(__xludf.DUMMYFUNCTION("""COMPUTED_VALUE"""),"Joaquín ")</f>
        <v>Joaquín </v>
      </c>
      <c r="F211" s="7" t="str">
        <f>IFERROR(__xludf.DUMMYFUNCTION("""COMPUTED_VALUE"""),"Sanchezgavierj@gmail.com")</f>
        <v>Sanchezgavierj@gmail.com</v>
      </c>
      <c r="G211" s="20">
        <f>IFERROR(__xludf.DUMMYFUNCTION("""COMPUTED_VALUE"""),36227.0)</f>
        <v>36227</v>
      </c>
      <c r="H211" s="7">
        <f>IFERROR(__xludf.DUMMYFUNCTION("""COMPUTED_VALUE"""),4.1711554E7)</f>
        <v>41711554</v>
      </c>
      <c r="I211" s="7">
        <f>IFERROR(__xludf.DUMMYFUNCTION("""COMPUTED_VALUE"""),3.518082314E9)</f>
        <v>3518082314</v>
      </c>
      <c r="J211" s="7" t="str">
        <f>IFERROR(__xludf.DUMMYFUNCTION("""COMPUTED_VALUE"""),"Google")</f>
        <v>Google</v>
      </c>
      <c r="K211" s="7" t="str">
        <f>IFERROR(__xludf.DUMMYFUNCTION("""COMPUTED_VALUE"""),"Particular")</f>
        <v>Particular</v>
      </c>
      <c r="L211" s="7"/>
      <c r="M211" s="7"/>
      <c r="N211" s="7"/>
      <c r="O211" s="7"/>
      <c r="P211" s="7"/>
      <c r="Q211" s="7"/>
      <c r="R211" s="7"/>
      <c r="S211" s="7"/>
    </row>
    <row r="212">
      <c r="A212" s="7" t="str">
        <f t="shared" si="1"/>
        <v>Tambussi, Raquel</v>
      </c>
      <c r="B212" s="7">
        <f>SUMIFS('bd caja'!$K$1:$K$1012,'bd caja'!$D$1:$D$1012,A212)</f>
        <v>0</v>
      </c>
      <c r="C212" s="19">
        <f>IFERROR(__xludf.DUMMYFUNCTION("""COMPUTED_VALUE"""),45112.79439216435)</f>
        <v>45112.79439</v>
      </c>
      <c r="D212" s="7" t="str">
        <f>IFERROR(__xludf.DUMMYFUNCTION("""COMPUTED_VALUE"""),"Tambussi")</f>
        <v>Tambussi</v>
      </c>
      <c r="E212" s="7" t="str">
        <f>IFERROR(__xludf.DUMMYFUNCTION("""COMPUTED_VALUE"""),"Raquel")</f>
        <v>Raquel</v>
      </c>
      <c r="F212" s="7"/>
      <c r="G212" s="20">
        <f>IFERROR(__xludf.DUMMYFUNCTION("""COMPUTED_VALUE"""),17510.0)</f>
        <v>17510</v>
      </c>
      <c r="H212" s="7">
        <f>IFERROR(__xludf.DUMMYFUNCTION("""COMPUTED_VALUE"""),5720058.0)</f>
        <v>5720058</v>
      </c>
      <c r="I212" s="7">
        <f>IFERROR(__xludf.DUMMYFUNCTION("""COMPUTED_VALUE"""),3.514084599E9)</f>
        <v>3514084599</v>
      </c>
      <c r="J212" s="7" t="str">
        <f>IFERROR(__xludf.DUMMYFUNCTION("""COMPUTED_VALUE"""),"Recomendación")</f>
        <v>Recomendación</v>
      </c>
      <c r="K212" s="7" t="str">
        <f>IFERROR(__xludf.DUMMYFUNCTION("""COMPUTED_VALUE"""),"Particular")</f>
        <v>Particular</v>
      </c>
      <c r="L212" s="7"/>
      <c r="M212" s="7"/>
      <c r="N212" s="7"/>
      <c r="O212" s="7"/>
      <c r="P212" s="7"/>
      <c r="Q212" s="7"/>
      <c r="R212" s="7"/>
      <c r="S212" s="7"/>
    </row>
    <row r="213">
      <c r="A213" s="7" t="str">
        <f t="shared" si="1"/>
        <v>Correa, Jonathan</v>
      </c>
      <c r="B213" s="7">
        <f>SUMIFS('bd caja'!$K$1:$K$1012,'bd caja'!$D$1:$D$1012,A213)</f>
        <v>0</v>
      </c>
      <c r="C213" s="19">
        <f>IFERROR(__xludf.DUMMYFUNCTION("""COMPUTED_VALUE"""),45113.77730648148)</f>
        <v>45113.77731</v>
      </c>
      <c r="D213" s="7" t="str">
        <f>IFERROR(__xludf.DUMMYFUNCTION("""COMPUTED_VALUE"""),"Correa")</f>
        <v>Correa</v>
      </c>
      <c r="E213" s="7" t="str">
        <f>IFERROR(__xludf.DUMMYFUNCTION("""COMPUTED_VALUE"""),"Jonathan")</f>
        <v>Jonathan</v>
      </c>
      <c r="F213" s="7" t="str">
        <f>IFERROR(__xludf.DUMMYFUNCTION("""COMPUTED_VALUE"""),"correin_88@hotmail.com")</f>
        <v>correin_88@hotmail.com</v>
      </c>
      <c r="G213" s="20">
        <f>IFERROR(__xludf.DUMMYFUNCTION("""COMPUTED_VALUE"""),32273.0)</f>
        <v>32273</v>
      </c>
      <c r="H213" s="7">
        <f>IFERROR(__xludf.DUMMYFUNCTION("""COMPUTED_VALUE"""),3.3750088E7)</f>
        <v>33750088</v>
      </c>
      <c r="I213" s="7">
        <f>IFERROR(__xludf.DUMMYFUNCTION("""COMPUTED_VALUE"""),3.516638041E9)</f>
        <v>3516638041</v>
      </c>
      <c r="J213" s="7" t="str">
        <f>IFERROR(__xludf.DUMMYFUNCTION("""COMPUTED_VALUE"""),"Google")</f>
        <v>Google</v>
      </c>
      <c r="K213" s="7" t="str">
        <f>IFERROR(__xludf.DUMMYFUNCTION("""COMPUTED_VALUE"""),"Particular")</f>
        <v>Particular</v>
      </c>
      <c r="L213" s="7"/>
      <c r="M213" s="7"/>
      <c r="N213" s="7"/>
      <c r="O213" s="7"/>
      <c r="P213" s="7"/>
      <c r="Q213" s="7"/>
      <c r="R213" s="7"/>
      <c r="S213" s="7"/>
    </row>
    <row r="214">
      <c r="A214" s="7" t="str">
        <f t="shared" si="1"/>
        <v>Eguiluz, María Liliana</v>
      </c>
      <c r="B214" s="7">
        <f>SUMIFS('bd caja'!$K$1:$K$1012,'bd caja'!$D$1:$D$1012,A214)</f>
        <v>0</v>
      </c>
      <c r="C214" s="19">
        <f>IFERROR(__xludf.DUMMYFUNCTION("""COMPUTED_VALUE"""),45113.835546331014)</f>
        <v>45113.83555</v>
      </c>
      <c r="D214" s="7" t="str">
        <f>IFERROR(__xludf.DUMMYFUNCTION("""COMPUTED_VALUE"""),"Eguiluz")</f>
        <v>Eguiluz</v>
      </c>
      <c r="E214" s="7" t="str">
        <f>IFERROR(__xludf.DUMMYFUNCTION("""COMPUTED_VALUE"""),"María Liliana")</f>
        <v>María Liliana</v>
      </c>
      <c r="F214" s="7" t="str">
        <f>IFERROR(__xludf.DUMMYFUNCTION("""COMPUTED_VALUE"""),"lilianaeguiluz@gmail.com")</f>
        <v>lilianaeguiluz@gmail.com</v>
      </c>
      <c r="G214" s="20">
        <f>IFERROR(__xludf.DUMMYFUNCTION("""COMPUTED_VALUE"""),21061.0)</f>
        <v>21061</v>
      </c>
      <c r="H214" s="7">
        <f>IFERROR(__xludf.DUMMYFUNCTION("""COMPUTED_VALUE"""),1.3015797E7)</f>
        <v>13015797</v>
      </c>
      <c r="I214" s="7">
        <f>IFERROR(__xludf.DUMMYFUNCTION("""COMPUTED_VALUE"""),3.512411843E9)</f>
        <v>3512411843</v>
      </c>
      <c r="J214" s="7" t="str">
        <f>IFERROR(__xludf.DUMMYFUNCTION("""COMPUTED_VALUE"""),"Ya me hice atender alli")</f>
        <v>Ya me hice atender alli</v>
      </c>
      <c r="K214" s="7" t="str">
        <f>IFERROR(__xludf.DUMMYFUNCTION("""COMPUTED_VALUE"""),"Obra social")</f>
        <v>Obra social</v>
      </c>
      <c r="L214" s="7" t="str">
        <f>IFERROR(__xludf.DUMMYFUNCTION("""COMPUTED_VALUE"""),"APROSS")</f>
        <v>APROSS</v>
      </c>
      <c r="M214" s="7"/>
      <c r="N214" s="7"/>
      <c r="O214" s="7"/>
      <c r="P214" s="7"/>
      <c r="Q214" s="7"/>
      <c r="R214" s="7"/>
      <c r="S214" s="7"/>
    </row>
    <row r="215">
      <c r="A215" s="7" t="str">
        <f t="shared" si="1"/>
        <v>Giannoboli , Luciano </v>
      </c>
      <c r="B215" s="7">
        <f>SUMIFS('bd caja'!$K$1:$K$1012,'bd caja'!$D$1:$D$1012,A215)</f>
        <v>0</v>
      </c>
      <c r="C215" s="19">
        <f>IFERROR(__xludf.DUMMYFUNCTION("""COMPUTED_VALUE"""),45114.85701133102)</f>
        <v>45114.85701</v>
      </c>
      <c r="D215" s="7" t="str">
        <f>IFERROR(__xludf.DUMMYFUNCTION("""COMPUTED_VALUE"""),"Giannoboli ")</f>
        <v>Giannoboli </v>
      </c>
      <c r="E215" s="7" t="str">
        <f>IFERROR(__xludf.DUMMYFUNCTION("""COMPUTED_VALUE"""),"Luciano ")</f>
        <v>Luciano </v>
      </c>
      <c r="F215" s="7" t="str">
        <f>IFERROR(__xludf.DUMMYFUNCTION("""COMPUTED_VALUE"""),"luchogianno@hotmail.com")</f>
        <v>luchogianno@hotmail.com</v>
      </c>
      <c r="G215" s="20">
        <f>IFERROR(__xludf.DUMMYFUNCTION("""COMPUTED_VALUE"""),27060.0)</f>
        <v>27060</v>
      </c>
      <c r="H215" s="7">
        <f>IFERROR(__xludf.DUMMYFUNCTION("""COMPUTED_VALUE"""),2.3855018E7)</f>
        <v>23855018</v>
      </c>
      <c r="I215" s="7">
        <f>IFERROR(__xludf.DUMMYFUNCTION("""COMPUTED_VALUE"""),3.516635355E9)</f>
        <v>3516635355</v>
      </c>
      <c r="J215" s="7" t="str">
        <f>IFERROR(__xludf.DUMMYFUNCTION("""COMPUTED_VALUE"""),"Recomendación")</f>
        <v>Recomendación</v>
      </c>
      <c r="K215" s="7" t="str">
        <f>IFERROR(__xludf.DUMMYFUNCTION("""COMPUTED_VALUE"""),"Particular")</f>
        <v>Particular</v>
      </c>
      <c r="L215" s="7"/>
      <c r="M215" s="7"/>
      <c r="N215" s="7"/>
      <c r="O215" s="7"/>
      <c r="P215" s="7"/>
      <c r="Q215" s="7"/>
      <c r="R215" s="7"/>
      <c r="S215" s="7"/>
    </row>
    <row r="216">
      <c r="A216" s="7" t="str">
        <f t="shared" si="1"/>
        <v>Altamirano, Enzo Gustavo</v>
      </c>
      <c r="B216" s="7">
        <f>SUMIFS('bd caja'!$K$1:$K$1012,'bd caja'!$D$1:$D$1012,A216)</f>
        <v>0</v>
      </c>
      <c r="C216" s="19">
        <f>IFERROR(__xludf.DUMMYFUNCTION("""COMPUTED_VALUE"""),45117.50743975694)</f>
        <v>45117.50744</v>
      </c>
      <c r="D216" s="7" t="str">
        <f>IFERROR(__xludf.DUMMYFUNCTION("""COMPUTED_VALUE"""),"Altamirano")</f>
        <v>Altamirano</v>
      </c>
      <c r="E216" s="7" t="str">
        <f>IFERROR(__xludf.DUMMYFUNCTION("""COMPUTED_VALUE"""),"Enzo Gustavo")</f>
        <v>Enzo Gustavo</v>
      </c>
      <c r="F216" s="7" t="str">
        <f>IFERROR(__xludf.DUMMYFUNCTION("""COMPUTED_VALUE"""),"enzo.altamirano@hotmail.com")</f>
        <v>enzo.altamirano@hotmail.com</v>
      </c>
      <c r="G216" s="20">
        <f>IFERROR(__xludf.DUMMYFUNCTION("""COMPUTED_VALUE"""),-668324.0)</f>
        <v>-668324</v>
      </c>
      <c r="H216" s="7">
        <f>IFERROR(__xludf.DUMMYFUNCTION("""COMPUTED_VALUE"""),2.1408913E7)</f>
        <v>21408913</v>
      </c>
      <c r="I216" s="7">
        <f>IFERROR(__xludf.DUMMYFUNCTION("""COMPUTED_VALUE"""),3.516777328E9)</f>
        <v>3516777328</v>
      </c>
      <c r="J216" s="7" t="str">
        <f>IFERROR(__xludf.DUMMYFUNCTION("""COMPUTED_VALUE"""),"Google")</f>
        <v>Google</v>
      </c>
      <c r="K216" s="7" t="str">
        <f>IFERROR(__xludf.DUMMYFUNCTION("""COMPUTED_VALUE"""),"Obra social")</f>
        <v>Obra social</v>
      </c>
      <c r="L216" s="7" t="str">
        <f>IFERROR(__xludf.DUMMYFUNCTION("""COMPUTED_VALUE"""),"APROSS")</f>
        <v>APROSS</v>
      </c>
      <c r="M216" s="7"/>
      <c r="N216" s="7"/>
      <c r="O216" s="7"/>
      <c r="P216" s="7"/>
      <c r="Q216" s="7"/>
      <c r="R216" s="7"/>
      <c r="S216" s="7"/>
    </row>
    <row r="217">
      <c r="A217" s="7" t="str">
        <f t="shared" si="1"/>
        <v>Castro, Alicia </v>
      </c>
      <c r="B217" s="7">
        <f>SUMIFS('bd caja'!$K$1:$K$1012,'bd caja'!$D$1:$D$1012,A217)</f>
        <v>0</v>
      </c>
      <c r="C217" s="19">
        <f>IFERROR(__xludf.DUMMYFUNCTION("""COMPUTED_VALUE"""),45117.74695178241)</f>
        <v>45117.74695</v>
      </c>
      <c r="D217" s="7" t="str">
        <f>IFERROR(__xludf.DUMMYFUNCTION("""COMPUTED_VALUE"""),"Castro")</f>
        <v>Castro</v>
      </c>
      <c r="E217" s="7" t="str">
        <f>IFERROR(__xludf.DUMMYFUNCTION("""COMPUTED_VALUE"""),"Alicia ")</f>
        <v>Alicia </v>
      </c>
      <c r="F217" s="7" t="str">
        <f>IFERROR(__xludf.DUMMYFUNCTION("""COMPUTED_VALUE"""),"aliciae_castro@hotmail.com")</f>
        <v>aliciae_castro@hotmail.com</v>
      </c>
      <c r="G217" s="20">
        <f>IFERROR(__xludf.DUMMYFUNCTION("""COMPUTED_VALUE"""),14901.0)</f>
        <v>14901</v>
      </c>
      <c r="H217" s="7">
        <f>IFERROR(__xludf.DUMMYFUNCTION("""COMPUTED_VALUE"""),3969031.0)</f>
        <v>3969031</v>
      </c>
      <c r="I217" s="7">
        <f>IFERROR(__xludf.DUMMYFUNCTION("""COMPUTED_VALUE"""),9.3855093215E10)</f>
        <v>93855093215</v>
      </c>
      <c r="J217" s="7" t="str">
        <f>IFERROR(__xludf.DUMMYFUNCTION("""COMPUTED_VALUE"""),"Recomendación")</f>
        <v>Recomendación</v>
      </c>
      <c r="K217" s="7" t="str">
        <f>IFERROR(__xludf.DUMMYFUNCTION("""COMPUTED_VALUE"""),"Obra social")</f>
        <v>Obra social</v>
      </c>
      <c r="L217" s="7" t="str">
        <f>IFERROR(__xludf.DUMMYFUNCTION("""COMPUTED_VALUE"""),"APROSS")</f>
        <v>APROSS</v>
      </c>
      <c r="M217" s="7"/>
      <c r="N217" s="7"/>
      <c r="O217" s="7"/>
      <c r="P217" s="7"/>
      <c r="Q217" s="7"/>
      <c r="R217" s="7"/>
      <c r="S217" s="7"/>
    </row>
    <row r="218">
      <c r="A218" s="7" t="str">
        <f t="shared" si="1"/>
        <v>García, Justina</v>
      </c>
      <c r="B218" s="7">
        <f>SUMIFS('bd caja'!$K$1:$K$1012,'bd caja'!$D$1:$D$1012,A218)</f>
        <v>0</v>
      </c>
      <c r="C218" s="19">
        <f>IFERROR(__xludf.DUMMYFUNCTION("""COMPUTED_VALUE"""),45117.77362984954)</f>
        <v>45117.77363</v>
      </c>
      <c r="D218" s="7" t="str">
        <f>IFERROR(__xludf.DUMMYFUNCTION("""COMPUTED_VALUE"""),"García")</f>
        <v>García</v>
      </c>
      <c r="E218" s="7" t="str">
        <f>IFERROR(__xludf.DUMMYFUNCTION("""COMPUTED_VALUE"""),"Justina")</f>
        <v>Justina</v>
      </c>
      <c r="F218" s="7" t="str">
        <f>IFERROR(__xludf.DUMMYFUNCTION("""COMPUTED_VALUE"""),"sandrayacob09@gmail.com")</f>
        <v>sandrayacob09@gmail.com</v>
      </c>
      <c r="G218" s="20">
        <f>IFERROR(__xludf.DUMMYFUNCTION("""COMPUTED_VALUE"""),39167.0)</f>
        <v>39167</v>
      </c>
      <c r="H218" s="7">
        <f>IFERROR(__xludf.DUMMYFUNCTION("""COMPUTED_VALUE"""),4.7662389E7)</f>
        <v>47662389</v>
      </c>
      <c r="I218" s="7">
        <f>IFERROR(__xludf.DUMMYFUNCTION("""COMPUTED_VALUE"""),3.513097972E9)</f>
        <v>3513097972</v>
      </c>
      <c r="J218" s="7" t="str">
        <f>IFERROR(__xludf.DUMMYFUNCTION("""COMPUTED_VALUE"""),"Recomendación")</f>
        <v>Recomendación</v>
      </c>
      <c r="K218" s="7" t="str">
        <f>IFERROR(__xludf.DUMMYFUNCTION("""COMPUTED_VALUE"""),"Obra social")</f>
        <v>Obra social</v>
      </c>
      <c r="L218" s="7" t="str">
        <f>IFERROR(__xludf.DUMMYFUNCTION("""COMPUTED_VALUE"""),"DASPU")</f>
        <v>DASPU</v>
      </c>
      <c r="M218" s="7"/>
      <c r="N218" s="7"/>
      <c r="O218" s="7"/>
      <c r="P218" s="7"/>
      <c r="Q218" s="7"/>
      <c r="R218" s="7"/>
      <c r="S218" s="7"/>
    </row>
    <row r="219">
      <c r="A219" s="7" t="str">
        <f t="shared" si="1"/>
        <v>Sottile, Ignacio</v>
      </c>
      <c r="B219" s="7">
        <f>SUMIFS('bd caja'!$K$1:$K$1012,'bd caja'!$D$1:$D$1012,A219)</f>
        <v>0</v>
      </c>
      <c r="C219" s="19">
        <f>IFERROR(__xludf.DUMMYFUNCTION("""COMPUTED_VALUE"""),45117.77401148148)</f>
        <v>45117.77401</v>
      </c>
      <c r="D219" s="7" t="str">
        <f>IFERROR(__xludf.DUMMYFUNCTION("""COMPUTED_VALUE"""),"Sottile")</f>
        <v>Sottile</v>
      </c>
      <c r="E219" s="7" t="str">
        <f>IFERROR(__xludf.DUMMYFUNCTION("""COMPUTED_VALUE"""),"Ignacio")</f>
        <v>Ignacio</v>
      </c>
      <c r="F219" s="7" t="str">
        <f>IFERROR(__xludf.DUMMYFUNCTION("""COMPUTED_VALUE"""),"sotaigna@gmail.com")</f>
        <v>sotaigna@gmail.com</v>
      </c>
      <c r="G219" s="20">
        <f>IFERROR(__xludf.DUMMYFUNCTION("""COMPUTED_VALUE"""),38054.0)</f>
        <v>38054</v>
      </c>
      <c r="H219" s="7">
        <f>IFERROR(__xludf.DUMMYFUNCTION("""COMPUTED_VALUE"""),4.5347418E7)</f>
        <v>45347418</v>
      </c>
      <c r="I219" s="7">
        <f>IFERROR(__xludf.DUMMYFUNCTION("""COMPUTED_VALUE"""),3.512641035E10)</f>
        <v>35126410350</v>
      </c>
      <c r="J219" s="7" t="str">
        <f>IFERROR(__xludf.DUMMYFUNCTION("""COMPUTED_VALUE"""),"Recomendación")</f>
        <v>Recomendación</v>
      </c>
      <c r="K219" s="7" t="str">
        <f>IFERROR(__xludf.DUMMYFUNCTION("""COMPUTED_VALUE"""),"Obra social")</f>
        <v>Obra social</v>
      </c>
      <c r="L219" s="7" t="str">
        <f>IFERROR(__xludf.DUMMYFUNCTION("""COMPUTED_VALUE"""),"OMINT")</f>
        <v>OMINT</v>
      </c>
      <c r="M219" s="7"/>
      <c r="N219" s="7"/>
      <c r="O219" s="7"/>
      <c r="P219" s="7"/>
      <c r="Q219" s="7"/>
      <c r="R219" s="7"/>
      <c r="S219" s="7"/>
    </row>
    <row r="220">
      <c r="A220" s="7" t="str">
        <f t="shared" si="1"/>
        <v>Aisa, Javier</v>
      </c>
      <c r="B220" s="7">
        <f>SUMIFS('bd caja'!$K$1:$K$1012,'bd caja'!$D$1:$D$1012,A220)</f>
        <v>0</v>
      </c>
      <c r="C220" s="19">
        <f>IFERROR(__xludf.DUMMYFUNCTION("""COMPUTED_VALUE"""),45117.784022974534)</f>
        <v>45117.78402</v>
      </c>
      <c r="D220" s="7" t="str">
        <f>IFERROR(__xludf.DUMMYFUNCTION("""COMPUTED_VALUE"""),"Aisa")</f>
        <v>Aisa</v>
      </c>
      <c r="E220" s="7" t="str">
        <f>IFERROR(__xludf.DUMMYFUNCTION("""COMPUTED_VALUE"""),"Javier")</f>
        <v>Javier</v>
      </c>
      <c r="F220" s="7" t="str">
        <f>IFERROR(__xludf.DUMMYFUNCTION("""COMPUTED_VALUE"""),"jaisa301@gmail.com")</f>
        <v>jaisa301@gmail.com</v>
      </c>
      <c r="G220" s="20">
        <f>IFERROR(__xludf.DUMMYFUNCTION("""COMPUTED_VALUE"""),31355.0)</f>
        <v>31355</v>
      </c>
      <c r="H220" s="7">
        <f>IFERROR(__xludf.DUMMYFUNCTION("""COMPUTED_VALUE"""),3.1947019E7)</f>
        <v>31947019</v>
      </c>
      <c r="I220" s="7">
        <f>IFERROR(__xludf.DUMMYFUNCTION("""COMPUTED_VALUE"""),3.515494355E9)</f>
        <v>3515494355</v>
      </c>
      <c r="J220" s="7" t="str">
        <f>IFERROR(__xludf.DUMMYFUNCTION("""COMPUTED_VALUE"""),"Voy al gym Manantial")</f>
        <v>Voy al gym Manantial</v>
      </c>
      <c r="K220" s="7" t="str">
        <f>IFERROR(__xludf.DUMMYFUNCTION("""COMPUTED_VALUE"""),"Obra social")</f>
        <v>Obra social</v>
      </c>
      <c r="L220" s="7" t="str">
        <f>IFERROR(__xludf.DUMMYFUNCTION("""COMPUTED_VALUE"""),"Apm acba")</f>
        <v>Apm acba</v>
      </c>
      <c r="M220" s="7"/>
      <c r="N220" s="7"/>
      <c r="O220" s="7"/>
      <c r="P220" s="7"/>
      <c r="Q220" s="7"/>
      <c r="R220" s="7"/>
      <c r="S220" s="7"/>
    </row>
    <row r="221">
      <c r="A221" s="7" t="str">
        <f t="shared" si="1"/>
        <v>Dealbera , Hugo </v>
      </c>
      <c r="B221" s="7">
        <f>SUMIFS('bd caja'!$K$1:$K$1012,'bd caja'!$D$1:$D$1012,A221)</f>
        <v>0</v>
      </c>
      <c r="C221" s="19">
        <f>IFERROR(__xludf.DUMMYFUNCTION("""COMPUTED_VALUE"""),45118.46983311343)</f>
        <v>45118.46983</v>
      </c>
      <c r="D221" s="7" t="str">
        <f>IFERROR(__xludf.DUMMYFUNCTION("""COMPUTED_VALUE"""),"Dealbera ")</f>
        <v>Dealbera </v>
      </c>
      <c r="E221" s="7" t="str">
        <f>IFERROR(__xludf.DUMMYFUNCTION("""COMPUTED_VALUE"""),"Hugo ")</f>
        <v>Hugo </v>
      </c>
      <c r="F221" s="7" t="str">
        <f>IFERROR(__xludf.DUMMYFUNCTION("""COMPUTED_VALUE"""),"hdealbera@hotmail.com")</f>
        <v>hdealbera@hotmail.com</v>
      </c>
      <c r="G221" s="20">
        <f>IFERROR(__xludf.DUMMYFUNCTION("""COMPUTED_VALUE"""),25060.0)</f>
        <v>25060</v>
      </c>
      <c r="H221" s="7">
        <f>IFERROR(__xludf.DUMMYFUNCTION("""COMPUTED_VALUE"""),2.0299407E7)</f>
        <v>20299407</v>
      </c>
      <c r="I221" s="7">
        <f>IFERROR(__xludf.DUMMYFUNCTION("""COMPUTED_VALUE"""),3.515053549E9)</f>
        <v>3515053549</v>
      </c>
      <c r="J221" s="7" t="str">
        <f>IFERROR(__xludf.DUMMYFUNCTION("""COMPUTED_VALUE"""),"Recomendación")</f>
        <v>Recomendación</v>
      </c>
      <c r="K221" s="7" t="str">
        <f>IFERROR(__xludf.DUMMYFUNCTION("""COMPUTED_VALUE"""),"Particular")</f>
        <v>Particular</v>
      </c>
      <c r="L221" s="7"/>
      <c r="M221" s="7"/>
      <c r="N221" s="7"/>
      <c r="O221" s="7"/>
      <c r="P221" s="7"/>
      <c r="Q221" s="7"/>
      <c r="R221" s="7"/>
      <c r="S221" s="7"/>
    </row>
    <row r="222">
      <c r="A222" s="7" t="str">
        <f t="shared" si="1"/>
        <v>Bondio, Luis</v>
      </c>
      <c r="B222" s="7">
        <f>SUMIFS('bd caja'!$K$1:$K$1012,'bd caja'!$D$1:$D$1012,A222)</f>
        <v>0</v>
      </c>
      <c r="C222" s="19">
        <f>IFERROR(__xludf.DUMMYFUNCTION("""COMPUTED_VALUE"""),45118.77661962963)</f>
        <v>45118.77662</v>
      </c>
      <c r="D222" s="7" t="str">
        <f>IFERROR(__xludf.DUMMYFUNCTION("""COMPUTED_VALUE"""),"Bondio")</f>
        <v>Bondio</v>
      </c>
      <c r="E222" s="7" t="str">
        <f>IFERROR(__xludf.DUMMYFUNCTION("""COMPUTED_VALUE"""),"Luis")</f>
        <v>Luis</v>
      </c>
      <c r="F222" s="7" t="str">
        <f>IFERROR(__xludf.DUMMYFUNCTION("""COMPUTED_VALUE"""),"luisrbondio@gmail.com")</f>
        <v>luisrbondio@gmail.com</v>
      </c>
      <c r="G222" s="20">
        <f>IFERROR(__xludf.DUMMYFUNCTION("""COMPUTED_VALUE"""),31097.0)</f>
        <v>31097</v>
      </c>
      <c r="H222" s="7">
        <f>IFERROR(__xludf.DUMMYFUNCTION("""COMPUTED_VALUE"""),3.1357652E7)</f>
        <v>31357652</v>
      </c>
      <c r="I222" s="7">
        <f>IFERROR(__xludf.DUMMYFUNCTION("""COMPUTED_VALUE"""),3.512374665E9)</f>
        <v>3512374665</v>
      </c>
      <c r="J222" s="7" t="str">
        <f>IFERROR(__xludf.DUMMYFUNCTION("""COMPUTED_VALUE"""),"Voy al gym Manantial")</f>
        <v>Voy al gym Manantial</v>
      </c>
      <c r="K222" s="7" t="str">
        <f>IFERROR(__xludf.DUMMYFUNCTION("""COMPUTED_VALUE"""),"Obra social")</f>
        <v>Obra social</v>
      </c>
      <c r="L222" s="7" t="str">
        <f>IFERROR(__xludf.DUMMYFUNCTION("""COMPUTED_VALUE"""),"Swiss Medical")</f>
        <v>Swiss Medical</v>
      </c>
      <c r="M222" s="7"/>
      <c r="N222" s="7"/>
      <c r="O222" s="7"/>
      <c r="P222" s="7"/>
      <c r="Q222" s="7"/>
      <c r="R222" s="7"/>
      <c r="S222" s="7"/>
    </row>
    <row r="223">
      <c r="A223" s="7" t="str">
        <f t="shared" si="1"/>
        <v>Paz Benard , Benjamín José </v>
      </c>
      <c r="B223" s="7">
        <f>SUMIFS('bd caja'!$K$1:$K$1012,'bd caja'!$D$1:$D$1012,A223)</f>
        <v>0</v>
      </c>
      <c r="C223" s="19">
        <f>IFERROR(__xludf.DUMMYFUNCTION("""COMPUTED_VALUE"""),45120.35700215278)</f>
        <v>45120.357</v>
      </c>
      <c r="D223" s="7" t="str">
        <f>IFERROR(__xludf.DUMMYFUNCTION("""COMPUTED_VALUE"""),"Paz Benard ")</f>
        <v>Paz Benard </v>
      </c>
      <c r="E223" s="7" t="str">
        <f>IFERROR(__xludf.DUMMYFUNCTION("""COMPUTED_VALUE"""),"Benjamín José ")</f>
        <v>Benjamín José </v>
      </c>
      <c r="F223" s="7" t="str">
        <f>IFERROR(__xludf.DUMMYFUNCTION("""COMPUTED_VALUE"""),"BENJA.PAZ.BENJA@GMAIL.COM")</f>
        <v>BENJA.PAZ.BENJA@GMAIL.COM</v>
      </c>
      <c r="G223" s="20">
        <f>IFERROR(__xludf.DUMMYFUNCTION("""COMPUTED_VALUE"""),33565.0)</f>
        <v>33565</v>
      </c>
      <c r="H223" s="7">
        <f>IFERROR(__xludf.DUMMYFUNCTION("""COMPUTED_VALUE"""),3.6143553E7)</f>
        <v>36143553</v>
      </c>
      <c r="I223" s="7">
        <f>IFERROR(__xludf.DUMMYFUNCTION("""COMPUTED_VALUE"""),3.513915833E9)</f>
        <v>3513915833</v>
      </c>
      <c r="J223" s="7" t="str">
        <f>IFERROR(__xludf.DUMMYFUNCTION("""COMPUTED_VALUE"""),"Google")</f>
        <v>Google</v>
      </c>
      <c r="K223" s="7" t="str">
        <f>IFERROR(__xludf.DUMMYFUNCTION("""COMPUTED_VALUE"""),"Particular")</f>
        <v>Particular</v>
      </c>
      <c r="L223" s="7"/>
      <c r="M223" s="7"/>
      <c r="N223" s="7"/>
      <c r="O223" s="7"/>
      <c r="P223" s="7"/>
      <c r="Q223" s="7"/>
      <c r="R223" s="7"/>
      <c r="S223" s="7"/>
    </row>
    <row r="224">
      <c r="A224" s="7" t="str">
        <f t="shared" si="1"/>
        <v>Mazzeo, Juan Cruz</v>
      </c>
      <c r="B224" s="7">
        <f>SUMIFS('bd caja'!$K$1:$K$1012,'bd caja'!$D$1:$D$1012,A224)</f>
        <v>0</v>
      </c>
      <c r="C224" s="19">
        <f>IFERROR(__xludf.DUMMYFUNCTION("""COMPUTED_VALUE"""),45120.52665453704)</f>
        <v>45120.52665</v>
      </c>
      <c r="D224" s="7" t="str">
        <f>IFERROR(__xludf.DUMMYFUNCTION("""COMPUTED_VALUE"""),"Mazzeo")</f>
        <v>Mazzeo</v>
      </c>
      <c r="E224" s="7" t="str">
        <f>IFERROR(__xludf.DUMMYFUNCTION("""COMPUTED_VALUE"""),"Juan Cruz")</f>
        <v>Juan Cruz</v>
      </c>
      <c r="F224" s="7" t="str">
        <f>IFERROR(__xludf.DUMMYFUNCTION("""COMPUTED_VALUE"""),"Mazzeojc@gmail.com")</f>
        <v>Mazzeojc@gmail.com</v>
      </c>
      <c r="G224" s="20">
        <f>IFERROR(__xludf.DUMMYFUNCTION("""COMPUTED_VALUE"""),28768.0)</f>
        <v>28768</v>
      </c>
      <c r="H224" s="7">
        <f>IFERROR(__xludf.DUMMYFUNCTION("""COMPUTED_VALUE"""),2.6903597E7)</f>
        <v>26903597</v>
      </c>
      <c r="I224" s="7">
        <f>IFERROR(__xludf.DUMMYFUNCTION("""COMPUTED_VALUE"""),3.51657707E9)</f>
        <v>3516577070</v>
      </c>
      <c r="J224" s="7" t="str">
        <f>IFERROR(__xludf.DUMMYFUNCTION("""COMPUTED_VALUE"""),"Google")</f>
        <v>Google</v>
      </c>
      <c r="K224" s="7" t="str">
        <f>IFERROR(__xludf.DUMMYFUNCTION("""COMPUTED_VALUE"""),"Obra social")</f>
        <v>Obra social</v>
      </c>
      <c r="L224" s="7" t="str">
        <f>IFERROR(__xludf.DUMMYFUNCTION("""COMPUTED_VALUE"""),"Medife")</f>
        <v>Medife</v>
      </c>
      <c r="M224" s="7"/>
      <c r="N224" s="7"/>
      <c r="O224" s="7"/>
      <c r="P224" s="7"/>
      <c r="Q224" s="7"/>
      <c r="R224" s="7"/>
      <c r="S224" s="7"/>
    </row>
    <row r="225">
      <c r="A225" s="7" t="str">
        <f t="shared" si="1"/>
        <v>Guemes, Julieta</v>
      </c>
      <c r="B225" s="7">
        <f>SUMIFS('bd caja'!$K$1:$K$1012,'bd caja'!$D$1:$D$1012,A225)</f>
        <v>0</v>
      </c>
      <c r="C225" s="19">
        <f>IFERROR(__xludf.DUMMYFUNCTION("""COMPUTED_VALUE"""),45120.54212162037)</f>
        <v>45120.54212</v>
      </c>
      <c r="D225" s="7" t="str">
        <f>IFERROR(__xludf.DUMMYFUNCTION("""COMPUTED_VALUE"""),"Guemes")</f>
        <v>Guemes</v>
      </c>
      <c r="E225" s="7" t="str">
        <f>IFERROR(__xludf.DUMMYFUNCTION("""COMPUTED_VALUE"""),"Julieta")</f>
        <v>Julieta</v>
      </c>
      <c r="F225" s="7" t="str">
        <f>IFERROR(__xludf.DUMMYFUNCTION("""COMPUTED_VALUE"""),"guemesjulieta@gmail.com")</f>
        <v>guemesjulieta@gmail.com</v>
      </c>
      <c r="G225" s="20">
        <f>IFERROR(__xludf.DUMMYFUNCTION("""COMPUTED_VALUE"""),32921.0)</f>
        <v>32921</v>
      </c>
      <c r="H225" s="7">
        <f>IFERROR(__xludf.DUMMYFUNCTION("""COMPUTED_VALUE"""),3.3371363E7)</f>
        <v>33371363</v>
      </c>
      <c r="I225" s="7">
        <f>IFERROR(__xludf.DUMMYFUNCTION("""COMPUTED_VALUE"""),1.7208306798E10)</f>
        <v>17208306798</v>
      </c>
      <c r="J225" s="7" t="str">
        <f>IFERROR(__xludf.DUMMYFUNCTION("""COMPUTED_VALUE"""),"Recomendación")</f>
        <v>Recomendación</v>
      </c>
      <c r="K225" s="7" t="str">
        <f>IFERROR(__xludf.DUMMYFUNCTION("""COMPUTED_VALUE"""),"Particular")</f>
        <v>Particular</v>
      </c>
      <c r="L225" s="7"/>
      <c r="M225" s="7"/>
      <c r="N225" s="7"/>
      <c r="O225" s="7"/>
      <c r="P225" s="7"/>
      <c r="Q225" s="7"/>
      <c r="R225" s="7"/>
      <c r="S225" s="7"/>
    </row>
    <row r="226">
      <c r="A226" s="7" t="str">
        <f t="shared" si="1"/>
        <v>Ocampo, Fabiana</v>
      </c>
      <c r="B226" s="7">
        <f>SUMIFS('bd caja'!$K$1:$K$1012,'bd caja'!$D$1:$D$1012,A226)</f>
        <v>0</v>
      </c>
      <c r="C226" s="19">
        <f>IFERROR(__xludf.DUMMYFUNCTION("""COMPUTED_VALUE"""),45120.75399734954)</f>
        <v>45120.754</v>
      </c>
      <c r="D226" s="7" t="str">
        <f>IFERROR(__xludf.DUMMYFUNCTION("""COMPUTED_VALUE"""),"Ocampo")</f>
        <v>Ocampo</v>
      </c>
      <c r="E226" s="7" t="str">
        <f>IFERROR(__xludf.DUMMYFUNCTION("""COMPUTED_VALUE"""),"Fabiana")</f>
        <v>Fabiana</v>
      </c>
      <c r="F226" s="7" t="str">
        <f>IFERROR(__xludf.DUMMYFUNCTION("""COMPUTED_VALUE"""),"fabianaocampo428@gmail.com")</f>
        <v>fabianaocampo428@gmail.com</v>
      </c>
      <c r="G226" s="20">
        <f>IFERROR(__xludf.DUMMYFUNCTION("""COMPUTED_VALUE"""),28489.0)</f>
        <v>28489</v>
      </c>
      <c r="H226" s="7">
        <f>IFERROR(__xludf.DUMMYFUNCTION("""COMPUTED_VALUE"""),2.6232772E7)</f>
        <v>26232772</v>
      </c>
      <c r="I226" s="7">
        <f>IFERROR(__xludf.DUMMYFUNCTION("""COMPUTED_VALUE"""),3.518568359E9)</f>
        <v>3518568359</v>
      </c>
      <c r="J226" s="7" t="str">
        <f>IFERROR(__xludf.DUMMYFUNCTION("""COMPUTED_VALUE"""),"Google")</f>
        <v>Google</v>
      </c>
      <c r="K226" s="7" t="str">
        <f>IFERROR(__xludf.DUMMYFUNCTION("""COMPUTED_VALUE"""),"Obra social")</f>
        <v>Obra social</v>
      </c>
      <c r="L226" s="7" t="str">
        <f>IFERROR(__xludf.DUMMYFUNCTION("""COMPUTED_VALUE"""),"APROSS")</f>
        <v>APROSS</v>
      </c>
      <c r="M226" s="7"/>
      <c r="N226" s="7"/>
      <c r="O226" s="7"/>
      <c r="P226" s="7"/>
      <c r="Q226" s="7"/>
      <c r="R226" s="7"/>
      <c r="S226" s="7"/>
    </row>
    <row r="227">
      <c r="A227" s="7" t="str">
        <f t="shared" si="1"/>
        <v>de la Colina, Facundo</v>
      </c>
      <c r="B227" s="7">
        <f>SUMIFS('bd caja'!$K$1:$K$1012,'bd caja'!$D$1:$D$1012,A227)</f>
        <v>0</v>
      </c>
      <c r="C227" s="19">
        <f>IFERROR(__xludf.DUMMYFUNCTION("""COMPUTED_VALUE"""),45121.39468813657)</f>
        <v>45121.39469</v>
      </c>
      <c r="D227" s="7" t="str">
        <f>IFERROR(__xludf.DUMMYFUNCTION("""COMPUTED_VALUE"""),"de la Colina")</f>
        <v>de la Colina</v>
      </c>
      <c r="E227" s="7" t="str">
        <f>IFERROR(__xludf.DUMMYFUNCTION("""COMPUTED_VALUE"""),"Facundo")</f>
        <v>Facundo</v>
      </c>
      <c r="F227" s="7" t="str">
        <f>IFERROR(__xludf.DUMMYFUNCTION("""COMPUTED_VALUE"""),"facudelac@gmail.com")</f>
        <v>facudelac@gmail.com</v>
      </c>
      <c r="G227" s="20">
        <f>IFERROR(__xludf.DUMMYFUNCTION("""COMPUTED_VALUE"""),35646.0)</f>
        <v>35646</v>
      </c>
      <c r="H227" s="7">
        <f>IFERROR(__xludf.DUMMYFUNCTION("""COMPUTED_VALUE"""),4.05182E7)</f>
        <v>40518200</v>
      </c>
      <c r="I227" s="7">
        <f>IFERROR(__xludf.DUMMYFUNCTION("""COMPUTED_VALUE"""),3.516430984E9)</f>
        <v>3516430984</v>
      </c>
      <c r="J227" s="7" t="str">
        <f>IFERROR(__xludf.DUMMYFUNCTION("""COMPUTED_VALUE"""),"Google")</f>
        <v>Google</v>
      </c>
      <c r="K227" s="7" t="str">
        <f>IFERROR(__xludf.DUMMYFUNCTION("""COMPUTED_VALUE"""),"Obra social")</f>
        <v>Obra social</v>
      </c>
      <c r="L227" s="7" t="str">
        <f>IFERROR(__xludf.DUMMYFUNCTION("""COMPUTED_VALUE"""),"DASPU")</f>
        <v>DASPU</v>
      </c>
      <c r="M227" s="7"/>
      <c r="N227" s="7"/>
      <c r="O227" s="7"/>
      <c r="P227" s="7"/>
      <c r="Q227" s="7"/>
      <c r="R227" s="7"/>
      <c r="S227" s="7"/>
    </row>
    <row r="228">
      <c r="A228" s="7" t="str">
        <f t="shared" si="1"/>
        <v>Stodart, María</v>
      </c>
      <c r="B228" s="7">
        <f>SUMIFS('bd caja'!$K$1:$K$1012,'bd caja'!$D$1:$D$1012,A228)</f>
        <v>0</v>
      </c>
      <c r="C228" s="19">
        <f>IFERROR(__xludf.DUMMYFUNCTION("""COMPUTED_VALUE"""),45124.47265056713)</f>
        <v>45124.47265</v>
      </c>
      <c r="D228" s="7" t="str">
        <f>IFERROR(__xludf.DUMMYFUNCTION("""COMPUTED_VALUE"""),"Stodart")</f>
        <v>Stodart</v>
      </c>
      <c r="E228" s="7" t="str">
        <f>IFERROR(__xludf.DUMMYFUNCTION("""COMPUTED_VALUE"""),"María")</f>
        <v>María</v>
      </c>
      <c r="F228" s="7" t="str">
        <f>IFERROR(__xludf.DUMMYFUNCTION("""COMPUTED_VALUE"""),"mariastodart@yahoo.com.ar")</f>
        <v>mariastodart@yahoo.com.ar</v>
      </c>
      <c r="G228" s="20">
        <f>IFERROR(__xludf.DUMMYFUNCTION("""COMPUTED_VALUE"""),22961.0)</f>
        <v>22961</v>
      </c>
      <c r="H228" s="7">
        <f>IFERROR(__xludf.DUMMYFUNCTION("""COMPUTED_VALUE"""),1.6083541E7)</f>
        <v>16083541</v>
      </c>
      <c r="I228" s="7">
        <f>IFERROR(__xludf.DUMMYFUNCTION("""COMPUTED_VALUE"""),3.516590226E9)</f>
        <v>3516590226</v>
      </c>
      <c r="J228" s="7" t="str">
        <f>IFERROR(__xludf.DUMMYFUNCTION("""COMPUTED_VALUE"""),"Recomendación")</f>
        <v>Recomendación</v>
      </c>
      <c r="K228" s="7" t="str">
        <f>IFERROR(__xludf.DUMMYFUNCTION("""COMPUTED_VALUE"""),"Obra social")</f>
        <v>Obra social</v>
      </c>
      <c r="L228" s="7" t="str">
        <f>IFERROR(__xludf.DUMMYFUNCTION("""COMPUTED_VALUE"""),"SANCOR")</f>
        <v>SANCOR</v>
      </c>
      <c r="M228" s="7"/>
      <c r="N228" s="7"/>
      <c r="O228" s="7"/>
      <c r="P228" s="7"/>
      <c r="Q228" s="7"/>
      <c r="R228" s="7"/>
      <c r="S228" s="7"/>
    </row>
    <row r="229">
      <c r="A229" s="7" t="str">
        <f t="shared" si="1"/>
        <v>FERREYRA, Yamila</v>
      </c>
      <c r="B229" s="7">
        <f>SUMIFS('bd caja'!$K$1:$K$1012,'bd caja'!$D$1:$D$1012,A229)</f>
        <v>0</v>
      </c>
      <c r="C229" s="19">
        <f>IFERROR(__xludf.DUMMYFUNCTION("""COMPUTED_VALUE"""),45124.474394537036)</f>
        <v>45124.47439</v>
      </c>
      <c r="D229" s="7" t="str">
        <f>IFERROR(__xludf.DUMMYFUNCTION("""COMPUTED_VALUE"""),"FERREYRA")</f>
        <v>FERREYRA</v>
      </c>
      <c r="E229" s="7" t="str">
        <f>IFERROR(__xludf.DUMMYFUNCTION("""COMPUTED_VALUE"""),"Yamila")</f>
        <v>Yamila</v>
      </c>
      <c r="F229" s="7" t="str">
        <f>IFERROR(__xludf.DUMMYFUNCTION("""COMPUTED_VALUE"""),"yam.ferreyra@gmail.com")</f>
        <v>yam.ferreyra@gmail.com</v>
      </c>
      <c r="G229" s="20">
        <f>IFERROR(__xludf.DUMMYFUNCTION("""COMPUTED_VALUE"""),29116.0)</f>
        <v>29116</v>
      </c>
      <c r="H229" s="7">
        <f>IFERROR(__xludf.DUMMYFUNCTION("""COMPUTED_VALUE"""),2.7403236E7)</f>
        <v>27403236</v>
      </c>
      <c r="I229" s="7">
        <f>IFERROR(__xludf.DUMMYFUNCTION("""COMPUTED_VALUE"""),3.517055921E9)</f>
        <v>3517055921</v>
      </c>
      <c r="J229" s="7" t="str">
        <f>IFERROR(__xludf.DUMMYFUNCTION("""COMPUTED_VALUE"""),"Voy al gym Manantial")</f>
        <v>Voy al gym Manantial</v>
      </c>
      <c r="K229" s="7" t="str">
        <f>IFERROR(__xludf.DUMMYFUNCTION("""COMPUTED_VALUE"""),"Obra social")</f>
        <v>Obra social</v>
      </c>
      <c r="L229" s="7" t="str">
        <f>IFERROR(__xludf.DUMMYFUNCTION("""COMPUTED_VALUE"""),"PREVENCIÓN")</f>
        <v>PREVENCIÓN</v>
      </c>
      <c r="M229" s="7"/>
      <c r="N229" s="7"/>
      <c r="O229" s="7"/>
      <c r="P229" s="7"/>
      <c r="Q229" s="7"/>
      <c r="R229" s="7"/>
      <c r="S229" s="7"/>
    </row>
    <row r="230">
      <c r="A230" s="7" t="str">
        <f t="shared" si="1"/>
        <v>Balbo, Kevin</v>
      </c>
      <c r="B230" s="7">
        <f>SUMIFS('bd caja'!$K$1:$K$1012,'bd caja'!$D$1:$D$1012,A230)</f>
        <v>0</v>
      </c>
      <c r="C230" s="19">
        <f>IFERROR(__xludf.DUMMYFUNCTION("""COMPUTED_VALUE"""),45125.49363116898)</f>
        <v>45125.49363</v>
      </c>
      <c r="D230" s="7" t="str">
        <f>IFERROR(__xludf.DUMMYFUNCTION("""COMPUTED_VALUE"""),"Balbo")</f>
        <v>Balbo</v>
      </c>
      <c r="E230" s="7" t="str">
        <f>IFERROR(__xludf.DUMMYFUNCTION("""COMPUTED_VALUE"""),"Kevin")</f>
        <v>Kevin</v>
      </c>
      <c r="F230" s="7" t="str">
        <f>IFERROR(__xludf.DUMMYFUNCTION("""COMPUTED_VALUE"""),"kevingonbalbo@gmail.com")</f>
        <v>kevingonbalbo@gmail.com</v>
      </c>
      <c r="G230" s="20">
        <f>IFERROR(__xludf.DUMMYFUNCTION("""COMPUTED_VALUE"""),34801.0)</f>
        <v>34801</v>
      </c>
      <c r="H230" s="7">
        <f>IFERROR(__xludf.DUMMYFUNCTION("""COMPUTED_VALUE"""),3.7641474E7)</f>
        <v>37641474</v>
      </c>
      <c r="I230" s="7">
        <f>IFERROR(__xludf.DUMMYFUNCTION("""COMPUTED_VALUE"""),3.549503496E9)</f>
        <v>3549503496</v>
      </c>
      <c r="J230" s="7" t="str">
        <f>IFERROR(__xludf.DUMMYFUNCTION("""COMPUTED_VALUE"""),"Google")</f>
        <v>Google</v>
      </c>
      <c r="K230" s="7" t="str">
        <f>IFERROR(__xludf.DUMMYFUNCTION("""COMPUTED_VALUE"""),"Obra social")</f>
        <v>Obra social</v>
      </c>
      <c r="L230" s="7" t="str">
        <f>IFERROR(__xludf.DUMMYFUNCTION("""COMPUTED_VALUE"""),"SANCOR")</f>
        <v>SANCOR</v>
      </c>
      <c r="M230" s="7"/>
      <c r="N230" s="7"/>
      <c r="O230" s="7"/>
      <c r="P230" s="7"/>
      <c r="Q230" s="7"/>
      <c r="R230" s="7"/>
      <c r="S230" s="7"/>
    </row>
    <row r="231">
      <c r="A231" s="7" t="str">
        <f t="shared" si="1"/>
        <v>Carrica, Maria Fernanda </v>
      </c>
      <c r="B231" s="7">
        <f>SUMIFS('bd caja'!$K$1:$K$1012,'bd caja'!$D$1:$D$1012,A231)</f>
        <v>0</v>
      </c>
      <c r="C231" s="19">
        <f>IFERROR(__xludf.DUMMYFUNCTION("""COMPUTED_VALUE"""),45125.70452234954)</f>
        <v>45125.70452</v>
      </c>
      <c r="D231" s="7" t="str">
        <f>IFERROR(__xludf.DUMMYFUNCTION("""COMPUTED_VALUE"""),"Carrica")</f>
        <v>Carrica</v>
      </c>
      <c r="E231" s="7" t="str">
        <f>IFERROR(__xludf.DUMMYFUNCTION("""COMPUTED_VALUE"""),"Maria Fernanda ")</f>
        <v>Maria Fernanda </v>
      </c>
      <c r="F231" s="7" t="str">
        <f>IFERROR(__xludf.DUMMYFUNCTION("""COMPUTED_VALUE"""),"fernandacarrica@gmail.com")</f>
        <v>fernandacarrica@gmail.com</v>
      </c>
      <c r="G231" s="20">
        <f>IFERROR(__xludf.DUMMYFUNCTION("""COMPUTED_VALUE"""),30112.0)</f>
        <v>30112</v>
      </c>
      <c r="H231" s="7">
        <f>IFERROR(__xludf.DUMMYFUNCTION("""COMPUTED_VALUE"""),2.9606327E7)</f>
        <v>29606327</v>
      </c>
      <c r="I231" s="7">
        <f>IFERROR(__xludf.DUMMYFUNCTION("""COMPUTED_VALUE"""),3.513476226E9)</f>
        <v>3513476226</v>
      </c>
      <c r="J231" s="7" t="str">
        <f>IFERROR(__xludf.DUMMYFUNCTION("""COMPUTED_VALUE"""),"Google")</f>
        <v>Google</v>
      </c>
      <c r="K231" s="7" t="str">
        <f>IFERROR(__xludf.DUMMYFUNCTION("""COMPUTED_VALUE"""),"Obra social")</f>
        <v>Obra social</v>
      </c>
      <c r="L231" s="7" t="str">
        <f>IFERROR(__xludf.DUMMYFUNCTION("""COMPUTED_VALUE"""),"DASPU")</f>
        <v>DASPU</v>
      </c>
      <c r="M231" s="7"/>
      <c r="N231" s="7"/>
      <c r="O231" s="7"/>
      <c r="P231" s="7"/>
      <c r="Q231" s="7"/>
      <c r="R231" s="7"/>
      <c r="S231" s="7"/>
    </row>
    <row r="232">
      <c r="A232" s="7" t="str">
        <f t="shared" si="1"/>
        <v>Angulo, Viviana</v>
      </c>
      <c r="B232" s="7">
        <f>SUMIFS('bd caja'!$K$1:$K$1012,'bd caja'!$D$1:$D$1012,A232)</f>
        <v>0</v>
      </c>
      <c r="C232" s="19">
        <f>IFERROR(__xludf.DUMMYFUNCTION("""COMPUTED_VALUE"""),45125.75884350695)</f>
        <v>45125.75884</v>
      </c>
      <c r="D232" s="7" t="str">
        <f>IFERROR(__xludf.DUMMYFUNCTION("""COMPUTED_VALUE"""),"Angulo")</f>
        <v>Angulo</v>
      </c>
      <c r="E232" s="7" t="str">
        <f>IFERROR(__xludf.DUMMYFUNCTION("""COMPUTED_VALUE"""),"Viviana")</f>
        <v>Viviana</v>
      </c>
      <c r="F232" s="7" t="str">
        <f>IFERROR(__xludf.DUMMYFUNCTION("""COMPUTED_VALUE"""),"-")</f>
        <v>-</v>
      </c>
      <c r="G232" s="20">
        <f>IFERROR(__xludf.DUMMYFUNCTION("""COMPUTED_VALUE"""),23761.0)</f>
        <v>23761</v>
      </c>
      <c r="H232" s="7">
        <f>IFERROR(__xludf.DUMMYFUNCTION("""COMPUTED_VALUE"""),1.7099916E7)</f>
        <v>17099916</v>
      </c>
      <c r="I232" s="7">
        <f>IFERROR(__xludf.DUMMYFUNCTION("""COMPUTED_VALUE"""),3.515914285E9)</f>
        <v>3515914285</v>
      </c>
      <c r="J232" s="7" t="str">
        <f>IFERROR(__xludf.DUMMYFUNCTION("""COMPUTED_VALUE"""),"Recomendación")</f>
        <v>Recomendación</v>
      </c>
      <c r="K232" s="7" t="str">
        <f>IFERROR(__xludf.DUMMYFUNCTION("""COMPUTED_VALUE"""),"Obra social")</f>
        <v>Obra social</v>
      </c>
      <c r="L232" s="7" t="str">
        <f>IFERROR(__xludf.DUMMYFUNCTION("""COMPUTED_VALUE"""),"Osseg ")</f>
        <v>Osseg </v>
      </c>
      <c r="M232" s="7"/>
      <c r="N232" s="7"/>
      <c r="O232" s="7"/>
      <c r="P232" s="7"/>
      <c r="Q232" s="7"/>
      <c r="R232" s="7"/>
      <c r="S232" s="7"/>
    </row>
    <row r="233">
      <c r="A233" s="7" t="str">
        <f t="shared" si="1"/>
        <v>Guemes vassallo, Juan martin</v>
      </c>
      <c r="B233" s="7">
        <f>SUMIFS('bd caja'!$K$1:$K$1012,'bd caja'!$D$1:$D$1012,A233)</f>
        <v>0</v>
      </c>
      <c r="C233" s="19">
        <f>IFERROR(__xludf.DUMMYFUNCTION("""COMPUTED_VALUE"""),45125.83097708333)</f>
        <v>45125.83098</v>
      </c>
      <c r="D233" s="7" t="str">
        <f>IFERROR(__xludf.DUMMYFUNCTION("""COMPUTED_VALUE"""),"Guemes vassallo")</f>
        <v>Guemes vassallo</v>
      </c>
      <c r="E233" s="7" t="str">
        <f>IFERROR(__xludf.DUMMYFUNCTION("""COMPUTED_VALUE"""),"Juan martin")</f>
        <v>Juan martin</v>
      </c>
      <c r="F233" s="7" t="str">
        <f>IFERROR(__xludf.DUMMYFUNCTION("""COMPUTED_VALUE"""),"Guemesjuan23@gmail.com")</f>
        <v>Guemesjuan23@gmail.com</v>
      </c>
      <c r="G233" s="20">
        <f>IFERROR(__xludf.DUMMYFUNCTION("""COMPUTED_VALUE"""),34764.0)</f>
        <v>34764</v>
      </c>
      <c r="H233" s="7">
        <f>IFERROR(__xludf.DUMMYFUNCTION("""COMPUTED_VALUE"""),3.8647973E7)</f>
        <v>38647973</v>
      </c>
      <c r="I233" s="7">
        <f>IFERROR(__xludf.DUMMYFUNCTION("""COMPUTED_VALUE"""),3.517562048E9)</f>
        <v>3517562048</v>
      </c>
      <c r="J233" s="7" t="str">
        <f>IFERROR(__xludf.DUMMYFUNCTION("""COMPUTED_VALUE"""),"Instagram")</f>
        <v>Instagram</v>
      </c>
      <c r="K233" s="7" t="str">
        <f>IFERROR(__xludf.DUMMYFUNCTION("""COMPUTED_VALUE"""),"Particular")</f>
        <v>Particular</v>
      </c>
      <c r="L233" s="7"/>
      <c r="M233" s="7"/>
      <c r="N233" s="7"/>
      <c r="O233" s="7"/>
      <c r="P233" s="7"/>
      <c r="Q233" s="7"/>
      <c r="R233" s="7"/>
      <c r="S233" s="7"/>
    </row>
    <row r="234">
      <c r="A234" s="7" t="str">
        <f t="shared" si="1"/>
        <v>Rodriguez , daniel alejandro</v>
      </c>
      <c r="B234" s="7">
        <f>SUMIFS('bd caja'!$K$1:$K$1012,'bd caja'!$D$1:$D$1012,A234)</f>
        <v>0</v>
      </c>
      <c r="C234" s="19">
        <f>IFERROR(__xludf.DUMMYFUNCTION("""COMPUTED_VALUE"""),45126.46277662037)</f>
        <v>45126.46278</v>
      </c>
      <c r="D234" s="7" t="str">
        <f>IFERROR(__xludf.DUMMYFUNCTION("""COMPUTED_VALUE"""),"Rodriguez ")</f>
        <v>Rodriguez </v>
      </c>
      <c r="E234" s="7" t="str">
        <f>IFERROR(__xludf.DUMMYFUNCTION("""COMPUTED_VALUE"""),"daniel alejandro")</f>
        <v>daniel alejandro</v>
      </c>
      <c r="F234" s="7"/>
      <c r="G234" s="20">
        <f>IFERROR(__xludf.DUMMYFUNCTION("""COMPUTED_VALUE"""),-667045.0)</f>
        <v>-667045</v>
      </c>
      <c r="H234" s="7">
        <f>IFERROR(__xludf.DUMMYFUNCTION("""COMPUTED_VALUE"""),3.0901177E7)</f>
        <v>30901177</v>
      </c>
      <c r="I234" s="7">
        <f>IFERROR(__xludf.DUMMYFUNCTION("""COMPUTED_VALUE"""),3.518107029E9)</f>
        <v>3518107029</v>
      </c>
      <c r="J234" s="7" t="str">
        <f>IFERROR(__xludf.DUMMYFUNCTION("""COMPUTED_VALUE"""),"Facebook")</f>
        <v>Facebook</v>
      </c>
      <c r="K234" s="7" t="str">
        <f>IFERROR(__xludf.DUMMYFUNCTION("""COMPUTED_VALUE"""),"Particular")</f>
        <v>Particular</v>
      </c>
      <c r="L234" s="7"/>
      <c r="M234" s="7"/>
      <c r="N234" s="7"/>
      <c r="O234" s="7"/>
      <c r="P234" s="7"/>
      <c r="Q234" s="7"/>
      <c r="R234" s="7"/>
      <c r="S234" s="7"/>
    </row>
    <row r="235">
      <c r="A235" s="7" t="str">
        <f t="shared" si="1"/>
        <v>Fiser, Karina</v>
      </c>
      <c r="B235" s="7">
        <f>SUMIFS('bd caja'!$K$1:$K$1012,'bd caja'!$D$1:$D$1012,A235)</f>
        <v>0</v>
      </c>
      <c r="C235" s="19">
        <f>IFERROR(__xludf.DUMMYFUNCTION("""COMPUTED_VALUE"""),45126.800943587965)</f>
        <v>45126.80094</v>
      </c>
      <c r="D235" s="7" t="str">
        <f>IFERROR(__xludf.DUMMYFUNCTION("""COMPUTED_VALUE"""),"Fiser")</f>
        <v>Fiser</v>
      </c>
      <c r="E235" s="7" t="str">
        <f>IFERROR(__xludf.DUMMYFUNCTION("""COMPUTED_VALUE"""),"Karina")</f>
        <v>Karina</v>
      </c>
      <c r="F235" s="7" t="str">
        <f>IFERROR(__xludf.DUMMYFUNCTION("""COMPUTED_VALUE"""),"karinafiser@gmail.com")</f>
        <v>karinafiser@gmail.com</v>
      </c>
      <c r="G235" s="20">
        <f>IFERROR(__xludf.DUMMYFUNCTION("""COMPUTED_VALUE"""),32566.0)</f>
        <v>32566</v>
      </c>
      <c r="H235" s="7">
        <f>IFERROR(__xludf.DUMMYFUNCTION("""COMPUTED_VALUE"""),3.4247959E7)</f>
        <v>34247959</v>
      </c>
      <c r="I235" s="7">
        <f>IFERROR(__xludf.DUMMYFUNCTION("""COMPUTED_VALUE"""),3.515136079E9)</f>
        <v>3515136079</v>
      </c>
      <c r="J235" s="7" t="str">
        <f>IFERROR(__xludf.DUMMYFUNCTION("""COMPUTED_VALUE"""),"Voy al gym Manantial")</f>
        <v>Voy al gym Manantial</v>
      </c>
      <c r="K235" s="7" t="str">
        <f>IFERROR(__xludf.DUMMYFUNCTION("""COMPUTED_VALUE"""),"Particular")</f>
        <v>Particular</v>
      </c>
      <c r="L235" s="7"/>
      <c r="M235" s="7"/>
      <c r="N235" s="7"/>
      <c r="O235" s="7"/>
      <c r="P235" s="7"/>
      <c r="Q235" s="7"/>
      <c r="R235" s="7"/>
      <c r="S235" s="7"/>
    </row>
    <row r="236">
      <c r="A236" s="7" t="str">
        <f t="shared" si="1"/>
        <v>Robotti , Nicolas</v>
      </c>
      <c r="B236" s="7">
        <f>SUMIFS('bd caja'!$K$1:$K$1012,'bd caja'!$D$1:$D$1012,A236)</f>
        <v>0</v>
      </c>
      <c r="C236" s="19">
        <f>IFERROR(__xludf.DUMMYFUNCTION("""COMPUTED_VALUE"""),45127.40788119213)</f>
        <v>45127.40788</v>
      </c>
      <c r="D236" s="7" t="str">
        <f>IFERROR(__xludf.DUMMYFUNCTION("""COMPUTED_VALUE"""),"Robotti ")</f>
        <v>Robotti </v>
      </c>
      <c r="E236" s="7" t="str">
        <f>IFERROR(__xludf.DUMMYFUNCTION("""COMPUTED_VALUE"""),"Nicolas")</f>
        <v>Nicolas</v>
      </c>
      <c r="F236" s="7" t="str">
        <f>IFERROR(__xludf.DUMMYFUNCTION("""COMPUTED_VALUE"""),"nicoarobotti@gmail.com")</f>
        <v>nicoarobotti@gmail.com</v>
      </c>
      <c r="G236" s="20">
        <f>IFERROR(__xludf.DUMMYFUNCTION("""COMPUTED_VALUE"""),29712.0)</f>
        <v>29712</v>
      </c>
      <c r="H236" s="7">
        <f>IFERROR(__xludf.DUMMYFUNCTION("""COMPUTED_VALUE"""),2.8657714E7)</f>
        <v>28657714</v>
      </c>
      <c r="I236" s="7">
        <f>IFERROR(__xludf.DUMMYFUNCTION("""COMPUTED_VALUE"""),9.3516747915E10)</f>
        <v>93516747915</v>
      </c>
      <c r="J236" s="7" t="str">
        <f>IFERROR(__xludf.DUMMYFUNCTION("""COMPUTED_VALUE"""),"Recomendación")</f>
        <v>Recomendación</v>
      </c>
      <c r="K236" s="7" t="str">
        <f>IFERROR(__xludf.DUMMYFUNCTION("""COMPUTED_VALUE"""),"Particular")</f>
        <v>Particular</v>
      </c>
      <c r="L236" s="7"/>
      <c r="M236" s="7"/>
      <c r="N236" s="7"/>
      <c r="O236" s="7"/>
      <c r="P236" s="7"/>
      <c r="Q236" s="7"/>
      <c r="R236" s="7"/>
      <c r="S236" s="7"/>
    </row>
    <row r="237">
      <c r="A237" s="7" t="str">
        <f t="shared" si="1"/>
        <v>Rios, Alejandra</v>
      </c>
      <c r="B237" s="7">
        <f>SUMIFS('bd caja'!$K$1:$K$1012,'bd caja'!$D$1:$D$1012,A237)</f>
        <v>0</v>
      </c>
      <c r="C237" s="19">
        <f>IFERROR(__xludf.DUMMYFUNCTION("""COMPUTED_VALUE"""),45127.70541920139)</f>
        <v>45127.70542</v>
      </c>
      <c r="D237" s="7" t="str">
        <f>IFERROR(__xludf.DUMMYFUNCTION("""COMPUTED_VALUE"""),"Rios")</f>
        <v>Rios</v>
      </c>
      <c r="E237" s="7" t="str">
        <f>IFERROR(__xludf.DUMMYFUNCTION("""COMPUTED_VALUE"""),"Alejandra")</f>
        <v>Alejandra</v>
      </c>
      <c r="F237" s="7" t="str">
        <f>IFERROR(__xludf.DUMMYFUNCTION("""COMPUTED_VALUE"""),"alejariosjara@icloud.com")</f>
        <v>alejariosjara@icloud.com</v>
      </c>
      <c r="G237" s="20">
        <f>IFERROR(__xludf.DUMMYFUNCTION("""COMPUTED_VALUE"""),26220.0)</f>
        <v>26220</v>
      </c>
      <c r="H237" s="7">
        <f>IFERROR(__xludf.DUMMYFUNCTION("""COMPUTED_VALUE"""),2.2373757E7)</f>
        <v>22373757</v>
      </c>
      <c r="I237" s="7">
        <f>IFERROR(__xludf.DUMMYFUNCTION("""COMPUTED_VALUE"""),3.5129561E9)</f>
        <v>3512956100</v>
      </c>
      <c r="J237" s="7" t="str">
        <f>IFERROR(__xludf.DUMMYFUNCTION("""COMPUTED_VALUE"""),"Recomendación")</f>
        <v>Recomendación</v>
      </c>
      <c r="K237" s="7" t="str">
        <f>IFERROR(__xludf.DUMMYFUNCTION("""COMPUTED_VALUE"""),"Particular")</f>
        <v>Particular</v>
      </c>
      <c r="L237" s="7"/>
      <c r="M237" s="7"/>
      <c r="N237" s="7"/>
      <c r="O237" s="7"/>
      <c r="P237" s="7"/>
      <c r="Q237" s="7"/>
      <c r="R237" s="7"/>
      <c r="S237" s="7"/>
    </row>
    <row r="238">
      <c r="A238" s="7" t="str">
        <f t="shared" si="1"/>
        <v>Baruffaldi, María elena</v>
      </c>
      <c r="B238" s="7">
        <f>SUMIFS('bd caja'!$K$1:$K$1012,'bd caja'!$D$1:$D$1012,A238)</f>
        <v>0</v>
      </c>
      <c r="C238" s="19">
        <f>IFERROR(__xludf.DUMMYFUNCTION("""COMPUTED_VALUE"""),45128.48400949074)</f>
        <v>45128.48401</v>
      </c>
      <c r="D238" s="7" t="str">
        <f>IFERROR(__xludf.DUMMYFUNCTION("""COMPUTED_VALUE"""),"Baruffaldi")</f>
        <v>Baruffaldi</v>
      </c>
      <c r="E238" s="7" t="str">
        <f>IFERROR(__xludf.DUMMYFUNCTION("""COMPUTED_VALUE"""),"María elena")</f>
        <v>María elena</v>
      </c>
      <c r="F238" s="7" t="str">
        <f>IFERROR(__xludf.DUMMYFUNCTION("""COMPUTED_VALUE"""),"baruffaldi.mariaelena@hotmail.com")</f>
        <v>baruffaldi.mariaelena@hotmail.com</v>
      </c>
      <c r="G238" s="20">
        <f>IFERROR(__xludf.DUMMYFUNCTION("""COMPUTED_VALUE"""),20275.0)</f>
        <v>20275</v>
      </c>
      <c r="H238" s="7">
        <f>IFERROR(__xludf.DUMMYFUNCTION("""COMPUTED_VALUE"""),1.1515792E7)</f>
        <v>11515792</v>
      </c>
      <c r="I238" s="7">
        <f>IFERROR(__xludf.DUMMYFUNCTION("""COMPUTED_VALUE"""),3.512355487E9)</f>
        <v>3512355487</v>
      </c>
      <c r="J238" s="7" t="str">
        <f>IFERROR(__xludf.DUMMYFUNCTION("""COMPUTED_VALUE"""),"Hijo y amigos")</f>
        <v>Hijo y amigos</v>
      </c>
      <c r="K238" s="7" t="str">
        <f>IFERROR(__xludf.DUMMYFUNCTION("""COMPUTED_VALUE"""),"Obra social")</f>
        <v>Obra social</v>
      </c>
      <c r="L238" s="7" t="str">
        <f>IFERROR(__xludf.DUMMYFUNCTION("""COMPUTED_VALUE"""),"APROSS")</f>
        <v>APROSS</v>
      </c>
      <c r="M238" s="7"/>
      <c r="N238" s="7"/>
      <c r="O238" s="7"/>
      <c r="P238" s="7"/>
      <c r="Q238" s="7"/>
      <c r="R238" s="7"/>
      <c r="S238" s="7"/>
    </row>
    <row r="239">
      <c r="A239" s="7" t="str">
        <f t="shared" si="1"/>
        <v>Martich Oviedo, Tadeo</v>
      </c>
      <c r="B239" s="7">
        <f>SUMIFS('bd caja'!$K$1:$K$1012,'bd caja'!$D$1:$D$1012,A239)</f>
        <v>0</v>
      </c>
      <c r="C239" s="19">
        <f>IFERROR(__xludf.DUMMYFUNCTION("""COMPUTED_VALUE"""),45131.4432345949)</f>
        <v>45131.44323</v>
      </c>
      <c r="D239" s="7" t="str">
        <f>IFERROR(__xludf.DUMMYFUNCTION("""COMPUTED_VALUE"""),"Martich Oviedo")</f>
        <v>Martich Oviedo</v>
      </c>
      <c r="E239" s="7" t="str">
        <f>IFERROR(__xludf.DUMMYFUNCTION("""COMPUTED_VALUE"""),"Tadeo")</f>
        <v>Tadeo</v>
      </c>
      <c r="F239" s="7" t="str">
        <f>IFERROR(__xludf.DUMMYFUNCTION("""COMPUTED_VALUE"""),"oviedo3231@gmail.com")</f>
        <v>oviedo3231@gmail.com</v>
      </c>
      <c r="G239" s="20">
        <f>IFERROR(__xludf.DUMMYFUNCTION("""COMPUTED_VALUE"""),39895.0)</f>
        <v>39895</v>
      </c>
      <c r="H239" s="7">
        <f>IFERROR(__xludf.DUMMYFUNCTION("""COMPUTED_VALUE"""),4.9404056E7)</f>
        <v>49404056</v>
      </c>
      <c r="I239" s="7">
        <f>IFERROR(__xludf.DUMMYFUNCTION("""COMPUTED_VALUE"""),3.512372941E9)</f>
        <v>3512372941</v>
      </c>
      <c r="J239" s="7" t="str">
        <f>IFERROR(__xludf.DUMMYFUNCTION("""COMPUTED_VALUE"""),"Google")</f>
        <v>Google</v>
      </c>
      <c r="K239" s="7" t="str">
        <f>IFERROR(__xludf.DUMMYFUNCTION("""COMPUTED_VALUE"""),"Obra social")</f>
        <v>Obra social</v>
      </c>
      <c r="L239" s="7" t="str">
        <f>IFERROR(__xludf.DUMMYFUNCTION("""COMPUTED_VALUE"""),"CPCE")</f>
        <v>CPCE</v>
      </c>
      <c r="M239" s="7"/>
      <c r="N239" s="7"/>
      <c r="O239" s="7"/>
      <c r="P239" s="7"/>
      <c r="Q239" s="7"/>
      <c r="R239" s="7"/>
      <c r="S239" s="7"/>
    </row>
    <row r="240">
      <c r="A240" s="7" t="str">
        <f t="shared" si="1"/>
        <v>Castro, Antonia Matilde</v>
      </c>
      <c r="B240" s="7">
        <f>SUMIFS('bd caja'!$K$1:$K$1012,'bd caja'!$D$1:$D$1012,A240)</f>
        <v>0</v>
      </c>
      <c r="C240" s="19">
        <f>IFERROR(__xludf.DUMMYFUNCTION("""COMPUTED_VALUE"""),45131.50257758102)</f>
        <v>45131.50258</v>
      </c>
      <c r="D240" s="7" t="str">
        <f>IFERROR(__xludf.DUMMYFUNCTION("""COMPUTED_VALUE"""),"Castro")</f>
        <v>Castro</v>
      </c>
      <c r="E240" s="7" t="str">
        <f>IFERROR(__xludf.DUMMYFUNCTION("""COMPUTED_VALUE"""),"Antonia Matilde")</f>
        <v>Antonia Matilde</v>
      </c>
      <c r="F240" s="7" t="str">
        <f>IFERROR(__xludf.DUMMYFUNCTION("""COMPUTED_VALUE"""),"piojin@live.com")</f>
        <v>piojin@live.com</v>
      </c>
      <c r="G240" s="20">
        <f>IFERROR(__xludf.DUMMYFUNCTION("""COMPUTED_VALUE"""),15395.0)</f>
        <v>15395</v>
      </c>
      <c r="H240" s="7">
        <f>IFERROR(__xludf.DUMMYFUNCTION("""COMPUTED_VALUE"""),4129035.0)</f>
        <v>4129035</v>
      </c>
      <c r="I240" s="7">
        <f>IFERROR(__xludf.DUMMYFUNCTION("""COMPUTED_VALUE"""),3.513565063E9)</f>
        <v>3513565063</v>
      </c>
      <c r="J240" s="7" t="str">
        <f>IFERROR(__xludf.DUMMYFUNCTION("""COMPUTED_VALUE"""),"Google")</f>
        <v>Google</v>
      </c>
      <c r="K240" s="7" t="str">
        <f>IFERROR(__xludf.DUMMYFUNCTION("""COMPUTED_VALUE"""),"Particular")</f>
        <v>Particular</v>
      </c>
      <c r="L240" s="7"/>
      <c r="M240" s="7"/>
      <c r="N240" s="7"/>
      <c r="O240" s="7"/>
      <c r="P240" s="7"/>
      <c r="Q240" s="7"/>
      <c r="R240" s="7"/>
      <c r="S240" s="7"/>
    </row>
    <row r="241">
      <c r="A241" s="7" t="str">
        <f t="shared" si="1"/>
        <v>Davila, Paulo</v>
      </c>
      <c r="B241" s="7">
        <f>SUMIFS('bd caja'!$K$1:$K$1012,'bd caja'!$D$1:$D$1012,A241)</f>
        <v>0</v>
      </c>
      <c r="C241" s="19">
        <f>IFERROR(__xludf.DUMMYFUNCTION("""COMPUTED_VALUE"""),45131.794793622685)</f>
        <v>45131.79479</v>
      </c>
      <c r="D241" s="7" t="str">
        <f>IFERROR(__xludf.DUMMYFUNCTION("""COMPUTED_VALUE"""),"Davila")</f>
        <v>Davila</v>
      </c>
      <c r="E241" s="7" t="str">
        <f>IFERROR(__xludf.DUMMYFUNCTION("""COMPUTED_VALUE"""),"Paulo")</f>
        <v>Paulo</v>
      </c>
      <c r="F241" s="7" t="str">
        <f>IFERROR(__xludf.DUMMYFUNCTION("""COMPUTED_VALUE"""),"paulo_davila@hotmail.com")</f>
        <v>paulo_davila@hotmail.com</v>
      </c>
      <c r="G241" s="20">
        <f>IFERROR(__xludf.DUMMYFUNCTION("""COMPUTED_VALUE"""),27580.0)</f>
        <v>27580</v>
      </c>
      <c r="H241" s="7">
        <f>IFERROR(__xludf.DUMMYFUNCTION("""COMPUTED_VALUE"""),2.4687262E7)</f>
        <v>24687262</v>
      </c>
      <c r="I241" s="7">
        <f>IFERROR(__xludf.DUMMYFUNCTION("""COMPUTED_VALUE"""),3.51302288E9)</f>
        <v>3513022880</v>
      </c>
      <c r="J241" s="7" t="str">
        <f>IFERROR(__xludf.DUMMYFUNCTION("""COMPUTED_VALUE"""),"Voy al gym Manantial")</f>
        <v>Voy al gym Manantial</v>
      </c>
      <c r="K241" s="7" t="str">
        <f>IFERROR(__xludf.DUMMYFUNCTION("""COMPUTED_VALUE"""),"Particular")</f>
        <v>Particular</v>
      </c>
      <c r="L241" s="7"/>
      <c r="M241" s="7"/>
      <c r="N241" s="7"/>
      <c r="O241" s="7"/>
      <c r="P241" s="7"/>
      <c r="Q241" s="7"/>
      <c r="R241" s="7"/>
      <c r="S241" s="7"/>
    </row>
    <row r="242">
      <c r="A242" s="7" t="str">
        <f t="shared" si="1"/>
        <v>Farias, Matias</v>
      </c>
      <c r="B242" s="7">
        <f>SUMIFS('bd caja'!$K$1:$K$1012,'bd caja'!$D$1:$D$1012,A242)</f>
        <v>0</v>
      </c>
      <c r="C242" s="19">
        <f>IFERROR(__xludf.DUMMYFUNCTION("""COMPUTED_VALUE"""),45132.06266971065)</f>
        <v>45132.06267</v>
      </c>
      <c r="D242" s="7" t="str">
        <f>IFERROR(__xludf.DUMMYFUNCTION("""COMPUTED_VALUE"""),"Farias")</f>
        <v>Farias</v>
      </c>
      <c r="E242" s="7" t="str">
        <f>IFERROR(__xludf.DUMMYFUNCTION("""COMPUTED_VALUE"""),"Matias")</f>
        <v>Matias</v>
      </c>
      <c r="F242" s="7" t="str">
        <f>IFERROR(__xludf.DUMMYFUNCTION("""COMPUTED_VALUE"""),"matias2exe@gmail.com")</f>
        <v>matias2exe@gmail.com</v>
      </c>
      <c r="G242" s="20">
        <f>IFERROR(__xludf.DUMMYFUNCTION("""COMPUTED_VALUE"""),31256.0)</f>
        <v>31256</v>
      </c>
      <c r="H242" s="7">
        <f>IFERROR(__xludf.DUMMYFUNCTION("""COMPUTED_VALUE"""),3.1742298E7)</f>
        <v>31742298</v>
      </c>
      <c r="I242" s="7">
        <f>IFERROR(__xludf.DUMMYFUNCTION("""COMPUTED_VALUE"""),3.516514821E9)</f>
        <v>3516514821</v>
      </c>
      <c r="J242" s="7" t="str">
        <f>IFERROR(__xludf.DUMMYFUNCTION("""COMPUTED_VALUE"""),"Voy al gym Manantial")</f>
        <v>Voy al gym Manantial</v>
      </c>
      <c r="K242" s="7" t="str">
        <f>IFERROR(__xludf.DUMMYFUNCTION("""COMPUTED_VALUE"""),"Particular")</f>
        <v>Particular</v>
      </c>
      <c r="L242" s="7"/>
      <c r="M242" s="7"/>
      <c r="N242" s="7"/>
      <c r="O242" s="7"/>
      <c r="P242" s="7"/>
      <c r="Q242" s="7"/>
      <c r="R242" s="7"/>
      <c r="S242" s="7"/>
    </row>
    <row r="243">
      <c r="A243" s="7" t="str">
        <f t="shared" si="1"/>
        <v>Bomone , Santiago</v>
      </c>
      <c r="B243" s="7">
        <f>SUMIFS('bd caja'!$K$1:$K$1012,'bd caja'!$D$1:$D$1012,A243)</f>
        <v>0</v>
      </c>
      <c r="C243" s="19">
        <f>IFERROR(__xludf.DUMMYFUNCTION("""COMPUTED_VALUE"""),45132.39860688658)</f>
        <v>45132.39861</v>
      </c>
      <c r="D243" s="7" t="str">
        <f>IFERROR(__xludf.DUMMYFUNCTION("""COMPUTED_VALUE"""),"Bomone ")</f>
        <v>Bomone </v>
      </c>
      <c r="E243" s="7" t="str">
        <f>IFERROR(__xludf.DUMMYFUNCTION("""COMPUTED_VALUE"""),"Santiago")</f>
        <v>Santiago</v>
      </c>
      <c r="F243" s="7" t="str">
        <f>IFERROR(__xludf.DUMMYFUNCTION("""COMPUTED_VALUE"""),"santiago1420@live.com")</f>
        <v>santiago1420@live.com</v>
      </c>
      <c r="G243" s="20">
        <f>IFERROR(__xludf.DUMMYFUNCTION("""COMPUTED_VALUE"""),35184.0)</f>
        <v>35184</v>
      </c>
      <c r="H243" s="7">
        <f>IFERROR(__xludf.DUMMYFUNCTION("""COMPUTED_VALUE"""),3.9445006E7)</f>
        <v>39445006</v>
      </c>
      <c r="I243" s="7">
        <f>IFERROR(__xludf.DUMMYFUNCTION("""COMPUTED_VALUE"""),3.51307162E9)</f>
        <v>3513071620</v>
      </c>
      <c r="J243" s="7" t="str">
        <f>IFERROR(__xludf.DUMMYFUNCTION("""COMPUTED_VALUE"""),"Recomendación")</f>
        <v>Recomendación</v>
      </c>
      <c r="K243" s="7" t="str">
        <f>IFERROR(__xludf.DUMMYFUNCTION("""COMPUTED_VALUE"""),"Obra social")</f>
        <v>Obra social</v>
      </c>
      <c r="L243" s="7" t="str">
        <f>IFERROR(__xludf.DUMMYFUNCTION("""COMPUTED_VALUE"""),"SANCOR")</f>
        <v>SANCOR</v>
      </c>
      <c r="M243" s="7"/>
      <c r="N243" s="7"/>
      <c r="O243" s="7"/>
      <c r="P243" s="7"/>
      <c r="Q243" s="7"/>
      <c r="R243" s="7"/>
      <c r="S243" s="7"/>
    </row>
    <row r="244">
      <c r="A244" s="7" t="str">
        <f t="shared" si="1"/>
        <v>Bulacio Guerrero , María Belén </v>
      </c>
      <c r="B244" s="7">
        <f>SUMIFS('bd caja'!$K$1:$K$1012,'bd caja'!$D$1:$D$1012,A244)</f>
        <v>0</v>
      </c>
      <c r="C244" s="19">
        <f>IFERROR(__xludf.DUMMYFUNCTION("""COMPUTED_VALUE"""),45132.8152121875)</f>
        <v>45132.81521</v>
      </c>
      <c r="D244" s="7" t="str">
        <f>IFERROR(__xludf.DUMMYFUNCTION("""COMPUTED_VALUE"""),"Bulacio Guerrero ")</f>
        <v>Bulacio Guerrero </v>
      </c>
      <c r="E244" s="7" t="str">
        <f>IFERROR(__xludf.DUMMYFUNCTION("""COMPUTED_VALUE"""),"María Belén ")</f>
        <v>María Belén </v>
      </c>
      <c r="F244" s="7" t="str">
        <f>IFERROR(__xludf.DUMMYFUNCTION("""COMPUTED_VALUE"""),"mabulacioguerrero@gmail.com")</f>
        <v>mabulacioguerrero@gmail.com</v>
      </c>
      <c r="G244" s="20">
        <f>IFERROR(__xludf.DUMMYFUNCTION("""COMPUTED_VALUE"""),32480.0)</f>
        <v>32480</v>
      </c>
      <c r="H244" s="7">
        <f>IFERROR(__xludf.DUMMYFUNCTION("""COMPUTED_VALUE"""),3.3884547E7)</f>
        <v>33884547</v>
      </c>
      <c r="I244" s="7">
        <f>IFERROR(__xludf.DUMMYFUNCTION("""COMPUTED_VALUE"""),3.516357888E9)</f>
        <v>3516357888</v>
      </c>
      <c r="J244" s="7" t="str">
        <f>IFERROR(__xludf.DUMMYFUNCTION("""COMPUTED_VALUE"""),"Cartilla Obra Social")</f>
        <v>Cartilla Obra Social</v>
      </c>
      <c r="K244" s="7" t="str">
        <f>IFERROR(__xludf.DUMMYFUNCTION("""COMPUTED_VALUE"""),"Obra social")</f>
        <v>Obra social</v>
      </c>
      <c r="L244" s="7" t="str">
        <f>IFERROR(__xludf.DUMMYFUNCTION("""COMPUTED_VALUE"""),"PREVENCIÓN")</f>
        <v>PREVENCIÓN</v>
      </c>
      <c r="M244" s="7"/>
      <c r="N244" s="7"/>
      <c r="O244" s="7"/>
      <c r="P244" s="7"/>
      <c r="Q244" s="7"/>
      <c r="R244" s="7"/>
      <c r="S244" s="7"/>
    </row>
    <row r="245">
      <c r="A245" s="7" t="str">
        <f t="shared" si="1"/>
        <v>Francile, Juan</v>
      </c>
      <c r="B245" s="7">
        <f>SUMIFS('bd caja'!$K$1:$K$1012,'bd caja'!$D$1:$D$1012,A245)</f>
        <v>0</v>
      </c>
      <c r="C245" s="19">
        <f>IFERROR(__xludf.DUMMYFUNCTION("""COMPUTED_VALUE"""),45133.66968128472)</f>
        <v>45133.66968</v>
      </c>
      <c r="D245" s="7" t="str">
        <f>IFERROR(__xludf.DUMMYFUNCTION("""COMPUTED_VALUE"""),"Francile")</f>
        <v>Francile</v>
      </c>
      <c r="E245" s="7" t="str">
        <f>IFERROR(__xludf.DUMMYFUNCTION("""COMPUTED_VALUE"""),"Juan")</f>
        <v>Juan</v>
      </c>
      <c r="F245" s="7" t="str">
        <f>IFERROR(__xludf.DUMMYFUNCTION("""COMPUTED_VALUE"""),"juan.francile@gmail.com")</f>
        <v>juan.francile@gmail.com</v>
      </c>
      <c r="G245" s="20">
        <f>IFERROR(__xludf.DUMMYFUNCTION("""COMPUTED_VALUE"""),32072.0)</f>
        <v>32072</v>
      </c>
      <c r="H245" s="7">
        <f>IFERROR(__xludf.DUMMYFUNCTION("""COMPUTED_VALUE"""),3.338131E7)</f>
        <v>33381310</v>
      </c>
      <c r="I245" s="7">
        <f>IFERROR(__xludf.DUMMYFUNCTION("""COMPUTED_VALUE"""),3.516157379E9)</f>
        <v>3516157379</v>
      </c>
      <c r="J245" s="7" t="str">
        <f>IFERROR(__xludf.DUMMYFUNCTION("""COMPUTED_VALUE"""),"Recomendación")</f>
        <v>Recomendación</v>
      </c>
      <c r="K245" s="7" t="str">
        <f>IFERROR(__xludf.DUMMYFUNCTION("""COMPUTED_VALUE"""),"Obra social")</f>
        <v>Obra social</v>
      </c>
      <c r="L245" s="7" t="str">
        <f>IFERROR(__xludf.DUMMYFUNCTION("""COMPUTED_VALUE"""),"PREVENCIÓN")</f>
        <v>PREVENCIÓN</v>
      </c>
      <c r="M245" s="7"/>
      <c r="N245" s="7"/>
      <c r="O245" s="7"/>
      <c r="P245" s="7"/>
      <c r="Q245" s="7"/>
      <c r="R245" s="7"/>
      <c r="S245" s="7"/>
    </row>
    <row r="246">
      <c r="A246" s="7" t="str">
        <f t="shared" si="1"/>
        <v>Battistoni , Lautaro </v>
      </c>
      <c r="B246" s="7">
        <f>SUMIFS('bd caja'!$K$1:$K$1012,'bd caja'!$D$1:$D$1012,A246)</f>
        <v>0</v>
      </c>
      <c r="C246" s="19">
        <f>IFERROR(__xludf.DUMMYFUNCTION("""COMPUTED_VALUE"""),45134.64874047454)</f>
        <v>45134.64874</v>
      </c>
      <c r="D246" s="7" t="str">
        <f>IFERROR(__xludf.DUMMYFUNCTION("""COMPUTED_VALUE"""),"Battistoni ")</f>
        <v>Battistoni </v>
      </c>
      <c r="E246" s="7" t="str">
        <f>IFERROR(__xludf.DUMMYFUNCTION("""COMPUTED_VALUE"""),"Lautaro ")</f>
        <v>Lautaro </v>
      </c>
      <c r="F246" s="7" t="str">
        <f>IFERROR(__xludf.DUMMYFUNCTION("""COMPUTED_VALUE"""),"battistonilauti@gmail.com")</f>
        <v>battistonilauti@gmail.com</v>
      </c>
      <c r="G246" s="20">
        <f>IFERROR(__xludf.DUMMYFUNCTION("""COMPUTED_VALUE"""),38269.0)</f>
        <v>38269</v>
      </c>
      <c r="H246" s="7">
        <f>IFERROR(__xludf.DUMMYFUNCTION("""COMPUTED_VALUE"""),4.5835079E7)</f>
        <v>45835079</v>
      </c>
      <c r="I246" s="7">
        <f>IFERROR(__xludf.DUMMYFUNCTION("""COMPUTED_VALUE"""),3.517143835E9)</f>
        <v>3517143835</v>
      </c>
      <c r="J246" s="7" t="str">
        <f>IFERROR(__xludf.DUMMYFUNCTION("""COMPUTED_VALUE"""),"Instagram")</f>
        <v>Instagram</v>
      </c>
      <c r="K246" s="7" t="str">
        <f>IFERROR(__xludf.DUMMYFUNCTION("""COMPUTED_VALUE"""),"Obra social")</f>
        <v>Obra social</v>
      </c>
      <c r="L246" s="7" t="str">
        <f>IFERROR(__xludf.DUMMYFUNCTION("""COMPUTED_VALUE"""),"PREVENCIÓN")</f>
        <v>PREVENCIÓN</v>
      </c>
      <c r="M246" s="7"/>
      <c r="N246" s="7"/>
      <c r="O246" s="7"/>
      <c r="P246" s="7"/>
      <c r="Q246" s="7"/>
      <c r="R246" s="7"/>
      <c r="S246" s="7"/>
    </row>
    <row r="247">
      <c r="A247" s="7" t="str">
        <f t="shared" si="1"/>
        <v>Conrero, Maximiliano</v>
      </c>
      <c r="B247" s="7">
        <f>SUMIFS('bd caja'!$K$1:$K$1012,'bd caja'!$D$1:$D$1012,A247)</f>
        <v>0</v>
      </c>
      <c r="C247" s="19">
        <f>IFERROR(__xludf.DUMMYFUNCTION("""COMPUTED_VALUE"""),45134.684501805554)</f>
        <v>45134.6845</v>
      </c>
      <c r="D247" s="7" t="str">
        <f>IFERROR(__xludf.DUMMYFUNCTION("""COMPUTED_VALUE"""),"Conrero")</f>
        <v>Conrero</v>
      </c>
      <c r="E247" s="7" t="str">
        <f>IFERROR(__xludf.DUMMYFUNCTION("""COMPUTED_VALUE"""),"Maximiliano")</f>
        <v>Maximiliano</v>
      </c>
      <c r="F247" s="7" t="str">
        <f>IFERROR(__xludf.DUMMYFUNCTION("""COMPUTED_VALUE"""),"maxicongar@gmail.com")</f>
        <v>maxicongar@gmail.com</v>
      </c>
      <c r="G247" s="20">
        <f>IFERROR(__xludf.DUMMYFUNCTION("""COMPUTED_VALUE"""),37125.0)</f>
        <v>37125</v>
      </c>
      <c r="H247" s="7">
        <f>IFERROR(__xludf.DUMMYFUNCTION("""COMPUTED_VALUE"""),4.3559617E7)</f>
        <v>43559617</v>
      </c>
      <c r="I247" s="7">
        <f>IFERROR(__xludf.DUMMYFUNCTION("""COMPUTED_VALUE"""),3.515604413E9)</f>
        <v>3515604413</v>
      </c>
      <c r="J247" s="7" t="str">
        <f>IFERROR(__xludf.DUMMYFUNCTION("""COMPUTED_VALUE"""),"Recomendación")</f>
        <v>Recomendación</v>
      </c>
      <c r="K247" s="7" t="str">
        <f>IFERROR(__xludf.DUMMYFUNCTION("""COMPUTED_VALUE"""),"Obra social")</f>
        <v>Obra social</v>
      </c>
      <c r="L247" s="7" t="str">
        <f>IFERROR(__xludf.DUMMYFUNCTION("""COMPUTED_VALUE"""),"Medifé")</f>
        <v>Medifé</v>
      </c>
      <c r="M247" s="7"/>
      <c r="N247" s="7"/>
      <c r="O247" s="7"/>
      <c r="P247" s="7"/>
      <c r="Q247" s="7"/>
      <c r="R247" s="7"/>
      <c r="S247" s="7"/>
    </row>
    <row r="248">
      <c r="A248" s="7" t="str">
        <f t="shared" si="1"/>
        <v>Lopez, Marcelo</v>
      </c>
      <c r="B248" s="7">
        <f>SUMIFS('bd caja'!$K$1:$K$1012,'bd caja'!$D$1:$D$1012,A248)</f>
        <v>0</v>
      </c>
      <c r="C248" s="19">
        <f>IFERROR(__xludf.DUMMYFUNCTION("""COMPUTED_VALUE"""),45134.797993506945)</f>
        <v>45134.79799</v>
      </c>
      <c r="D248" s="7" t="str">
        <f>IFERROR(__xludf.DUMMYFUNCTION("""COMPUTED_VALUE"""),"Lopez")</f>
        <v>Lopez</v>
      </c>
      <c r="E248" s="7" t="str">
        <f>IFERROR(__xludf.DUMMYFUNCTION("""COMPUTED_VALUE"""),"Marcelo")</f>
        <v>Marcelo</v>
      </c>
      <c r="F248" s="7" t="str">
        <f>IFERROR(__xludf.DUMMYFUNCTION("""COMPUTED_VALUE"""),"marcelogustavolopez98@gmail.com")</f>
        <v>marcelogustavolopez98@gmail.com</v>
      </c>
      <c r="G248" s="20">
        <f>IFERROR(__xludf.DUMMYFUNCTION("""COMPUTED_VALUE"""),26945.0)</f>
        <v>26945</v>
      </c>
      <c r="H248" s="7">
        <f>IFERROR(__xludf.DUMMYFUNCTION("""COMPUTED_VALUE"""),2.3684498E7)</f>
        <v>23684498</v>
      </c>
      <c r="I248" s="7">
        <f>IFERROR(__xludf.DUMMYFUNCTION("""COMPUTED_VALUE"""),3.517501884E9)</f>
        <v>3517501884</v>
      </c>
      <c r="J248" s="7" t="str">
        <f>IFERROR(__xludf.DUMMYFUNCTION("""COMPUTED_VALUE"""),"Recomendación")</f>
        <v>Recomendación</v>
      </c>
      <c r="K248" s="7" t="str">
        <f>IFERROR(__xludf.DUMMYFUNCTION("""COMPUTED_VALUE"""),"Particular")</f>
        <v>Particular</v>
      </c>
      <c r="L248" s="7"/>
      <c r="M248" s="7"/>
      <c r="N248" s="7"/>
      <c r="O248" s="7"/>
      <c r="P248" s="7"/>
      <c r="Q248" s="7"/>
      <c r="R248" s="7"/>
      <c r="S248" s="7"/>
    </row>
    <row r="249">
      <c r="A249" s="7" t="str">
        <f t="shared" si="1"/>
        <v>Coniberti , Maria Irene </v>
      </c>
      <c r="B249" s="7">
        <f>SUMIFS('bd caja'!$K$1:$K$1012,'bd caja'!$D$1:$D$1012,A249)</f>
        <v>0</v>
      </c>
      <c r="C249" s="19">
        <f>IFERROR(__xludf.DUMMYFUNCTION("""COMPUTED_VALUE"""),45134.88313072917)</f>
        <v>45134.88313</v>
      </c>
      <c r="D249" s="7" t="str">
        <f>IFERROR(__xludf.DUMMYFUNCTION("""COMPUTED_VALUE"""),"Coniberti ")</f>
        <v>Coniberti </v>
      </c>
      <c r="E249" s="7" t="str">
        <f>IFERROR(__xludf.DUMMYFUNCTION("""COMPUTED_VALUE"""),"Maria Irene ")</f>
        <v>Maria Irene </v>
      </c>
      <c r="F249" s="7" t="str">
        <f>IFERROR(__xludf.DUMMYFUNCTION("""COMPUTED_VALUE"""),"miconi3@yahoo.com.ar")</f>
        <v>miconi3@yahoo.com.ar</v>
      </c>
      <c r="G249" s="20">
        <f>IFERROR(__xludf.DUMMYFUNCTION("""COMPUTED_VALUE"""),25492.0)</f>
        <v>25492</v>
      </c>
      <c r="H249" s="7">
        <f>IFERROR(__xludf.DUMMYFUNCTION("""COMPUTED_VALUE"""),2.0874735E7)</f>
        <v>20874735</v>
      </c>
      <c r="I249" s="7">
        <f>IFERROR(__xludf.DUMMYFUNCTION("""COMPUTED_VALUE"""),1.53789403E8)</f>
        <v>153789403</v>
      </c>
      <c r="J249" s="7" t="str">
        <f>IFERROR(__xludf.DUMMYFUNCTION("""COMPUTED_VALUE"""),"Recomendación")</f>
        <v>Recomendación</v>
      </c>
      <c r="K249" s="7" t="str">
        <f>IFERROR(__xludf.DUMMYFUNCTION("""COMPUTED_VALUE"""),"Particular")</f>
        <v>Particular</v>
      </c>
      <c r="L249" s="7"/>
      <c r="M249" s="7"/>
      <c r="N249" s="7"/>
      <c r="O249" s="7"/>
      <c r="P249" s="7"/>
      <c r="Q249" s="7"/>
      <c r="R249" s="7"/>
      <c r="S249" s="7"/>
    </row>
    <row r="250">
      <c r="A250" s="7" t="str">
        <f t="shared" si="1"/>
        <v>YANECK, Adriana</v>
      </c>
      <c r="B250" s="7">
        <f>SUMIFS('bd caja'!$K$1:$K$1012,'bd caja'!$D$1:$D$1012,A250)</f>
        <v>0</v>
      </c>
      <c r="C250" s="19">
        <f>IFERROR(__xludf.DUMMYFUNCTION("""COMPUTED_VALUE"""),45135.45420447917)</f>
        <v>45135.4542</v>
      </c>
      <c r="D250" s="7" t="str">
        <f>IFERROR(__xludf.DUMMYFUNCTION("""COMPUTED_VALUE"""),"YANECK")</f>
        <v>YANECK</v>
      </c>
      <c r="E250" s="7" t="str">
        <f>IFERROR(__xludf.DUMMYFUNCTION("""COMPUTED_VALUE"""),"Adriana")</f>
        <v>Adriana</v>
      </c>
      <c r="F250" s="7" t="str">
        <f>IFERROR(__xludf.DUMMYFUNCTION("""COMPUTED_VALUE"""),"adryjan@hotmail.com")</f>
        <v>adryjan@hotmail.com</v>
      </c>
      <c r="G250" s="20">
        <f>IFERROR(__xludf.DUMMYFUNCTION("""COMPUTED_VALUE"""),22783.0)</f>
        <v>22783</v>
      </c>
      <c r="H250" s="7">
        <f>IFERROR(__xludf.DUMMYFUNCTION("""COMPUTED_VALUE"""),1.6083072E7)</f>
        <v>16083072</v>
      </c>
      <c r="I250" s="7">
        <f>IFERROR(__xludf.DUMMYFUNCTION("""COMPUTED_VALUE"""),3.515576028E9)</f>
        <v>3515576028</v>
      </c>
      <c r="J250" s="7" t="str">
        <f>IFERROR(__xludf.DUMMYFUNCTION("""COMPUTED_VALUE"""),"Recomendación")</f>
        <v>Recomendación</v>
      </c>
      <c r="K250" s="7" t="str">
        <f>IFERROR(__xludf.DUMMYFUNCTION("""COMPUTED_VALUE"""),"Obra social")</f>
        <v>Obra social</v>
      </c>
      <c r="L250" s="7" t="str">
        <f>IFERROR(__xludf.DUMMYFUNCTION("""COMPUTED_VALUE"""),"APROSS")</f>
        <v>APROSS</v>
      </c>
      <c r="M250" s="7"/>
      <c r="N250" s="7"/>
      <c r="O250" s="7"/>
      <c r="P250" s="7"/>
      <c r="Q250" s="7"/>
      <c r="R250" s="7"/>
      <c r="S250" s="7"/>
    </row>
    <row r="251">
      <c r="A251" s="7" t="str">
        <f t="shared" si="1"/>
        <v>Oliva , Ignacio </v>
      </c>
      <c r="B251" s="7">
        <f>SUMIFS('bd caja'!$K$1:$K$1012,'bd caja'!$D$1:$D$1012,A251)</f>
        <v>0</v>
      </c>
      <c r="C251" s="19">
        <f>IFERROR(__xludf.DUMMYFUNCTION("""COMPUTED_VALUE"""),45135.8283533912)</f>
        <v>45135.82835</v>
      </c>
      <c r="D251" s="7" t="str">
        <f>IFERROR(__xludf.DUMMYFUNCTION("""COMPUTED_VALUE"""),"Oliva ")</f>
        <v>Oliva </v>
      </c>
      <c r="E251" s="7" t="str">
        <f>IFERROR(__xludf.DUMMYFUNCTION("""COMPUTED_VALUE"""),"Ignacio ")</f>
        <v>Ignacio </v>
      </c>
      <c r="F251" s="7" t="str">
        <f>IFERROR(__xludf.DUMMYFUNCTION("""COMPUTED_VALUE"""),"Ignacio@envivoproducciones.net")</f>
        <v>Ignacio@envivoproducciones.net</v>
      </c>
      <c r="G251" s="20">
        <f>IFERROR(__xludf.DUMMYFUNCTION("""COMPUTED_VALUE"""),33009.0)</f>
        <v>33009</v>
      </c>
      <c r="H251" s="7">
        <f>IFERROR(__xludf.DUMMYFUNCTION("""COMPUTED_VALUE"""),3.5108061E7)</f>
        <v>35108061</v>
      </c>
      <c r="I251" s="7">
        <f>IFERROR(__xludf.DUMMYFUNCTION("""COMPUTED_VALUE"""),3.517452777E9)</f>
        <v>3517452777</v>
      </c>
      <c r="J251" s="7" t="str">
        <f>IFERROR(__xludf.DUMMYFUNCTION("""COMPUTED_VALUE"""),"Recomendación")</f>
        <v>Recomendación</v>
      </c>
      <c r="K251" s="7" t="str">
        <f>IFERROR(__xludf.DUMMYFUNCTION("""COMPUTED_VALUE"""),"Particular")</f>
        <v>Particular</v>
      </c>
      <c r="L251" s="7"/>
      <c r="M251" s="7"/>
      <c r="N251" s="7"/>
      <c r="O251" s="7"/>
      <c r="P251" s="7"/>
      <c r="Q251" s="7"/>
      <c r="R251" s="7"/>
      <c r="S251" s="7"/>
    </row>
    <row r="252">
      <c r="A252" s="7" t="str">
        <f t="shared" si="1"/>
        <v>Mullins, Tomás </v>
      </c>
      <c r="B252" s="7">
        <f>SUMIFS('bd caja'!$K$1:$K$1012,'bd caja'!$D$1:$D$1012,A252)</f>
        <v>0</v>
      </c>
      <c r="C252" s="19">
        <f>IFERROR(__xludf.DUMMYFUNCTION("""COMPUTED_VALUE"""),45138.53527414352)</f>
        <v>45138.53527</v>
      </c>
      <c r="D252" s="7" t="str">
        <f>IFERROR(__xludf.DUMMYFUNCTION("""COMPUTED_VALUE"""),"Mullins")</f>
        <v>Mullins</v>
      </c>
      <c r="E252" s="7" t="str">
        <f>IFERROR(__xludf.DUMMYFUNCTION("""COMPUTED_VALUE"""),"Tomás ")</f>
        <v>Tomás </v>
      </c>
      <c r="F252" s="7" t="str">
        <f>IFERROR(__xludf.DUMMYFUNCTION("""COMPUTED_VALUE"""),"xsawter@gmail.com ")</f>
        <v>xsawter@gmail.com </v>
      </c>
      <c r="G252" s="20">
        <f>IFERROR(__xludf.DUMMYFUNCTION("""COMPUTED_VALUE"""),35607.0)</f>
        <v>35607</v>
      </c>
      <c r="H252" s="7">
        <f>IFERROR(__xludf.DUMMYFUNCTION("""COMPUTED_VALUE"""),4.0405055E7)</f>
        <v>40405055</v>
      </c>
      <c r="I252" s="7">
        <f>IFERROR(__xludf.DUMMYFUNCTION("""COMPUTED_VALUE"""),3.515503211E9)</f>
        <v>3515503211</v>
      </c>
      <c r="J252" s="7" t="str">
        <f>IFERROR(__xludf.DUMMYFUNCTION("""COMPUTED_VALUE"""),"Recomendación")</f>
        <v>Recomendación</v>
      </c>
      <c r="K252" s="7" t="str">
        <f>IFERROR(__xludf.DUMMYFUNCTION("""COMPUTED_VALUE"""),"Particular")</f>
        <v>Particular</v>
      </c>
      <c r="L252" s="7"/>
      <c r="M252" s="7"/>
      <c r="N252" s="7"/>
      <c r="O252" s="7"/>
      <c r="P252" s="7"/>
      <c r="Q252" s="7"/>
      <c r="R252" s="7"/>
      <c r="S252" s="7"/>
    </row>
    <row r="253">
      <c r="A253" s="7" t="str">
        <f t="shared" si="1"/>
        <v>Guayán , Martin </v>
      </c>
      <c r="B253" s="7">
        <f>SUMIFS('bd caja'!$K$1:$K$1012,'bd caja'!$D$1:$D$1012,A253)</f>
        <v>0</v>
      </c>
      <c r="C253" s="19">
        <f>IFERROR(__xludf.DUMMYFUNCTION("""COMPUTED_VALUE"""),45139.81199931713)</f>
        <v>45139.812</v>
      </c>
      <c r="D253" s="7" t="str">
        <f>IFERROR(__xludf.DUMMYFUNCTION("""COMPUTED_VALUE"""),"Guayán ")</f>
        <v>Guayán </v>
      </c>
      <c r="E253" s="7" t="str">
        <f>IFERROR(__xludf.DUMMYFUNCTION("""COMPUTED_VALUE"""),"Martin ")</f>
        <v>Martin </v>
      </c>
      <c r="F253" s="7" t="str">
        <f>IFERROR(__xludf.DUMMYFUNCTION("""COMPUTED_VALUE"""),"martinfguayan@gmail.com")</f>
        <v>martinfguayan@gmail.com</v>
      </c>
      <c r="G253" s="20">
        <f>IFERROR(__xludf.DUMMYFUNCTION("""COMPUTED_VALUE"""),44738.0)</f>
        <v>44738</v>
      </c>
      <c r="H253" s="7">
        <f>IFERROR(__xludf.DUMMYFUNCTION("""COMPUTED_VALUE"""),2.3376331E7)</f>
        <v>23376331</v>
      </c>
      <c r="I253" s="7">
        <f>IFERROR(__xludf.DUMMYFUNCTION("""COMPUTED_VALUE"""),3.517694767E9)</f>
        <v>3517694767</v>
      </c>
      <c r="J253" s="7" t="str">
        <f>IFERROR(__xludf.DUMMYFUNCTION("""COMPUTED_VALUE"""),"Cartilla Obra Social")</f>
        <v>Cartilla Obra Social</v>
      </c>
      <c r="K253" s="7" t="str">
        <f>IFERROR(__xludf.DUMMYFUNCTION("""COMPUTED_VALUE"""),"Obra social")</f>
        <v>Obra social</v>
      </c>
      <c r="L253" s="7" t="str">
        <f>IFERROR(__xludf.DUMMYFUNCTION("""COMPUTED_VALUE"""),"PREVENCIÓN")</f>
        <v>PREVENCIÓN</v>
      </c>
      <c r="M253" s="7"/>
      <c r="N253" s="7"/>
      <c r="O253" s="7"/>
      <c r="P253" s="7"/>
      <c r="Q253" s="7"/>
      <c r="R253" s="7"/>
      <c r="S253" s="7"/>
    </row>
    <row r="254">
      <c r="A254" s="7" t="str">
        <f t="shared" si="1"/>
        <v>Santore, Eliana</v>
      </c>
      <c r="B254" s="7">
        <f>SUMIFS('bd caja'!$K$1:$K$1012,'bd caja'!$D$1:$D$1012,A254)</f>
        <v>0</v>
      </c>
      <c r="C254" s="19">
        <f>IFERROR(__xludf.DUMMYFUNCTION("""COMPUTED_VALUE"""),45140.51270482639)</f>
        <v>45140.5127</v>
      </c>
      <c r="D254" s="7" t="str">
        <f>IFERROR(__xludf.DUMMYFUNCTION("""COMPUTED_VALUE"""),"Santore")</f>
        <v>Santore</v>
      </c>
      <c r="E254" s="7" t="str">
        <f>IFERROR(__xludf.DUMMYFUNCTION("""COMPUTED_VALUE"""),"Eliana")</f>
        <v>Eliana</v>
      </c>
      <c r="F254" s="7" t="str">
        <f>IFERROR(__xludf.DUMMYFUNCTION("""COMPUTED_VALUE"""),"elysantoree@gmail.com ")</f>
        <v>elysantoree@gmail.com </v>
      </c>
      <c r="G254" s="20">
        <f>IFERROR(__xludf.DUMMYFUNCTION("""COMPUTED_VALUE"""),32463.0)</f>
        <v>32463</v>
      </c>
      <c r="H254" s="7">
        <f>IFERROR(__xludf.DUMMYFUNCTION("""COMPUTED_VALUE"""),3.4689011E7)</f>
        <v>34689011</v>
      </c>
      <c r="I254" s="7">
        <f>IFERROR(__xludf.DUMMYFUNCTION("""COMPUTED_VALUE"""),3.513477569E9)</f>
        <v>3513477569</v>
      </c>
      <c r="J254" s="7" t="str">
        <f>IFERROR(__xludf.DUMMYFUNCTION("""COMPUTED_VALUE"""),"Google")</f>
        <v>Google</v>
      </c>
      <c r="K254" s="7" t="str">
        <f>IFERROR(__xludf.DUMMYFUNCTION("""COMPUTED_VALUE"""),"Particular")</f>
        <v>Particular</v>
      </c>
      <c r="L254" s="7"/>
      <c r="M254" s="7"/>
      <c r="N254" s="7"/>
      <c r="O254" s="7"/>
      <c r="P254" s="7"/>
      <c r="Q254" s="7"/>
      <c r="R254" s="7"/>
      <c r="S254" s="7"/>
    </row>
    <row r="255">
      <c r="A255" s="7" t="str">
        <f t="shared" si="1"/>
        <v>Calanducci, Catalina</v>
      </c>
      <c r="B255" s="7">
        <f>SUMIFS('bd caja'!$K$1:$K$1012,'bd caja'!$D$1:$D$1012,A255)</f>
        <v>0</v>
      </c>
      <c r="C255" s="19">
        <f>IFERROR(__xludf.DUMMYFUNCTION("""COMPUTED_VALUE"""),45140.79359547453)</f>
        <v>45140.7936</v>
      </c>
      <c r="D255" s="7" t="str">
        <f>IFERROR(__xludf.DUMMYFUNCTION("""COMPUTED_VALUE"""),"Calanducci")</f>
        <v>Calanducci</v>
      </c>
      <c r="E255" s="7" t="str">
        <f>IFERROR(__xludf.DUMMYFUNCTION("""COMPUTED_VALUE"""),"Catalina")</f>
        <v>Catalina</v>
      </c>
      <c r="F255" s="7" t="str">
        <f>IFERROR(__xludf.DUMMYFUNCTION("""COMPUTED_VALUE"""),"catamcalan@gmail.com")</f>
        <v>catamcalan@gmail.com</v>
      </c>
      <c r="G255" s="20">
        <f>IFERROR(__xludf.DUMMYFUNCTION("""COMPUTED_VALUE"""),39832.0)</f>
        <v>39832</v>
      </c>
      <c r="H255" s="7">
        <f>IFERROR(__xludf.DUMMYFUNCTION("""COMPUTED_VALUE"""),4.8720793E7)</f>
        <v>48720793</v>
      </c>
      <c r="I255" s="7">
        <f>IFERROR(__xludf.DUMMYFUNCTION("""COMPUTED_VALUE"""),3.515167007E9)</f>
        <v>3515167007</v>
      </c>
      <c r="J255" s="7" t="str">
        <f>IFERROR(__xludf.DUMMYFUNCTION("""COMPUTED_VALUE"""),"Recomendación")</f>
        <v>Recomendación</v>
      </c>
      <c r="K255" s="7" t="str">
        <f>IFERROR(__xludf.DUMMYFUNCTION("""COMPUTED_VALUE"""),"Obra social")</f>
        <v>Obra social</v>
      </c>
      <c r="L255" s="7" t="str">
        <f>IFERROR(__xludf.DUMMYFUNCTION("""COMPUTED_VALUE"""),"Integral salud")</f>
        <v>Integral salud</v>
      </c>
      <c r="M255" s="7"/>
      <c r="N255" s="7"/>
      <c r="O255" s="7"/>
      <c r="P255" s="7"/>
      <c r="Q255" s="7"/>
      <c r="R255" s="7"/>
      <c r="S255" s="7"/>
    </row>
    <row r="256">
      <c r="A256" s="7" t="str">
        <f t="shared" si="1"/>
        <v>Dudeley, Dwight</v>
      </c>
      <c r="B256" s="7">
        <f>SUMIFS('bd caja'!$K$1:$K$1012,'bd caja'!$D$1:$D$1012,A256)</f>
        <v>0</v>
      </c>
      <c r="C256" s="19">
        <f>IFERROR(__xludf.DUMMYFUNCTION("""COMPUTED_VALUE"""),45141.81639224537)</f>
        <v>45141.81639</v>
      </c>
      <c r="D256" s="7" t="str">
        <f>IFERROR(__xludf.DUMMYFUNCTION("""COMPUTED_VALUE"""),"Dudeley")</f>
        <v>Dudeley</v>
      </c>
      <c r="E256" s="7" t="str">
        <f>IFERROR(__xludf.DUMMYFUNCTION("""COMPUTED_VALUE"""),"Dwight")</f>
        <v>Dwight</v>
      </c>
      <c r="F256" s="7"/>
      <c r="G256" s="20">
        <f>IFERROR(__xludf.DUMMYFUNCTION("""COMPUTED_VALUE"""),19874.0)</f>
        <v>19874</v>
      </c>
      <c r="H256" s="7">
        <f>IFERROR(__xludf.DUMMYFUNCTION("""COMPUTED_VALUE"""),5.59627517E8)</f>
        <v>559627517</v>
      </c>
      <c r="I256" s="7">
        <f>IFERROR(__xludf.DUMMYFUNCTION("""COMPUTED_VALUE"""),1.3216242487E10)</f>
        <v>13216242487</v>
      </c>
      <c r="J256" s="7" t="str">
        <f>IFERROR(__xludf.DUMMYFUNCTION("""COMPUTED_VALUE"""),"Recomendación")</f>
        <v>Recomendación</v>
      </c>
      <c r="K256" s="7" t="str">
        <f>IFERROR(__xludf.DUMMYFUNCTION("""COMPUTED_VALUE"""),"Particular")</f>
        <v>Particular</v>
      </c>
      <c r="L256" s="7"/>
      <c r="M256" s="7"/>
      <c r="N256" s="7"/>
      <c r="O256" s="7"/>
      <c r="P256" s="7"/>
      <c r="Q256" s="7"/>
      <c r="R256" s="7"/>
      <c r="S256" s="7"/>
    </row>
    <row r="257">
      <c r="A257" s="7" t="str">
        <f t="shared" si="1"/>
        <v>Ghiorzi, Ignacio</v>
      </c>
      <c r="B257" s="7">
        <f>SUMIFS('bd caja'!$K$1:$K$1012,'bd caja'!$D$1:$D$1012,A257)</f>
        <v>0</v>
      </c>
      <c r="C257" s="19">
        <f>IFERROR(__xludf.DUMMYFUNCTION("""COMPUTED_VALUE"""),45142.415579849534)</f>
        <v>45142.41558</v>
      </c>
      <c r="D257" s="7" t="str">
        <f>IFERROR(__xludf.DUMMYFUNCTION("""COMPUTED_VALUE"""),"Ghiorzi")</f>
        <v>Ghiorzi</v>
      </c>
      <c r="E257" s="7" t="str">
        <f>IFERROR(__xludf.DUMMYFUNCTION("""COMPUTED_VALUE"""),"Ignacio")</f>
        <v>Ignacio</v>
      </c>
      <c r="F257" s="7" t="str">
        <f>IFERROR(__xludf.DUMMYFUNCTION("""COMPUTED_VALUE"""),"ignacio@gosamply.com")</f>
        <v>ignacio@gosamply.com</v>
      </c>
      <c r="G257" s="20">
        <f>IFERROR(__xludf.DUMMYFUNCTION("""COMPUTED_VALUE"""),32853.0)</f>
        <v>32853</v>
      </c>
      <c r="H257" s="7">
        <f>IFERROR(__xludf.DUMMYFUNCTION("""COMPUTED_VALUE"""),3.4982591E7)</f>
        <v>34982591</v>
      </c>
      <c r="I257" s="7">
        <f>IFERROR(__xludf.DUMMYFUNCTION("""COMPUTED_VALUE"""),3.516174676E9)</f>
        <v>3516174676</v>
      </c>
      <c r="J257" s="7" t="str">
        <f>IFERROR(__xludf.DUMMYFUNCTION("""COMPUTED_VALUE"""),"Recomendación")</f>
        <v>Recomendación</v>
      </c>
      <c r="K257" s="7" t="str">
        <f>IFERROR(__xludf.DUMMYFUNCTION("""COMPUTED_VALUE"""),"Obra social")</f>
        <v>Obra social</v>
      </c>
      <c r="L257" s="7" t="str">
        <f>IFERROR(__xludf.DUMMYFUNCTION("""COMPUTED_VALUE"""),"Osde ")</f>
        <v>Osde </v>
      </c>
      <c r="M257" s="7"/>
      <c r="N257" s="7"/>
      <c r="O257" s="7"/>
      <c r="P257" s="7"/>
      <c r="Q257" s="7"/>
      <c r="R257" s="7"/>
      <c r="S257" s="7"/>
    </row>
    <row r="258">
      <c r="A258" s="7" t="str">
        <f t="shared" si="1"/>
        <v>Puertas, Susana</v>
      </c>
      <c r="B258" s="7">
        <f>SUMIFS('bd caja'!$K$1:$K$1012,'bd caja'!$D$1:$D$1012,A258)</f>
        <v>0</v>
      </c>
      <c r="C258" s="19">
        <f>IFERROR(__xludf.DUMMYFUNCTION("""COMPUTED_VALUE"""),45142.78360539352)</f>
        <v>45142.78361</v>
      </c>
      <c r="D258" s="7" t="str">
        <f>IFERROR(__xludf.DUMMYFUNCTION("""COMPUTED_VALUE"""),"Puertas")</f>
        <v>Puertas</v>
      </c>
      <c r="E258" s="7" t="str">
        <f>IFERROR(__xludf.DUMMYFUNCTION("""COMPUTED_VALUE"""),"Susana")</f>
        <v>Susana</v>
      </c>
      <c r="F258" s="7" t="str">
        <f>IFERROR(__xludf.DUMMYFUNCTION("""COMPUTED_VALUE"""),"zusi.p@hotmail.com")</f>
        <v>zusi.p@hotmail.com</v>
      </c>
      <c r="G258" s="20">
        <f>IFERROR(__xludf.DUMMYFUNCTION("""COMPUTED_VALUE"""),16374.0)</f>
        <v>16374</v>
      </c>
      <c r="H258" s="7">
        <f>IFERROR(__xludf.DUMMYFUNCTION("""COMPUTED_VALUE"""),5097009.0)</f>
        <v>5097009</v>
      </c>
      <c r="I258" s="7">
        <f>IFERROR(__xludf.DUMMYFUNCTION("""COMPUTED_VALUE"""),3.516099547E9)</f>
        <v>3516099547</v>
      </c>
      <c r="J258" s="7" t="str">
        <f>IFERROR(__xludf.DUMMYFUNCTION("""COMPUTED_VALUE"""),"Google")</f>
        <v>Google</v>
      </c>
      <c r="K258" s="7" t="str">
        <f>IFERROR(__xludf.DUMMYFUNCTION("""COMPUTED_VALUE"""),"Obra social")</f>
        <v>Obra social</v>
      </c>
      <c r="L258" s="7" t="str">
        <f>IFERROR(__xludf.DUMMYFUNCTION("""COMPUTED_VALUE"""),"APROSS")</f>
        <v>APROSS</v>
      </c>
      <c r="M258" s="7"/>
      <c r="N258" s="7"/>
      <c r="O258" s="7"/>
      <c r="P258" s="7"/>
      <c r="Q258" s="7"/>
      <c r="R258" s="7"/>
      <c r="S258" s="7"/>
    </row>
    <row r="259">
      <c r="A259" s="7" t="str">
        <f t="shared" si="1"/>
        <v>Buffa, Antonella</v>
      </c>
      <c r="B259" s="7">
        <f>SUMIFS('bd caja'!$K$1:$K$1012,'bd caja'!$D$1:$D$1012,A259)</f>
        <v>0</v>
      </c>
      <c r="C259" s="19">
        <f>IFERROR(__xludf.DUMMYFUNCTION("""COMPUTED_VALUE"""),45142.81382891204)</f>
        <v>45142.81383</v>
      </c>
      <c r="D259" s="7" t="str">
        <f>IFERROR(__xludf.DUMMYFUNCTION("""COMPUTED_VALUE"""),"Buffa")</f>
        <v>Buffa</v>
      </c>
      <c r="E259" s="7" t="str">
        <f>IFERROR(__xludf.DUMMYFUNCTION("""COMPUTED_VALUE"""),"Antonella")</f>
        <v>Antonella</v>
      </c>
      <c r="F259" s="7" t="str">
        <f>IFERROR(__xludf.DUMMYFUNCTION("""COMPUTED_VALUE"""),"antobuffa1996@gmail.com")</f>
        <v>antobuffa1996@gmail.com</v>
      </c>
      <c r="G259" s="20">
        <f>IFERROR(__xludf.DUMMYFUNCTION("""COMPUTED_VALUE"""),35331.0)</f>
        <v>35331</v>
      </c>
      <c r="H259" s="7">
        <f>IFERROR(__xludf.DUMMYFUNCTION("""COMPUTED_VALUE"""),3.962336E7)</f>
        <v>39623360</v>
      </c>
      <c r="I259" s="7">
        <f>IFERROR(__xludf.DUMMYFUNCTION("""COMPUTED_VALUE"""),3.513130073E9)</f>
        <v>3513130073</v>
      </c>
      <c r="J259" s="7" t="str">
        <f>IFERROR(__xludf.DUMMYFUNCTION("""COMPUTED_VALUE"""),"Voy al gym Manantial")</f>
        <v>Voy al gym Manantial</v>
      </c>
      <c r="K259" s="7" t="str">
        <f>IFERROR(__xludf.DUMMYFUNCTION("""COMPUTED_VALUE"""),"Obra social")</f>
        <v>Obra social</v>
      </c>
      <c r="L259" s="7" t="str">
        <f>IFERROR(__xludf.DUMMYFUNCTION("""COMPUTED_VALUE"""),"Medife")</f>
        <v>Medife</v>
      </c>
      <c r="M259" s="7"/>
      <c r="N259" s="7"/>
      <c r="O259" s="7"/>
      <c r="P259" s="7"/>
      <c r="Q259" s="7"/>
      <c r="R259" s="7"/>
      <c r="S259" s="7"/>
    </row>
    <row r="260">
      <c r="A260" s="7" t="str">
        <f t="shared" si="1"/>
        <v>Peralta Turus, Federico</v>
      </c>
      <c r="B260" s="7">
        <f>SUMIFS('bd caja'!$K$1:$K$1012,'bd caja'!$D$1:$D$1012,A260)</f>
        <v>0</v>
      </c>
      <c r="C260" s="19">
        <f>IFERROR(__xludf.DUMMYFUNCTION("""COMPUTED_VALUE"""),45145.649669375)</f>
        <v>45145.64967</v>
      </c>
      <c r="D260" s="7" t="str">
        <f>IFERROR(__xludf.DUMMYFUNCTION("""COMPUTED_VALUE"""),"Peralta Turus")</f>
        <v>Peralta Turus</v>
      </c>
      <c r="E260" s="7" t="str">
        <f>IFERROR(__xludf.DUMMYFUNCTION("""COMPUTED_VALUE"""),"Federico")</f>
        <v>Federico</v>
      </c>
      <c r="F260" s="7" t="str">
        <f>IFERROR(__xludf.DUMMYFUNCTION("""COMPUTED_VALUE"""),"Turusfederico@gmail.com")</f>
        <v>Turusfederico@gmail.com</v>
      </c>
      <c r="G260" s="20">
        <f>IFERROR(__xludf.DUMMYFUNCTION("""COMPUTED_VALUE"""),25670.0)</f>
        <v>25670</v>
      </c>
      <c r="H260" s="7">
        <f>IFERROR(__xludf.DUMMYFUNCTION("""COMPUTED_VALUE"""),2.1399697E7)</f>
        <v>21399697</v>
      </c>
      <c r="I260" s="7">
        <f>IFERROR(__xludf.DUMMYFUNCTION("""COMPUTED_VALUE"""),3.525475393E9)</f>
        <v>3525475393</v>
      </c>
      <c r="J260" s="7" t="str">
        <f>IFERROR(__xludf.DUMMYFUNCTION("""COMPUTED_VALUE"""),"Recomendación")</f>
        <v>Recomendación</v>
      </c>
      <c r="K260" s="7" t="str">
        <f>IFERROR(__xludf.DUMMYFUNCTION("""COMPUTED_VALUE"""),"Particular")</f>
        <v>Particular</v>
      </c>
      <c r="L260" s="7"/>
      <c r="M260" s="7"/>
      <c r="N260" s="7"/>
      <c r="O260" s="7"/>
      <c r="P260" s="7"/>
      <c r="Q260" s="7"/>
      <c r="R260" s="7"/>
      <c r="S260" s="7"/>
    </row>
    <row r="261">
      <c r="A261" s="7" t="str">
        <f t="shared" si="1"/>
        <v>Nadra, Luna</v>
      </c>
      <c r="B261" s="7">
        <f>SUMIFS('bd caja'!$K$1:$K$1012,'bd caja'!$D$1:$D$1012,A261)</f>
        <v>0</v>
      </c>
      <c r="C261" s="19">
        <f>IFERROR(__xludf.DUMMYFUNCTION("""COMPUTED_VALUE"""),45145.67616625)</f>
        <v>45145.67617</v>
      </c>
      <c r="D261" s="7" t="str">
        <f>IFERROR(__xludf.DUMMYFUNCTION("""COMPUTED_VALUE"""),"Nadra")</f>
        <v>Nadra</v>
      </c>
      <c r="E261" s="7" t="str">
        <f>IFERROR(__xludf.DUMMYFUNCTION("""COMPUTED_VALUE"""),"Luna")</f>
        <v>Luna</v>
      </c>
      <c r="F261" s="7" t="str">
        <f>IFERROR(__xludf.DUMMYFUNCTION("""COMPUTED_VALUE"""),"lunaesmeraldanadra@gmail.com")</f>
        <v>lunaesmeraldanadra@gmail.com</v>
      </c>
      <c r="G261" s="20">
        <f>IFERROR(__xludf.DUMMYFUNCTION("""COMPUTED_VALUE"""),36059.0)</f>
        <v>36059</v>
      </c>
      <c r="H261" s="7">
        <f>IFERROR(__xludf.DUMMYFUNCTION("""COMPUTED_VALUE"""),4.1522043E7)</f>
        <v>41522043</v>
      </c>
      <c r="I261" s="7">
        <f>IFERROR(__xludf.DUMMYFUNCTION("""COMPUTED_VALUE"""),3.51255018E9)</f>
        <v>3512550180</v>
      </c>
      <c r="J261" s="7" t="str">
        <f>IFERROR(__xludf.DUMMYFUNCTION("""COMPUTED_VALUE"""),"Recomendación")</f>
        <v>Recomendación</v>
      </c>
      <c r="K261" s="7" t="str">
        <f>IFERROR(__xludf.DUMMYFUNCTION("""COMPUTED_VALUE"""),"Obra social")</f>
        <v>Obra social</v>
      </c>
      <c r="L261" s="7" t="str">
        <f>IFERROR(__xludf.DUMMYFUNCTION("""COMPUTED_VALUE"""),"DASPU")</f>
        <v>DASPU</v>
      </c>
      <c r="M261" s="7"/>
      <c r="N261" s="7"/>
      <c r="O261" s="7"/>
      <c r="P261" s="7"/>
      <c r="Q261" s="7"/>
      <c r="R261" s="7"/>
      <c r="S261" s="7"/>
    </row>
    <row r="262">
      <c r="A262" s="7" t="str">
        <f t="shared" si="1"/>
        <v>Fraire , Valentina</v>
      </c>
      <c r="B262" s="7">
        <f>SUMIFS('bd caja'!$K$1:$K$1012,'bd caja'!$D$1:$D$1012,A262)</f>
        <v>0</v>
      </c>
      <c r="C262" s="19">
        <f>IFERROR(__xludf.DUMMYFUNCTION("""COMPUTED_VALUE"""),45145.721156458334)</f>
        <v>45145.72116</v>
      </c>
      <c r="D262" s="7" t="str">
        <f>IFERROR(__xludf.DUMMYFUNCTION("""COMPUTED_VALUE"""),"Fraire ")</f>
        <v>Fraire </v>
      </c>
      <c r="E262" s="7" t="str">
        <f>IFERROR(__xludf.DUMMYFUNCTION("""COMPUTED_VALUE"""),"Valentina")</f>
        <v>Valentina</v>
      </c>
      <c r="F262" s="7" t="str">
        <f>IFERROR(__xludf.DUMMYFUNCTION("""COMPUTED_VALUE"""),"valefraire5@gmail.com")</f>
        <v>valefraire5@gmail.com</v>
      </c>
      <c r="G262" s="20">
        <f>IFERROR(__xludf.DUMMYFUNCTION("""COMPUTED_VALUE"""),37098.0)</f>
        <v>37098</v>
      </c>
      <c r="H262" s="7">
        <f>IFERROR(__xludf.DUMMYFUNCTION("""COMPUTED_VALUE"""),4.3523929E7)</f>
        <v>43523929</v>
      </c>
      <c r="I262" s="7">
        <f>IFERROR(__xludf.DUMMYFUNCTION("""COMPUTED_VALUE"""),3.513232626E9)</f>
        <v>3513232626</v>
      </c>
      <c r="J262" s="7" t="str">
        <f>IFERROR(__xludf.DUMMYFUNCTION("""COMPUTED_VALUE"""),"Recomendación")</f>
        <v>Recomendación</v>
      </c>
      <c r="K262" s="7" t="str">
        <f>IFERROR(__xludf.DUMMYFUNCTION("""COMPUTED_VALUE"""),"Particular")</f>
        <v>Particular</v>
      </c>
      <c r="L262" s="7"/>
      <c r="M262" s="7"/>
      <c r="N262" s="7"/>
      <c r="O262" s="7"/>
      <c r="P262" s="7"/>
      <c r="Q262" s="7"/>
      <c r="R262" s="7"/>
      <c r="S262" s="7"/>
    </row>
    <row r="263">
      <c r="A263" s="7" t="str">
        <f t="shared" si="1"/>
        <v>Rodríguez , Juana </v>
      </c>
      <c r="B263" s="7">
        <f>SUMIFS('bd caja'!$K$1:$K$1012,'bd caja'!$D$1:$D$1012,A263)</f>
        <v>0</v>
      </c>
      <c r="C263" s="19">
        <f>IFERROR(__xludf.DUMMYFUNCTION("""COMPUTED_VALUE"""),45146.47016387731)</f>
        <v>45146.47016</v>
      </c>
      <c r="D263" s="7" t="str">
        <f>IFERROR(__xludf.DUMMYFUNCTION("""COMPUTED_VALUE"""),"Rodríguez ")</f>
        <v>Rodríguez </v>
      </c>
      <c r="E263" s="7" t="str">
        <f>IFERROR(__xludf.DUMMYFUNCTION("""COMPUTED_VALUE"""),"Juana ")</f>
        <v>Juana </v>
      </c>
      <c r="F263" s="7" t="str">
        <f>IFERROR(__xludf.DUMMYFUNCTION("""COMPUTED_VALUE"""),"juanidelvrodriguez@hotmail.com")</f>
        <v>juanidelvrodriguez@hotmail.com</v>
      </c>
      <c r="G263" s="20">
        <f>IFERROR(__xludf.DUMMYFUNCTION("""COMPUTED_VALUE"""),25184.0)</f>
        <v>25184</v>
      </c>
      <c r="H263" s="7">
        <f>IFERROR(__xludf.DUMMYFUNCTION("""COMPUTED_VALUE"""),2.0621344E7)</f>
        <v>20621344</v>
      </c>
      <c r="I263" s="7">
        <f>IFERROR(__xludf.DUMMYFUNCTION("""COMPUTED_VALUE"""),3.515311574E9)</f>
        <v>3515311574</v>
      </c>
      <c r="J263" s="7" t="str">
        <f>IFERROR(__xludf.DUMMYFUNCTION("""COMPUTED_VALUE"""),"Google")</f>
        <v>Google</v>
      </c>
      <c r="K263" s="7" t="str">
        <f>IFERROR(__xludf.DUMMYFUNCTION("""COMPUTED_VALUE"""),"Obra social")</f>
        <v>Obra social</v>
      </c>
      <c r="L263" s="7" t="str">
        <f>IFERROR(__xludf.DUMMYFUNCTION("""COMPUTED_VALUE"""),"APROSS")</f>
        <v>APROSS</v>
      </c>
      <c r="M263" s="7"/>
      <c r="N263" s="7"/>
      <c r="O263" s="7"/>
      <c r="P263" s="7"/>
      <c r="Q263" s="7"/>
      <c r="R263" s="7"/>
      <c r="S263" s="7"/>
    </row>
    <row r="264">
      <c r="A264" s="7" t="str">
        <f t="shared" si="1"/>
        <v>Intili, Marcos</v>
      </c>
      <c r="B264" s="7">
        <f>SUMIFS('bd caja'!$K$1:$K$1012,'bd caja'!$D$1:$D$1012,A264)</f>
        <v>0</v>
      </c>
      <c r="C264" s="19">
        <f>IFERROR(__xludf.DUMMYFUNCTION("""COMPUTED_VALUE"""),45146.4991674537)</f>
        <v>45146.49917</v>
      </c>
      <c r="D264" s="7" t="str">
        <f>IFERROR(__xludf.DUMMYFUNCTION("""COMPUTED_VALUE"""),"Intili")</f>
        <v>Intili</v>
      </c>
      <c r="E264" s="7" t="str">
        <f>IFERROR(__xludf.DUMMYFUNCTION("""COMPUTED_VALUE"""),"Marcos")</f>
        <v>Marcos</v>
      </c>
      <c r="F264" s="7" t="str">
        <f>IFERROR(__xludf.DUMMYFUNCTION("""COMPUTED_VALUE"""),"santospecados@hotmail.com.ar")</f>
        <v>santospecados@hotmail.com.ar</v>
      </c>
      <c r="G264" s="20">
        <f>IFERROR(__xludf.DUMMYFUNCTION("""COMPUTED_VALUE"""),26186.0)</f>
        <v>26186</v>
      </c>
      <c r="H264" s="7">
        <f>IFERROR(__xludf.DUMMYFUNCTION("""COMPUTED_VALUE"""),2.2371408E7)</f>
        <v>22371408</v>
      </c>
      <c r="I264" s="7">
        <f>IFERROR(__xludf.DUMMYFUNCTION("""COMPUTED_VALUE"""),3.515165553E9)</f>
        <v>3515165553</v>
      </c>
      <c r="J264" s="7" t="str">
        <f>IFERROR(__xludf.DUMMYFUNCTION("""COMPUTED_VALUE"""),"Voy al gym Manantial")</f>
        <v>Voy al gym Manantial</v>
      </c>
      <c r="K264" s="7" t="str">
        <f>IFERROR(__xludf.DUMMYFUNCTION("""COMPUTED_VALUE"""),"Particular")</f>
        <v>Particular</v>
      </c>
      <c r="L264" s="7"/>
      <c r="M264" s="7"/>
      <c r="N264" s="7"/>
      <c r="O264" s="7"/>
      <c r="P264" s="7"/>
      <c r="Q264" s="7"/>
      <c r="R264" s="7"/>
      <c r="S264" s="7"/>
    </row>
    <row r="265">
      <c r="A265" s="7" t="str">
        <f t="shared" si="1"/>
        <v>Patrignani, Miguel</v>
      </c>
      <c r="B265" s="7">
        <f>SUMIFS('bd caja'!$K$1:$K$1012,'bd caja'!$D$1:$D$1012,A265)</f>
        <v>0</v>
      </c>
      <c r="C265" s="19">
        <f>IFERROR(__xludf.DUMMYFUNCTION("""COMPUTED_VALUE"""),45146.822405451385)</f>
        <v>45146.82241</v>
      </c>
      <c r="D265" s="7" t="str">
        <f>IFERROR(__xludf.DUMMYFUNCTION("""COMPUTED_VALUE"""),"Patrignani")</f>
        <v>Patrignani</v>
      </c>
      <c r="E265" s="7" t="str">
        <f>IFERROR(__xludf.DUMMYFUNCTION("""COMPUTED_VALUE"""),"Miguel")</f>
        <v>Miguel</v>
      </c>
      <c r="F265" s="7" t="str">
        <f>IFERROR(__xludf.DUMMYFUNCTION("""COMPUTED_VALUE"""),"Melquiades.tattooer@gmail.com")</f>
        <v>Melquiades.tattooer@gmail.com</v>
      </c>
      <c r="G265" s="20">
        <f>IFERROR(__xludf.DUMMYFUNCTION("""COMPUTED_VALUE"""),35156.0)</f>
        <v>35156</v>
      </c>
      <c r="H265" s="7">
        <f>IFERROR(__xludf.DUMMYFUNCTION("""COMPUTED_VALUE"""),3.9259066E7)</f>
        <v>39259066</v>
      </c>
      <c r="I265" s="7">
        <f>IFERROR(__xludf.DUMMYFUNCTION("""COMPUTED_VALUE"""),3.517059127E9)</f>
        <v>3517059127</v>
      </c>
      <c r="J265" s="7" t="str">
        <f>IFERROR(__xludf.DUMMYFUNCTION("""COMPUTED_VALUE"""),"Voy al gym Manantial")</f>
        <v>Voy al gym Manantial</v>
      </c>
      <c r="K265" s="7" t="str">
        <f>IFERROR(__xludf.DUMMYFUNCTION("""COMPUTED_VALUE"""),"Particular")</f>
        <v>Particular</v>
      </c>
      <c r="L265" s="7"/>
      <c r="M265" s="7"/>
      <c r="N265" s="7"/>
      <c r="O265" s="7"/>
      <c r="P265" s="7"/>
      <c r="Q265" s="7"/>
      <c r="R265" s="7"/>
      <c r="S265" s="7"/>
    </row>
    <row r="266">
      <c r="A266" s="7" t="str">
        <f t="shared" si="1"/>
        <v>Moyano, Alicia Alejandra </v>
      </c>
      <c r="B266" s="7">
        <f>SUMIFS('bd caja'!$K$1:$K$1012,'bd caja'!$D$1:$D$1012,A266)</f>
        <v>0</v>
      </c>
      <c r="C266" s="19">
        <f>IFERROR(__xludf.DUMMYFUNCTION("""COMPUTED_VALUE"""),45147.46819550926)</f>
        <v>45147.4682</v>
      </c>
      <c r="D266" s="7" t="str">
        <f>IFERROR(__xludf.DUMMYFUNCTION("""COMPUTED_VALUE"""),"Moyano")</f>
        <v>Moyano</v>
      </c>
      <c r="E266" s="7" t="str">
        <f>IFERROR(__xludf.DUMMYFUNCTION("""COMPUTED_VALUE"""),"Alicia Alejandra ")</f>
        <v>Alicia Alejandra </v>
      </c>
      <c r="F266" s="7" t="str">
        <f>IFERROR(__xludf.DUMMYFUNCTION("""COMPUTED_VALUE"""),"a.ale.moyano@gmail.com")</f>
        <v>a.ale.moyano@gmail.com</v>
      </c>
      <c r="G266" s="20">
        <f>IFERROR(__xludf.DUMMYFUNCTION("""COMPUTED_VALUE"""),22379.0)</f>
        <v>22379</v>
      </c>
      <c r="H266" s="7">
        <f>IFERROR(__xludf.DUMMYFUNCTION("""COMPUTED_VALUE"""),4476465.0)</f>
        <v>4476465</v>
      </c>
      <c r="I266" s="7">
        <f>IFERROR(__xludf.DUMMYFUNCTION("""COMPUTED_VALUE"""),3.516869222E9)</f>
        <v>3516869222</v>
      </c>
      <c r="J266" s="7" t="str">
        <f>IFERROR(__xludf.DUMMYFUNCTION("""COMPUTED_VALUE"""),"Google")</f>
        <v>Google</v>
      </c>
      <c r="K266" s="7" t="str">
        <f>IFERROR(__xludf.DUMMYFUNCTION("""COMPUTED_VALUE"""),"Obra social")</f>
        <v>Obra social</v>
      </c>
      <c r="L266" s="7" t="str">
        <f>IFERROR(__xludf.DUMMYFUNCTION("""COMPUTED_VALUE"""),"APROSS")</f>
        <v>APROSS</v>
      </c>
      <c r="M266" s="7"/>
      <c r="N266" s="7"/>
      <c r="O266" s="7"/>
      <c r="P266" s="7"/>
      <c r="Q266" s="7"/>
      <c r="R266" s="7"/>
      <c r="S266" s="7"/>
    </row>
    <row r="267">
      <c r="A267" s="7" t="str">
        <f t="shared" si="1"/>
        <v>Luque, Maria</v>
      </c>
      <c r="B267" s="7">
        <f>SUMIFS('bd caja'!$K$1:$K$1012,'bd caja'!$D$1:$D$1012,A267)</f>
        <v>0</v>
      </c>
      <c r="C267" s="19">
        <f>IFERROR(__xludf.DUMMYFUNCTION("""COMPUTED_VALUE"""),45147.54667069444)</f>
        <v>45147.54667</v>
      </c>
      <c r="D267" s="7" t="str">
        <f>IFERROR(__xludf.DUMMYFUNCTION("""COMPUTED_VALUE"""),"Luque")</f>
        <v>Luque</v>
      </c>
      <c r="E267" s="7" t="str">
        <f>IFERROR(__xludf.DUMMYFUNCTION("""COMPUTED_VALUE"""),"Maria")</f>
        <v>Maria</v>
      </c>
      <c r="F267" s="7"/>
      <c r="G267" s="20">
        <f>IFERROR(__xludf.DUMMYFUNCTION("""COMPUTED_VALUE"""),16274.0)</f>
        <v>16274</v>
      </c>
      <c r="H267" s="7">
        <f>IFERROR(__xludf.DUMMYFUNCTION("""COMPUTED_VALUE"""),4832540.0)</f>
        <v>4832540</v>
      </c>
      <c r="I267" s="7">
        <f>IFERROR(__xludf.DUMMYFUNCTION("""COMPUTED_VALUE"""),3.516468636E9)</f>
        <v>3516468636</v>
      </c>
      <c r="J267" s="7" t="str">
        <f>IFERROR(__xludf.DUMMYFUNCTION("""COMPUTED_VALUE"""),"Recomendación")</f>
        <v>Recomendación</v>
      </c>
      <c r="K267" s="7" t="str">
        <f>IFERROR(__xludf.DUMMYFUNCTION("""COMPUTED_VALUE"""),"Obra social")</f>
        <v>Obra social</v>
      </c>
      <c r="L267" s="7" t="str">
        <f>IFERROR(__xludf.DUMMYFUNCTION("""COMPUTED_VALUE"""),"DASPU")</f>
        <v>DASPU</v>
      </c>
      <c r="M267" s="7"/>
      <c r="N267" s="7"/>
      <c r="O267" s="7"/>
      <c r="P267" s="7"/>
      <c r="Q267" s="7"/>
      <c r="R267" s="7"/>
      <c r="S267" s="7"/>
    </row>
    <row r="268">
      <c r="A268" s="7" t="str">
        <f t="shared" si="1"/>
        <v>Oviedo, Fabio</v>
      </c>
      <c r="B268" s="7">
        <f>SUMIFS('bd caja'!$K$1:$K$1012,'bd caja'!$D$1:$D$1012,A268)</f>
        <v>0</v>
      </c>
      <c r="C268" s="19">
        <f>IFERROR(__xludf.DUMMYFUNCTION("""COMPUTED_VALUE"""),45147.55611533565)</f>
        <v>45147.55612</v>
      </c>
      <c r="D268" s="7" t="str">
        <f>IFERROR(__xludf.DUMMYFUNCTION("""COMPUTED_VALUE"""),"Oviedo")</f>
        <v>Oviedo</v>
      </c>
      <c r="E268" s="7" t="str">
        <f>IFERROR(__xludf.DUMMYFUNCTION("""COMPUTED_VALUE"""),"Fabio")</f>
        <v>Fabio</v>
      </c>
      <c r="F268" s="7" t="str">
        <f>IFERROR(__xludf.DUMMYFUNCTION("""COMPUTED_VALUE"""),"kalachakra87@gmail.com")</f>
        <v>kalachakra87@gmail.com</v>
      </c>
      <c r="G268" s="20">
        <f>IFERROR(__xludf.DUMMYFUNCTION("""COMPUTED_VALUE"""),27585.0)</f>
        <v>27585</v>
      </c>
      <c r="H268" s="7">
        <f>IFERROR(__xludf.DUMMYFUNCTION("""COMPUTED_VALUE"""),2.4648416E7)</f>
        <v>24648416</v>
      </c>
      <c r="I268" s="7">
        <f>IFERROR(__xludf.DUMMYFUNCTION("""COMPUTED_VALUE"""),3.513090464E9)</f>
        <v>3513090464</v>
      </c>
      <c r="J268" s="7" t="str">
        <f>IFERROR(__xludf.DUMMYFUNCTION("""COMPUTED_VALUE"""),"Google")</f>
        <v>Google</v>
      </c>
      <c r="K268" s="7" t="str">
        <f>IFERROR(__xludf.DUMMYFUNCTION("""COMPUTED_VALUE"""),"Obra social")</f>
        <v>Obra social</v>
      </c>
      <c r="L268" s="7" t="str">
        <f>IFERROR(__xludf.DUMMYFUNCTION("""COMPUTED_VALUE"""),"SANCOR")</f>
        <v>SANCOR</v>
      </c>
      <c r="M268" s="7"/>
      <c r="N268" s="7"/>
      <c r="O268" s="7"/>
      <c r="P268" s="7"/>
      <c r="Q268" s="7"/>
      <c r="R268" s="7"/>
      <c r="S268" s="7"/>
    </row>
    <row r="269">
      <c r="A269" s="7" t="str">
        <f t="shared" si="1"/>
        <v>Santillan , Nicolas</v>
      </c>
      <c r="B269" s="7">
        <f>SUMIFS('bd caja'!$K$1:$K$1012,'bd caja'!$D$1:$D$1012,A269)</f>
        <v>0</v>
      </c>
      <c r="C269" s="19">
        <f>IFERROR(__xludf.DUMMYFUNCTION("""COMPUTED_VALUE"""),45147.79687476852)</f>
        <v>45147.79687</v>
      </c>
      <c r="D269" s="7" t="str">
        <f>IFERROR(__xludf.DUMMYFUNCTION("""COMPUTED_VALUE"""),"Santillan ")</f>
        <v>Santillan </v>
      </c>
      <c r="E269" s="7" t="str">
        <f>IFERROR(__xludf.DUMMYFUNCTION("""COMPUTED_VALUE"""),"Nicolas")</f>
        <v>Nicolas</v>
      </c>
      <c r="F269" s="7" t="str">
        <f>IFERROR(__xludf.DUMMYFUNCTION("""COMPUTED_VALUE"""),"Nsantillan@mi.unc.edu.ar")</f>
        <v>Nsantillan@mi.unc.edu.ar</v>
      </c>
      <c r="G269" s="20">
        <f>IFERROR(__xludf.DUMMYFUNCTION("""COMPUTED_VALUE"""),36880.0)</f>
        <v>36880</v>
      </c>
      <c r="H269" s="7">
        <f>IFERROR(__xludf.DUMMYFUNCTION("""COMPUTED_VALUE"""),4.3143963E7)</f>
        <v>43143963</v>
      </c>
      <c r="I269" s="7">
        <f>IFERROR(__xludf.DUMMYFUNCTION("""COMPUTED_VALUE"""),3.512526328E9)</f>
        <v>3512526328</v>
      </c>
      <c r="J269" s="7" t="str">
        <f>IFERROR(__xludf.DUMMYFUNCTION("""COMPUTED_VALUE"""),"Recomendación")</f>
        <v>Recomendación</v>
      </c>
      <c r="K269" s="7" t="str">
        <f>IFERROR(__xludf.DUMMYFUNCTION("""COMPUTED_VALUE"""),"Obra social")</f>
        <v>Obra social</v>
      </c>
      <c r="L269" s="7" t="str">
        <f>IFERROR(__xludf.DUMMYFUNCTION("""COMPUTED_VALUE"""),"PREVENCIÓN")</f>
        <v>PREVENCIÓN</v>
      </c>
      <c r="M269" s="7"/>
      <c r="N269" s="7"/>
      <c r="O269" s="7"/>
      <c r="P269" s="7"/>
      <c r="Q269" s="7"/>
      <c r="R269" s="7"/>
      <c r="S269" s="7"/>
    </row>
    <row r="270">
      <c r="A270" s="7" t="str">
        <f t="shared" si="1"/>
        <v>Contreras , Lucas David </v>
      </c>
      <c r="B270" s="7">
        <f>SUMIFS('bd caja'!$K$1:$K$1012,'bd caja'!$D$1:$D$1012,A270)</f>
        <v>0</v>
      </c>
      <c r="C270" s="19">
        <f>IFERROR(__xludf.DUMMYFUNCTION("""COMPUTED_VALUE"""),45148.5581130787)</f>
        <v>45148.55811</v>
      </c>
      <c r="D270" s="7" t="str">
        <f>IFERROR(__xludf.DUMMYFUNCTION("""COMPUTED_VALUE"""),"Contreras ")</f>
        <v>Contreras </v>
      </c>
      <c r="E270" s="7" t="str">
        <f>IFERROR(__xludf.DUMMYFUNCTION("""COMPUTED_VALUE"""),"Lucas David ")</f>
        <v>Lucas David </v>
      </c>
      <c r="F270" s="7" t="str">
        <f>IFERROR(__xludf.DUMMYFUNCTION("""COMPUTED_VALUE"""),"lucas.lbc@hotmail.com.ar")</f>
        <v>lucas.lbc@hotmail.com.ar</v>
      </c>
      <c r="G270" s="20">
        <f>IFERROR(__xludf.DUMMYFUNCTION("""COMPUTED_VALUE"""),34928.0)</f>
        <v>34928</v>
      </c>
      <c r="H270" s="7">
        <f>IFERROR(__xludf.DUMMYFUNCTION("""COMPUTED_VALUE"""),3.9058047E7)</f>
        <v>39058047</v>
      </c>
      <c r="I270" s="7">
        <f>IFERROR(__xludf.DUMMYFUNCTION("""COMPUTED_VALUE"""),3.512179377E9)</f>
        <v>3512179377</v>
      </c>
      <c r="J270" s="7" t="str">
        <f>IFERROR(__xludf.DUMMYFUNCTION("""COMPUTED_VALUE"""),"Facebook")</f>
        <v>Facebook</v>
      </c>
      <c r="K270" s="7" t="str">
        <f>IFERROR(__xludf.DUMMYFUNCTION("""COMPUTED_VALUE"""),"Particular")</f>
        <v>Particular</v>
      </c>
      <c r="L270" s="7"/>
      <c r="M270" s="7"/>
      <c r="N270" s="7"/>
      <c r="O270" s="7"/>
      <c r="P270" s="7"/>
      <c r="Q270" s="7"/>
      <c r="R270" s="7"/>
      <c r="S270" s="7"/>
    </row>
    <row r="271">
      <c r="A271" s="7" t="str">
        <f t="shared" si="1"/>
        <v>Tomé , Hugo Dante </v>
      </c>
      <c r="B271" s="7">
        <f>SUMIFS('bd caja'!$K$1:$K$1012,'bd caja'!$D$1:$D$1012,A271)</f>
        <v>0</v>
      </c>
      <c r="C271" s="19">
        <f>IFERROR(__xludf.DUMMYFUNCTION("""COMPUTED_VALUE"""),45148.745743252315)</f>
        <v>45148.74574</v>
      </c>
      <c r="D271" s="7" t="str">
        <f>IFERROR(__xludf.DUMMYFUNCTION("""COMPUTED_VALUE"""),"Tomé ")</f>
        <v>Tomé </v>
      </c>
      <c r="E271" s="7" t="str">
        <f>IFERROR(__xludf.DUMMYFUNCTION("""COMPUTED_VALUE"""),"Hugo Dante ")</f>
        <v>Hugo Dante </v>
      </c>
      <c r="F271" s="7" t="str">
        <f>IFERROR(__xludf.DUMMYFUNCTION("""COMPUTED_VALUE"""),"pelautome@gmail.com")</f>
        <v>pelautome@gmail.com</v>
      </c>
      <c r="G271" s="20">
        <f>IFERROR(__xludf.DUMMYFUNCTION("""COMPUTED_VALUE"""),23392.0)</f>
        <v>23392</v>
      </c>
      <c r="H271" s="7">
        <f>IFERROR(__xludf.DUMMYFUNCTION("""COMPUTED_VALUE"""),1.6903983E7)</f>
        <v>16903983</v>
      </c>
      <c r="I271" s="7">
        <f>IFERROR(__xludf.DUMMYFUNCTION("""COMPUTED_VALUE"""),3.518171709E9)</f>
        <v>3518171709</v>
      </c>
      <c r="J271" s="7" t="str">
        <f>IFERROR(__xludf.DUMMYFUNCTION("""COMPUTED_VALUE"""),"Cartilla Obra Social")</f>
        <v>Cartilla Obra Social</v>
      </c>
      <c r="K271" s="7" t="str">
        <f>IFERROR(__xludf.DUMMYFUNCTION("""COMPUTED_VALUE"""),"Obra social")</f>
        <v>Obra social</v>
      </c>
      <c r="L271" s="7" t="str">
        <f>IFERROR(__xludf.DUMMYFUNCTION("""COMPUTED_VALUE"""),"APROSS")</f>
        <v>APROSS</v>
      </c>
      <c r="M271" s="7"/>
      <c r="N271" s="7"/>
      <c r="O271" s="7"/>
      <c r="P271" s="7"/>
      <c r="Q271" s="7"/>
      <c r="R271" s="7"/>
      <c r="S271" s="7"/>
    </row>
    <row r="272">
      <c r="A272" s="7" t="str">
        <f t="shared" si="1"/>
        <v>Cordero, Ángeles</v>
      </c>
      <c r="B272" s="7">
        <f>SUMIFS('bd caja'!$K$1:$K$1012,'bd caja'!$D$1:$D$1012,A272)</f>
        <v>0</v>
      </c>
      <c r="C272" s="19">
        <f>IFERROR(__xludf.DUMMYFUNCTION("""COMPUTED_VALUE"""),45152.469723738424)</f>
        <v>45152.46972</v>
      </c>
      <c r="D272" s="7" t="str">
        <f>IFERROR(__xludf.DUMMYFUNCTION("""COMPUTED_VALUE"""),"Cordero")</f>
        <v>Cordero</v>
      </c>
      <c r="E272" s="7" t="str">
        <f>IFERROR(__xludf.DUMMYFUNCTION("""COMPUTED_VALUE"""),"Ángeles")</f>
        <v>Ángeles</v>
      </c>
      <c r="F272" s="7" t="str">
        <f>IFERROR(__xludf.DUMMYFUNCTION("""COMPUTED_VALUE"""),"corderomariadelosangeles464@gmail.com")</f>
        <v>corderomariadelosangeles464@gmail.com</v>
      </c>
      <c r="G272" s="20">
        <f>IFERROR(__xludf.DUMMYFUNCTION("""COMPUTED_VALUE"""),35838.0)</f>
        <v>35838</v>
      </c>
      <c r="H272" s="7">
        <f>IFERROR(__xludf.DUMMYFUNCTION("""COMPUTED_VALUE"""),4.1002848E7)</f>
        <v>41002848</v>
      </c>
      <c r="I272" s="7">
        <f>IFERROR(__xludf.DUMMYFUNCTION("""COMPUTED_VALUE"""),3.517668014E9)</f>
        <v>3517668014</v>
      </c>
      <c r="J272" s="7" t="str">
        <f>IFERROR(__xludf.DUMMYFUNCTION("""COMPUTED_VALUE"""),"Recomendación")</f>
        <v>Recomendación</v>
      </c>
      <c r="K272" s="7" t="str">
        <f>IFERROR(__xludf.DUMMYFUNCTION("""COMPUTED_VALUE"""),"Particular")</f>
        <v>Particular</v>
      </c>
      <c r="L272" s="7"/>
      <c r="M272" s="7"/>
      <c r="N272" s="7"/>
      <c r="O272" s="7"/>
      <c r="P272" s="7"/>
      <c r="Q272" s="7"/>
      <c r="R272" s="7"/>
      <c r="S272" s="7"/>
    </row>
    <row r="273">
      <c r="A273" s="7" t="str">
        <f t="shared" si="1"/>
        <v>Hurtado, Valentina</v>
      </c>
      <c r="B273" s="7">
        <f>SUMIFS('bd caja'!$K$1:$K$1012,'bd caja'!$D$1:$D$1012,A273)</f>
        <v>0</v>
      </c>
      <c r="C273" s="19">
        <f>IFERROR(__xludf.DUMMYFUNCTION("""COMPUTED_VALUE"""),45153.78457292824)</f>
        <v>45153.78457</v>
      </c>
      <c r="D273" s="7" t="str">
        <f>IFERROR(__xludf.DUMMYFUNCTION("""COMPUTED_VALUE"""),"Hurtado")</f>
        <v>Hurtado</v>
      </c>
      <c r="E273" s="7" t="str">
        <f>IFERROR(__xludf.DUMMYFUNCTION("""COMPUTED_VALUE"""),"Valentina")</f>
        <v>Valentina</v>
      </c>
      <c r="F273" s="7" t="str">
        <f>IFERROR(__xludf.DUMMYFUNCTION("""COMPUTED_VALUE"""),"hurtadomariavalentina@gmail.com")</f>
        <v>hurtadomariavalentina@gmail.com</v>
      </c>
      <c r="G273" s="20">
        <f>IFERROR(__xludf.DUMMYFUNCTION("""COMPUTED_VALUE"""),34487.0)</f>
        <v>34487</v>
      </c>
      <c r="H273" s="7">
        <f>IFERROR(__xludf.DUMMYFUNCTION("""COMPUTED_VALUE"""),1.017219885E9)</f>
        <v>1017219885</v>
      </c>
      <c r="I273" s="7">
        <f>IFERROR(__xludf.DUMMYFUNCTION("""COMPUTED_VALUE"""),3.51864309E9)</f>
        <v>3518643090</v>
      </c>
      <c r="J273" s="7" t="str">
        <f>IFERROR(__xludf.DUMMYFUNCTION("""COMPUTED_VALUE"""),"Google")</f>
        <v>Google</v>
      </c>
      <c r="K273" s="7" t="str">
        <f>IFERROR(__xludf.DUMMYFUNCTION("""COMPUTED_VALUE"""),"Particular")</f>
        <v>Particular</v>
      </c>
      <c r="L273" s="7"/>
      <c r="M273" s="7"/>
      <c r="N273" s="7"/>
      <c r="O273" s="7"/>
      <c r="P273" s="7"/>
      <c r="Q273" s="7"/>
      <c r="R273" s="7"/>
      <c r="S273" s="7"/>
    </row>
    <row r="274">
      <c r="A274" s="7" t="str">
        <f t="shared" si="1"/>
        <v>Menéndez Argañaras , Graciela María </v>
      </c>
      <c r="B274" s="7">
        <f>SUMIFS('bd caja'!$K$1:$K$1012,'bd caja'!$D$1:$D$1012,A274)</f>
        <v>0</v>
      </c>
      <c r="C274" s="19">
        <f>IFERROR(__xludf.DUMMYFUNCTION("""COMPUTED_VALUE"""),45154.5092943287)</f>
        <v>45154.50929</v>
      </c>
      <c r="D274" s="7" t="str">
        <f>IFERROR(__xludf.DUMMYFUNCTION("""COMPUTED_VALUE"""),"Menéndez Argañaras ")</f>
        <v>Menéndez Argañaras </v>
      </c>
      <c r="E274" s="7" t="str">
        <f>IFERROR(__xludf.DUMMYFUNCTION("""COMPUTED_VALUE"""),"Graciela María ")</f>
        <v>Graciela María </v>
      </c>
      <c r="F274" s="7" t="str">
        <f>IFERROR(__xludf.DUMMYFUNCTION("""COMPUTED_VALUE"""),"menendezgracielagm@gmail.com")</f>
        <v>menendezgracielagm@gmail.com</v>
      </c>
      <c r="G274" s="20">
        <f>IFERROR(__xludf.DUMMYFUNCTION("""COMPUTED_VALUE"""),20643.0)</f>
        <v>20643</v>
      </c>
      <c r="H274" s="7">
        <f>IFERROR(__xludf.DUMMYFUNCTION("""COMPUTED_VALUE"""),1.2365443E7)</f>
        <v>12365443</v>
      </c>
      <c r="I274" s="7">
        <f>IFERROR(__xludf.DUMMYFUNCTION("""COMPUTED_VALUE"""),3.515523954E9)</f>
        <v>3515523954</v>
      </c>
      <c r="J274" s="7" t="str">
        <f>IFERROR(__xludf.DUMMYFUNCTION("""COMPUTED_VALUE"""),"Voy al gym Manantial")</f>
        <v>Voy al gym Manantial</v>
      </c>
      <c r="K274" s="7" t="str">
        <f>IFERROR(__xludf.DUMMYFUNCTION("""COMPUTED_VALUE"""),"Particular")</f>
        <v>Particular</v>
      </c>
      <c r="L274" s="7"/>
      <c r="M274" s="7"/>
      <c r="N274" s="7"/>
      <c r="O274" s="7"/>
      <c r="P274" s="7"/>
      <c r="Q274" s="7"/>
      <c r="R274" s="7"/>
      <c r="S274" s="7"/>
    </row>
    <row r="275">
      <c r="A275" s="7" t="str">
        <f t="shared" si="1"/>
        <v>Cattaneo , Santiago Andres</v>
      </c>
      <c r="B275" s="7">
        <f>SUMIFS('bd caja'!$K$1:$K$1012,'bd caja'!$D$1:$D$1012,A275)</f>
        <v>0</v>
      </c>
      <c r="C275" s="19">
        <f>IFERROR(__xludf.DUMMYFUNCTION("""COMPUTED_VALUE"""),45160.790116874996)</f>
        <v>45160.79012</v>
      </c>
      <c r="D275" s="7" t="str">
        <f>IFERROR(__xludf.DUMMYFUNCTION("""COMPUTED_VALUE"""),"Cattaneo ")</f>
        <v>Cattaneo </v>
      </c>
      <c r="E275" s="7" t="str">
        <f>IFERROR(__xludf.DUMMYFUNCTION("""COMPUTED_VALUE"""),"Santiago Andres")</f>
        <v>Santiago Andres</v>
      </c>
      <c r="F275" s="7" t="str">
        <f>IFERROR(__xludf.DUMMYFUNCTION("""COMPUTED_VALUE"""),"Santicatta14@gmail.com ")</f>
        <v>Santicatta14@gmail.com </v>
      </c>
      <c r="G275" s="20">
        <f>IFERROR(__xludf.DUMMYFUNCTION("""COMPUTED_VALUE"""),34552.0)</f>
        <v>34552</v>
      </c>
      <c r="H275" s="7">
        <f>IFERROR(__xludf.DUMMYFUNCTION("""COMPUTED_VALUE"""),3.8332969E7)</f>
        <v>38332969</v>
      </c>
      <c r="I275" s="7">
        <f>IFERROR(__xludf.DUMMYFUNCTION("""COMPUTED_VALUE"""),3.517564453E9)</f>
        <v>3517564453</v>
      </c>
      <c r="J275" s="7" t="str">
        <f>IFERROR(__xludf.DUMMYFUNCTION("""COMPUTED_VALUE"""),"Voy al gym Manantial")</f>
        <v>Voy al gym Manantial</v>
      </c>
      <c r="K275" s="7" t="str">
        <f>IFERROR(__xludf.DUMMYFUNCTION("""COMPUTED_VALUE"""),"Particular")</f>
        <v>Particular</v>
      </c>
      <c r="L275" s="7"/>
      <c r="M275" s="7"/>
      <c r="N275" s="7"/>
      <c r="O275" s="7"/>
      <c r="P275" s="7"/>
      <c r="Q275" s="7"/>
      <c r="R275" s="7"/>
      <c r="S275" s="7"/>
    </row>
    <row r="276">
      <c r="A276" s="7" t="str">
        <f t="shared" si="1"/>
        <v>Pulita , Santiago</v>
      </c>
      <c r="B276" s="7">
        <f>SUMIFS('bd caja'!$K$1:$K$1012,'bd caja'!$D$1:$D$1012,A276)</f>
        <v>0</v>
      </c>
      <c r="C276" s="19">
        <f>IFERROR(__xludf.DUMMYFUNCTION("""COMPUTED_VALUE"""),45161.56115709491)</f>
        <v>45161.56116</v>
      </c>
      <c r="D276" s="7" t="str">
        <f>IFERROR(__xludf.DUMMYFUNCTION("""COMPUTED_VALUE"""),"Pulita ")</f>
        <v>Pulita </v>
      </c>
      <c r="E276" s="7" t="str">
        <f>IFERROR(__xludf.DUMMYFUNCTION("""COMPUTED_VALUE"""),"Santiago")</f>
        <v>Santiago</v>
      </c>
      <c r="F276" s="7" t="str">
        <f>IFERROR(__xludf.DUMMYFUNCTION("""COMPUTED_VALUE"""),"Santiagopulita693@gmail.com ")</f>
        <v>Santiagopulita693@gmail.com </v>
      </c>
      <c r="G276" s="20">
        <f>IFERROR(__xludf.DUMMYFUNCTION("""COMPUTED_VALUE"""),36231.0)</f>
        <v>36231</v>
      </c>
      <c r="H276" s="7">
        <f>IFERROR(__xludf.DUMMYFUNCTION("""COMPUTED_VALUE"""),4.1827913E7)</f>
        <v>41827913</v>
      </c>
      <c r="I276" s="7">
        <f>IFERROR(__xludf.DUMMYFUNCTION("""COMPUTED_VALUE"""),3.518017718E9)</f>
        <v>3518017718</v>
      </c>
      <c r="J276" s="7" t="str">
        <f>IFERROR(__xludf.DUMMYFUNCTION("""COMPUTED_VALUE"""),"Instagram")</f>
        <v>Instagram</v>
      </c>
      <c r="K276" s="7" t="str">
        <f>IFERROR(__xludf.DUMMYFUNCTION("""COMPUTED_VALUE"""),"Particular")</f>
        <v>Particular</v>
      </c>
      <c r="L276" s="7"/>
      <c r="M276" s="7"/>
      <c r="N276" s="7"/>
      <c r="O276" s="7"/>
      <c r="P276" s="7"/>
      <c r="Q276" s="7"/>
      <c r="R276" s="7"/>
      <c r="S276" s="7"/>
    </row>
    <row r="277">
      <c r="A277" s="7" t="str">
        <f t="shared" si="1"/>
        <v>Pavani, Delfina</v>
      </c>
      <c r="B277" s="7">
        <f>SUMIFS('bd caja'!$K$1:$K$1012,'bd caja'!$D$1:$D$1012,A277)</f>
        <v>0</v>
      </c>
      <c r="C277" s="19">
        <f>IFERROR(__xludf.DUMMYFUNCTION("""COMPUTED_VALUE"""),45161.825741712964)</f>
        <v>45161.82574</v>
      </c>
      <c r="D277" s="7" t="str">
        <f>IFERROR(__xludf.DUMMYFUNCTION("""COMPUTED_VALUE"""),"Pavani")</f>
        <v>Pavani</v>
      </c>
      <c r="E277" s="7" t="str">
        <f>IFERROR(__xludf.DUMMYFUNCTION("""COMPUTED_VALUE"""),"Delfina")</f>
        <v>Delfina</v>
      </c>
      <c r="F277" s="7" t="str">
        <f>IFERROR(__xludf.DUMMYFUNCTION("""COMPUTED_VALUE"""),"marielatesio@hotmail.com")</f>
        <v>marielatesio@hotmail.com</v>
      </c>
      <c r="G277" s="20">
        <f>IFERROR(__xludf.DUMMYFUNCTION("""COMPUTED_VALUE"""),39401.0)</f>
        <v>39401</v>
      </c>
      <c r="H277" s="7">
        <f>IFERROR(__xludf.DUMMYFUNCTION("""COMPUTED_VALUE"""),4.7578131E7)</f>
        <v>47578131</v>
      </c>
      <c r="I277" s="7">
        <f>IFERROR(__xludf.DUMMYFUNCTION("""COMPUTED_VALUE"""),3.516143065E9)</f>
        <v>3516143065</v>
      </c>
      <c r="J277" s="7" t="str">
        <f>IFERROR(__xludf.DUMMYFUNCTION("""COMPUTED_VALUE"""),"Recomendación")</f>
        <v>Recomendación</v>
      </c>
      <c r="K277" s="7" t="str">
        <f>IFERROR(__xludf.DUMMYFUNCTION("""COMPUTED_VALUE"""),"Particular")</f>
        <v>Particular</v>
      </c>
      <c r="L277" s="7"/>
      <c r="M277" s="7"/>
      <c r="N277" s="7"/>
      <c r="O277" s="7"/>
      <c r="P277" s="7"/>
      <c r="Q277" s="7"/>
      <c r="R277" s="7"/>
      <c r="S277" s="7"/>
    </row>
    <row r="278">
      <c r="A278" s="7" t="str">
        <f t="shared" si="1"/>
        <v>Borthiry, Franco</v>
      </c>
      <c r="B278" s="7">
        <f>SUMIFS('bd caja'!$K$1:$K$1012,'bd caja'!$D$1:$D$1012,A278)</f>
        <v>0</v>
      </c>
      <c r="C278" s="19">
        <f>IFERROR(__xludf.DUMMYFUNCTION("""COMPUTED_VALUE"""),45162.42802049768)</f>
        <v>45162.42802</v>
      </c>
      <c r="D278" s="7" t="str">
        <f>IFERROR(__xludf.DUMMYFUNCTION("""COMPUTED_VALUE"""),"Borthiry")</f>
        <v>Borthiry</v>
      </c>
      <c r="E278" s="7" t="str">
        <f>IFERROR(__xludf.DUMMYFUNCTION("""COMPUTED_VALUE"""),"Franco")</f>
        <v>Franco</v>
      </c>
      <c r="F278" s="7" t="str">
        <f>IFERROR(__xludf.DUMMYFUNCTION("""COMPUTED_VALUE"""),"franco.borthiry@gmail.com")</f>
        <v>franco.borthiry@gmail.com</v>
      </c>
      <c r="G278" s="20">
        <f>IFERROR(__xludf.DUMMYFUNCTION("""COMPUTED_VALUE"""),33718.0)</f>
        <v>33718</v>
      </c>
      <c r="H278" s="7">
        <f>IFERROR(__xludf.DUMMYFUNCTION("""COMPUTED_VALUE"""),3.620187E7)</f>
        <v>36201870</v>
      </c>
      <c r="I278" s="7">
        <f>IFERROR(__xludf.DUMMYFUNCTION("""COMPUTED_VALUE"""),3.512537189E9)</f>
        <v>3512537189</v>
      </c>
      <c r="J278" s="7" t="str">
        <f>IFERROR(__xludf.DUMMYFUNCTION("""COMPUTED_VALUE"""),"Recomendación")</f>
        <v>Recomendación</v>
      </c>
      <c r="K278" s="7" t="str">
        <f>IFERROR(__xludf.DUMMYFUNCTION("""COMPUTED_VALUE"""),"Obra social")</f>
        <v>Obra social</v>
      </c>
      <c r="L278" s="7" t="str">
        <f>IFERROR(__xludf.DUMMYFUNCTION("""COMPUTED_VALUE"""),"Federada Salud")</f>
        <v>Federada Salud</v>
      </c>
      <c r="M278" s="7"/>
      <c r="N278" s="7"/>
      <c r="O278" s="7"/>
      <c r="P278" s="7"/>
      <c r="Q278" s="7"/>
      <c r="R278" s="7"/>
      <c r="S278" s="7"/>
    </row>
    <row r="279">
      <c r="A279" s="7" t="str">
        <f t="shared" si="1"/>
        <v>Giuliani , Emanuel </v>
      </c>
      <c r="B279" s="7">
        <f>SUMIFS('bd caja'!$K$1:$K$1012,'bd caja'!$D$1:$D$1012,A279)</f>
        <v>0</v>
      </c>
      <c r="C279" s="19">
        <f>IFERROR(__xludf.DUMMYFUNCTION("""COMPUTED_VALUE"""),45162.466602754634)</f>
        <v>45162.4666</v>
      </c>
      <c r="D279" s="7" t="str">
        <f>IFERROR(__xludf.DUMMYFUNCTION("""COMPUTED_VALUE"""),"Giuliani ")</f>
        <v>Giuliani </v>
      </c>
      <c r="E279" s="7" t="str">
        <f>IFERROR(__xludf.DUMMYFUNCTION("""COMPUTED_VALUE"""),"Emanuel ")</f>
        <v>Emanuel </v>
      </c>
      <c r="F279" s="7" t="str">
        <f>IFERROR(__xludf.DUMMYFUNCTION("""COMPUTED_VALUE"""),"ema_giuliani@outlook.com")</f>
        <v>ema_giuliani@outlook.com</v>
      </c>
      <c r="G279" s="20">
        <f>IFERROR(__xludf.DUMMYFUNCTION("""COMPUTED_VALUE"""),34834.0)</f>
        <v>34834</v>
      </c>
      <c r="H279" s="7">
        <f>IFERROR(__xludf.DUMMYFUNCTION("""COMPUTED_VALUE"""),3.8988858E7)</f>
        <v>38988858</v>
      </c>
      <c r="I279" s="7">
        <f>IFERROR(__xludf.DUMMYFUNCTION("""COMPUTED_VALUE"""),3.517555421E9)</f>
        <v>3517555421</v>
      </c>
      <c r="J279" s="7" t="str">
        <f>IFERROR(__xludf.DUMMYFUNCTION("""COMPUTED_VALUE"""),"Recomendación")</f>
        <v>Recomendación</v>
      </c>
      <c r="K279" s="7" t="str">
        <f>IFERROR(__xludf.DUMMYFUNCTION("""COMPUTED_VALUE"""),"Particular")</f>
        <v>Particular</v>
      </c>
      <c r="L279" s="7"/>
      <c r="M279" s="7"/>
      <c r="N279" s="7"/>
      <c r="O279" s="7"/>
      <c r="P279" s="7"/>
      <c r="Q279" s="7"/>
      <c r="R279" s="7"/>
      <c r="S279" s="7"/>
    </row>
    <row r="280">
      <c r="A280" s="7" t="str">
        <f t="shared" si="1"/>
        <v>Atti, Maria ines</v>
      </c>
      <c r="B280" s="7">
        <f>SUMIFS('bd caja'!$K$1:$K$1012,'bd caja'!$D$1:$D$1012,A280)</f>
        <v>0</v>
      </c>
      <c r="C280" s="19">
        <f>IFERROR(__xludf.DUMMYFUNCTION("""COMPUTED_VALUE"""),45166.5703415162)</f>
        <v>45166.57034</v>
      </c>
      <c r="D280" s="7" t="str">
        <f>IFERROR(__xludf.DUMMYFUNCTION("""COMPUTED_VALUE"""),"Atti")</f>
        <v>Atti</v>
      </c>
      <c r="E280" s="7" t="str">
        <f>IFERROR(__xludf.DUMMYFUNCTION("""COMPUTED_VALUE"""),"Maria ines")</f>
        <v>Maria ines</v>
      </c>
      <c r="F280" s="7" t="str">
        <f>IFERROR(__xludf.DUMMYFUNCTION("""COMPUTED_VALUE"""),"mariainesatti@yahoo.com.ar")</f>
        <v>mariainesatti@yahoo.com.ar</v>
      </c>
      <c r="G280" s="20">
        <f>IFERROR(__xludf.DUMMYFUNCTION("""COMPUTED_VALUE"""),-670402.0)</f>
        <v>-670402</v>
      </c>
      <c r="H280" s="7">
        <f>IFERROR(__xludf.DUMMYFUNCTION("""COMPUTED_VALUE"""),1.6903534E7)</f>
        <v>16903534</v>
      </c>
      <c r="I280" s="7">
        <f>IFERROR(__xludf.DUMMYFUNCTION("""COMPUTED_VALUE"""),3.515900607E9)</f>
        <v>3515900607</v>
      </c>
      <c r="J280" s="7" t="str">
        <f>IFERROR(__xludf.DUMMYFUNCTION("""COMPUTED_VALUE"""),"Recomendación")</f>
        <v>Recomendación</v>
      </c>
      <c r="K280" s="7" t="str">
        <f>IFERROR(__xludf.DUMMYFUNCTION("""COMPUTED_VALUE"""),"Particular")</f>
        <v>Particular</v>
      </c>
      <c r="L280" s="7"/>
      <c r="M280" s="7"/>
      <c r="N280" s="7"/>
      <c r="O280" s="7"/>
      <c r="P280" s="7"/>
      <c r="Q280" s="7"/>
      <c r="R280" s="7"/>
      <c r="S280" s="7"/>
    </row>
    <row r="281">
      <c r="A281" s="7" t="str">
        <f t="shared" si="1"/>
        <v>Wayar, Samiel</v>
      </c>
      <c r="B281" s="7">
        <f>SUMIFS('bd caja'!$K$1:$K$1012,'bd caja'!$D$1:$D$1012,A281)</f>
        <v>0</v>
      </c>
      <c r="C281" s="19">
        <f>IFERROR(__xludf.DUMMYFUNCTION("""COMPUTED_VALUE"""),45168.76945010417)</f>
        <v>45168.76945</v>
      </c>
      <c r="D281" s="7" t="str">
        <f>IFERROR(__xludf.DUMMYFUNCTION("""COMPUTED_VALUE"""),"Wayar")</f>
        <v>Wayar</v>
      </c>
      <c r="E281" s="7" t="str">
        <f>IFERROR(__xludf.DUMMYFUNCTION("""COMPUTED_VALUE"""),"Samiel")</f>
        <v>Samiel</v>
      </c>
      <c r="F281" s="7" t="str">
        <f>IFERROR(__xludf.DUMMYFUNCTION("""COMPUTED_VALUE"""),"Swc1897@gmail.com")</f>
        <v>Swc1897@gmail.com</v>
      </c>
      <c r="G281" s="20">
        <f>IFERROR(__xludf.DUMMYFUNCTION("""COMPUTED_VALUE"""),35782.0)</f>
        <v>35782</v>
      </c>
      <c r="H281" s="7">
        <f>IFERROR(__xludf.DUMMYFUNCTION("""COMPUTED_VALUE"""),4.0815042E7)</f>
        <v>40815042</v>
      </c>
      <c r="I281" s="7">
        <f>IFERROR(__xludf.DUMMYFUNCTION("""COMPUTED_VALUE"""),3.517350066E9)</f>
        <v>3517350066</v>
      </c>
      <c r="J281" s="7" t="str">
        <f>IFERROR(__xludf.DUMMYFUNCTION("""COMPUTED_VALUE"""),"Instagram")</f>
        <v>Instagram</v>
      </c>
      <c r="K281" s="7" t="str">
        <f>IFERROR(__xludf.DUMMYFUNCTION("""COMPUTED_VALUE"""),"Particular")</f>
        <v>Particular</v>
      </c>
      <c r="L281" s="7"/>
      <c r="M281" s="7"/>
      <c r="N281" s="7"/>
      <c r="O281" s="7"/>
      <c r="P281" s="7"/>
      <c r="Q281" s="7"/>
      <c r="R281" s="7"/>
      <c r="S281" s="7"/>
    </row>
    <row r="282">
      <c r="A282" s="7" t="str">
        <f t="shared" si="1"/>
        <v>Balestrini, Nicolas</v>
      </c>
      <c r="B282" s="7">
        <f>SUMIFS('bd caja'!$K$1:$K$1012,'bd caja'!$D$1:$D$1012,A282)</f>
        <v>0</v>
      </c>
      <c r="C282" s="19">
        <f>IFERROR(__xludf.DUMMYFUNCTION("""COMPUTED_VALUE"""),45168.786436168986)</f>
        <v>45168.78644</v>
      </c>
      <c r="D282" s="7" t="str">
        <f>IFERROR(__xludf.DUMMYFUNCTION("""COMPUTED_VALUE"""),"Balestrini")</f>
        <v>Balestrini</v>
      </c>
      <c r="E282" s="7" t="str">
        <f>IFERROR(__xludf.DUMMYFUNCTION("""COMPUTED_VALUE"""),"Nicolas")</f>
        <v>Nicolas</v>
      </c>
      <c r="F282" s="7" t="str">
        <f>IFERROR(__xludf.DUMMYFUNCTION("""COMPUTED_VALUE"""),"nicobalestrini@gmail.com")</f>
        <v>nicobalestrini@gmail.com</v>
      </c>
      <c r="G282" s="20">
        <f>IFERROR(__xludf.DUMMYFUNCTION("""COMPUTED_VALUE"""),35308.0)</f>
        <v>35308</v>
      </c>
      <c r="H282" s="7">
        <f>IFERROR(__xludf.DUMMYFUNCTION("""COMPUTED_VALUE"""),3.9691764E7)</f>
        <v>39691764</v>
      </c>
      <c r="I282" s="7">
        <f>IFERROR(__xludf.DUMMYFUNCTION("""COMPUTED_VALUE"""),3.517674121E9)</f>
        <v>3517674121</v>
      </c>
      <c r="J282" s="7" t="str">
        <f>IFERROR(__xludf.DUMMYFUNCTION("""COMPUTED_VALUE"""),"Recomendación")</f>
        <v>Recomendación</v>
      </c>
      <c r="K282" s="7" t="str">
        <f>IFERROR(__xludf.DUMMYFUNCTION("""COMPUTED_VALUE"""),"Obra social")</f>
        <v>Obra social</v>
      </c>
      <c r="L282" s="7" t="str">
        <f>IFERROR(__xludf.DUMMYFUNCTION("""COMPUTED_VALUE"""),"Boreal")</f>
        <v>Boreal</v>
      </c>
      <c r="M282" s="7"/>
      <c r="N282" s="7"/>
      <c r="O282" s="7"/>
      <c r="P282" s="7"/>
      <c r="Q282" s="7"/>
      <c r="R282" s="7"/>
      <c r="S282" s="7"/>
    </row>
    <row r="283">
      <c r="A283" s="7" t="str">
        <f t="shared" si="1"/>
        <v>Garcia , Claudio</v>
      </c>
      <c r="B283" s="7">
        <f>SUMIFS('bd caja'!$K$1:$K$1012,'bd caja'!$D$1:$D$1012,A283)</f>
        <v>0</v>
      </c>
      <c r="C283" s="19">
        <f>IFERROR(__xludf.DUMMYFUNCTION("""COMPUTED_VALUE"""),45169.663256493055)</f>
        <v>45169.66326</v>
      </c>
      <c r="D283" s="7" t="str">
        <f>IFERROR(__xludf.DUMMYFUNCTION("""COMPUTED_VALUE"""),"Garcia ")</f>
        <v>Garcia </v>
      </c>
      <c r="E283" s="7" t="str">
        <f>IFERROR(__xludf.DUMMYFUNCTION("""COMPUTED_VALUE"""),"Claudio")</f>
        <v>Claudio</v>
      </c>
      <c r="F283" s="7" t="str">
        <f>IFERROR(__xludf.DUMMYFUNCTION("""COMPUTED_VALUE"""),"Claudiogarcia117@gmail.com ")</f>
        <v>Claudiogarcia117@gmail.com </v>
      </c>
      <c r="G283" s="20">
        <f>IFERROR(__xludf.DUMMYFUNCTION("""COMPUTED_VALUE"""),45154.0)</f>
        <v>45154</v>
      </c>
      <c r="H283" s="7">
        <f>IFERROR(__xludf.DUMMYFUNCTION("""COMPUTED_VALUE"""),2.3764296E7)</f>
        <v>23764296</v>
      </c>
      <c r="I283" s="7">
        <f>IFERROR(__xludf.DUMMYFUNCTION("""COMPUTED_VALUE"""),3.512185759E9)</f>
        <v>3512185759</v>
      </c>
      <c r="J283" s="7" t="str">
        <f>IFERROR(__xludf.DUMMYFUNCTION("""COMPUTED_VALUE"""),"Recomendación")</f>
        <v>Recomendación</v>
      </c>
      <c r="K283" s="7" t="str">
        <f>IFERROR(__xludf.DUMMYFUNCTION("""COMPUTED_VALUE"""),"Particular")</f>
        <v>Particular</v>
      </c>
      <c r="L283" s="7"/>
      <c r="M283" s="7"/>
      <c r="N283" s="7"/>
      <c r="O283" s="7"/>
      <c r="P283" s="7"/>
      <c r="Q283" s="7"/>
      <c r="R283" s="7"/>
      <c r="S283" s="7"/>
    </row>
    <row r="284">
      <c r="A284" s="7" t="str">
        <f t="shared" si="1"/>
        <v>Ferla, Grazia</v>
      </c>
      <c r="B284" s="7">
        <f>SUMIFS('bd caja'!$K$1:$K$1012,'bd caja'!$D$1:$D$1012,A284)</f>
        <v>0</v>
      </c>
      <c r="C284" s="19">
        <f>IFERROR(__xludf.DUMMYFUNCTION("""COMPUTED_VALUE"""),45170.49165207176)</f>
        <v>45170.49165</v>
      </c>
      <c r="D284" s="7" t="str">
        <f>IFERROR(__xludf.DUMMYFUNCTION("""COMPUTED_VALUE"""),"Ferla")</f>
        <v>Ferla</v>
      </c>
      <c r="E284" s="7" t="str">
        <f>IFERROR(__xludf.DUMMYFUNCTION("""COMPUTED_VALUE"""),"Grazia")</f>
        <v>Grazia</v>
      </c>
      <c r="F284" s="7" t="str">
        <f>IFERROR(__xludf.DUMMYFUNCTION("""COMPUTED_VALUE"""),"ferlagrazia@gmail.com")</f>
        <v>ferlagrazia@gmail.com</v>
      </c>
      <c r="G284" s="20">
        <f>IFERROR(__xludf.DUMMYFUNCTION("""COMPUTED_VALUE"""),32265.0)</f>
        <v>32265</v>
      </c>
      <c r="H284" s="7">
        <f>IFERROR(__xludf.DUMMYFUNCTION("""COMPUTED_VALUE"""),3.3701919E7)</f>
        <v>33701919</v>
      </c>
      <c r="I284" s="7">
        <f>IFERROR(__xludf.DUMMYFUNCTION("""COMPUTED_VALUE"""),3.513029274E9)</f>
        <v>3513029274</v>
      </c>
      <c r="J284" s="7" t="str">
        <f>IFERROR(__xludf.DUMMYFUNCTION("""COMPUTED_VALUE"""),"Recomendación")</f>
        <v>Recomendación</v>
      </c>
      <c r="K284" s="7" t="str">
        <f>IFERROR(__xludf.DUMMYFUNCTION("""COMPUTED_VALUE"""),"Particular")</f>
        <v>Particular</v>
      </c>
      <c r="L284" s="7"/>
      <c r="M284" s="7"/>
      <c r="N284" s="7"/>
      <c r="O284" s="7"/>
      <c r="P284" s="7"/>
      <c r="Q284" s="7"/>
      <c r="R284" s="7"/>
      <c r="S284" s="7"/>
    </row>
    <row r="285">
      <c r="A285" s="7" t="str">
        <f t="shared" si="1"/>
        <v>Nieto Ramirez , Benjamin </v>
      </c>
      <c r="B285" s="7">
        <f>SUMIFS('bd caja'!$K$1:$K$1012,'bd caja'!$D$1:$D$1012,A285)</f>
        <v>0</v>
      </c>
      <c r="C285" s="19">
        <f>IFERROR(__xludf.DUMMYFUNCTION("""COMPUTED_VALUE"""),45173.53485064815)</f>
        <v>45173.53485</v>
      </c>
      <c r="D285" s="7" t="str">
        <f>IFERROR(__xludf.DUMMYFUNCTION("""COMPUTED_VALUE"""),"Nieto Ramirez ")</f>
        <v>Nieto Ramirez </v>
      </c>
      <c r="E285" s="7" t="str">
        <f>IFERROR(__xludf.DUMMYFUNCTION("""COMPUTED_VALUE"""),"Benjamin ")</f>
        <v>Benjamin </v>
      </c>
      <c r="F285" s="7" t="str">
        <f>IFERROR(__xludf.DUMMYFUNCTION("""COMPUTED_VALUE"""),"loreramirez@live.com")</f>
        <v>loreramirez@live.com</v>
      </c>
      <c r="G285" s="20">
        <f>IFERROR(__xludf.DUMMYFUNCTION("""COMPUTED_VALUE"""),40014.0)</f>
        <v>40014</v>
      </c>
      <c r="H285" s="21">
        <f>IFERROR(__xludf.DUMMYFUNCTION("""COMPUTED_VALUE"""),4.9556914E7)</f>
        <v>49556914</v>
      </c>
      <c r="I285" s="7">
        <f>IFERROR(__xludf.DUMMYFUNCTION("""COMPUTED_VALUE"""),3.513865777E9)</f>
        <v>3513865777</v>
      </c>
      <c r="J285" s="7" t="str">
        <f>IFERROR(__xludf.DUMMYFUNCTION("""COMPUTED_VALUE"""),"Recomendación")</f>
        <v>Recomendación</v>
      </c>
      <c r="K285" s="7" t="str">
        <f>IFERROR(__xludf.DUMMYFUNCTION("""COMPUTED_VALUE"""),"Particular")</f>
        <v>Particular</v>
      </c>
      <c r="L285" s="7"/>
      <c r="M285" s="7"/>
      <c r="N285" s="7"/>
      <c r="O285" s="7"/>
      <c r="P285" s="7"/>
      <c r="Q285" s="7"/>
      <c r="R285" s="7"/>
      <c r="S285" s="7"/>
    </row>
    <row r="286">
      <c r="A286" s="7" t="str">
        <f t="shared" si="1"/>
        <v>Fabaro, Maria Teresa</v>
      </c>
      <c r="B286" s="7">
        <f>SUMIFS('bd caja'!$K$1:$K$1012,'bd caja'!$D$1:$D$1012,A286)</f>
        <v>0</v>
      </c>
      <c r="C286" s="19">
        <f>IFERROR(__xludf.DUMMYFUNCTION("""COMPUTED_VALUE"""),45173.82478709491)</f>
        <v>45173.82479</v>
      </c>
      <c r="D286" s="7" t="str">
        <f>IFERROR(__xludf.DUMMYFUNCTION("""COMPUTED_VALUE"""),"Fabaro")</f>
        <v>Fabaro</v>
      </c>
      <c r="E286" s="7" t="str">
        <f>IFERROR(__xludf.DUMMYFUNCTION("""COMPUTED_VALUE"""),"Maria Teresa")</f>
        <v>Maria Teresa</v>
      </c>
      <c r="F286" s="7"/>
      <c r="G286" s="20">
        <f>IFERROR(__xludf.DUMMYFUNCTION("""COMPUTED_VALUE"""),21050.0)</f>
        <v>21050</v>
      </c>
      <c r="H286" s="7">
        <f>IFERROR(__xludf.DUMMYFUNCTION("""COMPUTED_VALUE"""),1.3128404E7)</f>
        <v>13128404</v>
      </c>
      <c r="I286" s="7">
        <f>IFERROR(__xludf.DUMMYFUNCTION("""COMPUTED_VALUE"""),3.512380824E9)</f>
        <v>3512380824</v>
      </c>
      <c r="J286" s="7" t="str">
        <f>IFERROR(__xludf.DUMMYFUNCTION("""COMPUTED_VALUE"""),"Recomendación")</f>
        <v>Recomendación</v>
      </c>
      <c r="K286" s="7" t="str">
        <f>IFERROR(__xludf.DUMMYFUNCTION("""COMPUTED_VALUE"""),"Obra social")</f>
        <v>Obra social</v>
      </c>
      <c r="L286" s="7" t="str">
        <f>IFERROR(__xludf.DUMMYFUNCTION("""COMPUTED_VALUE"""),"APROSS")</f>
        <v>APROSS</v>
      </c>
      <c r="M286" s="7"/>
      <c r="N286" s="7"/>
      <c r="O286" s="7"/>
      <c r="P286" s="7"/>
      <c r="Q286" s="7"/>
      <c r="R286" s="7"/>
      <c r="S286" s="7"/>
    </row>
    <row r="287">
      <c r="A287" s="7" t="str">
        <f t="shared" si="1"/>
        <v>Saavedra, Lautaro</v>
      </c>
      <c r="B287" s="7">
        <f>SUMIFS('bd caja'!$K$1:$K$1012,'bd caja'!$D$1:$D$1012,A287)</f>
        <v>0</v>
      </c>
      <c r="C287" s="19">
        <f>IFERROR(__xludf.DUMMYFUNCTION("""COMPUTED_VALUE"""),45174.38357667824)</f>
        <v>45174.38358</v>
      </c>
      <c r="D287" s="7" t="str">
        <f>IFERROR(__xludf.DUMMYFUNCTION("""COMPUTED_VALUE"""),"Saavedra")</f>
        <v>Saavedra</v>
      </c>
      <c r="E287" s="7" t="str">
        <f>IFERROR(__xludf.DUMMYFUNCTION("""COMPUTED_VALUE"""),"Lautaro")</f>
        <v>Lautaro</v>
      </c>
      <c r="F287" s="7" t="str">
        <f>IFERROR(__xludf.DUMMYFUNCTION("""COMPUTED_VALUE"""),"Lauty378@hotmail.com")</f>
        <v>Lauty378@hotmail.com</v>
      </c>
      <c r="G287" s="20">
        <f>IFERROR(__xludf.DUMMYFUNCTION("""COMPUTED_VALUE"""),36609.0)</f>
        <v>36609</v>
      </c>
      <c r="H287" s="7">
        <f>IFERROR(__xludf.DUMMYFUNCTION("""COMPUTED_VALUE"""),4.2428152E7)</f>
        <v>42428152</v>
      </c>
      <c r="I287" s="7">
        <f>IFERROR(__xludf.DUMMYFUNCTION("""COMPUTED_VALUE"""),3.518050928E9)</f>
        <v>3518050928</v>
      </c>
      <c r="J287" s="7" t="str">
        <f>IFERROR(__xludf.DUMMYFUNCTION("""COMPUTED_VALUE"""),"Me compartio el contacto CHRISTIAN LASSEN")</f>
        <v>Me compartio el contacto CHRISTIAN LASSEN</v>
      </c>
      <c r="K287" s="7" t="str">
        <f>IFERROR(__xludf.DUMMYFUNCTION("""COMPUTED_VALUE"""),"Particular")</f>
        <v>Particular</v>
      </c>
      <c r="L287" s="7"/>
      <c r="M287" s="7"/>
      <c r="N287" s="7"/>
      <c r="O287" s="7"/>
      <c r="P287" s="7"/>
      <c r="Q287" s="7"/>
      <c r="R287" s="7"/>
      <c r="S287" s="7"/>
    </row>
    <row r="288">
      <c r="A288" s="7" t="str">
        <f t="shared" si="1"/>
        <v>Herreros, Gustavo</v>
      </c>
      <c r="B288" s="7">
        <f>SUMIFS('bd caja'!$K$1:$K$1012,'bd caja'!$D$1:$D$1012,A288)</f>
        <v>0</v>
      </c>
      <c r="C288" s="19">
        <f>IFERROR(__xludf.DUMMYFUNCTION("""COMPUTED_VALUE"""),45174.699217256944)</f>
        <v>45174.69922</v>
      </c>
      <c r="D288" s="7" t="str">
        <f>IFERROR(__xludf.DUMMYFUNCTION("""COMPUTED_VALUE"""),"Herreros")</f>
        <v>Herreros</v>
      </c>
      <c r="E288" s="7" t="str">
        <f>IFERROR(__xludf.DUMMYFUNCTION("""COMPUTED_VALUE"""),"Gustavo")</f>
        <v>Gustavo</v>
      </c>
      <c r="F288" s="7" t="str">
        <f>IFERROR(__xludf.DUMMYFUNCTION("""COMPUTED_VALUE"""),"gustavoherreros@hotmail.com")</f>
        <v>gustavoherreros@hotmail.com</v>
      </c>
      <c r="G288" s="20">
        <f>IFERROR(__xludf.DUMMYFUNCTION("""COMPUTED_VALUE"""),22426.0)</f>
        <v>22426</v>
      </c>
      <c r="H288" s="7">
        <f>IFERROR(__xludf.DUMMYFUNCTION("""COMPUTED_VALUE"""),1.4476405E7)</f>
        <v>14476405</v>
      </c>
      <c r="I288" s="7">
        <f>IFERROR(__xludf.DUMMYFUNCTION("""COMPUTED_VALUE"""),3.516777703E9)</f>
        <v>3516777703</v>
      </c>
      <c r="J288" s="7" t="str">
        <f>IFERROR(__xludf.DUMMYFUNCTION("""COMPUTED_VALUE"""),"Recomendación")</f>
        <v>Recomendación</v>
      </c>
      <c r="K288" s="7" t="str">
        <f>IFERROR(__xludf.DUMMYFUNCTION("""COMPUTED_VALUE"""),"Obra social")</f>
        <v>Obra social</v>
      </c>
      <c r="L288" s="7" t="str">
        <f>IFERROR(__xludf.DUMMYFUNCTION("""COMPUTED_VALUE"""),"CPCE")</f>
        <v>CPCE</v>
      </c>
      <c r="M288" s="7"/>
      <c r="N288" s="7"/>
      <c r="O288" s="7"/>
      <c r="P288" s="7"/>
      <c r="Q288" s="7"/>
      <c r="R288" s="7"/>
      <c r="S288" s="7"/>
    </row>
    <row r="289">
      <c r="A289" s="7" t="str">
        <f t="shared" si="1"/>
        <v>Martini, Nicolas</v>
      </c>
      <c r="B289" s="7">
        <f>SUMIFS('bd caja'!$K$1:$K$1012,'bd caja'!$D$1:$D$1012,A289)</f>
        <v>0</v>
      </c>
      <c r="C289" s="19">
        <f>IFERROR(__xludf.DUMMYFUNCTION("""COMPUTED_VALUE"""),45174.80858334491)</f>
        <v>45174.80858</v>
      </c>
      <c r="D289" s="7" t="str">
        <f>IFERROR(__xludf.DUMMYFUNCTION("""COMPUTED_VALUE"""),"Martini")</f>
        <v>Martini</v>
      </c>
      <c r="E289" s="7" t="str">
        <f>IFERROR(__xludf.DUMMYFUNCTION("""COMPUTED_VALUE"""),"Nicolas")</f>
        <v>Nicolas</v>
      </c>
      <c r="F289" s="7" t="str">
        <f>IFERROR(__xludf.DUMMYFUNCTION("""COMPUTED_VALUE"""),"nicolasmartinibonsignore@gmail.com")</f>
        <v>nicolasmartinibonsignore@gmail.com</v>
      </c>
      <c r="G289" s="20">
        <f>IFERROR(__xludf.DUMMYFUNCTION("""COMPUTED_VALUE"""),30693.0)</f>
        <v>30693</v>
      </c>
      <c r="H289" s="7">
        <f>IFERROR(__xludf.DUMMYFUNCTION("""COMPUTED_VALUE"""),3.0660785E7)</f>
        <v>30660785</v>
      </c>
      <c r="I289" s="7">
        <f>IFERROR(__xludf.DUMMYFUNCTION("""COMPUTED_VALUE"""),3.93485174886E11)</f>
        <v>393485174886</v>
      </c>
      <c r="J289" s="7" t="str">
        <f>IFERROR(__xludf.DUMMYFUNCTION("""COMPUTED_VALUE"""),"Voy al gym Manantial")</f>
        <v>Voy al gym Manantial</v>
      </c>
      <c r="K289" s="7" t="str">
        <f>IFERROR(__xludf.DUMMYFUNCTION("""COMPUTED_VALUE"""),"Obra social")</f>
        <v>Obra social</v>
      </c>
      <c r="L289" s="7" t="str">
        <f>IFERROR(__xludf.DUMMYFUNCTION("""COMPUTED_VALUE"""),"Medife")</f>
        <v>Medife</v>
      </c>
      <c r="M289" s="7"/>
      <c r="N289" s="7"/>
      <c r="O289" s="7"/>
      <c r="P289" s="7"/>
      <c r="Q289" s="7"/>
      <c r="R289" s="7"/>
      <c r="S289" s="7"/>
    </row>
    <row r="290">
      <c r="A290" s="7" t="str">
        <f t="shared" si="1"/>
        <v>Hernandez , Marta Elena </v>
      </c>
      <c r="B290" s="7">
        <f>SUMIFS('bd caja'!$K$1:$K$1012,'bd caja'!$D$1:$D$1012,A290)</f>
        <v>0</v>
      </c>
      <c r="C290" s="19">
        <f>IFERROR(__xludf.DUMMYFUNCTION("""COMPUTED_VALUE"""),45176.688642442125)</f>
        <v>45176.68864</v>
      </c>
      <c r="D290" s="7" t="str">
        <f>IFERROR(__xludf.DUMMYFUNCTION("""COMPUTED_VALUE"""),"Hernandez ")</f>
        <v>Hernandez </v>
      </c>
      <c r="E290" s="7" t="str">
        <f>IFERROR(__xludf.DUMMYFUNCTION("""COMPUTED_VALUE"""),"Marta Elena ")</f>
        <v>Marta Elena </v>
      </c>
      <c r="F290" s="7" t="str">
        <f>IFERROR(__xludf.DUMMYFUNCTION("""COMPUTED_VALUE"""),"martitaelena36@gmail.com ")</f>
        <v>martitaelena36@gmail.com </v>
      </c>
      <c r="G290" s="20">
        <f>IFERROR(__xludf.DUMMYFUNCTION("""COMPUTED_VALUE"""),-671050.0)</f>
        <v>-671050</v>
      </c>
      <c r="H290" s="7">
        <f>IFERROR(__xludf.DUMMYFUNCTION("""COMPUTED_VALUE"""),1.6054382E7)</f>
        <v>16054382</v>
      </c>
      <c r="I290" s="7">
        <f>IFERROR(__xludf.DUMMYFUNCTION("""COMPUTED_VALUE"""),3.517358844E9)</f>
        <v>3517358844</v>
      </c>
      <c r="J290" s="7" t="str">
        <f>IFERROR(__xludf.DUMMYFUNCTION("""COMPUTED_VALUE"""),"Facebook")</f>
        <v>Facebook</v>
      </c>
      <c r="K290" s="7" t="str">
        <f>IFERROR(__xludf.DUMMYFUNCTION("""COMPUTED_VALUE"""),"Obra social")</f>
        <v>Obra social</v>
      </c>
      <c r="L290" s="7" t="str">
        <f>IFERROR(__xludf.DUMMYFUNCTION("""COMPUTED_VALUE"""),"APROSS")</f>
        <v>APROSS</v>
      </c>
      <c r="M290" s="7"/>
      <c r="N290" s="7"/>
      <c r="O290" s="7"/>
      <c r="P290" s="7"/>
      <c r="Q290" s="7"/>
      <c r="R290" s="7"/>
      <c r="S290" s="7"/>
    </row>
    <row r="291">
      <c r="A291" s="7" t="str">
        <f t="shared" si="1"/>
        <v>Pavani, Gabriel</v>
      </c>
      <c r="B291" s="7">
        <f>SUMIFS('bd caja'!$K$1:$K$1012,'bd caja'!$D$1:$D$1012,A291)</f>
        <v>0</v>
      </c>
      <c r="C291" s="19">
        <f>IFERROR(__xludf.DUMMYFUNCTION("""COMPUTED_VALUE"""),45177.77964232639)</f>
        <v>45177.77964</v>
      </c>
      <c r="D291" s="7" t="str">
        <f>IFERROR(__xludf.DUMMYFUNCTION("""COMPUTED_VALUE"""),"Pavani")</f>
        <v>Pavani</v>
      </c>
      <c r="E291" s="7" t="str">
        <f>IFERROR(__xludf.DUMMYFUNCTION("""COMPUTED_VALUE"""),"Gabriel")</f>
        <v>Gabriel</v>
      </c>
      <c r="F291" s="7" t="str">
        <f>IFERROR(__xludf.DUMMYFUNCTION("""COMPUTED_VALUE"""),"marielatesio@hotmail.com")</f>
        <v>marielatesio@hotmail.com</v>
      </c>
      <c r="G291" s="20">
        <f>IFERROR(__xludf.DUMMYFUNCTION("""COMPUTED_VALUE"""),26392.0)</f>
        <v>26392</v>
      </c>
      <c r="H291" s="7">
        <f>IFERROR(__xludf.DUMMYFUNCTION("""COMPUTED_VALUE"""),2.2714106E7)</f>
        <v>22714106</v>
      </c>
      <c r="I291" s="7">
        <f>IFERROR(__xludf.DUMMYFUNCTION("""COMPUTED_VALUE"""),3.51634066E9)</f>
        <v>3516340660</v>
      </c>
      <c r="J291" s="7" t="str">
        <f>IFERROR(__xludf.DUMMYFUNCTION("""COMPUTED_VALUE"""),"Recomendación")</f>
        <v>Recomendación</v>
      </c>
      <c r="K291" s="7" t="str">
        <f>IFERROR(__xludf.DUMMYFUNCTION("""COMPUTED_VALUE"""),"Particular")</f>
        <v>Particular</v>
      </c>
      <c r="L291" s="7"/>
      <c r="M291" s="7"/>
      <c r="N291" s="7"/>
      <c r="O291" s="7"/>
      <c r="P291" s="7"/>
      <c r="Q291" s="7"/>
      <c r="R291" s="7"/>
      <c r="S291" s="7"/>
    </row>
    <row r="292">
      <c r="A292" s="7" t="str">
        <f t="shared" si="1"/>
        <v>Usandivaras , Monica alejandra </v>
      </c>
      <c r="B292" s="7">
        <f>SUMIFS('bd caja'!$K$1:$K$1012,'bd caja'!$D$1:$D$1012,A292)</f>
        <v>0</v>
      </c>
      <c r="C292" s="19">
        <f>IFERROR(__xludf.DUMMYFUNCTION("""COMPUTED_VALUE"""),45180.71825924769)</f>
        <v>45180.71826</v>
      </c>
      <c r="D292" s="7" t="str">
        <f>IFERROR(__xludf.DUMMYFUNCTION("""COMPUTED_VALUE"""),"Usandivaras ")</f>
        <v>Usandivaras </v>
      </c>
      <c r="E292" s="7" t="str">
        <f>IFERROR(__xludf.DUMMYFUNCTION("""COMPUTED_VALUE"""),"Monica alejandra ")</f>
        <v>Monica alejandra </v>
      </c>
      <c r="F292" s="7" t="str">
        <f>IFERROR(__xludf.DUMMYFUNCTION("""COMPUTED_VALUE"""),"Usandivarasmonica70@gmail.com")</f>
        <v>Usandivarasmonica70@gmail.com</v>
      </c>
      <c r="G292" s="20">
        <f>IFERROR(__xludf.DUMMYFUNCTION("""COMPUTED_VALUE"""),28029.0)</f>
        <v>28029</v>
      </c>
      <c r="H292" s="7">
        <f>IFERROR(__xludf.DUMMYFUNCTION("""COMPUTED_VALUE"""),2.5246809E7)</f>
        <v>25246809</v>
      </c>
      <c r="I292" s="7">
        <f>IFERROR(__xludf.DUMMYFUNCTION("""COMPUTED_VALUE"""),3.513301429E9)</f>
        <v>3513301429</v>
      </c>
      <c r="J292" s="7" t="str">
        <f>IFERROR(__xludf.DUMMYFUNCTION("""COMPUTED_VALUE"""),"Google")</f>
        <v>Google</v>
      </c>
      <c r="K292" s="7" t="str">
        <f>IFERROR(__xludf.DUMMYFUNCTION("""COMPUTED_VALUE"""),"Particular")</f>
        <v>Particular</v>
      </c>
      <c r="L292" s="7"/>
      <c r="M292" s="7"/>
      <c r="N292" s="7"/>
      <c r="O292" s="7"/>
      <c r="P292" s="7"/>
      <c r="Q292" s="7"/>
      <c r="R292" s="7"/>
      <c r="S292" s="7"/>
    </row>
    <row r="293">
      <c r="A293" s="7" t="str">
        <f t="shared" si="1"/>
        <v>Herrera, Candelaria</v>
      </c>
      <c r="B293" s="7">
        <f>SUMIFS('bd caja'!$K$1:$K$1012,'bd caja'!$D$1:$D$1012,A293)</f>
        <v>0</v>
      </c>
      <c r="C293" s="19">
        <f>IFERROR(__xludf.DUMMYFUNCTION("""COMPUTED_VALUE"""),45180.776613078706)</f>
        <v>45180.77661</v>
      </c>
      <c r="D293" s="7" t="str">
        <f>IFERROR(__xludf.DUMMYFUNCTION("""COMPUTED_VALUE"""),"Herrera")</f>
        <v>Herrera</v>
      </c>
      <c r="E293" s="7" t="str">
        <f>IFERROR(__xludf.DUMMYFUNCTION("""COMPUTED_VALUE"""),"Candelaria")</f>
        <v>Candelaria</v>
      </c>
      <c r="F293" s="7" t="str">
        <f>IFERROR(__xludf.DUMMYFUNCTION("""COMPUTED_VALUE"""),"lauracuffia@gmail.com")</f>
        <v>lauracuffia@gmail.com</v>
      </c>
      <c r="G293" s="20">
        <f>IFERROR(__xludf.DUMMYFUNCTION("""COMPUTED_VALUE"""),39732.0)</f>
        <v>39732</v>
      </c>
      <c r="H293" s="7">
        <f>IFERROR(__xludf.DUMMYFUNCTION("""COMPUTED_VALUE"""),4.8455911E7)</f>
        <v>48455911</v>
      </c>
      <c r="I293" s="7">
        <f>IFERROR(__xludf.DUMMYFUNCTION("""COMPUTED_VALUE"""),3.515929933E9)</f>
        <v>3515929933</v>
      </c>
      <c r="J293" s="7" t="str">
        <f>IFERROR(__xludf.DUMMYFUNCTION("""COMPUTED_VALUE"""),"Recomendación")</f>
        <v>Recomendación</v>
      </c>
      <c r="K293" s="7" t="str">
        <f>IFERROR(__xludf.DUMMYFUNCTION("""COMPUTED_VALUE"""),"Obra social")</f>
        <v>Obra social</v>
      </c>
      <c r="L293" s="7" t="str">
        <f>IFERROR(__xludf.DUMMYFUNCTION("""COMPUTED_VALUE"""),"APROSS")</f>
        <v>APROSS</v>
      </c>
      <c r="M293" s="7"/>
      <c r="N293" s="7"/>
      <c r="O293" s="7"/>
      <c r="P293" s="7"/>
      <c r="Q293" s="7"/>
      <c r="R293" s="7"/>
      <c r="S293" s="7"/>
    </row>
    <row r="294">
      <c r="A294" s="7" t="str">
        <f t="shared" si="1"/>
        <v>TABORDA, DENIS</v>
      </c>
      <c r="B294" s="7">
        <f>SUMIFS('bd caja'!$K$1:$K$1012,'bd caja'!$D$1:$D$1012,A294)</f>
        <v>0</v>
      </c>
      <c r="C294" s="19">
        <f>IFERROR(__xludf.DUMMYFUNCTION("""COMPUTED_VALUE"""),45181.4619780787)</f>
        <v>45181.46198</v>
      </c>
      <c r="D294" s="7" t="str">
        <f>IFERROR(__xludf.DUMMYFUNCTION("""COMPUTED_VALUE"""),"TABORDA")</f>
        <v>TABORDA</v>
      </c>
      <c r="E294" s="7" t="str">
        <f>IFERROR(__xludf.DUMMYFUNCTION("""COMPUTED_VALUE"""),"DENIS")</f>
        <v>DENIS</v>
      </c>
      <c r="F294" s="7" t="str">
        <f>IFERROR(__xludf.DUMMYFUNCTION("""COMPUTED_VALUE"""),"denischarbe@gmail.com")</f>
        <v>denischarbe@gmail.com</v>
      </c>
      <c r="G294" s="20">
        <f>IFERROR(__xludf.DUMMYFUNCTION("""COMPUTED_VALUE"""),34226.0)</f>
        <v>34226</v>
      </c>
      <c r="H294" s="7">
        <f>IFERROR(__xludf.DUMMYFUNCTION("""COMPUTED_VALUE"""),3.7522355E7)</f>
        <v>37522355</v>
      </c>
      <c r="I294" s="7">
        <f>IFERROR(__xludf.DUMMYFUNCTION("""COMPUTED_VALUE"""),3.576522726E9)</f>
        <v>3576522726</v>
      </c>
      <c r="J294" s="7" t="str">
        <f>IFERROR(__xludf.DUMMYFUNCTION("""COMPUTED_VALUE"""),"Voy al gym Manantial")</f>
        <v>Voy al gym Manantial</v>
      </c>
      <c r="K294" s="7" t="str">
        <f>IFERROR(__xludf.DUMMYFUNCTION("""COMPUTED_VALUE"""),"Particular")</f>
        <v>Particular</v>
      </c>
      <c r="L294" s="7"/>
      <c r="M294" s="7"/>
      <c r="N294" s="7"/>
      <c r="O294" s="7"/>
      <c r="P294" s="7"/>
      <c r="Q294" s="7"/>
      <c r="R294" s="7"/>
      <c r="S294" s="7"/>
    </row>
    <row r="295">
      <c r="A295" s="7" t="str">
        <f t="shared" si="1"/>
        <v>Ferrari, Mateo</v>
      </c>
      <c r="B295" s="7">
        <f>SUMIFS('bd caja'!$K$1:$K$1012,'bd caja'!$D$1:$D$1012,A295)</f>
        <v>0</v>
      </c>
      <c r="C295" s="19">
        <f>IFERROR(__xludf.DUMMYFUNCTION("""COMPUTED_VALUE"""),45181.78110086806)</f>
        <v>45181.7811</v>
      </c>
      <c r="D295" s="7" t="str">
        <f>IFERROR(__xludf.DUMMYFUNCTION("""COMPUTED_VALUE"""),"Ferrari")</f>
        <v>Ferrari</v>
      </c>
      <c r="E295" s="7" t="str">
        <f>IFERROR(__xludf.DUMMYFUNCTION("""COMPUTED_VALUE"""),"Mateo")</f>
        <v>Mateo</v>
      </c>
      <c r="F295" s="7" t="str">
        <f>IFERROR(__xludf.DUMMYFUNCTION("""COMPUTED_VALUE"""),"ferrari.mateo71@gmail.com")</f>
        <v>ferrari.mateo71@gmail.com</v>
      </c>
      <c r="G295" s="20">
        <f>IFERROR(__xludf.DUMMYFUNCTION("""COMPUTED_VALUE"""),37196.0)</f>
        <v>37196</v>
      </c>
      <c r="H295" s="7">
        <f>IFERROR(__xludf.DUMMYFUNCTION("""COMPUTED_VALUE"""),4.3525589E7)</f>
        <v>43525589</v>
      </c>
      <c r="I295" s="7">
        <f>IFERROR(__xludf.DUMMYFUNCTION("""COMPUTED_VALUE"""),3.517642959E9)</f>
        <v>3517642959</v>
      </c>
      <c r="J295" s="7" t="str">
        <f>IFERROR(__xludf.DUMMYFUNCTION("""COMPUTED_VALUE"""),"Recomendación")</f>
        <v>Recomendación</v>
      </c>
      <c r="K295" s="7" t="str">
        <f>IFERROR(__xludf.DUMMYFUNCTION("""COMPUTED_VALUE"""),"Obra social")</f>
        <v>Obra social</v>
      </c>
      <c r="L295" s="7" t="str">
        <f>IFERROR(__xludf.DUMMYFUNCTION("""COMPUTED_VALUE"""),"CPCE")</f>
        <v>CPCE</v>
      </c>
      <c r="M295" s="7"/>
      <c r="N295" s="7"/>
      <c r="O295" s="7"/>
      <c r="P295" s="7"/>
      <c r="Q295" s="7"/>
      <c r="R295" s="7"/>
      <c r="S295" s="7"/>
    </row>
    <row r="296">
      <c r="A296" s="7" t="str">
        <f t="shared" si="1"/>
        <v>FUENTES, JORGE ALBERTO</v>
      </c>
      <c r="B296" s="7">
        <f>SUMIFS('bd caja'!$K$1:$K$1012,'bd caja'!$D$1:$D$1012,A296)</f>
        <v>0</v>
      </c>
      <c r="C296" s="19">
        <f>IFERROR(__xludf.DUMMYFUNCTION("""COMPUTED_VALUE"""),45182.419648668976)</f>
        <v>45182.41965</v>
      </c>
      <c r="D296" s="7" t="str">
        <f>IFERROR(__xludf.DUMMYFUNCTION("""COMPUTED_VALUE"""),"FUENTES")</f>
        <v>FUENTES</v>
      </c>
      <c r="E296" s="7" t="str">
        <f>IFERROR(__xludf.DUMMYFUNCTION("""COMPUTED_VALUE"""),"JORGE ALBERTO")</f>
        <v>JORGE ALBERTO</v>
      </c>
      <c r="F296" s="7" t="str">
        <f>IFERROR(__xludf.DUMMYFUNCTION("""COMPUTED_VALUE"""),"JORGE68FUENTESS@GMAIL.COM")</f>
        <v>JORGE68FUENTESS@GMAIL.COM</v>
      </c>
      <c r="G296" s="20">
        <f>IFERROR(__xludf.DUMMYFUNCTION("""COMPUTED_VALUE"""),25069.0)</f>
        <v>25069</v>
      </c>
      <c r="H296" s="7">
        <f>IFERROR(__xludf.DUMMYFUNCTION("""COMPUTED_VALUE"""),2.0453094E7)</f>
        <v>20453094</v>
      </c>
      <c r="I296" s="7">
        <f>IFERROR(__xludf.DUMMYFUNCTION("""COMPUTED_VALUE"""),3.515504001E9)</f>
        <v>3515504001</v>
      </c>
      <c r="J296" s="7" t="str">
        <f>IFERROR(__xludf.DUMMYFUNCTION("""COMPUTED_VALUE"""),"Facebook")</f>
        <v>Facebook</v>
      </c>
      <c r="K296" s="7" t="str">
        <f>IFERROR(__xludf.DUMMYFUNCTION("""COMPUTED_VALUE"""),"Particular")</f>
        <v>Particular</v>
      </c>
      <c r="L296" s="7"/>
      <c r="M296" s="7"/>
      <c r="N296" s="7"/>
      <c r="O296" s="7"/>
      <c r="P296" s="7"/>
      <c r="Q296" s="7"/>
      <c r="R296" s="7"/>
      <c r="S296" s="7"/>
    </row>
    <row r="297">
      <c r="A297" s="7" t="str">
        <f t="shared" si="1"/>
        <v>TABORDA, Denis</v>
      </c>
      <c r="B297" s="7">
        <f>SUMIFS('bd caja'!$K$1:$K$1012,'bd caja'!$D$1:$D$1012,A297)</f>
        <v>0</v>
      </c>
      <c r="C297" s="19">
        <f>IFERROR(__xludf.DUMMYFUNCTION("""COMPUTED_VALUE"""),45182.80186381945)</f>
        <v>45182.80186</v>
      </c>
      <c r="D297" s="7" t="str">
        <f>IFERROR(__xludf.DUMMYFUNCTION("""COMPUTED_VALUE"""),"TABORDA")</f>
        <v>TABORDA</v>
      </c>
      <c r="E297" s="7" t="str">
        <f>IFERROR(__xludf.DUMMYFUNCTION("""COMPUTED_VALUE"""),"Denis")</f>
        <v>Denis</v>
      </c>
      <c r="F297" s="7"/>
      <c r="G297" s="20">
        <f>IFERROR(__xludf.DUMMYFUNCTION("""COMPUTED_VALUE"""),34226.0)</f>
        <v>34226</v>
      </c>
      <c r="H297" s="7">
        <f>IFERROR(__xludf.DUMMYFUNCTION("""COMPUTED_VALUE"""),3.7522355E7)</f>
        <v>37522355</v>
      </c>
      <c r="I297" s="7">
        <f>IFERROR(__xludf.DUMMYFUNCTION("""COMPUTED_VALUE"""),3.576522726E9)</f>
        <v>3576522726</v>
      </c>
      <c r="J297" s="7" t="str">
        <f>IFERROR(__xludf.DUMMYFUNCTION("""COMPUTED_VALUE"""),"Voy al gym Manantial")</f>
        <v>Voy al gym Manantial</v>
      </c>
      <c r="K297" s="7" t="str">
        <f>IFERROR(__xludf.DUMMYFUNCTION("""COMPUTED_VALUE"""),"Obra social")</f>
        <v>Obra social</v>
      </c>
      <c r="L297" s="7" t="str">
        <f>IFERROR(__xludf.DUMMYFUNCTION("""COMPUTED_VALUE"""),"DASPU")</f>
        <v>DASPU</v>
      </c>
      <c r="M297" s="7"/>
      <c r="N297" s="7"/>
      <c r="O297" s="7"/>
      <c r="P297" s="7"/>
      <c r="Q297" s="7"/>
      <c r="R297" s="7"/>
      <c r="S297" s="7"/>
    </row>
    <row r="298">
      <c r="A298" s="7" t="str">
        <f t="shared" si="1"/>
        <v>SIRONI, Francisco</v>
      </c>
      <c r="B298" s="7">
        <f>SUMIFS('bd caja'!$K$1:$K$1012,'bd caja'!$D$1:$D$1012,A298)</f>
        <v>0</v>
      </c>
      <c r="C298" s="19">
        <f>IFERROR(__xludf.DUMMYFUNCTION("""COMPUTED_VALUE"""),45182.80320873843)</f>
        <v>45182.80321</v>
      </c>
      <c r="D298" s="7" t="str">
        <f>IFERROR(__xludf.DUMMYFUNCTION("""COMPUTED_VALUE"""),"SIRONI")</f>
        <v>SIRONI</v>
      </c>
      <c r="E298" s="7" t="str">
        <f>IFERROR(__xludf.DUMMYFUNCTION("""COMPUTED_VALUE"""),"Francisco")</f>
        <v>Francisco</v>
      </c>
      <c r="F298" s="7" t="str">
        <f>IFERROR(__xludf.DUMMYFUNCTION("""COMPUTED_VALUE"""),"sironifrancisco@gmail.com")</f>
        <v>sironifrancisco@gmail.com</v>
      </c>
      <c r="G298" s="20">
        <f>IFERROR(__xludf.DUMMYFUNCTION("""COMPUTED_VALUE"""),36902.0)</f>
        <v>36902</v>
      </c>
      <c r="H298" s="7">
        <f>IFERROR(__xludf.DUMMYFUNCTION("""COMPUTED_VALUE"""),4.3231147E7)</f>
        <v>43231147</v>
      </c>
      <c r="I298" s="7">
        <f>IFERROR(__xludf.DUMMYFUNCTION("""COMPUTED_VALUE"""),3.51383508E9)</f>
        <v>3513835080</v>
      </c>
      <c r="J298" s="7" t="str">
        <f>IFERROR(__xludf.DUMMYFUNCTION("""COMPUTED_VALUE"""),"Voy al gym Manantial")</f>
        <v>Voy al gym Manantial</v>
      </c>
      <c r="K298" s="7" t="str">
        <f>IFERROR(__xludf.DUMMYFUNCTION("""COMPUTED_VALUE"""),"Particular")</f>
        <v>Particular</v>
      </c>
      <c r="L298" s="7"/>
      <c r="M298" s="7"/>
      <c r="N298" s="7"/>
      <c r="O298" s="7"/>
      <c r="P298" s="7"/>
      <c r="Q298" s="7"/>
      <c r="R298" s="7"/>
      <c r="S298" s="7"/>
    </row>
    <row r="299">
      <c r="A299" s="7" t="str">
        <f t="shared" si="1"/>
        <v>FERRERO, Gustavo</v>
      </c>
      <c r="B299" s="7">
        <f>SUMIFS('bd caja'!$K$1:$K$1012,'bd caja'!$D$1:$D$1012,A299)</f>
        <v>0</v>
      </c>
      <c r="C299" s="19">
        <f>IFERROR(__xludf.DUMMYFUNCTION("""COMPUTED_VALUE"""),45182.81748712963)</f>
        <v>45182.81749</v>
      </c>
      <c r="D299" s="7" t="str">
        <f>IFERROR(__xludf.DUMMYFUNCTION("""COMPUTED_VALUE"""),"FERRERO")</f>
        <v>FERRERO</v>
      </c>
      <c r="E299" s="7" t="str">
        <f>IFERROR(__xludf.DUMMYFUNCTION("""COMPUTED_VALUE"""),"Gustavo")</f>
        <v>Gustavo</v>
      </c>
      <c r="F299" s="7" t="str">
        <f>IFERROR(__xludf.DUMMYFUNCTION("""COMPUTED_VALUE"""),"gf.ferrero.cba@gmail.com")</f>
        <v>gf.ferrero.cba@gmail.com</v>
      </c>
      <c r="G299" s="20">
        <f>IFERROR(__xludf.DUMMYFUNCTION("""COMPUTED_VALUE"""),34270.0)</f>
        <v>34270</v>
      </c>
      <c r="H299" s="7">
        <f>IFERROR(__xludf.DUMMYFUNCTION("""COMPUTED_VALUE"""),3.7853784E7)</f>
        <v>37853784</v>
      </c>
      <c r="I299" s="7">
        <f>IFERROR(__xludf.DUMMYFUNCTION("""COMPUTED_VALUE"""),3.516175792E9)</f>
        <v>3516175792</v>
      </c>
      <c r="J299" s="7" t="str">
        <f>IFERROR(__xludf.DUMMYFUNCTION("""COMPUTED_VALUE"""),"Voy al gym Manantial")</f>
        <v>Voy al gym Manantial</v>
      </c>
      <c r="K299" s="7" t="str">
        <f>IFERROR(__xludf.DUMMYFUNCTION("""COMPUTED_VALUE"""),"Particular")</f>
        <v>Particular</v>
      </c>
      <c r="L299" s="7"/>
      <c r="M299" s="7"/>
      <c r="N299" s="7"/>
      <c r="O299" s="7"/>
      <c r="P299" s="7"/>
      <c r="Q299" s="7"/>
      <c r="R299" s="7"/>
      <c r="S299" s="7"/>
    </row>
    <row r="300">
      <c r="A300" s="7" t="str">
        <f t="shared" si="1"/>
        <v>Canessini, Nicolas</v>
      </c>
      <c r="B300" s="7">
        <f>SUMIFS('bd caja'!$K$1:$K$1012,'bd caja'!$D$1:$D$1012,A300)</f>
        <v>0</v>
      </c>
      <c r="C300" s="19">
        <f>IFERROR(__xludf.DUMMYFUNCTION("""COMPUTED_VALUE"""),45183.80362341435)</f>
        <v>45183.80362</v>
      </c>
      <c r="D300" s="7" t="str">
        <f>IFERROR(__xludf.DUMMYFUNCTION("""COMPUTED_VALUE"""),"Canessini")</f>
        <v>Canessini</v>
      </c>
      <c r="E300" s="7" t="str">
        <f>IFERROR(__xludf.DUMMYFUNCTION("""COMPUTED_VALUE"""),"Nicolas")</f>
        <v>Nicolas</v>
      </c>
      <c r="F300" s="7" t="str">
        <f>IFERROR(__xludf.DUMMYFUNCTION("""COMPUTED_VALUE"""),"dm10nico@hotmail.com")</f>
        <v>dm10nico@hotmail.com</v>
      </c>
      <c r="G300" s="20">
        <f>IFERROR(__xludf.DUMMYFUNCTION("""COMPUTED_VALUE"""),30901.0)</f>
        <v>30901</v>
      </c>
      <c r="H300" s="7">
        <f>IFERROR(__xludf.DUMMYFUNCTION("""COMPUTED_VALUE"""),3.1057714E7)</f>
        <v>31057714</v>
      </c>
      <c r="I300" s="7">
        <f>IFERROR(__xludf.DUMMYFUNCTION("""COMPUTED_VALUE"""),3.515933992E9)</f>
        <v>3515933992</v>
      </c>
      <c r="J300" s="7" t="str">
        <f>IFERROR(__xludf.DUMMYFUNCTION("""COMPUTED_VALUE"""),"Voy al gym Manantial")</f>
        <v>Voy al gym Manantial</v>
      </c>
      <c r="K300" s="7" t="str">
        <f>IFERROR(__xludf.DUMMYFUNCTION("""COMPUTED_VALUE"""),"Obra social")</f>
        <v>Obra social</v>
      </c>
      <c r="L300" s="7" t="str">
        <f>IFERROR(__xludf.DUMMYFUNCTION("""COMPUTED_VALUE"""),"Jerarquicos Salud")</f>
        <v>Jerarquicos Salud</v>
      </c>
      <c r="M300" s="7"/>
      <c r="N300" s="7"/>
      <c r="O300" s="7"/>
      <c r="P300" s="7"/>
      <c r="Q300" s="7"/>
      <c r="R300" s="7"/>
      <c r="S300" s="7"/>
    </row>
    <row r="301">
      <c r="A301" s="7" t="str">
        <f t="shared" si="1"/>
        <v>TRUCCO, MARIO</v>
      </c>
      <c r="B301" s="7">
        <f>SUMIFS('bd caja'!$K$1:$K$1012,'bd caja'!$D$1:$D$1012,A301)</f>
        <v>0</v>
      </c>
      <c r="C301" s="19">
        <f>IFERROR(__xludf.DUMMYFUNCTION("""COMPUTED_VALUE"""),45187.35619351851)</f>
        <v>45187.35619</v>
      </c>
      <c r="D301" s="7" t="str">
        <f>IFERROR(__xludf.DUMMYFUNCTION("""COMPUTED_VALUE"""),"TRUCCO")</f>
        <v>TRUCCO</v>
      </c>
      <c r="E301" s="7" t="str">
        <f>IFERROR(__xludf.DUMMYFUNCTION("""COMPUTED_VALUE"""),"MARIO")</f>
        <v>MARIO</v>
      </c>
      <c r="F301" s="7" t="str">
        <f>IFERROR(__xludf.DUMMYFUNCTION("""COMPUTED_VALUE"""),"marietto@hotmail.com.ar")</f>
        <v>marietto@hotmail.com.ar</v>
      </c>
      <c r="G301" s="20">
        <f>IFERROR(__xludf.DUMMYFUNCTION("""COMPUTED_VALUE"""),23783.0)</f>
        <v>23783</v>
      </c>
      <c r="H301" s="7">
        <f>IFERROR(__xludf.DUMMYFUNCTION("""COMPUTED_VALUE"""),1.7004684E7)</f>
        <v>17004684</v>
      </c>
      <c r="I301" s="7">
        <f>IFERROR(__xludf.DUMMYFUNCTION("""COMPUTED_VALUE"""),3.513529639E9)</f>
        <v>3513529639</v>
      </c>
      <c r="J301" s="7" t="str">
        <f>IFERROR(__xludf.DUMMYFUNCTION("""COMPUTED_VALUE"""),"Recomendación")</f>
        <v>Recomendación</v>
      </c>
      <c r="K301" s="7" t="str">
        <f>IFERROR(__xludf.DUMMYFUNCTION("""COMPUTED_VALUE"""),"Particular")</f>
        <v>Particular</v>
      </c>
      <c r="L301" s="7"/>
      <c r="M301" s="7"/>
      <c r="N301" s="7"/>
      <c r="O301" s="7"/>
      <c r="P301" s="7"/>
      <c r="Q301" s="7"/>
      <c r="R301" s="7"/>
      <c r="S301" s="7"/>
    </row>
    <row r="302">
      <c r="A302" s="7" t="str">
        <f t="shared" si="1"/>
        <v>Dallegre, Antonella</v>
      </c>
      <c r="B302" s="7">
        <f>SUMIFS('bd caja'!$K$1:$K$1012,'bd caja'!$D$1:$D$1012,A302)</f>
        <v>0</v>
      </c>
      <c r="C302" s="19">
        <f>IFERROR(__xludf.DUMMYFUNCTION("""COMPUTED_VALUE"""),45187.88842383102)</f>
        <v>45187.88842</v>
      </c>
      <c r="D302" s="7" t="str">
        <f>IFERROR(__xludf.DUMMYFUNCTION("""COMPUTED_VALUE"""),"Dallegre")</f>
        <v>Dallegre</v>
      </c>
      <c r="E302" s="7" t="str">
        <f>IFERROR(__xludf.DUMMYFUNCTION("""COMPUTED_VALUE"""),"Antonella")</f>
        <v>Antonella</v>
      </c>
      <c r="F302" s="7" t="str">
        <f>IFERROR(__xludf.DUMMYFUNCTION("""COMPUTED_VALUE"""),"anto2772@gmail.com")</f>
        <v>anto2772@gmail.com</v>
      </c>
      <c r="G302" s="20">
        <f>IFERROR(__xludf.DUMMYFUNCTION("""COMPUTED_VALUE"""),33599.0)</f>
        <v>33599</v>
      </c>
      <c r="H302" s="7">
        <f>IFERROR(__xludf.DUMMYFUNCTION("""COMPUTED_VALUE"""),3.6138771E7)</f>
        <v>36138771</v>
      </c>
      <c r="I302" s="7">
        <f>IFERROR(__xludf.DUMMYFUNCTION("""COMPUTED_VALUE"""),3.51220562E9)</f>
        <v>3512205620</v>
      </c>
      <c r="J302" s="7" t="str">
        <f>IFERROR(__xludf.DUMMYFUNCTION("""COMPUTED_VALUE"""),"Maps ")</f>
        <v>Maps </v>
      </c>
      <c r="K302" s="7" t="str">
        <f>IFERROR(__xludf.DUMMYFUNCTION("""COMPUTED_VALUE"""),"Particular")</f>
        <v>Particular</v>
      </c>
      <c r="L302" s="7"/>
      <c r="M302" s="7"/>
      <c r="N302" s="7"/>
      <c r="O302" s="7"/>
      <c r="P302" s="7"/>
      <c r="Q302" s="7"/>
      <c r="R302" s="7"/>
      <c r="S302" s="7"/>
    </row>
    <row r="303">
      <c r="A303" s="7" t="str">
        <f t="shared" si="1"/>
        <v>Demaría , Rodolfo Alejandro </v>
      </c>
      <c r="B303" s="7">
        <f>SUMIFS('bd caja'!$K$1:$K$1012,'bd caja'!$D$1:$D$1012,A303)</f>
        <v>0</v>
      </c>
      <c r="C303" s="19">
        <f>IFERROR(__xludf.DUMMYFUNCTION("""COMPUTED_VALUE"""),45188.527226562495)</f>
        <v>45188.52723</v>
      </c>
      <c r="D303" s="7" t="str">
        <f>IFERROR(__xludf.DUMMYFUNCTION("""COMPUTED_VALUE"""),"Demaría ")</f>
        <v>Demaría </v>
      </c>
      <c r="E303" s="7" t="str">
        <f>IFERROR(__xludf.DUMMYFUNCTION("""COMPUTED_VALUE"""),"Rodolfo Alejandro ")</f>
        <v>Rodolfo Alejandro </v>
      </c>
      <c r="F303" s="7" t="str">
        <f>IFERROR(__xludf.DUMMYFUNCTION("""COMPUTED_VALUE"""),"rademaria@hotmail.com")</f>
        <v>rademaria@hotmail.com</v>
      </c>
      <c r="G303" s="20">
        <f>IFERROR(__xludf.DUMMYFUNCTION("""COMPUTED_VALUE"""),28704.0)</f>
        <v>28704</v>
      </c>
      <c r="H303" s="7">
        <f>IFERROR(__xludf.DUMMYFUNCTION("""COMPUTED_VALUE"""),2.6412889E7)</f>
        <v>26412889</v>
      </c>
      <c r="I303" s="7">
        <f>IFERROR(__xludf.DUMMYFUNCTION("""COMPUTED_VALUE"""),3.516597726E9)</f>
        <v>3516597726</v>
      </c>
      <c r="J303" s="7" t="str">
        <f>IFERROR(__xludf.DUMMYFUNCTION("""COMPUTED_VALUE"""),"Recomendación")</f>
        <v>Recomendación</v>
      </c>
      <c r="K303" s="7" t="str">
        <f>IFERROR(__xludf.DUMMYFUNCTION("""COMPUTED_VALUE"""),"Obra social")</f>
        <v>Obra social</v>
      </c>
      <c r="L303" s="7" t="str">
        <f>IFERROR(__xludf.DUMMYFUNCTION("""COMPUTED_VALUE"""),"CPCE")</f>
        <v>CPCE</v>
      </c>
      <c r="M303" s="7"/>
      <c r="N303" s="7"/>
      <c r="O303" s="7"/>
      <c r="P303" s="7"/>
      <c r="Q303" s="7"/>
      <c r="R303" s="7"/>
      <c r="S303" s="7"/>
    </row>
    <row r="304">
      <c r="A304" s="7" t="str">
        <f t="shared" si="1"/>
        <v>Bazan, Marcos</v>
      </c>
      <c r="B304" s="7">
        <f>SUMIFS('bd caja'!$K$1:$K$1012,'bd caja'!$D$1:$D$1012,A304)</f>
        <v>0</v>
      </c>
      <c r="C304" s="19">
        <f>IFERROR(__xludf.DUMMYFUNCTION("""COMPUTED_VALUE"""),45188.7080625)</f>
        <v>45188.70806</v>
      </c>
      <c r="D304" s="7" t="str">
        <f>IFERROR(__xludf.DUMMYFUNCTION("""COMPUTED_VALUE"""),"Bazan")</f>
        <v>Bazan</v>
      </c>
      <c r="E304" s="7" t="str">
        <f>IFERROR(__xludf.DUMMYFUNCTION("""COMPUTED_VALUE"""),"Marcos")</f>
        <v>Marcos</v>
      </c>
      <c r="F304" s="7" t="str">
        <f>IFERROR(__xludf.DUMMYFUNCTION("""COMPUTED_VALUE"""),"b.marcos.a@gmail.com")</f>
        <v>b.marcos.a@gmail.com</v>
      </c>
      <c r="G304" s="20">
        <f>IFERROR(__xludf.DUMMYFUNCTION("""COMPUTED_VALUE"""),33002.0)</f>
        <v>33002</v>
      </c>
      <c r="H304" s="7">
        <f>IFERROR(__xludf.DUMMYFUNCTION("""COMPUTED_VALUE"""),3.5108502E7)</f>
        <v>35108502</v>
      </c>
      <c r="I304" s="7">
        <f>IFERROR(__xludf.DUMMYFUNCTION("""COMPUTED_VALUE"""),3.51372677E9)</f>
        <v>3513726770</v>
      </c>
      <c r="J304" s="7" t="str">
        <f>IFERROR(__xludf.DUMMYFUNCTION("""COMPUTED_VALUE"""),"Recomendación")</f>
        <v>Recomendación</v>
      </c>
      <c r="K304" s="7" t="str">
        <f>IFERROR(__xludf.DUMMYFUNCTION("""COMPUTED_VALUE"""),"Obra social")</f>
        <v>Obra social</v>
      </c>
      <c r="L304" s="7" t="str">
        <f>IFERROR(__xludf.DUMMYFUNCTION("""COMPUTED_VALUE"""),"APROSS")</f>
        <v>APROSS</v>
      </c>
      <c r="M304" s="7"/>
      <c r="N304" s="7"/>
      <c r="O304" s="7"/>
      <c r="P304" s="7"/>
      <c r="Q304" s="7"/>
      <c r="R304" s="7"/>
      <c r="S304" s="7"/>
    </row>
    <row r="305">
      <c r="A305" s="7" t="str">
        <f t="shared" si="1"/>
        <v>Hernandez, Roxana</v>
      </c>
      <c r="B305" s="7">
        <f>SUMIFS('bd caja'!$K$1:$K$1012,'bd caja'!$D$1:$D$1012,A305)</f>
        <v>0</v>
      </c>
      <c r="C305" s="19">
        <f>IFERROR(__xludf.DUMMYFUNCTION("""COMPUTED_VALUE"""),45188.797179444446)</f>
        <v>45188.79718</v>
      </c>
      <c r="D305" s="7" t="str">
        <f>IFERROR(__xludf.DUMMYFUNCTION("""COMPUTED_VALUE"""),"Hernandez")</f>
        <v>Hernandez</v>
      </c>
      <c r="E305" s="7" t="str">
        <f>IFERROR(__xludf.DUMMYFUNCTION("""COMPUTED_VALUE"""),"Roxana")</f>
        <v>Roxana</v>
      </c>
      <c r="F305" s="7" t="str">
        <f>IFERROR(__xludf.DUMMYFUNCTION("""COMPUTED_VALUE"""),"roxanahernandez_1@yahoo.com.ar")</f>
        <v>roxanahernandez_1@yahoo.com.ar</v>
      </c>
      <c r="G305" s="20">
        <f>IFERROR(__xludf.DUMMYFUNCTION("""COMPUTED_VALUE"""),22334.0)</f>
        <v>22334</v>
      </c>
      <c r="H305" s="7">
        <f>IFERROR(__xludf.DUMMYFUNCTION("""COMPUTED_VALUE"""),1.4409831E7)</f>
        <v>14409831</v>
      </c>
      <c r="I305" s="7">
        <f>IFERROR(__xludf.DUMMYFUNCTION("""COMPUTED_VALUE"""),3.516876546E9)</f>
        <v>3516876546</v>
      </c>
      <c r="J305" s="7" t="str">
        <f>IFERROR(__xludf.DUMMYFUNCTION("""COMPUTED_VALUE"""),"Voy al gym Manantial")</f>
        <v>Voy al gym Manantial</v>
      </c>
      <c r="K305" s="7" t="str">
        <f>IFERROR(__xludf.DUMMYFUNCTION("""COMPUTED_VALUE"""),"Particular")</f>
        <v>Particular</v>
      </c>
      <c r="L305" s="7"/>
      <c r="M305" s="7"/>
      <c r="N305" s="7"/>
      <c r="O305" s="7"/>
      <c r="P305" s="7"/>
      <c r="Q305" s="7"/>
      <c r="R305" s="7"/>
      <c r="S305" s="7"/>
    </row>
    <row r="306">
      <c r="A306" s="7" t="str">
        <f t="shared" si="1"/>
        <v>Gadea, Jorge</v>
      </c>
      <c r="B306" s="7">
        <f>SUMIFS('bd caja'!$K$1:$K$1012,'bd caja'!$D$1:$D$1012,A306)</f>
        <v>0</v>
      </c>
      <c r="C306" s="19">
        <f>IFERROR(__xludf.DUMMYFUNCTION("""COMPUTED_VALUE"""),45188.83159296296)</f>
        <v>45188.83159</v>
      </c>
      <c r="D306" s="7" t="str">
        <f>IFERROR(__xludf.DUMMYFUNCTION("""COMPUTED_VALUE"""),"Gadea")</f>
        <v>Gadea</v>
      </c>
      <c r="E306" s="7" t="str">
        <f>IFERROR(__xludf.DUMMYFUNCTION("""COMPUTED_VALUE"""),"Jorge")</f>
        <v>Jorge</v>
      </c>
      <c r="F306" s="7" t="str">
        <f>IFERROR(__xludf.DUMMYFUNCTION("""COMPUTED_VALUE"""),"jorgegadea.jg@gmail.com")</f>
        <v>jorgegadea.jg@gmail.com</v>
      </c>
      <c r="G306" s="20">
        <f>IFERROR(__xludf.DUMMYFUNCTION("""COMPUTED_VALUE"""),36948.0)</f>
        <v>36948</v>
      </c>
      <c r="H306" s="7">
        <f>IFERROR(__xludf.DUMMYFUNCTION("""COMPUTED_VALUE"""),4.3134171E7)</f>
        <v>43134171</v>
      </c>
      <c r="I306" s="7">
        <f>IFERROR(__xludf.DUMMYFUNCTION("""COMPUTED_VALUE"""),3.516815531E9)</f>
        <v>3516815531</v>
      </c>
      <c r="J306" s="7" t="str">
        <f>IFERROR(__xludf.DUMMYFUNCTION("""COMPUTED_VALUE"""),"Recomendación")</f>
        <v>Recomendación</v>
      </c>
      <c r="K306" s="7" t="str">
        <f>IFERROR(__xludf.DUMMYFUNCTION("""COMPUTED_VALUE"""),"Particular")</f>
        <v>Particular</v>
      </c>
      <c r="L306" s="7"/>
      <c r="M306" s="7"/>
      <c r="N306" s="7"/>
      <c r="O306" s="7"/>
      <c r="P306" s="7"/>
      <c r="Q306" s="7"/>
      <c r="R306" s="7"/>
      <c r="S306" s="7"/>
    </row>
    <row r="307">
      <c r="A307" s="7" t="str">
        <f t="shared" si="1"/>
        <v>Muñoz, Martin</v>
      </c>
      <c r="B307" s="7">
        <f>SUMIFS('bd caja'!$K$1:$K$1012,'bd caja'!$D$1:$D$1012,A307)</f>
        <v>0</v>
      </c>
      <c r="C307" s="19">
        <f>IFERROR(__xludf.DUMMYFUNCTION("""COMPUTED_VALUE"""),45189.44700637732)</f>
        <v>45189.44701</v>
      </c>
      <c r="D307" s="7" t="str">
        <f>IFERROR(__xludf.DUMMYFUNCTION("""COMPUTED_VALUE"""),"Muñoz")</f>
        <v>Muñoz</v>
      </c>
      <c r="E307" s="7" t="str">
        <f>IFERROR(__xludf.DUMMYFUNCTION("""COMPUTED_VALUE"""),"Martin")</f>
        <v>Martin</v>
      </c>
      <c r="F307" s="7" t="str">
        <f>IFERROR(__xludf.DUMMYFUNCTION("""COMPUTED_VALUE"""),"Martinhoelm@gmail.com")</f>
        <v>Martinhoelm@gmail.com</v>
      </c>
      <c r="G307" s="20">
        <f>IFERROR(__xludf.DUMMYFUNCTION("""COMPUTED_VALUE"""),30623.0)</f>
        <v>30623</v>
      </c>
      <c r="H307" s="7">
        <f>IFERROR(__xludf.DUMMYFUNCTION("""COMPUTED_VALUE"""),3.090138E7)</f>
        <v>30901380</v>
      </c>
      <c r="I307" s="7">
        <f>IFERROR(__xludf.DUMMYFUNCTION("""COMPUTED_VALUE"""),3.516535691E9)</f>
        <v>3516535691</v>
      </c>
      <c r="J307" s="7" t="str">
        <f>IFERROR(__xludf.DUMMYFUNCTION("""COMPUTED_VALUE"""),"Google")</f>
        <v>Google</v>
      </c>
      <c r="K307" s="7" t="str">
        <f>IFERROR(__xludf.DUMMYFUNCTION("""COMPUTED_VALUE"""),"Obra social")</f>
        <v>Obra social</v>
      </c>
      <c r="L307" s="7" t="str">
        <f>IFERROR(__xludf.DUMMYFUNCTION("""COMPUTED_VALUE"""),"APROSS")</f>
        <v>APROSS</v>
      </c>
      <c r="M307" s="7"/>
      <c r="N307" s="7"/>
      <c r="O307" s="7"/>
      <c r="P307" s="7"/>
      <c r="Q307" s="7"/>
      <c r="R307" s="7"/>
      <c r="S307" s="7"/>
    </row>
    <row r="308">
      <c r="A308" s="7" t="str">
        <f t="shared" si="1"/>
        <v>Villega, Hebe lorena </v>
      </c>
      <c r="B308" s="7">
        <f>SUMIFS('bd caja'!$K$1:$K$1012,'bd caja'!$D$1:$D$1012,A308)</f>
        <v>0</v>
      </c>
      <c r="C308" s="19">
        <f>IFERROR(__xludf.DUMMYFUNCTION("""COMPUTED_VALUE"""),45189.57795247685)</f>
        <v>45189.57795</v>
      </c>
      <c r="D308" s="7" t="str">
        <f>IFERROR(__xludf.DUMMYFUNCTION("""COMPUTED_VALUE"""),"Villega")</f>
        <v>Villega</v>
      </c>
      <c r="E308" s="7" t="str">
        <f>IFERROR(__xludf.DUMMYFUNCTION("""COMPUTED_VALUE"""),"Hebe lorena ")</f>
        <v>Hebe lorena </v>
      </c>
      <c r="F308" s="7" t="str">
        <f>IFERROR(__xludf.DUMMYFUNCTION("""COMPUTED_VALUE"""),"hebevillega@gmail.com")</f>
        <v>hebevillega@gmail.com</v>
      </c>
      <c r="G308" s="20">
        <f>IFERROR(__xludf.DUMMYFUNCTION("""COMPUTED_VALUE"""),29267.0)</f>
        <v>29267</v>
      </c>
      <c r="H308" s="7">
        <f>IFERROR(__xludf.DUMMYFUNCTION("""COMPUTED_VALUE"""),2.7955583E7)</f>
        <v>27955583</v>
      </c>
      <c r="I308" s="7">
        <f>IFERROR(__xludf.DUMMYFUNCTION("""COMPUTED_VALUE"""),3.513021922E9)</f>
        <v>3513021922</v>
      </c>
      <c r="J308" s="7" t="str">
        <f>IFERROR(__xludf.DUMMYFUNCTION("""COMPUTED_VALUE"""),"Recomendación")</f>
        <v>Recomendación</v>
      </c>
      <c r="K308" s="7" t="str">
        <f>IFERROR(__xludf.DUMMYFUNCTION("""COMPUTED_VALUE"""),"Obra social")</f>
        <v>Obra social</v>
      </c>
      <c r="L308" s="7" t="str">
        <f>IFERROR(__xludf.DUMMYFUNCTION("""COMPUTED_VALUE"""),"Boreal")</f>
        <v>Boreal</v>
      </c>
      <c r="M308" s="7"/>
      <c r="N308" s="7"/>
      <c r="O308" s="7"/>
      <c r="P308" s="7"/>
      <c r="Q308" s="7"/>
      <c r="R308" s="7"/>
      <c r="S308" s="7"/>
    </row>
    <row r="309">
      <c r="A309" s="7" t="str">
        <f t="shared" si="1"/>
        <v>Gallerino, Jorge</v>
      </c>
      <c r="B309" s="7">
        <f>SUMIFS('bd caja'!$K$1:$K$1012,'bd caja'!$D$1:$D$1012,A309)</f>
        <v>0</v>
      </c>
      <c r="C309" s="19">
        <f>IFERROR(__xludf.DUMMYFUNCTION("""COMPUTED_VALUE"""),45189.63893332176)</f>
        <v>45189.63893</v>
      </c>
      <c r="D309" s="7" t="str">
        <f>IFERROR(__xludf.DUMMYFUNCTION("""COMPUTED_VALUE"""),"Gallerino")</f>
        <v>Gallerino</v>
      </c>
      <c r="E309" s="7" t="str">
        <f>IFERROR(__xludf.DUMMYFUNCTION("""COMPUTED_VALUE"""),"Jorge")</f>
        <v>Jorge</v>
      </c>
      <c r="F309" s="7" t="str">
        <f>IFERROR(__xludf.DUMMYFUNCTION("""COMPUTED_VALUE"""),"jgallerino@gmial.com")</f>
        <v>jgallerino@gmial.com</v>
      </c>
      <c r="G309" s="20">
        <f>IFERROR(__xludf.DUMMYFUNCTION("""COMPUTED_VALUE"""),18564.0)</f>
        <v>18564</v>
      </c>
      <c r="H309" s="7">
        <f>IFERROR(__xludf.DUMMYFUNCTION("""COMPUTED_VALUE"""),8290400.0)</f>
        <v>8290400</v>
      </c>
      <c r="I309" s="7">
        <f>IFERROR(__xludf.DUMMYFUNCTION("""COMPUTED_VALUE"""),3.512512427E9)</f>
        <v>3512512427</v>
      </c>
      <c r="J309" s="7" t="str">
        <f>IFERROR(__xludf.DUMMYFUNCTION("""COMPUTED_VALUE"""),"Google")</f>
        <v>Google</v>
      </c>
      <c r="K309" s="7" t="str">
        <f>IFERROR(__xludf.DUMMYFUNCTION("""COMPUTED_VALUE"""),"Particular")</f>
        <v>Particular</v>
      </c>
      <c r="L309" s="7"/>
      <c r="M309" s="7"/>
      <c r="N309" s="7"/>
      <c r="O309" s="7"/>
      <c r="P309" s="7"/>
      <c r="Q309" s="7"/>
      <c r="R309" s="7"/>
      <c r="S309" s="7"/>
    </row>
    <row r="310">
      <c r="A310" s="7" t="str">
        <f t="shared" si="1"/>
        <v>Gadea, Jorge</v>
      </c>
      <c r="B310" s="7">
        <f>SUMIFS('bd caja'!$K$1:$K$1012,'bd caja'!$D$1:$D$1012,A310)</f>
        <v>0</v>
      </c>
      <c r="C310" s="19">
        <f>IFERROR(__xludf.DUMMYFUNCTION("""COMPUTED_VALUE"""),45189.640593749995)</f>
        <v>45189.64059</v>
      </c>
      <c r="D310" s="7" t="str">
        <f>IFERROR(__xludf.DUMMYFUNCTION("""COMPUTED_VALUE"""),"Gadea")</f>
        <v>Gadea</v>
      </c>
      <c r="E310" s="7" t="str">
        <f>IFERROR(__xludf.DUMMYFUNCTION("""COMPUTED_VALUE"""),"Jorge")</f>
        <v>Jorge</v>
      </c>
      <c r="F310" s="7" t="str">
        <f>IFERROR(__xludf.DUMMYFUNCTION("""COMPUTED_VALUE"""),"jorgegadea.jg@gmail.com")</f>
        <v>jorgegadea.jg@gmail.com</v>
      </c>
      <c r="G310" s="20">
        <f>IFERROR(__xludf.DUMMYFUNCTION("""COMPUTED_VALUE"""),36948.0)</f>
        <v>36948</v>
      </c>
      <c r="H310" s="7">
        <f>IFERROR(__xludf.DUMMYFUNCTION("""COMPUTED_VALUE"""),4.3134171E7)</f>
        <v>43134171</v>
      </c>
      <c r="I310" s="7">
        <f>IFERROR(__xludf.DUMMYFUNCTION("""COMPUTED_VALUE"""),3.516815531E9)</f>
        <v>3516815531</v>
      </c>
      <c r="J310" s="7" t="str">
        <f>IFERROR(__xludf.DUMMYFUNCTION("""COMPUTED_VALUE"""),"Recomendación")</f>
        <v>Recomendación</v>
      </c>
      <c r="K310" s="7" t="str">
        <f>IFERROR(__xludf.DUMMYFUNCTION("""COMPUTED_VALUE"""),"Particular")</f>
        <v>Particular</v>
      </c>
      <c r="L310" s="7"/>
      <c r="M310" s="7"/>
      <c r="N310" s="7"/>
      <c r="O310" s="7"/>
      <c r="P310" s="7"/>
      <c r="Q310" s="7"/>
      <c r="R310" s="7"/>
      <c r="S310" s="7"/>
    </row>
    <row r="311">
      <c r="A311" s="7" t="str">
        <f t="shared" si="1"/>
        <v>Romero, Alejandro</v>
      </c>
      <c r="B311" s="7">
        <f>SUMIFS('bd caja'!$K$1:$K$1012,'bd caja'!$D$1:$D$1012,A311)</f>
        <v>0</v>
      </c>
      <c r="C311" s="19">
        <f>IFERROR(__xludf.DUMMYFUNCTION("""COMPUTED_VALUE"""),45189.827355104164)</f>
        <v>45189.82736</v>
      </c>
      <c r="D311" s="7" t="str">
        <f>IFERROR(__xludf.DUMMYFUNCTION("""COMPUTED_VALUE"""),"Romero")</f>
        <v>Romero</v>
      </c>
      <c r="E311" s="7" t="str">
        <f>IFERROR(__xludf.DUMMYFUNCTION("""COMPUTED_VALUE"""),"Alejandro")</f>
        <v>Alejandro</v>
      </c>
      <c r="F311" s="7" t="str">
        <f>IFERROR(__xludf.DUMMYFUNCTION("""COMPUTED_VALUE"""),"alejandro_mehesz@hotmail.com")</f>
        <v>alejandro_mehesz@hotmail.com</v>
      </c>
      <c r="G311" s="20">
        <f>IFERROR(__xludf.DUMMYFUNCTION("""COMPUTED_VALUE"""),30299.0)</f>
        <v>30299</v>
      </c>
      <c r="H311" s="7">
        <f>IFERROR(__xludf.DUMMYFUNCTION("""COMPUTED_VALUE"""),2.9966448E7)</f>
        <v>29966448</v>
      </c>
      <c r="I311" s="7">
        <f>IFERROR(__xludf.DUMMYFUNCTION("""COMPUTED_VALUE"""),3.51542903E9)</f>
        <v>3515429030</v>
      </c>
      <c r="J311" s="7" t="str">
        <f>IFERROR(__xludf.DUMMYFUNCTION("""COMPUTED_VALUE"""),"Voy al gym Manantial")</f>
        <v>Voy al gym Manantial</v>
      </c>
      <c r="K311" s="7" t="str">
        <f>IFERROR(__xludf.DUMMYFUNCTION("""COMPUTED_VALUE"""),"Obra social")</f>
        <v>Obra social</v>
      </c>
      <c r="L311" s="7" t="str">
        <f>IFERROR(__xludf.DUMMYFUNCTION("""COMPUTED_VALUE"""),"PREVENCIÓN")</f>
        <v>PREVENCIÓN</v>
      </c>
      <c r="M311" s="7"/>
      <c r="N311" s="7"/>
      <c r="O311" s="7"/>
      <c r="P311" s="7"/>
      <c r="Q311" s="7"/>
      <c r="R311" s="7"/>
      <c r="S311" s="7"/>
    </row>
    <row r="312">
      <c r="A312" s="7" t="str">
        <f t="shared" si="1"/>
        <v>Pueyrredon, Catalina</v>
      </c>
      <c r="B312" s="7">
        <f>SUMIFS('bd caja'!$K$1:$K$1012,'bd caja'!$D$1:$D$1012,A312)</f>
        <v>0</v>
      </c>
      <c r="C312" s="19">
        <f>IFERROR(__xludf.DUMMYFUNCTION("""COMPUTED_VALUE"""),45189.8308199537)</f>
        <v>45189.83082</v>
      </c>
      <c r="D312" s="7" t="str">
        <f>IFERROR(__xludf.DUMMYFUNCTION("""COMPUTED_VALUE"""),"Pueyrredon")</f>
        <v>Pueyrredon</v>
      </c>
      <c r="E312" s="7" t="str">
        <f>IFERROR(__xludf.DUMMYFUNCTION("""COMPUTED_VALUE"""),"Catalina")</f>
        <v>Catalina</v>
      </c>
      <c r="F312" s="7" t="str">
        <f>IFERROR(__xludf.DUMMYFUNCTION("""COMPUTED_VALUE"""),"-")</f>
        <v>-</v>
      </c>
      <c r="G312" s="20">
        <f>IFERROR(__xludf.DUMMYFUNCTION("""COMPUTED_VALUE"""),38957.0)</f>
        <v>38957</v>
      </c>
      <c r="H312" s="7">
        <f>IFERROR(__xludf.DUMMYFUNCTION("""COMPUTED_VALUE"""),4.670299989E9)</f>
        <v>4670299989</v>
      </c>
      <c r="I312" s="7">
        <f>IFERROR(__xludf.DUMMYFUNCTION("""COMPUTED_VALUE"""),3.516439701E9)</f>
        <v>3516439701</v>
      </c>
      <c r="J312" s="7" t="str">
        <f>IFERROR(__xludf.DUMMYFUNCTION("""COMPUTED_VALUE"""),"Voy al gym Manantial")</f>
        <v>Voy al gym Manantial</v>
      </c>
      <c r="K312" s="7" t="str">
        <f>IFERROR(__xludf.DUMMYFUNCTION("""COMPUTED_VALUE"""),"Obra social")</f>
        <v>Obra social</v>
      </c>
      <c r="L312" s="7" t="str">
        <f>IFERROR(__xludf.DUMMYFUNCTION("""COMPUTED_VALUE"""),"Caja de abogados")</f>
        <v>Caja de abogados</v>
      </c>
      <c r="M312" s="7"/>
      <c r="N312" s="7"/>
      <c r="O312" s="7"/>
      <c r="P312" s="7"/>
      <c r="Q312" s="7"/>
      <c r="R312" s="7"/>
      <c r="S312" s="7"/>
    </row>
    <row r="313">
      <c r="A313" s="7" t="str">
        <f t="shared" si="1"/>
        <v>Vigilante, Claudia</v>
      </c>
      <c r="B313" s="7">
        <f>SUMIFS('bd caja'!$K$1:$K$1012,'bd caja'!$D$1:$D$1012,A313)</f>
        <v>0</v>
      </c>
      <c r="C313" s="19">
        <f>IFERROR(__xludf.DUMMYFUNCTION("""COMPUTED_VALUE"""),45190.80123244213)</f>
        <v>45190.80123</v>
      </c>
      <c r="D313" s="7" t="str">
        <f>IFERROR(__xludf.DUMMYFUNCTION("""COMPUTED_VALUE"""),"Vigilante")</f>
        <v>Vigilante</v>
      </c>
      <c r="E313" s="7" t="str">
        <f>IFERROR(__xludf.DUMMYFUNCTION("""COMPUTED_VALUE"""),"Claudia")</f>
        <v>Claudia</v>
      </c>
      <c r="F313" s="7" t="str">
        <f>IFERROR(__xludf.DUMMYFUNCTION("""COMPUTED_VALUE"""),"clauvigi@yahoo.com.ar")</f>
        <v>clauvigi@yahoo.com.ar</v>
      </c>
      <c r="G313" s="20">
        <f>IFERROR(__xludf.DUMMYFUNCTION("""COMPUTED_VALUE"""),22711.0)</f>
        <v>22711</v>
      </c>
      <c r="H313" s="7">
        <f>IFERROR(__xludf.DUMMYFUNCTION("""COMPUTED_VALUE"""),1.4839795E7)</f>
        <v>14839795</v>
      </c>
      <c r="I313" s="7">
        <f>IFERROR(__xludf.DUMMYFUNCTION("""COMPUTED_VALUE"""),3.517051244E9)</f>
        <v>3517051244</v>
      </c>
      <c r="J313" s="7" t="str">
        <f>IFERROR(__xludf.DUMMYFUNCTION("""COMPUTED_VALUE"""),"Recomendación")</f>
        <v>Recomendación</v>
      </c>
      <c r="K313" s="7" t="str">
        <f>IFERROR(__xludf.DUMMYFUNCTION("""COMPUTED_VALUE"""),"Particular")</f>
        <v>Particular</v>
      </c>
      <c r="L313" s="7"/>
      <c r="M313" s="7"/>
      <c r="N313" s="7"/>
      <c r="O313" s="7"/>
      <c r="P313" s="7"/>
      <c r="Q313" s="7"/>
      <c r="R313" s="7"/>
      <c r="S313" s="7"/>
    </row>
    <row r="314">
      <c r="A314" s="7" t="str">
        <f t="shared" si="1"/>
        <v>Carignano, Gustavo</v>
      </c>
      <c r="B314" s="7">
        <f>SUMIFS('bd caja'!$K$1:$K$1012,'bd caja'!$D$1:$D$1012,A314)</f>
        <v>0</v>
      </c>
      <c r="C314" s="19">
        <f>IFERROR(__xludf.DUMMYFUNCTION("""COMPUTED_VALUE"""),45190.80681376158)</f>
        <v>45190.80681</v>
      </c>
      <c r="D314" s="7" t="str">
        <f>IFERROR(__xludf.DUMMYFUNCTION("""COMPUTED_VALUE"""),"Carignano")</f>
        <v>Carignano</v>
      </c>
      <c r="E314" s="7" t="str">
        <f>IFERROR(__xludf.DUMMYFUNCTION("""COMPUTED_VALUE"""),"Gustavo")</f>
        <v>Gustavo</v>
      </c>
      <c r="F314" s="7" t="str">
        <f>IFERROR(__xludf.DUMMYFUNCTION("""COMPUTED_VALUE"""),"gustavocarignano@yahoo.com.ar")</f>
        <v>gustavocarignano@yahoo.com.ar</v>
      </c>
      <c r="G314" s="20">
        <f>IFERROR(__xludf.DUMMYFUNCTION("""COMPUTED_VALUE"""),25304.0)</f>
        <v>25304</v>
      </c>
      <c r="H314" s="7">
        <f>IFERROR(__xludf.DUMMYFUNCTION("""COMPUTED_VALUE"""),2.0706561E7)</f>
        <v>20706561</v>
      </c>
      <c r="I314" s="7">
        <f>IFERROR(__xludf.DUMMYFUNCTION("""COMPUTED_VALUE"""),3.513435345E9)</f>
        <v>3513435345</v>
      </c>
      <c r="J314" s="7" t="str">
        <f>IFERROR(__xludf.DUMMYFUNCTION("""COMPUTED_VALUE"""),"Voy al gym Manantial")</f>
        <v>Voy al gym Manantial</v>
      </c>
      <c r="K314" s="7" t="str">
        <f>IFERROR(__xludf.DUMMYFUNCTION("""COMPUTED_VALUE"""),"Particular")</f>
        <v>Particular</v>
      </c>
      <c r="L314" s="7"/>
      <c r="M314" s="7"/>
      <c r="N314" s="7"/>
      <c r="O314" s="7"/>
      <c r="P314" s="7"/>
      <c r="Q314" s="7"/>
      <c r="R314" s="7"/>
      <c r="S314" s="7"/>
    </row>
    <row r="315">
      <c r="A315" s="7" t="str">
        <f t="shared" si="1"/>
        <v>Hernandez, Roxana</v>
      </c>
      <c r="B315" s="7">
        <f>SUMIFS('bd caja'!$K$1:$K$1012,'bd caja'!$D$1:$D$1012,A315)</f>
        <v>0</v>
      </c>
      <c r="C315" s="19">
        <f>IFERROR(__xludf.DUMMYFUNCTION("""COMPUTED_VALUE"""),45191.42189408565)</f>
        <v>45191.42189</v>
      </c>
      <c r="D315" s="7" t="str">
        <f>IFERROR(__xludf.DUMMYFUNCTION("""COMPUTED_VALUE"""),"Hernandez")</f>
        <v>Hernandez</v>
      </c>
      <c r="E315" s="7" t="str">
        <f>IFERROR(__xludf.DUMMYFUNCTION("""COMPUTED_VALUE"""),"Roxana")</f>
        <v>Roxana</v>
      </c>
      <c r="F315" s="7" t="str">
        <f>IFERROR(__xludf.DUMMYFUNCTION("""COMPUTED_VALUE"""),"roxanahernandez_1@yahoo.com.ar")</f>
        <v>roxanahernandez_1@yahoo.com.ar</v>
      </c>
      <c r="G315" s="20">
        <f>IFERROR(__xludf.DUMMYFUNCTION("""COMPUTED_VALUE"""),22334.0)</f>
        <v>22334</v>
      </c>
      <c r="H315" s="7">
        <f>IFERROR(__xludf.DUMMYFUNCTION("""COMPUTED_VALUE"""),1.4409831E7)</f>
        <v>14409831</v>
      </c>
      <c r="I315" s="7">
        <f>IFERROR(__xludf.DUMMYFUNCTION("""COMPUTED_VALUE"""),3.516876546E9)</f>
        <v>3516876546</v>
      </c>
      <c r="J315" s="7" t="str">
        <f>IFERROR(__xludf.DUMMYFUNCTION("""COMPUTED_VALUE"""),"Voy al gym Manantial")</f>
        <v>Voy al gym Manantial</v>
      </c>
      <c r="K315" s="7" t="str">
        <f>IFERROR(__xludf.DUMMYFUNCTION("""COMPUTED_VALUE"""),"Particular")</f>
        <v>Particular</v>
      </c>
      <c r="L315" s="7"/>
      <c r="M315" s="7"/>
      <c r="N315" s="7"/>
      <c r="O315" s="7"/>
      <c r="P315" s="7"/>
      <c r="Q315" s="7"/>
      <c r="R315" s="7"/>
      <c r="S315" s="7"/>
    </row>
    <row r="316">
      <c r="A316" s="7" t="str">
        <f t="shared" si="1"/>
        <v>BACCOLA, ESTELA</v>
      </c>
      <c r="B316" s="7">
        <f>SUMIFS('bd caja'!$K$1:$K$1012,'bd caja'!$D$1:$D$1012,A316)</f>
        <v>0</v>
      </c>
      <c r="C316" s="19">
        <f>IFERROR(__xludf.DUMMYFUNCTION("""COMPUTED_VALUE"""),45191.44570834491)</f>
        <v>45191.44571</v>
      </c>
      <c r="D316" s="7" t="str">
        <f>IFERROR(__xludf.DUMMYFUNCTION("""COMPUTED_VALUE"""),"BACCOLA")</f>
        <v>BACCOLA</v>
      </c>
      <c r="E316" s="7" t="str">
        <f>IFERROR(__xludf.DUMMYFUNCTION("""COMPUTED_VALUE"""),"ESTELA")</f>
        <v>ESTELA</v>
      </c>
      <c r="F316" s="7" t="str">
        <f>IFERROR(__xludf.DUMMYFUNCTION("""COMPUTED_VALUE"""),"baceste@gmail.com")</f>
        <v>baceste@gmail.com</v>
      </c>
      <c r="G316" s="20">
        <f>IFERROR(__xludf.DUMMYFUNCTION("""COMPUTED_VALUE"""),20929.0)</f>
        <v>20929</v>
      </c>
      <c r="H316" s="7">
        <f>IFERROR(__xludf.DUMMYFUNCTION("""COMPUTED_VALUE"""),1.3154357E7)</f>
        <v>13154357</v>
      </c>
      <c r="I316" s="7">
        <f>IFERROR(__xludf.DUMMYFUNCTION("""COMPUTED_VALUE"""),3.512439697E9)</f>
        <v>3512439697</v>
      </c>
      <c r="J316" s="7" t="str">
        <f>IFERROR(__xludf.DUMMYFUNCTION("""COMPUTED_VALUE"""),"Google")</f>
        <v>Google</v>
      </c>
      <c r="K316" s="7" t="str">
        <f>IFERROR(__xludf.DUMMYFUNCTION("""COMPUTED_VALUE"""),"Obra social")</f>
        <v>Obra social</v>
      </c>
      <c r="L316" s="7" t="str">
        <f>IFERROR(__xludf.DUMMYFUNCTION("""COMPUTED_VALUE"""),"APROSS")</f>
        <v>APROSS</v>
      </c>
      <c r="M316" s="7"/>
      <c r="N316" s="7"/>
      <c r="O316" s="7"/>
      <c r="P316" s="7"/>
      <c r="Q316" s="7"/>
      <c r="R316" s="7"/>
      <c r="S316" s="7"/>
    </row>
    <row r="317">
      <c r="A317" s="7" t="str">
        <f t="shared" si="1"/>
        <v>Gonzalez, Nestor</v>
      </c>
      <c r="B317" s="7">
        <f>SUMIFS('bd caja'!$K$1:$K$1012,'bd caja'!$D$1:$D$1012,A317)</f>
        <v>0</v>
      </c>
      <c r="C317" s="19">
        <f>IFERROR(__xludf.DUMMYFUNCTION("""COMPUTED_VALUE"""),45191.70121049769)</f>
        <v>45191.70121</v>
      </c>
      <c r="D317" s="7" t="str">
        <f>IFERROR(__xludf.DUMMYFUNCTION("""COMPUTED_VALUE"""),"Gonzalez")</f>
        <v>Gonzalez</v>
      </c>
      <c r="E317" s="7" t="str">
        <f>IFERROR(__xludf.DUMMYFUNCTION("""COMPUTED_VALUE"""),"Nestor")</f>
        <v>Nestor</v>
      </c>
      <c r="F317" s="7" t="str">
        <f>IFERROR(__xludf.DUMMYFUNCTION("""COMPUTED_VALUE"""),"nesgonza61@hotmai.com")</f>
        <v>nesgonza61@hotmai.com</v>
      </c>
      <c r="G317" s="20">
        <f>IFERROR(__xludf.DUMMYFUNCTION("""COMPUTED_VALUE"""),19575.0)</f>
        <v>19575</v>
      </c>
      <c r="H317" s="7">
        <f>IFERROR(__xludf.DUMMYFUNCTION("""COMPUTED_VALUE"""),1.0800461E7)</f>
        <v>10800461</v>
      </c>
      <c r="I317" s="7">
        <f>IFERROR(__xludf.DUMMYFUNCTION("""COMPUTED_VALUE"""),3.516856322E9)</f>
        <v>3516856322</v>
      </c>
      <c r="J317" s="7" t="str">
        <f>IFERROR(__xludf.DUMMYFUNCTION("""COMPUTED_VALUE"""),"Recomendación")</f>
        <v>Recomendación</v>
      </c>
      <c r="K317" s="7" t="str">
        <f>IFERROR(__xludf.DUMMYFUNCTION("""COMPUTED_VALUE"""),"Obra social")</f>
        <v>Obra social</v>
      </c>
      <c r="L317" s="7" t="str">
        <f>IFERROR(__xludf.DUMMYFUNCTION("""COMPUTED_VALUE"""),"APM")</f>
        <v>APM</v>
      </c>
      <c r="M317" s="7"/>
      <c r="N317" s="7"/>
      <c r="O317" s="7"/>
      <c r="P317" s="7"/>
      <c r="Q317" s="7"/>
      <c r="R317" s="7"/>
      <c r="S317" s="7"/>
    </row>
    <row r="318">
      <c r="A318" s="7" t="str">
        <f t="shared" si="1"/>
        <v>Varea, Matias</v>
      </c>
      <c r="B318" s="7">
        <f>SUMIFS('bd caja'!$K$1:$K$1012,'bd caja'!$D$1:$D$1012,A318)</f>
        <v>0</v>
      </c>
      <c r="C318" s="19">
        <f>IFERROR(__xludf.DUMMYFUNCTION("""COMPUTED_VALUE"""),45191.7133859375)</f>
        <v>45191.71339</v>
      </c>
      <c r="D318" s="7" t="str">
        <f>IFERROR(__xludf.DUMMYFUNCTION("""COMPUTED_VALUE"""),"Varea")</f>
        <v>Varea</v>
      </c>
      <c r="E318" s="7" t="str">
        <f>IFERROR(__xludf.DUMMYFUNCTION("""COMPUTED_VALUE"""),"Matias")</f>
        <v>Matias</v>
      </c>
      <c r="F318" s="7" t="str">
        <f>IFERROR(__xludf.DUMMYFUNCTION("""COMPUTED_VALUE"""),"mavarea96@gmail.com")</f>
        <v>mavarea96@gmail.com</v>
      </c>
      <c r="G318" s="20">
        <f>IFERROR(__xludf.DUMMYFUNCTION("""COMPUTED_VALUE"""),35104.0)</f>
        <v>35104</v>
      </c>
      <c r="H318" s="7">
        <f>IFERROR(__xludf.DUMMYFUNCTION("""COMPUTED_VALUE"""),3.9422592E7)</f>
        <v>39422592</v>
      </c>
      <c r="I318" s="7">
        <f>IFERROR(__xludf.DUMMYFUNCTION("""COMPUTED_VALUE"""),3.585147531E9)</f>
        <v>3585147531</v>
      </c>
      <c r="J318" s="7" t="str">
        <f>IFERROR(__xludf.DUMMYFUNCTION("""COMPUTED_VALUE"""),"Google")</f>
        <v>Google</v>
      </c>
      <c r="K318" s="7" t="str">
        <f>IFERROR(__xludf.DUMMYFUNCTION("""COMPUTED_VALUE"""),"Obra social")</f>
        <v>Obra social</v>
      </c>
      <c r="L318" s="7" t="str">
        <f>IFERROR(__xludf.DUMMYFUNCTION("""COMPUTED_VALUE"""),"Federada Salud")</f>
        <v>Federada Salud</v>
      </c>
      <c r="M318" s="7"/>
      <c r="N318" s="7"/>
      <c r="O318" s="7"/>
      <c r="P318" s="7"/>
      <c r="Q318" s="7"/>
      <c r="R318" s="7"/>
      <c r="S318" s="7"/>
    </row>
    <row r="319">
      <c r="A319" s="7" t="str">
        <f t="shared" si="1"/>
        <v>MALDONADO, Mauricio</v>
      </c>
      <c r="B319" s="7">
        <f>SUMIFS('bd caja'!$K$1:$K$1012,'bd caja'!$D$1:$D$1012,A319)</f>
        <v>0</v>
      </c>
      <c r="C319" s="19">
        <f>IFERROR(__xludf.DUMMYFUNCTION("""COMPUTED_VALUE"""),45194.76030359954)</f>
        <v>45194.7603</v>
      </c>
      <c r="D319" s="7" t="str">
        <f>IFERROR(__xludf.DUMMYFUNCTION("""COMPUTED_VALUE"""),"MALDONADO")</f>
        <v>MALDONADO</v>
      </c>
      <c r="E319" s="7" t="str">
        <f>IFERROR(__xludf.DUMMYFUNCTION("""COMPUTED_VALUE"""),"Mauricio")</f>
        <v>Mauricio</v>
      </c>
      <c r="F319" s="7" t="str">
        <f>IFERROR(__xludf.DUMMYFUNCTION("""COMPUTED_VALUE"""),"maurii.maldonado87@gmail.com")</f>
        <v>maurii.maldonado87@gmail.com</v>
      </c>
      <c r="G319" s="20">
        <f>IFERROR(__xludf.DUMMYFUNCTION("""COMPUTED_VALUE"""),31988.0)</f>
        <v>31988</v>
      </c>
      <c r="H319" s="7">
        <f>IFERROR(__xludf.DUMMYFUNCTION("""COMPUTED_VALUE"""),3.3200608E7)</f>
        <v>33200608</v>
      </c>
      <c r="I319" s="7">
        <f>IFERROR(__xludf.DUMMYFUNCTION("""COMPUTED_VALUE"""),3.5132265E9)</f>
        <v>3513226500</v>
      </c>
      <c r="J319" s="7" t="str">
        <f>IFERROR(__xludf.DUMMYFUNCTION("""COMPUTED_VALUE"""),"Recomendación")</f>
        <v>Recomendación</v>
      </c>
      <c r="K319" s="7" t="str">
        <f>IFERROR(__xludf.DUMMYFUNCTION("""COMPUTED_VALUE"""),"Particular")</f>
        <v>Particular</v>
      </c>
      <c r="L319" s="7"/>
      <c r="M319" s="7"/>
      <c r="N319" s="7"/>
      <c r="O319" s="7"/>
      <c r="P319" s="7"/>
      <c r="Q319" s="7"/>
      <c r="R319" s="7"/>
      <c r="S319" s="7"/>
    </row>
    <row r="320">
      <c r="A320" s="7" t="str">
        <f t="shared" si="1"/>
        <v>Aznarez, Juana</v>
      </c>
      <c r="B320" s="7">
        <f>SUMIFS('bd caja'!$K$1:$K$1012,'bd caja'!$D$1:$D$1012,A320)</f>
        <v>0</v>
      </c>
      <c r="C320" s="19">
        <f>IFERROR(__xludf.DUMMYFUNCTION("""COMPUTED_VALUE"""),45196.72270975694)</f>
        <v>45196.72271</v>
      </c>
      <c r="D320" s="7" t="str">
        <f>IFERROR(__xludf.DUMMYFUNCTION("""COMPUTED_VALUE"""),"Aznarez")</f>
        <v>Aznarez</v>
      </c>
      <c r="E320" s="7" t="str">
        <f>IFERROR(__xludf.DUMMYFUNCTION("""COMPUTED_VALUE"""),"Juana")</f>
        <v>Juana</v>
      </c>
      <c r="F320" s="7" t="str">
        <f>IFERROR(__xludf.DUMMYFUNCTION("""COMPUTED_VALUE"""),"juaniaznarez@gmail.com")</f>
        <v>juaniaznarez@gmail.com</v>
      </c>
      <c r="G320" s="20">
        <f>IFERROR(__xludf.DUMMYFUNCTION("""COMPUTED_VALUE"""),36589.0)</f>
        <v>36589</v>
      </c>
      <c r="H320" s="7">
        <f>IFERROR(__xludf.DUMMYFUNCTION("""COMPUTED_VALUE"""),4.2385953E7)</f>
        <v>42385953</v>
      </c>
      <c r="I320" s="7">
        <f>IFERROR(__xludf.DUMMYFUNCTION("""COMPUTED_VALUE"""),3.517567169E9)</f>
        <v>3517567169</v>
      </c>
      <c r="J320" s="7" t="str">
        <f>IFERROR(__xludf.DUMMYFUNCTION("""COMPUTED_VALUE"""),"Recomendación")</f>
        <v>Recomendación</v>
      </c>
      <c r="K320" s="7" t="str">
        <f>IFERROR(__xludf.DUMMYFUNCTION("""COMPUTED_VALUE"""),"Particular")</f>
        <v>Particular</v>
      </c>
      <c r="L320" s="7"/>
      <c r="M320" s="7"/>
      <c r="N320" s="7"/>
      <c r="O320" s="7"/>
      <c r="P320" s="7"/>
      <c r="Q320" s="7"/>
      <c r="R320" s="7"/>
      <c r="S320" s="7"/>
    </row>
    <row r="321">
      <c r="A321" s="7" t="str">
        <f t="shared" si="1"/>
        <v>Palmieri, Carla</v>
      </c>
      <c r="B321" s="7">
        <f>SUMIFS('bd caja'!$K$1:$K$1012,'bd caja'!$D$1:$D$1012,A321)</f>
        <v>0</v>
      </c>
      <c r="C321" s="19">
        <f>IFERROR(__xludf.DUMMYFUNCTION("""COMPUTED_VALUE"""),45196.80985377315)</f>
        <v>45196.80985</v>
      </c>
      <c r="D321" s="7" t="str">
        <f>IFERROR(__xludf.DUMMYFUNCTION("""COMPUTED_VALUE"""),"Palmieri")</f>
        <v>Palmieri</v>
      </c>
      <c r="E321" s="7" t="str">
        <f>IFERROR(__xludf.DUMMYFUNCTION("""COMPUTED_VALUE"""),"Carla")</f>
        <v>Carla</v>
      </c>
      <c r="F321" s="7" t="str">
        <f>IFERROR(__xludf.DUMMYFUNCTION("""COMPUTED_VALUE"""),"carlypalmieri@gmail.com")</f>
        <v>carlypalmieri@gmail.com</v>
      </c>
      <c r="G321" s="20">
        <f>IFERROR(__xludf.DUMMYFUNCTION("""COMPUTED_VALUE"""),36822.0)</f>
        <v>36822</v>
      </c>
      <c r="H321" s="7">
        <f>IFERROR(__xludf.DUMMYFUNCTION("""COMPUTED_VALUE"""),4.2593995E7)</f>
        <v>42593995</v>
      </c>
      <c r="I321" s="7">
        <f>IFERROR(__xludf.DUMMYFUNCTION("""COMPUTED_VALUE"""),3.549454078E9)</f>
        <v>3549454078</v>
      </c>
      <c r="J321" s="7" t="str">
        <f>IFERROR(__xludf.DUMMYFUNCTION("""COMPUTED_VALUE"""),"Google")</f>
        <v>Google</v>
      </c>
      <c r="K321" s="7" t="str">
        <f>IFERROR(__xludf.DUMMYFUNCTION("""COMPUTED_VALUE"""),"Obra social")</f>
        <v>Obra social</v>
      </c>
      <c r="L321" s="7" t="str">
        <f>IFERROR(__xludf.DUMMYFUNCTION("""COMPUTED_VALUE"""),"Swiss medical")</f>
        <v>Swiss medical</v>
      </c>
      <c r="M321" s="7"/>
      <c r="N321" s="7"/>
      <c r="O321" s="7"/>
      <c r="P321" s="7"/>
      <c r="Q321" s="7"/>
      <c r="R321" s="7"/>
      <c r="S321" s="7"/>
    </row>
    <row r="322">
      <c r="A322" s="7" t="str">
        <f t="shared" si="1"/>
        <v>allende, julian</v>
      </c>
      <c r="B322" s="7">
        <f>SUMIFS('bd caja'!$K$1:$K$1012,'bd caja'!$D$1:$D$1012,A322)</f>
        <v>0</v>
      </c>
      <c r="C322" s="19">
        <f>IFERROR(__xludf.DUMMYFUNCTION("""COMPUTED_VALUE"""),45197.63288824074)</f>
        <v>45197.63289</v>
      </c>
      <c r="D322" s="7" t="str">
        <f>IFERROR(__xludf.DUMMYFUNCTION("""COMPUTED_VALUE"""),"allende")</f>
        <v>allende</v>
      </c>
      <c r="E322" s="7" t="str">
        <f>IFERROR(__xludf.DUMMYFUNCTION("""COMPUTED_VALUE"""),"julian")</f>
        <v>julian</v>
      </c>
      <c r="F322" s="7" t="str">
        <f>IFERROR(__xludf.DUMMYFUNCTION("""COMPUTED_VALUE"""),"allende.p.julian@gmail.com")</f>
        <v>allende.p.julian@gmail.com</v>
      </c>
      <c r="G322" s="20">
        <f>IFERROR(__xludf.DUMMYFUNCTION("""COMPUTED_VALUE"""),34429.0)</f>
        <v>34429</v>
      </c>
      <c r="H322" s="7">
        <f>IFERROR(__xludf.DUMMYFUNCTION("""COMPUTED_VALUE"""),3.8179109E7)</f>
        <v>38179109</v>
      </c>
      <c r="I322" s="7">
        <f>IFERROR(__xludf.DUMMYFUNCTION("""COMPUTED_VALUE"""),3.51746482E9)</f>
        <v>3517464820</v>
      </c>
      <c r="J322" s="7" t="str">
        <f>IFERROR(__xludf.DUMMYFUNCTION("""COMPUTED_VALUE"""),"Voy al gym Manantial")</f>
        <v>Voy al gym Manantial</v>
      </c>
      <c r="K322" s="7" t="str">
        <f>IFERROR(__xludf.DUMMYFUNCTION("""COMPUTED_VALUE"""),"Particular")</f>
        <v>Particular</v>
      </c>
      <c r="L322" s="7"/>
      <c r="M322" s="7"/>
      <c r="N322" s="7"/>
      <c r="O322" s="7"/>
      <c r="P322" s="7"/>
      <c r="Q322" s="7"/>
      <c r="R322" s="7"/>
      <c r="S322" s="7"/>
    </row>
    <row r="323">
      <c r="A323" s="7" t="str">
        <f t="shared" si="1"/>
        <v>Racca, Maria Veronica</v>
      </c>
      <c r="B323" s="7">
        <f>SUMIFS('bd caja'!$K$1:$K$1012,'bd caja'!$D$1:$D$1012,A323)</f>
        <v>0</v>
      </c>
      <c r="C323" s="19">
        <f>IFERROR(__xludf.DUMMYFUNCTION("""COMPUTED_VALUE"""),45197.71526216435)</f>
        <v>45197.71526</v>
      </c>
      <c r="D323" s="7" t="str">
        <f>IFERROR(__xludf.DUMMYFUNCTION("""COMPUTED_VALUE"""),"Racca")</f>
        <v>Racca</v>
      </c>
      <c r="E323" s="7" t="str">
        <f>IFERROR(__xludf.DUMMYFUNCTION("""COMPUTED_VALUE"""),"Maria Veronica")</f>
        <v>Maria Veronica</v>
      </c>
      <c r="F323" s="7" t="str">
        <f>IFERROR(__xludf.DUMMYFUNCTION("""COMPUTED_VALUE"""),"Mveroracca@gmail.com")</f>
        <v>Mveroracca@gmail.com</v>
      </c>
      <c r="G323" s="20">
        <f>IFERROR(__xludf.DUMMYFUNCTION("""COMPUTED_VALUE"""),28296.0)</f>
        <v>28296</v>
      </c>
      <c r="H323" s="7">
        <f>IFERROR(__xludf.DUMMYFUNCTION("""COMPUTED_VALUE"""),2.5353881E7)</f>
        <v>25353881</v>
      </c>
      <c r="I323" s="7">
        <f>IFERROR(__xludf.DUMMYFUNCTION("""COMPUTED_VALUE"""),3.516001979E9)</f>
        <v>3516001979</v>
      </c>
      <c r="J323" s="7" t="str">
        <f>IFERROR(__xludf.DUMMYFUNCTION("""COMPUTED_VALUE"""),"Google")</f>
        <v>Google</v>
      </c>
      <c r="K323" s="7" t="str">
        <f>IFERROR(__xludf.DUMMYFUNCTION("""COMPUTED_VALUE"""),"Obra social")</f>
        <v>Obra social</v>
      </c>
      <c r="L323" s="7" t="str">
        <f>IFERROR(__xludf.DUMMYFUNCTION("""COMPUTED_VALUE"""),"Dasuten")</f>
        <v>Dasuten</v>
      </c>
      <c r="M323" s="7"/>
      <c r="N323" s="7"/>
      <c r="O323" s="7"/>
      <c r="P323" s="7"/>
      <c r="Q323" s="7"/>
      <c r="R323" s="7"/>
      <c r="S323" s="7"/>
    </row>
    <row r="324">
      <c r="A324" s="7" t="str">
        <f t="shared" si="1"/>
        <v>Navas, Sofia</v>
      </c>
      <c r="B324" s="7">
        <f>SUMIFS('bd caja'!$K$1:$K$1012,'bd caja'!$D$1:$D$1012,A324)</f>
        <v>0</v>
      </c>
      <c r="C324" s="19">
        <f>IFERROR(__xludf.DUMMYFUNCTION("""COMPUTED_VALUE"""),45197.8854059375)</f>
        <v>45197.88541</v>
      </c>
      <c r="D324" s="7" t="str">
        <f>IFERROR(__xludf.DUMMYFUNCTION("""COMPUTED_VALUE"""),"Navas")</f>
        <v>Navas</v>
      </c>
      <c r="E324" s="7" t="str">
        <f>IFERROR(__xludf.DUMMYFUNCTION("""COMPUTED_VALUE"""),"Sofia")</f>
        <v>Sofia</v>
      </c>
      <c r="F324" s="7" t="str">
        <f>IFERROR(__xludf.DUMMYFUNCTION("""COMPUTED_VALUE"""),"sofianavasd@gmail.com")</f>
        <v>sofianavasd@gmail.com</v>
      </c>
      <c r="G324" s="20">
        <f>IFERROR(__xludf.DUMMYFUNCTION("""COMPUTED_VALUE"""),29266.0)</f>
        <v>29266</v>
      </c>
      <c r="H324" s="7">
        <f>IFERROR(__xludf.DUMMYFUNCTION("""COMPUTED_VALUE"""),2.7956844E7)</f>
        <v>27956844</v>
      </c>
      <c r="I324" s="7">
        <f>IFERROR(__xludf.DUMMYFUNCTION("""COMPUTED_VALUE"""),3.516957798E9)</f>
        <v>3516957798</v>
      </c>
      <c r="J324" s="7" t="str">
        <f>IFERROR(__xludf.DUMMYFUNCTION("""COMPUTED_VALUE"""),"Recomendación")</f>
        <v>Recomendación</v>
      </c>
      <c r="K324" s="7" t="str">
        <f>IFERROR(__xludf.DUMMYFUNCTION("""COMPUTED_VALUE"""),"Obra social")</f>
        <v>Obra social</v>
      </c>
      <c r="L324" s="7" t="str">
        <f>IFERROR(__xludf.DUMMYFUNCTION("""COMPUTED_VALUE"""),"Federada salud ")</f>
        <v>Federada salud </v>
      </c>
      <c r="M324" s="7"/>
      <c r="N324" s="7"/>
      <c r="O324" s="7"/>
      <c r="P324" s="7"/>
      <c r="Q324" s="7"/>
      <c r="R324" s="7"/>
      <c r="S324" s="7"/>
    </row>
    <row r="325">
      <c r="A325" s="7" t="str">
        <f t="shared" si="1"/>
        <v>Bustos, María</v>
      </c>
      <c r="B325" s="7">
        <f>SUMIFS('bd caja'!$K$1:$K$1012,'bd caja'!$D$1:$D$1012,A325)</f>
        <v>0</v>
      </c>
      <c r="C325" s="19">
        <f>IFERROR(__xludf.DUMMYFUNCTION("""COMPUTED_VALUE"""),45198.5017418287)</f>
        <v>45198.50174</v>
      </c>
      <c r="D325" s="7" t="str">
        <f>IFERROR(__xludf.DUMMYFUNCTION("""COMPUTED_VALUE"""),"Bustos")</f>
        <v>Bustos</v>
      </c>
      <c r="E325" s="7" t="str">
        <f>IFERROR(__xludf.DUMMYFUNCTION("""COMPUTED_VALUE"""),"María")</f>
        <v>María</v>
      </c>
      <c r="F325" s="7" t="str">
        <f>IFERROR(__xludf.DUMMYFUNCTION("""COMPUTED_VALUE"""),"maria_cbustos@hotmail.com")</f>
        <v>maria_cbustos@hotmail.com</v>
      </c>
      <c r="G325" s="20">
        <f>IFERROR(__xludf.DUMMYFUNCTION("""COMPUTED_VALUE"""),22866.0)</f>
        <v>22866</v>
      </c>
      <c r="H325" s="7">
        <f>IFERROR(__xludf.DUMMYFUNCTION("""COMPUTED_VALUE"""),1.6159328E7)</f>
        <v>16159328</v>
      </c>
      <c r="I325" s="7">
        <f>IFERROR(__xludf.DUMMYFUNCTION("""COMPUTED_VALUE"""),3.515914849E9)</f>
        <v>3515914849</v>
      </c>
      <c r="J325" s="7" t="str">
        <f>IFERROR(__xludf.DUMMYFUNCTION("""COMPUTED_VALUE"""),"Porque vivo cerca")</f>
        <v>Porque vivo cerca</v>
      </c>
      <c r="K325" s="7" t="str">
        <f>IFERROR(__xludf.DUMMYFUNCTION("""COMPUTED_VALUE"""),"Obra social")</f>
        <v>Obra social</v>
      </c>
      <c r="L325" s="7" t="str">
        <f>IFERROR(__xludf.DUMMYFUNCTION("""COMPUTED_VALUE"""),"Caja de Abogados")</f>
        <v>Caja de Abogados</v>
      </c>
      <c r="M325" s="7"/>
      <c r="N325" s="7"/>
      <c r="O325" s="7"/>
      <c r="P325" s="7"/>
      <c r="Q325" s="7"/>
      <c r="R325" s="7"/>
      <c r="S325" s="7"/>
    </row>
    <row r="326">
      <c r="A326" s="7" t="str">
        <f t="shared" si="1"/>
        <v>Robotti , Sebastian </v>
      </c>
      <c r="B326" s="7">
        <f>SUMIFS('bd caja'!$K$1:$K$1012,'bd caja'!$D$1:$D$1012,A326)</f>
        <v>0</v>
      </c>
      <c r="C326" s="19">
        <f>IFERROR(__xludf.DUMMYFUNCTION("""COMPUTED_VALUE"""),45203.56250785879)</f>
        <v>45203.56251</v>
      </c>
      <c r="D326" s="7" t="str">
        <f>IFERROR(__xludf.DUMMYFUNCTION("""COMPUTED_VALUE"""),"Robotti ")</f>
        <v>Robotti </v>
      </c>
      <c r="E326" s="7" t="str">
        <f>IFERROR(__xludf.DUMMYFUNCTION("""COMPUTED_VALUE"""),"Sebastian ")</f>
        <v>Sebastian </v>
      </c>
      <c r="F326" s="7" t="str">
        <f>IFERROR(__xludf.DUMMYFUNCTION("""COMPUTED_VALUE"""),"Sebastianrobotti@gmail.com")</f>
        <v>Sebastianrobotti@gmail.com</v>
      </c>
      <c r="G326" s="20">
        <f>IFERROR(__xludf.DUMMYFUNCTION("""COMPUTED_VALUE"""),30160.0)</f>
        <v>30160</v>
      </c>
      <c r="H326" s="7">
        <f>IFERROR(__xludf.DUMMYFUNCTION("""COMPUTED_VALUE"""),2.9609058E7)</f>
        <v>29609058</v>
      </c>
      <c r="I326" s="7">
        <f>IFERROR(__xludf.DUMMYFUNCTION("""COMPUTED_VALUE"""),3.516784956E9)</f>
        <v>3516784956</v>
      </c>
      <c r="J326" s="7" t="str">
        <f>IFERROR(__xludf.DUMMYFUNCTION("""COMPUTED_VALUE"""),"Recomendación")</f>
        <v>Recomendación</v>
      </c>
      <c r="K326" s="7" t="str">
        <f>IFERROR(__xludf.DUMMYFUNCTION("""COMPUTED_VALUE"""),"Particular")</f>
        <v>Particular</v>
      </c>
      <c r="L326" s="7"/>
      <c r="M326" s="7"/>
      <c r="N326" s="7"/>
      <c r="O326" s="7"/>
      <c r="P326" s="7"/>
      <c r="Q326" s="7"/>
      <c r="R326" s="7"/>
      <c r="S326" s="7"/>
    </row>
    <row r="327">
      <c r="A327" s="7" t="str">
        <f t="shared" si="1"/>
        <v>Ferrer, Gina </v>
      </c>
      <c r="B327" s="7">
        <f>SUMIFS('bd caja'!$K$1:$K$1012,'bd caja'!$D$1:$D$1012,A327)</f>
        <v>0</v>
      </c>
      <c r="C327" s="19">
        <f>IFERROR(__xludf.DUMMYFUNCTION("""COMPUTED_VALUE"""),45206.90851032407)</f>
        <v>45206.90851</v>
      </c>
      <c r="D327" s="7" t="str">
        <f>IFERROR(__xludf.DUMMYFUNCTION("""COMPUTED_VALUE"""),"Ferrer")</f>
        <v>Ferrer</v>
      </c>
      <c r="E327" s="7" t="str">
        <f>IFERROR(__xludf.DUMMYFUNCTION("""COMPUTED_VALUE"""),"Gina ")</f>
        <v>Gina </v>
      </c>
      <c r="F327" s="7" t="str">
        <f>IFERROR(__xludf.DUMMYFUNCTION("""COMPUTED_VALUE"""),"fgina6404@gmail.com ")</f>
        <v>fgina6404@gmail.com </v>
      </c>
      <c r="G327" s="20">
        <f>IFERROR(__xludf.DUMMYFUNCTION("""COMPUTED_VALUE"""),38611.0)</f>
        <v>38611</v>
      </c>
      <c r="H327" s="7">
        <f>IFERROR(__xludf.DUMMYFUNCTION("""COMPUTED_VALUE"""),4.6374284E7)</f>
        <v>46374284</v>
      </c>
      <c r="I327" s="7">
        <f>IFERROR(__xludf.DUMMYFUNCTION("""COMPUTED_VALUE"""),3.513529301E9)</f>
        <v>3513529301</v>
      </c>
      <c r="J327" s="7" t="str">
        <f>IFERROR(__xludf.DUMMYFUNCTION("""COMPUTED_VALUE"""),"Recomendación")</f>
        <v>Recomendación</v>
      </c>
      <c r="K327" s="7" t="str">
        <f>IFERROR(__xludf.DUMMYFUNCTION("""COMPUTED_VALUE"""),"Obra social")</f>
        <v>Obra social</v>
      </c>
      <c r="L327" s="7" t="str">
        <f>IFERROR(__xludf.DUMMYFUNCTION("""COMPUTED_VALUE"""),"PREVENCIÓN")</f>
        <v>PREVENCIÓN</v>
      </c>
      <c r="M327" s="7"/>
      <c r="N327" s="7"/>
      <c r="O327" s="7"/>
      <c r="P327" s="7"/>
      <c r="Q327" s="7"/>
      <c r="R327" s="7"/>
      <c r="S327" s="7"/>
    </row>
    <row r="328">
      <c r="A328" s="7" t="str">
        <f t="shared" si="1"/>
        <v>Hinga, Oscar</v>
      </c>
      <c r="B328" s="7">
        <f>SUMIFS('bd caja'!$K$1:$K$1012,'bd caja'!$D$1:$D$1012,A328)</f>
        <v>0</v>
      </c>
      <c r="C328" s="19">
        <f>IFERROR(__xludf.DUMMYFUNCTION("""COMPUTED_VALUE"""),45208.45582873843)</f>
        <v>45208.45583</v>
      </c>
      <c r="D328" s="7" t="str">
        <f>IFERROR(__xludf.DUMMYFUNCTION("""COMPUTED_VALUE"""),"Hinga")</f>
        <v>Hinga</v>
      </c>
      <c r="E328" s="7" t="str">
        <f>IFERROR(__xludf.DUMMYFUNCTION("""COMPUTED_VALUE"""),"Oscar")</f>
        <v>Oscar</v>
      </c>
      <c r="F328" s="7" t="str">
        <f>IFERROR(__xludf.DUMMYFUNCTION("""COMPUTED_VALUE"""),"Beibi1025@gmail.com ")</f>
        <v>Beibi1025@gmail.com </v>
      </c>
      <c r="G328" s="20">
        <f>IFERROR(__xludf.DUMMYFUNCTION("""COMPUTED_VALUE"""),31628.0)</f>
        <v>31628</v>
      </c>
      <c r="H328" s="7">
        <f>IFERROR(__xludf.DUMMYFUNCTION("""COMPUTED_VALUE"""),3.2406471E7)</f>
        <v>32406471</v>
      </c>
      <c r="I328" s="7">
        <f>IFERROR(__xludf.DUMMYFUNCTION("""COMPUTED_VALUE"""),3.515102216E9)</f>
        <v>3515102216</v>
      </c>
      <c r="J328" s="7" t="str">
        <f>IFERROR(__xludf.DUMMYFUNCTION("""COMPUTED_VALUE"""),"Google")</f>
        <v>Google</v>
      </c>
      <c r="K328" s="7" t="str">
        <f>IFERROR(__xludf.DUMMYFUNCTION("""COMPUTED_VALUE"""),"Particular")</f>
        <v>Particular</v>
      </c>
      <c r="L328" s="7"/>
      <c r="M328" s="7"/>
      <c r="N328" s="7"/>
      <c r="O328" s="7"/>
      <c r="P328" s="7"/>
      <c r="Q328" s="7"/>
      <c r="R328" s="7"/>
      <c r="S328" s="7"/>
    </row>
    <row r="329">
      <c r="A329" s="7" t="str">
        <f t="shared" si="1"/>
        <v>ARCE, Juan</v>
      </c>
      <c r="B329" s="7">
        <f>SUMIFS('bd caja'!$K$1:$K$1012,'bd caja'!$D$1:$D$1012,A329)</f>
        <v>0</v>
      </c>
      <c r="C329" s="19">
        <f>IFERROR(__xludf.DUMMYFUNCTION("""COMPUTED_VALUE"""),45208.489762627316)</f>
        <v>45208.48976</v>
      </c>
      <c r="D329" s="7" t="str">
        <f>IFERROR(__xludf.DUMMYFUNCTION("""COMPUTED_VALUE"""),"ARCE")</f>
        <v>ARCE</v>
      </c>
      <c r="E329" s="7" t="str">
        <f>IFERROR(__xludf.DUMMYFUNCTION("""COMPUTED_VALUE"""),"Juan")</f>
        <v>Juan</v>
      </c>
      <c r="F329" s="7"/>
      <c r="G329" s="20">
        <f>IFERROR(__xludf.DUMMYFUNCTION("""COMPUTED_VALUE"""),32937.0)</f>
        <v>32937</v>
      </c>
      <c r="H329" s="7">
        <f>IFERROR(__xludf.DUMMYFUNCTION("""COMPUTED_VALUE"""),3.5055926E7)</f>
        <v>35055926</v>
      </c>
      <c r="I329" s="7">
        <f>IFERROR(__xludf.DUMMYFUNCTION("""COMPUTED_VALUE"""),3.518792958E9)</f>
        <v>3518792958</v>
      </c>
      <c r="J329" s="7" t="str">
        <f>IFERROR(__xludf.DUMMYFUNCTION("""COMPUTED_VALUE"""),"Recomendación")</f>
        <v>Recomendación</v>
      </c>
      <c r="K329" s="7" t="str">
        <f>IFERROR(__xludf.DUMMYFUNCTION("""COMPUTED_VALUE"""),"Obra social")</f>
        <v>Obra social</v>
      </c>
      <c r="L329" s="7" t="str">
        <f>IFERROR(__xludf.DUMMYFUNCTION("""COMPUTED_VALUE"""),"SANCOR")</f>
        <v>SANCOR</v>
      </c>
      <c r="M329" s="7"/>
      <c r="N329" s="7"/>
      <c r="O329" s="7"/>
      <c r="P329" s="7"/>
      <c r="Q329" s="7"/>
      <c r="R329" s="7"/>
      <c r="S329" s="7"/>
    </row>
    <row r="330">
      <c r="A330" s="7" t="str">
        <f t="shared" si="1"/>
        <v>FERNANDEZ, GABRIEL</v>
      </c>
      <c r="B330" s="7">
        <f>SUMIFS('bd caja'!$K$1:$K$1012,'bd caja'!$D$1:$D$1012,A330)</f>
        <v>0</v>
      </c>
      <c r="C330" s="19">
        <f>IFERROR(__xludf.DUMMYFUNCTION("""COMPUTED_VALUE"""),45208.45582873843)</f>
        <v>45208.45583</v>
      </c>
      <c r="D330" s="7" t="str">
        <f>IFERROR(__xludf.DUMMYFUNCTION("""COMPUTED_VALUE"""),"FERNANDEZ")</f>
        <v>FERNANDEZ</v>
      </c>
      <c r="E330" s="7" t="str">
        <f>IFERROR(__xludf.DUMMYFUNCTION("""COMPUTED_VALUE"""),"GABRIEL")</f>
        <v>GABRIEL</v>
      </c>
      <c r="F330" s="7" t="str">
        <f>IFERROR(__xludf.DUMMYFUNCTION("""COMPUTED_VALUE"""),"atito_04@hotmai.com")</f>
        <v>atito_04@hotmai.com</v>
      </c>
      <c r="G330" s="22">
        <f>IFERROR(__xludf.DUMMYFUNCTION("""COMPUTED_VALUE"""),22802.0)</f>
        <v>22802</v>
      </c>
      <c r="H330" s="7">
        <f>IFERROR(__xludf.DUMMYFUNCTION("""COMPUTED_VALUE"""),1.6015575E7)</f>
        <v>16015575</v>
      </c>
      <c r="I330" s="7">
        <f>IFERROR(__xludf.DUMMYFUNCTION("""COMPUTED_VALUE"""),3.5131769E9)</f>
        <v>3513176900</v>
      </c>
      <c r="J330" s="7" t="str">
        <f>IFERROR(__xludf.DUMMYFUNCTION("""COMPUTED_VALUE"""),"Medico")</f>
        <v>Medico</v>
      </c>
      <c r="K330" s="7" t="str">
        <f>IFERROR(__xludf.DUMMYFUNCTION("""COMPUTED_VALUE"""),"Obra social")</f>
        <v>Obra social</v>
      </c>
      <c r="L330" s="7" t="str">
        <f>IFERROR(__xludf.DUMMYFUNCTION("""COMPUTED_VALUE"""),"Apross")</f>
        <v>Apross</v>
      </c>
      <c r="M330" s="7"/>
      <c r="N330" s="7"/>
      <c r="O330" s="7"/>
      <c r="P330" s="7"/>
      <c r="Q330" s="7"/>
      <c r="R330" s="7"/>
      <c r="S330" s="7"/>
    </row>
    <row r="331">
      <c r="A331" s="7" t="str">
        <f t="shared" si="1"/>
        <v>DOMINGUEZ , Marta</v>
      </c>
      <c r="B331" s="7">
        <f>SUMIFS('bd caja'!$K$1:$K$1012,'bd caja'!$D$1:$D$1012,A331)</f>
        <v>0</v>
      </c>
      <c r="C331" s="19">
        <f>IFERROR(__xludf.DUMMYFUNCTION("""COMPUTED_VALUE"""),45209.469308125)</f>
        <v>45209.46931</v>
      </c>
      <c r="D331" s="7" t="str">
        <f>IFERROR(__xludf.DUMMYFUNCTION("""COMPUTED_VALUE"""),"DOMINGUEZ ")</f>
        <v>DOMINGUEZ </v>
      </c>
      <c r="E331" s="7" t="str">
        <f>IFERROR(__xludf.DUMMYFUNCTION("""COMPUTED_VALUE"""),"Marta")</f>
        <v>Marta</v>
      </c>
      <c r="F331" s="7" t="str">
        <f>IFERROR(__xludf.DUMMYFUNCTION("""COMPUTED_VALUE"""),"Mdominguez@foodsmentor.com")</f>
        <v>Mdominguez@foodsmentor.com</v>
      </c>
      <c r="G331" s="20">
        <f>IFERROR(__xludf.DUMMYFUNCTION("""COMPUTED_VALUE"""),19916.0)</f>
        <v>19916</v>
      </c>
      <c r="H331" s="7">
        <f>IFERROR(__xludf.DUMMYFUNCTION("""COMPUTED_VALUE"""),1.1296622E7)</f>
        <v>11296622</v>
      </c>
      <c r="I331" s="7">
        <f>IFERROR(__xludf.DUMMYFUNCTION("""COMPUTED_VALUE"""),3.515995584E9)</f>
        <v>3515995584</v>
      </c>
      <c r="J331" s="7" t="str">
        <f>IFERROR(__xludf.DUMMYFUNCTION("""COMPUTED_VALUE"""),"Recomendación")</f>
        <v>Recomendación</v>
      </c>
      <c r="K331" s="7" t="str">
        <f>IFERROR(__xludf.DUMMYFUNCTION("""COMPUTED_VALUE"""),"Obra social")</f>
        <v>Obra social</v>
      </c>
      <c r="L331" s="7" t="str">
        <f>IFERROR(__xludf.DUMMYFUNCTION("""COMPUTED_VALUE"""),"Omint")</f>
        <v>Omint</v>
      </c>
      <c r="M331" s="7"/>
      <c r="N331" s="7"/>
      <c r="O331" s="7"/>
      <c r="P331" s="7"/>
      <c r="Q331" s="7"/>
      <c r="R331" s="7"/>
      <c r="S331" s="7"/>
    </row>
    <row r="332">
      <c r="A332" s="7" t="str">
        <f t="shared" si="1"/>
        <v>Figueroa, Alejandro</v>
      </c>
      <c r="B332" s="7">
        <f>SUMIFS('bd caja'!$K$1:$K$1012,'bd caja'!$D$1:$D$1012,A332)</f>
        <v>0</v>
      </c>
      <c r="C332" s="19">
        <f>IFERROR(__xludf.DUMMYFUNCTION("""COMPUTED_VALUE"""),45210.36282784722)</f>
        <v>45210.36283</v>
      </c>
      <c r="D332" s="7" t="str">
        <f>IFERROR(__xludf.DUMMYFUNCTION("""COMPUTED_VALUE"""),"Figueroa")</f>
        <v>Figueroa</v>
      </c>
      <c r="E332" s="7" t="str">
        <f>IFERROR(__xludf.DUMMYFUNCTION("""COMPUTED_VALUE"""),"Alejandro")</f>
        <v>Alejandro</v>
      </c>
      <c r="F332" s="7" t="str">
        <f>IFERROR(__xludf.DUMMYFUNCTION("""COMPUTED_VALUE"""),"Afigueroa211@gmail.com")</f>
        <v>Afigueroa211@gmail.com</v>
      </c>
      <c r="G332" s="20">
        <f>IFERROR(__xludf.DUMMYFUNCTION("""COMPUTED_VALUE"""),31353.0)</f>
        <v>31353</v>
      </c>
      <c r="H332" s="7">
        <f>IFERROR(__xludf.DUMMYFUNCTION("""COMPUTED_VALUE"""),9.5042906E7)</f>
        <v>95042906</v>
      </c>
      <c r="I332" s="7">
        <f>IFERROR(__xludf.DUMMYFUNCTION("""COMPUTED_VALUE"""),3.51743505E9)</f>
        <v>3517435050</v>
      </c>
      <c r="J332" s="7" t="str">
        <f>IFERROR(__xludf.DUMMYFUNCTION("""COMPUTED_VALUE"""),"Google")</f>
        <v>Google</v>
      </c>
      <c r="K332" s="7" t="str">
        <f>IFERROR(__xludf.DUMMYFUNCTION("""COMPUTED_VALUE"""),"Particular")</f>
        <v>Particular</v>
      </c>
      <c r="L332" s="7"/>
      <c r="M332" s="7"/>
      <c r="N332" s="7"/>
      <c r="O332" s="7"/>
      <c r="P332" s="7"/>
      <c r="Q332" s="7"/>
      <c r="R332" s="7"/>
      <c r="S332" s="7"/>
    </row>
    <row r="333">
      <c r="A333" s="7" t="str">
        <f t="shared" si="1"/>
        <v>Quinteros, Francisco</v>
      </c>
      <c r="B333" s="7">
        <f>SUMIFS('bd caja'!$K$1:$K$1012,'bd caja'!$D$1:$D$1012,A333)</f>
        <v>0</v>
      </c>
      <c r="C333" s="19">
        <f>IFERROR(__xludf.DUMMYFUNCTION("""COMPUTED_VALUE"""),45210.375875763886)</f>
        <v>45210.37588</v>
      </c>
      <c r="D333" s="7" t="str">
        <f>IFERROR(__xludf.DUMMYFUNCTION("""COMPUTED_VALUE"""),"Quinteros")</f>
        <v>Quinteros</v>
      </c>
      <c r="E333" s="7" t="str">
        <f>IFERROR(__xludf.DUMMYFUNCTION("""COMPUTED_VALUE"""),"Francisco")</f>
        <v>Francisco</v>
      </c>
      <c r="F333" s="7" t="str">
        <f>IFERROR(__xludf.DUMMYFUNCTION("""COMPUTED_VALUE"""),"quinterosismael@hotmail.com")</f>
        <v>quinterosismael@hotmail.com</v>
      </c>
      <c r="G333" s="20">
        <f>IFERROR(__xludf.DUMMYFUNCTION("""COMPUTED_VALUE"""),40619.0)</f>
        <v>40619</v>
      </c>
      <c r="H333" s="7">
        <f>IFERROR(__xludf.DUMMYFUNCTION("""COMPUTED_VALUE"""),5.085448E7)</f>
        <v>50854480</v>
      </c>
      <c r="I333" s="7">
        <f>IFERROR(__xludf.DUMMYFUNCTION("""COMPUTED_VALUE"""),3.512357187E9)</f>
        <v>3512357187</v>
      </c>
      <c r="J333" s="7" t="str">
        <f>IFERROR(__xludf.DUMMYFUNCTION("""COMPUTED_VALUE"""),"Recomendación")</f>
        <v>Recomendación</v>
      </c>
      <c r="K333" s="7" t="str">
        <f>IFERROR(__xludf.DUMMYFUNCTION("""COMPUTED_VALUE"""),"Obra social")</f>
        <v>Obra social</v>
      </c>
      <c r="L333" s="7" t="str">
        <f>IFERROR(__xludf.DUMMYFUNCTION("""COMPUTED_VALUE"""),"Medife")</f>
        <v>Medife</v>
      </c>
      <c r="M333" s="7"/>
      <c r="N333" s="7"/>
      <c r="O333" s="7"/>
      <c r="P333" s="7"/>
      <c r="Q333" s="7"/>
      <c r="R333" s="7"/>
      <c r="S333" s="7"/>
    </row>
    <row r="334">
      <c r="A334" s="7" t="str">
        <f t="shared" si="1"/>
        <v>Russo, Martin</v>
      </c>
      <c r="B334" s="7">
        <f>SUMIFS('bd caja'!$K$1:$K$1012,'bd caja'!$D$1:$D$1012,A334)</f>
        <v>0</v>
      </c>
      <c r="C334" s="19">
        <f>IFERROR(__xludf.DUMMYFUNCTION("""COMPUTED_VALUE"""),45210.4594379051)</f>
        <v>45210.45944</v>
      </c>
      <c r="D334" s="7" t="str">
        <f>IFERROR(__xludf.DUMMYFUNCTION("""COMPUTED_VALUE"""),"Russo")</f>
        <v>Russo</v>
      </c>
      <c r="E334" s="7" t="str">
        <f>IFERROR(__xludf.DUMMYFUNCTION("""COMPUTED_VALUE"""),"Martin")</f>
        <v>Martin</v>
      </c>
      <c r="F334" s="7" t="str">
        <f>IFERROR(__xludf.DUMMYFUNCTION("""COMPUTED_VALUE"""),"maartinrusso@gmail.com")</f>
        <v>maartinrusso@gmail.com</v>
      </c>
      <c r="G334" s="20">
        <f>IFERROR(__xludf.DUMMYFUNCTION("""COMPUTED_VALUE"""),38191.0)</f>
        <v>38191</v>
      </c>
      <c r="H334" s="7">
        <f>IFERROR(__xludf.DUMMYFUNCTION("""COMPUTED_VALUE"""),4.569255E7)</f>
        <v>45692550</v>
      </c>
      <c r="I334" s="7">
        <f>IFERROR(__xludf.DUMMYFUNCTION("""COMPUTED_VALUE"""),3.516371178E9)</f>
        <v>3516371178</v>
      </c>
      <c r="J334" s="7" t="str">
        <f>IFERROR(__xludf.DUMMYFUNCTION("""COMPUTED_VALUE"""),"Voy al gym Manantial")</f>
        <v>Voy al gym Manantial</v>
      </c>
      <c r="K334" s="7" t="str">
        <f>IFERROR(__xludf.DUMMYFUNCTION("""COMPUTED_VALUE"""),"Obra social")</f>
        <v>Obra social</v>
      </c>
      <c r="L334" s="7" t="str">
        <f>IFERROR(__xludf.DUMMYFUNCTION("""COMPUTED_VALUE"""),"SANCOR")</f>
        <v>SANCOR</v>
      </c>
      <c r="M334" s="7"/>
      <c r="N334" s="7"/>
      <c r="O334" s="7"/>
      <c r="P334" s="7"/>
      <c r="Q334" s="7"/>
      <c r="R334" s="7"/>
      <c r="S334" s="7"/>
    </row>
    <row r="335">
      <c r="A335" s="7" t="str">
        <f t="shared" si="1"/>
        <v>DALLEGRE, Enrrique</v>
      </c>
      <c r="B335" s="7">
        <f>SUMIFS('bd caja'!$K$1:$K$1012,'bd caja'!$D$1:$D$1012,A335)</f>
        <v>0</v>
      </c>
      <c r="C335" s="19">
        <f>IFERROR(__xludf.DUMMYFUNCTION("""COMPUTED_VALUE"""),45210.49264726852)</f>
        <v>45210.49265</v>
      </c>
      <c r="D335" s="7" t="str">
        <f>IFERROR(__xludf.DUMMYFUNCTION("""COMPUTED_VALUE"""),"DALLEGRE")</f>
        <v>DALLEGRE</v>
      </c>
      <c r="E335" s="7" t="str">
        <f>IFERROR(__xludf.DUMMYFUNCTION("""COMPUTED_VALUE"""),"Enrrique")</f>
        <v>Enrrique</v>
      </c>
      <c r="F335" s="7" t="str">
        <f>IFERROR(__xludf.DUMMYFUNCTION("""COMPUTED_VALUE"""),"dallegre.enrrique@gmail.com")</f>
        <v>dallegre.enrrique@gmail.com</v>
      </c>
      <c r="G335" s="20">
        <f>IFERROR(__xludf.DUMMYFUNCTION("""COMPUTED_VALUE"""),21560.0)</f>
        <v>21560</v>
      </c>
      <c r="H335" s="7">
        <f>IFERROR(__xludf.DUMMYFUNCTION("""COMPUTED_VALUE"""),1.2810692E7)</f>
        <v>12810692</v>
      </c>
      <c r="I335" s="7">
        <f>IFERROR(__xludf.DUMMYFUNCTION("""COMPUTED_VALUE"""),3.516520703E9)</f>
        <v>3516520703</v>
      </c>
      <c r="J335" s="7" t="str">
        <f>IFERROR(__xludf.DUMMYFUNCTION("""COMPUTED_VALUE"""),"Recomendación")</f>
        <v>Recomendación</v>
      </c>
      <c r="K335" s="7" t="str">
        <f>IFERROR(__xludf.DUMMYFUNCTION("""COMPUTED_VALUE"""),"Particular")</f>
        <v>Particular</v>
      </c>
      <c r="L335" s="7"/>
      <c r="M335" s="7"/>
      <c r="N335" s="7"/>
      <c r="O335" s="7"/>
      <c r="P335" s="7"/>
      <c r="Q335" s="7"/>
      <c r="R335" s="7"/>
      <c r="S335" s="7"/>
    </row>
    <row r="336">
      <c r="A336" s="7" t="str">
        <f t="shared" si="1"/>
        <v>Gonzalez, Luciano Emanuel</v>
      </c>
      <c r="B336" s="7">
        <f>SUMIFS('bd caja'!$K$1:$K$1012,'bd caja'!$D$1:$D$1012,A336)</f>
        <v>0</v>
      </c>
      <c r="C336" s="19">
        <f>IFERROR(__xludf.DUMMYFUNCTION("""COMPUTED_VALUE"""),45216.73338590278)</f>
        <v>45216.73339</v>
      </c>
      <c r="D336" s="7" t="str">
        <f>IFERROR(__xludf.DUMMYFUNCTION("""COMPUTED_VALUE"""),"Gonzalez")</f>
        <v>Gonzalez</v>
      </c>
      <c r="E336" s="7" t="str">
        <f>IFERROR(__xludf.DUMMYFUNCTION("""COMPUTED_VALUE"""),"Luciano Emanuel")</f>
        <v>Luciano Emanuel</v>
      </c>
      <c r="F336" s="7" t="str">
        <f>IFERROR(__xludf.DUMMYFUNCTION("""COMPUTED_VALUE"""),"Lucianoegfm5@gmail.com")</f>
        <v>Lucianoegfm5@gmail.com</v>
      </c>
      <c r="G336" s="20">
        <f>IFERROR(__xludf.DUMMYFUNCTION("""COMPUTED_VALUE"""),35529.0)</f>
        <v>35529</v>
      </c>
      <c r="H336" s="7">
        <f>IFERROR(__xludf.DUMMYFUNCTION("""COMPUTED_VALUE"""),4.0400317E7)</f>
        <v>40400317</v>
      </c>
      <c r="I336" s="7">
        <f>IFERROR(__xludf.DUMMYFUNCTION("""COMPUTED_VALUE"""),3.512683711E9)</f>
        <v>3512683711</v>
      </c>
      <c r="J336" s="7" t="str">
        <f>IFERROR(__xludf.DUMMYFUNCTION("""COMPUTED_VALUE"""),"Recomendación")</f>
        <v>Recomendación</v>
      </c>
      <c r="K336" s="7" t="str">
        <f>IFERROR(__xludf.DUMMYFUNCTION("""COMPUTED_VALUE"""),"Particular")</f>
        <v>Particular</v>
      </c>
      <c r="L336" s="7"/>
      <c r="M336" s="7"/>
      <c r="N336" s="7"/>
      <c r="O336" s="7"/>
      <c r="P336" s="7"/>
      <c r="Q336" s="7"/>
      <c r="R336" s="7"/>
      <c r="S336" s="7"/>
    </row>
    <row r="337">
      <c r="A337" s="7" t="str">
        <f t="shared" si="1"/>
        <v>Gomez Altamirano , Pedro alejandro</v>
      </c>
      <c r="B337" s="7">
        <f>SUMIFS('bd caja'!$K$1:$K$1012,'bd caja'!$D$1:$D$1012,A337)</f>
        <v>0</v>
      </c>
      <c r="C337" s="19">
        <f>IFERROR(__xludf.DUMMYFUNCTION("""COMPUTED_VALUE"""),45217.32701521991)</f>
        <v>45217.32702</v>
      </c>
      <c r="D337" s="7" t="str">
        <f>IFERROR(__xludf.DUMMYFUNCTION("""COMPUTED_VALUE"""),"Gomez Altamirano ")</f>
        <v>Gomez Altamirano </v>
      </c>
      <c r="E337" s="7" t="str">
        <f>IFERROR(__xludf.DUMMYFUNCTION("""COMPUTED_VALUE"""),"Pedro alejandro")</f>
        <v>Pedro alejandro</v>
      </c>
      <c r="F337" s="7" t="str">
        <f>IFERROR(__xludf.DUMMYFUNCTION("""COMPUTED_VALUE"""),"Pedro.gomez@uccom.com.ar")</f>
        <v>Pedro.gomez@uccom.com.ar</v>
      </c>
      <c r="G337" s="20">
        <f>IFERROR(__xludf.DUMMYFUNCTION("""COMPUTED_VALUE"""),36280.0)</f>
        <v>36280</v>
      </c>
      <c r="H337" s="7">
        <f>IFERROR(__xludf.DUMMYFUNCTION("""COMPUTED_VALUE"""),4.1847449E7)</f>
        <v>41847449</v>
      </c>
      <c r="I337" s="7">
        <f>IFERROR(__xludf.DUMMYFUNCTION("""COMPUTED_VALUE"""),3.517696439E9)</f>
        <v>3517696439</v>
      </c>
      <c r="J337" s="7" t="str">
        <f>IFERROR(__xludf.DUMMYFUNCTION("""COMPUTED_VALUE"""),"Recomendación")</f>
        <v>Recomendación</v>
      </c>
      <c r="K337" s="7" t="str">
        <f>IFERROR(__xludf.DUMMYFUNCTION("""COMPUTED_VALUE"""),"Obra social")</f>
        <v>Obra social</v>
      </c>
      <c r="L337" s="7" t="str">
        <f>IFERROR(__xludf.DUMMYFUNCTION("""COMPUTED_VALUE"""),"PREVENCIÓN")</f>
        <v>PREVENCIÓN</v>
      </c>
      <c r="M337" s="7"/>
      <c r="N337" s="7"/>
      <c r="O337" s="7"/>
      <c r="P337" s="7"/>
      <c r="Q337" s="7"/>
      <c r="R337" s="7"/>
      <c r="S337" s="7"/>
    </row>
    <row r="338">
      <c r="A338" s="7" t="str">
        <f t="shared" si="1"/>
        <v>Costa Sanchez, Virginia</v>
      </c>
      <c r="B338" s="7">
        <f>SUMIFS('bd caja'!$K$1:$K$1012,'bd caja'!$D$1:$D$1012,A338)</f>
        <v>0</v>
      </c>
      <c r="C338" s="19">
        <f>IFERROR(__xludf.DUMMYFUNCTION("""COMPUTED_VALUE"""),45217.629196435184)</f>
        <v>45217.6292</v>
      </c>
      <c r="D338" s="7" t="str">
        <f>IFERROR(__xludf.DUMMYFUNCTION("""COMPUTED_VALUE"""),"Costa Sanchez")</f>
        <v>Costa Sanchez</v>
      </c>
      <c r="E338" s="7" t="str">
        <f>IFERROR(__xludf.DUMMYFUNCTION("""COMPUTED_VALUE"""),"Virginia")</f>
        <v>Virginia</v>
      </c>
      <c r="F338" s="7" t="str">
        <f>IFERROR(__xludf.DUMMYFUNCTION("""COMPUTED_VALUE"""),"elusolsan@gmail.com")</f>
        <v>elusolsan@gmail.com</v>
      </c>
      <c r="G338" s="20">
        <f>IFERROR(__xludf.DUMMYFUNCTION("""COMPUTED_VALUE"""),39860.0)</f>
        <v>39860</v>
      </c>
      <c r="H338" s="7">
        <f>IFERROR(__xludf.DUMMYFUNCTION("""COMPUTED_VALUE"""),4.7907906E7)</f>
        <v>47907906</v>
      </c>
      <c r="I338" s="7">
        <f>IFERROR(__xludf.DUMMYFUNCTION("""COMPUTED_VALUE"""),3.5166192E9)</f>
        <v>3516619200</v>
      </c>
      <c r="J338" s="7" t="str">
        <f>IFERROR(__xludf.DUMMYFUNCTION("""COMPUTED_VALUE"""),"Google")</f>
        <v>Google</v>
      </c>
      <c r="K338" s="7" t="str">
        <f>IFERROR(__xludf.DUMMYFUNCTION("""COMPUTED_VALUE"""),"Obra social")</f>
        <v>Obra social</v>
      </c>
      <c r="L338" s="7" t="str">
        <f>IFERROR(__xludf.DUMMYFUNCTION("""COMPUTED_VALUE"""),"APROSS")</f>
        <v>APROSS</v>
      </c>
      <c r="M338" s="7"/>
      <c r="N338" s="7"/>
      <c r="O338" s="7"/>
      <c r="P338" s="7"/>
      <c r="Q338" s="7"/>
      <c r="R338" s="7"/>
      <c r="S338" s="7"/>
    </row>
    <row r="339">
      <c r="A339" s="7" t="str">
        <f t="shared" si="1"/>
        <v>Spataro , Alejandro Pedro </v>
      </c>
      <c r="B339" s="7">
        <f>SUMIFS('bd caja'!$K$1:$K$1012,'bd caja'!$D$1:$D$1012,A339)</f>
        <v>0</v>
      </c>
      <c r="C339" s="19">
        <f>IFERROR(__xludf.DUMMYFUNCTION("""COMPUTED_VALUE"""),45217.703305243056)</f>
        <v>45217.70331</v>
      </c>
      <c r="D339" s="7" t="str">
        <f>IFERROR(__xludf.DUMMYFUNCTION("""COMPUTED_VALUE"""),"Spataro ")</f>
        <v>Spataro </v>
      </c>
      <c r="E339" s="7" t="str">
        <f>IFERROR(__xludf.DUMMYFUNCTION("""COMPUTED_VALUE"""),"Alejandro Pedro ")</f>
        <v>Alejandro Pedro </v>
      </c>
      <c r="F339" s="7" t="str">
        <f>IFERROR(__xludf.DUMMYFUNCTION("""COMPUTED_VALUE"""),"apspataro@yahoo.com.ar")</f>
        <v>apspataro@yahoo.com.ar</v>
      </c>
      <c r="G339" s="20">
        <f>IFERROR(__xludf.DUMMYFUNCTION("""COMPUTED_VALUE"""),21795.0)</f>
        <v>21795</v>
      </c>
      <c r="H339" s="7">
        <f>IFERROR(__xludf.DUMMYFUNCTION("""COMPUTED_VALUE"""),1.3538782E7)</f>
        <v>13538782</v>
      </c>
      <c r="I339" s="7">
        <f>IFERROR(__xludf.DUMMYFUNCTION("""COMPUTED_VALUE"""),3.51533913E9)</f>
        <v>3515339130</v>
      </c>
      <c r="J339" s="7" t="str">
        <f>IFERROR(__xludf.DUMMYFUNCTION("""COMPUTED_VALUE"""),"Recomendación")</f>
        <v>Recomendación</v>
      </c>
      <c r="K339" s="7" t="str">
        <f>IFERROR(__xludf.DUMMYFUNCTION("""COMPUTED_VALUE"""),"Particular")</f>
        <v>Particular</v>
      </c>
      <c r="L339" s="7"/>
      <c r="M339" s="7"/>
      <c r="N339" s="7"/>
      <c r="O339" s="7"/>
      <c r="P339" s="7"/>
      <c r="Q339" s="7"/>
      <c r="R339" s="7"/>
      <c r="S339" s="7"/>
    </row>
    <row r="340">
      <c r="A340" s="7" t="str">
        <f t="shared" si="1"/>
        <v>Leiva, Viviana</v>
      </c>
      <c r="B340" s="7">
        <f>SUMIFS('bd caja'!$K$1:$K$1012,'bd caja'!$D$1:$D$1012,A340)</f>
        <v>0</v>
      </c>
      <c r="C340" s="19">
        <f>IFERROR(__xludf.DUMMYFUNCTION("""COMPUTED_VALUE"""),45217.78222059028)</f>
        <v>45217.78222</v>
      </c>
      <c r="D340" s="7" t="str">
        <f>IFERROR(__xludf.DUMMYFUNCTION("""COMPUTED_VALUE"""),"Leiva")</f>
        <v>Leiva</v>
      </c>
      <c r="E340" s="7" t="str">
        <f>IFERROR(__xludf.DUMMYFUNCTION("""COMPUTED_VALUE"""),"Viviana")</f>
        <v>Viviana</v>
      </c>
      <c r="F340" s="7" t="str">
        <f>IFERROR(__xludf.DUMMYFUNCTION("""COMPUTED_VALUE"""),"vivi_leiva75@hotmail.com")</f>
        <v>vivi_leiva75@hotmail.com</v>
      </c>
      <c r="G340" s="20">
        <f>IFERROR(__xludf.DUMMYFUNCTION("""COMPUTED_VALUE"""),27475.0)</f>
        <v>27475</v>
      </c>
      <c r="H340" s="7">
        <f>IFERROR(__xludf.DUMMYFUNCTION("""COMPUTED_VALUE"""),2.4385262E7)</f>
        <v>24385262</v>
      </c>
      <c r="I340" s="7">
        <f>IFERROR(__xludf.DUMMYFUNCTION("""COMPUTED_VALUE"""),3.515155206E9)</f>
        <v>3515155206</v>
      </c>
      <c r="J340" s="7" t="str">
        <f>IFERROR(__xludf.DUMMYFUNCTION("""COMPUTED_VALUE"""),"Recomendación")</f>
        <v>Recomendación</v>
      </c>
      <c r="K340" s="7" t="str">
        <f>IFERROR(__xludf.DUMMYFUNCTION("""COMPUTED_VALUE"""),"Obra social")</f>
        <v>Obra social</v>
      </c>
      <c r="L340" s="7" t="str">
        <f>IFERROR(__xludf.DUMMYFUNCTION("""COMPUTED_VALUE"""),"APROSS")</f>
        <v>APROSS</v>
      </c>
      <c r="M340" s="7"/>
      <c r="N340" s="7"/>
      <c r="O340" s="7"/>
      <c r="P340" s="7"/>
      <c r="Q340" s="7"/>
      <c r="R340" s="7"/>
      <c r="S340" s="7"/>
    </row>
    <row r="341">
      <c r="A341" s="7" t="str">
        <f t="shared" si="1"/>
        <v>Scott, William</v>
      </c>
      <c r="B341" s="7">
        <f>SUMIFS('bd caja'!$K$1:$K$1012,'bd caja'!$D$1:$D$1012,A341)</f>
        <v>0</v>
      </c>
      <c r="C341" s="19">
        <f>IFERROR(__xludf.DUMMYFUNCTION("""COMPUTED_VALUE"""),45218.50253300926)</f>
        <v>45218.50253</v>
      </c>
      <c r="D341" s="7" t="str">
        <f>IFERROR(__xludf.DUMMYFUNCTION("""COMPUTED_VALUE"""),"Scott")</f>
        <v>Scott</v>
      </c>
      <c r="E341" s="7" t="str">
        <f>IFERROR(__xludf.DUMMYFUNCTION("""COMPUTED_VALUE"""),"William")</f>
        <v>William</v>
      </c>
      <c r="F341" s="7" t="str">
        <f>IFERROR(__xludf.DUMMYFUNCTION("""COMPUTED_VALUE"""),"achalay12@gmail.com")</f>
        <v>achalay12@gmail.com</v>
      </c>
      <c r="G341" s="20">
        <f>IFERROR(__xludf.DUMMYFUNCTION("""COMPUTED_VALUE"""),31149.0)</f>
        <v>31149</v>
      </c>
      <c r="H341" s="7">
        <f>IFERROR(__xludf.DUMMYFUNCTION("""COMPUTED_VALUE"""),3.1652601E7)</f>
        <v>31652601</v>
      </c>
      <c r="I341" s="7">
        <f>IFERROR(__xludf.DUMMYFUNCTION("""COMPUTED_VALUE"""),3.516724499E9)</f>
        <v>3516724499</v>
      </c>
      <c r="J341" s="7" t="str">
        <f>IFERROR(__xludf.DUMMYFUNCTION("""COMPUTED_VALUE"""),"Google")</f>
        <v>Google</v>
      </c>
      <c r="K341" s="7" t="str">
        <f>IFERROR(__xludf.DUMMYFUNCTION("""COMPUTED_VALUE"""),"Particular")</f>
        <v>Particular</v>
      </c>
      <c r="L341" s="7"/>
      <c r="M341" s="7"/>
      <c r="N341" s="7"/>
      <c r="O341" s="7"/>
      <c r="P341" s="7"/>
      <c r="Q341" s="7"/>
      <c r="R341" s="7"/>
      <c r="S341" s="7"/>
    </row>
    <row r="342">
      <c r="A342" s="7" t="str">
        <f t="shared" si="1"/>
        <v>Gil Fiorenza, Alicia</v>
      </c>
      <c r="B342" s="7">
        <f>SUMIFS('bd caja'!$K$1:$K$1012,'bd caja'!$D$1:$D$1012,A342)</f>
        <v>0</v>
      </c>
      <c r="C342" s="19">
        <f>IFERROR(__xludf.DUMMYFUNCTION("""COMPUTED_VALUE"""),45218.70044888889)</f>
        <v>45218.70045</v>
      </c>
      <c r="D342" s="7" t="str">
        <f>IFERROR(__xludf.DUMMYFUNCTION("""COMPUTED_VALUE"""),"Gil Fiorenza")</f>
        <v>Gil Fiorenza</v>
      </c>
      <c r="E342" s="7" t="str">
        <f>IFERROR(__xludf.DUMMYFUNCTION("""COMPUTED_VALUE"""),"Alicia")</f>
        <v>Alicia</v>
      </c>
      <c r="F342" s="7" t="str">
        <f>IFERROR(__xludf.DUMMYFUNCTION("""COMPUTED_VALUE"""),"Aliciagilfiorenza@gmail.com")</f>
        <v>Aliciagilfiorenza@gmail.com</v>
      </c>
      <c r="G342" s="20">
        <f>IFERROR(__xludf.DUMMYFUNCTION("""COMPUTED_VALUE"""),21171.0)</f>
        <v>21171</v>
      </c>
      <c r="H342" s="7">
        <f>IFERROR(__xludf.DUMMYFUNCTION("""COMPUTED_VALUE"""),1.3820898E7)</f>
        <v>13820898</v>
      </c>
      <c r="I342" s="7">
        <f>IFERROR(__xludf.DUMMYFUNCTION("""COMPUTED_VALUE"""),3.517013688E9)</f>
        <v>3517013688</v>
      </c>
      <c r="J342" s="7" t="str">
        <f>IFERROR(__xludf.DUMMYFUNCTION("""COMPUTED_VALUE"""),"Google")</f>
        <v>Google</v>
      </c>
      <c r="K342" s="7" t="str">
        <f>IFERROR(__xludf.DUMMYFUNCTION("""COMPUTED_VALUE"""),"Obra social")</f>
        <v>Obra social</v>
      </c>
      <c r="L342" s="7" t="str">
        <f>IFERROR(__xludf.DUMMYFUNCTION("""COMPUTED_VALUE"""),"DASPU")</f>
        <v>DASPU</v>
      </c>
      <c r="M342" s="7"/>
      <c r="N342" s="7"/>
      <c r="O342" s="7"/>
      <c r="P342" s="7"/>
      <c r="Q342" s="7"/>
      <c r="R342" s="7"/>
      <c r="S342" s="7"/>
    </row>
    <row r="343">
      <c r="A343" s="7" t="str">
        <f t="shared" si="1"/>
        <v>Gomez , Alexis joel</v>
      </c>
      <c r="B343" s="7">
        <f>SUMIFS('bd caja'!$K$1:$K$1012,'bd caja'!$D$1:$D$1012,A343)</f>
        <v>0</v>
      </c>
      <c r="C343" s="19">
        <f>IFERROR(__xludf.DUMMYFUNCTION("""COMPUTED_VALUE"""),45218.83104767361)</f>
        <v>45218.83105</v>
      </c>
      <c r="D343" s="7" t="str">
        <f>IFERROR(__xludf.DUMMYFUNCTION("""COMPUTED_VALUE"""),"Gomez ")</f>
        <v>Gomez </v>
      </c>
      <c r="E343" s="7" t="str">
        <f>IFERROR(__xludf.DUMMYFUNCTION("""COMPUTED_VALUE"""),"Alexis joel")</f>
        <v>Alexis joel</v>
      </c>
      <c r="F343" s="7" t="str">
        <f>IFERROR(__xludf.DUMMYFUNCTION("""COMPUTED_VALUE"""),"Gomezalexisjoel200@gmail.com")</f>
        <v>Gomezalexisjoel200@gmail.com</v>
      </c>
      <c r="G343" s="20">
        <f>IFERROR(__xludf.DUMMYFUNCTION("""COMPUTED_VALUE"""),35149.0)</f>
        <v>35149</v>
      </c>
      <c r="H343" s="7">
        <f>IFERROR(__xludf.DUMMYFUNCTION("""COMPUTED_VALUE"""),3.9496246E7)</f>
        <v>39496246</v>
      </c>
      <c r="I343" s="7">
        <f>IFERROR(__xludf.DUMMYFUNCTION("""COMPUTED_VALUE"""),3.516014408E9)</f>
        <v>3516014408</v>
      </c>
      <c r="J343" s="7" t="str">
        <f>IFERROR(__xludf.DUMMYFUNCTION("""COMPUTED_VALUE"""),"Recomendación")</f>
        <v>Recomendación</v>
      </c>
      <c r="K343" s="7" t="str">
        <f>IFERROR(__xludf.DUMMYFUNCTION("""COMPUTED_VALUE"""),"Obra social")</f>
        <v>Obra social</v>
      </c>
      <c r="L343" s="7" t="str">
        <f>IFERROR(__xludf.DUMMYFUNCTION("""COMPUTED_VALUE"""),"PREVENCIÓN")</f>
        <v>PREVENCIÓN</v>
      </c>
      <c r="M343" s="7"/>
      <c r="N343" s="7"/>
      <c r="O343" s="7"/>
      <c r="P343" s="7"/>
      <c r="Q343" s="7"/>
      <c r="R343" s="7"/>
      <c r="S343" s="7"/>
    </row>
    <row r="344">
      <c r="A344" s="7" t="str">
        <f t="shared" si="1"/>
        <v>Salamone, Simon</v>
      </c>
      <c r="B344" s="7">
        <f>SUMIFS('bd caja'!$K$1:$K$1012,'bd caja'!$D$1:$D$1012,A344)</f>
        <v>0</v>
      </c>
      <c r="C344" s="19">
        <f>IFERROR(__xludf.DUMMYFUNCTION("""COMPUTED_VALUE"""),45219.637787824075)</f>
        <v>45219.63779</v>
      </c>
      <c r="D344" s="7" t="str">
        <f>IFERROR(__xludf.DUMMYFUNCTION("""COMPUTED_VALUE"""),"Salamone")</f>
        <v>Salamone</v>
      </c>
      <c r="E344" s="7" t="str">
        <f>IFERROR(__xludf.DUMMYFUNCTION("""COMPUTED_VALUE"""),"Simon")</f>
        <v>Simon</v>
      </c>
      <c r="F344" s="7" t="str">
        <f>IFERROR(__xludf.DUMMYFUNCTION("""COMPUTED_VALUE"""),"timisalamone_92@hotmail.com")</f>
        <v>timisalamone_92@hotmail.com</v>
      </c>
      <c r="G344" s="20">
        <f>IFERROR(__xludf.DUMMYFUNCTION("""COMPUTED_VALUE"""),33760.0)</f>
        <v>33760</v>
      </c>
      <c r="H344" s="7">
        <f>IFERROR(__xludf.DUMMYFUNCTION("""COMPUTED_VALUE"""),3.6431262E7)</f>
        <v>36431262</v>
      </c>
      <c r="I344" s="7">
        <f>IFERROR(__xludf.DUMMYFUNCTION("""COMPUTED_VALUE"""),3.513515911E9)</f>
        <v>3513515911</v>
      </c>
      <c r="J344" s="7" t="str">
        <f>IFERROR(__xludf.DUMMYFUNCTION("""COMPUTED_VALUE"""),"Voy al gym Manantial")</f>
        <v>Voy al gym Manantial</v>
      </c>
      <c r="K344" s="7" t="str">
        <f>IFERROR(__xludf.DUMMYFUNCTION("""COMPUTED_VALUE"""),"Particular")</f>
        <v>Particular</v>
      </c>
      <c r="L344" s="7"/>
      <c r="M344" s="7"/>
      <c r="N344" s="7"/>
      <c r="O344" s="7"/>
      <c r="P344" s="7"/>
      <c r="Q344" s="7"/>
      <c r="R344" s="7"/>
      <c r="S344" s="7"/>
    </row>
    <row r="345">
      <c r="A345" s="7" t="str">
        <f t="shared" si="1"/>
        <v>Bordino, Alvaro</v>
      </c>
      <c r="B345" s="7">
        <f>SUMIFS('bd caja'!$K$1:$K$1012,'bd caja'!$D$1:$D$1012,A345)</f>
        <v>0</v>
      </c>
      <c r="C345" s="19">
        <f>IFERROR(__xludf.DUMMYFUNCTION("""COMPUTED_VALUE"""),45219.77980517361)</f>
        <v>45219.77981</v>
      </c>
      <c r="D345" s="7" t="str">
        <f>IFERROR(__xludf.DUMMYFUNCTION("""COMPUTED_VALUE"""),"Bordino")</f>
        <v>Bordino</v>
      </c>
      <c r="E345" s="7" t="str">
        <f>IFERROR(__xludf.DUMMYFUNCTION("""COMPUTED_VALUE"""),"Alvaro")</f>
        <v>Alvaro</v>
      </c>
      <c r="F345" s="7" t="str">
        <f>IFERROR(__xludf.DUMMYFUNCTION("""COMPUTED_VALUE"""),"Alvarobordino1995@gmail.com ")</f>
        <v>Alvarobordino1995@gmail.com </v>
      </c>
      <c r="G345" s="20">
        <f>IFERROR(__xludf.DUMMYFUNCTION("""COMPUTED_VALUE"""),34460.0)</f>
        <v>34460</v>
      </c>
      <c r="H345" s="7">
        <f>IFERROR(__xludf.DUMMYFUNCTION("""COMPUTED_VALUE"""),3.8183134E7)</f>
        <v>38183134</v>
      </c>
      <c r="I345" s="7">
        <f>IFERROR(__xludf.DUMMYFUNCTION("""COMPUTED_VALUE"""),3.51533772E9)</f>
        <v>3515337720</v>
      </c>
      <c r="J345" s="7" t="str">
        <f>IFERROR(__xludf.DUMMYFUNCTION("""COMPUTED_VALUE"""),"Instagram")</f>
        <v>Instagram</v>
      </c>
      <c r="K345" s="7" t="str">
        <f>IFERROR(__xludf.DUMMYFUNCTION("""COMPUTED_VALUE"""),"Particular")</f>
        <v>Particular</v>
      </c>
      <c r="L345" s="7"/>
      <c r="M345" s="7"/>
      <c r="N345" s="7"/>
      <c r="O345" s="7"/>
      <c r="P345" s="7"/>
      <c r="Q345" s="7"/>
      <c r="R345" s="7"/>
      <c r="S345" s="7"/>
    </row>
    <row r="346">
      <c r="A346" s="7" t="str">
        <f t="shared" si="1"/>
        <v>Bonsignore Daniele , Lourdes</v>
      </c>
      <c r="B346" s="7">
        <f>SUMIFS('bd caja'!$K$1:$K$1012,'bd caja'!$D$1:$D$1012,A346)</f>
        <v>0</v>
      </c>
      <c r="C346" s="19">
        <f>IFERROR(__xludf.DUMMYFUNCTION("""COMPUTED_VALUE"""),45223.68435145833)</f>
        <v>45223.68435</v>
      </c>
      <c r="D346" s="7" t="str">
        <f>IFERROR(__xludf.DUMMYFUNCTION("""COMPUTED_VALUE"""),"Bonsignore Daniele ")</f>
        <v>Bonsignore Daniele </v>
      </c>
      <c r="E346" s="7" t="str">
        <f>IFERROR(__xludf.DUMMYFUNCTION("""COMPUTED_VALUE"""),"Lourdes")</f>
        <v>Lourdes</v>
      </c>
      <c r="F346" s="7" t="str">
        <f>IFERROR(__xludf.DUMMYFUNCTION("""COMPUTED_VALUE"""),"Cristinadaniele76@gmail.com ")</f>
        <v>Cristinadaniele76@gmail.com </v>
      </c>
      <c r="G346" s="20">
        <f>IFERROR(__xludf.DUMMYFUNCTION("""COMPUTED_VALUE"""),40419.0)</f>
        <v>40419</v>
      </c>
      <c r="H346" s="7">
        <f>IFERROR(__xludf.DUMMYFUNCTION("""COMPUTED_VALUE"""),5.0421075E7)</f>
        <v>50421075</v>
      </c>
      <c r="I346" s="7">
        <f>IFERROR(__xludf.DUMMYFUNCTION("""COMPUTED_VALUE"""),3.515914755E9)</f>
        <v>3515914755</v>
      </c>
      <c r="J346" s="7" t="str">
        <f>IFERROR(__xludf.DUMMYFUNCTION("""COMPUTED_VALUE"""),"Recomendación")</f>
        <v>Recomendación</v>
      </c>
      <c r="K346" s="7" t="str">
        <f>IFERROR(__xludf.DUMMYFUNCTION("""COMPUTED_VALUE"""),"Obra social")</f>
        <v>Obra social</v>
      </c>
      <c r="L346" s="7" t="str">
        <f>IFERROR(__xludf.DUMMYFUNCTION("""COMPUTED_VALUE"""),"PREVENCIÓN")</f>
        <v>PREVENCIÓN</v>
      </c>
      <c r="M346" s="7"/>
      <c r="N346" s="7"/>
      <c r="O346" s="7"/>
      <c r="P346" s="7"/>
      <c r="Q346" s="7"/>
      <c r="R346" s="7"/>
      <c r="S346" s="7"/>
    </row>
    <row r="347">
      <c r="A347" s="7" t="str">
        <f t="shared" si="1"/>
        <v>Lavayen, Agustin</v>
      </c>
      <c r="B347" s="7">
        <f>SUMIFS('bd caja'!$K$1:$K$1012,'bd caja'!$D$1:$D$1012,A347)</f>
        <v>0</v>
      </c>
      <c r="C347" s="19">
        <f>IFERROR(__xludf.DUMMYFUNCTION("""COMPUTED_VALUE"""),45225.726758564815)</f>
        <v>45225.72676</v>
      </c>
      <c r="D347" s="7" t="str">
        <f>IFERROR(__xludf.DUMMYFUNCTION("""COMPUTED_VALUE"""),"Lavayen")</f>
        <v>Lavayen</v>
      </c>
      <c r="E347" s="7" t="str">
        <f>IFERROR(__xludf.DUMMYFUNCTION("""COMPUTED_VALUE"""),"Agustin")</f>
        <v>Agustin</v>
      </c>
      <c r="F347" s="7" t="str">
        <f>IFERROR(__xludf.DUMMYFUNCTION("""COMPUTED_VALUE"""),"aguslavayen@hotmail.com")</f>
        <v>aguslavayen@hotmail.com</v>
      </c>
      <c r="G347" s="20">
        <f>IFERROR(__xludf.DUMMYFUNCTION("""COMPUTED_VALUE"""),34452.0)</f>
        <v>34452</v>
      </c>
      <c r="H347" s="7">
        <f>IFERROR(__xludf.DUMMYFUNCTION("""COMPUTED_VALUE"""),3.8180399E7)</f>
        <v>38180399</v>
      </c>
      <c r="I347" s="7">
        <f>IFERROR(__xludf.DUMMYFUNCTION("""COMPUTED_VALUE"""),3.516811228E9)</f>
        <v>3516811228</v>
      </c>
      <c r="J347" s="7" t="str">
        <f>IFERROR(__xludf.DUMMYFUNCTION("""COMPUTED_VALUE"""),"Recomendación")</f>
        <v>Recomendación</v>
      </c>
      <c r="K347" s="7" t="str">
        <f>IFERROR(__xludf.DUMMYFUNCTION("""COMPUTED_VALUE"""),"Particular")</f>
        <v>Particular</v>
      </c>
      <c r="L347" s="7"/>
      <c r="M347" s="7"/>
      <c r="N347" s="7"/>
      <c r="O347" s="7"/>
      <c r="P347" s="7"/>
      <c r="Q347" s="7"/>
      <c r="R347" s="7"/>
      <c r="S347" s="7"/>
    </row>
    <row r="348">
      <c r="A348" s="7" t="str">
        <f t="shared" si="1"/>
        <v>Reyna, Cristian Nicolas</v>
      </c>
      <c r="B348" s="7">
        <f>SUMIFS('bd caja'!$K$1:$K$1012,'bd caja'!$D$1:$D$1012,A348)</f>
        <v>0</v>
      </c>
      <c r="C348" s="19">
        <f>IFERROR(__xludf.DUMMYFUNCTION("""COMPUTED_VALUE"""),45226.42895699074)</f>
        <v>45226.42896</v>
      </c>
      <c r="D348" s="7" t="str">
        <f>IFERROR(__xludf.DUMMYFUNCTION("""COMPUTED_VALUE"""),"Reyna")</f>
        <v>Reyna</v>
      </c>
      <c r="E348" s="7" t="str">
        <f>IFERROR(__xludf.DUMMYFUNCTION("""COMPUTED_VALUE"""),"Cristian Nicolas")</f>
        <v>Cristian Nicolas</v>
      </c>
      <c r="F348" s="7" t="str">
        <f>IFERROR(__xludf.DUMMYFUNCTION("""COMPUTED_VALUE"""),"reynacristian863@gmail.com")</f>
        <v>reynacristian863@gmail.com</v>
      </c>
      <c r="G348" s="20">
        <f>IFERROR(__xludf.DUMMYFUNCTION("""COMPUTED_VALUE"""),27171.0)</f>
        <v>27171</v>
      </c>
      <c r="H348" s="7">
        <f>IFERROR(__xludf.DUMMYFUNCTION("""COMPUTED_VALUE"""),2.3763777E7)</f>
        <v>23763777</v>
      </c>
      <c r="I348" s="7">
        <f>IFERROR(__xludf.DUMMYFUNCTION("""COMPUTED_VALUE"""),3.516629076E9)</f>
        <v>3516629076</v>
      </c>
      <c r="J348" s="7" t="str">
        <f>IFERROR(__xludf.DUMMYFUNCTION("""COMPUTED_VALUE"""),"Recomendación")</f>
        <v>Recomendación</v>
      </c>
      <c r="K348" s="7" t="str">
        <f>IFERROR(__xludf.DUMMYFUNCTION("""COMPUTED_VALUE"""),"Obra social")</f>
        <v>Obra social</v>
      </c>
      <c r="L348" s="7" t="str">
        <f>IFERROR(__xludf.DUMMYFUNCTION("""COMPUTED_VALUE"""),"APROSS")</f>
        <v>APROSS</v>
      </c>
      <c r="M348" s="7"/>
      <c r="N348" s="7"/>
      <c r="O348" s="7"/>
      <c r="P348" s="7"/>
      <c r="Q348" s="7"/>
      <c r="R348" s="7"/>
      <c r="S348" s="7"/>
    </row>
    <row r="349">
      <c r="A349" s="7" t="str">
        <f t="shared" si="1"/>
        <v>Roch, Florencia</v>
      </c>
      <c r="B349" s="7">
        <f>SUMIFS('bd caja'!$K$1:$K$1012,'bd caja'!$D$1:$D$1012,A349)</f>
        <v>0</v>
      </c>
      <c r="C349" s="19">
        <f>IFERROR(__xludf.DUMMYFUNCTION("""COMPUTED_VALUE"""),45226.80347101852)</f>
        <v>45226.80347</v>
      </c>
      <c r="D349" s="7" t="str">
        <f>IFERROR(__xludf.DUMMYFUNCTION("""COMPUTED_VALUE"""),"Roch")</f>
        <v>Roch</v>
      </c>
      <c r="E349" s="7" t="str">
        <f>IFERROR(__xludf.DUMMYFUNCTION("""COMPUTED_VALUE"""),"Florencia")</f>
        <v>Florencia</v>
      </c>
      <c r="F349" s="7" t="str">
        <f>IFERROR(__xludf.DUMMYFUNCTION("""COMPUTED_VALUE"""),"flor_roch@hotmail.com")</f>
        <v>flor_roch@hotmail.com</v>
      </c>
      <c r="G349" s="20">
        <f>IFERROR(__xludf.DUMMYFUNCTION("""COMPUTED_VALUE"""),28871.0)</f>
        <v>28871</v>
      </c>
      <c r="H349" s="7">
        <f>IFERROR(__xludf.DUMMYFUNCTION("""COMPUTED_VALUE"""),2.7077968E7)</f>
        <v>27077968</v>
      </c>
      <c r="I349" s="7">
        <f>IFERROR(__xludf.DUMMYFUNCTION("""COMPUTED_VALUE"""),3.51384274E9)</f>
        <v>3513842740</v>
      </c>
      <c r="J349" s="7" t="str">
        <f>IFERROR(__xludf.DUMMYFUNCTION("""COMPUTED_VALUE"""),"Recomendación")</f>
        <v>Recomendación</v>
      </c>
      <c r="K349" s="7" t="str">
        <f>IFERROR(__xludf.DUMMYFUNCTION("""COMPUTED_VALUE"""),"Obra social")</f>
        <v>Obra social</v>
      </c>
      <c r="L349" s="7" t="str">
        <f>IFERROR(__xludf.DUMMYFUNCTION("""COMPUTED_VALUE"""),"APROSS")</f>
        <v>APROSS</v>
      </c>
      <c r="M349" s="7"/>
      <c r="N349" s="7"/>
      <c r="O349" s="7"/>
      <c r="P349" s="7"/>
      <c r="Q349" s="7"/>
      <c r="R349" s="7"/>
      <c r="S349" s="7"/>
    </row>
    <row r="350">
      <c r="A350" s="7" t="str">
        <f t="shared" si="1"/>
        <v>Paolini, Wendy</v>
      </c>
      <c r="B350" s="7">
        <f>SUMIFS('bd caja'!$K$1:$K$1012,'bd caja'!$D$1:$D$1012,A350)</f>
        <v>0</v>
      </c>
      <c r="C350" s="19">
        <f>IFERROR(__xludf.DUMMYFUNCTION("""COMPUTED_VALUE"""),45229.41486579861)</f>
        <v>45229.41487</v>
      </c>
      <c r="D350" s="7" t="str">
        <f>IFERROR(__xludf.DUMMYFUNCTION("""COMPUTED_VALUE"""),"Paolini")</f>
        <v>Paolini</v>
      </c>
      <c r="E350" s="7" t="str">
        <f>IFERROR(__xludf.DUMMYFUNCTION("""COMPUTED_VALUE"""),"Wendy")</f>
        <v>Wendy</v>
      </c>
      <c r="F350" s="7" t="str">
        <f>IFERROR(__xludf.DUMMYFUNCTION("""COMPUTED_VALUE"""),"wen.199@hotmail.com")</f>
        <v>wen.199@hotmail.com</v>
      </c>
      <c r="G350" s="20">
        <f>IFERROR(__xludf.DUMMYFUNCTION("""COMPUTED_VALUE"""),45178.0)</f>
        <v>45178</v>
      </c>
      <c r="H350" s="7">
        <f>IFERROR(__xludf.DUMMYFUNCTION("""COMPUTED_VALUE"""),1.7842334E7)</f>
        <v>17842334</v>
      </c>
      <c r="I350" s="7">
        <f>IFERROR(__xludf.DUMMYFUNCTION("""COMPUTED_VALUE"""),3.515946901E9)</f>
        <v>3515946901</v>
      </c>
      <c r="J350" s="7" t="str">
        <f>IFERROR(__xludf.DUMMYFUNCTION("""COMPUTED_VALUE"""),"Recomendación")</f>
        <v>Recomendación</v>
      </c>
      <c r="K350" s="7" t="str">
        <f>IFERROR(__xludf.DUMMYFUNCTION("""COMPUTED_VALUE"""),"Obra social")</f>
        <v>Obra social</v>
      </c>
      <c r="L350" s="7" t="str">
        <f>IFERROR(__xludf.DUMMYFUNCTION("""COMPUTED_VALUE"""),"APROSS")</f>
        <v>APROSS</v>
      </c>
      <c r="M350" s="7"/>
      <c r="N350" s="7"/>
      <c r="O350" s="7"/>
      <c r="P350" s="7"/>
      <c r="Q350" s="7"/>
      <c r="R350" s="7"/>
      <c r="S350" s="7"/>
    </row>
    <row r="351">
      <c r="A351" s="7" t="str">
        <f t="shared" si="1"/>
        <v>ZALAZAR , Jorge Andres</v>
      </c>
      <c r="B351" s="7">
        <f>SUMIFS('bd caja'!$K$1:$K$1012,'bd caja'!$D$1:$D$1012,A351)</f>
        <v>0</v>
      </c>
      <c r="C351" s="19">
        <f>IFERROR(__xludf.DUMMYFUNCTION("""COMPUTED_VALUE"""),45229.42261836806)</f>
        <v>45229.42262</v>
      </c>
      <c r="D351" s="7" t="str">
        <f>IFERROR(__xludf.DUMMYFUNCTION("""COMPUTED_VALUE"""),"ZALAZAR ")</f>
        <v>ZALAZAR </v>
      </c>
      <c r="E351" s="7" t="str">
        <f>IFERROR(__xludf.DUMMYFUNCTION("""COMPUTED_VALUE"""),"Jorge Andres")</f>
        <v>Jorge Andres</v>
      </c>
      <c r="F351" s="7" t="str">
        <f>IFERROR(__xludf.DUMMYFUNCTION("""COMPUTED_VALUE"""),"fz_sh@live.com.ar")</f>
        <v>fz_sh@live.com.ar</v>
      </c>
      <c r="G351" s="20">
        <f>IFERROR(__xludf.DUMMYFUNCTION("""COMPUTED_VALUE"""),30487.0)</f>
        <v>30487</v>
      </c>
      <c r="H351" s="7">
        <f>IFERROR(__xludf.DUMMYFUNCTION("""COMPUTED_VALUE"""),3.0234133E7)</f>
        <v>30234133</v>
      </c>
      <c r="I351" s="7">
        <f>IFERROR(__xludf.DUMMYFUNCTION("""COMPUTED_VALUE"""),3.518100318E9)</f>
        <v>3518100318</v>
      </c>
      <c r="J351" s="7" t="str">
        <f>IFERROR(__xludf.DUMMYFUNCTION("""COMPUTED_VALUE"""),"Recomendación")</f>
        <v>Recomendación</v>
      </c>
      <c r="K351" s="7" t="str">
        <f>IFERROR(__xludf.DUMMYFUNCTION("""COMPUTED_VALUE"""),"Particular")</f>
        <v>Particular</v>
      </c>
      <c r="L351" s="7"/>
      <c r="M351" s="7"/>
      <c r="N351" s="7"/>
      <c r="O351" s="7"/>
      <c r="P351" s="7"/>
      <c r="Q351" s="7"/>
      <c r="R351" s="7"/>
      <c r="S351" s="7"/>
    </row>
    <row r="352">
      <c r="A352" s="7" t="str">
        <f t="shared" si="1"/>
        <v>Dorflinger , Karina</v>
      </c>
      <c r="B352" s="7">
        <f>SUMIFS('bd caja'!$K$1:$K$1012,'bd caja'!$D$1:$D$1012,A352)</f>
        <v>0</v>
      </c>
      <c r="C352" s="19">
        <f>IFERROR(__xludf.DUMMYFUNCTION("""COMPUTED_VALUE"""),45229.58670703704)</f>
        <v>45229.58671</v>
      </c>
      <c r="D352" s="7" t="str">
        <f>IFERROR(__xludf.DUMMYFUNCTION("""COMPUTED_VALUE"""),"Dorflinger ")</f>
        <v>Dorflinger </v>
      </c>
      <c r="E352" s="7" t="str">
        <f>IFERROR(__xludf.DUMMYFUNCTION("""COMPUTED_VALUE"""),"Karina")</f>
        <v>Karina</v>
      </c>
      <c r="F352" s="7"/>
      <c r="G352" s="20">
        <f>IFERROR(__xludf.DUMMYFUNCTION("""COMPUTED_VALUE"""),31824.0)</f>
        <v>31824</v>
      </c>
      <c r="H352" s="7">
        <f>IFERROR(__xludf.DUMMYFUNCTION("""COMPUTED_VALUE"""),3.2786876E7)</f>
        <v>32786876</v>
      </c>
      <c r="I352" s="7">
        <f>IFERROR(__xludf.DUMMYFUNCTION("""COMPUTED_VALUE"""),3.512037904E9)</f>
        <v>3512037904</v>
      </c>
      <c r="J352" s="7" t="str">
        <f>IFERROR(__xludf.DUMMYFUNCTION("""COMPUTED_VALUE"""),"Cartilla Obra Social")</f>
        <v>Cartilla Obra Social</v>
      </c>
      <c r="K352" s="7" t="str">
        <f>IFERROR(__xludf.DUMMYFUNCTION("""COMPUTED_VALUE"""),"Obra social")</f>
        <v>Obra social</v>
      </c>
      <c r="L352" s="7" t="str">
        <f>IFERROR(__xludf.DUMMYFUNCTION("""COMPUTED_VALUE"""),"DASPU")</f>
        <v>DASPU</v>
      </c>
      <c r="M352" s="7"/>
      <c r="N352" s="7"/>
      <c r="O352" s="7"/>
      <c r="P352" s="7"/>
      <c r="Q352" s="7"/>
      <c r="R352" s="7"/>
      <c r="S352" s="7"/>
    </row>
    <row r="353">
      <c r="A353" s="7" t="str">
        <f t="shared" si="1"/>
        <v>Genth, Susana </v>
      </c>
      <c r="B353" s="7">
        <f>SUMIFS('bd caja'!$K$1:$K$1012,'bd caja'!$D$1:$D$1012,A353)</f>
        <v>0</v>
      </c>
      <c r="C353" s="19">
        <f>IFERROR(__xludf.DUMMYFUNCTION("""COMPUTED_VALUE"""),45229.79177858796)</f>
        <v>45229.79178</v>
      </c>
      <c r="D353" s="7" t="str">
        <f>IFERROR(__xludf.DUMMYFUNCTION("""COMPUTED_VALUE"""),"Genth")</f>
        <v>Genth</v>
      </c>
      <c r="E353" s="7" t="str">
        <f>IFERROR(__xludf.DUMMYFUNCTION("""COMPUTED_VALUE"""),"Susana ")</f>
        <v>Susana </v>
      </c>
      <c r="F353" s="7" t="str">
        <f>IFERROR(__xludf.DUMMYFUNCTION("""COMPUTED_VALUE"""),"susygenth@gmail.com")</f>
        <v>susygenth@gmail.com</v>
      </c>
      <c r="G353" s="20">
        <f>IFERROR(__xludf.DUMMYFUNCTION("""COMPUTED_VALUE"""),20011.0)</f>
        <v>20011</v>
      </c>
      <c r="H353" s="7">
        <f>IFERROR(__xludf.DUMMYFUNCTION("""COMPUTED_VALUE"""),1.119077E7)</f>
        <v>11190770</v>
      </c>
      <c r="I353" s="7">
        <f>IFERROR(__xludf.DUMMYFUNCTION("""COMPUTED_VALUE"""),3.516187661E9)</f>
        <v>3516187661</v>
      </c>
      <c r="J353" s="7" t="str">
        <f>IFERROR(__xludf.DUMMYFUNCTION("""COMPUTED_VALUE"""),"Recomendación")</f>
        <v>Recomendación</v>
      </c>
      <c r="K353" s="7" t="str">
        <f>IFERROR(__xludf.DUMMYFUNCTION("""COMPUTED_VALUE"""),"Obra social")</f>
        <v>Obra social</v>
      </c>
      <c r="L353" s="7" t="str">
        <f>IFERROR(__xludf.DUMMYFUNCTION("""COMPUTED_VALUE"""),"APROSS")</f>
        <v>APROSS</v>
      </c>
      <c r="M353" s="7"/>
      <c r="N353" s="7"/>
      <c r="O353" s="7"/>
      <c r="P353" s="7"/>
      <c r="Q353" s="7"/>
      <c r="R353" s="7"/>
      <c r="S353" s="7"/>
    </row>
    <row r="354">
      <c r="A354" s="7" t="str">
        <f t="shared" si="1"/>
        <v>Ford, Estela nora</v>
      </c>
      <c r="B354" s="7">
        <f>SUMIFS('bd caja'!$K$1:$K$1012,'bd caja'!$D$1:$D$1012,A354)</f>
        <v>0</v>
      </c>
      <c r="C354" s="19">
        <f>IFERROR(__xludf.DUMMYFUNCTION("""COMPUTED_VALUE"""),45230.52123333333)</f>
        <v>45230.52123</v>
      </c>
      <c r="D354" s="7" t="str">
        <f>IFERROR(__xludf.DUMMYFUNCTION("""COMPUTED_VALUE"""),"Ford")</f>
        <v>Ford</v>
      </c>
      <c r="E354" s="7" t="str">
        <f>IFERROR(__xludf.DUMMYFUNCTION("""COMPUTED_VALUE"""),"Estela nora")</f>
        <v>Estela nora</v>
      </c>
      <c r="F354" s="7" t="str">
        <f>IFERROR(__xludf.DUMMYFUNCTION("""COMPUTED_VALUE"""),"estelaford@hotmail.com")</f>
        <v>estelaford@hotmail.com</v>
      </c>
      <c r="G354" s="20">
        <f>IFERROR(__xludf.DUMMYFUNCTION("""COMPUTED_VALUE"""),-675754.0)</f>
        <v>-675754</v>
      </c>
      <c r="H354" s="7">
        <f>IFERROR(__xludf.DUMMYFUNCTION("""COMPUTED_VALUE"""),6155643.0)</f>
        <v>6155643</v>
      </c>
      <c r="I354" s="7">
        <f>IFERROR(__xludf.DUMMYFUNCTION("""COMPUTED_VALUE"""),3.513220214E9)</f>
        <v>3513220214</v>
      </c>
      <c r="J354" s="7" t="str">
        <f>IFERROR(__xludf.DUMMYFUNCTION("""COMPUTED_VALUE"""),"Recomendación")</f>
        <v>Recomendación</v>
      </c>
      <c r="K354" s="7" t="str">
        <f>IFERROR(__xludf.DUMMYFUNCTION("""COMPUTED_VALUE"""),"Obra social")</f>
        <v>Obra social</v>
      </c>
      <c r="L354" s="7" t="str">
        <f>IFERROR(__xludf.DUMMYFUNCTION("""COMPUTED_VALUE"""),"APROSS")</f>
        <v>APROSS</v>
      </c>
      <c r="M354" s="7"/>
      <c r="N354" s="7"/>
      <c r="O354" s="7"/>
      <c r="P354" s="7"/>
      <c r="Q354" s="7"/>
      <c r="R354" s="7"/>
      <c r="S354" s="7"/>
    </row>
    <row r="355">
      <c r="A355" s="7" t="str">
        <f t="shared" si="1"/>
        <v>Salvatierra, Jesica</v>
      </c>
      <c r="B355" s="7">
        <f>SUMIFS('bd caja'!$K$1:$K$1012,'bd caja'!$D$1:$D$1012,A355)</f>
        <v>0</v>
      </c>
      <c r="C355" s="19">
        <f>IFERROR(__xludf.DUMMYFUNCTION("""COMPUTED_VALUE"""),45230.71312082176)</f>
        <v>45230.71312</v>
      </c>
      <c r="D355" s="7" t="str">
        <f>IFERROR(__xludf.DUMMYFUNCTION("""COMPUTED_VALUE"""),"Salvatierra")</f>
        <v>Salvatierra</v>
      </c>
      <c r="E355" s="7" t="str">
        <f>IFERROR(__xludf.DUMMYFUNCTION("""COMPUTED_VALUE"""),"Jesica")</f>
        <v>Jesica</v>
      </c>
      <c r="F355" s="7"/>
      <c r="G355" s="20">
        <f>IFERROR(__xludf.DUMMYFUNCTION("""COMPUTED_VALUE"""),30197.0)</f>
        <v>30197</v>
      </c>
      <c r="H355" s="7">
        <f>IFERROR(__xludf.DUMMYFUNCTION("""COMPUTED_VALUE"""),2.9609724E7)</f>
        <v>29609724</v>
      </c>
      <c r="I355" s="7">
        <f>IFERROR(__xludf.DUMMYFUNCTION("""COMPUTED_VALUE"""),3.512728398E9)</f>
        <v>3512728398</v>
      </c>
      <c r="J355" s="7" t="str">
        <f>IFERROR(__xludf.DUMMYFUNCTION("""COMPUTED_VALUE"""),"Recomendación")</f>
        <v>Recomendación</v>
      </c>
      <c r="K355" s="7" t="str">
        <f>IFERROR(__xludf.DUMMYFUNCTION("""COMPUTED_VALUE"""),"Obra social")</f>
        <v>Obra social</v>
      </c>
      <c r="L355" s="7" t="str">
        <f>IFERROR(__xludf.DUMMYFUNCTION("""COMPUTED_VALUE"""),"PREVENCIÓN")</f>
        <v>PREVENCIÓN</v>
      </c>
      <c r="M355" s="7"/>
      <c r="N355" s="7"/>
      <c r="O355" s="7"/>
      <c r="P355" s="7"/>
      <c r="Q355" s="7"/>
      <c r="R355" s="7"/>
      <c r="S355" s="7"/>
    </row>
    <row r="356">
      <c r="A356" s="7" t="str">
        <f t="shared" si="1"/>
        <v>Casado, Delfina</v>
      </c>
      <c r="B356" s="7">
        <f>SUMIFS('bd caja'!$K$1:$K$1012,'bd caja'!$D$1:$D$1012,A356)</f>
        <v>0</v>
      </c>
      <c r="C356" s="19">
        <f>IFERROR(__xludf.DUMMYFUNCTION("""COMPUTED_VALUE"""),45230.853805)</f>
        <v>45230.85381</v>
      </c>
      <c r="D356" s="7" t="str">
        <f>IFERROR(__xludf.DUMMYFUNCTION("""COMPUTED_VALUE"""),"Casado")</f>
        <v>Casado</v>
      </c>
      <c r="E356" s="7" t="str">
        <f>IFERROR(__xludf.DUMMYFUNCTION("""COMPUTED_VALUE"""),"Delfina")</f>
        <v>Delfina</v>
      </c>
      <c r="F356" s="7" t="str">
        <f>IFERROR(__xludf.DUMMYFUNCTION("""COMPUTED_VALUE"""),"delficasado@hotmail.com")</f>
        <v>delficasado@hotmail.com</v>
      </c>
      <c r="G356" s="20">
        <f>IFERROR(__xludf.DUMMYFUNCTION("""COMPUTED_VALUE"""),33203.0)</f>
        <v>33203</v>
      </c>
      <c r="H356" s="7">
        <f>IFERROR(__xludf.DUMMYFUNCTION("""COMPUTED_VALUE"""),3.5367949E7)</f>
        <v>35367949</v>
      </c>
      <c r="I356" s="7">
        <f>IFERROR(__xludf.DUMMYFUNCTION("""COMPUTED_VALUE"""),3.513856349E9)</f>
        <v>3513856349</v>
      </c>
      <c r="J356" s="7" t="str">
        <f>IFERROR(__xludf.DUMMYFUNCTION("""COMPUTED_VALUE"""),"Google")</f>
        <v>Google</v>
      </c>
      <c r="K356" s="7" t="str">
        <f>IFERROR(__xludf.DUMMYFUNCTION("""COMPUTED_VALUE"""),"Obra social")</f>
        <v>Obra social</v>
      </c>
      <c r="L356" s="7" t="str">
        <f>IFERROR(__xludf.DUMMYFUNCTION("""COMPUTED_VALUE"""),"PREVENCIÓN")</f>
        <v>PREVENCIÓN</v>
      </c>
      <c r="M356" s="7"/>
      <c r="N356" s="7"/>
      <c r="O356" s="7"/>
      <c r="P356" s="7"/>
      <c r="Q356" s="7"/>
      <c r="R356" s="7"/>
      <c r="S356" s="7"/>
    </row>
    <row r="357">
      <c r="A357" s="7" t="str">
        <f t="shared" si="1"/>
        <v>SOBA, SAID EMANUEL </v>
      </c>
      <c r="B357" s="7">
        <f>SUMIFS('bd caja'!$K$1:$K$1012,'bd caja'!$D$1:$D$1012,A357)</f>
        <v>0</v>
      </c>
      <c r="C357" s="19">
        <f>IFERROR(__xludf.DUMMYFUNCTION("""COMPUTED_VALUE"""),45231.06196939815)</f>
        <v>45231.06197</v>
      </c>
      <c r="D357" s="7" t="str">
        <f>IFERROR(__xludf.DUMMYFUNCTION("""COMPUTED_VALUE"""),"SOBA")</f>
        <v>SOBA</v>
      </c>
      <c r="E357" s="7" t="str">
        <f>IFERROR(__xludf.DUMMYFUNCTION("""COMPUTED_VALUE"""),"SAID EMANUEL ")</f>
        <v>SAID EMANUEL </v>
      </c>
      <c r="F357" s="7" t="str">
        <f>IFERROR(__xludf.DUMMYFUNCTION("""COMPUTED_VALUE"""),"Ema_kerro@hotmail.com")</f>
        <v>Ema_kerro@hotmail.com</v>
      </c>
      <c r="G357" s="20">
        <f>IFERROR(__xludf.DUMMYFUNCTION("""COMPUTED_VALUE"""),32173.0)</f>
        <v>32173</v>
      </c>
      <c r="H357" s="7">
        <f>IFERROR(__xludf.DUMMYFUNCTION("""COMPUTED_VALUE"""),3.3414572E7)</f>
        <v>33414572</v>
      </c>
      <c r="I357" s="7">
        <f>IFERROR(__xludf.DUMMYFUNCTION("""COMPUTED_VALUE"""),3.515587733E9)</f>
        <v>3515587733</v>
      </c>
      <c r="J357" s="7" t="str">
        <f>IFERROR(__xludf.DUMMYFUNCTION("""COMPUTED_VALUE"""),"Recomendación")</f>
        <v>Recomendación</v>
      </c>
      <c r="K357" s="7" t="str">
        <f>IFERROR(__xludf.DUMMYFUNCTION("""COMPUTED_VALUE"""),"Obra social")</f>
        <v>Obra social</v>
      </c>
      <c r="L357" s="7" t="str">
        <f>IFERROR(__xludf.DUMMYFUNCTION("""COMPUTED_VALUE"""),"APROSS")</f>
        <v>APROSS</v>
      </c>
      <c r="M357" s="7"/>
      <c r="N357" s="7"/>
      <c r="O357" s="7"/>
      <c r="P357" s="7"/>
      <c r="Q357" s="7"/>
      <c r="R357" s="7"/>
      <c r="S357" s="7"/>
    </row>
    <row r="358">
      <c r="A358" s="7" t="str">
        <f t="shared" si="1"/>
        <v>Lavayen, Constanza</v>
      </c>
      <c r="B358" s="7">
        <f>SUMIFS('bd caja'!$K$1:$K$1012,'bd caja'!$D$1:$D$1012,A358)</f>
        <v>0</v>
      </c>
      <c r="C358" s="19">
        <f>IFERROR(__xludf.DUMMYFUNCTION("""COMPUTED_VALUE"""),45231.78023712963)</f>
        <v>45231.78024</v>
      </c>
      <c r="D358" s="7" t="str">
        <f>IFERROR(__xludf.DUMMYFUNCTION("""COMPUTED_VALUE"""),"Lavayen")</f>
        <v>Lavayen</v>
      </c>
      <c r="E358" s="7" t="str">
        <f>IFERROR(__xludf.DUMMYFUNCTION("""COMPUTED_VALUE"""),"Constanza")</f>
        <v>Constanza</v>
      </c>
      <c r="F358" s="7" t="str">
        <f>IFERROR(__xludf.DUMMYFUNCTION("""COMPUTED_VALUE"""),"cotilavayen29@gmail.com")</f>
        <v>cotilavayen29@gmail.com</v>
      </c>
      <c r="G358" s="20">
        <f>IFERROR(__xludf.DUMMYFUNCTION("""COMPUTED_VALUE"""),35702.0)</f>
        <v>35702</v>
      </c>
      <c r="H358" s="7">
        <f>IFERROR(__xludf.DUMMYFUNCTION("""COMPUTED_VALUE"""),4.0683085E7)</f>
        <v>40683085</v>
      </c>
      <c r="I358" s="7">
        <f>IFERROR(__xludf.DUMMYFUNCTION("""COMPUTED_VALUE"""),3.51705691E9)</f>
        <v>3517056910</v>
      </c>
      <c r="J358" s="7" t="str">
        <f>IFERROR(__xludf.DUMMYFUNCTION("""COMPUTED_VALUE"""),"Recomendación")</f>
        <v>Recomendación</v>
      </c>
      <c r="K358" s="7" t="str">
        <f>IFERROR(__xludf.DUMMYFUNCTION("""COMPUTED_VALUE"""),"Particular")</f>
        <v>Particular</v>
      </c>
      <c r="L358" s="7"/>
      <c r="M358" s="7"/>
      <c r="N358" s="7"/>
      <c r="O358" s="7"/>
      <c r="P358" s="7"/>
      <c r="Q358" s="7"/>
      <c r="R358" s="7"/>
      <c r="S358" s="7"/>
    </row>
    <row r="359">
      <c r="A359" s="7" t="str">
        <f t="shared" si="1"/>
        <v>Sajama, Mauricio</v>
      </c>
      <c r="B359" s="7">
        <f>SUMIFS('bd caja'!$K$1:$K$1012,'bd caja'!$D$1:$D$1012,A359)</f>
        <v>0</v>
      </c>
      <c r="C359" s="19">
        <f>IFERROR(__xludf.DUMMYFUNCTION("""COMPUTED_VALUE"""),45232.71825439815)</f>
        <v>45232.71825</v>
      </c>
      <c r="D359" s="7" t="str">
        <f>IFERROR(__xludf.DUMMYFUNCTION("""COMPUTED_VALUE"""),"Sajama")</f>
        <v>Sajama</v>
      </c>
      <c r="E359" s="7" t="str">
        <f>IFERROR(__xludf.DUMMYFUNCTION("""COMPUTED_VALUE"""),"Mauricio")</f>
        <v>Mauricio</v>
      </c>
      <c r="F359" s="7" t="str">
        <f>IFERROR(__xludf.DUMMYFUNCTION("""COMPUTED_VALUE"""),"nery_mauricio5@hotmail.com")</f>
        <v>nery_mauricio5@hotmail.com</v>
      </c>
      <c r="G359" s="20">
        <f>IFERROR(__xludf.DUMMYFUNCTION("""COMPUTED_VALUE"""),33240.0)</f>
        <v>33240</v>
      </c>
      <c r="H359" s="7">
        <f>IFERROR(__xludf.DUMMYFUNCTION("""COMPUTED_VALUE"""),3.5673701E7)</f>
        <v>35673701</v>
      </c>
      <c r="I359" s="7">
        <f>IFERROR(__xludf.DUMMYFUNCTION("""COMPUTED_VALUE"""),3.513957444E9)</f>
        <v>3513957444</v>
      </c>
      <c r="J359" s="7" t="str">
        <f>IFERROR(__xludf.DUMMYFUNCTION("""COMPUTED_VALUE"""),"Voy al gym Manantial")</f>
        <v>Voy al gym Manantial</v>
      </c>
      <c r="K359" s="7" t="str">
        <f>IFERROR(__xludf.DUMMYFUNCTION("""COMPUTED_VALUE"""),"Obra social")</f>
        <v>Obra social</v>
      </c>
      <c r="L359" s="7" t="str">
        <f>IFERROR(__xludf.DUMMYFUNCTION("""COMPUTED_VALUE"""),"APROSS")</f>
        <v>APROSS</v>
      </c>
      <c r="M359" s="7"/>
      <c r="N359" s="7"/>
      <c r="O359" s="7"/>
      <c r="P359" s="7"/>
      <c r="Q359" s="7"/>
      <c r="R359" s="7"/>
      <c r="S359" s="7"/>
    </row>
    <row r="360">
      <c r="A360" s="7" t="str">
        <f t="shared" si="1"/>
        <v>Arraya, Adrian</v>
      </c>
      <c r="B360" s="7">
        <f>SUMIFS('bd caja'!$K$1:$K$1012,'bd caja'!$D$1:$D$1012,A360)</f>
        <v>0</v>
      </c>
      <c r="C360" s="19">
        <f>IFERROR(__xludf.DUMMYFUNCTION("""COMPUTED_VALUE"""),45236.633113171294)</f>
        <v>45236.63311</v>
      </c>
      <c r="D360" s="7" t="str">
        <f>IFERROR(__xludf.DUMMYFUNCTION("""COMPUTED_VALUE"""),"Arraya")</f>
        <v>Arraya</v>
      </c>
      <c r="E360" s="7" t="str">
        <f>IFERROR(__xludf.DUMMYFUNCTION("""COMPUTED_VALUE"""),"Adrian")</f>
        <v>Adrian</v>
      </c>
      <c r="F360" s="7" t="str">
        <f>IFERROR(__xludf.DUMMYFUNCTION("""COMPUTED_VALUE"""),"Arrayaadrian@gmail.com")</f>
        <v>Arrayaadrian@gmail.com</v>
      </c>
      <c r="G360" s="20">
        <f>IFERROR(__xludf.DUMMYFUNCTION("""COMPUTED_VALUE"""),30909.0)</f>
        <v>30909</v>
      </c>
      <c r="H360" s="7">
        <f>IFERROR(__xludf.DUMMYFUNCTION("""COMPUTED_VALUE"""),3.1055489E7)</f>
        <v>31055489</v>
      </c>
      <c r="I360" s="7">
        <f>IFERROR(__xludf.DUMMYFUNCTION("""COMPUTED_VALUE"""),3.517068363E9)</f>
        <v>3517068363</v>
      </c>
      <c r="J360" s="7" t="str">
        <f>IFERROR(__xludf.DUMMYFUNCTION("""COMPUTED_VALUE"""),"Google")</f>
        <v>Google</v>
      </c>
      <c r="K360" s="7" t="str">
        <f>IFERROR(__xludf.DUMMYFUNCTION("""COMPUTED_VALUE"""),"Obra social")</f>
        <v>Obra social</v>
      </c>
      <c r="L360" s="7" t="str">
        <f>IFERROR(__xludf.DUMMYFUNCTION("""COMPUTED_VALUE"""),"Prevension ")</f>
        <v>Prevension </v>
      </c>
      <c r="M360" s="7"/>
      <c r="N360" s="7"/>
      <c r="O360" s="7"/>
      <c r="P360" s="7"/>
      <c r="Q360" s="7"/>
      <c r="R360" s="7"/>
      <c r="S360" s="7"/>
    </row>
    <row r="361">
      <c r="A361" s="7" t="str">
        <f t="shared" si="1"/>
        <v>ARAGNO, JAVIER CARLOS</v>
      </c>
      <c r="B361" s="7">
        <f>SUMIFS('bd caja'!$K$1:$K$1012,'bd caja'!$D$1:$D$1012,A361)</f>
        <v>0</v>
      </c>
      <c r="C361" s="19">
        <f>IFERROR(__xludf.DUMMYFUNCTION("""COMPUTED_VALUE"""),45236.804033356486)</f>
        <v>45236.80403</v>
      </c>
      <c r="D361" s="7" t="str">
        <f>IFERROR(__xludf.DUMMYFUNCTION("""COMPUTED_VALUE"""),"ARAGNO")</f>
        <v>ARAGNO</v>
      </c>
      <c r="E361" s="7" t="str">
        <f>IFERROR(__xludf.DUMMYFUNCTION("""COMPUTED_VALUE"""),"JAVIER CARLOS")</f>
        <v>JAVIER CARLOS</v>
      </c>
      <c r="F361" s="7" t="str">
        <f>IFERROR(__xludf.DUMMYFUNCTION("""COMPUTED_VALUE"""),"servihierros@gmail.com")</f>
        <v>servihierros@gmail.com</v>
      </c>
      <c r="G361" s="20">
        <f>IFERROR(__xludf.DUMMYFUNCTION("""COMPUTED_VALUE"""),24595.0)</f>
        <v>24595</v>
      </c>
      <c r="H361" s="7">
        <f>IFERROR(__xludf.DUMMYFUNCTION("""COMPUTED_VALUE"""),1.8174382E7)</f>
        <v>18174382</v>
      </c>
      <c r="I361" s="7">
        <f>IFERROR(__xludf.DUMMYFUNCTION("""COMPUTED_VALUE"""),3.512068678E9)</f>
        <v>3512068678</v>
      </c>
      <c r="J361" s="7" t="str">
        <f>IFERROR(__xludf.DUMMYFUNCTION("""COMPUTED_VALUE"""),"Voy al gym Manantial")</f>
        <v>Voy al gym Manantial</v>
      </c>
      <c r="K361" s="7" t="str">
        <f>IFERROR(__xludf.DUMMYFUNCTION("""COMPUTED_VALUE"""),"Obra social")</f>
        <v>Obra social</v>
      </c>
      <c r="L361" s="7" t="str">
        <f>IFERROR(__xludf.DUMMYFUNCTION("""COMPUTED_VALUE"""),"SANCOR")</f>
        <v>SANCOR</v>
      </c>
      <c r="M361" s="7"/>
      <c r="N361" s="7"/>
      <c r="O361" s="7"/>
      <c r="P361" s="7"/>
      <c r="Q361" s="7"/>
      <c r="R361" s="7"/>
      <c r="S361" s="7"/>
    </row>
    <row r="362">
      <c r="A362" s="7" t="str">
        <f t="shared" si="1"/>
        <v>Peralta, Gabriel</v>
      </c>
      <c r="B362" s="7">
        <f>SUMIFS('bd caja'!$K$1:$K$1012,'bd caja'!$D$1:$D$1012,A362)</f>
        <v>0</v>
      </c>
      <c r="C362" s="19">
        <f>IFERROR(__xludf.DUMMYFUNCTION("""COMPUTED_VALUE"""),45236.81253145833)</f>
        <v>45236.81253</v>
      </c>
      <c r="D362" s="7" t="str">
        <f>IFERROR(__xludf.DUMMYFUNCTION("""COMPUTED_VALUE"""),"Peralta")</f>
        <v>Peralta</v>
      </c>
      <c r="E362" s="7" t="str">
        <f>IFERROR(__xludf.DUMMYFUNCTION("""COMPUTED_VALUE"""),"Gabriel")</f>
        <v>Gabriel</v>
      </c>
      <c r="F362" s="7" t="str">
        <f>IFERROR(__xludf.DUMMYFUNCTION("""COMPUTED_VALUE"""),"intecpro.industrial@gmail.com")</f>
        <v>intecpro.industrial@gmail.com</v>
      </c>
      <c r="G362" s="20">
        <f>IFERROR(__xludf.DUMMYFUNCTION("""COMPUTED_VALUE"""),27974.0)</f>
        <v>27974</v>
      </c>
      <c r="H362" s="7">
        <f>IFERROR(__xludf.DUMMYFUNCTION("""COMPUTED_VALUE"""),2.5342817E7)</f>
        <v>25342817</v>
      </c>
      <c r="I362" s="7">
        <f>IFERROR(__xludf.DUMMYFUNCTION("""COMPUTED_VALUE"""),3.51750633E9)</f>
        <v>3517506330</v>
      </c>
      <c r="J362" s="7" t="str">
        <f>IFERROR(__xludf.DUMMYFUNCTION("""COMPUTED_VALUE"""),"Recomendación")</f>
        <v>Recomendación</v>
      </c>
      <c r="K362" s="7" t="str">
        <f>IFERROR(__xludf.DUMMYFUNCTION("""COMPUTED_VALUE"""),"Particular")</f>
        <v>Particular</v>
      </c>
      <c r="L362" s="7"/>
      <c r="M362" s="7"/>
      <c r="N362" s="7"/>
      <c r="O362" s="7"/>
      <c r="P362" s="7"/>
      <c r="Q362" s="7"/>
      <c r="R362" s="7"/>
      <c r="S362" s="7"/>
    </row>
    <row r="363">
      <c r="A363" s="7" t="str">
        <f t="shared" si="1"/>
        <v>Perez, Flavio agustin</v>
      </c>
      <c r="B363" s="7">
        <f>SUMIFS('bd caja'!$K$1:$K$1012,'bd caja'!$D$1:$D$1012,A363)</f>
        <v>0</v>
      </c>
      <c r="C363" s="19">
        <f>IFERROR(__xludf.DUMMYFUNCTION("""COMPUTED_VALUE"""),45237.39070038195)</f>
        <v>45237.3907</v>
      </c>
      <c r="D363" s="7" t="str">
        <f>IFERROR(__xludf.DUMMYFUNCTION("""COMPUTED_VALUE"""),"Perez")</f>
        <v>Perez</v>
      </c>
      <c r="E363" s="7" t="str">
        <f>IFERROR(__xludf.DUMMYFUNCTION("""COMPUTED_VALUE"""),"Flavio agustin")</f>
        <v>Flavio agustin</v>
      </c>
      <c r="F363" s="7" t="str">
        <f>IFERROR(__xludf.DUMMYFUNCTION("""COMPUTED_VALUE"""),"Agustinperezlog@gmail.com")</f>
        <v>Agustinperezlog@gmail.com</v>
      </c>
      <c r="G363" s="20">
        <f>IFERROR(__xludf.DUMMYFUNCTION("""COMPUTED_VALUE"""),33817.0)</f>
        <v>33817</v>
      </c>
      <c r="H363" s="7">
        <f>IFERROR(__xludf.DUMMYFUNCTION("""COMPUTED_VALUE"""),3.6358202E7)</f>
        <v>36358202</v>
      </c>
      <c r="I363" s="7">
        <f>IFERROR(__xludf.DUMMYFUNCTION("""COMPUTED_VALUE"""),3.51381813E9)</f>
        <v>3513818130</v>
      </c>
      <c r="J363" s="7" t="str">
        <f>IFERROR(__xludf.DUMMYFUNCTION("""COMPUTED_VALUE"""),"Google")</f>
        <v>Google</v>
      </c>
      <c r="K363" s="7" t="str">
        <f>IFERROR(__xludf.DUMMYFUNCTION("""COMPUTED_VALUE"""),"Particular")</f>
        <v>Particular</v>
      </c>
      <c r="L363" s="7"/>
      <c r="M363" s="7"/>
      <c r="N363" s="7"/>
      <c r="O363" s="7"/>
      <c r="P363" s="7"/>
      <c r="Q363" s="7"/>
      <c r="R363" s="7"/>
      <c r="S363" s="7"/>
    </row>
    <row r="364">
      <c r="A364" s="7" t="str">
        <f t="shared" si="1"/>
        <v>Llorens, Juan sebastian</v>
      </c>
      <c r="B364" s="7">
        <f>SUMIFS('bd caja'!$K$1:$K$1012,'bd caja'!$D$1:$D$1012,A364)</f>
        <v>0</v>
      </c>
      <c r="C364" s="19">
        <f>IFERROR(__xludf.DUMMYFUNCTION("""COMPUTED_VALUE"""),45237.736583819446)</f>
        <v>45237.73658</v>
      </c>
      <c r="D364" s="7" t="str">
        <f>IFERROR(__xludf.DUMMYFUNCTION("""COMPUTED_VALUE"""),"Llorens")</f>
        <v>Llorens</v>
      </c>
      <c r="E364" s="7" t="str">
        <f>IFERROR(__xludf.DUMMYFUNCTION("""COMPUTED_VALUE"""),"Juan sebastian")</f>
        <v>Juan sebastian</v>
      </c>
      <c r="F364" s="7" t="str">
        <f>IFERROR(__xludf.DUMMYFUNCTION("""COMPUTED_VALUE"""),"juansellorens@msn.com")</f>
        <v>juansellorens@msn.com</v>
      </c>
      <c r="G364" s="20">
        <f>IFERROR(__xludf.DUMMYFUNCTION("""COMPUTED_VALUE"""),28154.0)</f>
        <v>28154</v>
      </c>
      <c r="H364" s="7">
        <f>IFERROR(__xludf.DUMMYFUNCTION("""COMPUTED_VALUE"""),2.5247505E7)</f>
        <v>25247505</v>
      </c>
      <c r="I364" s="7">
        <f>IFERROR(__xludf.DUMMYFUNCTION("""COMPUTED_VALUE"""),3.516515677E9)</f>
        <v>3516515677</v>
      </c>
      <c r="J364" s="7" t="str">
        <f>IFERROR(__xludf.DUMMYFUNCTION("""COMPUTED_VALUE"""),"Voy al gym Manantial")</f>
        <v>Voy al gym Manantial</v>
      </c>
      <c r="K364" s="7" t="str">
        <f>IFERROR(__xludf.DUMMYFUNCTION("""COMPUTED_VALUE"""),"Obra social")</f>
        <v>Obra social</v>
      </c>
      <c r="L364" s="7" t="str">
        <f>IFERROR(__xludf.DUMMYFUNCTION("""COMPUTED_VALUE"""),"DASPU")</f>
        <v>DASPU</v>
      </c>
      <c r="M364" s="7"/>
      <c r="N364" s="7"/>
      <c r="O364" s="7"/>
      <c r="P364" s="7"/>
      <c r="Q364" s="7"/>
      <c r="R364" s="7"/>
      <c r="S364" s="7"/>
    </row>
    <row r="365">
      <c r="A365" s="7" t="str">
        <f t="shared" si="1"/>
        <v>GOMEZ, NATALIA</v>
      </c>
      <c r="B365" s="7">
        <f>SUMIFS('bd caja'!$K$1:$K$1012,'bd caja'!$D$1:$D$1012,A365)</f>
        <v>0</v>
      </c>
      <c r="C365" s="19">
        <f>IFERROR(__xludf.DUMMYFUNCTION("""COMPUTED_VALUE"""),45238.37977863426)</f>
        <v>45238.37978</v>
      </c>
      <c r="D365" s="7" t="str">
        <f>IFERROR(__xludf.DUMMYFUNCTION("""COMPUTED_VALUE"""),"GOMEZ")</f>
        <v>GOMEZ</v>
      </c>
      <c r="E365" s="7" t="str">
        <f>IFERROR(__xludf.DUMMYFUNCTION("""COMPUTED_VALUE"""),"NATALIA")</f>
        <v>NATALIA</v>
      </c>
      <c r="F365" s="7" t="str">
        <f>IFERROR(__xludf.DUMMYFUNCTION("""COMPUTED_VALUE"""),"nataliagcastanos@gmail.com")</f>
        <v>nataliagcastanos@gmail.com</v>
      </c>
      <c r="G365" s="20">
        <f>IFERROR(__xludf.DUMMYFUNCTION("""COMPUTED_VALUE"""),28097.0)</f>
        <v>28097</v>
      </c>
      <c r="H365" s="7">
        <f>IFERROR(__xludf.DUMMYFUNCTION("""COMPUTED_VALUE"""),2.560978E7)</f>
        <v>25609780</v>
      </c>
      <c r="I365" s="7">
        <f>IFERROR(__xludf.DUMMYFUNCTION("""COMPUTED_VALUE"""),3.512211627E9)</f>
        <v>3512211627</v>
      </c>
      <c r="J365" s="7" t="str">
        <f>IFERROR(__xludf.DUMMYFUNCTION("""COMPUTED_VALUE"""),"Voy al gym Manantial")</f>
        <v>Voy al gym Manantial</v>
      </c>
      <c r="K365" s="7" t="str">
        <f>IFERROR(__xludf.DUMMYFUNCTION("""COMPUTED_VALUE"""),"Particular")</f>
        <v>Particular</v>
      </c>
      <c r="L365" s="7"/>
      <c r="M365" s="7"/>
      <c r="N365" s="7"/>
      <c r="O365" s="7"/>
      <c r="P365" s="7"/>
      <c r="Q365" s="7"/>
      <c r="R365" s="7"/>
      <c r="S365" s="7"/>
    </row>
    <row r="366">
      <c r="A366" s="7" t="str">
        <f t="shared" si="1"/>
        <v>Berardo, Nicolas</v>
      </c>
      <c r="B366" s="7">
        <f>SUMIFS('bd caja'!$K$1:$K$1012,'bd caja'!$D$1:$D$1012,A366)</f>
        <v>0</v>
      </c>
      <c r="C366" s="19">
        <f>IFERROR(__xludf.DUMMYFUNCTION("""COMPUTED_VALUE"""),45238.522353333334)</f>
        <v>45238.52235</v>
      </c>
      <c r="D366" s="7" t="str">
        <f>IFERROR(__xludf.DUMMYFUNCTION("""COMPUTED_VALUE"""),"Berardo")</f>
        <v>Berardo</v>
      </c>
      <c r="E366" s="7" t="str">
        <f>IFERROR(__xludf.DUMMYFUNCTION("""COMPUTED_VALUE"""),"Nicolas")</f>
        <v>Nicolas</v>
      </c>
      <c r="F366" s="7" t="str">
        <f>IFERROR(__xludf.DUMMYFUNCTION("""COMPUTED_VALUE"""),"Nicolasberardo1998@gmail.com")</f>
        <v>Nicolasberardo1998@gmail.com</v>
      </c>
      <c r="G366" s="20">
        <f>IFERROR(__xludf.DUMMYFUNCTION("""COMPUTED_VALUE"""),35955.0)</f>
        <v>35955</v>
      </c>
      <c r="H366" s="7">
        <f>IFERROR(__xludf.DUMMYFUNCTION("""COMPUTED_VALUE"""),4.1033825E7)</f>
        <v>41033825</v>
      </c>
      <c r="I366" s="7">
        <f>IFERROR(__xludf.DUMMYFUNCTION("""COMPUTED_VALUE"""),3.53482068E9)</f>
        <v>3534820680</v>
      </c>
      <c r="J366" s="7" t="str">
        <f>IFERROR(__xludf.DUMMYFUNCTION("""COMPUTED_VALUE"""),"Mm")</f>
        <v>Mm</v>
      </c>
      <c r="K366" s="7" t="str">
        <f>IFERROR(__xludf.DUMMYFUNCTION("""COMPUTED_VALUE"""),"Particular")</f>
        <v>Particular</v>
      </c>
      <c r="L366" s="7"/>
      <c r="M366" s="7"/>
      <c r="N366" s="7"/>
      <c r="O366" s="7"/>
      <c r="P366" s="7"/>
      <c r="Q366" s="7"/>
      <c r="R366" s="7"/>
      <c r="S366" s="7"/>
    </row>
    <row r="367">
      <c r="A367" s="7" t="str">
        <f t="shared" si="1"/>
        <v>Machado , Francisco</v>
      </c>
      <c r="B367" s="7">
        <f>SUMIFS('bd caja'!$K$1:$K$1012,'bd caja'!$D$1:$D$1012,A367)</f>
        <v>0</v>
      </c>
      <c r="C367" s="19">
        <f>IFERROR(__xludf.DUMMYFUNCTION("""COMPUTED_VALUE"""),45238.819799074074)</f>
        <v>45238.8198</v>
      </c>
      <c r="D367" s="7" t="str">
        <f>IFERROR(__xludf.DUMMYFUNCTION("""COMPUTED_VALUE"""),"Machado ")</f>
        <v>Machado </v>
      </c>
      <c r="E367" s="7" t="str">
        <f>IFERROR(__xludf.DUMMYFUNCTION("""COMPUTED_VALUE"""),"Francisco")</f>
        <v>Francisco</v>
      </c>
      <c r="F367" s="7" t="str">
        <f>IFERROR(__xludf.DUMMYFUNCTION("""COMPUTED_VALUE"""),"Franmachado2006@gmail.com")</f>
        <v>Franmachado2006@gmail.com</v>
      </c>
      <c r="G367" s="20">
        <f>IFERROR(__xludf.DUMMYFUNCTION("""COMPUTED_VALUE"""),38725.0)</f>
        <v>38725</v>
      </c>
      <c r="H367" s="7">
        <f>IFERROR(__xludf.DUMMYFUNCTION("""COMPUTED_VALUE"""),4.6507751E7)</f>
        <v>46507751</v>
      </c>
      <c r="I367" s="7">
        <f>IFERROR(__xludf.DUMMYFUNCTION("""COMPUTED_VALUE"""),3.515088712E9)</f>
        <v>3515088712</v>
      </c>
      <c r="J367" s="7" t="str">
        <f>IFERROR(__xludf.DUMMYFUNCTION("""COMPUTED_VALUE"""),"Instagram")</f>
        <v>Instagram</v>
      </c>
      <c r="K367" s="7" t="str">
        <f>IFERROR(__xludf.DUMMYFUNCTION("""COMPUTED_VALUE"""),"Particular")</f>
        <v>Particular</v>
      </c>
      <c r="L367" s="7"/>
      <c r="M367" s="7"/>
      <c r="N367" s="7"/>
      <c r="O367" s="7"/>
      <c r="P367" s="7"/>
      <c r="Q367" s="7"/>
      <c r="R367" s="7"/>
      <c r="S367" s="7"/>
    </row>
    <row r="368">
      <c r="A368" s="7" t="str">
        <f t="shared" si="1"/>
        <v>Vincen, Pablo</v>
      </c>
      <c r="B368" s="7">
        <f>SUMIFS('bd caja'!$K$1:$K$1012,'bd caja'!$D$1:$D$1012,A368)</f>
        <v>0</v>
      </c>
      <c r="C368" s="19">
        <f>IFERROR(__xludf.DUMMYFUNCTION("""COMPUTED_VALUE"""),45239.6546280787)</f>
        <v>45239.65463</v>
      </c>
      <c r="D368" s="7" t="str">
        <f>IFERROR(__xludf.DUMMYFUNCTION("""COMPUTED_VALUE"""),"Vincen")</f>
        <v>Vincen</v>
      </c>
      <c r="E368" s="7" t="str">
        <f>IFERROR(__xludf.DUMMYFUNCTION("""COMPUTED_VALUE"""),"Pablo")</f>
        <v>Pablo</v>
      </c>
      <c r="F368" s="7" t="str">
        <f>IFERROR(__xludf.DUMMYFUNCTION("""COMPUTED_VALUE"""),"pablovincen@hotmail.com")</f>
        <v>pablovincen@hotmail.com</v>
      </c>
      <c r="G368" s="20">
        <f>IFERROR(__xludf.DUMMYFUNCTION("""COMPUTED_VALUE"""),29558.0)</f>
        <v>29558</v>
      </c>
      <c r="H368" s="7">
        <f>IFERROR(__xludf.DUMMYFUNCTION("""COMPUTED_VALUE"""),2.8429391E7)</f>
        <v>28429391</v>
      </c>
      <c r="I368" s="7">
        <f>IFERROR(__xludf.DUMMYFUNCTION("""COMPUTED_VALUE"""),3.517446263E9)</f>
        <v>3517446263</v>
      </c>
      <c r="J368" s="7" t="str">
        <f>IFERROR(__xludf.DUMMYFUNCTION("""COMPUTED_VALUE"""),"Voy al gym Manantial")</f>
        <v>Voy al gym Manantial</v>
      </c>
      <c r="K368" s="7" t="str">
        <f>IFERROR(__xludf.DUMMYFUNCTION("""COMPUTED_VALUE"""),"Particular")</f>
        <v>Particular</v>
      </c>
      <c r="L368" s="7"/>
      <c r="M368" s="7"/>
      <c r="N368" s="7"/>
      <c r="O368" s="7"/>
      <c r="P368" s="7"/>
      <c r="Q368" s="7"/>
      <c r="R368" s="7"/>
      <c r="S368" s="7"/>
    </row>
    <row r="369">
      <c r="A369" s="7" t="str">
        <f t="shared" si="1"/>
        <v>Sanchez , Macarena </v>
      </c>
      <c r="B369" s="7">
        <f>SUMIFS('bd caja'!$K$1:$K$1012,'bd caja'!$D$1:$D$1012,A369)</f>
        <v>0</v>
      </c>
      <c r="C369" s="19">
        <f>IFERROR(__xludf.DUMMYFUNCTION("""COMPUTED_VALUE"""),45243.50769914352)</f>
        <v>45243.5077</v>
      </c>
      <c r="D369" s="7" t="str">
        <f>IFERROR(__xludf.DUMMYFUNCTION("""COMPUTED_VALUE"""),"Sanchez ")</f>
        <v>Sanchez </v>
      </c>
      <c r="E369" s="7" t="str">
        <f>IFERROR(__xludf.DUMMYFUNCTION("""COMPUTED_VALUE"""),"Macarena ")</f>
        <v>Macarena </v>
      </c>
      <c r="F369" s="7" t="str">
        <f>IFERROR(__xludf.DUMMYFUNCTION("""COMPUTED_VALUE"""),"Macasanchez17h@gmail.com ")</f>
        <v>Macasanchez17h@gmail.com </v>
      </c>
      <c r="G369" s="20">
        <f>IFERROR(__xludf.DUMMYFUNCTION("""COMPUTED_VALUE"""),36602.0)</f>
        <v>36602</v>
      </c>
      <c r="H369" s="7">
        <f>IFERROR(__xludf.DUMMYFUNCTION("""COMPUTED_VALUE"""),4.2475628E7)</f>
        <v>42475628</v>
      </c>
      <c r="I369" s="7">
        <f>IFERROR(__xludf.DUMMYFUNCTION("""COMPUTED_VALUE"""),3.517366155E9)</f>
        <v>3517366155</v>
      </c>
      <c r="J369" s="7" t="str">
        <f>IFERROR(__xludf.DUMMYFUNCTION("""COMPUTED_VALUE"""),"Instagram")</f>
        <v>Instagram</v>
      </c>
      <c r="K369" s="7" t="str">
        <f>IFERROR(__xludf.DUMMYFUNCTION("""COMPUTED_VALUE"""),"Obra social")</f>
        <v>Obra social</v>
      </c>
      <c r="L369" s="7" t="str">
        <f>IFERROR(__xludf.DUMMYFUNCTION("""COMPUTED_VALUE"""),"APROSS")</f>
        <v>APROSS</v>
      </c>
      <c r="M369" s="7"/>
      <c r="N369" s="7"/>
      <c r="O369" s="7"/>
      <c r="P369" s="7"/>
      <c r="Q369" s="7"/>
      <c r="R369" s="7"/>
      <c r="S369" s="7"/>
    </row>
    <row r="370">
      <c r="A370" s="7" t="str">
        <f t="shared" si="1"/>
        <v>Paz, Juan Cruz </v>
      </c>
      <c r="B370" s="7">
        <f>SUMIFS('bd caja'!$K$1:$K$1012,'bd caja'!$D$1:$D$1012,A370)</f>
        <v>0</v>
      </c>
      <c r="C370" s="19">
        <f>IFERROR(__xludf.DUMMYFUNCTION("""COMPUTED_VALUE"""),45243.52572168982)</f>
        <v>45243.52572</v>
      </c>
      <c r="D370" s="7" t="str">
        <f>IFERROR(__xludf.DUMMYFUNCTION("""COMPUTED_VALUE"""),"Paz")</f>
        <v>Paz</v>
      </c>
      <c r="E370" s="7" t="str">
        <f>IFERROR(__xludf.DUMMYFUNCTION("""COMPUTED_VALUE"""),"Juan Cruz ")</f>
        <v>Juan Cruz </v>
      </c>
      <c r="F370" s="7" t="str">
        <f>IFERROR(__xludf.DUMMYFUNCTION("""COMPUTED_VALUE"""),"juancruzpaz3@gmail.com")</f>
        <v>juancruzpaz3@gmail.com</v>
      </c>
      <c r="G370" s="20">
        <f>IFERROR(__xludf.DUMMYFUNCTION("""COMPUTED_VALUE"""),29813.0)</f>
        <v>29813</v>
      </c>
      <c r="H370" s="7">
        <f>IFERROR(__xludf.DUMMYFUNCTION("""COMPUTED_VALUE"""),2.8948611E7)</f>
        <v>28948611</v>
      </c>
      <c r="I370" s="7">
        <f>IFERROR(__xludf.DUMMYFUNCTION("""COMPUTED_VALUE"""),3.513412384E9)</f>
        <v>3513412384</v>
      </c>
      <c r="J370" s="7" t="str">
        <f>IFERROR(__xludf.DUMMYFUNCTION("""COMPUTED_VALUE"""),"Instagram")</f>
        <v>Instagram</v>
      </c>
      <c r="K370" s="7" t="str">
        <f>IFERROR(__xludf.DUMMYFUNCTION("""COMPUTED_VALUE"""),"Particular")</f>
        <v>Particular</v>
      </c>
      <c r="L370" s="7"/>
      <c r="M370" s="7"/>
      <c r="N370" s="7"/>
      <c r="O370" s="7"/>
      <c r="P370" s="7"/>
      <c r="Q370" s="7"/>
      <c r="R370" s="7"/>
      <c r="S370" s="7"/>
    </row>
    <row r="371">
      <c r="A371" s="7" t="str">
        <f t="shared" si="1"/>
        <v>Ottaviani, Piero </v>
      </c>
      <c r="B371" s="7">
        <f>SUMIFS('bd caja'!$K$1:$K$1012,'bd caja'!$D$1:$D$1012,A371)</f>
        <v>0</v>
      </c>
      <c r="C371" s="19">
        <f>IFERROR(__xludf.DUMMYFUNCTION("""COMPUTED_VALUE"""),45243.70891306713)</f>
        <v>45243.70891</v>
      </c>
      <c r="D371" s="7" t="str">
        <f>IFERROR(__xludf.DUMMYFUNCTION("""COMPUTED_VALUE"""),"Ottaviani")</f>
        <v>Ottaviani</v>
      </c>
      <c r="E371" s="7" t="str">
        <f>IFERROR(__xludf.DUMMYFUNCTION("""COMPUTED_VALUE"""),"Piero ")</f>
        <v>Piero </v>
      </c>
      <c r="F371" s="7" t="str">
        <f>IFERROR(__xludf.DUMMYFUNCTION("""COMPUTED_VALUE"""),"Piero_cba@hotmail.com")</f>
        <v>Piero_cba@hotmail.com</v>
      </c>
      <c r="G371" s="20">
        <f>IFERROR(__xludf.DUMMYFUNCTION("""COMPUTED_VALUE"""),31405.0)</f>
        <v>31405</v>
      </c>
      <c r="H371" s="7">
        <f>IFERROR(__xludf.DUMMYFUNCTION("""COMPUTED_VALUE"""),3.2099388E7)</f>
        <v>32099388</v>
      </c>
      <c r="I371" s="7">
        <f>IFERROR(__xludf.DUMMYFUNCTION("""COMPUTED_VALUE"""),3.513852512E9)</f>
        <v>3513852512</v>
      </c>
      <c r="J371" s="7" t="str">
        <f>IFERROR(__xludf.DUMMYFUNCTION("""COMPUTED_VALUE"""),"Cartilla Obra Social")</f>
        <v>Cartilla Obra Social</v>
      </c>
      <c r="K371" s="7" t="str">
        <f>IFERROR(__xludf.DUMMYFUNCTION("""COMPUTED_VALUE"""),"Obra social")</f>
        <v>Obra social</v>
      </c>
      <c r="L371" s="7" t="str">
        <f>IFERROR(__xludf.DUMMYFUNCTION("""COMPUTED_VALUE"""),"PREVENCIÓN")</f>
        <v>PREVENCIÓN</v>
      </c>
      <c r="M371" s="7"/>
      <c r="N371" s="7"/>
      <c r="O371" s="7"/>
      <c r="P371" s="7"/>
      <c r="Q371" s="7"/>
      <c r="R371" s="7"/>
      <c r="S371" s="7"/>
    </row>
    <row r="372">
      <c r="A372" s="7" t="str">
        <f t="shared" si="1"/>
        <v>Weinhönig, Björn</v>
      </c>
      <c r="B372" s="7">
        <f>SUMIFS('bd caja'!$K$1:$K$1012,'bd caja'!$D$1:$D$1012,A372)</f>
        <v>0</v>
      </c>
      <c r="C372" s="19">
        <f>IFERROR(__xludf.DUMMYFUNCTION("""COMPUTED_VALUE"""),45244.82321261574)</f>
        <v>45244.82321</v>
      </c>
      <c r="D372" s="7" t="str">
        <f>IFERROR(__xludf.DUMMYFUNCTION("""COMPUTED_VALUE"""),"Weinhönig")</f>
        <v>Weinhönig</v>
      </c>
      <c r="E372" s="7" t="str">
        <f>IFERROR(__xludf.DUMMYFUNCTION("""COMPUTED_VALUE"""),"Björn")</f>
        <v>Björn</v>
      </c>
      <c r="F372" s="7" t="str">
        <f>IFERROR(__xludf.DUMMYFUNCTION("""COMPUTED_VALUE"""),"-")</f>
        <v>-</v>
      </c>
      <c r="G372" s="20">
        <f>IFERROR(__xludf.DUMMYFUNCTION("""COMPUTED_VALUE"""),28951.0)</f>
        <v>28951</v>
      </c>
      <c r="H372" s="7" t="str">
        <f>IFERROR(__xludf.DUMMYFUNCTION("""COMPUTED_VALUE"""),"CCHPX3XHL")</f>
        <v>CCHPX3XHL</v>
      </c>
      <c r="I372" s="7">
        <f>IFERROR(__xludf.DUMMYFUNCTION("""COMPUTED_VALUE"""),3.512581809E9)</f>
        <v>3512581809</v>
      </c>
      <c r="J372" s="7" t="str">
        <f>IFERROR(__xludf.DUMMYFUNCTION("""COMPUTED_VALUE"""),"Google")</f>
        <v>Google</v>
      </c>
      <c r="K372" s="7" t="str">
        <f>IFERROR(__xludf.DUMMYFUNCTION("""COMPUTED_VALUE"""),"Particular")</f>
        <v>Particular</v>
      </c>
      <c r="L372" s="7"/>
      <c r="M372" s="7"/>
      <c r="N372" s="7"/>
      <c r="O372" s="7"/>
      <c r="P372" s="7"/>
      <c r="Q372" s="7"/>
      <c r="R372" s="7"/>
      <c r="S372" s="7"/>
    </row>
    <row r="373">
      <c r="A373" s="7" t="str">
        <f t="shared" si="1"/>
        <v>JAROVSKY, ILAN</v>
      </c>
      <c r="B373" s="7">
        <f>SUMIFS('bd caja'!$K$1:$K$1012,'bd caja'!$D$1:$D$1012,A373)</f>
        <v>0</v>
      </c>
      <c r="C373" s="19">
        <f>IFERROR(__xludf.DUMMYFUNCTION("""COMPUTED_VALUE"""),45245.49349497685)</f>
        <v>45245.49349</v>
      </c>
      <c r="D373" s="7" t="str">
        <f>IFERROR(__xludf.DUMMYFUNCTION("""COMPUTED_VALUE"""),"JAROVSKY")</f>
        <v>JAROVSKY</v>
      </c>
      <c r="E373" s="7" t="str">
        <f>IFERROR(__xludf.DUMMYFUNCTION("""COMPUTED_VALUE"""),"ILAN")</f>
        <v>ILAN</v>
      </c>
      <c r="F373" s="7" t="str">
        <f>IFERROR(__xludf.DUMMYFUNCTION("""COMPUTED_VALUE"""),"ijarovsky@gmail.com")</f>
        <v>ijarovsky@gmail.com</v>
      </c>
      <c r="G373" s="20">
        <f>IFERROR(__xludf.DUMMYFUNCTION("""COMPUTED_VALUE"""),34070.0)</f>
        <v>34070</v>
      </c>
      <c r="H373" s="7">
        <f>IFERROR(__xludf.DUMMYFUNCTION("""COMPUTED_VALUE"""),3.7476133E7)</f>
        <v>37476133</v>
      </c>
      <c r="I373" s="7">
        <f>IFERROR(__xludf.DUMMYFUNCTION("""COMPUTED_VALUE"""),3.517673918E9)</f>
        <v>3517673918</v>
      </c>
      <c r="J373" s="7" t="str">
        <f>IFERROR(__xludf.DUMMYFUNCTION("""COMPUTED_VALUE"""),"Voy al gym Manantial")</f>
        <v>Voy al gym Manantial</v>
      </c>
      <c r="K373" s="7" t="str">
        <f>IFERROR(__xludf.DUMMYFUNCTION("""COMPUTED_VALUE"""),"Particular")</f>
        <v>Particular</v>
      </c>
      <c r="L373" s="7"/>
      <c r="M373" s="7"/>
      <c r="N373" s="7"/>
      <c r="O373" s="7"/>
      <c r="P373" s="7"/>
      <c r="Q373" s="7"/>
      <c r="R373" s="7"/>
      <c r="S373" s="7"/>
    </row>
    <row r="374">
      <c r="A374" s="7" t="str">
        <f t="shared" si="1"/>
        <v>Battistelli, Adriana </v>
      </c>
      <c r="B374" s="7">
        <f>SUMIFS('bd caja'!$K$1:$K$1012,'bd caja'!$D$1:$D$1012,A374)</f>
        <v>0</v>
      </c>
      <c r="C374" s="19">
        <f>IFERROR(__xludf.DUMMYFUNCTION("""COMPUTED_VALUE"""),45245.76631074074)</f>
        <v>45245.76631</v>
      </c>
      <c r="D374" s="7" t="str">
        <f>IFERROR(__xludf.DUMMYFUNCTION("""COMPUTED_VALUE"""),"Battistelli")</f>
        <v>Battistelli</v>
      </c>
      <c r="E374" s="7" t="str">
        <f>IFERROR(__xludf.DUMMYFUNCTION("""COMPUTED_VALUE"""),"Adriana ")</f>
        <v>Adriana </v>
      </c>
      <c r="F374" s="7" t="str">
        <f>IFERROR(__xludf.DUMMYFUNCTION("""COMPUTED_VALUE"""),"pbattistelli78@hotmail.com")</f>
        <v>pbattistelli78@hotmail.com</v>
      </c>
      <c r="G374" s="20">
        <f>IFERROR(__xludf.DUMMYFUNCTION("""COMPUTED_VALUE"""),23142.0)</f>
        <v>23142</v>
      </c>
      <c r="H374" s="7">
        <f>IFERROR(__xludf.DUMMYFUNCTION("""COMPUTED_VALUE"""),1.6292561E7)</f>
        <v>16292561</v>
      </c>
      <c r="I374" s="7">
        <f>IFERROR(__xludf.DUMMYFUNCTION("""COMPUTED_VALUE"""),3.517872352E9)</f>
        <v>3517872352</v>
      </c>
      <c r="J374" s="7" t="str">
        <f>IFERROR(__xludf.DUMMYFUNCTION("""COMPUTED_VALUE"""),"Recomendación")</f>
        <v>Recomendación</v>
      </c>
      <c r="K374" s="7" t="str">
        <f>IFERROR(__xludf.DUMMYFUNCTION("""COMPUTED_VALUE"""),"Particular")</f>
        <v>Particular</v>
      </c>
      <c r="L374" s="7"/>
      <c r="M374" s="7"/>
      <c r="N374" s="7"/>
      <c r="O374" s="7"/>
      <c r="P374" s="7"/>
      <c r="Q374" s="7"/>
      <c r="R374" s="7"/>
      <c r="S374" s="7"/>
    </row>
    <row r="375">
      <c r="A375" s="7" t="str">
        <f t="shared" si="1"/>
        <v>Bartolacci, Mario</v>
      </c>
      <c r="B375" s="7">
        <f>SUMIFS('bd caja'!$K$1:$K$1012,'bd caja'!$D$1:$D$1012,A375)</f>
        <v>0</v>
      </c>
      <c r="C375" s="19">
        <f>IFERROR(__xludf.DUMMYFUNCTION("""COMPUTED_VALUE"""),45246.50159006944)</f>
        <v>45246.50159</v>
      </c>
      <c r="D375" s="7" t="str">
        <f>IFERROR(__xludf.DUMMYFUNCTION("""COMPUTED_VALUE"""),"Bartolacci")</f>
        <v>Bartolacci</v>
      </c>
      <c r="E375" s="7" t="str">
        <f>IFERROR(__xludf.DUMMYFUNCTION("""COMPUTED_VALUE"""),"Mario")</f>
        <v>Mario</v>
      </c>
      <c r="F375" s="7" t="str">
        <f>IFERROR(__xludf.DUMMYFUNCTION("""COMPUTED_VALUE"""),"mariobartolacci86@gmail.com")</f>
        <v>mariobartolacci86@gmail.com</v>
      </c>
      <c r="G375" s="20">
        <f>IFERROR(__xludf.DUMMYFUNCTION("""COMPUTED_VALUE"""),22879.0)</f>
        <v>22879</v>
      </c>
      <c r="H375" s="7">
        <f>IFERROR(__xludf.DUMMYFUNCTION("""COMPUTED_VALUE"""),1.6159674E7)</f>
        <v>16159674</v>
      </c>
      <c r="I375" s="7">
        <f>IFERROR(__xludf.DUMMYFUNCTION("""COMPUTED_VALUE"""),3.518128884E9)</f>
        <v>3518128884</v>
      </c>
      <c r="J375" s="7" t="str">
        <f>IFERROR(__xludf.DUMMYFUNCTION("""COMPUTED_VALUE"""),"Recomendación")</f>
        <v>Recomendación</v>
      </c>
      <c r="K375" s="7" t="str">
        <f>IFERROR(__xludf.DUMMYFUNCTION("""COMPUTED_VALUE"""),"Particular")</f>
        <v>Particular</v>
      </c>
      <c r="L375" s="7"/>
      <c r="M375" s="7"/>
      <c r="N375" s="7"/>
      <c r="O375" s="7"/>
      <c r="P375" s="7"/>
      <c r="Q375" s="7"/>
      <c r="R375" s="7"/>
      <c r="S375" s="7"/>
    </row>
    <row r="376">
      <c r="A376" s="7" t="str">
        <f t="shared" si="1"/>
        <v>Morcillo, Alejandra</v>
      </c>
      <c r="B376" s="7">
        <f>SUMIFS('bd caja'!$K$1:$K$1012,'bd caja'!$D$1:$D$1012,A376)</f>
        <v>0</v>
      </c>
      <c r="C376" s="19">
        <f>IFERROR(__xludf.DUMMYFUNCTION("""COMPUTED_VALUE"""),45247.76929296296)</f>
        <v>45247.76929</v>
      </c>
      <c r="D376" s="7" t="str">
        <f>IFERROR(__xludf.DUMMYFUNCTION("""COMPUTED_VALUE"""),"Morcillo")</f>
        <v>Morcillo</v>
      </c>
      <c r="E376" s="7" t="str">
        <f>IFERROR(__xludf.DUMMYFUNCTION("""COMPUTED_VALUE"""),"Alejandra")</f>
        <v>Alejandra</v>
      </c>
      <c r="F376" s="7" t="str">
        <f>IFERROR(__xludf.DUMMYFUNCTION("""COMPUTED_VALUE"""),"alemorcillo22@gmail.com")</f>
        <v>alemorcillo22@gmail.com</v>
      </c>
      <c r="G376" s="20">
        <f>IFERROR(__xludf.DUMMYFUNCTION("""COMPUTED_VALUE"""),30947.0)</f>
        <v>30947</v>
      </c>
      <c r="H376" s="7">
        <f>IFERROR(__xludf.DUMMYFUNCTION("""COMPUTED_VALUE"""),3.1216103E7)</f>
        <v>31216103</v>
      </c>
      <c r="I376" s="7">
        <f>IFERROR(__xludf.DUMMYFUNCTION("""COMPUTED_VALUE"""),3.513037791E9)</f>
        <v>3513037791</v>
      </c>
      <c r="J376" s="7" t="str">
        <f>IFERROR(__xludf.DUMMYFUNCTION("""COMPUTED_VALUE"""),"Recomendación")</f>
        <v>Recomendación</v>
      </c>
      <c r="K376" s="7" t="str">
        <f>IFERROR(__xludf.DUMMYFUNCTION("""COMPUTED_VALUE"""),"Particular")</f>
        <v>Particular</v>
      </c>
      <c r="L376" s="7"/>
      <c r="M376" s="7"/>
      <c r="N376" s="7"/>
      <c r="O376" s="7"/>
      <c r="P376" s="7"/>
      <c r="Q376" s="7"/>
      <c r="R376" s="7"/>
      <c r="S376" s="7"/>
    </row>
    <row r="377">
      <c r="A377" s="7" t="str">
        <f t="shared" si="1"/>
        <v>Moreno, Diego </v>
      </c>
      <c r="B377" s="7">
        <f>SUMIFS('bd caja'!$K$1:$K$1012,'bd caja'!$D$1:$D$1012,A377)</f>
        <v>0</v>
      </c>
      <c r="C377" s="19">
        <f>IFERROR(__xludf.DUMMYFUNCTION("""COMPUTED_VALUE"""),45247.76929296296)</f>
        <v>45247.76929</v>
      </c>
      <c r="D377" s="7" t="str">
        <f>IFERROR(__xludf.DUMMYFUNCTION("""COMPUTED_VALUE"""),"Moreno")</f>
        <v>Moreno</v>
      </c>
      <c r="E377" s="7" t="str">
        <f>IFERROR(__xludf.DUMMYFUNCTION("""COMPUTED_VALUE"""),"Diego ")</f>
        <v>Diego </v>
      </c>
      <c r="F377" s="7" t="str">
        <f>IFERROR(__xludf.DUMMYFUNCTION("""COMPUTED_VALUE"""),"Diego98moreno@gmail.com")</f>
        <v>Diego98moreno@gmail.com</v>
      </c>
      <c r="G377" s="20">
        <f>IFERROR(__xludf.DUMMYFUNCTION("""COMPUTED_VALUE"""),36019.0)</f>
        <v>36019</v>
      </c>
      <c r="H377" s="7">
        <f>IFERROR(__xludf.DUMMYFUNCTION("""COMPUTED_VALUE"""),4.1439627E7)</f>
        <v>41439627</v>
      </c>
      <c r="I377" s="7">
        <f>IFERROR(__xludf.DUMMYFUNCTION("""COMPUTED_VALUE"""),3.512339426E9)</f>
        <v>3512339426</v>
      </c>
      <c r="J377" s="7" t="str">
        <f>IFERROR(__xludf.DUMMYFUNCTION("""COMPUTED_VALUE"""),"Recomendación")</f>
        <v>Recomendación</v>
      </c>
      <c r="K377" s="7" t="str">
        <f>IFERROR(__xludf.DUMMYFUNCTION("""COMPUTED_VALUE"""),"Obra social")</f>
        <v>Obra social</v>
      </c>
      <c r="L377" s="7" t="str">
        <f>IFERROR(__xludf.DUMMYFUNCTION("""COMPUTED_VALUE"""),"PREVENCIÓN")</f>
        <v>PREVENCIÓN</v>
      </c>
      <c r="M377" s="7"/>
      <c r="N377" s="7"/>
      <c r="O377" s="7"/>
      <c r="P377" s="7"/>
      <c r="Q377" s="7"/>
      <c r="R377" s="7"/>
      <c r="S377" s="7"/>
    </row>
    <row r="378">
      <c r="A378" s="7" t="str">
        <f t="shared" si="1"/>
        <v>Bonsignore, Lara</v>
      </c>
      <c r="B378" s="7">
        <f>SUMIFS('bd caja'!$K$1:$K$1012,'bd caja'!$D$1:$D$1012,A378)</f>
        <v>0</v>
      </c>
      <c r="C378" s="19">
        <f>IFERROR(__xludf.DUMMYFUNCTION("""COMPUTED_VALUE"""),45254.62617159722)</f>
        <v>45254.62617</v>
      </c>
      <c r="D378" s="7" t="str">
        <f>IFERROR(__xludf.DUMMYFUNCTION("""COMPUTED_VALUE"""),"Bonsignore")</f>
        <v>Bonsignore</v>
      </c>
      <c r="E378" s="7" t="str">
        <f>IFERROR(__xludf.DUMMYFUNCTION("""COMPUTED_VALUE"""),"Lara")</f>
        <v>Lara</v>
      </c>
      <c r="F378" s="7" t="str">
        <f>IFERROR(__xludf.DUMMYFUNCTION("""COMPUTED_VALUE"""),"larabonsignore14@gmail.com")</f>
        <v>larabonsignore14@gmail.com</v>
      </c>
      <c r="G378" s="20">
        <f>IFERROR(__xludf.DUMMYFUNCTION("""COMPUTED_VALUE"""),38547.0)</f>
        <v>38547</v>
      </c>
      <c r="H378" s="7">
        <f>IFERROR(__xludf.DUMMYFUNCTION("""COMPUTED_VALUE"""),4.6126745E7)</f>
        <v>46126745</v>
      </c>
      <c r="I378" s="7">
        <f>IFERROR(__xludf.DUMMYFUNCTION("""COMPUTED_VALUE"""),3.513246122E9)</f>
        <v>3513246122</v>
      </c>
      <c r="J378" s="7" t="str">
        <f>IFERROR(__xludf.DUMMYFUNCTION("""COMPUTED_VALUE"""),"Recomendación")</f>
        <v>Recomendación</v>
      </c>
      <c r="K378" s="7" t="str">
        <f>IFERROR(__xludf.DUMMYFUNCTION("""COMPUTED_VALUE"""),"Obra social")</f>
        <v>Obra social</v>
      </c>
      <c r="L378" s="7" t="str">
        <f>IFERROR(__xludf.DUMMYFUNCTION("""COMPUTED_VALUE"""),"PREVENCIÓN")</f>
        <v>PREVENCIÓN</v>
      </c>
      <c r="M378" s="7"/>
      <c r="N378" s="7"/>
      <c r="O378" s="7"/>
      <c r="P378" s="7"/>
      <c r="Q378" s="7"/>
      <c r="R378" s="7"/>
      <c r="S378" s="7"/>
    </row>
    <row r="379">
      <c r="A379" s="7" t="str">
        <f t="shared" si="1"/>
        <v>Molina , Adriana  Leticia </v>
      </c>
      <c r="B379" s="7">
        <f>SUMIFS('bd caja'!$K$1:$K$1012,'bd caja'!$D$1:$D$1012,A379)</f>
        <v>0</v>
      </c>
      <c r="C379" s="19">
        <f>IFERROR(__xludf.DUMMYFUNCTION("""COMPUTED_VALUE"""),45255.51109385416)</f>
        <v>45255.51109</v>
      </c>
      <c r="D379" s="7" t="str">
        <f>IFERROR(__xludf.DUMMYFUNCTION("""COMPUTED_VALUE"""),"Molina ")</f>
        <v>Molina </v>
      </c>
      <c r="E379" s="7" t="str">
        <f>IFERROR(__xludf.DUMMYFUNCTION("""COMPUTED_VALUE"""),"Adriana  Leticia ")</f>
        <v>Adriana  Leticia </v>
      </c>
      <c r="F379" s="7" t="str">
        <f>IFERROR(__xludf.DUMMYFUNCTION("""COMPUTED_VALUE"""),"Letymoll@hotmail.com ")</f>
        <v>Letymoll@hotmail.com </v>
      </c>
      <c r="G379" s="20">
        <f>IFERROR(__xludf.DUMMYFUNCTION("""COMPUTED_VALUE"""),23031.0)</f>
        <v>23031</v>
      </c>
      <c r="H379" s="7">
        <f>IFERROR(__xludf.DUMMYFUNCTION("""COMPUTED_VALUE"""),1.6293073E7)</f>
        <v>16293073</v>
      </c>
      <c r="I379" s="7">
        <f>IFERROR(__xludf.DUMMYFUNCTION("""COMPUTED_VALUE"""),3.515404114E9)</f>
        <v>3515404114</v>
      </c>
      <c r="J379" s="7" t="str">
        <f>IFERROR(__xludf.DUMMYFUNCTION("""COMPUTED_VALUE"""),"Recomendación")</f>
        <v>Recomendación</v>
      </c>
      <c r="K379" s="7" t="str">
        <f>IFERROR(__xludf.DUMMYFUNCTION("""COMPUTED_VALUE"""),"Obra social")</f>
        <v>Obra social</v>
      </c>
      <c r="L379" s="7" t="str">
        <f>IFERROR(__xludf.DUMMYFUNCTION("""COMPUTED_VALUE"""),"APROSS")</f>
        <v>APROSS</v>
      </c>
      <c r="M379" s="7"/>
      <c r="N379" s="7"/>
      <c r="O379" s="7"/>
      <c r="P379" s="7"/>
      <c r="Q379" s="7"/>
      <c r="R379" s="7"/>
      <c r="S379" s="7"/>
    </row>
    <row r="380">
      <c r="A380" s="7" t="str">
        <f t="shared" si="1"/>
        <v>omis, tomas</v>
      </c>
      <c r="B380" s="7">
        <f>SUMIFS('bd caja'!$K$1:$K$1012,'bd caja'!$D$1:$D$1012,A380)</f>
        <v>0</v>
      </c>
      <c r="C380" s="19">
        <f>IFERROR(__xludf.DUMMYFUNCTION("""COMPUTED_VALUE"""),45257.45160800926)</f>
        <v>45257.45161</v>
      </c>
      <c r="D380" s="7" t="str">
        <f>IFERROR(__xludf.DUMMYFUNCTION("""COMPUTED_VALUE"""),"omis")</f>
        <v>omis</v>
      </c>
      <c r="E380" s="7" t="str">
        <f>IFERROR(__xludf.DUMMYFUNCTION("""COMPUTED_VALUE"""),"tomas")</f>
        <v>tomas</v>
      </c>
      <c r="F380" s="7" t="str">
        <f>IFERROR(__xludf.DUMMYFUNCTION("""COMPUTED_VALUE"""),"tomiomis2005@gmail.com")</f>
        <v>tomiomis2005@gmail.com</v>
      </c>
      <c r="G380" s="20">
        <f>IFERROR(__xludf.DUMMYFUNCTION("""COMPUTED_VALUE"""),38698.0)</f>
        <v>38698</v>
      </c>
      <c r="H380" s="7">
        <f>IFERROR(__xludf.DUMMYFUNCTION("""COMPUTED_VALUE"""),4.6311746E7)</f>
        <v>46311746</v>
      </c>
      <c r="I380" s="7">
        <f>IFERROR(__xludf.DUMMYFUNCTION("""COMPUTED_VALUE"""),3.513945282E9)</f>
        <v>3513945282</v>
      </c>
      <c r="J380" s="7" t="str">
        <f>IFERROR(__xludf.DUMMYFUNCTION("""COMPUTED_VALUE"""),"Google")</f>
        <v>Google</v>
      </c>
      <c r="K380" s="7" t="str">
        <f>IFERROR(__xludf.DUMMYFUNCTION("""COMPUTED_VALUE"""),"Obra social")</f>
        <v>Obra social</v>
      </c>
      <c r="L380" s="7" t="str">
        <f>IFERROR(__xludf.DUMMYFUNCTION("""COMPUTED_VALUE"""),"swiss medical ")</f>
        <v>swiss medical </v>
      </c>
      <c r="M380" s="7"/>
      <c r="N380" s="7"/>
      <c r="O380" s="7"/>
      <c r="P380" s="7"/>
      <c r="Q380" s="7"/>
      <c r="R380" s="7"/>
      <c r="S380" s="7"/>
    </row>
    <row r="381">
      <c r="A381" s="7" t="str">
        <f t="shared" si="1"/>
        <v>Guevara, Leandro</v>
      </c>
      <c r="B381" s="7">
        <f>SUMIFS('bd caja'!$K$1:$K$1012,'bd caja'!$D$1:$D$1012,A381)</f>
        <v>0</v>
      </c>
      <c r="C381" s="19">
        <f>IFERROR(__xludf.DUMMYFUNCTION("""COMPUTED_VALUE"""),45257.78392041667)</f>
        <v>45257.78392</v>
      </c>
      <c r="D381" s="7" t="str">
        <f>IFERROR(__xludf.DUMMYFUNCTION("""COMPUTED_VALUE"""),"Guevara")</f>
        <v>Guevara</v>
      </c>
      <c r="E381" s="7" t="str">
        <f>IFERROR(__xludf.DUMMYFUNCTION("""COMPUTED_VALUE"""),"Leandro")</f>
        <v>Leandro</v>
      </c>
      <c r="F381" s="7" t="str">
        <f>IFERROR(__xludf.DUMMYFUNCTION("""COMPUTED_VALUE"""),"mv.leandroguevara@gmail.com")</f>
        <v>mv.leandroguevara@gmail.com</v>
      </c>
      <c r="G381" s="20">
        <f>IFERROR(__xludf.DUMMYFUNCTION("""COMPUTED_VALUE"""),32207.0)</f>
        <v>32207</v>
      </c>
      <c r="H381" s="7">
        <f>IFERROR(__xludf.DUMMYFUNCTION("""COMPUTED_VALUE"""),3.3599033E7)</f>
        <v>33599033</v>
      </c>
      <c r="I381" s="7">
        <f>IFERROR(__xludf.DUMMYFUNCTION("""COMPUTED_VALUE"""),3.512205936E9)</f>
        <v>3512205936</v>
      </c>
      <c r="J381" s="7" t="str">
        <f>IFERROR(__xludf.DUMMYFUNCTION("""COMPUTED_VALUE"""),"Voy al gym Manantial")</f>
        <v>Voy al gym Manantial</v>
      </c>
      <c r="K381" s="7" t="str">
        <f>IFERROR(__xludf.DUMMYFUNCTION("""COMPUTED_VALUE"""),"Obra social")</f>
        <v>Obra social</v>
      </c>
      <c r="L381" s="7" t="str">
        <f>IFERROR(__xludf.DUMMYFUNCTION("""COMPUTED_VALUE"""),"APROSS")</f>
        <v>APROSS</v>
      </c>
      <c r="M381" s="7"/>
      <c r="N381" s="7"/>
      <c r="O381" s="7"/>
      <c r="P381" s="7"/>
      <c r="Q381" s="7"/>
      <c r="R381" s="7"/>
      <c r="S381" s="7"/>
    </row>
    <row r="382">
      <c r="A382" s="7" t="str">
        <f t="shared" si="1"/>
        <v>Costantino , Gaston </v>
      </c>
      <c r="B382" s="7">
        <f>SUMIFS('bd caja'!$K$1:$K$1012,'bd caja'!$D$1:$D$1012,A382)</f>
        <v>0</v>
      </c>
      <c r="C382" s="19">
        <f>IFERROR(__xludf.DUMMYFUNCTION("""COMPUTED_VALUE"""),45258.35361868056)</f>
        <v>45258.35362</v>
      </c>
      <c r="D382" s="7" t="str">
        <f>IFERROR(__xludf.DUMMYFUNCTION("""COMPUTED_VALUE"""),"Costantino ")</f>
        <v>Costantino </v>
      </c>
      <c r="E382" s="7" t="str">
        <f>IFERROR(__xludf.DUMMYFUNCTION("""COMPUTED_VALUE"""),"Gaston ")</f>
        <v>Gaston </v>
      </c>
      <c r="F382" s="7" t="str">
        <f>IFERROR(__xludf.DUMMYFUNCTION("""COMPUTED_VALUE"""),"costantinogaston@hotmail.com")</f>
        <v>costantinogaston@hotmail.com</v>
      </c>
      <c r="G382" s="20">
        <f>IFERROR(__xludf.DUMMYFUNCTION("""COMPUTED_VALUE"""),28334.0)</f>
        <v>28334</v>
      </c>
      <c r="H382" s="7">
        <f>IFERROR(__xludf.DUMMYFUNCTION("""COMPUTED_VALUE"""),2.5132741E7)</f>
        <v>25132741</v>
      </c>
      <c r="I382" s="7">
        <f>IFERROR(__xludf.DUMMYFUNCTION("""COMPUTED_VALUE"""),3.512018717E9)</f>
        <v>3512018717</v>
      </c>
      <c r="J382" s="7" t="str">
        <f>IFERROR(__xludf.DUMMYFUNCTION("""COMPUTED_VALUE"""),"Voy al gym Manantial")</f>
        <v>Voy al gym Manantial</v>
      </c>
      <c r="K382" s="7" t="str">
        <f>IFERROR(__xludf.DUMMYFUNCTION("""COMPUTED_VALUE"""),"Particular")</f>
        <v>Particular</v>
      </c>
      <c r="L382" s="7"/>
      <c r="M382" s="7"/>
      <c r="N382" s="7"/>
      <c r="O382" s="7"/>
      <c r="P382" s="7"/>
      <c r="Q382" s="7"/>
      <c r="R382" s="7"/>
      <c r="S382" s="7"/>
    </row>
    <row r="383">
      <c r="A383" s="7" t="str">
        <f t="shared" si="1"/>
        <v>Amorini, Juan Pablo</v>
      </c>
      <c r="B383" s="7">
        <f>SUMIFS('bd caja'!$K$1:$K$1012,'bd caja'!$D$1:$D$1012,A383)</f>
        <v>0</v>
      </c>
      <c r="C383" s="19">
        <f>IFERROR(__xludf.DUMMYFUNCTION("""COMPUTED_VALUE"""),45259.679018842595)</f>
        <v>45259.67902</v>
      </c>
      <c r="D383" s="7" t="str">
        <f>IFERROR(__xludf.DUMMYFUNCTION("""COMPUTED_VALUE"""),"Amorini")</f>
        <v>Amorini</v>
      </c>
      <c r="E383" s="7" t="str">
        <f>IFERROR(__xludf.DUMMYFUNCTION("""COMPUTED_VALUE"""),"Juan Pablo")</f>
        <v>Juan Pablo</v>
      </c>
      <c r="F383" s="7" t="str">
        <f>IFERROR(__xludf.DUMMYFUNCTION("""COMPUTED_VALUE"""),"jupa_03@hotmail.com")</f>
        <v>jupa_03@hotmail.com</v>
      </c>
      <c r="G383" s="20">
        <f>IFERROR(__xludf.DUMMYFUNCTION("""COMPUTED_VALUE"""),26353.0)</f>
        <v>26353</v>
      </c>
      <c r="H383" s="7">
        <f>IFERROR(__xludf.DUMMYFUNCTION("""COMPUTED_VALUE"""),2.2539894E7)</f>
        <v>22539894</v>
      </c>
      <c r="I383" s="7">
        <f>IFERROR(__xludf.DUMMYFUNCTION("""COMPUTED_VALUE"""),3.512337731E9)</f>
        <v>3512337731</v>
      </c>
      <c r="J383" s="7" t="str">
        <f>IFERROR(__xludf.DUMMYFUNCTION("""COMPUTED_VALUE"""),"Recomendación")</f>
        <v>Recomendación</v>
      </c>
      <c r="K383" s="7" t="str">
        <f>IFERROR(__xludf.DUMMYFUNCTION("""COMPUTED_VALUE"""),"Obra social")</f>
        <v>Obra social</v>
      </c>
      <c r="L383" s="7" t="str">
        <f>IFERROR(__xludf.DUMMYFUNCTION("""COMPUTED_VALUE"""),"PREVENCIÓN")</f>
        <v>PREVENCIÓN</v>
      </c>
      <c r="M383" s="7"/>
      <c r="N383" s="7"/>
      <c r="O383" s="7"/>
      <c r="P383" s="7"/>
      <c r="Q383" s="7"/>
      <c r="R383" s="7"/>
      <c r="S383" s="7"/>
    </row>
    <row r="384">
      <c r="A384" s="7" t="str">
        <f t="shared" si="1"/>
        <v>Ramirez, Aurora Beatriz</v>
      </c>
      <c r="B384" s="7">
        <f>SUMIFS('bd caja'!$K$1:$K$1012,'bd caja'!$D$1:$D$1012,A384)</f>
        <v>0</v>
      </c>
      <c r="C384" s="19">
        <f>IFERROR(__xludf.DUMMYFUNCTION("""COMPUTED_VALUE"""),45259.85163936343)</f>
        <v>45259.85164</v>
      </c>
      <c r="D384" s="7" t="str">
        <f>IFERROR(__xludf.DUMMYFUNCTION("""COMPUTED_VALUE"""),"Ramirez")</f>
        <v>Ramirez</v>
      </c>
      <c r="E384" s="7" t="str">
        <f>IFERROR(__xludf.DUMMYFUNCTION("""COMPUTED_VALUE"""),"Aurora Beatriz")</f>
        <v>Aurora Beatriz</v>
      </c>
      <c r="F384" s="7"/>
      <c r="G384" s="20">
        <f>IFERROR(__xludf.DUMMYFUNCTION("""COMPUTED_VALUE"""),45247.0)</f>
        <v>45247</v>
      </c>
      <c r="H384" s="7">
        <f>IFERROR(__xludf.DUMMYFUNCTION("""COMPUTED_VALUE"""),3.9690449E7)</f>
        <v>39690449</v>
      </c>
      <c r="I384" s="7">
        <f>IFERROR(__xludf.DUMMYFUNCTION("""COMPUTED_VALUE"""),3.513820345E9)</f>
        <v>3513820345</v>
      </c>
      <c r="J384" s="7" t="str">
        <f>IFERROR(__xludf.DUMMYFUNCTION("""COMPUTED_VALUE"""),"Google")</f>
        <v>Google</v>
      </c>
      <c r="K384" s="7" t="str">
        <f>IFERROR(__xludf.DUMMYFUNCTION("""COMPUTED_VALUE"""),"Obra social")</f>
        <v>Obra social</v>
      </c>
      <c r="L384" s="7" t="str">
        <f>IFERROR(__xludf.DUMMYFUNCTION("""COMPUTED_VALUE"""),"APROSS")</f>
        <v>APROSS</v>
      </c>
      <c r="M384" s="7"/>
      <c r="N384" s="7"/>
      <c r="O384" s="7"/>
      <c r="P384" s="7"/>
      <c r="Q384" s="7"/>
      <c r="R384" s="7"/>
      <c r="S384" s="7"/>
    </row>
    <row r="385">
      <c r="A385" s="7" t="str">
        <f t="shared" si="1"/>
        <v>SOTO ROJAS, Ignacio Mateo </v>
      </c>
      <c r="B385" s="7">
        <f>SUMIFS('bd caja'!$K$1:$K$1012,'bd caja'!$D$1:$D$1012,A385)</f>
        <v>0</v>
      </c>
      <c r="C385" s="19">
        <f>IFERROR(__xludf.DUMMYFUNCTION("""COMPUTED_VALUE"""),45261.70784425926)</f>
        <v>45261.70784</v>
      </c>
      <c r="D385" s="7" t="str">
        <f>IFERROR(__xludf.DUMMYFUNCTION("""COMPUTED_VALUE"""),"SOTO ROJAS")</f>
        <v>SOTO ROJAS</v>
      </c>
      <c r="E385" s="7" t="str">
        <f>IFERROR(__xludf.DUMMYFUNCTION("""COMPUTED_VALUE"""),"Ignacio Mateo ")</f>
        <v>Ignacio Mateo </v>
      </c>
      <c r="F385" s="7" t="str">
        <f>IFERROR(__xludf.DUMMYFUNCTION("""COMPUTED_VALUE"""),"sotorojas.0188@gmail.com")</f>
        <v>sotorojas.0188@gmail.com</v>
      </c>
      <c r="G385" s="20">
        <f>IFERROR(__xludf.DUMMYFUNCTION("""COMPUTED_VALUE"""),32143.0)</f>
        <v>32143</v>
      </c>
      <c r="H385" s="21">
        <f>IFERROR(__xludf.DUMMYFUNCTION("""COMPUTED_VALUE"""),3.3482735E7)</f>
        <v>33482735</v>
      </c>
      <c r="I385" s="7">
        <f>IFERROR(__xludf.DUMMYFUNCTION("""COMPUTED_VALUE"""),3.512125057E9)</f>
        <v>3512125057</v>
      </c>
      <c r="J385" s="7" t="str">
        <f>IFERROR(__xludf.DUMMYFUNCTION("""COMPUTED_VALUE"""),"Google")</f>
        <v>Google</v>
      </c>
      <c r="K385" s="7" t="str">
        <f>IFERROR(__xludf.DUMMYFUNCTION("""COMPUTED_VALUE"""),"Obra social")</f>
        <v>Obra social</v>
      </c>
      <c r="L385" s="7" t="str">
        <f>IFERROR(__xludf.DUMMYFUNCTION("""COMPUTED_VALUE"""),"Policía federal ")</f>
        <v>Policía federal </v>
      </c>
      <c r="M385" s="7"/>
      <c r="N385" s="7"/>
      <c r="O385" s="7"/>
      <c r="P385" s="7"/>
      <c r="Q385" s="7"/>
      <c r="R385" s="7"/>
      <c r="S385" s="7"/>
    </row>
    <row r="386">
      <c r="A386" s="7" t="str">
        <f t="shared" si="1"/>
        <v>Tosolini, Luis Guillermo</v>
      </c>
      <c r="B386" s="7">
        <f>SUMIFS('bd caja'!$K$1:$K$1012,'bd caja'!$D$1:$D$1012,A386)</f>
        <v>0</v>
      </c>
      <c r="C386" s="19">
        <f>IFERROR(__xludf.DUMMYFUNCTION("""COMPUTED_VALUE"""),45261.93811256945)</f>
        <v>45261.93811</v>
      </c>
      <c r="D386" s="7" t="str">
        <f>IFERROR(__xludf.DUMMYFUNCTION("""COMPUTED_VALUE"""),"Tosolini")</f>
        <v>Tosolini</v>
      </c>
      <c r="E386" s="7" t="str">
        <f>IFERROR(__xludf.DUMMYFUNCTION("""COMPUTED_VALUE"""),"Luis Guillermo")</f>
        <v>Luis Guillermo</v>
      </c>
      <c r="F386" s="7" t="str">
        <f>IFERROR(__xludf.DUMMYFUNCTION("""COMPUTED_VALUE"""),"zmiretti@uepc.org.ar ")</f>
        <v>zmiretti@uepc.org.ar </v>
      </c>
      <c r="G386" s="20">
        <f>IFERROR(__xludf.DUMMYFUNCTION("""COMPUTED_VALUE"""),17875.0)</f>
        <v>17875</v>
      </c>
      <c r="H386" s="7">
        <f>IFERROR(__xludf.DUMMYFUNCTION("""COMPUTED_VALUE"""),5528842.0)</f>
        <v>5528842</v>
      </c>
      <c r="I386" s="7">
        <f>IFERROR(__xludf.DUMMYFUNCTION("""COMPUTED_VALUE"""),3.516724587E9)</f>
        <v>3516724587</v>
      </c>
      <c r="J386" s="7" t="str">
        <f>IFERROR(__xludf.DUMMYFUNCTION("""COMPUTED_VALUE"""),"Cartilla Obra Social")</f>
        <v>Cartilla Obra Social</v>
      </c>
      <c r="K386" s="7" t="str">
        <f>IFERROR(__xludf.DUMMYFUNCTION("""COMPUTED_VALUE"""),"Obra social")</f>
        <v>Obra social</v>
      </c>
      <c r="L386" s="7" t="str">
        <f>IFERROR(__xludf.DUMMYFUNCTION("""COMPUTED_VALUE"""),"APROSS")</f>
        <v>APROSS</v>
      </c>
      <c r="M386" s="7"/>
      <c r="N386" s="7"/>
      <c r="O386" s="7"/>
      <c r="P386" s="7"/>
      <c r="Q386" s="7"/>
      <c r="R386" s="7"/>
      <c r="S386" s="7"/>
    </row>
    <row r="387">
      <c r="A387" s="7" t="str">
        <f t="shared" si="1"/>
        <v>Musella Monnier , Máximo</v>
      </c>
      <c r="B387" s="7">
        <f>SUMIFS('bd caja'!$K$1:$K$1012,'bd caja'!$D$1:$D$1012,A387)</f>
        <v>0</v>
      </c>
      <c r="C387" s="19">
        <f>IFERROR(__xludf.DUMMYFUNCTION("""COMPUTED_VALUE"""),45264.44909578704)</f>
        <v>45264.4491</v>
      </c>
      <c r="D387" s="7" t="str">
        <f>IFERROR(__xludf.DUMMYFUNCTION("""COMPUTED_VALUE"""),"Musella Monnier ")</f>
        <v>Musella Monnier </v>
      </c>
      <c r="E387" s="7" t="str">
        <f>IFERROR(__xludf.DUMMYFUNCTION("""COMPUTED_VALUE"""),"Máximo")</f>
        <v>Máximo</v>
      </c>
      <c r="F387" s="7" t="str">
        <f>IFERROR(__xludf.DUMMYFUNCTION("""COMPUTED_VALUE"""),"maximomusella2017@gmail.com")</f>
        <v>maximomusella2017@gmail.com</v>
      </c>
      <c r="G387" s="20">
        <f>IFERROR(__xludf.DUMMYFUNCTION("""COMPUTED_VALUE"""),39201.0)</f>
        <v>39201</v>
      </c>
      <c r="H387" s="7">
        <f>IFERROR(__xludf.DUMMYFUNCTION("""COMPUTED_VALUE"""),4.7174231E7)</f>
        <v>47174231</v>
      </c>
      <c r="I387" s="7">
        <f>IFERROR(__xludf.DUMMYFUNCTION("""COMPUTED_VALUE"""),3.515329739E9)</f>
        <v>3515329739</v>
      </c>
      <c r="J387" s="7" t="str">
        <f>IFERROR(__xludf.DUMMYFUNCTION("""COMPUTED_VALUE"""),"Recomendación")</f>
        <v>Recomendación</v>
      </c>
      <c r="K387" s="7" t="str">
        <f>IFERROR(__xludf.DUMMYFUNCTION("""COMPUTED_VALUE"""),"Particular")</f>
        <v>Particular</v>
      </c>
      <c r="L387" s="7"/>
      <c r="M387" s="7"/>
      <c r="N387" s="7"/>
      <c r="O387" s="7"/>
      <c r="P387" s="7"/>
      <c r="Q387" s="7"/>
      <c r="R387" s="7"/>
      <c r="S387" s="7"/>
    </row>
    <row r="388">
      <c r="A388" s="7" t="str">
        <f t="shared" si="1"/>
        <v>Maza, Carlos Dario </v>
      </c>
      <c r="B388" s="7">
        <f>SUMIFS('bd caja'!$K$1:$K$1012,'bd caja'!$D$1:$D$1012,A388)</f>
        <v>0</v>
      </c>
      <c r="C388" s="19">
        <f>IFERROR(__xludf.DUMMYFUNCTION("""COMPUTED_VALUE"""),45264.68232957176)</f>
        <v>45264.68233</v>
      </c>
      <c r="D388" s="7" t="str">
        <f>IFERROR(__xludf.DUMMYFUNCTION("""COMPUTED_VALUE"""),"Maza")</f>
        <v>Maza</v>
      </c>
      <c r="E388" s="7" t="str">
        <f>IFERROR(__xludf.DUMMYFUNCTION("""COMPUTED_VALUE"""),"Carlos Dario ")</f>
        <v>Carlos Dario </v>
      </c>
      <c r="F388" s="7" t="str">
        <f>IFERROR(__xludf.DUMMYFUNCTION("""COMPUTED_VALUE"""),"carlosdariomaza@gmail.com")</f>
        <v>carlosdariomaza@gmail.com</v>
      </c>
      <c r="G388" s="20">
        <f>IFERROR(__xludf.DUMMYFUNCTION("""COMPUTED_VALUE"""),45130.0)</f>
        <v>45130</v>
      </c>
      <c r="H388" s="7">
        <f>IFERROR(__xludf.DUMMYFUNCTION("""COMPUTED_VALUE"""),2.2685013E7)</f>
        <v>22685013</v>
      </c>
      <c r="I388" s="7">
        <f>IFERROR(__xludf.DUMMYFUNCTION("""COMPUTED_VALUE"""),3.512421378E9)</f>
        <v>3512421378</v>
      </c>
      <c r="J388" s="7" t="str">
        <f>IFERROR(__xludf.DUMMYFUNCTION("""COMPUTED_VALUE"""),"Google")</f>
        <v>Google</v>
      </c>
      <c r="K388" s="7" t="str">
        <f>IFERROR(__xludf.DUMMYFUNCTION("""COMPUTED_VALUE"""),"Obra social")</f>
        <v>Obra social</v>
      </c>
      <c r="L388" s="7" t="str">
        <f>IFERROR(__xludf.DUMMYFUNCTION("""COMPUTED_VALUE"""),"Medife ")</f>
        <v>Medife </v>
      </c>
      <c r="M388" s="7"/>
      <c r="N388" s="7"/>
      <c r="O388" s="7"/>
      <c r="P388" s="7"/>
      <c r="Q388" s="7"/>
      <c r="R388" s="7"/>
      <c r="S388" s="7"/>
    </row>
    <row r="389">
      <c r="A389" s="7" t="str">
        <f t="shared" si="1"/>
        <v>Carranza, Juan Cruz</v>
      </c>
      <c r="B389" s="7">
        <f>SUMIFS('bd caja'!$K$1:$K$1012,'bd caja'!$D$1:$D$1012,A389)</f>
        <v>0</v>
      </c>
      <c r="C389" s="19">
        <f>IFERROR(__xludf.DUMMYFUNCTION("""COMPUTED_VALUE"""),45259.85163936343)</f>
        <v>45259.85164</v>
      </c>
      <c r="D389" s="7" t="str">
        <f>IFERROR(__xludf.DUMMYFUNCTION("""COMPUTED_VALUE"""),"Carranza")</f>
        <v>Carranza</v>
      </c>
      <c r="E389" s="7" t="str">
        <f>IFERROR(__xludf.DUMMYFUNCTION("""COMPUTED_VALUE"""),"Juan Cruz")</f>
        <v>Juan Cruz</v>
      </c>
      <c r="F389" s="7" t="str">
        <f>IFERROR(__xludf.DUMMYFUNCTION("""COMPUTED_VALUE"""),"juacru33@gmail.com")</f>
        <v>juacru33@gmail.com</v>
      </c>
      <c r="G389" s="7"/>
      <c r="H389" s="7">
        <f>IFERROR(__xludf.DUMMYFUNCTION("""COMPUTED_VALUE"""),2.2567586E7)</f>
        <v>22567586</v>
      </c>
      <c r="I389" s="7">
        <f>IFERROR(__xludf.DUMMYFUNCTION("""COMPUTED_VALUE"""),3.513037002E9)</f>
        <v>3513037002</v>
      </c>
      <c r="J389" s="7" t="str">
        <f>IFERROR(__xludf.DUMMYFUNCTION("""COMPUTED_VALUE"""),"voy al gym manantial")</f>
        <v>voy al gym manantial</v>
      </c>
      <c r="K389" s="7" t="str">
        <f>IFERROR(__xludf.DUMMYFUNCTION("""COMPUTED_VALUE"""),"particular")</f>
        <v>particular</v>
      </c>
      <c r="L389" s="7"/>
      <c r="M389" s="7"/>
      <c r="N389" s="7"/>
      <c r="O389" s="7"/>
      <c r="P389" s="7"/>
      <c r="Q389" s="7"/>
      <c r="R389" s="7"/>
      <c r="S389" s="7"/>
    </row>
    <row r="390">
      <c r="A390" s="7" t="str">
        <f t="shared" si="1"/>
        <v>Espinoza, Edith</v>
      </c>
      <c r="B390" s="7">
        <f>SUMIFS('bd caja'!$K$1:$K$1012,'bd caja'!$D$1:$D$1012,A390)</f>
        <v>0</v>
      </c>
      <c r="C390" s="19">
        <f>IFERROR(__xludf.DUMMYFUNCTION("""COMPUTED_VALUE"""),45264.82871537037)</f>
        <v>45264.82872</v>
      </c>
      <c r="D390" s="7" t="str">
        <f>IFERROR(__xludf.DUMMYFUNCTION("""COMPUTED_VALUE"""),"Espinoza")</f>
        <v>Espinoza</v>
      </c>
      <c r="E390" s="7" t="str">
        <f>IFERROR(__xludf.DUMMYFUNCTION("""COMPUTED_VALUE"""),"Edith")</f>
        <v>Edith</v>
      </c>
      <c r="F390" s="7" t="str">
        <f>IFERROR(__xludf.DUMMYFUNCTION("""COMPUTED_VALUE"""),"fitnessteam.eem@gmail.com")</f>
        <v>fitnessteam.eem@gmail.com</v>
      </c>
      <c r="G390" s="20">
        <f>IFERROR(__xludf.DUMMYFUNCTION("""COMPUTED_VALUE"""),29352.0)</f>
        <v>29352</v>
      </c>
      <c r="H390" s="7">
        <f>IFERROR(__xludf.DUMMYFUNCTION("""COMPUTED_VALUE"""),9.2683031E7)</f>
        <v>92683031</v>
      </c>
      <c r="I390" s="7">
        <f>IFERROR(__xludf.DUMMYFUNCTION("""COMPUTED_VALUE"""),3.516159236E9)</f>
        <v>3516159236</v>
      </c>
      <c r="J390" s="7" t="str">
        <f>IFERROR(__xludf.DUMMYFUNCTION("""COMPUTED_VALUE"""),"Voy al gym Manantial")</f>
        <v>Voy al gym Manantial</v>
      </c>
      <c r="K390" s="7" t="str">
        <f>IFERROR(__xludf.DUMMYFUNCTION("""COMPUTED_VALUE"""),"Particular")</f>
        <v>Particular</v>
      </c>
      <c r="L390" s="7"/>
      <c r="M390" s="7"/>
      <c r="N390" s="7"/>
      <c r="O390" s="7"/>
      <c r="P390" s="7"/>
      <c r="Q390" s="7"/>
      <c r="R390" s="7"/>
      <c r="S390" s="7"/>
    </row>
    <row r="391">
      <c r="A391" s="7" t="str">
        <f t="shared" si="1"/>
        <v>Pilone, Alejandro</v>
      </c>
      <c r="B391" s="7">
        <f>SUMIFS('bd caja'!$K$1:$K$1012,'bd caja'!$D$1:$D$1012,A391)</f>
        <v>0</v>
      </c>
      <c r="C391" s="19">
        <f>IFERROR(__xludf.DUMMYFUNCTION("""COMPUTED_VALUE"""),45264.91215446759)</f>
        <v>45264.91215</v>
      </c>
      <c r="D391" s="7" t="str">
        <f>IFERROR(__xludf.DUMMYFUNCTION("""COMPUTED_VALUE"""),"Pilone")</f>
        <v>Pilone</v>
      </c>
      <c r="E391" s="7" t="str">
        <f>IFERROR(__xludf.DUMMYFUNCTION("""COMPUTED_VALUE"""),"Alejandro")</f>
        <v>Alejandro</v>
      </c>
      <c r="F391" s="7" t="str">
        <f>IFERROR(__xludf.DUMMYFUNCTION("""COMPUTED_VALUE"""),"alejandropilone5@gmail.com")</f>
        <v>alejandropilone5@gmail.com</v>
      </c>
      <c r="G391" s="20">
        <f>IFERROR(__xludf.DUMMYFUNCTION("""COMPUTED_VALUE"""),30071.0)</f>
        <v>30071</v>
      </c>
      <c r="H391" s="7">
        <f>IFERROR(__xludf.DUMMYFUNCTION("""COMPUTED_VALUE"""),2.9605018E7)</f>
        <v>29605018</v>
      </c>
      <c r="I391" s="7">
        <f>IFERROR(__xludf.DUMMYFUNCTION("""COMPUTED_VALUE"""),3.512314596E9)</f>
        <v>3512314596</v>
      </c>
      <c r="J391" s="7" t="str">
        <f>IFERROR(__xludf.DUMMYFUNCTION("""COMPUTED_VALUE"""),"Googlemaps")</f>
        <v>Googlemaps</v>
      </c>
      <c r="K391" s="7" t="str">
        <f>IFERROR(__xludf.DUMMYFUNCTION("""COMPUTED_VALUE"""),"Obra social")</f>
        <v>Obra social</v>
      </c>
      <c r="L391" s="7" t="str">
        <f>IFERROR(__xludf.DUMMYFUNCTION("""COMPUTED_VALUE"""),"PREVENCIÓN")</f>
        <v>PREVENCIÓN</v>
      </c>
      <c r="M391" s="7"/>
      <c r="N391" s="7"/>
      <c r="O391" s="7"/>
      <c r="P391" s="7"/>
      <c r="Q391" s="7"/>
      <c r="R391" s="7"/>
      <c r="S391" s="7"/>
    </row>
    <row r="392">
      <c r="A392" s="7" t="str">
        <f t="shared" si="1"/>
        <v>Chavez , Daniela</v>
      </c>
      <c r="B392" s="7">
        <f>SUMIFS('bd caja'!$K$1:$K$1012,'bd caja'!$D$1:$D$1012,A392)</f>
        <v>0</v>
      </c>
      <c r="C392" s="19">
        <f>IFERROR(__xludf.DUMMYFUNCTION("""COMPUTED_VALUE"""),45266.35541846065)</f>
        <v>45266.35542</v>
      </c>
      <c r="D392" s="7" t="str">
        <f>IFERROR(__xludf.DUMMYFUNCTION("""COMPUTED_VALUE"""),"Chavez ")</f>
        <v>Chavez </v>
      </c>
      <c r="E392" s="7" t="str">
        <f>IFERROR(__xludf.DUMMYFUNCTION("""COMPUTED_VALUE"""),"Daniela")</f>
        <v>Daniela</v>
      </c>
      <c r="F392" s="7" t="str">
        <f>IFERROR(__xludf.DUMMYFUNCTION("""COMPUTED_VALUE"""),"Losageleschavez79@gmail.com")</f>
        <v>Losageleschavez79@gmail.com</v>
      </c>
      <c r="G392" s="20">
        <f>IFERROR(__xludf.DUMMYFUNCTION("""COMPUTED_VALUE"""),29015.0)</f>
        <v>29015</v>
      </c>
      <c r="H392" s="7">
        <f>IFERROR(__xludf.DUMMYFUNCTION("""COMPUTED_VALUE"""),2.7367461E7)</f>
        <v>27367461</v>
      </c>
      <c r="I392" s="7">
        <f>IFERROR(__xludf.DUMMYFUNCTION("""COMPUTED_VALUE"""),3.515471795E9)</f>
        <v>3515471795</v>
      </c>
      <c r="J392" s="7" t="str">
        <f>IFERROR(__xludf.DUMMYFUNCTION("""COMPUTED_VALUE"""),"Recomendación")</f>
        <v>Recomendación</v>
      </c>
      <c r="K392" s="7" t="str">
        <f>IFERROR(__xludf.DUMMYFUNCTION("""COMPUTED_VALUE"""),"Obra social")</f>
        <v>Obra social</v>
      </c>
      <c r="L392" s="7" t="str">
        <f>IFERROR(__xludf.DUMMYFUNCTION("""COMPUTED_VALUE"""),"PREVENCIÓN")</f>
        <v>PREVENCIÓN</v>
      </c>
      <c r="M392" s="7"/>
      <c r="N392" s="7"/>
      <c r="O392" s="7"/>
      <c r="P392" s="7"/>
      <c r="Q392" s="7"/>
      <c r="R392" s="7"/>
      <c r="S392" s="7"/>
    </row>
    <row r="393">
      <c r="A393" s="7" t="str">
        <f t="shared" si="1"/>
        <v>Bongiorni, Agustina</v>
      </c>
      <c r="B393" s="7">
        <f>SUMIFS('bd caja'!$K$1:$K$1012,'bd caja'!$D$1:$D$1012,A393)</f>
        <v>0</v>
      </c>
      <c r="C393" s="19">
        <f>IFERROR(__xludf.DUMMYFUNCTION("""COMPUTED_VALUE"""),45266.82009034722)</f>
        <v>45266.82009</v>
      </c>
      <c r="D393" s="7" t="str">
        <f>IFERROR(__xludf.DUMMYFUNCTION("""COMPUTED_VALUE"""),"Bongiorni")</f>
        <v>Bongiorni</v>
      </c>
      <c r="E393" s="7" t="str">
        <f>IFERROR(__xludf.DUMMYFUNCTION("""COMPUTED_VALUE"""),"Agustina")</f>
        <v>Agustina</v>
      </c>
      <c r="F393" s="7" t="str">
        <f>IFERROR(__xludf.DUMMYFUNCTION("""COMPUTED_VALUE"""),"abongiornifacu@gmail.com")</f>
        <v>abongiornifacu@gmail.com</v>
      </c>
      <c r="G393" s="20">
        <f>IFERROR(__xludf.DUMMYFUNCTION("""COMPUTED_VALUE"""),38358.0)</f>
        <v>38358</v>
      </c>
      <c r="H393" s="7">
        <f>IFERROR(__xludf.DUMMYFUNCTION("""COMPUTED_VALUE"""),4.6292118E7)</f>
        <v>46292118</v>
      </c>
      <c r="I393" s="7">
        <f>IFERROR(__xludf.DUMMYFUNCTION("""COMPUTED_VALUE"""),1.123886159E9)</f>
        <v>1123886159</v>
      </c>
      <c r="J393" s="7" t="str">
        <f>IFERROR(__xludf.DUMMYFUNCTION("""COMPUTED_VALUE"""),"Recomendación")</f>
        <v>Recomendación</v>
      </c>
      <c r="K393" s="7" t="str">
        <f>IFERROR(__xludf.DUMMYFUNCTION("""COMPUTED_VALUE"""),"Obra social")</f>
        <v>Obra social</v>
      </c>
      <c r="L393" s="7" t="str">
        <f>IFERROR(__xludf.DUMMYFUNCTION("""COMPUTED_VALUE"""),"Osde")</f>
        <v>Osde</v>
      </c>
      <c r="M393" s="7"/>
      <c r="N393" s="7"/>
      <c r="O393" s="7"/>
      <c r="P393" s="7"/>
      <c r="Q393" s="7"/>
      <c r="R393" s="7"/>
      <c r="S393" s="7"/>
    </row>
    <row r="394">
      <c r="A394" s="7" t="str">
        <f t="shared" si="1"/>
        <v>Rivilli, Damián Plácido </v>
      </c>
      <c r="B394" s="7">
        <f>SUMIFS('bd caja'!$K$1:$K$1012,'bd caja'!$D$1:$D$1012,A394)</f>
        <v>0</v>
      </c>
      <c r="C394" s="19">
        <f>IFERROR(__xludf.DUMMYFUNCTION("""COMPUTED_VALUE"""),45267.72247008102)</f>
        <v>45267.72247</v>
      </c>
      <c r="D394" s="7" t="str">
        <f>IFERROR(__xludf.DUMMYFUNCTION("""COMPUTED_VALUE"""),"Rivilli")</f>
        <v>Rivilli</v>
      </c>
      <c r="E394" s="7" t="str">
        <f>IFERROR(__xludf.DUMMYFUNCTION("""COMPUTED_VALUE"""),"Damián Plácido ")</f>
        <v>Damián Plácido </v>
      </c>
      <c r="F394" s="7" t="str">
        <f>IFERROR(__xludf.DUMMYFUNCTION("""COMPUTED_VALUE"""),"apvalor@hotmail.com")</f>
        <v>apvalor@hotmail.com</v>
      </c>
      <c r="G394" s="20">
        <f>IFERROR(__xludf.DUMMYFUNCTION("""COMPUTED_VALUE"""),29031.0)</f>
        <v>29031</v>
      </c>
      <c r="H394" s="7">
        <f>IFERROR(__xludf.DUMMYFUNCTION("""COMPUTED_VALUE"""),2.736867E7)</f>
        <v>27368670</v>
      </c>
      <c r="I394" s="7">
        <f>IFERROR(__xludf.DUMMYFUNCTION("""COMPUTED_VALUE"""),3.51558574E9)</f>
        <v>3515585740</v>
      </c>
      <c r="J394" s="7" t="str">
        <f>IFERROR(__xludf.DUMMYFUNCTION("""COMPUTED_VALUE"""),"Google")</f>
        <v>Google</v>
      </c>
      <c r="K394" s="7" t="str">
        <f>IFERROR(__xludf.DUMMYFUNCTION("""COMPUTED_VALUE"""),"Particular")</f>
        <v>Particular</v>
      </c>
      <c r="L394" s="7"/>
      <c r="M394" s="7"/>
      <c r="N394" s="7"/>
      <c r="O394" s="7"/>
      <c r="P394" s="7"/>
      <c r="Q394" s="7"/>
      <c r="R394" s="7"/>
      <c r="S394" s="7"/>
    </row>
    <row r="395">
      <c r="A395" s="7" t="str">
        <f t="shared" si="1"/>
        <v>Novillo, Emiliano</v>
      </c>
      <c r="B395" s="7">
        <f>SUMIFS('bd caja'!$K$1:$K$1012,'bd caja'!$D$1:$D$1012,A395)</f>
        <v>0</v>
      </c>
      <c r="C395" s="19">
        <f>IFERROR(__xludf.DUMMYFUNCTION("""COMPUTED_VALUE"""),45271.658213981485)</f>
        <v>45271.65821</v>
      </c>
      <c r="D395" s="7" t="str">
        <f>IFERROR(__xludf.DUMMYFUNCTION("""COMPUTED_VALUE"""),"Novillo")</f>
        <v>Novillo</v>
      </c>
      <c r="E395" s="7" t="str">
        <f>IFERROR(__xludf.DUMMYFUNCTION("""COMPUTED_VALUE"""),"Emiliano")</f>
        <v>Emiliano</v>
      </c>
      <c r="F395" s="7"/>
      <c r="G395" s="20">
        <f>IFERROR(__xludf.DUMMYFUNCTION("""COMPUTED_VALUE"""),36244.0)</f>
        <v>36244</v>
      </c>
      <c r="H395" s="7">
        <f>IFERROR(__xludf.DUMMYFUNCTION("""COMPUTED_VALUE"""),4.1847304E7)</f>
        <v>41847304</v>
      </c>
      <c r="I395" s="7">
        <f>IFERROR(__xludf.DUMMYFUNCTION("""COMPUTED_VALUE"""),3.512272206E9)</f>
        <v>3512272206</v>
      </c>
      <c r="J395" s="7" t="str">
        <f>IFERROR(__xludf.DUMMYFUNCTION("""COMPUTED_VALUE"""),"Voy al gym Manantial")</f>
        <v>Voy al gym Manantial</v>
      </c>
      <c r="K395" s="7" t="str">
        <f>IFERROR(__xludf.DUMMYFUNCTION("""COMPUTED_VALUE"""),"Particular")</f>
        <v>Particular</v>
      </c>
      <c r="L395" s="7"/>
      <c r="M395" s="7" t="str">
        <f>IFERROR(__xludf.DUMMYFUNCTION("""COMPUTED_VALUE"""),"Si")</f>
        <v>Si</v>
      </c>
      <c r="N395" s="7" t="str">
        <f>IFERROR(__xludf.DUMMYFUNCTION("""COMPUTED_VALUE"""),"Gimnasio")</f>
        <v>Gimnasio</v>
      </c>
      <c r="O395" s="7" t="str">
        <f>IFERROR(__xludf.DUMMYFUNCTION("""COMPUTED_VALUE"""),"3 a 5 veces por semana")</f>
        <v>3 a 5 veces por semana</v>
      </c>
      <c r="P395" s="7"/>
      <c r="Q395" s="7"/>
      <c r="R395" s="7"/>
      <c r="S395" s="7"/>
    </row>
    <row r="396">
      <c r="A396" s="7" t="str">
        <f t="shared" si="1"/>
        <v>Peralta, Daniel</v>
      </c>
      <c r="B396" s="7">
        <f>SUMIFS('bd caja'!$K$1:$K$1012,'bd caja'!$D$1:$D$1012,A396)</f>
        <v>0</v>
      </c>
      <c r="C396" s="19">
        <f>IFERROR(__xludf.DUMMYFUNCTION("""COMPUTED_VALUE"""),45271.7840497338)</f>
        <v>45271.78405</v>
      </c>
      <c r="D396" s="7" t="str">
        <f>IFERROR(__xludf.DUMMYFUNCTION("""COMPUTED_VALUE"""),"Peralta")</f>
        <v>Peralta</v>
      </c>
      <c r="E396" s="7" t="str">
        <f>IFERROR(__xludf.DUMMYFUNCTION("""COMPUTED_VALUE"""),"Daniel")</f>
        <v>Daniel</v>
      </c>
      <c r="F396" s="7" t="str">
        <f>IFERROR(__xludf.DUMMYFUNCTION("""COMPUTED_VALUE"""),"alvaroperaltamasin@gmail.com")</f>
        <v>alvaroperaltamasin@gmail.com</v>
      </c>
      <c r="G396" s="20">
        <f>IFERROR(__xludf.DUMMYFUNCTION("""COMPUTED_VALUE"""),29315.0)</f>
        <v>29315</v>
      </c>
      <c r="H396" s="7">
        <f>IFERROR(__xludf.DUMMYFUNCTION("""COMPUTED_VALUE"""),2.795886E7)</f>
        <v>27958860</v>
      </c>
      <c r="I396" s="7">
        <f>IFERROR(__xludf.DUMMYFUNCTION("""COMPUTED_VALUE"""),3.516564532E9)</f>
        <v>3516564532</v>
      </c>
      <c r="J396" s="7" t="str">
        <f>IFERROR(__xludf.DUMMYFUNCTION("""COMPUTED_VALUE"""),"Voy al gym Manantial")</f>
        <v>Voy al gym Manantial</v>
      </c>
      <c r="K396" s="7" t="str">
        <f>IFERROR(__xludf.DUMMYFUNCTION("""COMPUTED_VALUE"""),"Particular")</f>
        <v>Particular</v>
      </c>
      <c r="L396" s="7"/>
      <c r="M396" s="7" t="str">
        <f>IFERROR(__xludf.DUMMYFUNCTION("""COMPUTED_VALUE"""),"Si")</f>
        <v>Si</v>
      </c>
      <c r="N396" s="7" t="str">
        <f>IFERROR(__xludf.DUMMYFUNCTION("""COMPUTED_VALUE"""),"Fútbol")</f>
        <v>Fútbol</v>
      </c>
      <c r="O396" s="7" t="str">
        <f>IFERROR(__xludf.DUMMYFUNCTION("""COMPUTED_VALUE"""),"1 a 2 veces por semana")</f>
        <v>1 a 2 veces por semana</v>
      </c>
      <c r="P396" s="7"/>
      <c r="Q396" s="7"/>
      <c r="R396" s="7"/>
      <c r="S396" s="7"/>
    </row>
    <row r="397">
      <c r="A397" s="7" t="str">
        <f t="shared" si="1"/>
        <v>Rios, Andres </v>
      </c>
      <c r="B397" s="7">
        <f>SUMIFS('bd caja'!$K$1:$K$1012,'bd caja'!$D$1:$D$1012,A397)</f>
        <v>0</v>
      </c>
      <c r="C397" s="19">
        <f>IFERROR(__xludf.DUMMYFUNCTION("""COMPUTED_VALUE"""),45272.51682576389)</f>
        <v>45272.51683</v>
      </c>
      <c r="D397" s="7" t="str">
        <f>IFERROR(__xludf.DUMMYFUNCTION("""COMPUTED_VALUE"""),"Rios")</f>
        <v>Rios</v>
      </c>
      <c r="E397" s="7" t="str">
        <f>IFERROR(__xludf.DUMMYFUNCTION("""COMPUTED_VALUE"""),"Andres ")</f>
        <v>Andres </v>
      </c>
      <c r="F397" s="7" t="str">
        <f>IFERROR(__xludf.DUMMYFUNCTION("""COMPUTED_VALUE"""),"Riosandres151@gmail.com")</f>
        <v>Riosandres151@gmail.com</v>
      </c>
      <c r="G397" s="20">
        <f>IFERROR(__xludf.DUMMYFUNCTION("""COMPUTED_VALUE"""),36532.0)</f>
        <v>36532</v>
      </c>
      <c r="H397" s="21">
        <f>IFERROR(__xludf.DUMMYFUNCTION("""COMPUTED_VALUE"""),4.2304179E7)</f>
        <v>42304179</v>
      </c>
      <c r="I397" s="7">
        <f>IFERROR(__xludf.DUMMYFUNCTION("""COMPUTED_VALUE"""),3.515081835E9)</f>
        <v>3515081835</v>
      </c>
      <c r="J397" s="7" t="str">
        <f>IFERROR(__xludf.DUMMYFUNCTION("""COMPUTED_VALUE"""),"Recomendación")</f>
        <v>Recomendación</v>
      </c>
      <c r="K397" s="7" t="str">
        <f>IFERROR(__xludf.DUMMYFUNCTION("""COMPUTED_VALUE"""),"Obra social")</f>
        <v>Obra social</v>
      </c>
      <c r="L397" s="7"/>
      <c r="M397" s="7" t="str">
        <f>IFERROR(__xludf.DUMMYFUNCTION("""COMPUTED_VALUE"""),"Si")</f>
        <v>Si</v>
      </c>
      <c r="N397" s="7" t="str">
        <f>IFERROR(__xludf.DUMMYFUNCTION("""COMPUTED_VALUE"""),"Rugby")</f>
        <v>Rugby</v>
      </c>
      <c r="O397" s="7" t="str">
        <f>IFERROR(__xludf.DUMMYFUNCTION("""COMPUTED_VALUE"""),"3 a 5 veces por semana")</f>
        <v>3 a 5 veces por semana</v>
      </c>
      <c r="P397" s="7"/>
      <c r="Q397" s="7" t="str">
        <f>IFERROR(__xludf.DUMMYFUNCTION("""COMPUTED_VALUE"""),"APROSS")</f>
        <v>APROSS</v>
      </c>
      <c r="R397" s="7"/>
      <c r="S397" s="7"/>
    </row>
    <row r="398">
      <c r="A398" s="7" t="str">
        <f t="shared" si="1"/>
        <v>Ceballos, Francisco Agustin</v>
      </c>
      <c r="B398" s="7">
        <f>SUMIFS('bd caja'!$K$1:$K$1012,'bd caja'!$D$1:$D$1012,A398)</f>
        <v>0</v>
      </c>
      <c r="C398" s="19">
        <f>IFERROR(__xludf.DUMMYFUNCTION("""COMPUTED_VALUE"""),45272.55463197917)</f>
        <v>45272.55463</v>
      </c>
      <c r="D398" s="7" t="str">
        <f>IFERROR(__xludf.DUMMYFUNCTION("""COMPUTED_VALUE"""),"Ceballos")</f>
        <v>Ceballos</v>
      </c>
      <c r="E398" s="7" t="str">
        <f>IFERROR(__xludf.DUMMYFUNCTION("""COMPUTED_VALUE"""),"Francisco Agustin")</f>
        <v>Francisco Agustin</v>
      </c>
      <c r="F398" s="7" t="str">
        <f>IFERROR(__xludf.DUMMYFUNCTION("""COMPUTED_VALUE"""),"Ceallosfranciscoagustin@gmail.com")</f>
        <v>Ceallosfranciscoagustin@gmail.com</v>
      </c>
      <c r="G398" s="20">
        <f>IFERROR(__xludf.DUMMYFUNCTION("""COMPUTED_VALUE"""),35486.0)</f>
        <v>35486</v>
      </c>
      <c r="H398" s="7">
        <f>IFERROR(__xludf.DUMMYFUNCTION("""COMPUTED_VALUE"""),4.0247231E7)</f>
        <v>40247231</v>
      </c>
      <c r="I398" s="7">
        <f>IFERROR(__xludf.DUMMYFUNCTION("""COMPUTED_VALUE"""),3.517552344E9)</f>
        <v>3517552344</v>
      </c>
      <c r="J398" s="7" t="str">
        <f>IFERROR(__xludf.DUMMYFUNCTION("""COMPUTED_VALUE"""),"Recomendación")</f>
        <v>Recomendación</v>
      </c>
      <c r="K398" s="7" t="str">
        <f>IFERROR(__xludf.DUMMYFUNCTION("""COMPUTED_VALUE"""),"Particular")</f>
        <v>Particular</v>
      </c>
      <c r="L398" s="7"/>
      <c r="M398" s="7" t="str">
        <f>IFERROR(__xludf.DUMMYFUNCTION("""COMPUTED_VALUE"""),"Si")</f>
        <v>Si</v>
      </c>
      <c r="N398" s="7" t="str">
        <f>IFERROR(__xludf.DUMMYFUNCTION("""COMPUTED_VALUE"""),"Gimnasio")</f>
        <v>Gimnasio</v>
      </c>
      <c r="O398" s="7" t="str">
        <f>IFERROR(__xludf.DUMMYFUNCTION("""COMPUTED_VALUE"""),"3 a 5 veces por semana")</f>
        <v>3 a 5 veces por semana</v>
      </c>
      <c r="P398" s="7"/>
      <c r="Q398" s="7"/>
      <c r="R398" s="7"/>
      <c r="S398" s="7"/>
    </row>
    <row r="399">
      <c r="A399" s="7" t="str">
        <f t="shared" si="1"/>
        <v>Herrera, Leonel federico</v>
      </c>
      <c r="B399" s="7">
        <f>SUMIFS('bd caja'!$K$1:$K$1012,'bd caja'!$D$1:$D$1012,A399)</f>
        <v>0</v>
      </c>
      <c r="C399" s="19">
        <f>IFERROR(__xludf.DUMMYFUNCTION("""COMPUTED_VALUE"""),45273.80239321759)</f>
        <v>45273.80239</v>
      </c>
      <c r="D399" s="7" t="str">
        <f>IFERROR(__xludf.DUMMYFUNCTION("""COMPUTED_VALUE"""),"Herrera")</f>
        <v>Herrera</v>
      </c>
      <c r="E399" s="7" t="str">
        <f>IFERROR(__xludf.DUMMYFUNCTION("""COMPUTED_VALUE"""),"Leonel federico")</f>
        <v>Leonel federico</v>
      </c>
      <c r="F399" s="7" t="str">
        <f>IFERROR(__xludf.DUMMYFUNCTION("""COMPUTED_VALUE"""),"Leonelherrera028@gmail.com")</f>
        <v>Leonelherrera028@gmail.com</v>
      </c>
      <c r="G399" s="20">
        <f>IFERROR(__xludf.DUMMYFUNCTION("""COMPUTED_VALUE"""),33918.0)</f>
        <v>33918</v>
      </c>
      <c r="H399" s="7">
        <f>IFERROR(__xludf.DUMMYFUNCTION("""COMPUTED_VALUE"""),3.7134028E7)</f>
        <v>37134028</v>
      </c>
      <c r="I399" s="7">
        <f>IFERROR(__xludf.DUMMYFUNCTION("""COMPUTED_VALUE"""),3.516468723E9)</f>
        <v>3516468723</v>
      </c>
      <c r="J399" s="7" t="str">
        <f>IFERROR(__xludf.DUMMYFUNCTION("""COMPUTED_VALUE"""),"Instagram")</f>
        <v>Instagram</v>
      </c>
      <c r="K399" s="7" t="str">
        <f>IFERROR(__xludf.DUMMYFUNCTION("""COMPUTED_VALUE"""),"Particular")</f>
        <v>Particular</v>
      </c>
      <c r="L399" s="7"/>
      <c r="M399" s="7" t="str">
        <f>IFERROR(__xludf.DUMMYFUNCTION("""COMPUTED_VALUE"""),"No")</f>
        <v>No</v>
      </c>
      <c r="N399" s="7"/>
      <c r="O399" s="7"/>
      <c r="P399" s="7"/>
      <c r="Q399" s="7"/>
      <c r="R399" s="7"/>
      <c r="S399" s="7"/>
    </row>
    <row r="400">
      <c r="A400" s="7" t="str">
        <f t="shared" si="1"/>
        <v>Gomez, Sabrina</v>
      </c>
      <c r="B400" s="7">
        <f>SUMIFS('bd caja'!$K$1:$K$1012,'bd caja'!$D$1:$D$1012,A400)</f>
        <v>0</v>
      </c>
      <c r="C400" s="19">
        <f>IFERROR(__xludf.DUMMYFUNCTION("""COMPUTED_VALUE"""),45274.32902092593)</f>
        <v>45274.32902</v>
      </c>
      <c r="D400" s="7" t="str">
        <f>IFERROR(__xludf.DUMMYFUNCTION("""COMPUTED_VALUE"""),"Gomez")</f>
        <v>Gomez</v>
      </c>
      <c r="E400" s="7" t="str">
        <f>IFERROR(__xludf.DUMMYFUNCTION("""COMPUTED_VALUE"""),"Sabrina")</f>
        <v>Sabrina</v>
      </c>
      <c r="F400" s="7" t="str">
        <f>IFERROR(__xludf.DUMMYFUNCTION("""COMPUTED_VALUE"""),"sabri.sg69@gmail.com")</f>
        <v>sabri.sg69@gmail.com</v>
      </c>
      <c r="G400" s="20">
        <f>IFERROR(__xludf.DUMMYFUNCTION("""COMPUTED_VALUE"""),35953.0)</f>
        <v>35953</v>
      </c>
      <c r="H400" s="7">
        <f>IFERROR(__xludf.DUMMYFUNCTION("""COMPUTED_VALUE"""),4.1279827E7)</f>
        <v>41279827</v>
      </c>
      <c r="I400" s="7">
        <f>IFERROR(__xludf.DUMMYFUNCTION("""COMPUTED_VALUE"""),3.516165805E9)</f>
        <v>3516165805</v>
      </c>
      <c r="J400" s="7" t="str">
        <f>IFERROR(__xludf.DUMMYFUNCTION("""COMPUTED_VALUE"""),"Google")</f>
        <v>Google</v>
      </c>
      <c r="K400" s="7" t="str">
        <f>IFERROR(__xludf.DUMMYFUNCTION("""COMPUTED_VALUE"""),"Obra social")</f>
        <v>Obra social</v>
      </c>
      <c r="L400" s="7"/>
      <c r="M400" s="7" t="str">
        <f>IFERROR(__xludf.DUMMYFUNCTION("""COMPUTED_VALUE"""),"No")</f>
        <v>No</v>
      </c>
      <c r="N400" s="7"/>
      <c r="O400" s="7"/>
      <c r="P400" s="7"/>
      <c r="Q400" s="7" t="str">
        <f>IFERROR(__xludf.DUMMYFUNCTION("""COMPUTED_VALUE"""),"SANCOR")</f>
        <v>SANCOR</v>
      </c>
      <c r="R400" s="7"/>
      <c r="S400" s="7"/>
    </row>
    <row r="401">
      <c r="A401" s="7" t="str">
        <f t="shared" si="1"/>
        <v>Varoli, Nilda</v>
      </c>
      <c r="B401" s="7">
        <f>SUMIFS('bd caja'!$K$1:$K$1012,'bd caja'!$D$1:$D$1012,A401)</f>
        <v>0</v>
      </c>
      <c r="C401" s="19">
        <f>IFERROR(__xludf.DUMMYFUNCTION("""COMPUTED_VALUE"""),45274.65629387731)</f>
        <v>45274.65629</v>
      </c>
      <c r="D401" s="7" t="str">
        <f>IFERROR(__xludf.DUMMYFUNCTION("""COMPUTED_VALUE"""),"Varoli")</f>
        <v>Varoli</v>
      </c>
      <c r="E401" s="7" t="str">
        <f>IFERROR(__xludf.DUMMYFUNCTION("""COMPUTED_VALUE"""),"Nilda")</f>
        <v>Nilda</v>
      </c>
      <c r="F401" s="7"/>
      <c r="G401" s="20">
        <f>IFERROR(__xludf.DUMMYFUNCTION("""COMPUTED_VALUE"""),18449.0)</f>
        <v>18449</v>
      </c>
      <c r="H401" s="7">
        <f>IFERROR(__xludf.DUMMYFUNCTION("""COMPUTED_VALUE"""),6380545.0)</f>
        <v>6380545</v>
      </c>
      <c r="I401" s="7">
        <f>IFERROR(__xludf.DUMMYFUNCTION("""COMPUTED_VALUE"""),3.513974629E9)</f>
        <v>3513974629</v>
      </c>
      <c r="J401" s="7" t="str">
        <f>IFERROR(__xludf.DUMMYFUNCTION("""COMPUTED_VALUE"""),"Recomendación")</f>
        <v>Recomendación</v>
      </c>
      <c r="K401" s="7" t="str">
        <f>IFERROR(__xludf.DUMMYFUNCTION("""COMPUTED_VALUE"""),"Obra social")</f>
        <v>Obra social</v>
      </c>
      <c r="L401" s="7"/>
      <c r="M401" s="7" t="str">
        <f>IFERROR(__xludf.DUMMYFUNCTION("""COMPUTED_VALUE"""),"No")</f>
        <v>No</v>
      </c>
      <c r="N401" s="7"/>
      <c r="O401" s="7"/>
      <c r="P401" s="7"/>
      <c r="Q401" s="7" t="str">
        <f>IFERROR(__xludf.DUMMYFUNCTION("""COMPUTED_VALUE"""),"DASPU")</f>
        <v>DASPU</v>
      </c>
      <c r="R401" s="7"/>
      <c r="S401" s="7"/>
    </row>
    <row r="402">
      <c r="A402" s="7" t="str">
        <f t="shared" si="1"/>
        <v>Vaca Starodubskys , Enzo Martin </v>
      </c>
      <c r="B402" s="7">
        <f>SUMIFS('bd caja'!$K$1:$K$1012,'bd caja'!$D$1:$D$1012,A402)</f>
        <v>0</v>
      </c>
      <c r="C402" s="19">
        <f>IFERROR(__xludf.DUMMYFUNCTION("""COMPUTED_VALUE"""),45275.47670053241)</f>
        <v>45275.4767</v>
      </c>
      <c r="D402" s="7" t="str">
        <f>IFERROR(__xludf.DUMMYFUNCTION("""COMPUTED_VALUE"""),"Vaca Starodubskys ")</f>
        <v>Vaca Starodubskys </v>
      </c>
      <c r="E402" s="7" t="str">
        <f>IFERROR(__xludf.DUMMYFUNCTION("""COMPUTED_VALUE"""),"Enzo Martin ")</f>
        <v>Enzo Martin </v>
      </c>
      <c r="F402" s="7" t="str">
        <f>IFERROR(__xludf.DUMMYFUNCTION("""COMPUTED_VALUE"""),"martinvaca2002920@gmail.com")</f>
        <v>martinvaca2002920@gmail.com</v>
      </c>
      <c r="G402" s="20">
        <f>IFERROR(__xludf.DUMMYFUNCTION("""COMPUTED_VALUE"""),37519.0)</f>
        <v>37519</v>
      </c>
      <c r="H402" s="7">
        <f>IFERROR(__xludf.DUMMYFUNCTION("""COMPUTED_VALUE"""),4.4296744E7)</f>
        <v>44296744</v>
      </c>
      <c r="I402" s="7">
        <f>IFERROR(__xludf.DUMMYFUNCTION("""COMPUTED_VALUE"""),3.516260284E9)</f>
        <v>3516260284</v>
      </c>
      <c r="J402" s="7" t="str">
        <f>IFERROR(__xludf.DUMMYFUNCTION("""COMPUTED_VALUE"""),"Google")</f>
        <v>Google</v>
      </c>
      <c r="K402" s="7" t="str">
        <f>IFERROR(__xludf.DUMMYFUNCTION("""COMPUTED_VALUE"""),"Obra social")</f>
        <v>Obra social</v>
      </c>
      <c r="L402" s="7"/>
      <c r="M402" s="7" t="str">
        <f>IFERROR(__xludf.DUMMYFUNCTION("""COMPUTED_VALUE"""),"Si")</f>
        <v>Si</v>
      </c>
      <c r="N402" s="7" t="str">
        <f>IFERROR(__xludf.DUMMYFUNCTION("""COMPUTED_VALUE"""),"Gimnasio")</f>
        <v>Gimnasio</v>
      </c>
      <c r="O402" s="7" t="str">
        <f>IFERROR(__xludf.DUMMYFUNCTION("""COMPUTED_VALUE"""),"3 a 5 veces por semana")</f>
        <v>3 a 5 veces por semana</v>
      </c>
      <c r="P402" s="7"/>
      <c r="Q402" s="7" t="str">
        <f>IFERROR(__xludf.DUMMYFUNCTION("""COMPUTED_VALUE"""),"PREVENCIÓN")</f>
        <v>PREVENCIÓN</v>
      </c>
      <c r="R402" s="7"/>
      <c r="S402" s="7"/>
    </row>
    <row r="403">
      <c r="A403" s="7" t="str">
        <f t="shared" si="1"/>
        <v>Solis, Elva del Valle</v>
      </c>
      <c r="B403" s="7">
        <f>SUMIFS('bd caja'!$K$1:$K$1012,'bd caja'!$D$1:$D$1012,A403)</f>
        <v>0</v>
      </c>
      <c r="C403" s="19">
        <f>IFERROR(__xludf.DUMMYFUNCTION("""COMPUTED_VALUE"""),45278.793827002315)</f>
        <v>45278.79383</v>
      </c>
      <c r="D403" s="7" t="str">
        <f>IFERROR(__xludf.DUMMYFUNCTION("""COMPUTED_VALUE"""),"Solis")</f>
        <v>Solis</v>
      </c>
      <c r="E403" s="7" t="str">
        <f>IFERROR(__xludf.DUMMYFUNCTION("""COMPUTED_VALUE"""),"Elva del Valle")</f>
        <v>Elva del Valle</v>
      </c>
      <c r="F403" s="7" t="str">
        <f>IFERROR(__xludf.DUMMYFUNCTION("""COMPUTED_VALUE"""),"esolcampos@gmail.com")</f>
        <v>esolcampos@gmail.com</v>
      </c>
      <c r="G403" s="20">
        <f>IFERROR(__xludf.DUMMYFUNCTION("""COMPUTED_VALUE"""),18152.0)</f>
        <v>18152</v>
      </c>
      <c r="H403" s="7">
        <f>IFERROR(__xludf.DUMMYFUNCTION("""COMPUTED_VALUE"""),6257041.0)</f>
        <v>6257041</v>
      </c>
      <c r="I403" s="7">
        <f>IFERROR(__xludf.DUMMYFUNCTION("""COMPUTED_VALUE"""),3.518119918E9)</f>
        <v>3518119918</v>
      </c>
      <c r="J403" s="7" t="str">
        <f>IFERROR(__xludf.DUMMYFUNCTION("""COMPUTED_VALUE"""),"Google")</f>
        <v>Google</v>
      </c>
      <c r="K403" s="7" t="str">
        <f>IFERROR(__xludf.DUMMYFUNCTION("""COMPUTED_VALUE"""),"Particular")</f>
        <v>Particular</v>
      </c>
      <c r="L403" s="7"/>
      <c r="M403" s="7" t="str">
        <f>IFERROR(__xludf.DUMMYFUNCTION("""COMPUTED_VALUE"""),"No")</f>
        <v>No</v>
      </c>
      <c r="N403" s="7"/>
      <c r="O403" s="7"/>
      <c r="P403" s="7"/>
      <c r="Q403" s="7"/>
      <c r="R403" s="7"/>
      <c r="S403" s="7"/>
    </row>
    <row r="404">
      <c r="A404" s="7" t="str">
        <f t="shared" si="1"/>
        <v>Osorio, Carla Guadalupe </v>
      </c>
      <c r="B404" s="7">
        <f>SUMIFS('bd caja'!$K$1:$K$1012,'bd caja'!$D$1:$D$1012,A404)</f>
        <v>0</v>
      </c>
      <c r="C404" s="19">
        <f>IFERROR(__xludf.DUMMYFUNCTION("""COMPUTED_VALUE"""),45281.65697189815)</f>
        <v>45281.65697</v>
      </c>
      <c r="D404" s="7" t="str">
        <f>IFERROR(__xludf.DUMMYFUNCTION("""COMPUTED_VALUE"""),"Osorio")</f>
        <v>Osorio</v>
      </c>
      <c r="E404" s="7" t="str">
        <f>IFERROR(__xludf.DUMMYFUNCTION("""COMPUTED_VALUE"""),"Carla Guadalupe ")</f>
        <v>Carla Guadalupe </v>
      </c>
      <c r="F404" s="7" t="str">
        <f>IFERROR(__xludf.DUMMYFUNCTION("""COMPUTED_VALUE"""),"guadalupe94osorio@gmail.com")</f>
        <v>guadalupe94osorio@gmail.com</v>
      </c>
      <c r="G404" s="20">
        <f>IFERROR(__xludf.DUMMYFUNCTION("""COMPUTED_VALUE"""),34458.0)</f>
        <v>34458</v>
      </c>
      <c r="H404" s="7">
        <f>IFERROR(__xludf.DUMMYFUNCTION("""COMPUTED_VALUE"""),3.8181293E7)</f>
        <v>38181293</v>
      </c>
      <c r="I404" s="7">
        <f>IFERROR(__xludf.DUMMYFUNCTION("""COMPUTED_VALUE"""),3.51633942E9)</f>
        <v>3516339420</v>
      </c>
      <c r="J404" s="7" t="str">
        <f>IFERROR(__xludf.DUMMYFUNCTION("""COMPUTED_VALUE"""),"Google")</f>
        <v>Google</v>
      </c>
      <c r="K404" s="7" t="str">
        <f>IFERROR(__xludf.DUMMYFUNCTION("""COMPUTED_VALUE"""),"Obra social")</f>
        <v>Obra social</v>
      </c>
      <c r="L404" s="7"/>
      <c r="M404" s="7" t="str">
        <f>IFERROR(__xludf.DUMMYFUNCTION("""COMPUTED_VALUE"""),"Si")</f>
        <v>Si</v>
      </c>
      <c r="N404" s="7" t="str">
        <f>IFERROR(__xludf.DUMMYFUNCTION("""COMPUTED_VALUE"""),"Fútbol")</f>
        <v>Fútbol</v>
      </c>
      <c r="O404" s="7" t="str">
        <f>IFERROR(__xludf.DUMMYFUNCTION("""COMPUTED_VALUE"""),"1 a 2 veces por semana")</f>
        <v>1 a 2 veces por semana</v>
      </c>
      <c r="P404" s="7"/>
      <c r="Q404" s="7" t="str">
        <f>IFERROR(__xludf.DUMMYFUNCTION("""COMPUTED_VALUE"""),"APROSS")</f>
        <v>APROSS</v>
      </c>
      <c r="R404" s="7"/>
      <c r="S404" s="7"/>
    </row>
    <row r="405">
      <c r="A405" s="7" t="str">
        <f t="shared" si="1"/>
        <v>Boriglio, Hernan</v>
      </c>
      <c r="B405" s="7">
        <f>SUMIFS('bd caja'!$K$1:$K$1012,'bd caja'!$D$1:$D$1012,A405)</f>
        <v>0</v>
      </c>
      <c r="C405" s="19">
        <f>IFERROR(__xludf.DUMMYFUNCTION("""COMPUTED_VALUE"""),45281.70799008102)</f>
        <v>45281.70799</v>
      </c>
      <c r="D405" s="7" t="str">
        <f>IFERROR(__xludf.DUMMYFUNCTION("""COMPUTED_VALUE"""),"Boriglio")</f>
        <v>Boriglio</v>
      </c>
      <c r="E405" s="7" t="str">
        <f>IFERROR(__xludf.DUMMYFUNCTION("""COMPUTED_VALUE"""),"Hernan")</f>
        <v>Hernan</v>
      </c>
      <c r="F405" s="7" t="str">
        <f>IFERROR(__xludf.DUMMYFUNCTION("""COMPUTED_VALUE"""),"borigliohernan@gmail.com")</f>
        <v>borigliohernan@gmail.com</v>
      </c>
      <c r="G405" s="20">
        <f>IFERROR(__xludf.DUMMYFUNCTION("""COMPUTED_VALUE"""),33000.0)</f>
        <v>33000</v>
      </c>
      <c r="H405" s="7">
        <f>IFERROR(__xludf.DUMMYFUNCTION("""COMPUTED_VALUE"""),3.5527485E7)</f>
        <v>35527485</v>
      </c>
      <c r="I405" s="7">
        <f>IFERROR(__xludf.DUMMYFUNCTION("""COMPUTED_VALUE"""),3.516430542E9)</f>
        <v>3516430542</v>
      </c>
      <c r="J405" s="7" t="str">
        <f>IFERROR(__xludf.DUMMYFUNCTION("""COMPUTED_VALUE"""),"Voy al gym Manantial")</f>
        <v>Voy al gym Manantial</v>
      </c>
      <c r="K405" s="7" t="str">
        <f>IFERROR(__xludf.DUMMYFUNCTION("""COMPUTED_VALUE"""),"Particular")</f>
        <v>Particular</v>
      </c>
      <c r="L405" s="7"/>
      <c r="M405" s="7" t="str">
        <f>IFERROR(__xludf.DUMMYFUNCTION("""COMPUTED_VALUE"""),"Si")</f>
        <v>Si</v>
      </c>
      <c r="N405" s="7" t="str">
        <f>IFERROR(__xludf.DUMMYFUNCTION("""COMPUTED_VALUE"""),"Fútbol")</f>
        <v>Fútbol</v>
      </c>
      <c r="O405" s="7" t="str">
        <f>IFERROR(__xludf.DUMMYFUNCTION("""COMPUTED_VALUE"""),"3 a 5 veces por semana")</f>
        <v>3 a 5 veces por semana</v>
      </c>
      <c r="P405" s="7"/>
      <c r="Q405" s="7"/>
      <c r="R405" s="7"/>
      <c r="S405" s="7"/>
    </row>
    <row r="406">
      <c r="A406" s="7" t="str">
        <f t="shared" si="1"/>
        <v>Peralta, Patricia</v>
      </c>
      <c r="B406" s="7">
        <f>SUMIFS('bd caja'!$K$1:$K$1012,'bd caja'!$D$1:$D$1012,A406)</f>
        <v>0</v>
      </c>
      <c r="C406" s="19">
        <f>IFERROR(__xludf.DUMMYFUNCTION("""COMPUTED_VALUE"""),45282.65570668981)</f>
        <v>45282.65571</v>
      </c>
      <c r="D406" s="7" t="str">
        <f>IFERROR(__xludf.DUMMYFUNCTION("""COMPUTED_VALUE"""),"Peralta")</f>
        <v>Peralta</v>
      </c>
      <c r="E406" s="7" t="str">
        <f>IFERROR(__xludf.DUMMYFUNCTION("""COMPUTED_VALUE"""),"Patricia")</f>
        <v>Patricia</v>
      </c>
      <c r="F406" s="7" t="str">
        <f>IFERROR(__xludf.DUMMYFUNCTION("""COMPUTED_VALUE"""),"patricia_peralta20@yahoo.com.ar")</f>
        <v>patricia_peralta20@yahoo.com.ar</v>
      </c>
      <c r="G406" s="20">
        <f>IFERROR(__xludf.DUMMYFUNCTION("""COMPUTED_VALUE"""),24370.0)</f>
        <v>24370</v>
      </c>
      <c r="H406" s="7">
        <f>IFERROR(__xludf.DUMMYFUNCTION("""COMPUTED_VALUE"""),1.8014611E7)</f>
        <v>18014611</v>
      </c>
      <c r="I406" s="7">
        <f>IFERROR(__xludf.DUMMYFUNCTION("""COMPUTED_VALUE"""),3.515477733E9)</f>
        <v>3515477733</v>
      </c>
      <c r="J406" s="7" t="str">
        <f>IFERROR(__xludf.DUMMYFUNCTION("""COMPUTED_VALUE"""),"Google")</f>
        <v>Google</v>
      </c>
      <c r="K406" s="7" t="str">
        <f>IFERROR(__xludf.DUMMYFUNCTION("""COMPUTED_VALUE"""),"Obra social")</f>
        <v>Obra social</v>
      </c>
      <c r="L406" s="7"/>
      <c r="M406" s="7" t="str">
        <f>IFERROR(__xludf.DUMMYFUNCTION("""COMPUTED_VALUE"""),"No")</f>
        <v>No</v>
      </c>
      <c r="N406" s="7"/>
      <c r="O406" s="7"/>
      <c r="P406" s="7"/>
      <c r="Q406" s="7" t="str">
        <f>IFERROR(__xludf.DUMMYFUNCTION("""COMPUTED_VALUE"""),"SANCOR")</f>
        <v>SANCOR</v>
      </c>
      <c r="R406" s="7"/>
      <c r="S406" s="7"/>
    </row>
    <row r="407">
      <c r="A407" s="7" t="str">
        <f t="shared" si="1"/>
        <v>Rossi, Paulino</v>
      </c>
      <c r="B407" s="7">
        <f>SUMIFS('bd caja'!$K$1:$K$1012,'bd caja'!$D$1:$D$1012,A407)</f>
        <v>0</v>
      </c>
      <c r="C407" s="19">
        <f>IFERROR(__xludf.DUMMYFUNCTION("""COMPUTED_VALUE"""),45286.73406859954)</f>
        <v>45286.73407</v>
      </c>
      <c r="D407" s="7" t="str">
        <f>IFERROR(__xludf.DUMMYFUNCTION("""COMPUTED_VALUE"""),"Rossi")</f>
        <v>Rossi</v>
      </c>
      <c r="E407" s="7" t="str">
        <f>IFERROR(__xludf.DUMMYFUNCTION("""COMPUTED_VALUE"""),"Paulino")</f>
        <v>Paulino</v>
      </c>
      <c r="F407" s="7" t="str">
        <f>IFERROR(__xludf.DUMMYFUNCTION("""COMPUTED_VALUE"""),"Paulinorosi@gmail.com")</f>
        <v>Paulinorosi@gmail.com</v>
      </c>
      <c r="G407" s="20">
        <f>IFERROR(__xludf.DUMMYFUNCTION("""COMPUTED_VALUE"""),28568.0)</f>
        <v>28568</v>
      </c>
      <c r="H407" s="7">
        <f>IFERROR(__xludf.DUMMYFUNCTION("""COMPUTED_VALUE"""),2.6563502E7)</f>
        <v>26563502</v>
      </c>
      <c r="I407" s="7">
        <f>IFERROR(__xludf.DUMMYFUNCTION("""COMPUTED_VALUE"""),2.964410225E9)</f>
        <v>2964410225</v>
      </c>
      <c r="J407" s="7" t="str">
        <f>IFERROR(__xludf.DUMMYFUNCTION("""COMPUTED_VALUE"""),"Instagram")</f>
        <v>Instagram</v>
      </c>
      <c r="K407" s="7" t="str">
        <f>IFERROR(__xludf.DUMMYFUNCTION("""COMPUTED_VALUE"""),"Particular")</f>
        <v>Particular</v>
      </c>
      <c r="L407" s="7"/>
      <c r="M407" s="7" t="str">
        <f>IFERROR(__xludf.DUMMYFUNCTION("""COMPUTED_VALUE"""),"Si")</f>
        <v>Si</v>
      </c>
      <c r="N407" s="7" t="str">
        <f>IFERROR(__xludf.DUMMYFUNCTION("""COMPUTED_VALUE"""),"Gimnasio")</f>
        <v>Gimnasio</v>
      </c>
      <c r="O407" s="7" t="str">
        <f>IFERROR(__xludf.DUMMYFUNCTION("""COMPUTED_VALUE"""),"3 a 5 veces por semana")</f>
        <v>3 a 5 veces por semana</v>
      </c>
      <c r="P407" s="7"/>
      <c r="Q407" s="7"/>
      <c r="R407" s="7"/>
      <c r="S407" s="7"/>
    </row>
    <row r="408">
      <c r="A408" s="7" t="str">
        <f t="shared" si="1"/>
        <v>Lerda, Maximiliano</v>
      </c>
      <c r="B408" s="7">
        <f>SUMIFS('bd caja'!$K$1:$K$1012,'bd caja'!$D$1:$D$1012,A408)</f>
        <v>0</v>
      </c>
      <c r="C408" s="19">
        <f>IFERROR(__xludf.DUMMYFUNCTION("""COMPUTED_VALUE"""),45286.845951400464)</f>
        <v>45286.84595</v>
      </c>
      <c r="D408" s="7" t="str">
        <f>IFERROR(__xludf.DUMMYFUNCTION("""COMPUTED_VALUE"""),"Lerda")</f>
        <v>Lerda</v>
      </c>
      <c r="E408" s="7" t="str">
        <f>IFERROR(__xludf.DUMMYFUNCTION("""COMPUTED_VALUE"""),"Maximiliano")</f>
        <v>Maximiliano</v>
      </c>
      <c r="F408" s="7" t="str">
        <f>IFERROR(__xludf.DUMMYFUNCTION("""COMPUTED_VALUE"""),"fotocromiacordoba@gmail.com")</f>
        <v>fotocromiacordoba@gmail.com</v>
      </c>
      <c r="G408" s="20">
        <f>IFERROR(__xludf.DUMMYFUNCTION("""COMPUTED_VALUE"""),28511.0)</f>
        <v>28511</v>
      </c>
      <c r="H408" s="7">
        <f>IFERROR(__xludf.DUMMYFUNCTION("""COMPUTED_VALUE"""),2.6413524E7)</f>
        <v>26413524</v>
      </c>
      <c r="I408" s="7">
        <f>IFERROR(__xludf.DUMMYFUNCTION("""COMPUTED_VALUE"""),3.515737919E9)</f>
        <v>3515737919</v>
      </c>
      <c r="J408" s="7" t="str">
        <f>IFERROR(__xludf.DUMMYFUNCTION("""COMPUTED_VALUE"""),"Recomendación")</f>
        <v>Recomendación</v>
      </c>
      <c r="K408" s="7" t="str">
        <f>IFERROR(__xludf.DUMMYFUNCTION("""COMPUTED_VALUE"""),"Particular")</f>
        <v>Particular</v>
      </c>
      <c r="L408" s="7"/>
      <c r="M408" s="7" t="str">
        <f>IFERROR(__xludf.DUMMYFUNCTION("""COMPUTED_VALUE"""),"Si")</f>
        <v>Si</v>
      </c>
      <c r="N408" s="7" t="str">
        <f>IFERROR(__xludf.DUMMYFUNCTION("""COMPUTED_VALUE"""),"Padel y gimnasio ")</f>
        <v>Padel y gimnasio </v>
      </c>
      <c r="O408" s="7" t="str">
        <f>IFERROR(__xludf.DUMMYFUNCTION("""COMPUTED_VALUE"""),"3 a 5 veces por semana")</f>
        <v>3 a 5 veces por semana</v>
      </c>
      <c r="P408" s="7"/>
      <c r="Q408" s="7"/>
      <c r="R408" s="7"/>
      <c r="S408" s="7"/>
    </row>
    <row r="409">
      <c r="A409" s="7" t="str">
        <f t="shared" si="1"/>
        <v>Bertetti, Adrian</v>
      </c>
      <c r="B409" s="7">
        <f>SUMIFS('bd caja'!$K$1:$K$1012,'bd caja'!$D$1:$D$1012,A409)</f>
        <v>0</v>
      </c>
      <c r="C409" s="19">
        <f>IFERROR(__xludf.DUMMYFUNCTION("""COMPUTED_VALUE"""),45287.80583668982)</f>
        <v>45287.80584</v>
      </c>
      <c r="D409" s="7" t="str">
        <f>IFERROR(__xludf.DUMMYFUNCTION("""COMPUTED_VALUE"""),"Bertetti")</f>
        <v>Bertetti</v>
      </c>
      <c r="E409" s="7" t="str">
        <f>IFERROR(__xludf.DUMMYFUNCTION("""COMPUTED_VALUE"""),"Adrian")</f>
        <v>Adrian</v>
      </c>
      <c r="F409" s="7" t="str">
        <f>IFERROR(__xludf.DUMMYFUNCTION("""COMPUTED_VALUE"""),"Sentidopublicidad@gmail.com")</f>
        <v>Sentidopublicidad@gmail.com</v>
      </c>
      <c r="G409" s="20">
        <f>IFERROR(__xludf.DUMMYFUNCTION("""COMPUTED_VALUE"""),27414.0)</f>
        <v>27414</v>
      </c>
      <c r="H409" s="7">
        <f>IFERROR(__xludf.DUMMYFUNCTION("""COMPUTED_VALUE"""),2.436765E7)</f>
        <v>24367650</v>
      </c>
      <c r="I409" s="7">
        <f>IFERROR(__xludf.DUMMYFUNCTION("""COMPUTED_VALUE"""),3.512230904E9)</f>
        <v>3512230904</v>
      </c>
      <c r="J409" s="7" t="str">
        <f>IFERROR(__xludf.DUMMYFUNCTION("""COMPUTED_VALUE"""),"Recomendación")</f>
        <v>Recomendación</v>
      </c>
      <c r="K409" s="7" t="str">
        <f>IFERROR(__xludf.DUMMYFUNCTION("""COMPUTED_VALUE"""),"Obra social")</f>
        <v>Obra social</v>
      </c>
      <c r="L409" s="7"/>
      <c r="M409" s="7" t="str">
        <f>IFERROR(__xludf.DUMMYFUNCTION("""COMPUTED_VALUE"""),"Si")</f>
        <v>Si</v>
      </c>
      <c r="N409" s="7" t="str">
        <f>IFERROR(__xludf.DUMMYFUNCTION("""COMPUTED_VALUE"""),"Natación ")</f>
        <v>Natación </v>
      </c>
      <c r="O409" s="7" t="str">
        <f>IFERROR(__xludf.DUMMYFUNCTION("""COMPUTED_VALUE"""),"3 a 5 veces por semana")</f>
        <v>3 a 5 veces por semana</v>
      </c>
      <c r="P409" s="7"/>
      <c r="Q409" s="7" t="str">
        <f>IFERROR(__xludf.DUMMYFUNCTION("""COMPUTED_VALUE"""),"Ospaca")</f>
        <v>Ospaca</v>
      </c>
      <c r="R409" s="7"/>
      <c r="S409" s="7"/>
    </row>
    <row r="410">
      <c r="A410" s="7" t="str">
        <f t="shared" si="1"/>
        <v>Bardus, Alan</v>
      </c>
      <c r="B410" s="7">
        <f>SUMIFS('bd caja'!$K$1:$K$1012,'bd caja'!$D$1:$D$1012,A410)</f>
        <v>0</v>
      </c>
      <c r="C410" s="19">
        <f>IFERROR(__xludf.DUMMYFUNCTION("""COMPUTED_VALUE"""),45287.814458946756)</f>
        <v>45287.81446</v>
      </c>
      <c r="D410" s="7" t="str">
        <f>IFERROR(__xludf.DUMMYFUNCTION("""COMPUTED_VALUE"""),"Bardus")</f>
        <v>Bardus</v>
      </c>
      <c r="E410" s="7" t="str">
        <f>IFERROR(__xludf.DUMMYFUNCTION("""COMPUTED_VALUE"""),"Alan")</f>
        <v>Alan</v>
      </c>
      <c r="F410" s="7"/>
      <c r="G410" s="20">
        <f>IFERROR(__xludf.DUMMYFUNCTION("""COMPUTED_VALUE"""),37664.0)</f>
        <v>37664</v>
      </c>
      <c r="H410" s="7">
        <f>IFERROR(__xludf.DUMMYFUNCTION("""COMPUTED_VALUE"""),4.4693986E7)</f>
        <v>44693986</v>
      </c>
      <c r="I410" s="7">
        <f>IFERROR(__xludf.DUMMYFUNCTION("""COMPUTED_VALUE"""),3.517963302E9)</f>
        <v>3517963302</v>
      </c>
      <c r="J410" s="7" t="str">
        <f>IFERROR(__xludf.DUMMYFUNCTION("""COMPUTED_VALUE"""),"Recomendación")</f>
        <v>Recomendación</v>
      </c>
      <c r="K410" s="7" t="str">
        <f>IFERROR(__xludf.DUMMYFUNCTION("""COMPUTED_VALUE"""),"Particular")</f>
        <v>Particular</v>
      </c>
      <c r="L410" s="7"/>
      <c r="M410" s="7" t="str">
        <f>IFERROR(__xludf.DUMMYFUNCTION("""COMPUTED_VALUE"""),"No")</f>
        <v>No</v>
      </c>
      <c r="N410" s="7"/>
      <c r="O410" s="7"/>
      <c r="P410" s="7"/>
      <c r="Q410" s="7"/>
      <c r="R410" s="7"/>
      <c r="S410" s="7"/>
    </row>
    <row r="411">
      <c r="A411" s="7" t="str">
        <f t="shared" si="1"/>
        <v>Miretti , Jorge </v>
      </c>
      <c r="B411" s="7">
        <f>SUMIFS('bd caja'!$K$1:$K$1012,'bd caja'!$D$1:$D$1012,A411)</f>
        <v>0</v>
      </c>
      <c r="C411" s="19">
        <f>IFERROR(__xludf.DUMMYFUNCTION("""COMPUTED_VALUE"""),45288.80051909722)</f>
        <v>45288.80052</v>
      </c>
      <c r="D411" s="7" t="str">
        <f>IFERROR(__xludf.DUMMYFUNCTION("""COMPUTED_VALUE"""),"Miretti ")</f>
        <v>Miretti </v>
      </c>
      <c r="E411" s="7" t="str">
        <f>IFERROR(__xludf.DUMMYFUNCTION("""COMPUTED_VALUE"""),"Jorge ")</f>
        <v>Jorge </v>
      </c>
      <c r="F411" s="7" t="str">
        <f>IFERROR(__xludf.DUMMYFUNCTION("""COMPUTED_VALUE"""),"jorgemartinmiretti@hotmail.com")</f>
        <v>jorgemartinmiretti@hotmail.com</v>
      </c>
      <c r="G411" s="20">
        <f>IFERROR(__xludf.DUMMYFUNCTION("""COMPUTED_VALUE"""),34998.0)</f>
        <v>34998</v>
      </c>
      <c r="H411" s="7">
        <f>IFERROR(__xludf.DUMMYFUNCTION("""COMPUTED_VALUE"""),3.9303967E7)</f>
        <v>39303967</v>
      </c>
      <c r="I411" s="7">
        <f>IFERROR(__xludf.DUMMYFUNCTION("""COMPUTED_VALUE"""),3.512280313E9)</f>
        <v>3512280313</v>
      </c>
      <c r="J411" s="7" t="str">
        <f>IFERROR(__xludf.DUMMYFUNCTION("""COMPUTED_VALUE"""),"Recomendación")</f>
        <v>Recomendación</v>
      </c>
      <c r="K411" s="7" t="str">
        <f>IFERROR(__xludf.DUMMYFUNCTION("""COMPUTED_VALUE"""),"Obra social")</f>
        <v>Obra social</v>
      </c>
      <c r="L411" s="7"/>
      <c r="M411" s="7" t="str">
        <f>IFERROR(__xludf.DUMMYFUNCTION("""COMPUTED_VALUE"""),"Si")</f>
        <v>Si</v>
      </c>
      <c r="N411" s="7" t="str">
        <f>IFERROR(__xludf.DUMMYFUNCTION("""COMPUTED_VALUE"""),"Scuash ")</f>
        <v>Scuash </v>
      </c>
      <c r="O411" s="7" t="str">
        <f>IFERROR(__xludf.DUMMYFUNCTION("""COMPUTED_VALUE"""),"1 a 2 veces por semana")</f>
        <v>1 a 2 veces por semana</v>
      </c>
      <c r="P411" s="7"/>
      <c r="Q411" s="7" t="str">
        <f>IFERROR(__xludf.DUMMYFUNCTION("""COMPUTED_VALUE"""),"PREVENCIÓN")</f>
        <v>PREVENCIÓN</v>
      </c>
      <c r="R411" s="7"/>
      <c r="S411" s="7"/>
    </row>
    <row r="412">
      <c r="A412" s="7" t="str">
        <f t="shared" si="1"/>
        <v>Barrionuevo , Ileana</v>
      </c>
      <c r="B412" s="7">
        <f>SUMIFS('bd caja'!$K$1:$K$1012,'bd caja'!$D$1:$D$1012,A412)</f>
        <v>0</v>
      </c>
      <c r="C412" s="19">
        <f>IFERROR(__xludf.DUMMYFUNCTION("""COMPUTED_VALUE"""),45289.42234237268)</f>
        <v>45289.42234</v>
      </c>
      <c r="D412" s="7" t="str">
        <f>IFERROR(__xludf.DUMMYFUNCTION("""COMPUTED_VALUE"""),"Barrionuevo ")</f>
        <v>Barrionuevo </v>
      </c>
      <c r="E412" s="7" t="str">
        <f>IFERROR(__xludf.DUMMYFUNCTION("""COMPUTED_VALUE"""),"Ileana")</f>
        <v>Ileana</v>
      </c>
      <c r="F412" s="7" t="str">
        <f>IFERROR(__xludf.DUMMYFUNCTION("""COMPUTED_VALUE"""),"ilebarrionuevo@gmail.com")</f>
        <v>ilebarrionuevo@gmail.com</v>
      </c>
      <c r="G412" s="20">
        <f>IFERROR(__xludf.DUMMYFUNCTION("""COMPUTED_VALUE"""),35220.0)</f>
        <v>35220</v>
      </c>
      <c r="H412" s="7">
        <f>IFERROR(__xludf.DUMMYFUNCTION("""COMPUTED_VALUE"""),3.9621033E7)</f>
        <v>39621033</v>
      </c>
      <c r="I412" s="7">
        <f>IFERROR(__xludf.DUMMYFUNCTION("""COMPUTED_VALUE"""),3.513251452E9)</f>
        <v>3513251452</v>
      </c>
      <c r="J412" s="7" t="str">
        <f>IFERROR(__xludf.DUMMYFUNCTION("""COMPUTED_VALUE"""),"Google")</f>
        <v>Google</v>
      </c>
      <c r="K412" s="7" t="str">
        <f>IFERROR(__xludf.DUMMYFUNCTION("""COMPUTED_VALUE"""),"Obra social")</f>
        <v>Obra social</v>
      </c>
      <c r="L412" s="7"/>
      <c r="M412" s="7" t="str">
        <f>IFERROR(__xludf.DUMMYFUNCTION("""COMPUTED_VALUE"""),"Si")</f>
        <v>Si</v>
      </c>
      <c r="N412" s="7" t="str">
        <f>IFERROR(__xludf.DUMMYFUNCTION("""COMPUTED_VALUE"""),"Gimnasio")</f>
        <v>Gimnasio</v>
      </c>
      <c r="O412" s="7" t="str">
        <f>IFERROR(__xludf.DUMMYFUNCTION("""COMPUTED_VALUE"""),"3 a 5 veces por semana")</f>
        <v>3 a 5 veces por semana</v>
      </c>
      <c r="P412" s="7"/>
      <c r="Q412" s="7" t="str">
        <f>IFERROR(__xludf.DUMMYFUNCTION("""COMPUTED_VALUE"""),"Swiss medical plan TNIG")</f>
        <v>Swiss medical plan TNIG</v>
      </c>
      <c r="R412" s="7"/>
      <c r="S412" s="7"/>
    </row>
    <row r="413">
      <c r="A413" s="7" t="str">
        <f t="shared" si="1"/>
        <v>Ferez, Maximiliano</v>
      </c>
      <c r="B413" s="7">
        <f>SUMIFS('bd caja'!$K$1:$K$1012,'bd caja'!$D$1:$D$1012,A413)</f>
        <v>0</v>
      </c>
      <c r="C413" s="19">
        <f>IFERROR(__xludf.DUMMYFUNCTION("""COMPUTED_VALUE"""),45293.53855298611)</f>
        <v>45293.53855</v>
      </c>
      <c r="D413" s="7" t="str">
        <f>IFERROR(__xludf.DUMMYFUNCTION("""COMPUTED_VALUE"""),"Ferez")</f>
        <v>Ferez</v>
      </c>
      <c r="E413" s="7" t="str">
        <f>IFERROR(__xludf.DUMMYFUNCTION("""COMPUTED_VALUE"""),"Maximiliano")</f>
        <v>Maximiliano</v>
      </c>
      <c r="F413" s="7" t="str">
        <f>IFERROR(__xludf.DUMMYFUNCTION("""COMPUTED_VALUE"""),"mferez92@gmail.com")</f>
        <v>mferez92@gmail.com</v>
      </c>
      <c r="G413" s="20">
        <f>IFERROR(__xludf.DUMMYFUNCTION("""COMPUTED_VALUE"""),45284.0)</f>
        <v>45284</v>
      </c>
      <c r="H413" s="7">
        <f>IFERROR(__xludf.DUMMYFUNCTION("""COMPUTED_VALUE"""),3.7327201E7)</f>
        <v>37327201</v>
      </c>
      <c r="I413" s="7">
        <f>IFERROR(__xludf.DUMMYFUNCTION("""COMPUTED_VALUE"""),3.7947007E9)</f>
        <v>3794700700</v>
      </c>
      <c r="J413" s="7" t="str">
        <f>IFERROR(__xludf.DUMMYFUNCTION("""COMPUTED_VALUE"""),"Google")</f>
        <v>Google</v>
      </c>
      <c r="K413" s="7" t="str">
        <f>IFERROR(__xludf.DUMMYFUNCTION("""COMPUTED_VALUE"""),"Obra social")</f>
        <v>Obra social</v>
      </c>
      <c r="L413" s="7"/>
      <c r="M413" s="7" t="str">
        <f>IFERROR(__xludf.DUMMYFUNCTION("""COMPUTED_VALUE"""),"Si")</f>
        <v>Si</v>
      </c>
      <c r="N413" s="7" t="str">
        <f>IFERROR(__xludf.DUMMYFUNCTION("""COMPUTED_VALUE"""),"Gimnasio")</f>
        <v>Gimnasio</v>
      </c>
      <c r="O413" s="7" t="str">
        <f>IFERROR(__xludf.DUMMYFUNCTION("""COMPUTED_VALUE"""),"3 a 5 veces por semana")</f>
        <v>3 a 5 veces por semana</v>
      </c>
      <c r="P413" s="7"/>
      <c r="Q413" s="7" t="str">
        <f>IFERROR(__xludf.DUMMYFUNCTION("""COMPUTED_VALUE"""),"Iosfa")</f>
        <v>Iosfa</v>
      </c>
      <c r="R413" s="7"/>
      <c r="S413" s="7"/>
    </row>
    <row r="414">
      <c r="A414" s="7" t="str">
        <f t="shared" si="1"/>
        <v>Beker, Judith</v>
      </c>
      <c r="B414" s="7">
        <f>SUMIFS('bd caja'!$K$1:$K$1012,'bd caja'!$D$1:$D$1012,A414)</f>
        <v>0</v>
      </c>
      <c r="C414" s="19">
        <f>IFERROR(__xludf.DUMMYFUNCTION("""COMPUTED_VALUE"""),45293.72781002315)</f>
        <v>45293.72781</v>
      </c>
      <c r="D414" s="7" t="str">
        <f>IFERROR(__xludf.DUMMYFUNCTION("""COMPUTED_VALUE"""),"Beker")</f>
        <v>Beker</v>
      </c>
      <c r="E414" s="7" t="str">
        <f>IFERROR(__xludf.DUMMYFUNCTION("""COMPUTED_VALUE"""),"Judith")</f>
        <v>Judith</v>
      </c>
      <c r="F414" s="7" t="str">
        <f>IFERROR(__xludf.DUMMYFUNCTION("""COMPUTED_VALUE"""),"judithbeker@hotmail.com")</f>
        <v>judithbeker@hotmail.com</v>
      </c>
      <c r="G414" s="20">
        <f>IFERROR(__xludf.DUMMYFUNCTION("""COMPUTED_VALUE"""),26416.0)</f>
        <v>26416</v>
      </c>
      <c r="H414" s="7">
        <f>IFERROR(__xludf.DUMMYFUNCTION("""COMPUTED_VALUE"""),2.2735149E7)</f>
        <v>22735149</v>
      </c>
      <c r="I414" s="7">
        <f>IFERROR(__xludf.DUMMYFUNCTION("""COMPUTED_VALUE"""),3.515076894E9)</f>
        <v>3515076894</v>
      </c>
      <c r="J414" s="7" t="str">
        <f>IFERROR(__xludf.DUMMYFUNCTION("""COMPUTED_VALUE"""),"Recomendación")</f>
        <v>Recomendación</v>
      </c>
      <c r="K414" s="7" t="str">
        <f>IFERROR(__xludf.DUMMYFUNCTION("""COMPUTED_VALUE"""),"Particular")</f>
        <v>Particular</v>
      </c>
      <c r="L414" s="7"/>
      <c r="M414" s="7" t="str">
        <f>IFERROR(__xludf.DUMMYFUNCTION("""COMPUTED_VALUE"""),"Si")</f>
        <v>Si</v>
      </c>
      <c r="N414" s="7" t="str">
        <f>IFERROR(__xludf.DUMMYFUNCTION("""COMPUTED_VALUE"""),"Gimnasio")</f>
        <v>Gimnasio</v>
      </c>
      <c r="O414" s="7" t="str">
        <f>IFERROR(__xludf.DUMMYFUNCTION("""COMPUTED_VALUE"""),"3 a 5 veces por semana")</f>
        <v>3 a 5 veces por semana</v>
      </c>
      <c r="P414" s="7"/>
      <c r="Q414" s="7"/>
      <c r="R414" s="7"/>
      <c r="S414" s="7"/>
    </row>
    <row r="415">
      <c r="A415" s="7" t="str">
        <f t="shared" si="1"/>
        <v>Gonzalez, Sonia</v>
      </c>
      <c r="B415" s="7">
        <f>SUMIFS('bd caja'!$K$1:$K$1012,'bd caja'!$D$1:$D$1012,A415)</f>
        <v>0</v>
      </c>
      <c r="C415" s="19">
        <f>IFERROR(__xludf.DUMMYFUNCTION("""COMPUTED_VALUE"""),45294.824859872686)</f>
        <v>45294.82486</v>
      </c>
      <c r="D415" s="7" t="str">
        <f>IFERROR(__xludf.DUMMYFUNCTION("""COMPUTED_VALUE"""),"Gonzalez")</f>
        <v>Gonzalez</v>
      </c>
      <c r="E415" s="7" t="str">
        <f>IFERROR(__xludf.DUMMYFUNCTION("""COMPUTED_VALUE"""),"Sonia")</f>
        <v>Sonia</v>
      </c>
      <c r="F415" s="7" t="str">
        <f>IFERROR(__xludf.DUMMYFUNCTION("""COMPUTED_VALUE"""),"soniaandrea1713@gmail.com")</f>
        <v>soniaandrea1713@gmail.com</v>
      </c>
      <c r="G415" s="20">
        <f>IFERROR(__xludf.DUMMYFUNCTION("""COMPUTED_VALUE"""),24121.0)</f>
        <v>24121</v>
      </c>
      <c r="H415" s="7">
        <f>IFERROR(__xludf.DUMMYFUNCTION("""COMPUTED_VALUE"""),1.7630051E7)</f>
        <v>17630051</v>
      </c>
      <c r="I415" s="7">
        <f>IFERROR(__xludf.DUMMYFUNCTION("""COMPUTED_VALUE"""),3.51227295E9)</f>
        <v>3512272950</v>
      </c>
      <c r="J415" s="7" t="str">
        <f>IFERROR(__xludf.DUMMYFUNCTION("""COMPUTED_VALUE"""),"Recomendación")</f>
        <v>Recomendación</v>
      </c>
      <c r="K415" s="7" t="str">
        <f>IFERROR(__xludf.DUMMYFUNCTION("""COMPUTED_VALUE"""),"Particular")</f>
        <v>Particular</v>
      </c>
      <c r="L415" s="7"/>
      <c r="M415" s="7" t="str">
        <f>IFERROR(__xludf.DUMMYFUNCTION("""COMPUTED_VALUE"""),"No")</f>
        <v>No</v>
      </c>
      <c r="N415" s="7"/>
      <c r="O415" s="7"/>
      <c r="P415" s="7"/>
      <c r="Q415" s="7"/>
      <c r="R415" s="7"/>
      <c r="S415" s="7"/>
    </row>
    <row r="416">
      <c r="A416" s="7" t="str">
        <f t="shared" si="1"/>
        <v>Dottori, Benicio</v>
      </c>
      <c r="B416" s="7">
        <f>SUMIFS('bd caja'!$K$1:$K$1012,'bd caja'!$D$1:$D$1012,A416)</f>
        <v>0</v>
      </c>
      <c r="C416" s="19">
        <f>IFERROR(__xludf.DUMMYFUNCTION("""COMPUTED_VALUE"""),45294.83741861111)</f>
        <v>45294.83742</v>
      </c>
      <c r="D416" s="7" t="str">
        <f>IFERROR(__xludf.DUMMYFUNCTION("""COMPUTED_VALUE"""),"Dottori")</f>
        <v>Dottori</v>
      </c>
      <c r="E416" s="7" t="str">
        <f>IFERROR(__xludf.DUMMYFUNCTION("""COMPUTED_VALUE"""),"Benicio")</f>
        <v>Benicio</v>
      </c>
      <c r="F416" s="7" t="str">
        <f>IFERROR(__xludf.DUMMYFUNCTION("""COMPUTED_VALUE"""),"sofianavasd@gmail.com")</f>
        <v>sofianavasd@gmail.com</v>
      </c>
      <c r="G416" s="20">
        <f>IFERROR(__xludf.DUMMYFUNCTION("""COMPUTED_VALUE"""),40168.0)</f>
        <v>40168</v>
      </c>
      <c r="H416" s="7">
        <f>IFERROR(__xludf.DUMMYFUNCTION("""COMPUTED_VALUE"""),4.995285E7)</f>
        <v>49952850</v>
      </c>
      <c r="I416" s="7">
        <f>IFERROR(__xludf.DUMMYFUNCTION("""COMPUTED_VALUE"""),3.516957798E9)</f>
        <v>3516957798</v>
      </c>
      <c r="J416" s="7" t="str">
        <f>IFERROR(__xludf.DUMMYFUNCTION("""COMPUTED_VALUE"""),"Recomendación")</f>
        <v>Recomendación</v>
      </c>
      <c r="K416" s="7" t="str">
        <f>IFERROR(__xludf.DUMMYFUNCTION("""COMPUTED_VALUE"""),"Obra social")</f>
        <v>Obra social</v>
      </c>
      <c r="L416" s="7"/>
      <c r="M416" s="7" t="str">
        <f>IFERROR(__xludf.DUMMYFUNCTION("""COMPUTED_VALUE"""),"Si")</f>
        <v>Si</v>
      </c>
      <c r="N416" s="7" t="str">
        <f>IFERROR(__xludf.DUMMYFUNCTION("""COMPUTED_VALUE"""),"Fútbol ")</f>
        <v>Fútbol </v>
      </c>
      <c r="O416" s="7" t="str">
        <f>IFERROR(__xludf.DUMMYFUNCTION("""COMPUTED_VALUE"""),"3 a 5 veces por semana")</f>
        <v>3 a 5 veces por semana</v>
      </c>
      <c r="P416" s="7"/>
      <c r="Q416" s="7" t="str">
        <f>IFERROR(__xludf.DUMMYFUNCTION("""COMPUTED_VALUE"""),"Federada Salud")</f>
        <v>Federada Salud</v>
      </c>
      <c r="R416" s="7"/>
      <c r="S416" s="7"/>
    </row>
    <row r="417">
      <c r="A417" s="7" t="str">
        <f t="shared" si="1"/>
        <v>Martínez Grimaldi , Julieta</v>
      </c>
      <c r="B417" s="7">
        <f>SUMIFS('bd caja'!$K$1:$K$1012,'bd caja'!$D$1:$D$1012,A417)</f>
        <v>0</v>
      </c>
      <c r="C417" s="19">
        <f>IFERROR(__xludf.DUMMYFUNCTION("""COMPUTED_VALUE"""),45295.619352106485)</f>
        <v>45295.61935</v>
      </c>
      <c r="D417" s="7" t="str">
        <f>IFERROR(__xludf.DUMMYFUNCTION("""COMPUTED_VALUE"""),"Martínez Grimaldi ")</f>
        <v>Martínez Grimaldi </v>
      </c>
      <c r="E417" s="7" t="str">
        <f>IFERROR(__xludf.DUMMYFUNCTION("""COMPUTED_VALUE"""),"Julieta")</f>
        <v>Julieta</v>
      </c>
      <c r="F417" s="7" t="str">
        <f>IFERROR(__xludf.DUMMYFUNCTION("""COMPUTED_VALUE"""),"julietamg0863@gmail.com")</f>
        <v>julietamg0863@gmail.com</v>
      </c>
      <c r="G417" s="20">
        <f>IFERROR(__xludf.DUMMYFUNCTION("""COMPUTED_VALUE"""),37780.0)</f>
        <v>37780</v>
      </c>
      <c r="H417" s="7">
        <f>IFERROR(__xludf.DUMMYFUNCTION("""COMPUTED_VALUE"""),4.4805287E7)</f>
        <v>44805287</v>
      </c>
      <c r="I417" s="7">
        <f>IFERROR(__xludf.DUMMYFUNCTION("""COMPUTED_VALUE"""),3.512286465E9)</f>
        <v>3512286465</v>
      </c>
      <c r="J417" s="7" t="str">
        <f>IFERROR(__xludf.DUMMYFUNCTION("""COMPUTED_VALUE"""),"Recomendación")</f>
        <v>Recomendación</v>
      </c>
      <c r="K417" s="7" t="str">
        <f>IFERROR(__xludf.DUMMYFUNCTION("""COMPUTED_VALUE"""),"Obra social")</f>
        <v>Obra social</v>
      </c>
      <c r="L417" s="7"/>
      <c r="M417" s="7" t="str">
        <f>IFERROR(__xludf.DUMMYFUNCTION("""COMPUTED_VALUE"""),"No")</f>
        <v>No</v>
      </c>
      <c r="N417" s="7"/>
      <c r="O417" s="7"/>
      <c r="P417" s="7"/>
      <c r="Q417" s="7" t="str">
        <f>IFERROR(__xludf.DUMMYFUNCTION("""COMPUTED_VALUE"""),"DASPU")</f>
        <v>DASPU</v>
      </c>
      <c r="R417" s="7"/>
      <c r="S417" s="7"/>
    </row>
    <row r="418">
      <c r="A418" s="7" t="str">
        <f t="shared" si="1"/>
        <v>Quevedo , Claudia Ariana </v>
      </c>
      <c r="B418" s="7">
        <f>SUMIFS('bd caja'!$K$1:$K$1012,'bd caja'!$D$1:$D$1012,A418)</f>
        <v>0</v>
      </c>
      <c r="C418" s="19">
        <f>IFERROR(__xludf.DUMMYFUNCTION("""COMPUTED_VALUE"""),45296.548787569445)</f>
        <v>45296.54879</v>
      </c>
      <c r="D418" s="7" t="str">
        <f>IFERROR(__xludf.DUMMYFUNCTION("""COMPUTED_VALUE"""),"Quevedo ")</f>
        <v>Quevedo </v>
      </c>
      <c r="E418" s="7" t="str">
        <f>IFERROR(__xludf.DUMMYFUNCTION("""COMPUTED_VALUE"""),"Claudia Ariana ")</f>
        <v>Claudia Ariana </v>
      </c>
      <c r="F418" s="7" t="str">
        <f>IFERROR(__xludf.DUMMYFUNCTION("""COMPUTED_VALUE"""),"claudiaarianaquevedo19@gmail.com")</f>
        <v>claudiaarianaquevedo19@gmail.com</v>
      </c>
      <c r="G418" s="20">
        <f>IFERROR(__xludf.DUMMYFUNCTION("""COMPUTED_VALUE"""),34872.0)</f>
        <v>34872</v>
      </c>
      <c r="H418" s="7">
        <f>IFERROR(__xludf.DUMMYFUNCTION("""COMPUTED_VALUE"""),3.9073185E7)</f>
        <v>39073185</v>
      </c>
      <c r="I418" s="7">
        <f>IFERROR(__xludf.DUMMYFUNCTION("""COMPUTED_VALUE"""),3.512033019E9)</f>
        <v>3512033019</v>
      </c>
      <c r="J418" s="7" t="str">
        <f>IFERROR(__xludf.DUMMYFUNCTION("""COMPUTED_VALUE"""),"Google")</f>
        <v>Google</v>
      </c>
      <c r="K418" s="7" t="str">
        <f>IFERROR(__xludf.DUMMYFUNCTION("""COMPUTED_VALUE"""),"Obra social")</f>
        <v>Obra social</v>
      </c>
      <c r="L418" s="7"/>
      <c r="M418" s="7" t="str">
        <f>IFERROR(__xludf.DUMMYFUNCTION("""COMPUTED_VALUE"""),"No")</f>
        <v>No</v>
      </c>
      <c r="N418" s="7"/>
      <c r="O418" s="7"/>
      <c r="P418" s="7"/>
      <c r="Q418" s="7" t="str">
        <f>IFERROR(__xludf.DUMMYFUNCTION("""COMPUTED_VALUE"""),"PREVENCIÓN")</f>
        <v>PREVENCIÓN</v>
      </c>
      <c r="R418" s="7"/>
      <c r="S418" s="7"/>
    </row>
    <row r="419">
      <c r="A419" s="7" t="str">
        <f t="shared" si="1"/>
        <v>Serafini, Claudio</v>
      </c>
      <c r="B419" s="7">
        <f>SUMIFS('bd caja'!$K$1:$K$1012,'bd caja'!$D$1:$D$1012,A419)</f>
        <v>0</v>
      </c>
      <c r="C419" s="19">
        <f>IFERROR(__xludf.DUMMYFUNCTION("""COMPUTED_VALUE"""),45299.40177258102)</f>
        <v>45299.40177</v>
      </c>
      <c r="D419" s="7" t="str">
        <f>IFERROR(__xludf.DUMMYFUNCTION("""COMPUTED_VALUE"""),"Serafini")</f>
        <v>Serafini</v>
      </c>
      <c r="E419" s="7" t="str">
        <f>IFERROR(__xludf.DUMMYFUNCTION("""COMPUTED_VALUE"""),"Claudio")</f>
        <v>Claudio</v>
      </c>
      <c r="F419" s="7" t="str">
        <f>IFERROR(__xludf.DUMMYFUNCTION("""COMPUTED_VALUE"""),"reimonda2014@hotmail.com")</f>
        <v>reimonda2014@hotmail.com</v>
      </c>
      <c r="G419" s="20">
        <f>IFERROR(__xludf.DUMMYFUNCTION("""COMPUTED_VALUE"""),25157.0)</f>
        <v>25157</v>
      </c>
      <c r="H419" s="7">
        <f>IFERROR(__xludf.DUMMYFUNCTION("""COMPUTED_VALUE"""),1.0)</f>
        <v>1</v>
      </c>
      <c r="I419" s="7">
        <f>IFERROR(__xludf.DUMMYFUNCTION("""COMPUTED_VALUE"""),3.516802585E9)</f>
        <v>3516802585</v>
      </c>
      <c r="J419" s="7" t="str">
        <f>IFERROR(__xludf.DUMMYFUNCTION("""COMPUTED_VALUE"""),"Recomendación")</f>
        <v>Recomendación</v>
      </c>
      <c r="K419" s="7" t="str">
        <f>IFERROR(__xludf.DUMMYFUNCTION("""COMPUTED_VALUE"""),"Particular")</f>
        <v>Particular</v>
      </c>
      <c r="L419" s="7"/>
      <c r="M419" s="7" t="str">
        <f>IFERROR(__xludf.DUMMYFUNCTION("""COMPUTED_VALUE"""),"No")</f>
        <v>No</v>
      </c>
      <c r="N419" s="7"/>
      <c r="O419" s="7"/>
      <c r="P419" s="7"/>
      <c r="Q419" s="7"/>
      <c r="R419" s="7"/>
      <c r="S419" s="7"/>
    </row>
    <row r="420">
      <c r="A420" s="7" t="str">
        <f t="shared" si="1"/>
        <v>Rodriguez, Javier</v>
      </c>
      <c r="B420" s="7">
        <f>SUMIFS('bd caja'!$K$1:$K$1012,'bd caja'!$D$1:$D$1012,A420)</f>
        <v>0</v>
      </c>
      <c r="C420" s="19">
        <f>IFERROR(__xludf.DUMMYFUNCTION("""COMPUTED_VALUE"""),45299.73791914352)</f>
        <v>45299.73792</v>
      </c>
      <c r="D420" s="7" t="str">
        <f>IFERROR(__xludf.DUMMYFUNCTION("""COMPUTED_VALUE"""),"Rodriguez")</f>
        <v>Rodriguez</v>
      </c>
      <c r="E420" s="7" t="str">
        <f>IFERROR(__xludf.DUMMYFUNCTION("""COMPUTED_VALUE"""),"Javier")</f>
        <v>Javier</v>
      </c>
      <c r="F420" s="7" t="str">
        <f>IFERROR(__xludf.DUMMYFUNCTION("""COMPUTED_VALUE"""),"javiendrek@hotmail.com")</f>
        <v>javiendrek@hotmail.com</v>
      </c>
      <c r="G420" s="20">
        <f>IFERROR(__xludf.DUMMYFUNCTION("""COMPUTED_VALUE"""),26065.0)</f>
        <v>26065</v>
      </c>
      <c r="H420" s="7">
        <f>IFERROR(__xludf.DUMMYFUNCTION("""COMPUTED_VALUE"""),2.2220814E7)</f>
        <v>22220814</v>
      </c>
      <c r="I420" s="7">
        <f>IFERROR(__xludf.DUMMYFUNCTION("""COMPUTED_VALUE"""),3.513049933E9)</f>
        <v>3513049933</v>
      </c>
      <c r="J420" s="7" t="str">
        <f>IFERROR(__xludf.DUMMYFUNCTION("""COMPUTED_VALUE"""),"Google")</f>
        <v>Google</v>
      </c>
      <c r="K420" s="7" t="str">
        <f>IFERROR(__xludf.DUMMYFUNCTION("""COMPUTED_VALUE"""),"Obra social")</f>
        <v>Obra social</v>
      </c>
      <c r="L420" s="7"/>
      <c r="M420" s="7" t="str">
        <f>IFERROR(__xludf.DUMMYFUNCTION("""COMPUTED_VALUE"""),"Si")</f>
        <v>Si</v>
      </c>
      <c r="N420" s="7" t="str">
        <f>IFERROR(__xludf.DUMMYFUNCTION("""COMPUTED_VALUE"""),"Fútbol")</f>
        <v>Fútbol</v>
      </c>
      <c r="O420" s="7" t="str">
        <f>IFERROR(__xludf.DUMMYFUNCTION("""COMPUTED_VALUE"""),"3 a 5 veces por semana")</f>
        <v>3 a 5 veces por semana</v>
      </c>
      <c r="P420" s="7"/>
      <c r="Q420" s="7" t="str">
        <f>IFERROR(__xludf.DUMMYFUNCTION("""COMPUTED_VALUE"""),"SANCOR")</f>
        <v>SANCOR</v>
      </c>
      <c r="R420" s="7"/>
      <c r="S420" s="7"/>
    </row>
    <row r="421">
      <c r="A421" s="7" t="str">
        <f t="shared" si="1"/>
        <v>Puccio, Maria fernanda</v>
      </c>
      <c r="B421" s="7">
        <f>SUMIFS('bd caja'!$K$1:$K$1012,'bd caja'!$D$1:$D$1012,A421)</f>
        <v>0</v>
      </c>
      <c r="C421" s="19">
        <f>IFERROR(__xludf.DUMMYFUNCTION("""COMPUTED_VALUE"""),45300.76130304398)</f>
        <v>45300.7613</v>
      </c>
      <c r="D421" s="7" t="str">
        <f>IFERROR(__xludf.DUMMYFUNCTION("""COMPUTED_VALUE"""),"Puccio")</f>
        <v>Puccio</v>
      </c>
      <c r="E421" s="7" t="str">
        <f>IFERROR(__xludf.DUMMYFUNCTION("""COMPUTED_VALUE"""),"Maria fernanda")</f>
        <v>Maria fernanda</v>
      </c>
      <c r="F421" s="7" t="str">
        <f>IFERROR(__xludf.DUMMYFUNCTION("""COMPUTED_VALUE"""),"Fernandapuccio@gmail.com")</f>
        <v>Fernandapuccio@gmail.com</v>
      </c>
      <c r="G421" s="20">
        <f>IFERROR(__xludf.DUMMYFUNCTION("""COMPUTED_VALUE"""),30239.0)</f>
        <v>30239</v>
      </c>
      <c r="H421" s="7">
        <f>IFERROR(__xludf.DUMMYFUNCTION("""COMPUTED_VALUE"""),2.9713228E7)</f>
        <v>29713228</v>
      </c>
      <c r="I421" s="7">
        <f>IFERROR(__xludf.DUMMYFUNCTION("""COMPUTED_VALUE"""),3.513189627E9)</f>
        <v>3513189627</v>
      </c>
      <c r="J421" s="7" t="str">
        <f>IFERROR(__xludf.DUMMYFUNCTION("""COMPUTED_VALUE"""),"Google")</f>
        <v>Google</v>
      </c>
      <c r="K421" s="7" t="str">
        <f>IFERROR(__xludf.DUMMYFUNCTION("""COMPUTED_VALUE"""),"Obra social")</f>
        <v>Obra social</v>
      </c>
      <c r="L421" s="7"/>
      <c r="M421" s="7" t="str">
        <f>IFERROR(__xludf.DUMMYFUNCTION("""COMPUTED_VALUE"""),"Si")</f>
        <v>Si</v>
      </c>
      <c r="N421" s="7" t="str">
        <f>IFERROR(__xludf.DUMMYFUNCTION("""COMPUTED_VALUE"""),"Gimnasio")</f>
        <v>Gimnasio</v>
      </c>
      <c r="O421" s="7" t="str">
        <f>IFERROR(__xludf.DUMMYFUNCTION("""COMPUTED_VALUE"""),"1 a 2 veces por semana")</f>
        <v>1 a 2 veces por semana</v>
      </c>
      <c r="P421" s="7"/>
      <c r="Q421" s="7" t="str">
        <f>IFERROR(__xludf.DUMMYFUNCTION("""COMPUTED_VALUE"""),"PREVENCIÓN")</f>
        <v>PREVENCIÓN</v>
      </c>
      <c r="R421" s="7"/>
      <c r="S421" s="7"/>
    </row>
    <row r="422">
      <c r="A422" s="7" t="str">
        <f t="shared" si="1"/>
        <v>Ortega , Noelia </v>
      </c>
      <c r="B422" s="7">
        <f>SUMIFS('bd caja'!$K$1:$K$1012,'bd caja'!$D$1:$D$1012,A422)</f>
        <v>0</v>
      </c>
      <c r="C422" s="19">
        <f>IFERROR(__xludf.DUMMYFUNCTION("""COMPUTED_VALUE"""),45301.00795575231)</f>
        <v>45301.00796</v>
      </c>
      <c r="D422" s="7" t="str">
        <f>IFERROR(__xludf.DUMMYFUNCTION("""COMPUTED_VALUE"""),"Ortega ")</f>
        <v>Ortega </v>
      </c>
      <c r="E422" s="7" t="str">
        <f>IFERROR(__xludf.DUMMYFUNCTION("""COMPUTED_VALUE"""),"Noelia ")</f>
        <v>Noelia </v>
      </c>
      <c r="F422" s="7" t="str">
        <f>IFERROR(__xludf.DUMMYFUNCTION("""COMPUTED_VALUE"""),"noelia_c_ortega@hotmail.com")</f>
        <v>noelia_c_ortega@hotmail.com</v>
      </c>
      <c r="G422" s="20">
        <f>IFERROR(__xludf.DUMMYFUNCTION("""COMPUTED_VALUE"""),28856.0)</f>
        <v>28856</v>
      </c>
      <c r="H422" s="7">
        <f>IFERROR(__xludf.DUMMYFUNCTION("""COMPUTED_VALUE"""),2.6244899E7)</f>
        <v>26244899</v>
      </c>
      <c r="I422" s="7">
        <f>IFERROR(__xludf.DUMMYFUNCTION("""COMPUTED_VALUE"""),3.516233665E9)</f>
        <v>3516233665</v>
      </c>
      <c r="J422" s="7" t="str">
        <f>IFERROR(__xludf.DUMMYFUNCTION("""COMPUTED_VALUE"""),"Cartilla Obra Social")</f>
        <v>Cartilla Obra Social</v>
      </c>
      <c r="K422" s="7" t="str">
        <f>IFERROR(__xludf.DUMMYFUNCTION("""COMPUTED_VALUE"""),"Obra social")</f>
        <v>Obra social</v>
      </c>
      <c r="L422" s="7"/>
      <c r="M422" s="7" t="str">
        <f>IFERROR(__xludf.DUMMYFUNCTION("""COMPUTED_VALUE"""),"No")</f>
        <v>No</v>
      </c>
      <c r="N422" s="7"/>
      <c r="O422" s="7"/>
      <c r="P422" s="7"/>
      <c r="Q422" s="7" t="str">
        <f>IFERROR(__xludf.DUMMYFUNCTION("""COMPUTED_VALUE"""),"PREVENCIÓN")</f>
        <v>PREVENCIÓN</v>
      </c>
      <c r="R422" s="7"/>
      <c r="S422" s="7"/>
    </row>
    <row r="423">
      <c r="A423" s="7" t="str">
        <f t="shared" si="1"/>
        <v>Carotti , Juan Ignacio </v>
      </c>
      <c r="B423" s="7">
        <f>SUMIFS('bd caja'!$K$1:$K$1012,'bd caja'!$D$1:$D$1012,A423)</f>
        <v>0</v>
      </c>
      <c r="C423" s="19">
        <f>IFERROR(__xludf.DUMMYFUNCTION("""COMPUTED_VALUE"""),45301.73787783565)</f>
        <v>45301.73788</v>
      </c>
      <c r="D423" s="7" t="str">
        <f>IFERROR(__xludf.DUMMYFUNCTION("""COMPUTED_VALUE"""),"Carotti ")</f>
        <v>Carotti </v>
      </c>
      <c r="E423" s="7" t="str">
        <f>IFERROR(__xludf.DUMMYFUNCTION("""COMPUTED_VALUE"""),"Juan Ignacio ")</f>
        <v>Juan Ignacio </v>
      </c>
      <c r="F423" s="7" t="str">
        <f>IFERROR(__xludf.DUMMYFUNCTION("""COMPUTED_VALUE"""),"Juanignaciocarotti@gmail.com")</f>
        <v>Juanignaciocarotti@gmail.com</v>
      </c>
      <c r="G423" s="20">
        <f>IFERROR(__xludf.DUMMYFUNCTION("""COMPUTED_VALUE"""),36980.0)</f>
        <v>36980</v>
      </c>
      <c r="H423" s="7">
        <f>IFERROR(__xludf.DUMMYFUNCTION("""COMPUTED_VALUE"""),4.3134929E7)</f>
        <v>43134929</v>
      </c>
      <c r="I423" s="7">
        <f>IFERROR(__xludf.DUMMYFUNCTION("""COMPUTED_VALUE"""),3.51606885E9)</f>
        <v>3516068850</v>
      </c>
      <c r="J423" s="7" t="str">
        <f>IFERROR(__xludf.DUMMYFUNCTION("""COMPUTED_VALUE"""),"Recomendación")</f>
        <v>Recomendación</v>
      </c>
      <c r="K423" s="7" t="str">
        <f>IFERROR(__xludf.DUMMYFUNCTION("""COMPUTED_VALUE"""),"Particular")</f>
        <v>Particular</v>
      </c>
      <c r="L423" s="7"/>
      <c r="M423" s="7" t="str">
        <f>IFERROR(__xludf.DUMMYFUNCTION("""COMPUTED_VALUE"""),"Si")</f>
        <v>Si</v>
      </c>
      <c r="N423" s="7" t="str">
        <f>IFERROR(__xludf.DUMMYFUNCTION("""COMPUTED_VALUE"""),"Fútbol")</f>
        <v>Fútbol</v>
      </c>
      <c r="O423" s="7" t="str">
        <f>IFERROR(__xludf.DUMMYFUNCTION("""COMPUTED_VALUE"""),"6 a 7 veces por semana")</f>
        <v>6 a 7 veces por semana</v>
      </c>
      <c r="P423" s="7"/>
      <c r="Q423" s="7"/>
      <c r="R423" s="7"/>
      <c r="S423" s="7"/>
    </row>
    <row r="424">
      <c r="A424" s="7" t="str">
        <f t="shared" si="1"/>
        <v>Colalillo, Fernando</v>
      </c>
      <c r="B424" s="7">
        <f>SUMIFS('bd caja'!$K$1:$K$1012,'bd caja'!$D$1:$D$1012,A424)</f>
        <v>0</v>
      </c>
      <c r="C424" s="19">
        <f>IFERROR(__xludf.DUMMYFUNCTION("""COMPUTED_VALUE"""),45301.78484310185)</f>
        <v>45301.78484</v>
      </c>
      <c r="D424" s="7" t="str">
        <f>IFERROR(__xludf.DUMMYFUNCTION("""COMPUTED_VALUE"""),"Colalillo")</f>
        <v>Colalillo</v>
      </c>
      <c r="E424" s="7" t="str">
        <f>IFERROR(__xludf.DUMMYFUNCTION("""COMPUTED_VALUE"""),"Fernando")</f>
        <v>Fernando</v>
      </c>
      <c r="F424" s="7" t="str">
        <f>IFERROR(__xludf.DUMMYFUNCTION("""COMPUTED_VALUE"""),"fernandocolalillo@gmial.com")</f>
        <v>fernandocolalillo@gmial.com</v>
      </c>
      <c r="G424" s="20">
        <f>IFERROR(__xludf.DUMMYFUNCTION("""COMPUTED_VALUE"""),24859.0)</f>
        <v>24859</v>
      </c>
      <c r="H424" s="7">
        <f>IFERROR(__xludf.DUMMYFUNCTION("""COMPUTED_VALUE"""),2.0073725E7)</f>
        <v>20073725</v>
      </c>
      <c r="I424" s="7">
        <f>IFERROR(__xludf.DUMMYFUNCTION("""COMPUTED_VALUE"""),3.515550823E9)</f>
        <v>3515550823</v>
      </c>
      <c r="J424" s="7" t="str">
        <f>IFERROR(__xludf.DUMMYFUNCTION("""COMPUTED_VALUE"""),"Voy al gym Manantial")</f>
        <v>Voy al gym Manantial</v>
      </c>
      <c r="K424" s="7" t="str">
        <f>IFERROR(__xludf.DUMMYFUNCTION("""COMPUTED_VALUE"""),"Obra social")</f>
        <v>Obra social</v>
      </c>
      <c r="L424" s="7"/>
      <c r="M424" s="7" t="str">
        <f>IFERROR(__xludf.DUMMYFUNCTION("""COMPUTED_VALUE"""),"Si")</f>
        <v>Si</v>
      </c>
      <c r="N424" s="7" t="str">
        <f>IFERROR(__xludf.DUMMYFUNCTION("""COMPUTED_VALUE"""),"Gimnasio")</f>
        <v>Gimnasio</v>
      </c>
      <c r="O424" s="7" t="str">
        <f>IFERROR(__xludf.DUMMYFUNCTION("""COMPUTED_VALUE"""),"3 a 5 veces por semana")</f>
        <v>3 a 5 veces por semana</v>
      </c>
      <c r="P424" s="7"/>
      <c r="Q424" s="7" t="str">
        <f>IFERROR(__xludf.DUMMYFUNCTION("""COMPUTED_VALUE"""),"DASPU")</f>
        <v>DASPU</v>
      </c>
      <c r="R424" s="7"/>
      <c r="S424" s="7"/>
    </row>
    <row r="425">
      <c r="A425" s="7" t="str">
        <f t="shared" si="1"/>
        <v>Garcia, Graciela Isabel</v>
      </c>
      <c r="B425" s="7">
        <f>SUMIFS('bd caja'!$K$1:$K$1012,'bd caja'!$D$1:$D$1012,A425)</f>
        <v>0</v>
      </c>
      <c r="C425" s="19">
        <f>IFERROR(__xludf.DUMMYFUNCTION("""COMPUTED_VALUE"""),45302.71627256944)</f>
        <v>45302.71627</v>
      </c>
      <c r="D425" s="7" t="str">
        <f>IFERROR(__xludf.DUMMYFUNCTION("""COMPUTED_VALUE"""),"Garcia")</f>
        <v>Garcia</v>
      </c>
      <c r="E425" s="7" t="str">
        <f>IFERROR(__xludf.DUMMYFUNCTION("""COMPUTED_VALUE"""),"Graciela Isabel")</f>
        <v>Graciela Isabel</v>
      </c>
      <c r="F425" s="7"/>
      <c r="G425" s="20">
        <f>IFERROR(__xludf.DUMMYFUNCTION("""COMPUTED_VALUE"""),21588.0)</f>
        <v>21588</v>
      </c>
      <c r="H425" s="7">
        <f>IFERROR(__xludf.DUMMYFUNCTION("""COMPUTED_VALUE"""),1.3107048E7)</f>
        <v>13107048</v>
      </c>
      <c r="I425" s="7">
        <f>IFERROR(__xludf.DUMMYFUNCTION("""COMPUTED_VALUE"""),3.515187279E9)</f>
        <v>3515187279</v>
      </c>
      <c r="J425" s="7" t="str">
        <f>IFERROR(__xludf.DUMMYFUNCTION("""COMPUTED_VALUE"""),"Google")</f>
        <v>Google</v>
      </c>
      <c r="K425" s="7" t="str">
        <f>IFERROR(__xludf.DUMMYFUNCTION("""COMPUTED_VALUE"""),"Particular")</f>
        <v>Particular</v>
      </c>
      <c r="L425" s="7"/>
      <c r="M425" s="7" t="str">
        <f>IFERROR(__xludf.DUMMYFUNCTION("""COMPUTED_VALUE"""),"No")</f>
        <v>No</v>
      </c>
      <c r="N425" s="7"/>
      <c r="O425" s="7"/>
      <c r="P425" s="7"/>
      <c r="Q425" s="7"/>
      <c r="R425" s="7"/>
      <c r="S425" s="7"/>
    </row>
    <row r="426">
      <c r="A426" s="7" t="str">
        <f t="shared" si="1"/>
        <v>GIACHE, ANDREA</v>
      </c>
      <c r="B426" s="7">
        <f>SUMIFS('bd caja'!$K$1:$K$1012,'bd caja'!$D$1:$D$1012,A426)</f>
        <v>0</v>
      </c>
      <c r="C426" s="19">
        <f>IFERROR(__xludf.DUMMYFUNCTION("""COMPUTED_VALUE"""),45305.65979409722)</f>
        <v>45305.65979</v>
      </c>
      <c r="D426" s="7" t="str">
        <f>IFERROR(__xludf.DUMMYFUNCTION("""COMPUTED_VALUE"""),"GIACHE")</f>
        <v>GIACHE</v>
      </c>
      <c r="E426" s="7" t="str">
        <f>IFERROR(__xludf.DUMMYFUNCTION("""COMPUTED_VALUE"""),"ANDREA")</f>
        <v>ANDREA</v>
      </c>
      <c r="F426" s="7" t="str">
        <f>IFERROR(__xludf.DUMMYFUNCTION("""COMPUTED_VALUE"""),"agiache_73@hotmail.com")</f>
        <v>agiache_73@hotmail.com</v>
      </c>
      <c r="G426" s="20">
        <f>IFERROR(__xludf.DUMMYFUNCTION("""COMPUTED_VALUE"""),26787.0)</f>
        <v>26787</v>
      </c>
      <c r="H426" s="7">
        <f>IFERROR(__xludf.DUMMYFUNCTION("""COMPUTED_VALUE"""),2.3198306E7)</f>
        <v>23198306</v>
      </c>
      <c r="I426" s="7">
        <f>IFERROR(__xludf.DUMMYFUNCTION("""COMPUTED_VALUE"""),3.516263835E9)</f>
        <v>3516263835</v>
      </c>
      <c r="J426" s="7" t="str">
        <f>IFERROR(__xludf.DUMMYFUNCTION("""COMPUTED_VALUE"""),"Cartilla Obra Social")</f>
        <v>Cartilla Obra Social</v>
      </c>
      <c r="K426" s="7" t="str">
        <f>IFERROR(__xludf.DUMMYFUNCTION("""COMPUTED_VALUE"""),"Obra social")</f>
        <v>Obra social</v>
      </c>
      <c r="L426" s="7"/>
      <c r="M426" s="7" t="str">
        <f>IFERROR(__xludf.DUMMYFUNCTION("""COMPUTED_VALUE"""),"Si")</f>
        <v>Si</v>
      </c>
      <c r="N426" s="7" t="str">
        <f>IFERROR(__xludf.DUMMYFUNCTION("""COMPUTED_VALUE"""),"Gimnasio")</f>
        <v>Gimnasio</v>
      </c>
      <c r="O426" s="7" t="str">
        <f>IFERROR(__xludf.DUMMYFUNCTION("""COMPUTED_VALUE"""),"3 a 5 veces por semana")</f>
        <v>3 a 5 veces por semana</v>
      </c>
      <c r="P426" s="7"/>
      <c r="Q426" s="7" t="str">
        <f>IFERROR(__xludf.DUMMYFUNCTION("""COMPUTED_VALUE"""),"Integral Salud (Ospoce)")</f>
        <v>Integral Salud (Ospoce)</v>
      </c>
      <c r="R426" s="7"/>
      <c r="S426" s="7"/>
    </row>
    <row r="427">
      <c r="A427" s="7" t="str">
        <f t="shared" si="1"/>
        <v>Saad, Patricia</v>
      </c>
      <c r="B427" s="7">
        <f>SUMIFS('bd caja'!$K$1:$K$1012,'bd caja'!$D$1:$D$1012,A427)</f>
        <v>0</v>
      </c>
      <c r="C427" s="19">
        <f>IFERROR(__xludf.DUMMYFUNCTION("""COMPUTED_VALUE"""),45306.44546021991)</f>
        <v>45306.44546</v>
      </c>
      <c r="D427" s="7" t="str">
        <f>IFERROR(__xludf.DUMMYFUNCTION("""COMPUTED_VALUE"""),"Saad")</f>
        <v>Saad</v>
      </c>
      <c r="E427" s="7" t="str">
        <f>IFERROR(__xludf.DUMMYFUNCTION("""COMPUTED_VALUE"""),"Patricia")</f>
        <v>Patricia</v>
      </c>
      <c r="F427" s="7" t="str">
        <f>IFERROR(__xludf.DUMMYFUNCTION("""COMPUTED_VALUE"""),"dra_saad@hotmail.com")</f>
        <v>dra_saad@hotmail.com</v>
      </c>
      <c r="G427" s="20">
        <f>IFERROR(__xludf.DUMMYFUNCTION("""COMPUTED_VALUE"""),21337.0)</f>
        <v>21337</v>
      </c>
      <c r="H427" s="7">
        <f>IFERROR(__xludf.DUMMYFUNCTION("""COMPUTED_VALUE"""),1.2334673E7)</f>
        <v>12334673</v>
      </c>
      <c r="I427" s="7">
        <f>IFERROR(__xludf.DUMMYFUNCTION("""COMPUTED_VALUE"""),3.51539392E9)</f>
        <v>3515393920</v>
      </c>
      <c r="J427" s="7" t="str">
        <f>IFERROR(__xludf.DUMMYFUNCTION("""COMPUTED_VALUE"""),"Recomendación")</f>
        <v>Recomendación</v>
      </c>
      <c r="K427" s="7" t="str">
        <f>IFERROR(__xludf.DUMMYFUNCTION("""COMPUTED_VALUE"""),"Obra social")</f>
        <v>Obra social</v>
      </c>
      <c r="L427" s="7"/>
      <c r="M427" s="7" t="str">
        <f>IFERROR(__xludf.DUMMYFUNCTION("""COMPUTED_VALUE"""),"Si")</f>
        <v>Si</v>
      </c>
      <c r="N427" s="7" t="str">
        <f>IFERROR(__xludf.DUMMYFUNCTION("""COMPUTED_VALUE"""),"Pilate")</f>
        <v>Pilate</v>
      </c>
      <c r="O427" s="7" t="str">
        <f>IFERROR(__xludf.DUMMYFUNCTION("""COMPUTED_VALUE"""),"1 a 2 veces por semana")</f>
        <v>1 a 2 veces por semana</v>
      </c>
      <c r="P427" s="7"/>
      <c r="Q427" s="7" t="str">
        <f>IFERROR(__xludf.DUMMYFUNCTION("""COMPUTED_VALUE"""),"APROSS")</f>
        <v>APROSS</v>
      </c>
      <c r="R427" s="7"/>
      <c r="S427" s="7"/>
    </row>
    <row r="428">
      <c r="A428" s="7" t="str">
        <f t="shared" si="1"/>
        <v>Agüero, Nidia Ester</v>
      </c>
      <c r="B428" s="7">
        <f>SUMIFS('bd caja'!$K$1:$K$1012,'bd caja'!$D$1:$D$1012,A428)</f>
        <v>0</v>
      </c>
      <c r="C428" s="19">
        <f>IFERROR(__xludf.DUMMYFUNCTION("""COMPUTED_VALUE"""),45306.834680740736)</f>
        <v>45306.83468</v>
      </c>
      <c r="D428" s="7" t="str">
        <f>IFERROR(__xludf.DUMMYFUNCTION("""COMPUTED_VALUE"""),"Agüero")</f>
        <v>Agüero</v>
      </c>
      <c r="E428" s="7" t="str">
        <f>IFERROR(__xludf.DUMMYFUNCTION("""COMPUTED_VALUE"""),"Nidia Ester")</f>
        <v>Nidia Ester</v>
      </c>
      <c r="F428" s="7" t="str">
        <f>IFERROR(__xludf.DUMMYFUNCTION("""COMPUTED_VALUE"""),"nidyaest3@gmail.com")</f>
        <v>nidyaest3@gmail.com</v>
      </c>
      <c r="G428" s="20">
        <f>IFERROR(__xludf.DUMMYFUNCTION("""COMPUTED_VALUE"""),23512.0)</f>
        <v>23512</v>
      </c>
      <c r="H428" s="7">
        <f>IFERROR(__xludf.DUMMYFUNCTION("""COMPUTED_VALUE"""),6396741.0)</f>
        <v>6396741</v>
      </c>
      <c r="I428" s="7">
        <f>IFERROR(__xludf.DUMMYFUNCTION("""COMPUTED_VALUE"""),3.513587E9)</f>
        <v>3513587000</v>
      </c>
      <c r="J428" s="7" t="str">
        <f>IFERROR(__xludf.DUMMYFUNCTION("""COMPUTED_VALUE"""),"Google")</f>
        <v>Google</v>
      </c>
      <c r="K428" s="7" t="str">
        <f>IFERROR(__xludf.DUMMYFUNCTION("""COMPUTED_VALUE"""),"Obra social")</f>
        <v>Obra social</v>
      </c>
      <c r="L428" s="7"/>
      <c r="M428" s="7" t="str">
        <f>IFERROR(__xludf.DUMMYFUNCTION("""COMPUTED_VALUE"""),"No")</f>
        <v>No</v>
      </c>
      <c r="N428" s="7"/>
      <c r="O428" s="7"/>
      <c r="P428" s="7"/>
      <c r="Q428" s="7" t="str">
        <f>IFERROR(__xludf.DUMMYFUNCTION("""COMPUTED_VALUE"""),"APROSS")</f>
        <v>APROSS</v>
      </c>
      <c r="R428" s="7"/>
      <c r="S428" s="7"/>
    </row>
    <row r="429">
      <c r="A429" s="7" t="str">
        <f t="shared" si="1"/>
        <v>Bonfati, Santino</v>
      </c>
      <c r="B429" s="7">
        <f>SUMIFS('bd caja'!$K$1:$K$1012,'bd caja'!$D$1:$D$1012,A429)</f>
        <v>0</v>
      </c>
      <c r="C429" s="19">
        <f>IFERROR(__xludf.DUMMYFUNCTION("""COMPUTED_VALUE"""),45307.469567719905)</f>
        <v>45307.46957</v>
      </c>
      <c r="D429" s="7" t="str">
        <f>IFERROR(__xludf.DUMMYFUNCTION("""COMPUTED_VALUE"""),"Bonfati")</f>
        <v>Bonfati</v>
      </c>
      <c r="E429" s="7" t="str">
        <f>IFERROR(__xludf.DUMMYFUNCTION("""COMPUTED_VALUE"""),"Santino")</f>
        <v>Santino</v>
      </c>
      <c r="F429" s="7" t="str">
        <f>IFERROR(__xludf.DUMMYFUNCTION("""COMPUTED_VALUE"""),"andresanti09@gmail.com")</f>
        <v>andresanti09@gmail.com</v>
      </c>
      <c r="G429" s="20">
        <f>IFERROR(__xludf.DUMMYFUNCTION("""COMPUTED_VALUE"""),39638.0)</f>
        <v>39638</v>
      </c>
      <c r="H429" s="7">
        <f>IFERROR(__xludf.DUMMYFUNCTION("""COMPUTED_VALUE"""),4.8069282E7)</f>
        <v>48069282</v>
      </c>
      <c r="I429" s="7">
        <f>IFERROR(__xludf.DUMMYFUNCTION("""COMPUTED_VALUE"""),3.512346796E9)</f>
        <v>3512346796</v>
      </c>
      <c r="J429" s="7" t="str">
        <f>IFERROR(__xludf.DUMMYFUNCTION("""COMPUTED_VALUE"""),"Recomendación")</f>
        <v>Recomendación</v>
      </c>
      <c r="K429" s="7" t="str">
        <f>IFERROR(__xludf.DUMMYFUNCTION("""COMPUTED_VALUE"""),"Obra social")</f>
        <v>Obra social</v>
      </c>
      <c r="L429" s="7"/>
      <c r="M429" s="7" t="str">
        <f>IFERROR(__xludf.DUMMYFUNCTION("""COMPUTED_VALUE"""),"No")</f>
        <v>No</v>
      </c>
      <c r="N429" s="7"/>
      <c r="O429" s="7"/>
      <c r="P429" s="7"/>
      <c r="Q429" s="7" t="str">
        <f>IFERROR(__xludf.DUMMYFUNCTION("""COMPUTED_VALUE"""),"APROSS")</f>
        <v>APROSS</v>
      </c>
      <c r="R429" s="7"/>
      <c r="S429" s="7"/>
    </row>
    <row r="430">
      <c r="A430" s="7" t="str">
        <f t="shared" si="1"/>
        <v>Navarro, Nahuel</v>
      </c>
      <c r="B430" s="7">
        <f>SUMIFS('bd caja'!$K$1:$K$1012,'bd caja'!$D$1:$D$1012,A430)</f>
        <v>0</v>
      </c>
      <c r="C430" s="19">
        <f>IFERROR(__xludf.DUMMYFUNCTION("""COMPUTED_VALUE"""),45307.85797173611)</f>
        <v>45307.85797</v>
      </c>
      <c r="D430" s="7" t="str">
        <f>IFERROR(__xludf.DUMMYFUNCTION("""COMPUTED_VALUE"""),"Navarro")</f>
        <v>Navarro</v>
      </c>
      <c r="E430" s="7" t="str">
        <f>IFERROR(__xludf.DUMMYFUNCTION("""COMPUTED_VALUE"""),"Nahuel")</f>
        <v>Nahuel</v>
      </c>
      <c r="F430" s="7" t="str">
        <f>IFERROR(__xludf.DUMMYFUNCTION("""COMPUTED_VALUE"""),"nahunavarro07@gmail.com")</f>
        <v>nahunavarro07@gmail.com</v>
      </c>
      <c r="G430" s="20">
        <f>IFERROR(__xludf.DUMMYFUNCTION("""COMPUTED_VALUE"""),37749.0)</f>
        <v>37749</v>
      </c>
      <c r="H430" s="7">
        <f>IFERROR(__xludf.DUMMYFUNCTION("""COMPUTED_VALUE"""),4.4762747E7)</f>
        <v>44762747</v>
      </c>
      <c r="I430" s="7">
        <f>IFERROR(__xludf.DUMMYFUNCTION("""COMPUTED_VALUE"""),3.513862586E9)</f>
        <v>3513862586</v>
      </c>
      <c r="J430" s="7" t="str">
        <f>IFERROR(__xludf.DUMMYFUNCTION("""COMPUTED_VALUE"""),"Google")</f>
        <v>Google</v>
      </c>
      <c r="K430" s="7" t="str">
        <f>IFERROR(__xludf.DUMMYFUNCTION("""COMPUTED_VALUE"""),"Particular")</f>
        <v>Particular</v>
      </c>
      <c r="L430" s="7"/>
      <c r="M430" s="7" t="str">
        <f>IFERROR(__xludf.DUMMYFUNCTION("""COMPUTED_VALUE"""),"Si")</f>
        <v>Si</v>
      </c>
      <c r="N430" s="7" t="str">
        <f>IFERROR(__xludf.DUMMYFUNCTION("""COMPUTED_VALUE"""),"Gimnasio")</f>
        <v>Gimnasio</v>
      </c>
      <c r="O430" s="7" t="str">
        <f>IFERROR(__xludf.DUMMYFUNCTION("""COMPUTED_VALUE"""),"3 a 5 veces por semana")</f>
        <v>3 a 5 veces por semana</v>
      </c>
      <c r="P430" s="7"/>
      <c r="Q430" s="7"/>
      <c r="R430" s="7"/>
      <c r="S430" s="7"/>
    </row>
    <row r="431">
      <c r="A431" s="7" t="str">
        <f t="shared" si="1"/>
        <v>Gandolfo, Pedro</v>
      </c>
      <c r="B431" s="7">
        <f>SUMIFS('bd caja'!$K$1:$K$1012,'bd caja'!$D$1:$D$1012,A431)</f>
        <v>0</v>
      </c>
      <c r="C431" s="19">
        <f>IFERROR(__xludf.DUMMYFUNCTION("""COMPUTED_VALUE"""),45309.47495736111)</f>
        <v>45309.47496</v>
      </c>
      <c r="D431" s="7" t="str">
        <f>IFERROR(__xludf.DUMMYFUNCTION("""COMPUTED_VALUE"""),"Gandolfo")</f>
        <v>Gandolfo</v>
      </c>
      <c r="E431" s="7" t="str">
        <f>IFERROR(__xludf.DUMMYFUNCTION("""COMPUTED_VALUE"""),"Pedro")</f>
        <v>Pedro</v>
      </c>
      <c r="F431" s="7" t="str">
        <f>IFERROR(__xludf.DUMMYFUNCTION("""COMPUTED_VALUE"""),"pggandolfo@gmail.com")</f>
        <v>pggandolfo@gmail.com</v>
      </c>
      <c r="G431" s="20">
        <f>IFERROR(__xludf.DUMMYFUNCTION("""COMPUTED_VALUE"""),31192.0)</f>
        <v>31192</v>
      </c>
      <c r="H431" s="7">
        <f>IFERROR(__xludf.DUMMYFUNCTION("""COMPUTED_VALUE"""),3.1646865E7)</f>
        <v>31646865</v>
      </c>
      <c r="I431" s="7">
        <f>IFERROR(__xludf.DUMMYFUNCTION("""COMPUTED_VALUE"""),3.515177638E9)</f>
        <v>3515177638</v>
      </c>
      <c r="J431" s="7" t="str">
        <f>IFERROR(__xludf.DUMMYFUNCTION("""COMPUTED_VALUE"""),"Google")</f>
        <v>Google</v>
      </c>
      <c r="K431" s="7" t="str">
        <f>IFERROR(__xludf.DUMMYFUNCTION("""COMPUTED_VALUE"""),"Particular")</f>
        <v>Particular</v>
      </c>
      <c r="L431" s="7"/>
      <c r="M431" s="7" t="str">
        <f>IFERROR(__xludf.DUMMYFUNCTION("""COMPUTED_VALUE"""),"No")</f>
        <v>No</v>
      </c>
      <c r="N431" s="7"/>
      <c r="O431" s="7"/>
      <c r="P431" s="7"/>
      <c r="Q431" s="7"/>
      <c r="R431" s="7"/>
      <c r="S431" s="7"/>
    </row>
    <row r="432">
      <c r="A432" s="7" t="str">
        <f t="shared" si="1"/>
        <v>CONTE, Andrea Fabiana</v>
      </c>
      <c r="B432" s="7">
        <f>SUMIFS('bd caja'!$K$1:$K$1012,'bd caja'!$D$1:$D$1012,A432)</f>
        <v>0</v>
      </c>
      <c r="C432" s="19">
        <f>IFERROR(__xludf.DUMMYFUNCTION("""COMPUTED_VALUE"""),45309.50944620371)</f>
        <v>45309.50945</v>
      </c>
      <c r="D432" s="7" t="str">
        <f>IFERROR(__xludf.DUMMYFUNCTION("""COMPUTED_VALUE"""),"CONTE")</f>
        <v>CONTE</v>
      </c>
      <c r="E432" s="7" t="str">
        <f>IFERROR(__xludf.DUMMYFUNCTION("""COMPUTED_VALUE"""),"Andrea Fabiana")</f>
        <v>Andrea Fabiana</v>
      </c>
      <c r="F432" s="7" t="str">
        <f>IFERROR(__xludf.DUMMYFUNCTION("""COMPUTED_VALUE"""),"fabianaconte321@gmail.com")</f>
        <v>fabianaconte321@gmail.com</v>
      </c>
      <c r="G432" s="20">
        <f>IFERROR(__xludf.DUMMYFUNCTION("""COMPUTED_VALUE"""),25397.0)</f>
        <v>25397</v>
      </c>
      <c r="H432" s="7">
        <f>IFERROR(__xludf.DUMMYFUNCTION("""COMPUTED_VALUE"""),2.0785005E7)</f>
        <v>20785005</v>
      </c>
      <c r="I432" s="7">
        <f>IFERROR(__xludf.DUMMYFUNCTION("""COMPUTED_VALUE"""),3.518635433E9)</f>
        <v>3518635433</v>
      </c>
      <c r="J432" s="7" t="str">
        <f>IFERROR(__xludf.DUMMYFUNCTION("""COMPUTED_VALUE"""),"Recomendación")</f>
        <v>Recomendación</v>
      </c>
      <c r="K432" s="7" t="str">
        <f>IFERROR(__xludf.DUMMYFUNCTION("""COMPUTED_VALUE"""),"Obra social")</f>
        <v>Obra social</v>
      </c>
      <c r="L432" s="7"/>
      <c r="M432" s="7" t="str">
        <f>IFERROR(__xludf.DUMMYFUNCTION("""COMPUTED_VALUE"""),"No")</f>
        <v>No</v>
      </c>
      <c r="N432" s="7"/>
      <c r="O432" s="7"/>
      <c r="P432" s="7"/>
      <c r="Q432" s="7" t="str">
        <f>IFERROR(__xludf.DUMMYFUNCTION("""COMPUTED_VALUE"""),"APROSS")</f>
        <v>APROSS</v>
      </c>
      <c r="R432" s="7"/>
      <c r="S432" s="7"/>
    </row>
    <row r="433">
      <c r="A433" s="7" t="str">
        <f t="shared" si="1"/>
        <v>Massaccesi, Sergio Mauricio</v>
      </c>
      <c r="B433" s="7">
        <f>SUMIFS('bd caja'!$K$1:$K$1012,'bd caja'!$D$1:$D$1012,A433)</f>
        <v>0</v>
      </c>
      <c r="C433" s="19">
        <f>IFERROR(__xludf.DUMMYFUNCTION("""COMPUTED_VALUE"""),45309.679371562495)</f>
        <v>45309.67937</v>
      </c>
      <c r="D433" s="7" t="str">
        <f>IFERROR(__xludf.DUMMYFUNCTION("""COMPUTED_VALUE"""),"Massaccesi")</f>
        <v>Massaccesi</v>
      </c>
      <c r="E433" s="7" t="str">
        <f>IFERROR(__xludf.DUMMYFUNCTION("""COMPUTED_VALUE"""),"Sergio Mauricio")</f>
        <v>Sergio Mauricio</v>
      </c>
      <c r="F433" s="7" t="str">
        <f>IFERROR(__xludf.DUMMYFUNCTION("""COMPUTED_VALUE"""),"smassaccesi@gmail.com")</f>
        <v>smassaccesi@gmail.com</v>
      </c>
      <c r="G433" s="20">
        <f>IFERROR(__xludf.DUMMYFUNCTION("""COMPUTED_VALUE"""),26446.0)</f>
        <v>26446</v>
      </c>
      <c r="H433" s="7">
        <f>IFERROR(__xludf.DUMMYFUNCTION("""COMPUTED_VALUE"""),2.277361E7)</f>
        <v>22773610</v>
      </c>
      <c r="I433" s="7">
        <f>IFERROR(__xludf.DUMMYFUNCTION("""COMPUTED_VALUE"""),3.512590916E9)</f>
        <v>3512590916</v>
      </c>
      <c r="J433" s="7" t="str">
        <f>IFERROR(__xludf.DUMMYFUNCTION("""COMPUTED_VALUE"""),"Voy al gym Manantial")</f>
        <v>Voy al gym Manantial</v>
      </c>
      <c r="K433" s="7" t="str">
        <f>IFERROR(__xludf.DUMMYFUNCTION("""COMPUTED_VALUE"""),"Particular")</f>
        <v>Particular</v>
      </c>
      <c r="L433" s="7"/>
      <c r="M433" s="7" t="str">
        <f>IFERROR(__xludf.DUMMYFUNCTION("""COMPUTED_VALUE"""),"Si")</f>
        <v>Si</v>
      </c>
      <c r="N433" s="7" t="str">
        <f>IFERROR(__xludf.DUMMYFUNCTION("""COMPUTED_VALUE"""),"Gimnasio")</f>
        <v>Gimnasio</v>
      </c>
      <c r="O433" s="7" t="str">
        <f>IFERROR(__xludf.DUMMYFUNCTION("""COMPUTED_VALUE"""),"3 a 5 veces por semana")</f>
        <v>3 a 5 veces por semana</v>
      </c>
      <c r="P433" s="7"/>
      <c r="Q433" s="7"/>
      <c r="R433" s="7"/>
      <c r="S433" s="7"/>
    </row>
    <row r="434">
      <c r="A434" s="7" t="str">
        <f t="shared" si="1"/>
        <v>Heredia Edelstein, Gonzalo</v>
      </c>
      <c r="B434" s="7">
        <f>SUMIFS('bd caja'!$K$1:$K$1012,'bd caja'!$D$1:$D$1012,A434)</f>
        <v>0</v>
      </c>
      <c r="C434" s="19">
        <f>IFERROR(__xludf.DUMMYFUNCTION("""COMPUTED_VALUE"""),45309.690803969905)</f>
        <v>45309.6908</v>
      </c>
      <c r="D434" s="7" t="str">
        <f>IFERROR(__xludf.DUMMYFUNCTION("""COMPUTED_VALUE"""),"Heredia Edelstein")</f>
        <v>Heredia Edelstein</v>
      </c>
      <c r="E434" s="7" t="str">
        <f>IFERROR(__xludf.DUMMYFUNCTION("""COMPUTED_VALUE"""),"Gonzalo")</f>
        <v>Gonzalo</v>
      </c>
      <c r="F434" s="7" t="str">
        <f>IFERROR(__xludf.DUMMYFUNCTION("""COMPUTED_VALUE"""),"gonzaloherediae@gmail.com")</f>
        <v>gonzaloherediae@gmail.com</v>
      </c>
      <c r="G434" s="20">
        <f>IFERROR(__xludf.DUMMYFUNCTION("""COMPUTED_VALUE"""),34320.0)</f>
        <v>34320</v>
      </c>
      <c r="H434" s="7">
        <f>IFERROR(__xludf.DUMMYFUNCTION("""COMPUTED_VALUE"""),3.8001676E7)</f>
        <v>38001676</v>
      </c>
      <c r="I434" s="7">
        <f>IFERROR(__xludf.DUMMYFUNCTION("""COMPUTED_VALUE"""),3.517691147E9)</f>
        <v>3517691147</v>
      </c>
      <c r="J434" s="7" t="str">
        <f>IFERROR(__xludf.DUMMYFUNCTION("""COMPUTED_VALUE"""),"Recomendación")</f>
        <v>Recomendación</v>
      </c>
      <c r="K434" s="7" t="str">
        <f>IFERROR(__xludf.DUMMYFUNCTION("""COMPUTED_VALUE"""),"Obra social")</f>
        <v>Obra social</v>
      </c>
      <c r="L434" s="7"/>
      <c r="M434" s="7" t="str">
        <f>IFERROR(__xludf.DUMMYFUNCTION("""COMPUTED_VALUE"""),"Si")</f>
        <v>Si</v>
      </c>
      <c r="N434" s="7" t="str">
        <f>IFERROR(__xludf.DUMMYFUNCTION("""COMPUTED_VALUE"""),"Escalada y running")</f>
        <v>Escalada y running</v>
      </c>
      <c r="O434" s="7" t="str">
        <f>IFERROR(__xludf.DUMMYFUNCTION("""COMPUTED_VALUE"""),"3 a 5 veces por semana")</f>
        <v>3 a 5 veces por semana</v>
      </c>
      <c r="P434" s="7"/>
      <c r="Q434" s="7" t="str">
        <f>IFERROR(__xludf.DUMMYFUNCTION("""COMPUTED_VALUE"""),"SANCOR")</f>
        <v>SANCOR</v>
      </c>
      <c r="R434" s="7"/>
      <c r="S434" s="7"/>
    </row>
    <row r="435">
      <c r="A435" s="7" t="str">
        <f t="shared" si="1"/>
        <v>Gomez, Roberto</v>
      </c>
      <c r="B435" s="7">
        <f>SUMIFS('bd caja'!$K$1:$K$1012,'bd caja'!$D$1:$D$1012,A435)</f>
        <v>0</v>
      </c>
      <c r="C435" s="19">
        <f>IFERROR(__xludf.DUMMYFUNCTION("""COMPUTED_VALUE"""),45310.44606854167)</f>
        <v>45310.44607</v>
      </c>
      <c r="D435" s="7" t="str">
        <f>IFERROR(__xludf.DUMMYFUNCTION("""COMPUTED_VALUE"""),"Gomez")</f>
        <v>Gomez</v>
      </c>
      <c r="E435" s="7" t="str">
        <f>IFERROR(__xludf.DUMMYFUNCTION("""COMPUTED_VALUE"""),"Roberto")</f>
        <v>Roberto</v>
      </c>
      <c r="F435" s="7" t="str">
        <f>IFERROR(__xludf.DUMMYFUNCTION("""COMPUTED_VALUE"""),"rrgomez05@yahoo.com.ar")</f>
        <v>rrgomez05@yahoo.com.ar</v>
      </c>
      <c r="G435" s="20">
        <f>IFERROR(__xludf.DUMMYFUNCTION("""COMPUTED_VALUE"""),22224.0)</f>
        <v>22224</v>
      </c>
      <c r="H435" s="7">
        <f>IFERROR(__xludf.DUMMYFUNCTION("""COMPUTED_VALUE"""),1.429153E7)</f>
        <v>14291530</v>
      </c>
      <c r="I435" s="7">
        <f>IFERROR(__xludf.DUMMYFUNCTION("""COMPUTED_VALUE"""),3.517544794E9)</f>
        <v>3517544794</v>
      </c>
      <c r="J435" s="7" t="str">
        <f>IFERROR(__xludf.DUMMYFUNCTION("""COMPUTED_VALUE"""),"Recomendación")</f>
        <v>Recomendación</v>
      </c>
      <c r="K435" s="7" t="str">
        <f>IFERROR(__xludf.DUMMYFUNCTION("""COMPUTED_VALUE"""),"Obra social")</f>
        <v>Obra social</v>
      </c>
      <c r="L435" s="7"/>
      <c r="M435" s="7" t="str">
        <f>IFERROR(__xludf.DUMMYFUNCTION("""COMPUTED_VALUE"""),"No")</f>
        <v>No</v>
      </c>
      <c r="N435" s="7"/>
      <c r="O435" s="7"/>
      <c r="P435" s="7"/>
      <c r="Q435" s="7" t="str">
        <f>IFERROR(__xludf.DUMMYFUNCTION("""COMPUTED_VALUE"""),"APROSS")</f>
        <v>APROSS</v>
      </c>
      <c r="R435" s="7"/>
      <c r="S435" s="7"/>
    </row>
    <row r="436">
      <c r="A436" s="7" t="str">
        <f t="shared" si="1"/>
        <v>Aguirre, Luis Feliciano</v>
      </c>
      <c r="B436" s="7">
        <f>SUMIFS('bd caja'!$K$1:$K$1012,'bd caja'!$D$1:$D$1012,A436)</f>
        <v>0</v>
      </c>
      <c r="C436" s="19">
        <f>IFERROR(__xludf.DUMMYFUNCTION("""COMPUTED_VALUE"""),45313.37989668982)</f>
        <v>45313.3799</v>
      </c>
      <c r="D436" s="7" t="str">
        <f>IFERROR(__xludf.DUMMYFUNCTION("""COMPUTED_VALUE"""),"Aguirre")</f>
        <v>Aguirre</v>
      </c>
      <c r="E436" s="7" t="str">
        <f>IFERROR(__xludf.DUMMYFUNCTION("""COMPUTED_VALUE"""),"Luis Feliciano")</f>
        <v>Luis Feliciano</v>
      </c>
      <c r="F436" s="7" t="str">
        <f>IFERROR(__xludf.DUMMYFUNCTION("""COMPUTED_VALUE"""),"luisfelicianoaguirre@gmail.com")</f>
        <v>luisfelicianoaguirre@gmail.com</v>
      </c>
      <c r="G436" s="20">
        <f>IFERROR(__xludf.DUMMYFUNCTION("""COMPUTED_VALUE"""),31659.0)</f>
        <v>31659</v>
      </c>
      <c r="H436" s="7">
        <f>IFERROR(__xludf.DUMMYFUNCTION("""COMPUTED_VALUE"""),3.2492685E7)</f>
        <v>32492685</v>
      </c>
      <c r="I436" s="7">
        <f>IFERROR(__xludf.DUMMYFUNCTION("""COMPUTED_VALUE"""),3.515953559E9)</f>
        <v>3515953559</v>
      </c>
      <c r="J436" s="7" t="str">
        <f>IFERROR(__xludf.DUMMYFUNCTION("""COMPUTED_VALUE"""),"Google")</f>
        <v>Google</v>
      </c>
      <c r="K436" s="7" t="str">
        <f>IFERROR(__xludf.DUMMYFUNCTION("""COMPUTED_VALUE"""),"Obra social")</f>
        <v>Obra social</v>
      </c>
      <c r="L436" s="7"/>
      <c r="M436" s="7" t="str">
        <f>IFERROR(__xludf.DUMMYFUNCTION("""COMPUTED_VALUE"""),"Si")</f>
        <v>Si</v>
      </c>
      <c r="N436" s="7" t="str">
        <f>IFERROR(__xludf.DUMMYFUNCTION("""COMPUTED_VALUE"""),"Gimnasio")</f>
        <v>Gimnasio</v>
      </c>
      <c r="O436" s="7" t="str">
        <f>IFERROR(__xludf.DUMMYFUNCTION("""COMPUTED_VALUE"""),"3 a 5 veces por semana")</f>
        <v>3 a 5 veces por semana</v>
      </c>
      <c r="P436" s="7"/>
      <c r="Q436" s="7" t="str">
        <f>IFERROR(__xludf.DUMMYFUNCTION("""COMPUTED_VALUE"""),"PREVENCIÓN")</f>
        <v>PREVENCIÓN</v>
      </c>
      <c r="R436" s="7"/>
      <c r="S436" s="7"/>
    </row>
    <row r="437">
      <c r="A437" s="7" t="str">
        <f t="shared" si="1"/>
        <v>Hurtado , Valentina </v>
      </c>
      <c r="B437" s="7">
        <f>SUMIFS('bd caja'!$K$1:$K$1012,'bd caja'!$D$1:$D$1012,A437)</f>
        <v>0</v>
      </c>
      <c r="C437" s="19">
        <f>IFERROR(__xludf.DUMMYFUNCTION("""COMPUTED_VALUE"""),45313.61768840278)</f>
        <v>45313.61769</v>
      </c>
      <c r="D437" s="7" t="str">
        <f>IFERROR(__xludf.DUMMYFUNCTION("""COMPUTED_VALUE"""),"Hurtado ")</f>
        <v>Hurtado </v>
      </c>
      <c r="E437" s="7" t="str">
        <f>IFERROR(__xludf.DUMMYFUNCTION("""COMPUTED_VALUE"""),"Valentina ")</f>
        <v>Valentina </v>
      </c>
      <c r="F437" s="7" t="str">
        <f>IFERROR(__xludf.DUMMYFUNCTION("""COMPUTED_VALUE"""),"hurtadomariavalentina@gmail.com")</f>
        <v>hurtadomariavalentina@gmail.com</v>
      </c>
      <c r="G437" s="20">
        <f>IFERROR(__xludf.DUMMYFUNCTION("""COMPUTED_VALUE"""),34487.0)</f>
        <v>34487</v>
      </c>
      <c r="H437" s="7">
        <f>IFERROR(__xludf.DUMMYFUNCTION("""COMPUTED_VALUE"""),9.6342866E7)</f>
        <v>96342866</v>
      </c>
      <c r="I437" s="7">
        <f>IFERROR(__xludf.DUMMYFUNCTION("""COMPUTED_VALUE"""),3.51864309E9)</f>
        <v>3518643090</v>
      </c>
      <c r="J437" s="7" t="str">
        <f>IFERROR(__xludf.DUMMYFUNCTION("""COMPUTED_VALUE"""),"Iba al gym Manantial")</f>
        <v>Iba al gym Manantial</v>
      </c>
      <c r="K437" s="7" t="str">
        <f>IFERROR(__xludf.DUMMYFUNCTION("""COMPUTED_VALUE"""),"Particular")</f>
        <v>Particular</v>
      </c>
      <c r="L437" s="7"/>
      <c r="M437" s="7" t="str">
        <f>IFERROR(__xludf.DUMMYFUNCTION("""COMPUTED_VALUE"""),"No")</f>
        <v>No</v>
      </c>
      <c r="N437" s="7"/>
      <c r="O437" s="7"/>
      <c r="P437" s="7"/>
      <c r="Q437" s="7"/>
      <c r="R437" s="7"/>
      <c r="S437" s="7"/>
    </row>
    <row r="438">
      <c r="A438" s="7" t="str">
        <f t="shared" si="1"/>
        <v>Avendaño, Silvina</v>
      </c>
      <c r="B438" s="7">
        <f>SUMIFS('bd caja'!$K$1:$K$1012,'bd caja'!$D$1:$D$1012,A438)</f>
        <v>0</v>
      </c>
      <c r="C438" s="19">
        <f>IFERROR(__xludf.DUMMYFUNCTION("""COMPUTED_VALUE"""),45313.65241005787)</f>
        <v>45313.65241</v>
      </c>
      <c r="D438" s="7" t="str">
        <f>IFERROR(__xludf.DUMMYFUNCTION("""COMPUTED_VALUE"""),"Avendaño")</f>
        <v>Avendaño</v>
      </c>
      <c r="E438" s="7" t="str">
        <f>IFERROR(__xludf.DUMMYFUNCTION("""COMPUTED_VALUE"""),"Silvina")</f>
        <v>Silvina</v>
      </c>
      <c r="F438" s="7" t="str">
        <f>IFERROR(__xludf.DUMMYFUNCTION("""COMPUTED_VALUE"""),"silvanaaven@gmail.com")</f>
        <v>silvanaaven@gmail.com</v>
      </c>
      <c r="G438" s="20">
        <f>IFERROR(__xludf.DUMMYFUNCTION("""COMPUTED_VALUE"""),31063.0)</f>
        <v>31063</v>
      </c>
      <c r="H438" s="7">
        <f>IFERROR(__xludf.DUMMYFUNCTION("""COMPUTED_VALUE"""),3.1355336E7)</f>
        <v>31355336</v>
      </c>
      <c r="I438" s="7">
        <f>IFERROR(__xludf.DUMMYFUNCTION("""COMPUTED_VALUE"""),3.512338865E9)</f>
        <v>3512338865</v>
      </c>
      <c r="J438" s="7" t="str">
        <f>IFERROR(__xludf.DUMMYFUNCTION("""COMPUTED_VALUE"""),"Recomendación")</f>
        <v>Recomendación</v>
      </c>
      <c r="K438" s="7" t="str">
        <f>IFERROR(__xludf.DUMMYFUNCTION("""COMPUTED_VALUE"""),"Obra social")</f>
        <v>Obra social</v>
      </c>
      <c r="L438" s="7"/>
      <c r="M438" s="7" t="str">
        <f>IFERROR(__xludf.DUMMYFUNCTION("""COMPUTED_VALUE"""),"Si")</f>
        <v>Si</v>
      </c>
      <c r="N438" s="7" t="str">
        <f>IFERROR(__xludf.DUMMYFUNCTION("""COMPUTED_VALUE"""),"Gimnasio")</f>
        <v>Gimnasio</v>
      </c>
      <c r="O438" s="7" t="str">
        <f>IFERROR(__xludf.DUMMYFUNCTION("""COMPUTED_VALUE"""),"3 a 5 veces por semana")</f>
        <v>3 a 5 veces por semana</v>
      </c>
      <c r="P438" s="7"/>
      <c r="Q438" s="7" t="str">
        <f>IFERROR(__xludf.DUMMYFUNCTION("""COMPUTED_VALUE"""),"PREVENCIÓN")</f>
        <v>PREVENCIÓN</v>
      </c>
      <c r="R438" s="7"/>
      <c r="S438" s="7"/>
    </row>
    <row r="439">
      <c r="A439" s="7" t="str">
        <f t="shared" si="1"/>
        <v>ROLDÁN , Jose</v>
      </c>
      <c r="B439" s="7">
        <f>SUMIFS('bd caja'!$K$1:$K$1012,'bd caja'!$D$1:$D$1012,A439)</f>
        <v>0</v>
      </c>
      <c r="C439" s="19">
        <f>IFERROR(__xludf.DUMMYFUNCTION("""COMPUTED_VALUE"""),45313.65465848379)</f>
        <v>45313.65466</v>
      </c>
      <c r="D439" s="7" t="str">
        <f>IFERROR(__xludf.DUMMYFUNCTION("""COMPUTED_VALUE"""),"ROLDÁN ")</f>
        <v>ROLDÁN </v>
      </c>
      <c r="E439" s="7" t="str">
        <f>IFERROR(__xludf.DUMMYFUNCTION("""COMPUTED_VALUE"""),"Jose")</f>
        <v>Jose</v>
      </c>
      <c r="F439" s="7" t="str">
        <f>IFERROR(__xludf.DUMMYFUNCTION("""COMPUTED_VALUE"""),"Roljose22@hotmail.com")</f>
        <v>Roljose22@hotmail.com</v>
      </c>
      <c r="G439" s="20">
        <f>IFERROR(__xludf.DUMMYFUNCTION("""COMPUTED_VALUE"""),31177.0)</f>
        <v>31177</v>
      </c>
      <c r="H439" s="7">
        <f>IFERROR(__xludf.DUMMYFUNCTION("""COMPUTED_VALUE"""),3.1277996E7)</f>
        <v>31277996</v>
      </c>
      <c r="I439" s="7">
        <f>IFERROR(__xludf.DUMMYFUNCTION("""COMPUTED_VALUE"""),3.517633277E9)</f>
        <v>3517633277</v>
      </c>
      <c r="J439" s="7" t="str">
        <f>IFERROR(__xludf.DUMMYFUNCTION("""COMPUTED_VALUE"""),"Recomendación")</f>
        <v>Recomendación</v>
      </c>
      <c r="K439" s="7" t="str">
        <f>IFERROR(__xludf.DUMMYFUNCTION("""COMPUTED_VALUE"""),"Obra social")</f>
        <v>Obra social</v>
      </c>
      <c r="L439" s="7"/>
      <c r="M439" s="7" t="str">
        <f>IFERROR(__xludf.DUMMYFUNCTION("""COMPUTED_VALUE"""),"No")</f>
        <v>No</v>
      </c>
      <c r="N439" s="7"/>
      <c r="O439" s="7"/>
      <c r="P439" s="7"/>
      <c r="Q439" s="7" t="str">
        <f>IFERROR(__xludf.DUMMYFUNCTION("""COMPUTED_VALUE"""),"Federada salud")</f>
        <v>Federada salud</v>
      </c>
      <c r="R439" s="7"/>
      <c r="S439" s="7"/>
    </row>
    <row r="440">
      <c r="A440" s="7" t="str">
        <f t="shared" si="1"/>
        <v>Arguello, Laura</v>
      </c>
      <c r="B440" s="7">
        <f>SUMIFS('bd caja'!$K$1:$K$1012,'bd caja'!$D$1:$D$1012,A440)</f>
        <v>0</v>
      </c>
      <c r="C440" s="19">
        <f>IFERROR(__xludf.DUMMYFUNCTION("""COMPUTED_VALUE"""),45313.76663789352)</f>
        <v>45313.76664</v>
      </c>
      <c r="D440" s="7" t="str">
        <f>IFERROR(__xludf.DUMMYFUNCTION("""COMPUTED_VALUE"""),"Arguello")</f>
        <v>Arguello</v>
      </c>
      <c r="E440" s="7" t="str">
        <f>IFERROR(__xludf.DUMMYFUNCTION("""COMPUTED_VALUE"""),"Laura")</f>
        <v>Laura</v>
      </c>
      <c r="F440" s="7" t="str">
        <f>IFERROR(__xludf.DUMMYFUNCTION("""COMPUTED_VALUE"""),"laux.arguello@gmail.com")</f>
        <v>laux.arguello@gmail.com</v>
      </c>
      <c r="G440" s="20">
        <f>IFERROR(__xludf.DUMMYFUNCTION("""COMPUTED_VALUE"""),30826.0)</f>
        <v>30826</v>
      </c>
      <c r="H440" s="7">
        <f>IFERROR(__xludf.DUMMYFUNCTION("""COMPUTED_VALUE"""),3.0969271E7)</f>
        <v>30969271</v>
      </c>
      <c r="I440" s="7">
        <f>IFERROR(__xludf.DUMMYFUNCTION("""COMPUTED_VALUE"""),3.455202012E9)</f>
        <v>3455202012</v>
      </c>
      <c r="J440" s="7" t="str">
        <f>IFERROR(__xludf.DUMMYFUNCTION("""COMPUTED_VALUE"""),"Google")</f>
        <v>Google</v>
      </c>
      <c r="K440" s="7" t="str">
        <f>IFERROR(__xludf.DUMMYFUNCTION("""COMPUTED_VALUE"""),"Particular")</f>
        <v>Particular</v>
      </c>
      <c r="L440" s="7"/>
      <c r="M440" s="7" t="str">
        <f>IFERROR(__xludf.DUMMYFUNCTION("""COMPUTED_VALUE"""),"No")</f>
        <v>No</v>
      </c>
      <c r="N440" s="7"/>
      <c r="O440" s="7"/>
      <c r="P440" s="7"/>
      <c r="Q440" s="7"/>
      <c r="R440" s="7"/>
      <c r="S440" s="7"/>
    </row>
    <row r="441">
      <c r="A441" s="7" t="str">
        <f t="shared" si="1"/>
        <v>Cecchi, Nicolas</v>
      </c>
      <c r="B441" s="7">
        <f>SUMIFS('bd caja'!$K$1:$K$1012,'bd caja'!$D$1:$D$1012,A441)</f>
        <v>0</v>
      </c>
      <c r="C441" s="19">
        <f>IFERROR(__xludf.DUMMYFUNCTION("""COMPUTED_VALUE"""),45314.73409060185)</f>
        <v>45314.73409</v>
      </c>
      <c r="D441" s="7" t="str">
        <f>IFERROR(__xludf.DUMMYFUNCTION("""COMPUTED_VALUE"""),"Cecchi")</f>
        <v>Cecchi</v>
      </c>
      <c r="E441" s="7" t="str">
        <f>IFERROR(__xludf.DUMMYFUNCTION("""COMPUTED_VALUE"""),"Nicolas")</f>
        <v>Nicolas</v>
      </c>
      <c r="F441" s="7" t="str">
        <f>IFERROR(__xludf.DUMMYFUNCTION("""COMPUTED_VALUE"""),"nico_cecchi@hotmail.com")</f>
        <v>nico_cecchi@hotmail.com</v>
      </c>
      <c r="G441" s="20">
        <f>IFERROR(__xludf.DUMMYFUNCTION("""COMPUTED_VALUE"""),32772.0)</f>
        <v>32772</v>
      </c>
      <c r="H441" s="7">
        <f>IFERROR(__xludf.DUMMYFUNCTION("""COMPUTED_VALUE"""),3.4838242E7)</f>
        <v>34838242</v>
      </c>
      <c r="I441" s="7">
        <f>IFERROR(__xludf.DUMMYFUNCTION("""COMPUTED_VALUE"""),3.512317248E9)</f>
        <v>3512317248</v>
      </c>
      <c r="J441" s="7" t="str">
        <f>IFERROR(__xludf.DUMMYFUNCTION("""COMPUTED_VALUE"""),"Recomendación")</f>
        <v>Recomendación</v>
      </c>
      <c r="K441" s="7" t="str">
        <f>IFERROR(__xludf.DUMMYFUNCTION("""COMPUTED_VALUE"""),"Particular")</f>
        <v>Particular</v>
      </c>
      <c r="L441" s="7"/>
      <c r="M441" s="7" t="str">
        <f>IFERROR(__xludf.DUMMYFUNCTION("""COMPUTED_VALUE"""),"No")</f>
        <v>No</v>
      </c>
      <c r="N441" s="7"/>
      <c r="O441" s="7"/>
      <c r="P441" s="7"/>
      <c r="Q441" s="7"/>
      <c r="R441" s="7"/>
      <c r="S441" s="7"/>
    </row>
    <row r="442">
      <c r="A442" s="7" t="str">
        <f t="shared" si="1"/>
        <v>gibellini, ezequiel</v>
      </c>
      <c r="B442" s="7">
        <f>SUMIFS('bd caja'!$K$1:$K$1012,'bd caja'!$D$1:$D$1012,A442)</f>
        <v>0</v>
      </c>
      <c r="C442" s="19">
        <f>IFERROR(__xludf.DUMMYFUNCTION("""COMPUTED_VALUE"""),45316.51653923611)</f>
        <v>45316.51654</v>
      </c>
      <c r="D442" s="7" t="str">
        <f>IFERROR(__xludf.DUMMYFUNCTION("""COMPUTED_VALUE"""),"gibellini")</f>
        <v>gibellini</v>
      </c>
      <c r="E442" s="7" t="str">
        <f>IFERROR(__xludf.DUMMYFUNCTION("""COMPUTED_VALUE"""),"ezequiel")</f>
        <v>ezequiel</v>
      </c>
      <c r="F442" s="7" t="str">
        <f>IFERROR(__xludf.DUMMYFUNCTION("""COMPUTED_VALUE"""),"ezequielgibellini@hotmail.com")</f>
        <v>ezequielgibellini@hotmail.com</v>
      </c>
      <c r="G442" s="20">
        <f>IFERROR(__xludf.DUMMYFUNCTION("""COMPUTED_VALUE"""),32394.0)</f>
        <v>32394</v>
      </c>
      <c r="H442" s="7">
        <f>IFERROR(__xludf.DUMMYFUNCTION("""COMPUTED_VALUE"""),3.3894618E7)</f>
        <v>33894618</v>
      </c>
      <c r="I442" s="7">
        <f>IFERROR(__xludf.DUMMYFUNCTION("""COMPUTED_VALUE"""),3.518029865E9)</f>
        <v>3518029865</v>
      </c>
      <c r="J442" s="7" t="str">
        <f>IFERROR(__xludf.DUMMYFUNCTION("""COMPUTED_VALUE"""),"Voy al gym Manantial")</f>
        <v>Voy al gym Manantial</v>
      </c>
      <c r="K442" s="7" t="str">
        <f>IFERROR(__xludf.DUMMYFUNCTION("""COMPUTED_VALUE"""),"Obra social")</f>
        <v>Obra social</v>
      </c>
      <c r="L442" s="7"/>
      <c r="M442" s="7" t="str">
        <f>IFERROR(__xludf.DUMMYFUNCTION("""COMPUTED_VALUE"""),"Si")</f>
        <v>Si</v>
      </c>
      <c r="N442" s="7" t="str">
        <f>IFERROR(__xludf.DUMMYFUNCTION("""COMPUTED_VALUE"""),"Gimnasio")</f>
        <v>Gimnasio</v>
      </c>
      <c r="O442" s="7" t="str">
        <f>IFERROR(__xludf.DUMMYFUNCTION("""COMPUTED_VALUE"""),"3 a 5 veces por semana")</f>
        <v>3 a 5 veces por semana</v>
      </c>
      <c r="P442" s="7"/>
      <c r="Q442" s="7" t="str">
        <f>IFERROR(__xludf.DUMMYFUNCTION("""COMPUTED_VALUE"""),"APROSS")</f>
        <v>APROSS</v>
      </c>
      <c r="R442" s="7"/>
      <c r="S442" s="7"/>
    </row>
    <row r="443">
      <c r="A443" s="7" t="str">
        <f t="shared" si="1"/>
        <v>Contreras, Sonia</v>
      </c>
      <c r="B443" s="7">
        <f>SUMIFS('bd caja'!$K$1:$K$1012,'bd caja'!$D$1:$D$1012,A443)</f>
        <v>0</v>
      </c>
      <c r="C443" s="19">
        <f>IFERROR(__xludf.DUMMYFUNCTION("""COMPUTED_VALUE"""),45317.78057982639)</f>
        <v>45317.78058</v>
      </c>
      <c r="D443" s="7" t="str">
        <f>IFERROR(__xludf.DUMMYFUNCTION("""COMPUTED_VALUE"""),"Contreras")</f>
        <v>Contreras</v>
      </c>
      <c r="E443" s="7" t="str">
        <f>IFERROR(__xludf.DUMMYFUNCTION("""COMPUTED_VALUE"""),"Sonia")</f>
        <v>Sonia</v>
      </c>
      <c r="F443" s="7" t="str">
        <f>IFERROR(__xludf.DUMMYFUNCTION("""COMPUTED_VALUE"""),"prettywoman0219@gmail.com")</f>
        <v>prettywoman0219@gmail.com</v>
      </c>
      <c r="G443" s="20">
        <f>IFERROR(__xludf.DUMMYFUNCTION("""COMPUTED_VALUE"""),-668200.0)</f>
        <v>-668200</v>
      </c>
      <c r="H443" s="7">
        <f>IFERROR(__xludf.DUMMYFUNCTION("""COMPUTED_VALUE"""),2.1627462E7)</f>
        <v>21627462</v>
      </c>
      <c r="I443" s="7">
        <f>IFERROR(__xludf.DUMMYFUNCTION("""COMPUTED_VALUE"""),3.513079243E9)</f>
        <v>3513079243</v>
      </c>
      <c r="J443" s="7" t="str">
        <f>IFERROR(__xludf.DUMMYFUNCTION("""COMPUTED_VALUE"""),"Google")</f>
        <v>Google</v>
      </c>
      <c r="K443" s="7" t="str">
        <f>IFERROR(__xludf.DUMMYFUNCTION("""COMPUTED_VALUE"""),"Obra social")</f>
        <v>Obra social</v>
      </c>
      <c r="L443" s="7"/>
      <c r="M443" s="7" t="str">
        <f>IFERROR(__xludf.DUMMYFUNCTION("""COMPUTED_VALUE"""),"No")</f>
        <v>No</v>
      </c>
      <c r="N443" s="7"/>
      <c r="O443" s="7"/>
      <c r="P443" s="7"/>
      <c r="Q443" s="7" t="str">
        <f>IFERROR(__xludf.DUMMYFUNCTION("""COMPUTED_VALUE"""),"APROSS")</f>
        <v>APROSS</v>
      </c>
      <c r="R443" s="7"/>
      <c r="S443" s="7"/>
    </row>
    <row r="444">
      <c r="A444" s="7" t="str">
        <f t="shared" si="1"/>
        <v>DAJRUCH, Liliana</v>
      </c>
      <c r="B444" s="7">
        <f>SUMIFS('bd caja'!$K$1:$K$1012,'bd caja'!$D$1:$D$1012,A444)</f>
        <v>0</v>
      </c>
      <c r="C444" s="19">
        <f>IFERROR(__xludf.DUMMYFUNCTION("""COMPUTED_VALUE"""),45320.512618125)</f>
        <v>45320.51262</v>
      </c>
      <c r="D444" s="7" t="str">
        <f>IFERROR(__xludf.DUMMYFUNCTION("""COMPUTED_VALUE"""),"DAJRUCH")</f>
        <v>DAJRUCH</v>
      </c>
      <c r="E444" s="7" t="str">
        <f>IFERROR(__xludf.DUMMYFUNCTION("""COMPUTED_VALUE"""),"Liliana")</f>
        <v>Liliana</v>
      </c>
      <c r="F444" s="7" t="str">
        <f>IFERROR(__xludf.DUMMYFUNCTION("""COMPUTED_VALUE"""),"elba.dajruch@unc.edu.ar")</f>
        <v>elba.dajruch@unc.edu.ar</v>
      </c>
      <c r="G444" s="20">
        <f>IFERROR(__xludf.DUMMYFUNCTION("""COMPUTED_VALUE"""),21739.0)</f>
        <v>21739</v>
      </c>
      <c r="H444" s="7">
        <f>IFERROR(__xludf.DUMMYFUNCTION("""COMPUTED_VALUE"""),1.3537849E7)</f>
        <v>13537849</v>
      </c>
      <c r="I444" s="7">
        <f>IFERROR(__xludf.DUMMYFUNCTION("""COMPUTED_VALUE"""),3.512949624E9)</f>
        <v>3512949624</v>
      </c>
      <c r="J444" s="7" t="str">
        <f>IFERROR(__xludf.DUMMYFUNCTION("""COMPUTED_VALUE"""),"Instagram")</f>
        <v>Instagram</v>
      </c>
      <c r="K444" s="7" t="str">
        <f>IFERROR(__xludf.DUMMYFUNCTION("""COMPUTED_VALUE"""),"Obra social")</f>
        <v>Obra social</v>
      </c>
      <c r="L444" s="7"/>
      <c r="M444" s="7" t="str">
        <f>IFERROR(__xludf.DUMMYFUNCTION("""COMPUTED_VALUE"""),"No")</f>
        <v>No</v>
      </c>
      <c r="N444" s="7"/>
      <c r="O444" s="7"/>
      <c r="P444" s="7"/>
      <c r="Q444" s="7" t="str">
        <f>IFERROR(__xludf.DUMMYFUNCTION("""COMPUTED_VALUE"""),"APROSS")</f>
        <v>APROSS</v>
      </c>
      <c r="R444" s="7"/>
      <c r="S444" s="7"/>
    </row>
    <row r="445">
      <c r="A445" s="7" t="str">
        <f t="shared" si="1"/>
        <v>Almada, Luciana</v>
      </c>
      <c r="B445" s="7">
        <f>SUMIFS('bd caja'!$K$1:$K$1012,'bd caja'!$D$1:$D$1012,A445)</f>
        <v>0</v>
      </c>
      <c r="C445" s="19">
        <f>IFERROR(__xludf.DUMMYFUNCTION("""COMPUTED_VALUE"""),45323.47071148148)</f>
        <v>45323.47071</v>
      </c>
      <c r="D445" s="7" t="str">
        <f>IFERROR(__xludf.DUMMYFUNCTION("""COMPUTED_VALUE"""),"Almada")</f>
        <v>Almada</v>
      </c>
      <c r="E445" s="7" t="str">
        <f>IFERROR(__xludf.DUMMYFUNCTION("""COMPUTED_VALUE"""),"Luciana")</f>
        <v>Luciana</v>
      </c>
      <c r="F445" s="7" t="str">
        <f>IFERROR(__xludf.DUMMYFUNCTION("""COMPUTED_VALUE"""),"lucianascount@gmail.com")</f>
        <v>lucianascount@gmail.com</v>
      </c>
      <c r="G445" s="20">
        <f>IFERROR(__xludf.DUMMYFUNCTION("""COMPUTED_VALUE"""),31331.0)</f>
        <v>31331</v>
      </c>
      <c r="H445" s="7">
        <f>IFERROR(__xludf.DUMMYFUNCTION("""COMPUTED_VALUE"""),3.1868822E7)</f>
        <v>31868822</v>
      </c>
      <c r="I445" s="7">
        <f>IFERROR(__xludf.DUMMYFUNCTION("""COMPUTED_VALUE"""),3.512013979E9)</f>
        <v>3512013979</v>
      </c>
      <c r="J445" s="7" t="str">
        <f>IFERROR(__xludf.DUMMYFUNCTION("""COMPUTED_VALUE"""),"Pasillo del híper ")</f>
        <v>Pasillo del híper </v>
      </c>
      <c r="K445" s="7" t="str">
        <f>IFERROR(__xludf.DUMMYFUNCTION("""COMPUTED_VALUE"""),"Particular")</f>
        <v>Particular</v>
      </c>
      <c r="L445" s="7"/>
      <c r="M445" s="7" t="str">
        <f>IFERROR(__xludf.DUMMYFUNCTION("""COMPUTED_VALUE"""),"Si")</f>
        <v>Si</v>
      </c>
      <c r="N445" s="7" t="str">
        <f>IFERROR(__xludf.DUMMYFUNCTION("""COMPUTED_VALUE"""),"Rollers ")</f>
        <v>Rollers </v>
      </c>
      <c r="O445" s="7" t="str">
        <f>IFERROR(__xludf.DUMMYFUNCTION("""COMPUTED_VALUE"""),"1 a 2 veces por semana")</f>
        <v>1 a 2 veces por semana</v>
      </c>
      <c r="P445" s="7"/>
      <c r="Q445" s="7"/>
      <c r="R445" s="7"/>
      <c r="S445" s="7"/>
    </row>
    <row r="446">
      <c r="A446" s="7" t="str">
        <f t="shared" si="1"/>
        <v>Coleoni , Lázaro </v>
      </c>
      <c r="B446" s="7">
        <f>SUMIFS('bd caja'!$K$1:$K$1012,'bd caja'!$D$1:$D$1012,A446)</f>
        <v>0</v>
      </c>
      <c r="C446" s="19">
        <f>IFERROR(__xludf.DUMMYFUNCTION("""COMPUTED_VALUE"""),45327.47261672454)</f>
        <v>45327.47262</v>
      </c>
      <c r="D446" s="7" t="str">
        <f>IFERROR(__xludf.DUMMYFUNCTION("""COMPUTED_VALUE"""),"Coleoni ")</f>
        <v>Coleoni </v>
      </c>
      <c r="E446" s="7" t="str">
        <f>IFERROR(__xludf.DUMMYFUNCTION("""COMPUTED_VALUE"""),"Lázaro ")</f>
        <v>Lázaro </v>
      </c>
      <c r="F446" s="7" t="str">
        <f>IFERROR(__xludf.DUMMYFUNCTION("""COMPUTED_VALUE"""),"Martina.heredia@marquezyasociados.com.ar")</f>
        <v>Martina.heredia@marquezyasociados.com.ar</v>
      </c>
      <c r="G446" s="20">
        <f>IFERROR(__xludf.DUMMYFUNCTION("""COMPUTED_VALUE"""),42094.0)</f>
        <v>42094</v>
      </c>
      <c r="H446" s="7">
        <f>IFERROR(__xludf.DUMMYFUNCTION("""COMPUTED_VALUE"""),5.4578749E7)</f>
        <v>54578749</v>
      </c>
      <c r="I446" s="7">
        <f>IFERROR(__xludf.DUMMYFUNCTION("""COMPUTED_VALUE"""),3.541623935E9)</f>
        <v>3541623935</v>
      </c>
      <c r="J446" s="7" t="str">
        <f>IFERROR(__xludf.DUMMYFUNCTION("""COMPUTED_VALUE"""),"Google")</f>
        <v>Google</v>
      </c>
      <c r="K446" s="7" t="str">
        <f>IFERROR(__xludf.DUMMYFUNCTION("""COMPUTED_VALUE"""),"Obra social")</f>
        <v>Obra social</v>
      </c>
      <c r="L446" s="7"/>
      <c r="M446" s="7" t="str">
        <f>IFERROR(__xludf.DUMMYFUNCTION("""COMPUTED_VALUE"""),"Si")</f>
        <v>Si</v>
      </c>
      <c r="N446" s="7" t="str">
        <f>IFERROR(__xludf.DUMMYFUNCTION("""COMPUTED_VALUE"""),"Fútbol")</f>
        <v>Fútbol</v>
      </c>
      <c r="O446" s="7" t="str">
        <f>IFERROR(__xludf.DUMMYFUNCTION("""COMPUTED_VALUE"""),"3 a 5 veces por semana")</f>
        <v>3 a 5 veces por semana</v>
      </c>
      <c r="P446" s="7"/>
      <c r="Q446" s="7" t="str">
        <f>IFERROR(__xludf.DUMMYFUNCTION("""COMPUTED_VALUE"""),"PREVENCIÓN")</f>
        <v>PREVENCIÓN</v>
      </c>
      <c r="R446" s="7"/>
      <c r="S446" s="7"/>
    </row>
    <row r="447">
      <c r="A447" s="7" t="str">
        <f t="shared" si="1"/>
        <v>Rigoni, Camila</v>
      </c>
      <c r="B447" s="7">
        <f>SUMIFS('bd caja'!$K$1:$K$1012,'bd caja'!$D$1:$D$1012,A447)</f>
        <v>0</v>
      </c>
      <c r="C447" s="19">
        <f>IFERROR(__xludf.DUMMYFUNCTION("""COMPUTED_VALUE"""),45327.56292689814)</f>
        <v>45327.56293</v>
      </c>
      <c r="D447" s="7" t="str">
        <f>IFERROR(__xludf.DUMMYFUNCTION("""COMPUTED_VALUE"""),"Rigoni")</f>
        <v>Rigoni</v>
      </c>
      <c r="E447" s="7" t="str">
        <f>IFERROR(__xludf.DUMMYFUNCTION("""COMPUTED_VALUE"""),"Camila")</f>
        <v>Camila</v>
      </c>
      <c r="F447" s="7" t="str">
        <f>IFERROR(__xludf.DUMMYFUNCTION("""COMPUTED_VALUE"""),"mcrigoni06@gmail.com")</f>
        <v>mcrigoni06@gmail.com</v>
      </c>
      <c r="G447" s="20">
        <f>IFERROR(__xludf.DUMMYFUNCTION("""COMPUTED_VALUE"""),37067.0)</f>
        <v>37067</v>
      </c>
      <c r="H447" s="7">
        <f>IFERROR(__xludf.DUMMYFUNCTION("""COMPUTED_VALUE"""),4.3450276E7)</f>
        <v>43450276</v>
      </c>
      <c r="I447" s="7">
        <f>IFERROR(__xludf.DUMMYFUNCTION("""COMPUTED_VALUE"""),3.513935846E9)</f>
        <v>3513935846</v>
      </c>
      <c r="J447" s="7" t="str">
        <f>IFERROR(__xludf.DUMMYFUNCTION("""COMPUTED_VALUE"""),"Cartilla Obra Social")</f>
        <v>Cartilla Obra Social</v>
      </c>
      <c r="K447" s="7" t="str">
        <f>IFERROR(__xludf.DUMMYFUNCTION("""COMPUTED_VALUE"""),"Obra social")</f>
        <v>Obra social</v>
      </c>
      <c r="L447" s="7"/>
      <c r="M447" s="7" t="str">
        <f>IFERROR(__xludf.DUMMYFUNCTION("""COMPUTED_VALUE"""),"Si")</f>
        <v>Si</v>
      </c>
      <c r="N447" s="7" t="str">
        <f>IFERROR(__xludf.DUMMYFUNCTION("""COMPUTED_VALUE"""),"Yoga")</f>
        <v>Yoga</v>
      </c>
      <c r="O447" s="7" t="str">
        <f>IFERROR(__xludf.DUMMYFUNCTION("""COMPUTED_VALUE"""),"3 a 5 veces por semana")</f>
        <v>3 a 5 veces por semana</v>
      </c>
      <c r="P447" s="7"/>
      <c r="Q447" s="7" t="str">
        <f>IFERROR(__xludf.DUMMYFUNCTION("""COMPUTED_VALUE"""),"Osadef")</f>
        <v>Osadef</v>
      </c>
      <c r="R447" s="7"/>
      <c r="S447" s="7"/>
    </row>
    <row r="448">
      <c r="A448" s="7" t="str">
        <f t="shared" si="1"/>
        <v>Sarrá, Liliana Beatriz</v>
      </c>
      <c r="B448" s="7">
        <f>SUMIFS('bd caja'!$K$1:$K$1012,'bd caja'!$D$1:$D$1012,A448)</f>
        <v>0</v>
      </c>
      <c r="C448" s="19">
        <f>IFERROR(__xludf.DUMMYFUNCTION("""COMPUTED_VALUE"""),45329.79928453703)</f>
        <v>45329.79928</v>
      </c>
      <c r="D448" s="7" t="str">
        <f>IFERROR(__xludf.DUMMYFUNCTION("""COMPUTED_VALUE"""),"Sarrá")</f>
        <v>Sarrá</v>
      </c>
      <c r="E448" s="7" t="str">
        <f>IFERROR(__xludf.DUMMYFUNCTION("""COMPUTED_VALUE"""),"Liliana Beatriz")</f>
        <v>Liliana Beatriz</v>
      </c>
      <c r="F448" s="7" t="str">
        <f>IFERROR(__xludf.DUMMYFUNCTION("""COMPUTED_VALUE"""),"sarralilianabeatriz@gmail.com")</f>
        <v>sarralilianabeatriz@gmail.com</v>
      </c>
      <c r="G448" s="20">
        <f>IFERROR(__xludf.DUMMYFUNCTION("""COMPUTED_VALUE"""),45571.0)</f>
        <v>45571</v>
      </c>
      <c r="H448" s="7">
        <f>IFERROR(__xludf.DUMMYFUNCTION("""COMPUTED_VALUE"""),1.0682259E7)</f>
        <v>10682259</v>
      </c>
      <c r="I448" s="7">
        <f>IFERROR(__xludf.DUMMYFUNCTION("""COMPUTED_VALUE"""),3.516454969E9)</f>
        <v>3516454969</v>
      </c>
      <c r="J448" s="7" t="str">
        <f>IFERROR(__xludf.DUMMYFUNCTION("""COMPUTED_VALUE"""),"Recomendación")</f>
        <v>Recomendación</v>
      </c>
      <c r="K448" s="7" t="str">
        <f>IFERROR(__xludf.DUMMYFUNCTION("""COMPUTED_VALUE"""),"Particular")</f>
        <v>Particular</v>
      </c>
      <c r="L448" s="7"/>
      <c r="M448" s="7" t="str">
        <f>IFERROR(__xludf.DUMMYFUNCTION("""COMPUTED_VALUE"""),"Si")</f>
        <v>Si</v>
      </c>
      <c r="N448" s="7"/>
      <c r="O448" s="7"/>
      <c r="P448" s="7"/>
      <c r="Q448" s="7"/>
      <c r="R448" s="7"/>
      <c r="S448" s="7"/>
    </row>
    <row r="449">
      <c r="A449" s="7" t="str">
        <f t="shared" si="1"/>
        <v>Bertazzo, Carlos Marcelo</v>
      </c>
      <c r="B449" s="7">
        <f>SUMIFS('bd caja'!$K$1:$K$1012,'bd caja'!$D$1:$D$1012,A449)</f>
        <v>0</v>
      </c>
      <c r="C449" s="19">
        <f>IFERROR(__xludf.DUMMYFUNCTION("""COMPUTED_VALUE"""),45330.827739375)</f>
        <v>45330.82774</v>
      </c>
      <c r="D449" s="7" t="str">
        <f>IFERROR(__xludf.DUMMYFUNCTION("""COMPUTED_VALUE"""),"Bertazzo")</f>
        <v>Bertazzo</v>
      </c>
      <c r="E449" s="7" t="str">
        <f>IFERROR(__xludf.DUMMYFUNCTION("""COMPUTED_VALUE"""),"Carlos Marcelo")</f>
        <v>Carlos Marcelo</v>
      </c>
      <c r="F449" s="7" t="str">
        <f>IFERROR(__xludf.DUMMYFUNCTION("""COMPUTED_VALUE"""),"cmbertazzo@gmail.com")</f>
        <v>cmbertazzo@gmail.com</v>
      </c>
      <c r="G449" s="20">
        <f>IFERROR(__xludf.DUMMYFUNCTION("""COMPUTED_VALUE"""),21285.0)</f>
        <v>21285</v>
      </c>
      <c r="H449" s="7">
        <f>IFERROR(__xludf.DUMMYFUNCTION("""COMPUTED_VALUE"""),1.2365679E7)</f>
        <v>12365679</v>
      </c>
      <c r="I449" s="7">
        <f>IFERROR(__xludf.DUMMYFUNCTION("""COMPUTED_VALUE"""),3.516300421E9)</f>
        <v>3516300421</v>
      </c>
      <c r="J449" s="7" t="str">
        <f>IFERROR(__xludf.DUMMYFUNCTION("""COMPUTED_VALUE"""),"Recomendación")</f>
        <v>Recomendación</v>
      </c>
      <c r="K449" s="7" t="str">
        <f>IFERROR(__xludf.DUMMYFUNCTION("""COMPUTED_VALUE"""),"Obra social")</f>
        <v>Obra social</v>
      </c>
      <c r="L449" s="7"/>
      <c r="M449" s="7" t="str">
        <f>IFERROR(__xludf.DUMMYFUNCTION("""COMPUTED_VALUE"""),"Si")</f>
        <v>Si</v>
      </c>
      <c r="N449" s="7" t="str">
        <f>IFERROR(__xludf.DUMMYFUNCTION("""COMPUTED_VALUE"""),"Caminata y trote")</f>
        <v>Caminata y trote</v>
      </c>
      <c r="O449" s="7" t="str">
        <f>IFERROR(__xludf.DUMMYFUNCTION("""COMPUTED_VALUE"""),"6 a 7 veces por semana")</f>
        <v>6 a 7 veces por semana</v>
      </c>
      <c r="P449" s="7"/>
      <c r="Q449" s="7" t="str">
        <f>IFERROR(__xludf.DUMMYFUNCTION("""COMPUTED_VALUE"""),"APROSS")</f>
        <v>APROSS</v>
      </c>
      <c r="R449" s="7"/>
      <c r="S449" s="7"/>
    </row>
    <row r="450">
      <c r="A450" s="7" t="str">
        <f t="shared" si="1"/>
        <v>Labrada Restrepo, Patricia </v>
      </c>
      <c r="B450" s="7">
        <f>SUMIFS('bd caja'!$K$1:$K$1012,'bd caja'!$D$1:$D$1012,A450)</f>
        <v>0</v>
      </c>
      <c r="C450" s="19">
        <f>IFERROR(__xludf.DUMMYFUNCTION("""COMPUTED_VALUE"""),45331.798146076384)</f>
        <v>45331.79815</v>
      </c>
      <c r="D450" s="7" t="str">
        <f>IFERROR(__xludf.DUMMYFUNCTION("""COMPUTED_VALUE"""),"Labrada Restrepo")</f>
        <v>Labrada Restrepo</v>
      </c>
      <c r="E450" s="7" t="str">
        <f>IFERROR(__xludf.DUMMYFUNCTION("""COMPUTED_VALUE"""),"Patricia ")</f>
        <v>Patricia </v>
      </c>
      <c r="F450" s="7" t="str">
        <f>IFERROR(__xludf.DUMMYFUNCTION("""COMPUTED_VALUE"""),"paticolabrada@gmail.com")</f>
        <v>paticolabrada@gmail.com</v>
      </c>
      <c r="G450" s="20">
        <f>IFERROR(__xludf.DUMMYFUNCTION("""COMPUTED_VALUE"""),20420.0)</f>
        <v>20420</v>
      </c>
      <c r="H450" s="7">
        <f>IFERROR(__xludf.DUMMYFUNCTION("""COMPUTED_VALUE"""),9.2503418E7)</f>
        <v>92503418</v>
      </c>
      <c r="I450" s="7">
        <f>IFERROR(__xludf.DUMMYFUNCTION("""COMPUTED_VALUE"""),3.515208163E9)</f>
        <v>3515208163</v>
      </c>
      <c r="J450" s="7" t="str">
        <f>IFERROR(__xludf.DUMMYFUNCTION("""COMPUTED_VALUE"""),"Google")</f>
        <v>Google</v>
      </c>
      <c r="K450" s="7" t="str">
        <f>IFERROR(__xludf.DUMMYFUNCTION("""COMPUTED_VALUE"""),"Particular")</f>
        <v>Particular</v>
      </c>
      <c r="L450" s="7"/>
      <c r="M450" s="7" t="str">
        <f>IFERROR(__xludf.DUMMYFUNCTION("""COMPUTED_VALUE"""),"Si")</f>
        <v>Si</v>
      </c>
      <c r="N450" s="7" t="str">
        <f>IFERROR(__xludf.DUMMYFUNCTION("""COMPUTED_VALUE"""),"Aqua gym ")</f>
        <v>Aqua gym </v>
      </c>
      <c r="O450" s="7" t="str">
        <f>IFERROR(__xludf.DUMMYFUNCTION("""COMPUTED_VALUE"""),"3 a 5 veces por semana")</f>
        <v>3 a 5 veces por semana</v>
      </c>
      <c r="P450" s="7"/>
      <c r="Q450" s="7"/>
      <c r="R450" s="7"/>
      <c r="S450" s="7"/>
    </row>
    <row r="451">
      <c r="A451" s="7" t="str">
        <f t="shared" si="1"/>
        <v>Serrano, Angel</v>
      </c>
      <c r="B451" s="7">
        <f>SUMIFS('bd caja'!$K$1:$K$1012,'bd caja'!$D$1:$D$1012,A451)</f>
        <v>0</v>
      </c>
      <c r="C451" s="19">
        <f>IFERROR(__xludf.DUMMYFUNCTION("""COMPUTED_VALUE"""),45336.45662745371)</f>
        <v>45336.45663</v>
      </c>
      <c r="D451" s="7" t="str">
        <f>IFERROR(__xludf.DUMMYFUNCTION("""COMPUTED_VALUE"""),"Serrano")</f>
        <v>Serrano</v>
      </c>
      <c r="E451" s="7" t="str">
        <f>IFERROR(__xludf.DUMMYFUNCTION("""COMPUTED_VALUE"""),"Angel")</f>
        <v>Angel</v>
      </c>
      <c r="F451" s="7" t="str">
        <f>IFERROR(__xludf.DUMMYFUNCTION("""COMPUTED_VALUE"""),"angelmserranog@gmail.com ")</f>
        <v>angelmserranog@gmail.com </v>
      </c>
      <c r="G451" s="20">
        <f>IFERROR(__xludf.DUMMYFUNCTION("""COMPUTED_VALUE"""),36209.0)</f>
        <v>36209</v>
      </c>
      <c r="H451" s="7">
        <f>IFERROR(__xludf.DUMMYFUNCTION("""COMPUTED_VALUE"""),9.6262307E7)</f>
        <v>96262307</v>
      </c>
      <c r="I451" s="7">
        <f>IFERROR(__xludf.DUMMYFUNCTION("""COMPUTED_VALUE"""),3.513100273E9)</f>
        <v>3513100273</v>
      </c>
      <c r="J451" s="7" t="str">
        <f>IFERROR(__xludf.DUMMYFUNCTION("""COMPUTED_VALUE"""),"Cartilla Obra Social")</f>
        <v>Cartilla Obra Social</v>
      </c>
      <c r="K451" s="7" t="str">
        <f>IFERROR(__xludf.DUMMYFUNCTION("""COMPUTED_VALUE"""),"Obra social")</f>
        <v>Obra social</v>
      </c>
      <c r="L451" s="7"/>
      <c r="M451" s="7" t="str">
        <f>IFERROR(__xludf.DUMMYFUNCTION("""COMPUTED_VALUE"""),"Si")</f>
        <v>Si</v>
      </c>
      <c r="N451" s="7" t="str">
        <f>IFERROR(__xludf.DUMMYFUNCTION("""COMPUTED_VALUE"""),"Gimnasio")</f>
        <v>Gimnasio</v>
      </c>
      <c r="O451" s="7" t="str">
        <f>IFERROR(__xludf.DUMMYFUNCTION("""COMPUTED_VALUE"""),"3 a 5 veces por semana")</f>
        <v>3 a 5 veces por semana</v>
      </c>
      <c r="P451" s="7"/>
      <c r="Q451" s="7" t="str">
        <f>IFERROR(__xludf.DUMMYFUNCTION("""COMPUTED_VALUE"""),"PREVENCIÓN")</f>
        <v>PREVENCIÓN</v>
      </c>
      <c r="R451" s="7"/>
      <c r="S451" s="7"/>
    </row>
    <row r="452">
      <c r="A452" s="7" t="str">
        <f t="shared" si="1"/>
        <v>Palavecino, Franco</v>
      </c>
      <c r="B452" s="7">
        <f>SUMIFS('bd caja'!$K$1:$K$1012,'bd caja'!$D$1:$D$1012,A452)</f>
        <v>0</v>
      </c>
      <c r="C452" s="19">
        <f>IFERROR(__xludf.DUMMYFUNCTION("""COMPUTED_VALUE"""),45336.4759221412)</f>
        <v>45336.47592</v>
      </c>
      <c r="D452" s="7" t="str">
        <f>IFERROR(__xludf.DUMMYFUNCTION("""COMPUTED_VALUE"""),"Palavecino")</f>
        <v>Palavecino</v>
      </c>
      <c r="E452" s="7" t="str">
        <f>IFERROR(__xludf.DUMMYFUNCTION("""COMPUTED_VALUE"""),"Franco")</f>
        <v>Franco</v>
      </c>
      <c r="F452" s="7" t="str">
        <f>IFERROR(__xludf.DUMMYFUNCTION("""COMPUTED_VALUE"""),"francogpalavecino@gmail.com")</f>
        <v>francogpalavecino@gmail.com</v>
      </c>
      <c r="G452" s="20">
        <f>IFERROR(__xludf.DUMMYFUNCTION("""COMPUTED_VALUE"""),34355.0)</f>
        <v>34355</v>
      </c>
      <c r="H452" s="7">
        <f>IFERROR(__xludf.DUMMYFUNCTION("""COMPUTED_VALUE"""),3.8002667E7)</f>
        <v>38002667</v>
      </c>
      <c r="I452" s="7">
        <f>IFERROR(__xludf.DUMMYFUNCTION("""COMPUTED_VALUE"""),3.517728306E9)</f>
        <v>3517728306</v>
      </c>
      <c r="J452" s="7" t="str">
        <f>IFERROR(__xludf.DUMMYFUNCTION("""COMPUTED_VALUE"""),"Voy al gym Manantial")</f>
        <v>Voy al gym Manantial</v>
      </c>
      <c r="K452" s="7" t="str">
        <f>IFERROR(__xludf.DUMMYFUNCTION("""COMPUTED_VALUE"""),"Obra social")</f>
        <v>Obra social</v>
      </c>
      <c r="L452" s="7"/>
      <c r="M452" s="7" t="str">
        <f>IFERROR(__xludf.DUMMYFUNCTION("""COMPUTED_VALUE"""),"Si")</f>
        <v>Si</v>
      </c>
      <c r="N452" s="7" t="str">
        <f>IFERROR(__xludf.DUMMYFUNCTION("""COMPUTED_VALUE"""),"Padel")</f>
        <v>Padel</v>
      </c>
      <c r="O452" s="7" t="str">
        <f>IFERROR(__xludf.DUMMYFUNCTION("""COMPUTED_VALUE"""),"3 a 5 veces por semana")</f>
        <v>3 a 5 veces por semana</v>
      </c>
      <c r="P452" s="7"/>
      <c r="Q452" s="7" t="str">
        <f>IFERROR(__xludf.DUMMYFUNCTION("""COMPUTED_VALUE"""),"SANCOR")</f>
        <v>SANCOR</v>
      </c>
      <c r="R452" s="7"/>
      <c r="S452" s="7"/>
    </row>
    <row r="453">
      <c r="A453" s="7" t="str">
        <f t="shared" si="1"/>
        <v>Soria, Lucas Martin</v>
      </c>
      <c r="B453" s="7">
        <f>SUMIFS('bd caja'!$K$1:$K$1012,'bd caja'!$D$1:$D$1012,A453)</f>
        <v>0</v>
      </c>
      <c r="C453" s="19">
        <f>IFERROR(__xludf.DUMMYFUNCTION("""COMPUTED_VALUE"""),45341.41999699074)</f>
        <v>45341.42</v>
      </c>
      <c r="D453" s="7" t="str">
        <f>IFERROR(__xludf.DUMMYFUNCTION("""COMPUTED_VALUE"""),"Soria")</f>
        <v>Soria</v>
      </c>
      <c r="E453" s="7" t="str">
        <f>IFERROR(__xludf.DUMMYFUNCTION("""COMPUTED_VALUE"""),"Lucas Martin")</f>
        <v>Lucas Martin</v>
      </c>
      <c r="F453" s="7" t="str">
        <f>IFERROR(__xludf.DUMMYFUNCTION("""COMPUTED_VALUE"""),"lucas.soria.2050@gmail.com")</f>
        <v>lucas.soria.2050@gmail.com</v>
      </c>
      <c r="G453" s="20">
        <f>IFERROR(__xludf.DUMMYFUNCTION("""COMPUTED_VALUE"""),35764.0)</f>
        <v>35764</v>
      </c>
      <c r="H453" s="7">
        <f>IFERROR(__xludf.DUMMYFUNCTION("""COMPUTED_VALUE"""),4.0835987E7)</f>
        <v>40835987</v>
      </c>
      <c r="I453" s="7">
        <f>IFERROR(__xludf.DUMMYFUNCTION("""COMPUTED_VALUE"""),3.513525964E9)</f>
        <v>3513525964</v>
      </c>
      <c r="J453" s="7" t="str">
        <f>IFERROR(__xludf.DUMMYFUNCTION("""COMPUTED_VALUE"""),"Instagram")</f>
        <v>Instagram</v>
      </c>
      <c r="K453" s="7" t="str">
        <f>IFERROR(__xludf.DUMMYFUNCTION("""COMPUTED_VALUE"""),"Particular")</f>
        <v>Particular</v>
      </c>
      <c r="L453" s="7"/>
      <c r="M453" s="7" t="str">
        <f>IFERROR(__xludf.DUMMYFUNCTION("""COMPUTED_VALUE"""),"Si")</f>
        <v>Si</v>
      </c>
      <c r="N453" s="7" t="str">
        <f>IFERROR(__xludf.DUMMYFUNCTION("""COMPUTED_VALUE"""),"Muay Thai - gimnasio - correr")</f>
        <v>Muay Thai - gimnasio - correr</v>
      </c>
      <c r="O453" s="7" t="str">
        <f>IFERROR(__xludf.DUMMYFUNCTION("""COMPUTED_VALUE"""),"6 a 7 veces por semana")</f>
        <v>6 a 7 veces por semana</v>
      </c>
      <c r="P453" s="7"/>
      <c r="Q453" s="7"/>
      <c r="R453" s="7"/>
      <c r="S453" s="7"/>
    </row>
    <row r="454">
      <c r="A454" s="7" t="str">
        <f t="shared" si="1"/>
        <v>Bonifacio, Carina</v>
      </c>
      <c r="B454" s="7">
        <f>SUMIFS('bd caja'!$K$1:$K$1012,'bd caja'!$D$1:$D$1012,A454)</f>
        <v>0</v>
      </c>
      <c r="C454" s="19">
        <f>IFERROR(__xludf.DUMMYFUNCTION("""COMPUTED_VALUE"""),45341.747570625)</f>
        <v>45341.74757</v>
      </c>
      <c r="D454" s="7" t="str">
        <f>IFERROR(__xludf.DUMMYFUNCTION("""COMPUTED_VALUE"""),"Bonifacio")</f>
        <v>Bonifacio</v>
      </c>
      <c r="E454" s="7" t="str">
        <f>IFERROR(__xludf.DUMMYFUNCTION("""COMPUTED_VALUE"""),"Carina")</f>
        <v>Carina</v>
      </c>
      <c r="F454" s="7" t="str">
        <f>IFERROR(__xludf.DUMMYFUNCTION("""COMPUTED_VALUE"""),"carinabonifacio@hotmail.com")</f>
        <v>carinabonifacio@hotmail.com</v>
      </c>
      <c r="G454" s="20">
        <f>IFERROR(__xludf.DUMMYFUNCTION("""COMPUTED_VALUE"""),29293.0)</f>
        <v>29293</v>
      </c>
      <c r="H454" s="7">
        <f>IFERROR(__xludf.DUMMYFUNCTION("""COMPUTED_VALUE"""),2.7957454E7)</f>
        <v>27957454</v>
      </c>
      <c r="I454" s="7">
        <f>IFERROR(__xludf.DUMMYFUNCTION("""COMPUTED_VALUE"""),3.516839702E9)</f>
        <v>3516839702</v>
      </c>
      <c r="J454" s="7" t="str">
        <f>IFERROR(__xludf.DUMMYFUNCTION("""COMPUTED_VALUE"""),"Voy al gym Manantial")</f>
        <v>Voy al gym Manantial</v>
      </c>
      <c r="K454" s="7" t="str">
        <f>IFERROR(__xludf.DUMMYFUNCTION("""COMPUTED_VALUE"""),"Particular")</f>
        <v>Particular</v>
      </c>
      <c r="L454" s="7"/>
      <c r="M454" s="7" t="str">
        <f>IFERROR(__xludf.DUMMYFUNCTION("""COMPUTED_VALUE"""),"Si")</f>
        <v>Si</v>
      </c>
      <c r="N454" s="7" t="str">
        <f>IFERROR(__xludf.DUMMYFUNCTION("""COMPUTED_VALUE"""),"Gimnasio")</f>
        <v>Gimnasio</v>
      </c>
      <c r="O454" s="7" t="str">
        <f>IFERROR(__xludf.DUMMYFUNCTION("""COMPUTED_VALUE"""),"3 a 5 veces por semana")</f>
        <v>3 a 5 veces por semana</v>
      </c>
      <c r="P454" s="7"/>
      <c r="Q454" s="7"/>
      <c r="R454" s="7"/>
      <c r="S454" s="7"/>
    </row>
    <row r="455">
      <c r="A455" s="7" t="str">
        <f t="shared" si="1"/>
        <v>Giorgi, Ivan</v>
      </c>
      <c r="B455" s="7">
        <f>SUMIFS('bd caja'!$K$1:$K$1012,'bd caja'!$D$1:$D$1012,A455)</f>
        <v>0</v>
      </c>
      <c r="C455" s="19">
        <f>IFERROR(__xludf.DUMMYFUNCTION("""COMPUTED_VALUE"""),45341.752969988425)</f>
        <v>45341.75297</v>
      </c>
      <c r="D455" s="7" t="str">
        <f>IFERROR(__xludf.DUMMYFUNCTION("""COMPUTED_VALUE"""),"Giorgi")</f>
        <v>Giorgi</v>
      </c>
      <c r="E455" s="7" t="str">
        <f>IFERROR(__xludf.DUMMYFUNCTION("""COMPUTED_VALUE"""),"Ivan")</f>
        <v>Ivan</v>
      </c>
      <c r="F455" s="7" t="str">
        <f>IFERROR(__xludf.DUMMYFUNCTION("""COMPUTED_VALUE"""),"ivan.rodriguezgiorgi@gmail.com")</f>
        <v>ivan.rodriguezgiorgi@gmail.com</v>
      </c>
      <c r="G455" s="20">
        <f>IFERROR(__xludf.DUMMYFUNCTION("""COMPUTED_VALUE"""),30340.0)</f>
        <v>30340</v>
      </c>
      <c r="H455" s="7">
        <f>IFERROR(__xludf.DUMMYFUNCTION("""COMPUTED_VALUE"""),2.9659133E7)</f>
        <v>29659133</v>
      </c>
      <c r="I455" s="7">
        <f>IFERROR(__xludf.DUMMYFUNCTION("""COMPUTED_VALUE"""),3.516146528E9)</f>
        <v>3516146528</v>
      </c>
      <c r="J455" s="7" t="str">
        <f>IFERROR(__xludf.DUMMYFUNCTION("""COMPUTED_VALUE"""),"Voy al gym Manantial")</f>
        <v>Voy al gym Manantial</v>
      </c>
      <c r="K455" s="7" t="str">
        <f>IFERROR(__xludf.DUMMYFUNCTION("""COMPUTED_VALUE"""),"Obra social")</f>
        <v>Obra social</v>
      </c>
      <c r="L455" s="7"/>
      <c r="M455" s="7" t="str">
        <f>IFERROR(__xludf.DUMMYFUNCTION("""COMPUTED_VALUE"""),"Si")</f>
        <v>Si</v>
      </c>
      <c r="N455" s="7" t="str">
        <f>IFERROR(__xludf.DUMMYFUNCTION("""COMPUTED_VALUE"""),"Gimnasio")</f>
        <v>Gimnasio</v>
      </c>
      <c r="O455" s="7" t="str">
        <f>IFERROR(__xludf.DUMMYFUNCTION("""COMPUTED_VALUE"""),"3 a 5 veces por semana")</f>
        <v>3 a 5 veces por semana</v>
      </c>
      <c r="P455" s="7"/>
      <c r="Q455" s="7" t="str">
        <f>IFERROR(__xludf.DUMMYFUNCTION("""COMPUTED_VALUE"""),"APROSS")</f>
        <v>APROSS</v>
      </c>
      <c r="R455" s="7"/>
      <c r="S455" s="7"/>
    </row>
    <row r="456">
      <c r="A456" s="7" t="str">
        <f t="shared" si="1"/>
        <v>Garay, Jenifer </v>
      </c>
      <c r="B456" s="7">
        <f>SUMIFS('bd caja'!$K$1:$K$1012,'bd caja'!$D$1:$D$1012,A456)</f>
        <v>0</v>
      </c>
      <c r="C456" s="19">
        <f>IFERROR(__xludf.DUMMYFUNCTION("""COMPUTED_VALUE"""),45341.79076251158)</f>
        <v>45341.79076</v>
      </c>
      <c r="D456" s="7" t="str">
        <f>IFERROR(__xludf.DUMMYFUNCTION("""COMPUTED_VALUE"""),"Garay")</f>
        <v>Garay</v>
      </c>
      <c r="E456" s="7" t="str">
        <f>IFERROR(__xludf.DUMMYFUNCTION("""COMPUTED_VALUE"""),"Jenifer ")</f>
        <v>Jenifer </v>
      </c>
      <c r="F456" s="7" t="str">
        <f>IFERROR(__xludf.DUMMYFUNCTION("""COMPUTED_VALUE"""),"jenigarayent@gmail.com")</f>
        <v>jenigarayent@gmail.com</v>
      </c>
      <c r="G456" s="20">
        <f>IFERROR(__xludf.DUMMYFUNCTION("""COMPUTED_VALUE"""),35318.0)</f>
        <v>35318</v>
      </c>
      <c r="H456" s="7">
        <f>IFERROR(__xludf.DUMMYFUNCTION("""COMPUTED_VALUE"""),3.9934307E7)</f>
        <v>39934307</v>
      </c>
      <c r="I456" s="7">
        <f>IFERROR(__xludf.DUMMYFUNCTION("""COMPUTED_VALUE"""),3.512090869E9)</f>
        <v>3512090869</v>
      </c>
      <c r="J456" s="7" t="str">
        <f>IFERROR(__xludf.DUMMYFUNCTION("""COMPUTED_VALUE"""),"Google")</f>
        <v>Google</v>
      </c>
      <c r="K456" s="7" t="str">
        <f>IFERROR(__xludf.DUMMYFUNCTION("""COMPUTED_VALUE"""),"Obra social")</f>
        <v>Obra social</v>
      </c>
      <c r="L456" s="7"/>
      <c r="M456" s="7" t="str">
        <f>IFERROR(__xludf.DUMMYFUNCTION("""COMPUTED_VALUE"""),"Si")</f>
        <v>Si</v>
      </c>
      <c r="N456" s="7" t="str">
        <f>IFERROR(__xludf.DUMMYFUNCTION("""COMPUTED_VALUE"""),"Futbol, Hockey y Gimnasio ")</f>
        <v>Futbol, Hockey y Gimnasio </v>
      </c>
      <c r="O456" s="7" t="str">
        <f>IFERROR(__xludf.DUMMYFUNCTION("""COMPUTED_VALUE"""),"6 a 7 veces por semana")</f>
        <v>6 a 7 veces por semana</v>
      </c>
      <c r="P456" s="7"/>
      <c r="Q456" s="7" t="str">
        <f>IFERROR(__xludf.DUMMYFUNCTION("""COMPUTED_VALUE"""),"Avalian")</f>
        <v>Avalian</v>
      </c>
      <c r="R456" s="7"/>
      <c r="S456" s="7"/>
    </row>
    <row r="457">
      <c r="A457" s="7" t="str">
        <f t="shared" si="1"/>
        <v>Nuñez , Alfredo Ernesto </v>
      </c>
      <c r="B457" s="7">
        <f>SUMIFS('bd caja'!$K$1:$K$1012,'bd caja'!$D$1:$D$1012,A457)</f>
        <v>0</v>
      </c>
      <c r="C457" s="19">
        <f>IFERROR(__xludf.DUMMYFUNCTION("""COMPUTED_VALUE"""),45343.81908935185)</f>
        <v>45343.81909</v>
      </c>
      <c r="D457" s="7" t="str">
        <f>IFERROR(__xludf.DUMMYFUNCTION("""COMPUTED_VALUE"""),"Nuñez ")</f>
        <v>Nuñez </v>
      </c>
      <c r="E457" s="7" t="str">
        <f>IFERROR(__xludf.DUMMYFUNCTION("""COMPUTED_VALUE"""),"Alfredo Ernesto ")</f>
        <v>Alfredo Ernesto </v>
      </c>
      <c r="F457" s="7" t="str">
        <f>IFERROR(__xludf.DUMMYFUNCTION("""COMPUTED_VALUE"""),"nalfredo1968@gmail.com")</f>
        <v>nalfredo1968@gmail.com</v>
      </c>
      <c r="G457" s="20">
        <f>IFERROR(__xludf.DUMMYFUNCTION("""COMPUTED_VALUE"""),24853.0)</f>
        <v>24853</v>
      </c>
      <c r="H457" s="7">
        <f>IFERROR(__xludf.DUMMYFUNCTION("""COMPUTED_VALUE"""),2.0958988E7)</f>
        <v>20958988</v>
      </c>
      <c r="I457" s="7">
        <f>IFERROR(__xludf.DUMMYFUNCTION("""COMPUTED_VALUE"""),3.516688686E9)</f>
        <v>3516688686</v>
      </c>
      <c r="J457" s="7" t="str">
        <f>IFERROR(__xludf.DUMMYFUNCTION("""COMPUTED_VALUE"""),"Voy al gym Manantial")</f>
        <v>Voy al gym Manantial</v>
      </c>
      <c r="K457" s="7" t="str">
        <f>IFERROR(__xludf.DUMMYFUNCTION("""COMPUTED_VALUE"""),"Particular")</f>
        <v>Particular</v>
      </c>
      <c r="L457" s="7"/>
      <c r="M457" s="7"/>
      <c r="N457" s="7" t="str">
        <f>IFERROR(__xludf.DUMMYFUNCTION("""COMPUTED_VALUE"""),"Gimnasio")</f>
        <v>Gimnasio</v>
      </c>
      <c r="O457" s="7" t="str">
        <f>IFERROR(__xludf.DUMMYFUNCTION("""COMPUTED_VALUE"""),"3 a 5 veces por semana")</f>
        <v>3 a 5 veces por semana</v>
      </c>
      <c r="P457" s="7"/>
      <c r="Q457" s="7"/>
      <c r="R457" s="7"/>
      <c r="S457" s="7"/>
    </row>
    <row r="458">
      <c r="A458" s="7" t="str">
        <f t="shared" si="1"/>
        <v>Aguero, Nidia </v>
      </c>
      <c r="B458" s="7">
        <f>SUMIFS('bd caja'!$K$1:$K$1012,'bd caja'!$D$1:$D$1012,A458)</f>
        <v>0</v>
      </c>
      <c r="C458" s="19">
        <f>IFERROR(__xludf.DUMMYFUNCTION("""COMPUTED_VALUE"""),45344.83911202547)</f>
        <v>45344.83911</v>
      </c>
      <c r="D458" s="7" t="str">
        <f>IFERROR(__xludf.DUMMYFUNCTION("""COMPUTED_VALUE"""),"Aguero")</f>
        <v>Aguero</v>
      </c>
      <c r="E458" s="7" t="str">
        <f>IFERROR(__xludf.DUMMYFUNCTION("""COMPUTED_VALUE"""),"Nidia ")</f>
        <v>Nidia </v>
      </c>
      <c r="F458" s="7" t="str">
        <f>IFERROR(__xludf.DUMMYFUNCTION("""COMPUTED_VALUE"""),"nidyaest3@gmail.com")</f>
        <v>nidyaest3@gmail.com</v>
      </c>
      <c r="G458" s="20">
        <f>IFERROR(__xludf.DUMMYFUNCTION("""COMPUTED_VALUE"""),45427.0)</f>
        <v>45427</v>
      </c>
      <c r="H458" s="7">
        <f>IFERROR(__xludf.DUMMYFUNCTION("""COMPUTED_VALUE"""),6396741.0)</f>
        <v>6396741</v>
      </c>
      <c r="I458" s="7">
        <f>IFERROR(__xludf.DUMMYFUNCTION("""COMPUTED_VALUE"""),3.513587E9)</f>
        <v>3513587000</v>
      </c>
      <c r="J458" s="7" t="str">
        <f>IFERROR(__xludf.DUMMYFUNCTION("""COMPUTED_VALUE"""),"Google")</f>
        <v>Google</v>
      </c>
      <c r="K458" s="7" t="str">
        <f>IFERROR(__xludf.DUMMYFUNCTION("""COMPUTED_VALUE"""),"Obra social")</f>
        <v>Obra social</v>
      </c>
      <c r="L458" s="7"/>
      <c r="M458" s="7" t="str">
        <f>IFERROR(__xludf.DUMMYFUNCTION("""COMPUTED_VALUE"""),"No")</f>
        <v>No</v>
      </c>
      <c r="N458" s="7"/>
      <c r="O458" s="7"/>
      <c r="P458" s="7"/>
      <c r="Q458" s="7" t="str">
        <f>IFERROR(__xludf.DUMMYFUNCTION("""COMPUTED_VALUE"""),"APROSS")</f>
        <v>APROSS</v>
      </c>
      <c r="R458" s="7"/>
      <c r="S458" s="7"/>
    </row>
    <row r="459">
      <c r="A459" s="7" t="str">
        <f t="shared" si="1"/>
        <v>Baroni, Tania Anahí </v>
      </c>
      <c r="B459" s="7">
        <f>SUMIFS('bd caja'!$K$1:$K$1012,'bd caja'!$D$1:$D$1012,A459)</f>
        <v>0</v>
      </c>
      <c r="C459" s="19">
        <f>IFERROR(__xludf.DUMMYFUNCTION("""COMPUTED_VALUE"""),45348.67382917824)</f>
        <v>45348.67383</v>
      </c>
      <c r="D459" s="7" t="str">
        <f>IFERROR(__xludf.DUMMYFUNCTION("""COMPUTED_VALUE"""),"Baroni")</f>
        <v>Baroni</v>
      </c>
      <c r="E459" s="7" t="str">
        <f>IFERROR(__xludf.DUMMYFUNCTION("""COMPUTED_VALUE"""),"Tania Anahí ")</f>
        <v>Tania Anahí </v>
      </c>
      <c r="F459" s="7" t="str">
        <f>IFERROR(__xludf.DUMMYFUNCTION("""COMPUTED_VALUE"""),"Taniabaroni23@gmail.com")</f>
        <v>Taniabaroni23@gmail.com</v>
      </c>
      <c r="G459" s="20">
        <f>IFERROR(__xludf.DUMMYFUNCTION("""COMPUTED_VALUE"""),36614.0)</f>
        <v>36614</v>
      </c>
      <c r="H459" s="7">
        <f>IFERROR(__xludf.DUMMYFUNCTION("""COMPUTED_VALUE"""),4.2474808E7)</f>
        <v>42474808</v>
      </c>
      <c r="I459" s="7">
        <f>IFERROR(__xludf.DUMMYFUNCTION("""COMPUTED_VALUE"""),3.515193313E9)</f>
        <v>3515193313</v>
      </c>
      <c r="J459" s="7" t="str">
        <f>IFERROR(__xludf.DUMMYFUNCTION("""COMPUTED_VALUE"""),"Cartilla Obra Social")</f>
        <v>Cartilla Obra Social</v>
      </c>
      <c r="K459" s="7" t="str">
        <f>IFERROR(__xludf.DUMMYFUNCTION("""COMPUTED_VALUE"""),"Obra social")</f>
        <v>Obra social</v>
      </c>
      <c r="L459" s="7"/>
      <c r="M459" s="7" t="str">
        <f>IFERROR(__xludf.DUMMYFUNCTION("""COMPUTED_VALUE"""),"No")</f>
        <v>No</v>
      </c>
      <c r="N459" s="7"/>
      <c r="O459" s="7"/>
      <c r="P459" s="7"/>
      <c r="Q459" s="7" t="str">
        <f>IFERROR(__xludf.DUMMYFUNCTION("""COMPUTED_VALUE"""),"PREVENCIÓN")</f>
        <v>PREVENCIÓN</v>
      </c>
      <c r="R459" s="7"/>
      <c r="S459" s="7"/>
    </row>
    <row r="460">
      <c r="A460" s="7" t="str">
        <f t="shared" si="1"/>
        <v>Novaira, Alejandra</v>
      </c>
      <c r="B460" s="7">
        <f>SUMIFS('bd caja'!$K$1:$K$1012,'bd caja'!$D$1:$D$1012,A460)</f>
        <v>0</v>
      </c>
      <c r="C460" s="19">
        <f>IFERROR(__xludf.DUMMYFUNCTION("""COMPUTED_VALUE"""),45349.746880810184)</f>
        <v>45349.74688</v>
      </c>
      <c r="D460" s="7" t="str">
        <f>IFERROR(__xludf.DUMMYFUNCTION("""COMPUTED_VALUE"""),"Novaira")</f>
        <v>Novaira</v>
      </c>
      <c r="E460" s="7" t="str">
        <f>IFERROR(__xludf.DUMMYFUNCTION("""COMPUTED_VALUE"""),"Alejandra")</f>
        <v>Alejandra</v>
      </c>
      <c r="F460" s="7" t="str">
        <f>IFERROR(__xludf.DUMMYFUNCTION("""COMPUTED_VALUE"""),"alenoa@hotmail.com")</f>
        <v>alenoa@hotmail.com</v>
      </c>
      <c r="G460" s="20">
        <f>IFERROR(__xludf.DUMMYFUNCTION("""COMPUTED_VALUE"""),24703.0)</f>
        <v>24703</v>
      </c>
      <c r="H460" s="7">
        <f>IFERROR(__xludf.DUMMYFUNCTION("""COMPUTED_VALUE"""),1.8350328E7)</f>
        <v>18350328</v>
      </c>
      <c r="I460" s="7">
        <f>IFERROR(__xludf.DUMMYFUNCTION("""COMPUTED_VALUE"""),3.515607661E9)</f>
        <v>3515607661</v>
      </c>
      <c r="J460" s="7" t="str">
        <f>IFERROR(__xludf.DUMMYFUNCTION("""COMPUTED_VALUE"""),"Recomendación")</f>
        <v>Recomendación</v>
      </c>
      <c r="K460" s="7" t="str">
        <f>IFERROR(__xludf.DUMMYFUNCTION("""COMPUTED_VALUE"""),"Obra social")</f>
        <v>Obra social</v>
      </c>
      <c r="L460" s="7"/>
      <c r="M460" s="7" t="str">
        <f>IFERROR(__xludf.DUMMYFUNCTION("""COMPUTED_VALUE"""),"No")</f>
        <v>No</v>
      </c>
      <c r="N460" s="7"/>
      <c r="O460" s="7"/>
      <c r="P460" s="7"/>
      <c r="Q460" s="7" t="str">
        <f>IFERROR(__xludf.DUMMYFUNCTION("""COMPUTED_VALUE"""),"Medife")</f>
        <v>Medife</v>
      </c>
      <c r="R460" s="7"/>
      <c r="S460" s="7"/>
    </row>
    <row r="461">
      <c r="A461" s="7" t="str">
        <f t="shared" si="1"/>
        <v>Marques, Jose Eduardo</v>
      </c>
      <c r="B461" s="7">
        <f>SUMIFS('bd caja'!$K$1:$K$1012,'bd caja'!$D$1:$D$1012,A461)</f>
        <v>0</v>
      </c>
      <c r="C461" s="19">
        <f>IFERROR(__xludf.DUMMYFUNCTION("""COMPUTED_VALUE"""),45349.787231168986)</f>
        <v>45349.78723</v>
      </c>
      <c r="D461" s="7" t="str">
        <f>IFERROR(__xludf.DUMMYFUNCTION("""COMPUTED_VALUE"""),"Marques")</f>
        <v>Marques</v>
      </c>
      <c r="E461" s="7" t="str">
        <f>IFERROR(__xludf.DUMMYFUNCTION("""COMPUTED_VALUE"""),"Jose Eduardo")</f>
        <v>Jose Eduardo</v>
      </c>
      <c r="F461" s="7" t="str">
        <f>IFERROR(__xludf.DUMMYFUNCTION("""COMPUTED_VALUE"""),"mediterraneaserviciosgenerales@gmail.com")</f>
        <v>mediterraneaserviciosgenerales@gmail.com</v>
      </c>
      <c r="G461" s="20">
        <f>IFERROR(__xludf.DUMMYFUNCTION("""COMPUTED_VALUE"""),25491.0)</f>
        <v>25491</v>
      </c>
      <c r="H461" s="7">
        <f>IFERROR(__xludf.DUMMYFUNCTION("""COMPUTED_VALUE"""),2.0997079E7)</f>
        <v>20997079</v>
      </c>
      <c r="I461" s="7">
        <f>IFERROR(__xludf.DUMMYFUNCTION("""COMPUTED_VALUE"""),3.513979501E9)</f>
        <v>3513979501</v>
      </c>
      <c r="J461" s="7" t="str">
        <f>IFERROR(__xludf.DUMMYFUNCTION("""COMPUTED_VALUE"""),"Recomendación")</f>
        <v>Recomendación</v>
      </c>
      <c r="K461" s="7" t="str">
        <f>IFERROR(__xludf.DUMMYFUNCTION("""COMPUTED_VALUE"""),"Obra social")</f>
        <v>Obra social</v>
      </c>
      <c r="L461" s="7"/>
      <c r="M461" s="7" t="str">
        <f>IFERROR(__xludf.DUMMYFUNCTION("""COMPUTED_VALUE"""),"Si")</f>
        <v>Si</v>
      </c>
      <c r="N461" s="7" t="str">
        <f>IFERROR(__xludf.DUMMYFUNCTION("""COMPUTED_VALUE"""),"Fútbol")</f>
        <v>Fútbol</v>
      </c>
      <c r="O461" s="7" t="str">
        <f>IFERROR(__xludf.DUMMYFUNCTION("""COMPUTED_VALUE"""),"1 a 2 veces por semana")</f>
        <v>1 a 2 veces por semana</v>
      </c>
      <c r="P461" s="7"/>
      <c r="Q461" s="7" t="str">
        <f>IFERROR(__xludf.DUMMYFUNCTION("""COMPUTED_VALUE"""),"SANCOR")</f>
        <v>SANCOR</v>
      </c>
      <c r="R461" s="7"/>
      <c r="S461" s="7"/>
    </row>
    <row r="462">
      <c r="A462" s="7" t="str">
        <f t="shared" si="1"/>
        <v>Loforte , Diego </v>
      </c>
      <c r="B462" s="7">
        <f>SUMIFS('bd caja'!$K$1:$K$1012,'bd caja'!$D$1:$D$1012,A462)</f>
        <v>0</v>
      </c>
      <c r="C462" s="19">
        <f>IFERROR(__xludf.DUMMYFUNCTION("""COMPUTED_VALUE"""),45349.78786185185)</f>
        <v>45349.78786</v>
      </c>
      <c r="D462" s="7" t="str">
        <f>IFERROR(__xludf.DUMMYFUNCTION("""COMPUTED_VALUE"""),"Loforte ")</f>
        <v>Loforte </v>
      </c>
      <c r="E462" s="7" t="str">
        <f>IFERROR(__xludf.DUMMYFUNCTION("""COMPUTED_VALUE"""),"Diego ")</f>
        <v>Diego </v>
      </c>
      <c r="F462" s="7" t="str">
        <f>IFERROR(__xludf.DUMMYFUNCTION("""COMPUTED_VALUE"""),"lofdiego@gmail.com")</f>
        <v>lofdiego@gmail.com</v>
      </c>
      <c r="G462" s="20">
        <f>IFERROR(__xludf.DUMMYFUNCTION("""COMPUTED_VALUE"""),31528.0)</f>
        <v>31528</v>
      </c>
      <c r="H462" s="7">
        <f>IFERROR(__xludf.DUMMYFUNCTION("""COMPUTED_VALUE"""),3.2240312E7)</f>
        <v>32240312</v>
      </c>
      <c r="I462" s="7">
        <f>IFERROR(__xludf.DUMMYFUNCTION("""COMPUTED_VALUE"""),3.512082142E9)</f>
        <v>3512082142</v>
      </c>
      <c r="J462" s="7" t="str">
        <f>IFERROR(__xludf.DUMMYFUNCTION("""COMPUTED_VALUE"""),"Google")</f>
        <v>Google</v>
      </c>
      <c r="K462" s="7" t="str">
        <f>IFERROR(__xludf.DUMMYFUNCTION("""COMPUTED_VALUE"""),"Obra social")</f>
        <v>Obra social</v>
      </c>
      <c r="L462" s="7"/>
      <c r="M462" s="7" t="str">
        <f>IFERROR(__xludf.DUMMYFUNCTION("""COMPUTED_VALUE"""),"Si")</f>
        <v>Si</v>
      </c>
      <c r="N462" s="7" t="str">
        <f>IFERROR(__xludf.DUMMYFUNCTION("""COMPUTED_VALUE"""),"CrossFit ")</f>
        <v>CrossFit </v>
      </c>
      <c r="O462" s="7" t="str">
        <f>IFERROR(__xludf.DUMMYFUNCTION("""COMPUTED_VALUE"""),"3 a 5 veces por semana")</f>
        <v>3 a 5 veces por semana</v>
      </c>
      <c r="P462" s="7"/>
      <c r="Q462" s="7" t="str">
        <f>IFERROR(__xludf.DUMMYFUNCTION("""COMPUTED_VALUE"""),"APROSS")</f>
        <v>APROSS</v>
      </c>
      <c r="R462" s="7"/>
      <c r="S462" s="7"/>
    </row>
    <row r="463">
      <c r="A463" s="7" t="str">
        <f t="shared" si="1"/>
        <v>Rodolfi, Juan Cruz </v>
      </c>
      <c r="B463" s="7">
        <f>SUMIFS('bd caja'!$K$1:$K$1012,'bd caja'!$D$1:$D$1012,A463)</f>
        <v>0</v>
      </c>
      <c r="C463" s="19">
        <f>IFERROR(__xludf.DUMMYFUNCTION("""COMPUTED_VALUE"""),45349.85532952547)</f>
        <v>45349.85533</v>
      </c>
      <c r="D463" s="7" t="str">
        <f>IFERROR(__xludf.DUMMYFUNCTION("""COMPUTED_VALUE"""),"Rodolfi")</f>
        <v>Rodolfi</v>
      </c>
      <c r="E463" s="7" t="str">
        <f>IFERROR(__xludf.DUMMYFUNCTION("""COMPUTED_VALUE"""),"Juan Cruz ")</f>
        <v>Juan Cruz </v>
      </c>
      <c r="F463" s="7" t="str">
        <f>IFERROR(__xludf.DUMMYFUNCTION("""COMPUTED_VALUE"""),"Juanrodolfi1923@gmail.com")</f>
        <v>Juanrodolfi1923@gmail.com</v>
      </c>
      <c r="G463" s="20">
        <f>IFERROR(__xludf.DUMMYFUNCTION("""COMPUTED_VALUE"""),34903.0)</f>
        <v>34903</v>
      </c>
      <c r="H463" s="7">
        <f>IFERROR(__xludf.DUMMYFUNCTION("""COMPUTED_VALUE"""),3.8882842E7)</f>
        <v>38882842</v>
      </c>
      <c r="I463" s="7">
        <f>IFERROR(__xludf.DUMMYFUNCTION("""COMPUTED_VALUE"""),3.512107843E9)</f>
        <v>3512107843</v>
      </c>
      <c r="J463" s="7" t="str">
        <f>IFERROR(__xludf.DUMMYFUNCTION("""COMPUTED_VALUE"""),"Google")</f>
        <v>Google</v>
      </c>
      <c r="K463" s="7" t="str">
        <f>IFERROR(__xludf.DUMMYFUNCTION("""COMPUTED_VALUE"""),"Particular")</f>
        <v>Particular</v>
      </c>
      <c r="L463" s="7"/>
      <c r="M463" s="7" t="str">
        <f>IFERROR(__xludf.DUMMYFUNCTION("""COMPUTED_VALUE"""),"Si")</f>
        <v>Si</v>
      </c>
      <c r="N463" s="7" t="str">
        <f>IFERROR(__xludf.DUMMYFUNCTION("""COMPUTED_VALUE"""),"Básquet")</f>
        <v>Básquet</v>
      </c>
      <c r="O463" s="7" t="str">
        <f>IFERROR(__xludf.DUMMYFUNCTION("""COMPUTED_VALUE"""),"1 a 2 veces por semana")</f>
        <v>1 a 2 veces por semana</v>
      </c>
      <c r="P463" s="7"/>
      <c r="Q463" s="7"/>
      <c r="R463" s="7"/>
      <c r="S463" s="7"/>
    </row>
    <row r="464">
      <c r="A464" s="7" t="str">
        <f t="shared" si="1"/>
        <v>Martínez , Esmeralda</v>
      </c>
      <c r="B464" s="7">
        <f>SUMIFS('bd caja'!$K$1:$K$1012,'bd caja'!$D$1:$D$1012,A464)</f>
        <v>0</v>
      </c>
      <c r="C464" s="19">
        <f>IFERROR(__xludf.DUMMYFUNCTION("""COMPUTED_VALUE"""),45352.770018877316)</f>
        <v>45352.77002</v>
      </c>
      <c r="D464" s="7" t="str">
        <f>IFERROR(__xludf.DUMMYFUNCTION("""COMPUTED_VALUE"""),"Martínez ")</f>
        <v>Martínez </v>
      </c>
      <c r="E464" s="7" t="str">
        <f>IFERROR(__xludf.DUMMYFUNCTION("""COMPUTED_VALUE"""),"Esmeralda")</f>
        <v>Esmeralda</v>
      </c>
      <c r="F464" s="7" t="str">
        <f>IFERROR(__xludf.DUMMYFUNCTION("""COMPUTED_VALUE"""),"Ejecutivavilahouse.em@gmail.com")</f>
        <v>Ejecutivavilahouse.em@gmail.com</v>
      </c>
      <c r="G464" s="20">
        <f>IFERROR(__xludf.DUMMYFUNCTION("""COMPUTED_VALUE"""),32705.0)</f>
        <v>32705</v>
      </c>
      <c r="H464" s="7">
        <f>IFERROR(__xludf.DUMMYFUNCTION("""COMPUTED_VALUE"""),3.4601816E7)</f>
        <v>34601816</v>
      </c>
      <c r="I464" s="7">
        <f>IFERROR(__xludf.DUMMYFUNCTION("""COMPUTED_VALUE"""),3.517049267E9)</f>
        <v>3517049267</v>
      </c>
      <c r="J464" s="7" t="str">
        <f>IFERROR(__xludf.DUMMYFUNCTION("""COMPUTED_VALUE"""),"Cartilla Obra Social")</f>
        <v>Cartilla Obra Social</v>
      </c>
      <c r="K464" s="7" t="str">
        <f>IFERROR(__xludf.DUMMYFUNCTION("""COMPUTED_VALUE"""),"Obra social")</f>
        <v>Obra social</v>
      </c>
      <c r="L464" s="7"/>
      <c r="M464" s="7" t="str">
        <f>IFERROR(__xludf.DUMMYFUNCTION("""COMPUTED_VALUE"""),"Si")</f>
        <v>Si</v>
      </c>
      <c r="N464" s="7" t="str">
        <f>IFERROR(__xludf.DUMMYFUNCTION("""COMPUTED_VALUE"""),"Gimnasio")</f>
        <v>Gimnasio</v>
      </c>
      <c r="O464" s="7" t="str">
        <f>IFERROR(__xludf.DUMMYFUNCTION("""COMPUTED_VALUE"""),"1 a 2 veces por semana")</f>
        <v>1 a 2 veces por semana</v>
      </c>
      <c r="P464" s="7"/>
      <c r="Q464" s="7" t="str">
        <f>IFERROR(__xludf.DUMMYFUNCTION("""COMPUTED_VALUE"""),"PREVENCIÓN")</f>
        <v>PREVENCIÓN</v>
      </c>
      <c r="R464" s="7"/>
      <c r="S464" s="7"/>
    </row>
    <row r="465">
      <c r="A465" s="7" t="str">
        <f t="shared" si="1"/>
        <v>Balestrini , Agustina Belén </v>
      </c>
      <c r="B465" s="7">
        <f>SUMIFS('bd caja'!$K$1:$K$1012,'bd caja'!$D$1:$D$1012,A465)</f>
        <v>0</v>
      </c>
      <c r="C465" s="19">
        <f>IFERROR(__xludf.DUMMYFUNCTION("""COMPUTED_VALUE"""),45353.61550743056)</f>
        <v>45353.61551</v>
      </c>
      <c r="D465" s="7" t="str">
        <f>IFERROR(__xludf.DUMMYFUNCTION("""COMPUTED_VALUE"""),"Balestrini ")</f>
        <v>Balestrini </v>
      </c>
      <c r="E465" s="7" t="str">
        <f>IFERROR(__xludf.DUMMYFUNCTION("""COMPUTED_VALUE"""),"Agustina Belén ")</f>
        <v>Agustina Belén </v>
      </c>
      <c r="F465" s="7" t="str">
        <f>IFERROR(__xludf.DUMMYFUNCTION("""COMPUTED_VALUE"""),"agustinabalestrini26@gmail.com ")</f>
        <v>agustinabalestrini26@gmail.com </v>
      </c>
      <c r="G465" s="20">
        <f>IFERROR(__xludf.DUMMYFUNCTION("""COMPUTED_VALUE"""),34799.0)</f>
        <v>34799</v>
      </c>
      <c r="H465" s="21">
        <f>IFERROR(__xludf.DUMMYFUNCTION("""COMPUTED_VALUE"""),3.8986452E7)</f>
        <v>38986452</v>
      </c>
      <c r="I465" s="7">
        <f>IFERROR(__xludf.DUMMYFUNCTION("""COMPUTED_VALUE"""),3.512051211E9)</f>
        <v>3512051211</v>
      </c>
      <c r="J465" s="7" t="str">
        <f>IFERROR(__xludf.DUMMYFUNCTION("""COMPUTED_VALUE"""),"Recomendación")</f>
        <v>Recomendación</v>
      </c>
      <c r="K465" s="7" t="str">
        <f>IFERROR(__xludf.DUMMYFUNCTION("""COMPUTED_VALUE"""),"Particular")</f>
        <v>Particular</v>
      </c>
      <c r="L465" s="7"/>
      <c r="M465" s="7" t="str">
        <f>IFERROR(__xludf.DUMMYFUNCTION("""COMPUTED_VALUE"""),"No")</f>
        <v>No</v>
      </c>
      <c r="N465" s="7"/>
      <c r="O465" s="7"/>
      <c r="P465" s="7"/>
      <c r="Q465" s="7"/>
      <c r="R465" s="7"/>
      <c r="S465" s="7"/>
    </row>
    <row r="466">
      <c r="A466" s="7" t="str">
        <f t="shared" si="1"/>
        <v>HERNANDEZ, Maria Cecilia</v>
      </c>
      <c r="B466" s="7">
        <f>SUMIFS('bd caja'!$K$1:$K$1012,'bd caja'!$D$1:$D$1012,A466)</f>
        <v>0</v>
      </c>
      <c r="C466" s="19">
        <f>IFERROR(__xludf.DUMMYFUNCTION("""COMPUTED_VALUE"""),45355.64735627315)</f>
        <v>45355.64736</v>
      </c>
      <c r="D466" s="7" t="str">
        <f>IFERROR(__xludf.DUMMYFUNCTION("""COMPUTED_VALUE"""),"HERNANDEZ")</f>
        <v>HERNANDEZ</v>
      </c>
      <c r="E466" s="7" t="str">
        <f>IFERROR(__xludf.DUMMYFUNCTION("""COMPUTED_VALUE"""),"Maria Cecilia")</f>
        <v>Maria Cecilia</v>
      </c>
      <c r="F466" s="7" t="str">
        <f>IFERROR(__xludf.DUMMYFUNCTION("""COMPUTED_VALUE"""),"cecilia821@hotmail.com")</f>
        <v>cecilia821@hotmail.com</v>
      </c>
      <c r="G466" s="20">
        <f>IFERROR(__xludf.DUMMYFUNCTION("""COMPUTED_VALUE"""),30022.0)</f>
        <v>30022</v>
      </c>
      <c r="H466" s="7">
        <f>IFERROR(__xludf.DUMMYFUNCTION("""COMPUTED_VALUE"""),2.9474256E7)</f>
        <v>29474256</v>
      </c>
      <c r="I466" s="7">
        <f>IFERROR(__xludf.DUMMYFUNCTION("""COMPUTED_VALUE"""),3.512630652E9)</f>
        <v>3512630652</v>
      </c>
      <c r="J466" s="7" t="str">
        <f>IFERROR(__xludf.DUMMYFUNCTION("""COMPUTED_VALUE"""),"Recomendación")</f>
        <v>Recomendación</v>
      </c>
      <c r="K466" s="7" t="str">
        <f>IFERROR(__xludf.DUMMYFUNCTION("""COMPUTED_VALUE"""),"Obra social")</f>
        <v>Obra social</v>
      </c>
      <c r="L466" s="7"/>
      <c r="M466" s="7" t="str">
        <f>IFERROR(__xludf.DUMMYFUNCTION("""COMPUTED_VALUE"""),"Si")</f>
        <v>Si</v>
      </c>
      <c r="N466" s="7" t="str">
        <f>IFERROR(__xludf.DUMMYFUNCTION("""COMPUTED_VALUE"""),"Gimnasio")</f>
        <v>Gimnasio</v>
      </c>
      <c r="O466" s="7" t="str">
        <f>IFERROR(__xludf.DUMMYFUNCTION("""COMPUTED_VALUE"""),"3 a 5 veces por semana")</f>
        <v>3 a 5 veces por semana</v>
      </c>
      <c r="P466" s="7"/>
      <c r="Q466" s="7" t="str">
        <f>IFERROR(__xludf.DUMMYFUNCTION("""COMPUTED_VALUE"""),"APROSS")</f>
        <v>APROSS</v>
      </c>
      <c r="R466" s="7"/>
      <c r="S466" s="7"/>
    </row>
    <row r="467">
      <c r="A467" s="7" t="str">
        <f t="shared" si="1"/>
        <v>Oviedo , Camila lucía</v>
      </c>
      <c r="B467" s="7">
        <f>SUMIFS('bd caja'!$K$1:$K$1012,'bd caja'!$D$1:$D$1012,A467)</f>
        <v>0</v>
      </c>
      <c r="C467" s="19">
        <f>IFERROR(__xludf.DUMMYFUNCTION("""COMPUTED_VALUE"""),45355.83773934028)</f>
        <v>45355.83774</v>
      </c>
      <c r="D467" s="7" t="str">
        <f>IFERROR(__xludf.DUMMYFUNCTION("""COMPUTED_VALUE"""),"Oviedo ")</f>
        <v>Oviedo </v>
      </c>
      <c r="E467" s="7" t="str">
        <f>IFERROR(__xludf.DUMMYFUNCTION("""COMPUTED_VALUE"""),"Camila lucía")</f>
        <v>Camila lucía</v>
      </c>
      <c r="F467" s="7" t="str">
        <f>IFERROR(__xludf.DUMMYFUNCTION("""COMPUTED_VALUE"""),"oviedocam9@gmail.com")</f>
        <v>oviedocam9@gmail.com</v>
      </c>
      <c r="G467" s="20">
        <f>IFERROR(__xludf.DUMMYFUNCTION("""COMPUTED_VALUE"""),36801.0)</f>
        <v>36801</v>
      </c>
      <c r="H467" s="7">
        <f>IFERROR(__xludf.DUMMYFUNCTION("""COMPUTED_VALUE"""),4.2856112E7)</f>
        <v>42856112</v>
      </c>
      <c r="I467" s="7">
        <f>IFERROR(__xludf.DUMMYFUNCTION("""COMPUTED_VALUE"""),3.512397685E9)</f>
        <v>3512397685</v>
      </c>
      <c r="J467" s="7" t="str">
        <f>IFERROR(__xludf.DUMMYFUNCTION("""COMPUTED_VALUE"""),"Google")</f>
        <v>Google</v>
      </c>
      <c r="K467" s="7" t="str">
        <f>IFERROR(__xludf.DUMMYFUNCTION("""COMPUTED_VALUE"""),"Particular")</f>
        <v>Particular</v>
      </c>
      <c r="L467" s="7"/>
      <c r="M467" s="7" t="str">
        <f>IFERROR(__xludf.DUMMYFUNCTION("""COMPUTED_VALUE"""),"Si")</f>
        <v>Si</v>
      </c>
      <c r="N467" s="7" t="str">
        <f>IFERROR(__xludf.DUMMYFUNCTION("""COMPUTED_VALUE"""),"Pilates")</f>
        <v>Pilates</v>
      </c>
      <c r="O467" s="7" t="str">
        <f>IFERROR(__xludf.DUMMYFUNCTION("""COMPUTED_VALUE"""),"3 a 5 veces por semana")</f>
        <v>3 a 5 veces por semana</v>
      </c>
      <c r="P467" s="7"/>
      <c r="Q467" s="7"/>
      <c r="R467" s="7"/>
      <c r="S467" s="7"/>
    </row>
    <row r="468">
      <c r="A468" s="7" t="str">
        <f t="shared" si="1"/>
        <v>Boretto , Andrea</v>
      </c>
      <c r="B468" s="7">
        <f>SUMIFS('bd caja'!$K$1:$K$1012,'bd caja'!$D$1:$D$1012,A468)</f>
        <v>0</v>
      </c>
      <c r="C468" s="19">
        <f>IFERROR(__xludf.DUMMYFUNCTION("""COMPUTED_VALUE"""),45356.73032891203)</f>
        <v>45356.73033</v>
      </c>
      <c r="D468" s="7" t="str">
        <f>IFERROR(__xludf.DUMMYFUNCTION("""COMPUTED_VALUE"""),"Boretto ")</f>
        <v>Boretto </v>
      </c>
      <c r="E468" s="7" t="str">
        <f>IFERROR(__xludf.DUMMYFUNCTION("""COMPUTED_VALUE"""),"Andrea")</f>
        <v>Andrea</v>
      </c>
      <c r="F468" s="7" t="str">
        <f>IFERROR(__xludf.DUMMYFUNCTION("""COMPUTED_VALUE"""),"andresboretto11@gmail.com")</f>
        <v>andresboretto11@gmail.com</v>
      </c>
      <c r="G468" s="20">
        <f>IFERROR(__xludf.DUMMYFUNCTION("""COMPUTED_VALUE"""),31027.0)</f>
        <v>31027</v>
      </c>
      <c r="H468" s="7">
        <f>IFERROR(__xludf.DUMMYFUNCTION("""COMPUTED_VALUE"""),3.1219974E7)</f>
        <v>31219974</v>
      </c>
      <c r="I468" s="7">
        <f>IFERROR(__xludf.DUMMYFUNCTION("""COMPUTED_VALUE"""),3.512343275E9)</f>
        <v>3512343275</v>
      </c>
      <c r="J468" s="7" t="str">
        <f>IFERROR(__xludf.DUMMYFUNCTION("""COMPUTED_VALUE"""),"Voy al gym Manantial")</f>
        <v>Voy al gym Manantial</v>
      </c>
      <c r="K468" s="7" t="str">
        <f>IFERROR(__xludf.DUMMYFUNCTION("""COMPUTED_VALUE"""),"Obra social")</f>
        <v>Obra social</v>
      </c>
      <c r="L468" s="7"/>
      <c r="M468" s="7" t="str">
        <f>IFERROR(__xludf.DUMMYFUNCTION("""COMPUTED_VALUE"""),"No")</f>
        <v>No</v>
      </c>
      <c r="N468" s="7"/>
      <c r="O468" s="7"/>
      <c r="P468" s="7"/>
      <c r="Q468" s="7" t="str">
        <f>IFERROR(__xludf.DUMMYFUNCTION("""COMPUTED_VALUE"""),"PREVENCIÓN")</f>
        <v>PREVENCIÓN</v>
      </c>
      <c r="R468" s="7"/>
      <c r="S468" s="7"/>
    </row>
    <row r="469">
      <c r="A469" s="7" t="str">
        <f t="shared" si="1"/>
        <v>Irisarri, Carlos</v>
      </c>
      <c r="B469" s="7">
        <f>SUMIFS('bd caja'!$K$1:$K$1012,'bd caja'!$D$1:$D$1012,A469)</f>
        <v>0</v>
      </c>
      <c r="C469" s="19">
        <f>IFERROR(__xludf.DUMMYFUNCTION("""COMPUTED_VALUE"""),45356.73251288194)</f>
        <v>45356.73251</v>
      </c>
      <c r="D469" s="7" t="str">
        <f>IFERROR(__xludf.DUMMYFUNCTION("""COMPUTED_VALUE"""),"Irisarri")</f>
        <v>Irisarri</v>
      </c>
      <c r="E469" s="7" t="str">
        <f>IFERROR(__xludf.DUMMYFUNCTION("""COMPUTED_VALUE"""),"Carlos")</f>
        <v>Carlos</v>
      </c>
      <c r="F469" s="7" t="str">
        <f>IFERROR(__xludf.DUMMYFUNCTION("""COMPUTED_VALUE"""),"cirisarri@gmail.com")</f>
        <v>cirisarri@gmail.com</v>
      </c>
      <c r="G469" s="20">
        <f>IFERROR(__xludf.DUMMYFUNCTION("""COMPUTED_VALUE"""),24942.0)</f>
        <v>24942</v>
      </c>
      <c r="H469" s="7">
        <f>IFERROR(__xludf.DUMMYFUNCTION("""COMPUTED_VALUE"""),2.0345615E7)</f>
        <v>20345615</v>
      </c>
      <c r="I469" s="7">
        <f>IFERROR(__xludf.DUMMYFUNCTION("""COMPUTED_VALUE"""),3.513571392E9)</f>
        <v>3513571392</v>
      </c>
      <c r="J469" s="7" t="str">
        <f>IFERROR(__xludf.DUMMYFUNCTION("""COMPUTED_VALUE"""),"Cartilla Obra Social")</f>
        <v>Cartilla Obra Social</v>
      </c>
      <c r="K469" s="7" t="str">
        <f>IFERROR(__xludf.DUMMYFUNCTION("""COMPUTED_VALUE"""),"Obra social")</f>
        <v>Obra social</v>
      </c>
      <c r="L469" s="7"/>
      <c r="M469" s="7" t="str">
        <f>IFERROR(__xludf.DUMMYFUNCTION("""COMPUTED_VALUE"""),"Si")</f>
        <v>Si</v>
      </c>
      <c r="N469" s="7" t="str">
        <f>IFERROR(__xludf.DUMMYFUNCTION("""COMPUTED_VALUE"""),"Fútbol")</f>
        <v>Fútbol</v>
      </c>
      <c r="O469" s="7" t="str">
        <f>IFERROR(__xludf.DUMMYFUNCTION("""COMPUTED_VALUE"""),"1 a 2 veces por semana")</f>
        <v>1 a 2 veces por semana</v>
      </c>
      <c r="P469" s="7"/>
      <c r="Q469" s="7" t="str">
        <f>IFERROR(__xludf.DUMMYFUNCTION("""COMPUTED_VALUE"""),"SANCOR")</f>
        <v>SANCOR</v>
      </c>
      <c r="R469" s="7"/>
      <c r="S469" s="7"/>
    </row>
    <row r="470">
      <c r="A470" s="7" t="str">
        <f t="shared" si="1"/>
        <v>Pereira Cabrera, Maria Laura</v>
      </c>
      <c r="B470" s="7">
        <f>SUMIFS('bd caja'!$K$1:$K$1012,'bd caja'!$D$1:$D$1012,A470)</f>
        <v>0</v>
      </c>
      <c r="C470" s="19">
        <f>IFERROR(__xludf.DUMMYFUNCTION("""COMPUTED_VALUE"""),45356.774114375)</f>
        <v>45356.77411</v>
      </c>
      <c r="D470" s="7" t="str">
        <f>IFERROR(__xludf.DUMMYFUNCTION("""COMPUTED_VALUE"""),"Pereira Cabrera")</f>
        <v>Pereira Cabrera</v>
      </c>
      <c r="E470" s="7" t="str">
        <f>IFERROR(__xludf.DUMMYFUNCTION("""COMPUTED_VALUE"""),"Maria Laura")</f>
        <v>Maria Laura</v>
      </c>
      <c r="F470" s="7" t="str">
        <f>IFERROR(__xludf.DUMMYFUNCTION("""COMPUTED_VALUE"""),"lalau02@hotmail.com ")</f>
        <v>lalau02@hotmail.com </v>
      </c>
      <c r="G470" s="20">
        <f>IFERROR(__xludf.DUMMYFUNCTION("""COMPUTED_VALUE"""),30088.0)</f>
        <v>30088</v>
      </c>
      <c r="H470" s="7">
        <f>IFERROR(__xludf.DUMMYFUNCTION("""COMPUTED_VALUE"""),2.947553E7)</f>
        <v>29475530</v>
      </c>
      <c r="I470" s="7">
        <f>IFERROR(__xludf.DUMMYFUNCTION("""COMPUTED_VALUE"""),3.512451017E9)</f>
        <v>3512451017</v>
      </c>
      <c r="J470" s="7" t="str">
        <f>IFERROR(__xludf.DUMMYFUNCTION("""COMPUTED_VALUE"""),"Google")</f>
        <v>Google</v>
      </c>
      <c r="K470" s="7" t="str">
        <f>IFERROR(__xludf.DUMMYFUNCTION("""COMPUTED_VALUE"""),"Obra social")</f>
        <v>Obra social</v>
      </c>
      <c r="L470" s="7"/>
      <c r="M470" s="7" t="str">
        <f>IFERROR(__xludf.DUMMYFUNCTION("""COMPUTED_VALUE"""),"Si")</f>
        <v>Si</v>
      </c>
      <c r="N470" s="7" t="str">
        <f>IFERROR(__xludf.DUMMYFUNCTION("""COMPUTED_VALUE"""),"Yoga. Método Iyengar")</f>
        <v>Yoga. Método Iyengar</v>
      </c>
      <c r="O470" s="7" t="str">
        <f>IFERROR(__xludf.DUMMYFUNCTION("""COMPUTED_VALUE"""),"3 a 5 veces por semana")</f>
        <v>3 a 5 veces por semana</v>
      </c>
      <c r="P470" s="7"/>
      <c r="Q470" s="7" t="str">
        <f>IFERROR(__xludf.DUMMYFUNCTION("""COMPUTED_VALUE"""),"DASPU")</f>
        <v>DASPU</v>
      </c>
      <c r="R470" s="7"/>
      <c r="S470" s="7"/>
    </row>
    <row r="471">
      <c r="A471" s="7" t="str">
        <f t="shared" si="1"/>
        <v>Irisarri , Tomas</v>
      </c>
      <c r="B471" s="7">
        <f>SUMIFS('bd caja'!$K$1:$K$1012,'bd caja'!$D$1:$D$1012,A471)</f>
        <v>0</v>
      </c>
      <c r="C471" s="19">
        <f>IFERROR(__xludf.DUMMYFUNCTION("""COMPUTED_VALUE"""),45356.818228344906)</f>
        <v>45356.81823</v>
      </c>
      <c r="D471" s="7" t="str">
        <f>IFERROR(__xludf.DUMMYFUNCTION("""COMPUTED_VALUE"""),"Irisarri ")</f>
        <v>Irisarri </v>
      </c>
      <c r="E471" s="7" t="str">
        <f>IFERROR(__xludf.DUMMYFUNCTION("""COMPUTED_VALUE"""),"Tomas")</f>
        <v>Tomas</v>
      </c>
      <c r="F471" s="7" t="str">
        <f>IFERROR(__xludf.DUMMYFUNCTION("""COMPUTED_VALUE"""),"Tomasirisarri00@gmail.com")</f>
        <v>Tomasirisarri00@gmail.com</v>
      </c>
      <c r="G471" s="20">
        <f>IFERROR(__xludf.DUMMYFUNCTION("""COMPUTED_VALUE"""),36690.0)</f>
        <v>36690</v>
      </c>
      <c r="H471" s="7">
        <f>IFERROR(__xludf.DUMMYFUNCTION("""COMPUTED_VALUE"""),4.2476418E7)</f>
        <v>42476418</v>
      </c>
      <c r="I471" s="7">
        <f>IFERROR(__xludf.DUMMYFUNCTION("""COMPUTED_VALUE"""),3.51262034E9)</f>
        <v>3512620340</v>
      </c>
      <c r="J471" s="7" t="str">
        <f>IFERROR(__xludf.DUMMYFUNCTION("""COMPUTED_VALUE"""),"Recomendación")</f>
        <v>Recomendación</v>
      </c>
      <c r="K471" s="7" t="str">
        <f>IFERROR(__xludf.DUMMYFUNCTION("""COMPUTED_VALUE"""),"Obra social")</f>
        <v>Obra social</v>
      </c>
      <c r="L471" s="7"/>
      <c r="M471" s="7" t="str">
        <f>IFERROR(__xludf.DUMMYFUNCTION("""COMPUTED_VALUE"""),"Si")</f>
        <v>Si</v>
      </c>
      <c r="N471" s="7" t="str">
        <f>IFERROR(__xludf.DUMMYFUNCTION("""COMPUTED_VALUE"""),"Fútbol")</f>
        <v>Fútbol</v>
      </c>
      <c r="O471" s="7" t="str">
        <f>IFERROR(__xludf.DUMMYFUNCTION("""COMPUTED_VALUE"""),"3 a 5 veces por semana")</f>
        <v>3 a 5 veces por semana</v>
      </c>
      <c r="P471" s="7"/>
      <c r="Q471" s="7" t="str">
        <f>IFERROR(__xludf.DUMMYFUNCTION("""COMPUTED_VALUE"""),"SANCOR")</f>
        <v>SANCOR</v>
      </c>
      <c r="R471" s="7"/>
      <c r="S471" s="7"/>
    </row>
    <row r="472">
      <c r="A472" s="7" t="str">
        <f t="shared" si="1"/>
        <v>Chancalay , María Victoria </v>
      </c>
      <c r="B472" s="7">
        <f>SUMIFS('bd caja'!$K$1:$K$1012,'bd caja'!$D$1:$D$1012,A472)</f>
        <v>0</v>
      </c>
      <c r="C472" s="19">
        <f>IFERROR(__xludf.DUMMYFUNCTION("""COMPUTED_VALUE"""),45356.85863295139)</f>
        <v>45356.85863</v>
      </c>
      <c r="D472" s="7" t="str">
        <f>IFERROR(__xludf.DUMMYFUNCTION("""COMPUTED_VALUE"""),"Chancalay ")</f>
        <v>Chancalay </v>
      </c>
      <c r="E472" s="7" t="str">
        <f>IFERROR(__xludf.DUMMYFUNCTION("""COMPUTED_VALUE"""),"María Victoria ")</f>
        <v>María Victoria </v>
      </c>
      <c r="F472" s="7" t="str">
        <f>IFERROR(__xludf.DUMMYFUNCTION("""COMPUTED_VALUE"""),"victoriachanca@hotmail.com")</f>
        <v>victoriachanca@hotmail.com</v>
      </c>
      <c r="G472" s="20">
        <f>IFERROR(__xludf.DUMMYFUNCTION("""COMPUTED_VALUE"""),30315.0)</f>
        <v>30315</v>
      </c>
      <c r="H472" s="7">
        <f>IFERROR(__xludf.DUMMYFUNCTION("""COMPUTED_VALUE"""),2.9965517E7)</f>
        <v>29965517</v>
      </c>
      <c r="I472" s="7">
        <f>IFERROR(__xludf.DUMMYFUNCTION("""COMPUTED_VALUE"""),3.516991024E9)</f>
        <v>3516991024</v>
      </c>
      <c r="J472" s="7" t="str">
        <f>IFERROR(__xludf.DUMMYFUNCTION("""COMPUTED_VALUE"""),"Recomendación")</f>
        <v>Recomendación</v>
      </c>
      <c r="K472" s="7" t="str">
        <f>IFERROR(__xludf.DUMMYFUNCTION("""COMPUTED_VALUE"""),"Obra social")</f>
        <v>Obra social</v>
      </c>
      <c r="L472" s="7"/>
      <c r="M472" s="7" t="str">
        <f>IFERROR(__xludf.DUMMYFUNCTION("""COMPUTED_VALUE"""),"Si")</f>
        <v>Si</v>
      </c>
      <c r="N472" s="7" t="str">
        <f>IFERROR(__xludf.DUMMYFUNCTION("""COMPUTED_VALUE"""),"Pilates")</f>
        <v>Pilates</v>
      </c>
      <c r="O472" s="7" t="str">
        <f>IFERROR(__xludf.DUMMYFUNCTION("""COMPUTED_VALUE"""),"1 a 2 veces por semana")</f>
        <v>1 a 2 veces por semana</v>
      </c>
      <c r="P472" s="7"/>
      <c r="Q472" s="7" t="str">
        <f>IFERROR(__xludf.DUMMYFUNCTION("""COMPUTED_VALUE"""),"SANCOR")</f>
        <v>SANCOR</v>
      </c>
      <c r="R472" s="7"/>
      <c r="S472" s="7"/>
    </row>
    <row r="473">
      <c r="A473" s="7" t="str">
        <f t="shared" si="1"/>
        <v>Arab cohen, Leonardo</v>
      </c>
      <c r="B473" s="7">
        <f>SUMIFS('bd caja'!$K$1:$K$1012,'bd caja'!$D$1:$D$1012,A473)</f>
        <v>0</v>
      </c>
      <c r="C473" s="19">
        <f>IFERROR(__xludf.DUMMYFUNCTION("""COMPUTED_VALUE"""),45357.44107314815)</f>
        <v>45357.44107</v>
      </c>
      <c r="D473" s="7" t="str">
        <f>IFERROR(__xludf.DUMMYFUNCTION("""COMPUTED_VALUE"""),"Arab cohen")</f>
        <v>Arab cohen</v>
      </c>
      <c r="E473" s="7" t="str">
        <f>IFERROR(__xludf.DUMMYFUNCTION("""COMPUTED_VALUE"""),"Leonardo")</f>
        <v>Leonardo</v>
      </c>
      <c r="F473" s="7" t="str">
        <f>IFERROR(__xludf.DUMMYFUNCTION("""COMPUTED_VALUE"""),"Arableonardi@gmail.com")</f>
        <v>Arableonardi@gmail.com</v>
      </c>
      <c r="G473" s="20">
        <f>IFERROR(__xludf.DUMMYFUNCTION("""COMPUTED_VALUE"""),31870.0)</f>
        <v>31870</v>
      </c>
      <c r="H473" s="7">
        <f>IFERROR(__xludf.DUMMYFUNCTION("""COMPUTED_VALUE"""),3.2926225E7)</f>
        <v>32926225</v>
      </c>
      <c r="I473" s="7">
        <f>IFERROR(__xludf.DUMMYFUNCTION("""COMPUTED_VALUE"""),3.513416296E9)</f>
        <v>3513416296</v>
      </c>
      <c r="J473" s="7" t="str">
        <f>IFERROR(__xludf.DUMMYFUNCTION("""COMPUTED_VALUE"""),"Recomendación")</f>
        <v>Recomendación</v>
      </c>
      <c r="K473" s="7" t="str">
        <f>IFERROR(__xludf.DUMMYFUNCTION("""COMPUTED_VALUE"""),"Particular")</f>
        <v>Particular</v>
      </c>
      <c r="L473" s="7"/>
      <c r="M473" s="7" t="str">
        <f>IFERROR(__xludf.DUMMYFUNCTION("""COMPUTED_VALUE"""),"Si")</f>
        <v>Si</v>
      </c>
      <c r="N473" s="7" t="str">
        <f>IFERROR(__xludf.DUMMYFUNCTION("""COMPUTED_VALUE"""),"Padel y Gimnasio")</f>
        <v>Padel y Gimnasio</v>
      </c>
      <c r="O473" s="7" t="str">
        <f>IFERROR(__xludf.DUMMYFUNCTION("""COMPUTED_VALUE"""),"3 a 5 veces por semana")</f>
        <v>3 a 5 veces por semana</v>
      </c>
      <c r="P473" s="7"/>
      <c r="Q473" s="7"/>
      <c r="R473" s="7"/>
      <c r="S473" s="7"/>
    </row>
    <row r="474">
      <c r="A474" s="7" t="str">
        <f t="shared" si="1"/>
        <v>Montero, Lautaro</v>
      </c>
      <c r="B474" s="7">
        <f>SUMIFS('bd caja'!$K$1:$K$1012,'bd caja'!$D$1:$D$1012,A474)</f>
        <v>0</v>
      </c>
      <c r="C474" s="19">
        <f>IFERROR(__xludf.DUMMYFUNCTION("""COMPUTED_VALUE"""),45357.80281675926)</f>
        <v>45357.80282</v>
      </c>
      <c r="D474" s="7" t="str">
        <f>IFERROR(__xludf.DUMMYFUNCTION("""COMPUTED_VALUE"""),"Montero")</f>
        <v>Montero</v>
      </c>
      <c r="E474" s="7" t="str">
        <f>IFERROR(__xludf.DUMMYFUNCTION("""COMPUTED_VALUE"""),"Lautaro")</f>
        <v>Lautaro</v>
      </c>
      <c r="F474" s="7" t="str">
        <f>IFERROR(__xludf.DUMMYFUNCTION("""COMPUTED_VALUE"""),"juampimontero@gmail.com")</f>
        <v>juampimontero@gmail.com</v>
      </c>
      <c r="G474" s="20">
        <f>IFERROR(__xludf.DUMMYFUNCTION("""COMPUTED_VALUE"""),41500.0)</f>
        <v>41500</v>
      </c>
      <c r="H474" s="7">
        <f>IFERROR(__xludf.DUMMYFUNCTION("""COMPUTED_VALUE"""),5.3098102E7)</f>
        <v>53098102</v>
      </c>
      <c r="I474" s="7">
        <f>IFERROR(__xludf.DUMMYFUNCTION("""COMPUTED_VALUE"""),3.512001589E9)</f>
        <v>3512001589</v>
      </c>
      <c r="J474" s="7" t="str">
        <f>IFERROR(__xludf.DUMMYFUNCTION("""COMPUTED_VALUE"""),"Recomendación")</f>
        <v>Recomendación</v>
      </c>
      <c r="K474" s="7" t="str">
        <f>IFERROR(__xludf.DUMMYFUNCTION("""COMPUTED_VALUE"""),"Particular")</f>
        <v>Particular</v>
      </c>
      <c r="L474" s="7"/>
      <c r="M474" s="7" t="str">
        <f>IFERROR(__xludf.DUMMYFUNCTION("""COMPUTED_VALUE"""),"Si")</f>
        <v>Si</v>
      </c>
      <c r="N474" s="7" t="str">
        <f>IFERROR(__xludf.DUMMYFUNCTION("""COMPUTED_VALUE"""),"Fútbol")</f>
        <v>Fútbol</v>
      </c>
      <c r="O474" s="7" t="str">
        <f>IFERROR(__xludf.DUMMYFUNCTION("""COMPUTED_VALUE"""),"3 a 5 veces por semana")</f>
        <v>3 a 5 veces por semana</v>
      </c>
      <c r="P474" s="7"/>
      <c r="Q474" s="7"/>
      <c r="R474" s="7"/>
      <c r="S474" s="7"/>
    </row>
    <row r="475">
      <c r="A475" s="7" t="str">
        <f t="shared" si="1"/>
        <v>Llanos , Debora marina </v>
      </c>
      <c r="B475" s="7">
        <f>SUMIFS('bd caja'!$K$1:$K$1012,'bd caja'!$D$1:$D$1012,A475)</f>
        <v>0</v>
      </c>
      <c r="C475" s="19">
        <f>IFERROR(__xludf.DUMMYFUNCTION("""COMPUTED_VALUE"""),45357.80286606481)</f>
        <v>45357.80287</v>
      </c>
      <c r="D475" s="7" t="str">
        <f>IFERROR(__xludf.DUMMYFUNCTION("""COMPUTED_VALUE"""),"Llanos ")</f>
        <v>Llanos </v>
      </c>
      <c r="E475" s="7" t="str">
        <f>IFERROR(__xludf.DUMMYFUNCTION("""COMPUTED_VALUE"""),"Debora marina ")</f>
        <v>Debora marina </v>
      </c>
      <c r="F475" s="7" t="str">
        <f>IFERROR(__xludf.DUMMYFUNCTION("""COMPUTED_VALUE"""),"deborallanos@gmail.com")</f>
        <v>deborallanos@gmail.com</v>
      </c>
      <c r="G475" s="20">
        <f>IFERROR(__xludf.DUMMYFUNCTION("""COMPUTED_VALUE"""),29186.0)</f>
        <v>29186</v>
      </c>
      <c r="H475" s="7">
        <f>IFERROR(__xludf.DUMMYFUNCTION("""COMPUTED_VALUE"""),2.7657503E7)</f>
        <v>27657503</v>
      </c>
      <c r="I475" s="7">
        <f>IFERROR(__xludf.DUMMYFUNCTION("""COMPUTED_VALUE"""),3.515304633E9)</f>
        <v>3515304633</v>
      </c>
      <c r="J475" s="7" t="str">
        <f>IFERROR(__xludf.DUMMYFUNCTION("""COMPUTED_VALUE"""),"Google")</f>
        <v>Google</v>
      </c>
      <c r="K475" s="7" t="str">
        <f>IFERROR(__xludf.DUMMYFUNCTION("""COMPUTED_VALUE"""),"Obra social")</f>
        <v>Obra social</v>
      </c>
      <c r="L475" s="7"/>
      <c r="M475" s="7" t="str">
        <f>IFERROR(__xludf.DUMMYFUNCTION("""COMPUTED_VALUE"""),"Si")</f>
        <v>Si</v>
      </c>
      <c r="N475" s="7" t="str">
        <f>IFERROR(__xludf.DUMMYFUNCTION("""COMPUTED_VALUE"""),"Padel")</f>
        <v>Padel</v>
      </c>
      <c r="O475" s="7" t="str">
        <f>IFERROR(__xludf.DUMMYFUNCTION("""COMPUTED_VALUE"""),"1 a 2 veces por semana")</f>
        <v>1 a 2 veces por semana</v>
      </c>
      <c r="P475" s="7"/>
      <c r="Q475" s="7" t="str">
        <f>IFERROR(__xludf.DUMMYFUNCTION("""COMPUTED_VALUE"""),"SANCOR")</f>
        <v>SANCOR</v>
      </c>
      <c r="R475" s="7"/>
      <c r="S475" s="7"/>
    </row>
    <row r="476">
      <c r="A476" s="7" t="str">
        <f t="shared" si="1"/>
        <v>Salamone, Mario</v>
      </c>
      <c r="B476" s="7">
        <f>SUMIFS('bd caja'!$K$1:$K$1012,'bd caja'!$D$1:$D$1012,A476)</f>
        <v>0</v>
      </c>
      <c r="C476" s="19">
        <f>IFERROR(__xludf.DUMMYFUNCTION("""COMPUTED_VALUE"""),45362.799487592594)</f>
        <v>45362.79949</v>
      </c>
      <c r="D476" s="7" t="str">
        <f>IFERROR(__xludf.DUMMYFUNCTION("""COMPUTED_VALUE"""),"Salamone")</f>
        <v>Salamone</v>
      </c>
      <c r="E476" s="7" t="str">
        <f>IFERROR(__xludf.DUMMYFUNCTION("""COMPUTED_VALUE"""),"Mario")</f>
        <v>Mario</v>
      </c>
      <c r="F476" s="7" t="str">
        <f>IFERROR(__xludf.DUMMYFUNCTION("""COMPUTED_VALUE"""),"mariosalamone@hotmail.com")</f>
        <v>mariosalamone@hotmail.com</v>
      </c>
      <c r="G476" s="20">
        <f>IFERROR(__xludf.DUMMYFUNCTION("""COMPUTED_VALUE"""),30929.0)</f>
        <v>30929</v>
      </c>
      <c r="H476" s="7">
        <f>IFERROR(__xludf.DUMMYFUNCTION("""COMPUTED_VALUE"""),3.105639E7)</f>
        <v>31056390</v>
      </c>
      <c r="I476" s="7">
        <f>IFERROR(__xludf.DUMMYFUNCTION("""COMPUTED_VALUE"""),3.51595467E9)</f>
        <v>3515954670</v>
      </c>
      <c r="J476" s="7" t="str">
        <f>IFERROR(__xludf.DUMMYFUNCTION("""COMPUTED_VALUE"""),"Voy al gym Manantial")</f>
        <v>Voy al gym Manantial</v>
      </c>
      <c r="K476" s="7" t="str">
        <f>IFERROR(__xludf.DUMMYFUNCTION("""COMPUTED_VALUE"""),"Obra social")</f>
        <v>Obra social</v>
      </c>
      <c r="L476" s="7"/>
      <c r="M476" s="7" t="str">
        <f>IFERROR(__xludf.DUMMYFUNCTION("""COMPUTED_VALUE"""),"Si")</f>
        <v>Si</v>
      </c>
      <c r="N476" s="7" t="str">
        <f>IFERROR(__xludf.DUMMYFUNCTION("""COMPUTED_VALUE"""),"Gimnasio")</f>
        <v>Gimnasio</v>
      </c>
      <c r="O476" s="7" t="str">
        <f>IFERROR(__xludf.DUMMYFUNCTION("""COMPUTED_VALUE"""),"3 a 5 veces por semana")</f>
        <v>3 a 5 veces por semana</v>
      </c>
      <c r="P476" s="7"/>
      <c r="Q476" s="7" t="str">
        <f>IFERROR(__xludf.DUMMYFUNCTION("""COMPUTED_VALUE"""),"Medife")</f>
        <v>Medife</v>
      </c>
      <c r="R476" s="7"/>
      <c r="S476" s="7"/>
    </row>
    <row r="477">
      <c r="A477" s="7" t="str">
        <f t="shared" si="1"/>
        <v>Romera, Analia</v>
      </c>
      <c r="B477" s="7">
        <f>SUMIFS('bd caja'!$K$1:$K$1012,'bd caja'!$D$1:$D$1012,A477)</f>
        <v>0</v>
      </c>
      <c r="C477" s="19">
        <f>IFERROR(__xludf.DUMMYFUNCTION("""COMPUTED_VALUE"""),45363.88733521991)</f>
        <v>45363.88734</v>
      </c>
      <c r="D477" s="7" t="str">
        <f>IFERROR(__xludf.DUMMYFUNCTION("""COMPUTED_VALUE"""),"Romera")</f>
        <v>Romera</v>
      </c>
      <c r="E477" s="7" t="str">
        <f>IFERROR(__xludf.DUMMYFUNCTION("""COMPUTED_VALUE"""),"Analia")</f>
        <v>Analia</v>
      </c>
      <c r="F477" s="7" t="str">
        <f>IFERROR(__xludf.DUMMYFUNCTION("""COMPUTED_VALUE"""),"analiaromera70@gmail.com")</f>
        <v>analiaromera70@gmail.com</v>
      </c>
      <c r="G477" s="20">
        <f>IFERROR(__xludf.DUMMYFUNCTION("""COMPUTED_VALUE"""),45389.0)</f>
        <v>45389</v>
      </c>
      <c r="H477" s="7">
        <f>IFERROR(__xludf.DUMMYFUNCTION("""COMPUTED_VALUE"""),2.1358373E7)</f>
        <v>21358373</v>
      </c>
      <c r="I477" s="7">
        <f>IFERROR(__xludf.DUMMYFUNCTION("""COMPUTED_VALUE"""),3.512336451E9)</f>
        <v>3512336451</v>
      </c>
      <c r="J477" s="7" t="str">
        <f>IFERROR(__xludf.DUMMYFUNCTION("""COMPUTED_VALUE"""),"Instagram")</f>
        <v>Instagram</v>
      </c>
      <c r="K477" s="7" t="str">
        <f>IFERROR(__xludf.DUMMYFUNCTION("""COMPUTED_VALUE"""),"Obra social")</f>
        <v>Obra social</v>
      </c>
      <c r="L477" s="7"/>
      <c r="M477" s="7" t="str">
        <f>IFERROR(__xludf.DUMMYFUNCTION("""COMPUTED_VALUE"""),"Si")</f>
        <v>Si</v>
      </c>
      <c r="N477" s="7"/>
      <c r="O477" s="7" t="str">
        <f>IFERROR(__xludf.DUMMYFUNCTION("""COMPUTED_VALUE"""),"1 a 2 veces por semana")</f>
        <v>1 a 2 veces por semana</v>
      </c>
      <c r="P477" s="7"/>
      <c r="Q477" s="7"/>
      <c r="R477" s="7"/>
      <c r="S477" s="7"/>
    </row>
    <row r="478">
      <c r="A478" s="7" t="str">
        <f t="shared" si="1"/>
        <v>Pisarskis, Lautaro</v>
      </c>
      <c r="B478" s="7">
        <f>SUMIFS('bd caja'!$K$1:$K$1012,'bd caja'!$D$1:$D$1012,A478)</f>
        <v>0</v>
      </c>
      <c r="C478" s="19">
        <f>IFERROR(__xludf.DUMMYFUNCTION("""COMPUTED_VALUE"""),45364.72559449074)</f>
        <v>45364.72559</v>
      </c>
      <c r="D478" s="7" t="str">
        <f>IFERROR(__xludf.DUMMYFUNCTION("""COMPUTED_VALUE"""),"Pisarskis")</f>
        <v>Pisarskis</v>
      </c>
      <c r="E478" s="7" t="str">
        <f>IFERROR(__xludf.DUMMYFUNCTION("""COMPUTED_VALUE"""),"Lautaro")</f>
        <v>Lautaro</v>
      </c>
      <c r="F478" s="7" t="str">
        <f>IFERROR(__xludf.DUMMYFUNCTION("""COMPUTED_VALUE"""),"Lautipi123@gmail.com")</f>
        <v>Lautipi123@gmail.com</v>
      </c>
      <c r="G478" s="20">
        <f>IFERROR(__xludf.DUMMYFUNCTION("""COMPUTED_VALUE"""),39001.0)</f>
        <v>39001</v>
      </c>
      <c r="H478" s="7">
        <f>IFERROR(__xludf.DUMMYFUNCTION("""COMPUTED_VALUE"""),4.7662391E7)</f>
        <v>47662391</v>
      </c>
      <c r="I478" s="7">
        <f>IFERROR(__xludf.DUMMYFUNCTION("""COMPUTED_VALUE"""),3.513053037E9)</f>
        <v>3513053037</v>
      </c>
      <c r="J478" s="7" t="str">
        <f>IFERROR(__xludf.DUMMYFUNCTION("""COMPUTED_VALUE"""),"Voy al gym Manantial")</f>
        <v>Voy al gym Manantial</v>
      </c>
      <c r="K478" s="7" t="str">
        <f>IFERROR(__xludf.DUMMYFUNCTION("""COMPUTED_VALUE"""),"Obra social")</f>
        <v>Obra social</v>
      </c>
      <c r="L478" s="7"/>
      <c r="M478" s="7" t="str">
        <f>IFERROR(__xludf.DUMMYFUNCTION("""COMPUTED_VALUE"""),"Si")</f>
        <v>Si</v>
      </c>
      <c r="N478" s="7" t="str">
        <f>IFERROR(__xludf.DUMMYFUNCTION("""COMPUTED_VALUE"""),"Gimnasio")</f>
        <v>Gimnasio</v>
      </c>
      <c r="O478" s="7" t="str">
        <f>IFERROR(__xludf.DUMMYFUNCTION("""COMPUTED_VALUE"""),"3 a 5 veces por semana")</f>
        <v>3 a 5 veces por semana</v>
      </c>
      <c r="P478" s="7"/>
      <c r="Q478" s="7" t="str">
        <f>IFERROR(__xludf.DUMMYFUNCTION("""COMPUTED_VALUE"""),"Omint")</f>
        <v>Omint</v>
      </c>
      <c r="R478" s="7"/>
      <c r="S478" s="7"/>
    </row>
    <row r="479">
      <c r="A479" s="7" t="str">
        <f t="shared" si="1"/>
        <v>Ahumada, Lucas</v>
      </c>
      <c r="B479" s="7">
        <f>SUMIFS('bd caja'!$K$1:$K$1012,'bd caja'!$D$1:$D$1012,A479)</f>
        <v>0</v>
      </c>
      <c r="C479" s="19">
        <f>IFERROR(__xludf.DUMMYFUNCTION("""COMPUTED_VALUE"""),45365.725842175925)</f>
        <v>45365.72584</v>
      </c>
      <c r="D479" s="7" t="str">
        <f>IFERROR(__xludf.DUMMYFUNCTION("""COMPUTED_VALUE"""),"Ahumada")</f>
        <v>Ahumada</v>
      </c>
      <c r="E479" s="7" t="str">
        <f>IFERROR(__xludf.DUMMYFUNCTION("""COMPUTED_VALUE"""),"Lucas")</f>
        <v>Lucas</v>
      </c>
      <c r="F479" s="7" t="str">
        <f>IFERROR(__xludf.DUMMYFUNCTION("""COMPUTED_VALUE"""),"lucasahumada1977@gmail.com")</f>
        <v>lucasahumada1977@gmail.com</v>
      </c>
      <c r="G479" s="20">
        <f>IFERROR(__xludf.DUMMYFUNCTION("""COMPUTED_VALUE"""),32059.0)</f>
        <v>32059</v>
      </c>
      <c r="H479" s="7">
        <f>IFERROR(__xludf.DUMMYFUNCTION("""COMPUTED_VALUE"""),3.6373419E7)</f>
        <v>36373419</v>
      </c>
      <c r="I479" s="7">
        <f>IFERROR(__xludf.DUMMYFUNCTION("""COMPUTED_VALUE"""),3.51625802E9)</f>
        <v>3516258020</v>
      </c>
      <c r="J479" s="7" t="str">
        <f>IFERROR(__xludf.DUMMYFUNCTION("""COMPUTED_VALUE"""),"Instagram")</f>
        <v>Instagram</v>
      </c>
      <c r="K479" s="7" t="str">
        <f>IFERROR(__xludf.DUMMYFUNCTION("""COMPUTED_VALUE"""),"Obra social")</f>
        <v>Obra social</v>
      </c>
      <c r="L479" s="7"/>
      <c r="M479" s="7" t="str">
        <f>IFERROR(__xludf.DUMMYFUNCTION("""COMPUTED_VALUE"""),"Si")</f>
        <v>Si</v>
      </c>
      <c r="N479" s="7" t="str">
        <f>IFERROR(__xludf.DUMMYFUNCTION("""COMPUTED_VALUE"""),"Kickboxing")</f>
        <v>Kickboxing</v>
      </c>
      <c r="O479" s="7" t="str">
        <f>IFERROR(__xludf.DUMMYFUNCTION("""COMPUTED_VALUE"""),"3 a 5 veces por semana")</f>
        <v>3 a 5 veces por semana</v>
      </c>
      <c r="P479" s="7"/>
      <c r="Q479" s="7" t="str">
        <f>IFERROR(__xludf.DUMMYFUNCTION("""COMPUTED_VALUE"""),"Servired")</f>
        <v>Servired</v>
      </c>
      <c r="R479" s="7"/>
      <c r="S479" s="7"/>
    </row>
    <row r="480">
      <c r="A480" s="7" t="str">
        <f t="shared" si="1"/>
        <v>Valdez, Agustin Ernesto</v>
      </c>
      <c r="B480" s="7">
        <f>SUMIFS('bd caja'!$K$1:$K$1012,'bd caja'!$D$1:$D$1012,A480)</f>
        <v>0</v>
      </c>
      <c r="C480" s="19">
        <f>IFERROR(__xludf.DUMMYFUNCTION("""COMPUTED_VALUE"""),45365.887768506946)</f>
        <v>45365.88777</v>
      </c>
      <c r="D480" s="7" t="str">
        <f>IFERROR(__xludf.DUMMYFUNCTION("""COMPUTED_VALUE"""),"Valdez")</f>
        <v>Valdez</v>
      </c>
      <c r="E480" s="7" t="str">
        <f>IFERROR(__xludf.DUMMYFUNCTION("""COMPUTED_VALUE"""),"Agustin Ernesto")</f>
        <v>Agustin Ernesto</v>
      </c>
      <c r="F480" s="7" t="str">
        <f>IFERROR(__xludf.DUMMYFUNCTION("""COMPUTED_VALUE"""),"agustin_cba13@outlook.es")</f>
        <v>agustin_cba13@outlook.es</v>
      </c>
      <c r="G480" s="20">
        <f>IFERROR(__xludf.DUMMYFUNCTION("""COMPUTED_VALUE"""),33626.0)</f>
        <v>33626</v>
      </c>
      <c r="H480" s="7">
        <f>IFERROR(__xludf.DUMMYFUNCTION("""COMPUTED_VALUE"""),3.6147091E7)</f>
        <v>36147091</v>
      </c>
      <c r="I480" s="7">
        <f>IFERROR(__xludf.DUMMYFUNCTION("""COMPUTED_VALUE"""),3.518588248E9)</f>
        <v>3518588248</v>
      </c>
      <c r="J480" s="7" t="str">
        <f>IFERROR(__xludf.DUMMYFUNCTION("""COMPUTED_VALUE"""),"Recomendación")</f>
        <v>Recomendación</v>
      </c>
      <c r="K480" s="7" t="str">
        <f>IFERROR(__xludf.DUMMYFUNCTION("""COMPUTED_VALUE"""),"Particular")</f>
        <v>Particular</v>
      </c>
      <c r="L480" s="7"/>
      <c r="M480" s="7" t="str">
        <f>IFERROR(__xludf.DUMMYFUNCTION("""COMPUTED_VALUE"""),"No")</f>
        <v>No</v>
      </c>
      <c r="N480" s="7"/>
      <c r="O480" s="7"/>
      <c r="P480" s="7"/>
      <c r="Q480" s="7"/>
      <c r="R480" s="7"/>
      <c r="S480" s="7"/>
    </row>
    <row r="481">
      <c r="A481" s="7" t="str">
        <f t="shared" si="1"/>
        <v>Lozano, Brisa</v>
      </c>
      <c r="B481" s="7">
        <f>SUMIFS('bd caja'!$K$1:$K$1012,'bd caja'!$D$1:$D$1012,A481)</f>
        <v>0</v>
      </c>
      <c r="C481" s="19">
        <f>IFERROR(__xludf.DUMMYFUNCTION("""COMPUTED_VALUE"""),45366.390075347226)</f>
        <v>45366.39008</v>
      </c>
      <c r="D481" s="7" t="str">
        <f>IFERROR(__xludf.DUMMYFUNCTION("""COMPUTED_VALUE"""),"Lozano")</f>
        <v>Lozano</v>
      </c>
      <c r="E481" s="7" t="str">
        <f>IFERROR(__xludf.DUMMYFUNCTION("""COMPUTED_VALUE"""),"Brisa")</f>
        <v>Brisa</v>
      </c>
      <c r="F481" s="7" t="str">
        <f>IFERROR(__xludf.DUMMYFUNCTION("""COMPUTED_VALUE"""),"Brisaclp@hotmail.com")</f>
        <v>Brisaclp@hotmail.com</v>
      </c>
      <c r="G481" s="20">
        <f>IFERROR(__xludf.DUMMYFUNCTION("""COMPUTED_VALUE"""),36690.0)</f>
        <v>36690</v>
      </c>
      <c r="H481" s="7">
        <f>IFERROR(__xludf.DUMMYFUNCTION("""COMPUTED_VALUE"""),4.2693311E7)</f>
        <v>42693311</v>
      </c>
      <c r="I481" s="7">
        <f>IFERROR(__xludf.DUMMYFUNCTION("""COMPUTED_VALUE"""),3.512091753E9)</f>
        <v>3512091753</v>
      </c>
      <c r="J481" s="7" t="str">
        <f>IFERROR(__xludf.DUMMYFUNCTION("""COMPUTED_VALUE"""),"Instagram")</f>
        <v>Instagram</v>
      </c>
      <c r="K481" s="7" t="str">
        <f>IFERROR(__xludf.DUMMYFUNCTION("""COMPUTED_VALUE"""),"Obra social")</f>
        <v>Obra social</v>
      </c>
      <c r="L481" s="7"/>
      <c r="M481" s="7" t="str">
        <f>IFERROR(__xludf.DUMMYFUNCTION("""COMPUTED_VALUE"""),"Si")</f>
        <v>Si</v>
      </c>
      <c r="N481" s="7" t="str">
        <f>IFERROR(__xludf.DUMMYFUNCTION("""COMPUTED_VALUE"""),"Hockey")</f>
        <v>Hockey</v>
      </c>
      <c r="O481" s="7" t="str">
        <f>IFERROR(__xludf.DUMMYFUNCTION("""COMPUTED_VALUE"""),"3 a 5 veces por semana")</f>
        <v>3 a 5 veces por semana</v>
      </c>
      <c r="P481" s="7"/>
      <c r="Q481" s="7" t="str">
        <f>IFERROR(__xludf.DUMMYFUNCTION("""COMPUTED_VALUE"""),"Unimed")</f>
        <v>Unimed</v>
      </c>
      <c r="R481" s="7"/>
      <c r="S481" s="7"/>
    </row>
    <row r="482">
      <c r="A482" s="7" t="str">
        <f t="shared" si="1"/>
        <v>Arab Cohen, Eduardo</v>
      </c>
      <c r="B482" s="7">
        <f>SUMIFS('bd caja'!$K$1:$K$1012,'bd caja'!$D$1:$D$1012,A482)</f>
        <v>0</v>
      </c>
      <c r="C482" s="19">
        <f>IFERROR(__xludf.DUMMYFUNCTION("""COMPUTED_VALUE"""),45369.27559395833)</f>
        <v>45369.27559</v>
      </c>
      <c r="D482" s="7" t="str">
        <f>IFERROR(__xludf.DUMMYFUNCTION("""COMPUTED_VALUE"""),"Arab Cohen")</f>
        <v>Arab Cohen</v>
      </c>
      <c r="E482" s="7" t="str">
        <f>IFERROR(__xludf.DUMMYFUNCTION("""COMPUTED_VALUE"""),"Eduardo")</f>
        <v>Eduardo</v>
      </c>
      <c r="F482" s="7" t="str">
        <f>IFERROR(__xludf.DUMMYFUNCTION("""COMPUTED_VALUE"""),"eduardoarab@hotmail.com")</f>
        <v>eduardoarab@hotmail.com</v>
      </c>
      <c r="G482" s="20">
        <f>IFERROR(__xludf.DUMMYFUNCTION("""COMPUTED_VALUE"""),19900.0)</f>
        <v>19900</v>
      </c>
      <c r="H482" s="7">
        <f>IFERROR(__xludf.DUMMYFUNCTION("""COMPUTED_VALUE"""),1.10556E7)</f>
        <v>11055600</v>
      </c>
      <c r="I482" s="7">
        <f>IFERROR(__xludf.DUMMYFUNCTION("""COMPUTED_VALUE"""),3.516569411E9)</f>
        <v>3516569411</v>
      </c>
      <c r="J482" s="7" t="str">
        <f>IFERROR(__xludf.DUMMYFUNCTION("""COMPUTED_VALUE"""),"Recomendación")</f>
        <v>Recomendación</v>
      </c>
      <c r="K482" s="7" t="str">
        <f>IFERROR(__xludf.DUMMYFUNCTION("""COMPUTED_VALUE"""),"Particular")</f>
        <v>Particular</v>
      </c>
      <c r="L482" s="7"/>
      <c r="M482" s="7" t="str">
        <f>IFERROR(__xludf.DUMMYFUNCTION("""COMPUTED_VALUE"""),"No")</f>
        <v>No</v>
      </c>
      <c r="N482" s="7"/>
      <c r="O482" s="7"/>
      <c r="P482" s="7"/>
      <c r="Q482" s="7"/>
      <c r="R482" s="7"/>
      <c r="S482" s="7"/>
    </row>
    <row r="483">
      <c r="A483" s="7" t="str">
        <f t="shared" si="1"/>
        <v>rodriguez, luis martin</v>
      </c>
      <c r="B483" s="7">
        <f>SUMIFS('bd caja'!$K$1:$K$1012,'bd caja'!$D$1:$D$1012,A483)</f>
        <v>0</v>
      </c>
      <c r="C483" s="19">
        <f>IFERROR(__xludf.DUMMYFUNCTION("""COMPUTED_VALUE"""),45369.427487685185)</f>
        <v>45369.42749</v>
      </c>
      <c r="D483" s="7" t="str">
        <f>IFERROR(__xludf.DUMMYFUNCTION("""COMPUTED_VALUE"""),"rodriguez")</f>
        <v>rodriguez</v>
      </c>
      <c r="E483" s="7" t="str">
        <f>IFERROR(__xludf.DUMMYFUNCTION("""COMPUTED_VALUE"""),"luis martin")</f>
        <v>luis martin</v>
      </c>
      <c r="F483" s="7" t="str">
        <f>IFERROR(__xludf.DUMMYFUNCTION("""COMPUTED_VALUE"""),"luismartinrodriguez194747@gmail.com")</f>
        <v>luismartinrodriguez194747@gmail.com</v>
      </c>
      <c r="G483" s="20">
        <f>IFERROR(__xludf.DUMMYFUNCTION("""COMPUTED_VALUE"""),17482.0)</f>
        <v>17482</v>
      </c>
      <c r="H483" s="7">
        <f>IFERROR(__xludf.DUMMYFUNCTION("""COMPUTED_VALUE"""),7959048.0)</f>
        <v>7959048</v>
      </c>
      <c r="I483" s="7">
        <f>IFERROR(__xludf.DUMMYFUNCTION("""COMPUTED_VALUE"""),1.152483323E9)</f>
        <v>1152483323</v>
      </c>
      <c r="J483" s="7" t="str">
        <f>IFERROR(__xludf.DUMMYFUNCTION("""COMPUTED_VALUE"""),"Recomendación")</f>
        <v>Recomendación</v>
      </c>
      <c r="K483" s="7" t="str">
        <f>IFERROR(__xludf.DUMMYFUNCTION("""COMPUTED_VALUE"""),"Particular")</f>
        <v>Particular</v>
      </c>
      <c r="L483" s="7"/>
      <c r="M483" s="7" t="str">
        <f>IFERROR(__xludf.DUMMYFUNCTION("""COMPUTED_VALUE"""),"No")</f>
        <v>No</v>
      </c>
      <c r="N483" s="7"/>
      <c r="O483" s="7"/>
      <c r="P483" s="7"/>
      <c r="Q483" s="7"/>
      <c r="R483" s="7"/>
      <c r="S483" s="7"/>
    </row>
    <row r="484">
      <c r="A484" s="7" t="str">
        <f t="shared" si="1"/>
        <v>Diaz, Juan Eduardo </v>
      </c>
      <c r="B484" s="7">
        <f>SUMIFS('bd caja'!$K$1:$K$1012,'bd caja'!$D$1:$D$1012,A484)</f>
        <v>0</v>
      </c>
      <c r="C484" s="19">
        <f>IFERROR(__xludf.DUMMYFUNCTION("""COMPUTED_VALUE"""),45369.730268263884)</f>
        <v>45369.73027</v>
      </c>
      <c r="D484" s="7" t="str">
        <f>IFERROR(__xludf.DUMMYFUNCTION("""COMPUTED_VALUE"""),"Diaz")</f>
        <v>Diaz</v>
      </c>
      <c r="E484" s="7" t="str">
        <f>IFERROR(__xludf.DUMMYFUNCTION("""COMPUTED_VALUE"""),"Juan Eduardo ")</f>
        <v>Juan Eduardo </v>
      </c>
      <c r="F484" s="7" t="str">
        <f>IFERROR(__xludf.DUMMYFUNCTION("""COMPUTED_VALUE"""),"juaneduardodiaz81@outlook.com")</f>
        <v>juaneduardodiaz81@outlook.com</v>
      </c>
      <c r="G484" s="20">
        <f>IFERROR(__xludf.DUMMYFUNCTION("""COMPUTED_VALUE"""),29645.0)</f>
        <v>29645</v>
      </c>
      <c r="H484" s="7">
        <f>IFERROR(__xludf.DUMMYFUNCTION("""COMPUTED_VALUE"""),2.865265E7)</f>
        <v>28652650</v>
      </c>
      <c r="I484" s="7">
        <f>IFERROR(__xludf.DUMMYFUNCTION("""COMPUTED_VALUE"""),3.517607935E9)</f>
        <v>3517607935</v>
      </c>
      <c r="J484" s="7" t="str">
        <f>IFERROR(__xludf.DUMMYFUNCTION("""COMPUTED_VALUE"""),"Cartilla Obra Social")</f>
        <v>Cartilla Obra Social</v>
      </c>
      <c r="K484" s="7" t="str">
        <f>IFERROR(__xludf.DUMMYFUNCTION("""COMPUTED_VALUE"""),"Obra social")</f>
        <v>Obra social</v>
      </c>
      <c r="L484" s="7"/>
      <c r="M484" s="7" t="str">
        <f>IFERROR(__xludf.DUMMYFUNCTION("""COMPUTED_VALUE"""),"No")</f>
        <v>No</v>
      </c>
      <c r="N484" s="7"/>
      <c r="O484" s="7"/>
      <c r="P484" s="7"/>
      <c r="Q484" s="7" t="str">
        <f>IFERROR(__xludf.DUMMYFUNCTION("""COMPUTED_VALUE"""),"PREVENCIÓN")</f>
        <v>PREVENCIÓN</v>
      </c>
      <c r="R484" s="7"/>
      <c r="S484" s="7"/>
    </row>
    <row r="485">
      <c r="A485" s="7" t="str">
        <f t="shared" si="1"/>
        <v>Larrey, Diego Francisco</v>
      </c>
      <c r="B485" s="7">
        <f>SUMIFS('bd caja'!$K$1:$K$1012,'bd caja'!$D$1:$D$1012,A485)</f>
        <v>0</v>
      </c>
      <c r="C485" s="19">
        <f>IFERROR(__xludf.DUMMYFUNCTION("""COMPUTED_VALUE"""),45369.789111562495)</f>
        <v>45369.78911</v>
      </c>
      <c r="D485" s="7" t="str">
        <f>IFERROR(__xludf.DUMMYFUNCTION("""COMPUTED_VALUE"""),"Larrey")</f>
        <v>Larrey</v>
      </c>
      <c r="E485" s="7" t="str">
        <f>IFERROR(__xludf.DUMMYFUNCTION("""COMPUTED_VALUE"""),"Diego Francisco")</f>
        <v>Diego Francisco</v>
      </c>
      <c r="F485" s="7" t="str">
        <f>IFERROR(__xludf.DUMMYFUNCTION("""COMPUTED_VALUE"""),"estudiolarrey@gmail.com")</f>
        <v>estudiolarrey@gmail.com</v>
      </c>
      <c r="G485" s="20">
        <f>IFERROR(__xludf.DUMMYFUNCTION("""COMPUTED_VALUE"""),45369.0)</f>
        <v>45369</v>
      </c>
      <c r="H485" s="7">
        <f>IFERROR(__xludf.DUMMYFUNCTION("""COMPUTED_VALUE"""),2.4246949E7)</f>
        <v>24246949</v>
      </c>
      <c r="I485" s="7">
        <f>IFERROR(__xludf.DUMMYFUNCTION("""COMPUTED_VALUE"""),3.514033772E9)</f>
        <v>3514033772</v>
      </c>
      <c r="J485" s="7" t="str">
        <f>IFERROR(__xludf.DUMMYFUNCTION("""COMPUTED_VALUE"""),"Voy al gym Manantial")</f>
        <v>Voy al gym Manantial</v>
      </c>
      <c r="K485" s="7" t="str">
        <f>IFERROR(__xludf.DUMMYFUNCTION("""COMPUTED_VALUE"""),"Obra social")</f>
        <v>Obra social</v>
      </c>
      <c r="L485" s="7"/>
      <c r="M485" s="7" t="str">
        <f>IFERROR(__xludf.DUMMYFUNCTION("""COMPUTED_VALUE"""),"Si")</f>
        <v>Si</v>
      </c>
      <c r="N485" s="7" t="str">
        <f>IFERROR(__xludf.DUMMYFUNCTION("""COMPUTED_VALUE"""),"Jiu jitsii")</f>
        <v>Jiu jitsii</v>
      </c>
      <c r="O485" s="7" t="str">
        <f>IFERROR(__xludf.DUMMYFUNCTION("""COMPUTED_VALUE"""),"6 a 7 veces por semana")</f>
        <v>6 a 7 veces por semana</v>
      </c>
      <c r="P485" s="7"/>
      <c r="Q485" s="7" t="str">
        <f>IFERROR(__xludf.DUMMYFUNCTION("""COMPUTED_VALUE"""),"PREVENCIÓN")</f>
        <v>PREVENCIÓN</v>
      </c>
      <c r="R485" s="7"/>
      <c r="S485" s="7"/>
    </row>
    <row r="486">
      <c r="A486" s="7" t="str">
        <f t="shared" si="1"/>
        <v>Nieto, Manuel</v>
      </c>
      <c r="B486" s="7">
        <f>SUMIFS('bd caja'!$K$1:$K$1012,'bd caja'!$D$1:$D$1012,A486)</f>
        <v>0</v>
      </c>
      <c r="C486" s="19">
        <f>IFERROR(__xludf.DUMMYFUNCTION("""COMPUTED_VALUE"""),45370.448256944444)</f>
        <v>45370.44826</v>
      </c>
      <c r="D486" s="7" t="str">
        <f>IFERROR(__xludf.DUMMYFUNCTION("""COMPUTED_VALUE"""),"Nieto")</f>
        <v>Nieto</v>
      </c>
      <c r="E486" s="7" t="str">
        <f>IFERROR(__xludf.DUMMYFUNCTION("""COMPUTED_VALUE"""),"Manuel")</f>
        <v>Manuel</v>
      </c>
      <c r="F486" s="7" t="str">
        <f>IFERROR(__xludf.DUMMYFUNCTION("""COMPUTED_VALUE"""),"rolandomanuel_nieto@hotmail.com")</f>
        <v>rolandomanuel_nieto@hotmail.com</v>
      </c>
      <c r="G486" s="20">
        <f>IFERROR(__xludf.DUMMYFUNCTION("""COMPUTED_VALUE"""),32363.0)</f>
        <v>32363</v>
      </c>
      <c r="H486" s="7">
        <f>IFERROR(__xludf.DUMMYFUNCTION("""COMPUTED_VALUE"""),3.3831512E7)</f>
        <v>33831512</v>
      </c>
      <c r="I486" s="7">
        <f>IFERROR(__xludf.DUMMYFUNCTION("""COMPUTED_VALUE"""),3.516187533E9)</f>
        <v>3516187533</v>
      </c>
      <c r="J486" s="7" t="str">
        <f>IFERROR(__xludf.DUMMYFUNCTION("""COMPUTED_VALUE"""),"Google")</f>
        <v>Google</v>
      </c>
      <c r="K486" s="7" t="str">
        <f>IFERROR(__xludf.DUMMYFUNCTION("""COMPUTED_VALUE"""),"Particular")</f>
        <v>Particular</v>
      </c>
      <c r="L486" s="7"/>
      <c r="M486" s="7" t="str">
        <f>IFERROR(__xludf.DUMMYFUNCTION("""COMPUTED_VALUE"""),"No")</f>
        <v>No</v>
      </c>
      <c r="N486" s="7"/>
      <c r="O486" s="7"/>
      <c r="P486" s="7"/>
      <c r="Q486" s="7"/>
      <c r="R486" s="7"/>
      <c r="S486" s="7"/>
    </row>
    <row r="487">
      <c r="A487" s="7" t="str">
        <f t="shared" si="1"/>
        <v>Moix, Javier</v>
      </c>
      <c r="B487" s="7">
        <f>SUMIFS('bd caja'!$K$1:$K$1012,'bd caja'!$D$1:$D$1012,A487)</f>
        <v>0</v>
      </c>
      <c r="C487" s="19">
        <f>IFERROR(__xludf.DUMMYFUNCTION("""COMPUTED_VALUE"""),45370.803699537035)</f>
        <v>45370.8037</v>
      </c>
      <c r="D487" s="7" t="str">
        <f>IFERROR(__xludf.DUMMYFUNCTION("""COMPUTED_VALUE"""),"Moix")</f>
        <v>Moix</v>
      </c>
      <c r="E487" s="7" t="str">
        <f>IFERROR(__xludf.DUMMYFUNCTION("""COMPUTED_VALUE"""),"Javier")</f>
        <v>Javier</v>
      </c>
      <c r="F487" s="7" t="str">
        <f>IFERROR(__xludf.DUMMYFUNCTION("""COMPUTED_VALUE"""),"javier.moix@gmail.com")</f>
        <v>javier.moix@gmail.com</v>
      </c>
      <c r="G487" s="20">
        <f>IFERROR(__xludf.DUMMYFUNCTION("""COMPUTED_VALUE"""),27239.0)</f>
        <v>27239</v>
      </c>
      <c r="H487" s="7">
        <f>IFERROR(__xludf.DUMMYFUNCTION("""COMPUTED_VALUE"""),2.4016593E7)</f>
        <v>24016593</v>
      </c>
      <c r="I487" s="7">
        <f>IFERROR(__xludf.DUMMYFUNCTION("""COMPUTED_VALUE"""),3.513326266E9)</f>
        <v>3513326266</v>
      </c>
      <c r="J487" s="7" t="str">
        <f>IFERROR(__xludf.DUMMYFUNCTION("""COMPUTED_VALUE"""),"Voy al gym Manantial")</f>
        <v>Voy al gym Manantial</v>
      </c>
      <c r="K487" s="7" t="str">
        <f>IFERROR(__xludf.DUMMYFUNCTION("""COMPUTED_VALUE"""),"Obra social")</f>
        <v>Obra social</v>
      </c>
      <c r="L487" s="7"/>
      <c r="M487" s="7" t="str">
        <f>IFERROR(__xludf.DUMMYFUNCTION("""COMPUTED_VALUE"""),"Si")</f>
        <v>Si</v>
      </c>
      <c r="N487" s="7" t="str">
        <f>IFERROR(__xludf.DUMMYFUNCTION("""COMPUTED_VALUE"""),"Gimnasio")</f>
        <v>Gimnasio</v>
      </c>
      <c r="O487" s="7" t="str">
        <f>IFERROR(__xludf.DUMMYFUNCTION("""COMPUTED_VALUE"""),"3 a 5 veces por semana")</f>
        <v>3 a 5 veces por semana</v>
      </c>
      <c r="P487" s="7"/>
      <c r="Q487" s="7" t="str">
        <f>IFERROR(__xludf.DUMMYFUNCTION("""COMPUTED_VALUE"""),"APROSS")</f>
        <v>APROSS</v>
      </c>
      <c r="R487" s="7"/>
      <c r="S487" s="7"/>
    </row>
    <row r="488">
      <c r="A488" s="7" t="str">
        <f t="shared" si="1"/>
        <v>FOURCADE, Valentina</v>
      </c>
      <c r="B488" s="7">
        <f>SUMIFS('bd caja'!$K$1:$K$1012,'bd caja'!$D$1:$D$1012,A488)</f>
        <v>0</v>
      </c>
      <c r="C488" s="19">
        <f>IFERROR(__xludf.DUMMYFUNCTION("""COMPUTED_VALUE"""),45370.81938248842)</f>
        <v>45370.81938</v>
      </c>
      <c r="D488" s="7" t="str">
        <f>IFERROR(__xludf.DUMMYFUNCTION("""COMPUTED_VALUE"""),"FOURCADE")</f>
        <v>FOURCADE</v>
      </c>
      <c r="E488" s="7" t="str">
        <f>IFERROR(__xludf.DUMMYFUNCTION("""COMPUTED_VALUE"""),"Valentina")</f>
        <v>Valentina</v>
      </c>
      <c r="F488" s="7" t="str">
        <f>IFERROR(__xludf.DUMMYFUNCTION("""COMPUTED_VALUE"""),"valentinafourcadejerez@gmail.com")</f>
        <v>valentinafourcadejerez@gmail.com</v>
      </c>
      <c r="G488" s="20">
        <f>IFERROR(__xludf.DUMMYFUNCTION("""COMPUTED_VALUE"""),38799.0)</f>
        <v>38799</v>
      </c>
      <c r="H488" s="7">
        <f>IFERROR(__xludf.DUMMYFUNCTION("""COMPUTED_VALUE"""),4.6588782E7)</f>
        <v>46588782</v>
      </c>
      <c r="I488" s="7">
        <f>IFERROR(__xludf.DUMMYFUNCTION("""COMPUTED_VALUE"""),3.512035054E9)</f>
        <v>3512035054</v>
      </c>
      <c r="J488" s="7" t="str">
        <f>IFERROR(__xludf.DUMMYFUNCTION("""COMPUTED_VALUE"""),"Voy al gym Manantial")</f>
        <v>Voy al gym Manantial</v>
      </c>
      <c r="K488" s="7" t="str">
        <f>IFERROR(__xludf.DUMMYFUNCTION("""COMPUTED_VALUE"""),"Obra social")</f>
        <v>Obra social</v>
      </c>
      <c r="L488" s="7"/>
      <c r="M488" s="7" t="str">
        <f>IFERROR(__xludf.DUMMYFUNCTION("""COMPUTED_VALUE"""),"Si")</f>
        <v>Si</v>
      </c>
      <c r="N488" s="7" t="str">
        <f>IFERROR(__xludf.DUMMYFUNCTION("""COMPUTED_VALUE"""),"Voley")</f>
        <v>Voley</v>
      </c>
      <c r="O488" s="7" t="str">
        <f>IFERROR(__xludf.DUMMYFUNCTION("""COMPUTED_VALUE"""),"3 a 5 veces por semana")</f>
        <v>3 a 5 veces por semana</v>
      </c>
      <c r="P488" s="7"/>
      <c r="Q488" s="7" t="str">
        <f>IFERROR(__xludf.DUMMYFUNCTION("""COMPUTED_VALUE"""),"Omint")</f>
        <v>Omint</v>
      </c>
      <c r="R488" s="7"/>
      <c r="S488" s="7"/>
    </row>
    <row r="489">
      <c r="A489" s="7" t="str">
        <f t="shared" si="1"/>
        <v>Cuello, Jose </v>
      </c>
      <c r="B489" s="7">
        <f>SUMIFS('bd caja'!$K$1:$K$1012,'bd caja'!$D$1:$D$1012,A489)</f>
        <v>0</v>
      </c>
      <c r="C489" s="19">
        <f>IFERROR(__xludf.DUMMYFUNCTION("""COMPUTED_VALUE"""),45371.817037581015)</f>
        <v>45371.81704</v>
      </c>
      <c r="D489" s="7" t="str">
        <f>IFERROR(__xludf.DUMMYFUNCTION("""COMPUTED_VALUE"""),"Cuello")</f>
        <v>Cuello</v>
      </c>
      <c r="E489" s="7" t="str">
        <f>IFERROR(__xludf.DUMMYFUNCTION("""COMPUTED_VALUE"""),"Jose ")</f>
        <v>Jose </v>
      </c>
      <c r="F489" s="7" t="str">
        <f>IFERROR(__xludf.DUMMYFUNCTION("""COMPUTED_VALUE"""),"jcuellocuello365@gmail.com")</f>
        <v>jcuellocuello365@gmail.com</v>
      </c>
      <c r="G489" s="20">
        <f>IFERROR(__xludf.DUMMYFUNCTION("""COMPUTED_VALUE"""),36975.0)</f>
        <v>36975</v>
      </c>
      <c r="H489" s="7">
        <f>IFERROR(__xludf.DUMMYFUNCTION("""COMPUTED_VALUE"""),4.3271796E7)</f>
        <v>43271796</v>
      </c>
      <c r="I489" s="7">
        <f>IFERROR(__xludf.DUMMYFUNCTION("""COMPUTED_VALUE"""),3.518650307E9)</f>
        <v>3518650307</v>
      </c>
      <c r="J489" s="7" t="str">
        <f>IFERROR(__xludf.DUMMYFUNCTION("""COMPUTED_VALUE"""),"Instagram")</f>
        <v>Instagram</v>
      </c>
      <c r="K489" s="7" t="str">
        <f>IFERROR(__xludf.DUMMYFUNCTION("""COMPUTED_VALUE"""),"Particular")</f>
        <v>Particular</v>
      </c>
      <c r="L489" s="7"/>
      <c r="M489" s="7" t="str">
        <f>IFERROR(__xludf.DUMMYFUNCTION("""COMPUTED_VALUE"""),"Si")</f>
        <v>Si</v>
      </c>
      <c r="N489" s="7" t="str">
        <f>IFERROR(__xludf.DUMMYFUNCTION("""COMPUTED_VALUE"""),"Running")</f>
        <v>Running</v>
      </c>
      <c r="O489" s="7" t="str">
        <f>IFERROR(__xludf.DUMMYFUNCTION("""COMPUTED_VALUE"""),"3 a 5 veces por semana")</f>
        <v>3 a 5 veces por semana</v>
      </c>
      <c r="P489" s="7"/>
      <c r="Q489" s="7"/>
      <c r="R489" s="7"/>
      <c r="S489" s="7"/>
    </row>
    <row r="490">
      <c r="A490" s="7" t="str">
        <f t="shared" si="1"/>
        <v>Baravalle, Bautista</v>
      </c>
      <c r="B490" s="7">
        <f>SUMIFS('bd caja'!$K$1:$K$1012,'bd caja'!$D$1:$D$1012,A490)</f>
        <v>0</v>
      </c>
      <c r="C490" s="19">
        <f>IFERROR(__xludf.DUMMYFUNCTION("""COMPUTED_VALUE"""),45373.77978960648)</f>
        <v>45373.77979</v>
      </c>
      <c r="D490" s="7" t="str">
        <f>IFERROR(__xludf.DUMMYFUNCTION("""COMPUTED_VALUE"""),"Baravalle")</f>
        <v>Baravalle</v>
      </c>
      <c r="E490" s="7" t="str">
        <f>IFERROR(__xludf.DUMMYFUNCTION("""COMPUTED_VALUE"""),"Bautista")</f>
        <v>Bautista</v>
      </c>
      <c r="F490" s="7" t="str">
        <f>IFERROR(__xludf.DUMMYFUNCTION("""COMPUTED_VALUE"""),"bautybaravalle@gmail.com")</f>
        <v>bautybaravalle@gmail.com</v>
      </c>
      <c r="G490" s="20">
        <f>IFERROR(__xludf.DUMMYFUNCTION("""COMPUTED_VALUE"""),39724.0)</f>
        <v>39724</v>
      </c>
      <c r="H490" s="7">
        <f>IFERROR(__xludf.DUMMYFUNCTION("""COMPUTED_VALUE"""),4.7475673E7)</f>
        <v>47475673</v>
      </c>
      <c r="I490" s="7">
        <f>IFERROR(__xludf.DUMMYFUNCTION("""COMPUTED_VALUE"""),3.516830023E9)</f>
        <v>3516830023</v>
      </c>
      <c r="J490" s="7" t="str">
        <f>IFERROR(__xludf.DUMMYFUNCTION("""COMPUTED_VALUE"""),"Recomendación")</f>
        <v>Recomendación</v>
      </c>
      <c r="K490" s="7" t="str">
        <f>IFERROR(__xludf.DUMMYFUNCTION("""COMPUTED_VALUE"""),"Obra social")</f>
        <v>Obra social</v>
      </c>
      <c r="L490" s="7"/>
      <c r="M490" s="7" t="str">
        <f>IFERROR(__xludf.DUMMYFUNCTION("""COMPUTED_VALUE"""),"Si")</f>
        <v>Si</v>
      </c>
      <c r="N490" s="7" t="str">
        <f>IFERROR(__xludf.DUMMYFUNCTION("""COMPUTED_VALUE"""),"Gimnasio")</f>
        <v>Gimnasio</v>
      </c>
      <c r="O490" s="7" t="str">
        <f>IFERROR(__xludf.DUMMYFUNCTION("""COMPUTED_VALUE"""),"1 a 2 veces por semana")</f>
        <v>1 a 2 veces por semana</v>
      </c>
      <c r="P490" s="7"/>
      <c r="Q490" s="7" t="str">
        <f>IFERROR(__xludf.DUMMYFUNCTION("""COMPUTED_VALUE"""),"DASPU")</f>
        <v>DASPU</v>
      </c>
      <c r="R490" s="7"/>
      <c r="S490" s="7"/>
    </row>
    <row r="491">
      <c r="A491" s="7" t="str">
        <f t="shared" si="1"/>
        <v>Baravalle, Benjamin</v>
      </c>
      <c r="B491" s="7">
        <f>SUMIFS('bd caja'!$K$1:$K$1012,'bd caja'!$D$1:$D$1012,A491)</f>
        <v>0</v>
      </c>
      <c r="C491" s="19">
        <f>IFERROR(__xludf.DUMMYFUNCTION("""COMPUTED_VALUE"""),45373.78162230324)</f>
        <v>45373.78162</v>
      </c>
      <c r="D491" s="7" t="str">
        <f>IFERROR(__xludf.DUMMYFUNCTION("""COMPUTED_VALUE"""),"Baravalle")</f>
        <v>Baravalle</v>
      </c>
      <c r="E491" s="7" t="str">
        <f>IFERROR(__xludf.DUMMYFUNCTION("""COMPUTED_VALUE"""),"Benjamin")</f>
        <v>Benjamin</v>
      </c>
      <c r="F491" s="7" t="str">
        <f>IFERROR(__xludf.DUMMYFUNCTION("""COMPUTED_VALUE"""),"marinabergoglio@gmail.com")</f>
        <v>marinabergoglio@gmail.com</v>
      </c>
      <c r="G491" s="20">
        <f>IFERROR(__xludf.DUMMYFUNCTION("""COMPUTED_VALUE"""),40443.0)</f>
        <v>40443</v>
      </c>
      <c r="H491" s="7">
        <f>IFERROR(__xludf.DUMMYFUNCTION("""COMPUTED_VALUE"""),5.0420146E7)</f>
        <v>50420146</v>
      </c>
      <c r="I491" s="7">
        <f>IFERROR(__xludf.DUMMYFUNCTION("""COMPUTED_VALUE"""),3.516830023E9)</f>
        <v>3516830023</v>
      </c>
      <c r="J491" s="7" t="str">
        <f>IFERROR(__xludf.DUMMYFUNCTION("""COMPUTED_VALUE"""),"Recomendación")</f>
        <v>Recomendación</v>
      </c>
      <c r="K491" s="7" t="str">
        <f>IFERROR(__xludf.DUMMYFUNCTION("""COMPUTED_VALUE"""),"Obra social")</f>
        <v>Obra social</v>
      </c>
      <c r="L491" s="7"/>
      <c r="M491" s="7" t="str">
        <f>IFERROR(__xludf.DUMMYFUNCTION("""COMPUTED_VALUE"""),"Si")</f>
        <v>Si</v>
      </c>
      <c r="N491" s="7" t="str">
        <f>IFERROR(__xludf.DUMMYFUNCTION("""COMPUTED_VALUE"""),"Fútbol")</f>
        <v>Fútbol</v>
      </c>
      <c r="O491" s="7" t="str">
        <f>IFERROR(__xludf.DUMMYFUNCTION("""COMPUTED_VALUE"""),"1 a 2 veces por semana")</f>
        <v>1 a 2 veces por semana</v>
      </c>
      <c r="P491" s="7"/>
      <c r="Q491" s="7" t="str">
        <f>IFERROR(__xludf.DUMMYFUNCTION("""COMPUTED_VALUE"""),"DASPU")</f>
        <v>DASPU</v>
      </c>
      <c r="R491" s="7"/>
      <c r="S491" s="7"/>
    </row>
    <row r="492">
      <c r="A492" s="7" t="str">
        <f t="shared" si="1"/>
        <v>BORGNA, SACHA NAHUEL</v>
      </c>
      <c r="B492" s="7">
        <f>SUMIFS('bd caja'!$K$1:$K$1012,'bd caja'!$D$1:$D$1012,A492)</f>
        <v>0</v>
      </c>
      <c r="C492" s="19">
        <f>IFERROR(__xludf.DUMMYFUNCTION("""COMPUTED_VALUE"""),45376.55130021991)</f>
        <v>45376.5513</v>
      </c>
      <c r="D492" s="7" t="str">
        <f>IFERROR(__xludf.DUMMYFUNCTION("""COMPUTED_VALUE"""),"BORGNA")</f>
        <v>BORGNA</v>
      </c>
      <c r="E492" s="7" t="str">
        <f>IFERROR(__xludf.DUMMYFUNCTION("""COMPUTED_VALUE"""),"SACHA NAHUEL")</f>
        <v>SACHA NAHUEL</v>
      </c>
      <c r="F492" s="7" t="str">
        <f>IFERROR(__xludf.DUMMYFUNCTION("""COMPUTED_VALUE"""),"snborgna@hotmail.com")</f>
        <v>snborgna@hotmail.com</v>
      </c>
      <c r="G492" s="20">
        <f>IFERROR(__xludf.DUMMYFUNCTION("""COMPUTED_VALUE"""),33431.0)</f>
        <v>33431</v>
      </c>
      <c r="H492" s="7">
        <f>IFERROR(__xludf.DUMMYFUNCTION("""COMPUTED_VALUE"""),3.6239039E7)</f>
        <v>36239039</v>
      </c>
      <c r="I492" s="7">
        <f>IFERROR(__xludf.DUMMYFUNCTION("""COMPUTED_VALUE"""),3.516262969E9)</f>
        <v>3516262969</v>
      </c>
      <c r="J492" s="7" t="str">
        <f>IFERROR(__xludf.DUMMYFUNCTION("""COMPUTED_VALUE"""),"Google")</f>
        <v>Google</v>
      </c>
      <c r="K492" s="7" t="str">
        <f>IFERROR(__xludf.DUMMYFUNCTION("""COMPUTED_VALUE"""),"Obra social")</f>
        <v>Obra social</v>
      </c>
      <c r="L492" s="7"/>
      <c r="M492" s="7" t="str">
        <f>IFERROR(__xludf.DUMMYFUNCTION("""COMPUTED_VALUE"""),"Si")</f>
        <v>Si</v>
      </c>
      <c r="N492" s="7" t="str">
        <f>IFERROR(__xludf.DUMMYFUNCTION("""COMPUTED_VALUE"""),"Fútbol")</f>
        <v>Fútbol</v>
      </c>
      <c r="O492" s="7" t="str">
        <f>IFERROR(__xludf.DUMMYFUNCTION("""COMPUTED_VALUE"""),"3 a 5 veces por semana")</f>
        <v>3 a 5 veces por semana</v>
      </c>
      <c r="P492" s="7"/>
      <c r="Q492" s="7" t="str">
        <f>IFERROR(__xludf.DUMMYFUNCTION("""COMPUTED_VALUE"""),"PREVENCIÓN")</f>
        <v>PREVENCIÓN</v>
      </c>
      <c r="R492" s="7"/>
      <c r="S492" s="7"/>
    </row>
    <row r="493">
      <c r="A493" s="7" t="str">
        <f t="shared" si="1"/>
        <v>Travella, Guido</v>
      </c>
      <c r="B493" s="7">
        <f>SUMIFS('bd caja'!$K$1:$K$1012,'bd caja'!$D$1:$D$1012,A493)</f>
        <v>0</v>
      </c>
      <c r="C493" s="19">
        <f>IFERROR(__xludf.DUMMYFUNCTION("""COMPUTED_VALUE"""),45376.70325637731)</f>
        <v>45376.70326</v>
      </c>
      <c r="D493" s="7" t="str">
        <f>IFERROR(__xludf.DUMMYFUNCTION("""COMPUTED_VALUE"""),"Travella")</f>
        <v>Travella</v>
      </c>
      <c r="E493" s="7" t="str">
        <f>IFERROR(__xludf.DUMMYFUNCTION("""COMPUTED_VALUE"""),"Guido")</f>
        <v>Guido</v>
      </c>
      <c r="F493" s="7" t="str">
        <f>IFERROR(__xludf.DUMMYFUNCTION("""COMPUTED_VALUE"""),"gtgolfguide@gmail.com")</f>
        <v>gtgolfguide@gmail.com</v>
      </c>
      <c r="G493" s="20">
        <f>IFERROR(__xludf.DUMMYFUNCTION("""COMPUTED_VALUE"""),33393.0)</f>
        <v>33393</v>
      </c>
      <c r="H493" s="7">
        <f>IFERROR(__xludf.DUMMYFUNCTION("""COMPUTED_VALUE"""),3.6169675E7)</f>
        <v>36169675</v>
      </c>
      <c r="I493" s="7">
        <f>IFERROR(__xludf.DUMMYFUNCTION("""COMPUTED_VALUE"""),9.3516300005E10)</f>
        <v>93516300005</v>
      </c>
      <c r="J493" s="7" t="str">
        <f>IFERROR(__xludf.DUMMYFUNCTION("""COMPUTED_VALUE"""),"Recomendación")</f>
        <v>Recomendación</v>
      </c>
      <c r="K493" s="7" t="str">
        <f>IFERROR(__xludf.DUMMYFUNCTION("""COMPUTED_VALUE"""),"Obra social")</f>
        <v>Obra social</v>
      </c>
      <c r="L493" s="7"/>
      <c r="M493" s="7" t="str">
        <f>IFERROR(__xludf.DUMMYFUNCTION("""COMPUTED_VALUE"""),"Si")</f>
        <v>Si</v>
      </c>
      <c r="N493" s="7" t="str">
        <f>IFERROR(__xludf.DUMMYFUNCTION("""COMPUTED_VALUE"""),"golf y tenis")</f>
        <v>golf y tenis</v>
      </c>
      <c r="O493" s="7" t="str">
        <f>IFERROR(__xludf.DUMMYFUNCTION("""COMPUTED_VALUE"""),"1 a 2 veces por semana")</f>
        <v>1 a 2 veces por semana</v>
      </c>
      <c r="P493" s="7"/>
      <c r="Q493" s="7" t="str">
        <f>IFERROR(__xludf.DUMMYFUNCTION("""COMPUTED_VALUE"""),"MET")</f>
        <v>MET</v>
      </c>
      <c r="R493" s="7"/>
      <c r="S493" s="7"/>
    </row>
    <row r="494">
      <c r="A494" s="7" t="str">
        <f t="shared" si="1"/>
        <v>Avella, Amelia</v>
      </c>
      <c r="B494" s="7">
        <f>SUMIFS('bd caja'!$K$1:$K$1012,'bd caja'!$D$1:$D$1012,A494)</f>
        <v>0</v>
      </c>
      <c r="C494" s="19">
        <f>IFERROR(__xludf.DUMMYFUNCTION("""COMPUTED_VALUE"""),45376.79920060185)</f>
        <v>45376.7992</v>
      </c>
      <c r="D494" s="7" t="str">
        <f>IFERROR(__xludf.DUMMYFUNCTION("""COMPUTED_VALUE"""),"Avella")</f>
        <v>Avella</v>
      </c>
      <c r="E494" s="7" t="str">
        <f>IFERROR(__xludf.DUMMYFUNCTION("""COMPUTED_VALUE"""),"Amelia")</f>
        <v>Amelia</v>
      </c>
      <c r="F494" s="7"/>
      <c r="G494" s="20">
        <f>IFERROR(__xludf.DUMMYFUNCTION("""COMPUTED_VALUE"""),16768.0)</f>
        <v>16768</v>
      </c>
      <c r="H494" s="7">
        <f>IFERROR(__xludf.DUMMYFUNCTION("""COMPUTED_VALUE"""),5294954.0)</f>
        <v>5294954</v>
      </c>
      <c r="I494" s="7">
        <f>IFERROR(__xludf.DUMMYFUNCTION("""COMPUTED_VALUE"""),3.513282084E9)</f>
        <v>3513282084</v>
      </c>
      <c r="J494" s="7" t="str">
        <f>IFERROR(__xludf.DUMMYFUNCTION("""COMPUTED_VALUE"""),"Google")</f>
        <v>Google</v>
      </c>
      <c r="K494" s="7" t="str">
        <f>IFERROR(__xludf.DUMMYFUNCTION("""COMPUTED_VALUE"""),"Obra social")</f>
        <v>Obra social</v>
      </c>
      <c r="L494" s="7"/>
      <c r="M494" s="7" t="str">
        <f>IFERROR(__xludf.DUMMYFUNCTION("""COMPUTED_VALUE"""),"No")</f>
        <v>No</v>
      </c>
      <c r="N494" s="7"/>
      <c r="O494" s="7"/>
      <c r="P494" s="7"/>
      <c r="Q494" s="7" t="str">
        <f>IFERROR(__xludf.DUMMYFUNCTION("""COMPUTED_VALUE"""),"APROSS")</f>
        <v>APROSS</v>
      </c>
      <c r="R494" s="7"/>
      <c r="S494" s="7"/>
    </row>
    <row r="495">
      <c r="A495" s="7" t="str">
        <f t="shared" si="1"/>
        <v>nardelli, marian</v>
      </c>
      <c r="B495" s="7">
        <f>SUMIFS('bd caja'!$K$1:$K$1012,'bd caja'!$D$1:$D$1012,A495)</f>
        <v>0</v>
      </c>
      <c r="C495" s="19">
        <f>IFERROR(__xludf.DUMMYFUNCTION("""COMPUTED_VALUE"""),45376.826103217594)</f>
        <v>45376.8261</v>
      </c>
      <c r="D495" s="7" t="str">
        <f>IFERROR(__xludf.DUMMYFUNCTION("""COMPUTED_VALUE"""),"nardelli")</f>
        <v>nardelli</v>
      </c>
      <c r="E495" s="7" t="str">
        <f>IFERROR(__xludf.DUMMYFUNCTION("""COMPUTED_VALUE"""),"marian")</f>
        <v>marian</v>
      </c>
      <c r="F495" s="7" t="str">
        <f>IFERROR(__xludf.DUMMYFUNCTION("""COMPUTED_VALUE"""),"nardellimarian@gmail.com")</f>
        <v>nardellimarian@gmail.com</v>
      </c>
      <c r="G495" s="20">
        <f>IFERROR(__xludf.DUMMYFUNCTION("""COMPUTED_VALUE"""),37778.0)</f>
        <v>37778</v>
      </c>
      <c r="H495" s="7">
        <f>IFERROR(__xludf.DUMMYFUNCTION("""COMPUTED_VALUE"""),4.4828607E7)</f>
        <v>44828607</v>
      </c>
      <c r="I495" s="7">
        <f>IFERROR(__xludf.DUMMYFUNCTION("""COMPUTED_VALUE"""),3.517325355E9)</f>
        <v>3517325355</v>
      </c>
      <c r="J495" s="7" t="str">
        <f>IFERROR(__xludf.DUMMYFUNCTION("""COMPUTED_VALUE"""),"Recomendación")</f>
        <v>Recomendación</v>
      </c>
      <c r="K495" s="7" t="str">
        <f>IFERROR(__xludf.DUMMYFUNCTION("""COMPUTED_VALUE"""),"Obra social")</f>
        <v>Obra social</v>
      </c>
      <c r="L495" s="7"/>
      <c r="M495" s="7" t="str">
        <f>IFERROR(__xludf.DUMMYFUNCTION("""COMPUTED_VALUE"""),"Si")</f>
        <v>Si</v>
      </c>
      <c r="N495" s="7" t="str">
        <f>IFERROR(__xludf.DUMMYFUNCTION("""COMPUTED_VALUE"""),"Baile")</f>
        <v>Baile</v>
      </c>
      <c r="O495" s="7" t="str">
        <f>IFERROR(__xludf.DUMMYFUNCTION("""COMPUTED_VALUE"""),"3 a 5 veces por semana")</f>
        <v>3 a 5 veces por semana</v>
      </c>
      <c r="P495" s="7"/>
      <c r="Q495" s="7" t="str">
        <f>IFERROR(__xludf.DUMMYFUNCTION("""COMPUTED_VALUE"""),"APROSS")</f>
        <v>APROSS</v>
      </c>
      <c r="R495" s="7"/>
      <c r="S495" s="7"/>
    </row>
    <row r="496">
      <c r="A496" s="7" t="str">
        <f t="shared" si="1"/>
        <v>Micolini, Isabel</v>
      </c>
      <c r="B496" s="7">
        <f>SUMIFS('bd caja'!$K$1:$K$1012,'bd caja'!$D$1:$D$1012,A496)</f>
        <v>0</v>
      </c>
      <c r="C496" s="19">
        <f>IFERROR(__xludf.DUMMYFUNCTION("""COMPUTED_VALUE"""),45377.74403202547)</f>
        <v>45377.74403</v>
      </c>
      <c r="D496" s="7" t="str">
        <f>IFERROR(__xludf.DUMMYFUNCTION("""COMPUTED_VALUE"""),"Micolini")</f>
        <v>Micolini</v>
      </c>
      <c r="E496" s="7" t="str">
        <f>IFERROR(__xludf.DUMMYFUNCTION("""COMPUTED_VALUE"""),"Isabel")</f>
        <v>Isabel</v>
      </c>
      <c r="F496" s="7" t="str">
        <f>IFERROR(__xludf.DUMMYFUNCTION("""COMPUTED_VALUE"""),"imicolini@hotmail.com")</f>
        <v>imicolini@hotmail.com</v>
      </c>
      <c r="G496" s="20">
        <f>IFERROR(__xludf.DUMMYFUNCTION("""COMPUTED_VALUE"""),26269.0)</f>
        <v>26269</v>
      </c>
      <c r="H496" s="7">
        <f>IFERROR(__xludf.DUMMYFUNCTION("""COMPUTED_VALUE"""),2.2136984E7)</f>
        <v>22136984</v>
      </c>
      <c r="I496" s="7">
        <f>IFERROR(__xludf.DUMMYFUNCTION("""COMPUTED_VALUE"""),3.512373722E9)</f>
        <v>3512373722</v>
      </c>
      <c r="J496" s="7" t="str">
        <f>IFERROR(__xludf.DUMMYFUNCTION("""COMPUTED_VALUE"""),"Voy al gym Manantial")</f>
        <v>Voy al gym Manantial</v>
      </c>
      <c r="K496" s="7" t="str">
        <f>IFERROR(__xludf.DUMMYFUNCTION("""COMPUTED_VALUE"""),"Obra social")</f>
        <v>Obra social</v>
      </c>
      <c r="L496" s="7"/>
      <c r="M496" s="7" t="str">
        <f>IFERROR(__xludf.DUMMYFUNCTION("""COMPUTED_VALUE"""),"Si")</f>
        <v>Si</v>
      </c>
      <c r="N496" s="7" t="str">
        <f>IFERROR(__xludf.DUMMYFUNCTION("""COMPUTED_VALUE"""),"Gimnasio")</f>
        <v>Gimnasio</v>
      </c>
      <c r="O496" s="7" t="str">
        <f>IFERROR(__xludf.DUMMYFUNCTION("""COMPUTED_VALUE"""),"3 a 5 veces por semana")</f>
        <v>3 a 5 veces por semana</v>
      </c>
      <c r="P496" s="7"/>
      <c r="Q496" s="7" t="str">
        <f>IFERROR(__xludf.DUMMYFUNCTION("""COMPUTED_VALUE"""),"SANCOR")</f>
        <v>SANCOR</v>
      </c>
      <c r="R496" s="7"/>
      <c r="S496" s="7"/>
    </row>
    <row r="497">
      <c r="A497" s="7" t="str">
        <f t="shared" si="1"/>
        <v>Santodomingo , Luis Antonio </v>
      </c>
      <c r="B497" s="7">
        <f>SUMIFS('bd caja'!$K$1:$K$1012,'bd caja'!$D$1:$D$1012,A497)</f>
        <v>0</v>
      </c>
      <c r="C497" s="19">
        <f>IFERROR(__xludf.DUMMYFUNCTION("""COMPUTED_VALUE"""),45382.79083347222)</f>
        <v>45382.79083</v>
      </c>
      <c r="D497" s="7" t="str">
        <f>IFERROR(__xludf.DUMMYFUNCTION("""COMPUTED_VALUE"""),"Santodomingo ")</f>
        <v>Santodomingo </v>
      </c>
      <c r="E497" s="7" t="str">
        <f>IFERROR(__xludf.DUMMYFUNCTION("""COMPUTED_VALUE"""),"Luis Antonio ")</f>
        <v>Luis Antonio </v>
      </c>
      <c r="F497" s="7" t="str">
        <f>IFERROR(__xludf.DUMMYFUNCTION("""COMPUTED_VALUE"""),"santodomingo83@hotmail.com")</f>
        <v>santodomingo83@hotmail.com</v>
      </c>
      <c r="G497" s="20">
        <f>IFERROR(__xludf.DUMMYFUNCTION("""COMPUTED_VALUE"""),30621.0)</f>
        <v>30621</v>
      </c>
      <c r="H497" s="7">
        <f>IFERROR(__xludf.DUMMYFUNCTION("""COMPUTED_VALUE"""),3.0311255E7)</f>
        <v>30311255</v>
      </c>
      <c r="I497" s="7">
        <f>IFERROR(__xludf.DUMMYFUNCTION("""COMPUTED_VALUE"""),3.513432313E9)</f>
        <v>3513432313</v>
      </c>
      <c r="J497" s="7" t="str">
        <f>IFERROR(__xludf.DUMMYFUNCTION("""COMPUTED_VALUE"""),"Recomendación")</f>
        <v>Recomendación</v>
      </c>
      <c r="K497" s="7" t="str">
        <f>IFERROR(__xludf.DUMMYFUNCTION("""COMPUTED_VALUE"""),"Particular")</f>
        <v>Particular</v>
      </c>
      <c r="L497" s="7"/>
      <c r="M497" s="7" t="str">
        <f>IFERROR(__xludf.DUMMYFUNCTION("""COMPUTED_VALUE"""),"Si")</f>
        <v>Si</v>
      </c>
      <c r="N497" s="7" t="str">
        <f>IFERROR(__xludf.DUMMYFUNCTION("""COMPUTED_VALUE"""),"Running y futbol ")</f>
        <v>Running y futbol </v>
      </c>
      <c r="O497" s="7" t="str">
        <f>IFERROR(__xludf.DUMMYFUNCTION("""COMPUTED_VALUE"""),"3 a 5 veces por semana")</f>
        <v>3 a 5 veces por semana</v>
      </c>
      <c r="P497" s="7"/>
      <c r="Q497" s="7"/>
      <c r="R497" s="7"/>
      <c r="S497" s="7"/>
    </row>
    <row r="498">
      <c r="A498" s="7" t="str">
        <f t="shared" si="1"/>
        <v>Reyna,  Nicolas</v>
      </c>
      <c r="B498" s="7">
        <f>SUMIFS('bd caja'!$K$1:$K$1012,'bd caja'!$D$1:$D$1012,A498)</f>
        <v>0</v>
      </c>
      <c r="C498" s="19">
        <f>IFERROR(__xludf.DUMMYFUNCTION("""COMPUTED_VALUE"""),45385.62828957176)</f>
        <v>45385.62829</v>
      </c>
      <c r="D498" s="7" t="str">
        <f>IFERROR(__xludf.DUMMYFUNCTION("""COMPUTED_VALUE"""),"Reyna")</f>
        <v>Reyna</v>
      </c>
      <c r="E498" s="7" t="str">
        <f>IFERROR(__xludf.DUMMYFUNCTION("""COMPUTED_VALUE""")," Nicolas")</f>
        <v> Nicolas</v>
      </c>
      <c r="F498" s="7" t="str">
        <f>IFERROR(__xludf.DUMMYFUNCTION("""COMPUTED_VALUE"""),"nicolasreyna79@gmail.com")</f>
        <v>nicolasreyna79@gmail.com</v>
      </c>
      <c r="G498" s="20">
        <f>IFERROR(__xludf.DUMMYFUNCTION("""COMPUTED_VALUE"""),37449.0)</f>
        <v>37449</v>
      </c>
      <c r="H498" s="7">
        <f>IFERROR(__xludf.DUMMYFUNCTION("""COMPUTED_VALUE"""),4.3998065E7)</f>
        <v>43998065</v>
      </c>
      <c r="I498" s="7">
        <f>IFERROR(__xludf.DUMMYFUNCTION("""COMPUTED_VALUE"""),3.518127039E9)</f>
        <v>3518127039</v>
      </c>
      <c r="J498" s="7" t="str">
        <f>IFERROR(__xludf.DUMMYFUNCTION("""COMPUTED_VALUE"""),"Google")</f>
        <v>Google</v>
      </c>
      <c r="K498" s="7" t="str">
        <f>IFERROR(__xludf.DUMMYFUNCTION("""COMPUTED_VALUE"""),"Obra social")</f>
        <v>Obra social</v>
      </c>
      <c r="L498" s="7"/>
      <c r="M498" s="7" t="str">
        <f>IFERROR(__xludf.DUMMYFUNCTION("""COMPUTED_VALUE"""),"Si")</f>
        <v>Si</v>
      </c>
      <c r="N498" s="7" t="str">
        <f>IFERROR(__xludf.DUMMYFUNCTION("""COMPUTED_VALUE"""),"Running")</f>
        <v>Running</v>
      </c>
      <c r="O498" s="7" t="str">
        <f>IFERROR(__xludf.DUMMYFUNCTION("""COMPUTED_VALUE"""),"3 a 5 veces por semana")</f>
        <v>3 a 5 veces por semana</v>
      </c>
      <c r="P498" s="7"/>
      <c r="Q498" s="7" t="str">
        <f>IFERROR(__xludf.DUMMYFUNCTION("""COMPUTED_VALUE"""),"APROSS")</f>
        <v>APROSS</v>
      </c>
      <c r="R498" s="7"/>
      <c r="S498" s="7"/>
    </row>
    <row r="499">
      <c r="A499" s="7" t="str">
        <f t="shared" si="1"/>
        <v>Giannoboli, Ciro</v>
      </c>
      <c r="B499" s="7">
        <f>SUMIFS('bd caja'!$K$1:$K$1012,'bd caja'!$D$1:$D$1012,A499)</f>
        <v>0</v>
      </c>
      <c r="C499" s="19">
        <f>IFERROR(__xludf.DUMMYFUNCTION("""COMPUTED_VALUE"""),45385.68741875)</f>
        <v>45385.68742</v>
      </c>
      <c r="D499" s="7" t="str">
        <f>IFERROR(__xludf.DUMMYFUNCTION("""COMPUTED_VALUE"""),"Giannoboli")</f>
        <v>Giannoboli</v>
      </c>
      <c r="E499" s="7" t="str">
        <f>IFERROR(__xludf.DUMMYFUNCTION("""COMPUTED_VALUE"""),"Ciro")</f>
        <v>Ciro</v>
      </c>
      <c r="F499" s="7" t="str">
        <f>IFERROR(__xludf.DUMMYFUNCTION("""COMPUTED_VALUE"""),"ciro.giannoboli@gmail.com")</f>
        <v>ciro.giannoboli@gmail.com</v>
      </c>
      <c r="G499" s="20">
        <f>IFERROR(__xludf.DUMMYFUNCTION("""COMPUTED_VALUE"""),40245.0)</f>
        <v>40245</v>
      </c>
      <c r="H499" s="7">
        <f>IFERROR(__xludf.DUMMYFUNCTION("""COMPUTED_VALUE"""),5.0188849E7)</f>
        <v>50188849</v>
      </c>
      <c r="I499" s="7">
        <f>IFERROR(__xludf.DUMMYFUNCTION("""COMPUTED_VALUE"""),3.517659763E9)</f>
        <v>3517659763</v>
      </c>
      <c r="J499" s="7" t="str">
        <f>IFERROR(__xludf.DUMMYFUNCTION("""COMPUTED_VALUE"""),"Recomendación")</f>
        <v>Recomendación</v>
      </c>
      <c r="K499" s="7" t="str">
        <f>IFERROR(__xludf.DUMMYFUNCTION("""COMPUTED_VALUE"""),"Obra social")</f>
        <v>Obra social</v>
      </c>
      <c r="L499" s="7"/>
      <c r="M499" s="7" t="str">
        <f>IFERROR(__xludf.DUMMYFUNCTION("""COMPUTED_VALUE"""),"Si")</f>
        <v>Si</v>
      </c>
      <c r="N499" s="7" t="str">
        <f>IFERROR(__xludf.DUMMYFUNCTION("""COMPUTED_VALUE"""),"hockey")</f>
        <v>hockey</v>
      </c>
      <c r="O499" s="7" t="str">
        <f>IFERROR(__xludf.DUMMYFUNCTION("""COMPUTED_VALUE"""),"3 a 5 veces por semana")</f>
        <v>3 a 5 veces por semana</v>
      </c>
      <c r="P499" s="7"/>
      <c r="Q499" s="7" t="str">
        <f>IFERROR(__xludf.DUMMYFUNCTION("""COMPUTED_VALUE"""),"DASPU")</f>
        <v>DASPU</v>
      </c>
      <c r="R499" s="7"/>
      <c r="S499" s="7"/>
    </row>
    <row r="500">
      <c r="A500" s="7" t="str">
        <f t="shared" si="1"/>
        <v>Santore, Eliana</v>
      </c>
      <c r="B500" s="7">
        <f>SUMIFS('bd caja'!$K$1:$K$1012,'bd caja'!$D$1:$D$1012,A500)</f>
        <v>0</v>
      </c>
      <c r="C500" s="19">
        <f>IFERROR(__xludf.DUMMYFUNCTION("""COMPUTED_VALUE"""),45385.819402430556)</f>
        <v>45385.8194</v>
      </c>
      <c r="D500" s="7" t="str">
        <f>IFERROR(__xludf.DUMMYFUNCTION("""COMPUTED_VALUE"""),"Santore")</f>
        <v>Santore</v>
      </c>
      <c r="E500" s="7" t="str">
        <f>IFERROR(__xludf.DUMMYFUNCTION("""COMPUTED_VALUE"""),"Eliana")</f>
        <v>Eliana</v>
      </c>
      <c r="F500" s="7" t="str">
        <f>IFERROR(__xludf.DUMMYFUNCTION("""COMPUTED_VALUE"""),"elysantoree@gmail.com ")</f>
        <v>elysantoree@gmail.com </v>
      </c>
      <c r="G500" s="20">
        <f>IFERROR(__xludf.DUMMYFUNCTION("""COMPUTED_VALUE"""),32463.0)</f>
        <v>32463</v>
      </c>
      <c r="H500" s="7">
        <f>IFERROR(__xludf.DUMMYFUNCTION("""COMPUTED_VALUE"""),3.4689011E7)</f>
        <v>34689011</v>
      </c>
      <c r="I500" s="7">
        <f>IFERROR(__xludf.DUMMYFUNCTION("""COMPUTED_VALUE"""),3.513477569E9)</f>
        <v>3513477569</v>
      </c>
      <c r="J500" s="7" t="str">
        <f>IFERROR(__xludf.DUMMYFUNCTION("""COMPUTED_VALUE"""),"Google")</f>
        <v>Google</v>
      </c>
      <c r="K500" s="7" t="str">
        <f>IFERROR(__xludf.DUMMYFUNCTION("""COMPUTED_VALUE"""),"Particular")</f>
        <v>Particular</v>
      </c>
      <c r="L500" s="7"/>
      <c r="M500" s="7" t="str">
        <f>IFERROR(__xludf.DUMMYFUNCTION("""COMPUTED_VALUE"""),"No")</f>
        <v>No</v>
      </c>
      <c r="N500" s="7"/>
      <c r="O500" s="7"/>
      <c r="P500" s="7"/>
      <c r="Q500" s="7"/>
      <c r="R500" s="7"/>
      <c r="S500" s="7"/>
    </row>
    <row r="501">
      <c r="A501" s="7" t="str">
        <f t="shared" si="1"/>
        <v>Vargas, Rocío Belen </v>
      </c>
      <c r="B501" s="7">
        <f>SUMIFS('bd caja'!$K$1:$K$1012,'bd caja'!$D$1:$D$1012,A501)</f>
        <v>0</v>
      </c>
      <c r="C501" s="19">
        <f>IFERROR(__xludf.DUMMYFUNCTION("""COMPUTED_VALUE"""),45386.49690215278)</f>
        <v>45386.4969</v>
      </c>
      <c r="D501" s="7" t="str">
        <f>IFERROR(__xludf.DUMMYFUNCTION("""COMPUTED_VALUE"""),"Vargas")</f>
        <v>Vargas</v>
      </c>
      <c r="E501" s="7" t="str">
        <f>IFERROR(__xludf.DUMMYFUNCTION("""COMPUTED_VALUE"""),"Rocío Belen ")</f>
        <v>Rocío Belen </v>
      </c>
      <c r="F501" s="7" t="str">
        <f>IFERROR(__xludf.DUMMYFUNCTION("""COMPUTED_VALUE"""),"rociobelenvargas1408@gmail.com")</f>
        <v>rociobelenvargas1408@gmail.com</v>
      </c>
      <c r="G501" s="20">
        <f>IFERROR(__xludf.DUMMYFUNCTION("""COMPUTED_VALUE"""),37482.0)</f>
        <v>37482</v>
      </c>
      <c r="H501" s="7">
        <f>IFERROR(__xludf.DUMMYFUNCTION("""COMPUTED_VALUE"""),4.3954889E7)</f>
        <v>43954889</v>
      </c>
      <c r="I501" s="7">
        <f>IFERROR(__xludf.DUMMYFUNCTION("""COMPUTED_VALUE"""),3.51334922E9)</f>
        <v>3513349220</v>
      </c>
      <c r="J501" s="7" t="str">
        <f>IFERROR(__xludf.DUMMYFUNCTION("""COMPUTED_VALUE"""),"Google")</f>
        <v>Google</v>
      </c>
      <c r="K501" s="7" t="str">
        <f>IFERROR(__xludf.DUMMYFUNCTION("""COMPUTED_VALUE"""),"Particular")</f>
        <v>Particular</v>
      </c>
      <c r="L501" s="7"/>
      <c r="M501" s="7" t="str">
        <f>IFERROR(__xludf.DUMMYFUNCTION("""COMPUTED_VALUE"""),"No")</f>
        <v>No</v>
      </c>
      <c r="N501" s="7"/>
      <c r="O501" s="7"/>
      <c r="P501" s="7"/>
      <c r="Q501" s="7"/>
      <c r="R501" s="7"/>
      <c r="S501" s="7"/>
    </row>
    <row r="502">
      <c r="A502" s="7" t="str">
        <f t="shared" si="1"/>
        <v>ARIAS, Sergio Sebastián</v>
      </c>
      <c r="B502" s="7">
        <f>SUMIFS('bd caja'!$K$1:$K$1012,'bd caja'!$D$1:$D$1012,A502)</f>
        <v>0</v>
      </c>
      <c r="C502" s="19">
        <f>IFERROR(__xludf.DUMMYFUNCTION("""COMPUTED_VALUE"""),45386.527640162036)</f>
        <v>45386.52764</v>
      </c>
      <c r="D502" s="7" t="str">
        <f>IFERROR(__xludf.DUMMYFUNCTION("""COMPUTED_VALUE"""),"ARIAS")</f>
        <v>ARIAS</v>
      </c>
      <c r="E502" s="7" t="str">
        <f>IFERROR(__xludf.DUMMYFUNCTION("""COMPUTED_VALUE"""),"Sergio Sebastián")</f>
        <v>Sergio Sebastián</v>
      </c>
      <c r="F502" s="7" t="str">
        <f>IFERROR(__xludf.DUMMYFUNCTION("""COMPUTED_VALUE"""),"sergioarias@live.com.ar")</f>
        <v>sergioarias@live.com.ar</v>
      </c>
      <c r="G502" s="20">
        <f>IFERROR(__xludf.DUMMYFUNCTION("""COMPUTED_VALUE"""),31685.0)</f>
        <v>31685</v>
      </c>
      <c r="H502" s="7">
        <f>IFERROR(__xludf.DUMMYFUNCTION("""COMPUTED_VALUE"""),3.2471761E7)</f>
        <v>32471761</v>
      </c>
      <c r="I502" s="7">
        <f>IFERROR(__xludf.DUMMYFUNCTION("""COMPUTED_VALUE"""),1.150959593E9)</f>
        <v>1150959593</v>
      </c>
      <c r="J502" s="7" t="str">
        <f>IFERROR(__xludf.DUMMYFUNCTION("""COMPUTED_VALUE"""),"Recomendación")</f>
        <v>Recomendación</v>
      </c>
      <c r="K502" s="7" t="str">
        <f>IFERROR(__xludf.DUMMYFUNCTION("""COMPUTED_VALUE"""),"Obra social")</f>
        <v>Obra social</v>
      </c>
      <c r="L502" s="7"/>
      <c r="M502" s="7" t="str">
        <f>IFERROR(__xludf.DUMMYFUNCTION("""COMPUTED_VALUE"""),"No")</f>
        <v>No</v>
      </c>
      <c r="N502" s="7"/>
      <c r="O502" s="7"/>
      <c r="P502" s="7"/>
      <c r="Q502" s="7" t="str">
        <f>IFERROR(__xludf.DUMMYFUNCTION("""COMPUTED_VALUE"""),"POLICIA FEDERAL ARGENTINA (Superintendencia de Bienestar)")</f>
        <v>POLICIA FEDERAL ARGENTINA (Superintendencia de Bienestar)</v>
      </c>
      <c r="R502" s="7"/>
      <c r="S502" s="7"/>
    </row>
    <row r="503">
      <c r="A503" s="7" t="str">
        <f t="shared" si="1"/>
        <v>Rover olivera , Julian</v>
      </c>
      <c r="B503" s="7">
        <f>SUMIFS('bd caja'!$K$1:$K$1012,'bd caja'!$D$1:$D$1012,A503)</f>
        <v>0</v>
      </c>
      <c r="C503" s="19">
        <f>IFERROR(__xludf.DUMMYFUNCTION("""COMPUTED_VALUE"""),45387.82637730324)</f>
        <v>45387.82638</v>
      </c>
      <c r="D503" s="7" t="str">
        <f>IFERROR(__xludf.DUMMYFUNCTION("""COMPUTED_VALUE"""),"Rover olivera ")</f>
        <v>Rover olivera </v>
      </c>
      <c r="E503" s="7" t="str">
        <f>IFERROR(__xludf.DUMMYFUNCTION("""COMPUTED_VALUE"""),"Julian")</f>
        <v>Julian</v>
      </c>
      <c r="F503" s="7" t="str">
        <f>IFERROR(__xludf.DUMMYFUNCTION("""COMPUTED_VALUE"""),"Soniaolivera7@hotmail.com ")</f>
        <v>Soniaolivera7@hotmail.com </v>
      </c>
      <c r="G503" s="20">
        <f>IFERROR(__xludf.DUMMYFUNCTION("""COMPUTED_VALUE"""),40289.0)</f>
        <v>40289</v>
      </c>
      <c r="H503" s="7">
        <f>IFERROR(__xludf.DUMMYFUNCTION("""COMPUTED_VALUE"""),5.0222434E7)</f>
        <v>50222434</v>
      </c>
      <c r="I503" s="7">
        <f>IFERROR(__xludf.DUMMYFUNCTION("""COMPUTED_VALUE"""),3.513592526E9)</f>
        <v>3513592526</v>
      </c>
      <c r="J503" s="7" t="str">
        <f>IFERROR(__xludf.DUMMYFUNCTION("""COMPUTED_VALUE"""),"Voy al gym Manantial")</f>
        <v>Voy al gym Manantial</v>
      </c>
      <c r="K503" s="7" t="str">
        <f>IFERROR(__xludf.DUMMYFUNCTION("""COMPUTED_VALUE"""),"Obra social")</f>
        <v>Obra social</v>
      </c>
      <c r="L503" s="7"/>
      <c r="M503" s="7" t="str">
        <f>IFERROR(__xludf.DUMMYFUNCTION("""COMPUTED_VALUE"""),"Si")</f>
        <v>Si</v>
      </c>
      <c r="N503" s="7" t="str">
        <f>IFERROR(__xludf.DUMMYFUNCTION("""COMPUTED_VALUE"""),"Gimnasio")</f>
        <v>Gimnasio</v>
      </c>
      <c r="O503" s="7" t="str">
        <f>IFERROR(__xludf.DUMMYFUNCTION("""COMPUTED_VALUE"""),"1 a 2 veces por semana")</f>
        <v>1 a 2 veces por semana</v>
      </c>
      <c r="P503" s="7"/>
      <c r="Q503" s="7" t="str">
        <f>IFERROR(__xludf.DUMMYFUNCTION("""COMPUTED_VALUE"""),"APROSS")</f>
        <v>APROSS</v>
      </c>
      <c r="R503" s="7"/>
      <c r="S503" s="7"/>
    </row>
    <row r="504">
      <c r="A504" s="7" t="str">
        <f t="shared" si="1"/>
        <v>Baena, Daniel</v>
      </c>
      <c r="B504" s="7">
        <f>SUMIFS('bd caja'!$K$1:$K$1012,'bd caja'!$D$1:$D$1012,A504)</f>
        <v>0</v>
      </c>
      <c r="C504" s="19">
        <f>IFERROR(__xludf.DUMMYFUNCTION("""COMPUTED_VALUE"""),45390.47271008102)</f>
        <v>45390.47271</v>
      </c>
      <c r="D504" s="7" t="str">
        <f>IFERROR(__xludf.DUMMYFUNCTION("""COMPUTED_VALUE"""),"Baena")</f>
        <v>Baena</v>
      </c>
      <c r="E504" s="7" t="str">
        <f>IFERROR(__xludf.DUMMYFUNCTION("""COMPUTED_VALUE"""),"Daniel")</f>
        <v>Daniel</v>
      </c>
      <c r="F504" s="7" t="str">
        <f>IFERROR(__xludf.DUMMYFUNCTION("""COMPUTED_VALUE"""),"baenadaniel1@gmail.com")</f>
        <v>baenadaniel1@gmail.com</v>
      </c>
      <c r="G504" s="20">
        <f>IFERROR(__xludf.DUMMYFUNCTION("""COMPUTED_VALUE"""),29207.0)</f>
        <v>29207</v>
      </c>
      <c r="H504" s="7">
        <f>IFERROR(__xludf.DUMMYFUNCTION("""COMPUTED_VALUE"""),2.7671274E7)</f>
        <v>27671274</v>
      </c>
      <c r="I504" s="7">
        <f>IFERROR(__xludf.DUMMYFUNCTION("""COMPUTED_VALUE"""),3.515114143E9)</f>
        <v>3515114143</v>
      </c>
      <c r="J504" s="7" t="str">
        <f>IFERROR(__xludf.DUMMYFUNCTION("""COMPUTED_VALUE"""),"Recomendación")</f>
        <v>Recomendación</v>
      </c>
      <c r="K504" s="7" t="str">
        <f>IFERROR(__xludf.DUMMYFUNCTION("""COMPUTED_VALUE"""),"Particular")</f>
        <v>Particular</v>
      </c>
      <c r="L504" s="7"/>
      <c r="M504" s="7" t="str">
        <f>IFERROR(__xludf.DUMMYFUNCTION("""COMPUTED_VALUE"""),"Si")</f>
        <v>Si</v>
      </c>
      <c r="N504" s="7" t="str">
        <f>IFERROR(__xludf.DUMMYFUNCTION("""COMPUTED_VALUE"""),"Básquet")</f>
        <v>Básquet</v>
      </c>
      <c r="O504" s="7" t="str">
        <f>IFERROR(__xludf.DUMMYFUNCTION("""COMPUTED_VALUE"""),"3 a 5 veces por semana")</f>
        <v>3 a 5 veces por semana</v>
      </c>
      <c r="P504" s="7"/>
      <c r="Q504" s="7"/>
      <c r="R504" s="7"/>
      <c r="S504" s="7"/>
    </row>
    <row r="505">
      <c r="A505" s="7" t="str">
        <f t="shared" si="1"/>
        <v>Polesel, Facundo</v>
      </c>
      <c r="B505" s="7">
        <f>SUMIFS('bd caja'!$K$1:$K$1012,'bd caja'!$D$1:$D$1012,A505)</f>
        <v>0</v>
      </c>
      <c r="C505" s="19">
        <f>IFERROR(__xludf.DUMMYFUNCTION("""COMPUTED_VALUE"""),45390.67824137732)</f>
        <v>45390.67824</v>
      </c>
      <c r="D505" s="7" t="str">
        <f>IFERROR(__xludf.DUMMYFUNCTION("""COMPUTED_VALUE"""),"Polesel")</f>
        <v>Polesel</v>
      </c>
      <c r="E505" s="7" t="str">
        <f>IFERROR(__xludf.DUMMYFUNCTION("""COMPUTED_VALUE"""),"Facundo")</f>
        <v>Facundo</v>
      </c>
      <c r="F505" s="7" t="str">
        <f>IFERROR(__xludf.DUMMYFUNCTION("""COMPUTED_VALUE"""),"facundopolesel@gmail.com ")</f>
        <v>facundopolesel@gmail.com </v>
      </c>
      <c r="G505" s="20">
        <f>IFERROR(__xludf.DUMMYFUNCTION("""COMPUTED_VALUE"""),36262.0)</f>
        <v>36262</v>
      </c>
      <c r="H505" s="7">
        <f>IFERROR(__xludf.DUMMYFUNCTION("""COMPUTED_VALUE"""),4.1697667E7)</f>
        <v>41697667</v>
      </c>
      <c r="I505" s="7">
        <f>IFERROR(__xludf.DUMMYFUNCTION("""COMPUTED_VALUE"""),3.522650239E9)</f>
        <v>3522650239</v>
      </c>
      <c r="J505" s="7" t="str">
        <f>IFERROR(__xludf.DUMMYFUNCTION("""COMPUTED_VALUE"""),"Recomendación")</f>
        <v>Recomendación</v>
      </c>
      <c r="K505" s="7" t="str">
        <f>IFERROR(__xludf.DUMMYFUNCTION("""COMPUTED_VALUE"""),"Obra social")</f>
        <v>Obra social</v>
      </c>
      <c r="L505" s="7"/>
      <c r="M505" s="7" t="str">
        <f>IFERROR(__xludf.DUMMYFUNCTION("""COMPUTED_VALUE"""),"Si")</f>
        <v>Si</v>
      </c>
      <c r="N505" s="7" t="str">
        <f>IFERROR(__xludf.DUMMYFUNCTION("""COMPUTED_VALUE"""),"Fútbol")</f>
        <v>Fútbol</v>
      </c>
      <c r="O505" s="7" t="str">
        <f>IFERROR(__xludf.DUMMYFUNCTION("""COMPUTED_VALUE"""),"3 a 5 veces por semana")</f>
        <v>3 a 5 veces por semana</v>
      </c>
      <c r="P505" s="7"/>
      <c r="Q505" s="7" t="str">
        <f>IFERROR(__xludf.DUMMYFUNCTION("""COMPUTED_VALUE"""),"APROSS")</f>
        <v>APROSS</v>
      </c>
      <c r="R505" s="7"/>
      <c r="S505" s="7"/>
    </row>
    <row r="506">
      <c r="A506" s="7" t="str">
        <f t="shared" si="1"/>
        <v>Sarsur , Celia</v>
      </c>
      <c r="B506" s="7">
        <f>SUMIFS('bd caja'!$K$1:$K$1012,'bd caja'!$D$1:$D$1012,A506)</f>
        <v>0</v>
      </c>
      <c r="C506" s="19">
        <f>IFERROR(__xludf.DUMMYFUNCTION("""COMPUTED_VALUE"""),45390.818348182875)</f>
        <v>45390.81835</v>
      </c>
      <c r="D506" s="7" t="str">
        <f>IFERROR(__xludf.DUMMYFUNCTION("""COMPUTED_VALUE"""),"Sarsur ")</f>
        <v>Sarsur </v>
      </c>
      <c r="E506" s="7" t="str">
        <f>IFERROR(__xludf.DUMMYFUNCTION("""COMPUTED_VALUE"""),"Celia")</f>
        <v>Celia</v>
      </c>
      <c r="F506" s="7" t="str">
        <f>IFERROR(__xludf.DUMMYFUNCTION("""COMPUTED_VALUE"""),"c.sarsur@gmail.com")</f>
        <v>c.sarsur@gmail.com</v>
      </c>
      <c r="G506" s="20">
        <f>IFERROR(__xludf.DUMMYFUNCTION("""COMPUTED_VALUE"""),23583.0)</f>
        <v>23583</v>
      </c>
      <c r="H506" s="7">
        <f>IFERROR(__xludf.DUMMYFUNCTION("""COMPUTED_VALUE"""),1.6904443E7)</f>
        <v>16904443</v>
      </c>
      <c r="I506" s="7">
        <f>IFERROR(__xludf.DUMMYFUNCTION("""COMPUTED_VALUE"""),3.516086487E9)</f>
        <v>3516086487</v>
      </c>
      <c r="J506" s="7" t="str">
        <f>IFERROR(__xludf.DUMMYFUNCTION("""COMPUTED_VALUE"""),"Recomendación")</f>
        <v>Recomendación</v>
      </c>
      <c r="K506" s="7" t="str">
        <f>IFERROR(__xludf.DUMMYFUNCTION("""COMPUTED_VALUE"""),"Obra social")</f>
        <v>Obra social</v>
      </c>
      <c r="L506" s="7"/>
      <c r="M506" s="7" t="str">
        <f>IFERROR(__xludf.DUMMYFUNCTION("""COMPUTED_VALUE"""),"Si")</f>
        <v>Si</v>
      </c>
      <c r="N506" s="7" t="str">
        <f>IFERROR(__xludf.DUMMYFUNCTION("""COMPUTED_VALUE"""),"Baile")</f>
        <v>Baile</v>
      </c>
      <c r="O506" s="7" t="str">
        <f>IFERROR(__xludf.DUMMYFUNCTION("""COMPUTED_VALUE"""),"3 a 5 veces por semana")</f>
        <v>3 a 5 veces por semana</v>
      </c>
      <c r="P506" s="7"/>
      <c r="Q506" s="7" t="str">
        <f>IFERROR(__xludf.DUMMYFUNCTION("""COMPUTED_VALUE"""),"Medife")</f>
        <v>Medife</v>
      </c>
      <c r="R506" s="7"/>
      <c r="S506" s="7"/>
    </row>
    <row r="507">
      <c r="A507" s="7" t="str">
        <f t="shared" si="1"/>
        <v>German, Guillermo</v>
      </c>
      <c r="B507" s="7">
        <f>SUMIFS('bd caja'!$K$1:$K$1012,'bd caja'!$D$1:$D$1012,A507)</f>
        <v>0</v>
      </c>
      <c r="C507" s="19">
        <f>IFERROR(__xludf.DUMMYFUNCTION("""COMPUTED_VALUE"""),45391.658031203704)</f>
        <v>45391.65803</v>
      </c>
      <c r="D507" s="7" t="str">
        <f>IFERROR(__xludf.DUMMYFUNCTION("""COMPUTED_VALUE"""),"German")</f>
        <v>German</v>
      </c>
      <c r="E507" s="7" t="str">
        <f>IFERROR(__xludf.DUMMYFUNCTION("""COMPUTED_VALUE"""),"Guillermo")</f>
        <v>Guillermo</v>
      </c>
      <c r="F507" s="7" t="str">
        <f>IFERROR(__xludf.DUMMYFUNCTION("""COMPUTED_VALUE"""),"guilleger84@gmail.com")</f>
        <v>guilleger84@gmail.com</v>
      </c>
      <c r="G507" s="20">
        <f>IFERROR(__xludf.DUMMYFUNCTION("""COMPUTED_VALUE"""),30738.0)</f>
        <v>30738</v>
      </c>
      <c r="H507" s="7">
        <f>IFERROR(__xludf.DUMMYFUNCTION("""COMPUTED_VALUE"""),3.0843976E7)</f>
        <v>30843976</v>
      </c>
      <c r="I507" s="7">
        <f>IFERROR(__xludf.DUMMYFUNCTION("""COMPUTED_VALUE"""),3.515317558E9)</f>
        <v>3515317558</v>
      </c>
      <c r="J507" s="7" t="str">
        <f>IFERROR(__xludf.DUMMYFUNCTION("""COMPUTED_VALUE"""),"Voy al gym Manantial")</f>
        <v>Voy al gym Manantial</v>
      </c>
      <c r="K507" s="7" t="str">
        <f>IFERROR(__xludf.DUMMYFUNCTION("""COMPUTED_VALUE"""),"Obra social")</f>
        <v>Obra social</v>
      </c>
      <c r="L507" s="7"/>
      <c r="M507" s="7" t="str">
        <f>IFERROR(__xludf.DUMMYFUNCTION("""COMPUTED_VALUE"""),"Si")</f>
        <v>Si</v>
      </c>
      <c r="N507" s="7" t="str">
        <f>IFERROR(__xludf.DUMMYFUNCTION("""COMPUTED_VALUE"""),"Gimnasio")</f>
        <v>Gimnasio</v>
      </c>
      <c r="O507" s="7" t="str">
        <f>IFERROR(__xludf.DUMMYFUNCTION("""COMPUTED_VALUE"""),"3 a 5 veces por semana")</f>
        <v>3 a 5 veces por semana</v>
      </c>
      <c r="P507" s="7"/>
      <c r="Q507" s="7" t="str">
        <f>IFERROR(__xludf.DUMMYFUNCTION("""COMPUTED_VALUE"""),"Osde")</f>
        <v>Osde</v>
      </c>
      <c r="R507" s="7"/>
      <c r="S507" s="7"/>
    </row>
    <row r="508">
      <c r="A508" s="7" t="str">
        <f t="shared" si="1"/>
        <v>Lozano, Santiago</v>
      </c>
      <c r="B508" s="7">
        <f>SUMIFS('bd caja'!$K$1:$K$1012,'bd caja'!$D$1:$D$1012,A508)</f>
        <v>0</v>
      </c>
      <c r="C508" s="19">
        <f>IFERROR(__xludf.DUMMYFUNCTION("""COMPUTED_VALUE"""),45391.751191793985)</f>
        <v>45391.75119</v>
      </c>
      <c r="D508" s="7" t="str">
        <f>IFERROR(__xludf.DUMMYFUNCTION("""COMPUTED_VALUE"""),"Lozano")</f>
        <v>Lozano</v>
      </c>
      <c r="E508" s="7" t="str">
        <f>IFERROR(__xludf.DUMMYFUNCTION("""COMPUTED_VALUE"""),"Santiago")</f>
        <v>Santiago</v>
      </c>
      <c r="F508" s="7" t="str">
        <f>IFERROR(__xludf.DUMMYFUNCTION("""COMPUTED_VALUE"""),"lozanosantiago987@gmail.com")</f>
        <v>lozanosantiago987@gmail.com</v>
      </c>
      <c r="G508" s="20">
        <f>IFERROR(__xludf.DUMMYFUNCTION("""COMPUTED_VALUE"""),38618.0)</f>
        <v>38618</v>
      </c>
      <c r="H508" s="7">
        <f>IFERROR(__xludf.DUMMYFUNCTION("""COMPUTED_VALUE"""),4.6505907E7)</f>
        <v>46505907</v>
      </c>
      <c r="I508" s="7">
        <f>IFERROR(__xludf.DUMMYFUNCTION("""COMPUTED_VALUE"""),3.517913805E9)</f>
        <v>3517913805</v>
      </c>
      <c r="J508" s="7" t="str">
        <f>IFERROR(__xludf.DUMMYFUNCTION("""COMPUTED_VALUE"""),"Recomendación")</f>
        <v>Recomendación</v>
      </c>
      <c r="K508" s="7" t="str">
        <f>IFERROR(__xludf.DUMMYFUNCTION("""COMPUTED_VALUE"""),"Particular")</f>
        <v>Particular</v>
      </c>
      <c r="L508" s="7"/>
      <c r="M508" s="7" t="str">
        <f>IFERROR(__xludf.DUMMYFUNCTION("""COMPUTED_VALUE"""),"Si")</f>
        <v>Si</v>
      </c>
      <c r="N508" s="7" t="str">
        <f>IFERROR(__xludf.DUMMYFUNCTION("""COMPUTED_VALUE"""),"Fútbol")</f>
        <v>Fútbol</v>
      </c>
      <c r="O508" s="7" t="str">
        <f>IFERROR(__xludf.DUMMYFUNCTION("""COMPUTED_VALUE"""),"1 a 2 veces por semana")</f>
        <v>1 a 2 veces por semana</v>
      </c>
      <c r="P508" s="7"/>
      <c r="Q508" s="7"/>
      <c r="R508" s="7"/>
      <c r="S508" s="7"/>
    </row>
    <row r="509">
      <c r="A509" s="7" t="str">
        <f t="shared" si="1"/>
        <v>Polesel, Facundo</v>
      </c>
      <c r="B509" s="7">
        <f>SUMIFS('bd caja'!$K$1:$K$1012,'bd caja'!$D$1:$D$1012,A509)</f>
        <v>0</v>
      </c>
      <c r="C509" s="19">
        <f>IFERROR(__xludf.DUMMYFUNCTION("""COMPUTED_VALUE"""),45391.79520006945)</f>
        <v>45391.7952</v>
      </c>
      <c r="D509" s="7" t="str">
        <f>IFERROR(__xludf.DUMMYFUNCTION("""COMPUTED_VALUE"""),"Polesel")</f>
        <v>Polesel</v>
      </c>
      <c r="E509" s="7" t="str">
        <f>IFERROR(__xludf.DUMMYFUNCTION("""COMPUTED_VALUE"""),"Facundo")</f>
        <v>Facundo</v>
      </c>
      <c r="F509" s="7" t="str">
        <f>IFERROR(__xludf.DUMMYFUNCTION("""COMPUTED_VALUE"""),"facundopolesel@gmail.com ")</f>
        <v>facundopolesel@gmail.com </v>
      </c>
      <c r="G509" s="20">
        <f>IFERROR(__xludf.DUMMYFUNCTION("""COMPUTED_VALUE"""),36262.0)</f>
        <v>36262</v>
      </c>
      <c r="H509" s="7">
        <f>IFERROR(__xludf.DUMMYFUNCTION("""COMPUTED_VALUE"""),4.1697667E7)</f>
        <v>41697667</v>
      </c>
      <c r="I509" s="7">
        <f>IFERROR(__xludf.DUMMYFUNCTION("""COMPUTED_VALUE"""),3.522650239E9)</f>
        <v>3522650239</v>
      </c>
      <c r="J509" s="7" t="str">
        <f>IFERROR(__xludf.DUMMYFUNCTION("""COMPUTED_VALUE"""),"Recomendación")</f>
        <v>Recomendación</v>
      </c>
      <c r="K509" s="7" t="str">
        <f>IFERROR(__xludf.DUMMYFUNCTION("""COMPUTED_VALUE"""),"Obra social")</f>
        <v>Obra social</v>
      </c>
      <c r="L509" s="7"/>
      <c r="M509" s="7" t="str">
        <f>IFERROR(__xludf.DUMMYFUNCTION("""COMPUTED_VALUE"""),"Si")</f>
        <v>Si</v>
      </c>
      <c r="N509" s="7" t="str">
        <f>IFERROR(__xludf.DUMMYFUNCTION("""COMPUTED_VALUE"""),"Fútbol")</f>
        <v>Fútbol</v>
      </c>
      <c r="O509" s="7" t="str">
        <f>IFERROR(__xludf.DUMMYFUNCTION("""COMPUTED_VALUE"""),"3 a 5 veces por semana")</f>
        <v>3 a 5 veces por semana</v>
      </c>
      <c r="P509" s="7"/>
      <c r="Q509" s="7" t="str">
        <f>IFERROR(__xludf.DUMMYFUNCTION("""COMPUTED_VALUE"""),"APROSS")</f>
        <v>APROSS</v>
      </c>
      <c r="R509" s="7"/>
      <c r="S509" s="7"/>
    </row>
    <row r="510">
      <c r="A510" s="7" t="str">
        <f t="shared" si="1"/>
        <v>Rover, Julian</v>
      </c>
      <c r="B510" s="7">
        <f>SUMIFS('bd caja'!$K$1:$K$1012,'bd caja'!$D$1:$D$1012,A510)</f>
        <v>0</v>
      </c>
      <c r="C510" s="19">
        <f>IFERROR(__xludf.DUMMYFUNCTION("""COMPUTED_VALUE"""),45391.79878302083)</f>
        <v>45391.79878</v>
      </c>
      <c r="D510" s="7" t="str">
        <f>IFERROR(__xludf.DUMMYFUNCTION("""COMPUTED_VALUE"""),"Rover")</f>
        <v>Rover</v>
      </c>
      <c r="E510" s="7" t="str">
        <f>IFERROR(__xludf.DUMMYFUNCTION("""COMPUTED_VALUE"""),"Julian")</f>
        <v>Julian</v>
      </c>
      <c r="F510" s="7" t="str">
        <f>IFERROR(__xludf.DUMMYFUNCTION("""COMPUTED_VALUE"""),"soniaolivera7@hotmail.com")</f>
        <v>soniaolivera7@hotmail.com</v>
      </c>
      <c r="G510" s="20">
        <f>IFERROR(__xludf.DUMMYFUNCTION("""COMPUTED_VALUE"""),40289.0)</f>
        <v>40289</v>
      </c>
      <c r="H510" s="7">
        <f>IFERROR(__xludf.DUMMYFUNCTION("""COMPUTED_VALUE"""),5.0222434E7)</f>
        <v>50222434</v>
      </c>
      <c r="I510" s="7">
        <f>IFERROR(__xludf.DUMMYFUNCTION("""COMPUTED_VALUE"""),3.516512619E9)</f>
        <v>3516512619</v>
      </c>
      <c r="J510" s="7" t="str">
        <f>IFERROR(__xludf.DUMMYFUNCTION("""COMPUTED_VALUE"""),"Instagram")</f>
        <v>Instagram</v>
      </c>
      <c r="K510" s="7" t="str">
        <f>IFERROR(__xludf.DUMMYFUNCTION("""COMPUTED_VALUE"""),"Obra social")</f>
        <v>Obra social</v>
      </c>
      <c r="L510" s="7"/>
      <c r="M510" s="7" t="str">
        <f>IFERROR(__xludf.DUMMYFUNCTION("""COMPUTED_VALUE"""),"Si")</f>
        <v>Si</v>
      </c>
      <c r="N510" s="7" t="str">
        <f>IFERROR(__xludf.DUMMYFUNCTION("""COMPUTED_VALUE"""),"Fútbol")</f>
        <v>Fútbol</v>
      </c>
      <c r="O510" s="7" t="str">
        <f>IFERROR(__xludf.DUMMYFUNCTION("""COMPUTED_VALUE"""),"3 a 5 veces por semana")</f>
        <v>3 a 5 veces por semana</v>
      </c>
      <c r="P510" s="7"/>
      <c r="Q510" s="7" t="str">
        <f>IFERROR(__xludf.DUMMYFUNCTION("""COMPUTED_VALUE"""),"APROSS")</f>
        <v>APROSS</v>
      </c>
      <c r="R510" s="7"/>
      <c r="S510" s="7"/>
    </row>
    <row r="511">
      <c r="A511" s="7" t="str">
        <f t="shared" si="1"/>
        <v>Bomone, Carlos horacio</v>
      </c>
      <c r="B511" s="7">
        <f>SUMIFS('bd caja'!$K$1:$K$1012,'bd caja'!$D$1:$D$1012,A511)</f>
        <v>0</v>
      </c>
      <c r="C511" s="19">
        <f>IFERROR(__xludf.DUMMYFUNCTION("""COMPUTED_VALUE"""),45393.78478611111)</f>
        <v>45393.78479</v>
      </c>
      <c r="D511" s="7" t="str">
        <f>IFERROR(__xludf.DUMMYFUNCTION("""COMPUTED_VALUE"""),"Bomone")</f>
        <v>Bomone</v>
      </c>
      <c r="E511" s="7" t="str">
        <f>IFERROR(__xludf.DUMMYFUNCTION("""COMPUTED_VALUE"""),"Carlos horacio")</f>
        <v>Carlos horacio</v>
      </c>
      <c r="F511" s="7" t="str">
        <f>IFERROR(__xludf.DUMMYFUNCTION("""COMPUTED_VALUE"""),"carlosbomone@gmail.com")</f>
        <v>carlosbomone@gmail.com</v>
      </c>
      <c r="G511" s="20">
        <f>IFERROR(__xludf.DUMMYFUNCTION("""COMPUTED_VALUE"""),45386.0)</f>
        <v>45386</v>
      </c>
      <c r="H511" s="7">
        <f>IFERROR(__xludf.DUMMYFUNCTION("""COMPUTED_VALUE"""),1.2812239E7)</f>
        <v>12812239</v>
      </c>
      <c r="I511" s="7">
        <f>IFERROR(__xludf.DUMMYFUNCTION("""COMPUTED_VALUE"""),3.516424506E9)</f>
        <v>3516424506</v>
      </c>
      <c r="J511" s="7" t="str">
        <f>IFERROR(__xludf.DUMMYFUNCTION("""COMPUTED_VALUE"""),"Recomendación")</f>
        <v>Recomendación</v>
      </c>
      <c r="K511" s="7" t="str">
        <f>IFERROR(__xludf.DUMMYFUNCTION("""COMPUTED_VALUE"""),"Obra social")</f>
        <v>Obra social</v>
      </c>
      <c r="L511" s="7"/>
      <c r="M511" s="7" t="str">
        <f>IFERROR(__xludf.DUMMYFUNCTION("""COMPUTED_VALUE"""),"Si")</f>
        <v>Si</v>
      </c>
      <c r="N511" s="7" t="str">
        <f>IFERROR(__xludf.DUMMYFUNCTION("""COMPUTED_VALUE"""),"Fútbol")</f>
        <v>Fútbol</v>
      </c>
      <c r="O511" s="7" t="str">
        <f>IFERROR(__xludf.DUMMYFUNCTION("""COMPUTED_VALUE"""),"1 a 2 veces por semana")</f>
        <v>1 a 2 veces por semana</v>
      </c>
      <c r="P511" s="7"/>
      <c r="Q511" s="7" t="str">
        <f>IFERROR(__xludf.DUMMYFUNCTION("""COMPUTED_VALUE"""),"SANCOR")</f>
        <v>SANCOR</v>
      </c>
      <c r="R511" s="7"/>
      <c r="S511" s="7"/>
    </row>
    <row r="512">
      <c r="A512" s="7" t="str">
        <f t="shared" si="1"/>
        <v>Tillard, Mateo</v>
      </c>
      <c r="B512" s="7">
        <f>SUMIFS('bd caja'!$K$1:$K$1012,'bd caja'!$D$1:$D$1012,A512)</f>
        <v>0</v>
      </c>
      <c r="C512" s="19">
        <f>IFERROR(__xludf.DUMMYFUNCTION("""COMPUTED_VALUE"""),45394.342061076386)</f>
        <v>45394.34206</v>
      </c>
      <c r="D512" s="7" t="str">
        <f>IFERROR(__xludf.DUMMYFUNCTION("""COMPUTED_VALUE"""),"Tillard")</f>
        <v>Tillard</v>
      </c>
      <c r="E512" s="7" t="str">
        <f>IFERROR(__xludf.DUMMYFUNCTION("""COMPUTED_VALUE"""),"Mateo")</f>
        <v>Mateo</v>
      </c>
      <c r="F512" s="7" t="str">
        <f>IFERROR(__xludf.DUMMYFUNCTION("""COMPUTED_VALUE"""),"mateotillard@gmail.com")</f>
        <v>mateotillard@gmail.com</v>
      </c>
      <c r="G512" s="20">
        <f>IFERROR(__xludf.DUMMYFUNCTION("""COMPUTED_VALUE"""),34288.0)</f>
        <v>34288</v>
      </c>
      <c r="H512" s="7">
        <f>IFERROR(__xludf.DUMMYFUNCTION("""COMPUTED_VALUE"""),3.0474307E7)</f>
        <v>30474307</v>
      </c>
      <c r="I512" s="7">
        <f>IFERROR(__xludf.DUMMYFUNCTION("""COMPUTED_VALUE"""),3.515557367E9)</f>
        <v>3515557367</v>
      </c>
      <c r="J512" s="7" t="str">
        <f>IFERROR(__xludf.DUMMYFUNCTION("""COMPUTED_VALUE"""),"Profe lucas de sport club de gauss")</f>
        <v>Profe lucas de sport club de gauss</v>
      </c>
      <c r="K512" s="7" t="str">
        <f>IFERROR(__xludf.DUMMYFUNCTION("""COMPUTED_VALUE"""),"Particular")</f>
        <v>Particular</v>
      </c>
      <c r="L512" s="7"/>
      <c r="M512" s="7" t="str">
        <f>IFERROR(__xludf.DUMMYFUNCTION("""COMPUTED_VALUE"""),"Si")</f>
        <v>Si</v>
      </c>
      <c r="N512" s="7" t="str">
        <f>IFERROR(__xludf.DUMMYFUNCTION("""COMPUTED_VALUE"""),"Fútbol")</f>
        <v>Fútbol</v>
      </c>
      <c r="O512" s="7" t="str">
        <f>IFERROR(__xludf.DUMMYFUNCTION("""COMPUTED_VALUE"""),"3 a 5 veces por semana")</f>
        <v>3 a 5 veces por semana</v>
      </c>
      <c r="P512" s="7"/>
      <c r="Q512" s="7"/>
      <c r="R512" s="7"/>
      <c r="S512" s="7"/>
    </row>
    <row r="513">
      <c r="A513" s="7" t="str">
        <f t="shared" si="1"/>
        <v>Mendoza chavez , Rosa esther </v>
      </c>
      <c r="B513" s="7">
        <f>SUMIFS('bd caja'!$K$1:$K$1012,'bd caja'!$D$1:$D$1012,A513)</f>
        <v>0</v>
      </c>
      <c r="C513" s="19">
        <f>IFERROR(__xludf.DUMMYFUNCTION("""COMPUTED_VALUE"""),45395.619864583336)</f>
        <v>45395.61986</v>
      </c>
      <c r="D513" s="7" t="str">
        <f>IFERROR(__xludf.DUMMYFUNCTION("""COMPUTED_VALUE"""),"Mendoza chavez ")</f>
        <v>Mendoza chavez </v>
      </c>
      <c r="E513" s="7" t="str">
        <f>IFERROR(__xludf.DUMMYFUNCTION("""COMPUTED_VALUE"""),"Rosa esther ")</f>
        <v>Rosa esther </v>
      </c>
      <c r="F513" s="7" t="str">
        <f>IFERROR(__xludf.DUMMYFUNCTION("""COMPUTED_VALUE"""),"Chavezrosaesthermendoza@gmail.com")</f>
        <v>Chavezrosaesthermendoza@gmail.com</v>
      </c>
      <c r="G513" s="20">
        <f>IFERROR(__xludf.DUMMYFUNCTION("""COMPUTED_VALUE"""),27544.0)</f>
        <v>27544</v>
      </c>
      <c r="H513" s="7">
        <f>IFERROR(__xludf.DUMMYFUNCTION("""COMPUTED_VALUE"""),9.5801901E7)</f>
        <v>95801901</v>
      </c>
      <c r="I513" s="7">
        <f>IFERROR(__xludf.DUMMYFUNCTION("""COMPUTED_VALUE"""),3.515106479E9)</f>
        <v>3515106479</v>
      </c>
      <c r="J513" s="7" t="str">
        <f>IFERROR(__xludf.DUMMYFUNCTION("""COMPUTED_VALUE"""),"Google")</f>
        <v>Google</v>
      </c>
      <c r="K513" s="7" t="str">
        <f>IFERROR(__xludf.DUMMYFUNCTION("""COMPUTED_VALUE"""),"Particular")</f>
        <v>Particular</v>
      </c>
      <c r="L513" s="7"/>
      <c r="M513" s="7" t="str">
        <f>IFERROR(__xludf.DUMMYFUNCTION("""COMPUTED_VALUE"""),"No")</f>
        <v>No</v>
      </c>
      <c r="N513" s="7"/>
      <c r="O513" s="7"/>
      <c r="P513" s="7"/>
      <c r="Q513" s="7"/>
      <c r="R513" s="7"/>
      <c r="S513" s="7"/>
    </row>
    <row r="514">
      <c r="A514" s="7" t="str">
        <f t="shared" si="1"/>
        <v>DEA COL, Pedro</v>
      </c>
      <c r="B514" s="7">
        <f>SUMIFS('bd caja'!$K$1:$K$1012,'bd caja'!$D$1:$D$1012,A514)</f>
        <v>0</v>
      </c>
      <c r="C514" s="19">
        <f>IFERROR(__xludf.DUMMYFUNCTION("""COMPUTED_VALUE"""),45398.79358034722)</f>
        <v>45398.79358</v>
      </c>
      <c r="D514" s="7" t="str">
        <f>IFERROR(__xludf.DUMMYFUNCTION("""COMPUTED_VALUE"""),"DEA COL")</f>
        <v>DEA COL</v>
      </c>
      <c r="E514" s="7" t="str">
        <f>IFERROR(__xludf.DUMMYFUNCTION("""COMPUTED_VALUE"""),"Pedro")</f>
        <v>Pedro</v>
      </c>
      <c r="F514" s="23" t="str">
        <f>IFERROR(__xludf.DUMMYFUNCTION("""COMPUTED_VALUE"""),"p.francisco.27hotmail.com")</f>
        <v>p.francisco.27hotmail.com</v>
      </c>
      <c r="G514" s="20">
        <f>IFERROR(__xludf.DUMMYFUNCTION("""COMPUTED_VALUE"""),19386.0)</f>
        <v>19386</v>
      </c>
      <c r="H514" s="7">
        <f>IFERROR(__xludf.DUMMYFUNCTION("""COMPUTED_VALUE"""),1.0544706E7)</f>
        <v>10544706</v>
      </c>
      <c r="I514" s="7">
        <f>IFERROR(__xludf.DUMMYFUNCTION("""COMPUTED_VALUE"""),3.512191217E9)</f>
        <v>3512191217</v>
      </c>
      <c r="J514" s="7" t="str">
        <f>IFERROR(__xludf.DUMMYFUNCTION("""COMPUTED_VALUE"""),"Cartilla Obra Social")</f>
        <v>Cartilla Obra Social</v>
      </c>
      <c r="K514" s="7" t="str">
        <f>IFERROR(__xludf.DUMMYFUNCTION("""COMPUTED_VALUE"""),"Obra social")</f>
        <v>Obra social</v>
      </c>
      <c r="L514" s="7"/>
      <c r="M514" s="7" t="str">
        <f>IFERROR(__xludf.DUMMYFUNCTION("""COMPUTED_VALUE"""),"No")</f>
        <v>No</v>
      </c>
      <c r="N514" s="7"/>
      <c r="O514" s="7"/>
      <c r="P514" s="7"/>
      <c r="Q514" s="7" t="str">
        <f>IFERROR(__xludf.DUMMYFUNCTION("""COMPUTED_VALUE"""),"Medife")</f>
        <v>Medife</v>
      </c>
      <c r="R514" s="7"/>
      <c r="S514" s="7"/>
    </row>
    <row r="515">
      <c r="A515" s="7" t="str">
        <f t="shared" si="1"/>
        <v>Vaca, Miguel</v>
      </c>
      <c r="B515" s="7">
        <f>SUMIFS('bd caja'!$K$1:$K$1012,'bd caja'!$D$1:$D$1012,A515)</f>
        <v>0</v>
      </c>
      <c r="C515" s="19">
        <f>IFERROR(__xludf.DUMMYFUNCTION("""COMPUTED_VALUE"""),45399.6713383912)</f>
        <v>45399.67134</v>
      </c>
      <c r="D515" s="7" t="str">
        <f>IFERROR(__xludf.DUMMYFUNCTION("""COMPUTED_VALUE"""),"Vaca")</f>
        <v>Vaca</v>
      </c>
      <c r="E515" s="7" t="str">
        <f>IFERROR(__xludf.DUMMYFUNCTION("""COMPUTED_VALUE"""),"Miguel")</f>
        <v>Miguel</v>
      </c>
      <c r="F515" s="7" t="str">
        <f>IFERROR(__xludf.DUMMYFUNCTION("""COMPUTED_VALUE"""),"hugovacanarvaja@hotmail.com")</f>
        <v>hugovacanarvaja@hotmail.com</v>
      </c>
      <c r="G515" s="20">
        <f>IFERROR(__xludf.DUMMYFUNCTION("""COMPUTED_VALUE"""),24437.0)</f>
        <v>24437</v>
      </c>
      <c r="H515" s="7">
        <f>IFERROR(__xludf.DUMMYFUNCTION("""COMPUTED_VALUE"""),1.8030042E7)</f>
        <v>18030042</v>
      </c>
      <c r="I515" s="7">
        <f>IFERROR(__xludf.DUMMYFUNCTION("""COMPUTED_VALUE"""),3.515406413E9)</f>
        <v>3515406413</v>
      </c>
      <c r="J515" s="7" t="str">
        <f>IFERROR(__xludf.DUMMYFUNCTION("""COMPUTED_VALUE"""),"Voy al gym Manantial")</f>
        <v>Voy al gym Manantial</v>
      </c>
      <c r="K515" s="7" t="str">
        <f>IFERROR(__xludf.DUMMYFUNCTION("""COMPUTED_VALUE"""),"Obra social")</f>
        <v>Obra social</v>
      </c>
      <c r="L515" s="7"/>
      <c r="M515" s="7" t="str">
        <f>IFERROR(__xludf.DUMMYFUNCTION("""COMPUTED_VALUE"""),"Si")</f>
        <v>Si</v>
      </c>
      <c r="N515" s="7" t="str">
        <f>IFERROR(__xludf.DUMMYFUNCTION("""COMPUTED_VALUE"""),"Gimnasio")</f>
        <v>Gimnasio</v>
      </c>
      <c r="O515" s="7" t="str">
        <f>IFERROR(__xludf.DUMMYFUNCTION("""COMPUTED_VALUE"""),"3 a 5 veces por semana")</f>
        <v>3 a 5 veces por semana</v>
      </c>
      <c r="P515" s="7"/>
      <c r="Q515" s="7" t="str">
        <f>IFERROR(__xludf.DUMMYFUNCTION("""COMPUTED_VALUE"""),"poder judicial")</f>
        <v>poder judicial</v>
      </c>
      <c r="R515" s="7"/>
      <c r="S515" s="7"/>
    </row>
    <row r="516">
      <c r="A516" s="7" t="str">
        <f t="shared" si="1"/>
        <v>Delatorre, Sebastian</v>
      </c>
      <c r="B516" s="7">
        <f>SUMIFS('bd caja'!$K$1:$K$1012,'bd caja'!$D$1:$D$1012,A516)</f>
        <v>0</v>
      </c>
      <c r="C516" s="19">
        <f>IFERROR(__xludf.DUMMYFUNCTION("""COMPUTED_VALUE"""),45400.79575482639)</f>
        <v>45400.79575</v>
      </c>
      <c r="D516" s="7" t="str">
        <f>IFERROR(__xludf.DUMMYFUNCTION("""COMPUTED_VALUE"""),"Delatorre")</f>
        <v>Delatorre</v>
      </c>
      <c r="E516" s="7" t="str">
        <f>IFERROR(__xludf.DUMMYFUNCTION("""COMPUTED_VALUE"""),"Sebastian")</f>
        <v>Sebastian</v>
      </c>
      <c r="F516" s="7" t="str">
        <f>IFERROR(__xludf.DUMMYFUNCTION("""COMPUTED_VALUE"""),"-")</f>
        <v>-</v>
      </c>
      <c r="G516" s="20">
        <f>IFERROR(__xludf.DUMMYFUNCTION("""COMPUTED_VALUE"""),32143.0)</f>
        <v>32143</v>
      </c>
      <c r="H516" s="7">
        <f>IFERROR(__xludf.DUMMYFUNCTION("""COMPUTED_VALUE"""),2.5647473E7)</f>
        <v>25647473</v>
      </c>
      <c r="I516" s="7">
        <f>IFERROR(__xludf.DUMMYFUNCTION("""COMPUTED_VALUE"""),3.513054939E9)</f>
        <v>3513054939</v>
      </c>
      <c r="J516" s="7" t="str">
        <f>IFERROR(__xludf.DUMMYFUNCTION("""COMPUTED_VALUE"""),"Google")</f>
        <v>Google</v>
      </c>
      <c r="K516" s="7" t="str">
        <f>IFERROR(__xludf.DUMMYFUNCTION("""COMPUTED_VALUE"""),"Particular")</f>
        <v>Particular</v>
      </c>
      <c r="L516" s="7"/>
      <c r="M516" s="7" t="str">
        <f>IFERROR(__xludf.DUMMYFUNCTION("""COMPUTED_VALUE"""),"Si")</f>
        <v>Si</v>
      </c>
      <c r="N516" s="7" t="str">
        <f>IFERROR(__xludf.DUMMYFUNCTION("""COMPUTED_VALUE"""),"Gimnasio")</f>
        <v>Gimnasio</v>
      </c>
      <c r="O516" s="7" t="str">
        <f>IFERROR(__xludf.DUMMYFUNCTION("""COMPUTED_VALUE"""),"3 a 5 veces por semana")</f>
        <v>3 a 5 veces por semana</v>
      </c>
      <c r="P516" s="7"/>
      <c r="Q516" s="7"/>
      <c r="R516" s="7"/>
      <c r="S516" s="7"/>
    </row>
    <row r="517">
      <c r="A517" s="7" t="str">
        <f t="shared" si="1"/>
        <v>Costa, Santiago</v>
      </c>
      <c r="B517" s="7">
        <f>SUMIFS('bd caja'!$K$1:$K$1012,'bd caja'!$D$1:$D$1012,A517)</f>
        <v>0</v>
      </c>
      <c r="C517" s="19">
        <f>IFERROR(__xludf.DUMMYFUNCTION("""COMPUTED_VALUE"""),45401.517707164356)</f>
        <v>45401.51771</v>
      </c>
      <c r="D517" s="7" t="str">
        <f>IFERROR(__xludf.DUMMYFUNCTION("""COMPUTED_VALUE"""),"Costa")</f>
        <v>Costa</v>
      </c>
      <c r="E517" s="7" t="str">
        <f>IFERROR(__xludf.DUMMYFUNCTION("""COMPUTED_VALUE"""),"Santiago")</f>
        <v>Santiago</v>
      </c>
      <c r="F517" s="7" t="str">
        <f>IFERROR(__xludf.DUMMYFUNCTION("""COMPUTED_VALUE"""),"Santiago.costa.m@gmail.com")</f>
        <v>Santiago.costa.m@gmail.com</v>
      </c>
      <c r="G517" s="20">
        <f>IFERROR(__xludf.DUMMYFUNCTION("""COMPUTED_VALUE"""),33994.0)</f>
        <v>33994</v>
      </c>
      <c r="H517" s="7">
        <f>IFERROR(__xludf.DUMMYFUNCTION("""COMPUTED_VALUE"""),3.7173163E7)</f>
        <v>37173163</v>
      </c>
      <c r="I517" s="7">
        <f>IFERROR(__xludf.DUMMYFUNCTION("""COMPUTED_VALUE"""),3.512101784E9)</f>
        <v>3512101784</v>
      </c>
      <c r="J517" s="7" t="str">
        <f>IFERROR(__xludf.DUMMYFUNCTION("""COMPUTED_VALUE"""),"Recomendación")</f>
        <v>Recomendación</v>
      </c>
      <c r="K517" s="7" t="str">
        <f>IFERROR(__xludf.DUMMYFUNCTION("""COMPUTED_VALUE"""),"Particular")</f>
        <v>Particular</v>
      </c>
      <c r="L517" s="7"/>
      <c r="M517" s="7" t="str">
        <f>IFERROR(__xludf.DUMMYFUNCTION("""COMPUTED_VALUE"""),"Si")</f>
        <v>Si</v>
      </c>
      <c r="N517" s="7" t="str">
        <f>IFERROR(__xludf.DUMMYFUNCTION("""COMPUTED_VALUE"""),"Tenis y gim")</f>
        <v>Tenis y gim</v>
      </c>
      <c r="O517" s="7" t="str">
        <f>IFERROR(__xludf.DUMMYFUNCTION("""COMPUTED_VALUE"""),"3 a 5 veces por semana")</f>
        <v>3 a 5 veces por semana</v>
      </c>
      <c r="P517" s="7"/>
      <c r="Q517" s="7"/>
      <c r="R517" s="7"/>
      <c r="S517" s="7"/>
    </row>
    <row r="518">
      <c r="A518" s="7" t="str">
        <f t="shared" si="1"/>
        <v>Nieto, Bastian</v>
      </c>
      <c r="B518" s="7">
        <f>SUMIFS('bd caja'!$K$1:$K$1012,'bd caja'!$D$1:$D$1012,A518)</f>
        <v>0</v>
      </c>
      <c r="C518" s="19">
        <f>IFERROR(__xludf.DUMMYFUNCTION("""COMPUTED_VALUE"""),45401.81788851852)</f>
        <v>45401.81789</v>
      </c>
      <c r="D518" s="7" t="str">
        <f>IFERROR(__xludf.DUMMYFUNCTION("""COMPUTED_VALUE"""),"Nieto")</f>
        <v>Nieto</v>
      </c>
      <c r="E518" s="7" t="str">
        <f>IFERROR(__xludf.DUMMYFUNCTION("""COMPUTED_VALUE"""),"Bastian")</f>
        <v>Bastian</v>
      </c>
      <c r="F518" s="7" t="str">
        <f>IFERROR(__xludf.DUMMYFUNCTION("""COMPUTED_VALUE"""),"claudionieto2002@gmail.com")</f>
        <v>claudionieto2002@gmail.com</v>
      </c>
      <c r="G518" s="20">
        <f>IFERROR(__xludf.DUMMYFUNCTION("""COMPUTED_VALUE"""),41271.0)</f>
        <v>41271</v>
      </c>
      <c r="H518" s="7">
        <f>IFERROR(__xludf.DUMMYFUNCTION("""COMPUTED_VALUE"""),5.2862154E7)</f>
        <v>52862154</v>
      </c>
      <c r="I518" s="7">
        <f>IFERROR(__xludf.DUMMYFUNCTION("""COMPUTED_VALUE"""),3.515104601E9)</f>
        <v>3515104601</v>
      </c>
      <c r="J518" s="7" t="str">
        <f>IFERROR(__xludf.DUMMYFUNCTION("""COMPUTED_VALUE"""),"Voy al gym Manantial")</f>
        <v>Voy al gym Manantial</v>
      </c>
      <c r="K518" s="7" t="str">
        <f>IFERROR(__xludf.DUMMYFUNCTION("""COMPUTED_VALUE"""),"Obra social")</f>
        <v>Obra social</v>
      </c>
      <c r="L518" s="7"/>
      <c r="M518" s="7" t="str">
        <f>IFERROR(__xludf.DUMMYFUNCTION("""COMPUTED_VALUE"""),"Si")</f>
        <v>Si</v>
      </c>
      <c r="N518" s="7" t="str">
        <f>IFERROR(__xludf.DUMMYFUNCTION("""COMPUTED_VALUE"""),"Fútbol")</f>
        <v>Fútbol</v>
      </c>
      <c r="O518" s="7" t="str">
        <f>IFERROR(__xludf.DUMMYFUNCTION("""COMPUTED_VALUE"""),"3 a 5 veces por semana")</f>
        <v>3 a 5 veces por semana</v>
      </c>
      <c r="P518" s="7"/>
      <c r="Q518" s="7" t="str">
        <f>IFERROR(__xludf.DUMMYFUNCTION("""COMPUTED_VALUE"""),"Galeno ")</f>
        <v>Galeno </v>
      </c>
      <c r="R518" s="7"/>
      <c r="S518" s="7"/>
    </row>
    <row r="519">
      <c r="A519" s="7" t="str">
        <f t="shared" si="1"/>
        <v>Martínez , Dolores</v>
      </c>
      <c r="B519" s="7">
        <f>SUMIFS('bd caja'!$K$1:$K$1012,'bd caja'!$D$1:$D$1012,A519)</f>
        <v>0</v>
      </c>
      <c r="C519" s="19">
        <f>IFERROR(__xludf.DUMMYFUNCTION("""COMPUTED_VALUE"""),45404.686320023146)</f>
        <v>45404.68632</v>
      </c>
      <c r="D519" s="7" t="str">
        <f>IFERROR(__xludf.DUMMYFUNCTION("""COMPUTED_VALUE"""),"Martínez ")</f>
        <v>Martínez </v>
      </c>
      <c r="E519" s="7" t="str">
        <f>IFERROR(__xludf.DUMMYFUNCTION("""COMPUTED_VALUE"""),"Dolores")</f>
        <v>Dolores</v>
      </c>
      <c r="F519" s="7" t="str">
        <f>IFERROR(__xludf.DUMMYFUNCTION("""COMPUTED_VALUE"""),"doloresm.cervi@hotmail.com")</f>
        <v>doloresm.cervi@hotmail.com</v>
      </c>
      <c r="G519" s="20">
        <f>IFERROR(__xludf.DUMMYFUNCTION("""COMPUTED_VALUE"""),29369.0)</f>
        <v>29369</v>
      </c>
      <c r="H519" s="7">
        <f>IFERROR(__xludf.DUMMYFUNCTION("""COMPUTED_VALUE"""),2.8116737E7)</f>
        <v>28116737</v>
      </c>
      <c r="I519" s="7">
        <f>IFERROR(__xludf.DUMMYFUNCTION("""COMPUTED_VALUE"""),3.517069048E9)</f>
        <v>3517069048</v>
      </c>
      <c r="J519" s="7" t="str">
        <f>IFERROR(__xludf.DUMMYFUNCTION("""COMPUTED_VALUE"""),"Voy al gym Manantial")</f>
        <v>Voy al gym Manantial</v>
      </c>
      <c r="K519" s="7" t="str">
        <f>IFERROR(__xludf.DUMMYFUNCTION("""COMPUTED_VALUE"""),"Particular")</f>
        <v>Particular</v>
      </c>
      <c r="L519" s="7"/>
      <c r="M519" s="7" t="str">
        <f>IFERROR(__xludf.DUMMYFUNCTION("""COMPUTED_VALUE"""),"Si")</f>
        <v>Si</v>
      </c>
      <c r="N519" s="7" t="str">
        <f>IFERROR(__xludf.DUMMYFUNCTION("""COMPUTED_VALUE"""),"Yoga")</f>
        <v>Yoga</v>
      </c>
      <c r="O519" s="7" t="str">
        <f>IFERROR(__xludf.DUMMYFUNCTION("""COMPUTED_VALUE"""),"3 a 5 veces por semana")</f>
        <v>3 a 5 veces por semana</v>
      </c>
      <c r="P519" s="7"/>
      <c r="Q519" s="7"/>
      <c r="R519" s="7"/>
      <c r="S519" s="7"/>
    </row>
    <row r="520">
      <c r="A520" s="7" t="str">
        <f t="shared" si="1"/>
        <v>Bruno, Jonathan Gabriel</v>
      </c>
      <c r="B520" s="7">
        <f>SUMIFS('bd caja'!$K$1:$K$1012,'bd caja'!$D$1:$D$1012,A520)</f>
        <v>0</v>
      </c>
      <c r="C520" s="19">
        <f>IFERROR(__xludf.DUMMYFUNCTION("""COMPUTED_VALUE"""),45406.44570615741)</f>
        <v>45406.44571</v>
      </c>
      <c r="D520" s="7" t="str">
        <f>IFERROR(__xludf.DUMMYFUNCTION("""COMPUTED_VALUE"""),"Bruno")</f>
        <v>Bruno</v>
      </c>
      <c r="E520" s="7" t="str">
        <f>IFERROR(__xludf.DUMMYFUNCTION("""COMPUTED_VALUE"""),"Jonathan Gabriel")</f>
        <v>Jonathan Gabriel</v>
      </c>
      <c r="F520" s="7" t="str">
        <f>IFERROR(__xludf.DUMMYFUNCTION("""COMPUTED_VALUE"""),"Gabrielbrunoo2016@gmail.com")</f>
        <v>Gabrielbrunoo2016@gmail.com</v>
      </c>
      <c r="G520" s="20">
        <f>IFERROR(__xludf.DUMMYFUNCTION("""COMPUTED_VALUE"""),33957.0)</f>
        <v>33957</v>
      </c>
      <c r="H520" s="7">
        <f>IFERROR(__xludf.DUMMYFUNCTION("""COMPUTED_VALUE"""),3.9623224E7)</f>
        <v>39623224</v>
      </c>
      <c r="I520" s="7">
        <f>IFERROR(__xludf.DUMMYFUNCTION("""COMPUTED_VALUE"""),3.513165576E9)</f>
        <v>3513165576</v>
      </c>
      <c r="J520" s="7" t="str">
        <f>IFERROR(__xludf.DUMMYFUNCTION("""COMPUTED_VALUE"""),"Recomendación")</f>
        <v>Recomendación</v>
      </c>
      <c r="K520" s="7" t="str">
        <f>IFERROR(__xludf.DUMMYFUNCTION("""COMPUTED_VALUE"""),"Particular")</f>
        <v>Particular</v>
      </c>
      <c r="L520" s="7"/>
      <c r="M520" s="7" t="str">
        <f>IFERROR(__xludf.DUMMYFUNCTION("""COMPUTED_VALUE"""),"Si")</f>
        <v>Si</v>
      </c>
      <c r="N520" s="7" t="str">
        <f>IFERROR(__xludf.DUMMYFUNCTION("""COMPUTED_VALUE"""),"Fútbol")</f>
        <v>Fútbol</v>
      </c>
      <c r="O520" s="7" t="str">
        <f>IFERROR(__xludf.DUMMYFUNCTION("""COMPUTED_VALUE"""),"1 a 2 veces por semana")</f>
        <v>1 a 2 veces por semana</v>
      </c>
      <c r="P520" s="7"/>
      <c r="Q520" s="7"/>
      <c r="R520" s="7"/>
      <c r="S520" s="7"/>
    </row>
    <row r="521">
      <c r="A521" s="7" t="str">
        <f t="shared" si="1"/>
        <v>Nuccetelli , Federico </v>
      </c>
      <c r="B521" s="7">
        <f>SUMIFS('bd caja'!$K$1:$K$1012,'bd caja'!$D$1:$D$1012,A521)</f>
        <v>0</v>
      </c>
      <c r="C521" s="19">
        <f>IFERROR(__xludf.DUMMYFUNCTION("""COMPUTED_VALUE"""),45406.495976562495)</f>
        <v>45406.49598</v>
      </c>
      <c r="D521" s="7" t="str">
        <f>IFERROR(__xludf.DUMMYFUNCTION("""COMPUTED_VALUE"""),"Nuccetelli ")</f>
        <v>Nuccetelli </v>
      </c>
      <c r="E521" s="7" t="str">
        <f>IFERROR(__xludf.DUMMYFUNCTION("""COMPUTED_VALUE"""),"Federico ")</f>
        <v>Federico </v>
      </c>
      <c r="F521" s="7" t="str">
        <f>IFERROR(__xludf.DUMMYFUNCTION("""COMPUTED_VALUE"""),"fedenuche@gmail.com")</f>
        <v>fedenuche@gmail.com</v>
      </c>
      <c r="G521" s="20">
        <f>IFERROR(__xludf.DUMMYFUNCTION("""COMPUTED_VALUE"""),29269.0)</f>
        <v>29269</v>
      </c>
      <c r="H521" s="7">
        <f>IFERROR(__xludf.DUMMYFUNCTION("""COMPUTED_VALUE"""),2.79598E7)</f>
        <v>27959800</v>
      </c>
      <c r="I521" s="7">
        <f>IFERROR(__xludf.DUMMYFUNCTION("""COMPUTED_VALUE"""),3.512378483E9)</f>
        <v>3512378483</v>
      </c>
      <c r="J521" s="7" t="str">
        <f>IFERROR(__xludf.DUMMYFUNCTION("""COMPUTED_VALUE"""),"Recomendación")</f>
        <v>Recomendación</v>
      </c>
      <c r="K521" s="7" t="str">
        <f>IFERROR(__xludf.DUMMYFUNCTION("""COMPUTED_VALUE"""),"Obra social")</f>
        <v>Obra social</v>
      </c>
      <c r="L521" s="7"/>
      <c r="M521" s="7" t="str">
        <f>IFERROR(__xludf.DUMMYFUNCTION("""COMPUTED_VALUE"""),"Si")</f>
        <v>Si</v>
      </c>
      <c r="N521" s="7" t="str">
        <f>IFERROR(__xludf.DUMMYFUNCTION("""COMPUTED_VALUE"""),"Jiujitsu brasilero ")</f>
        <v>Jiujitsu brasilero </v>
      </c>
      <c r="O521" s="7" t="str">
        <f>IFERROR(__xludf.DUMMYFUNCTION("""COMPUTED_VALUE"""),"1 a 2 veces por semana")</f>
        <v>1 a 2 veces por semana</v>
      </c>
      <c r="P521" s="7"/>
      <c r="Q521" s="7" t="str">
        <f>IFERROR(__xludf.DUMMYFUNCTION("""COMPUTED_VALUE"""),"DASPU")</f>
        <v>DASPU</v>
      </c>
      <c r="R521" s="7"/>
      <c r="S521" s="7"/>
    </row>
    <row r="522">
      <c r="A522" s="7" t="str">
        <f t="shared" si="1"/>
        <v>Pacher, Maria Eugenia </v>
      </c>
      <c r="B522" s="7">
        <f>SUMIFS('bd caja'!$K$1:$K$1012,'bd caja'!$D$1:$D$1012,A522)</f>
        <v>0</v>
      </c>
      <c r="C522" s="19">
        <f>IFERROR(__xludf.DUMMYFUNCTION("""COMPUTED_VALUE"""),45406.841478993054)</f>
        <v>45406.84148</v>
      </c>
      <c r="D522" s="7" t="str">
        <f>IFERROR(__xludf.DUMMYFUNCTION("""COMPUTED_VALUE"""),"Pacher")</f>
        <v>Pacher</v>
      </c>
      <c r="E522" s="7" t="str">
        <f>IFERROR(__xludf.DUMMYFUNCTION("""COMPUTED_VALUE"""),"Maria Eugenia ")</f>
        <v>Maria Eugenia </v>
      </c>
      <c r="F522" s="7" t="str">
        <f>IFERROR(__xludf.DUMMYFUNCTION("""COMPUTED_VALUE"""),"mepacher2016@gmail.com")</f>
        <v>mepacher2016@gmail.com</v>
      </c>
      <c r="G522" s="20">
        <f>IFERROR(__xludf.DUMMYFUNCTION("""COMPUTED_VALUE"""),28362.0)</f>
        <v>28362</v>
      </c>
      <c r="H522" s="7">
        <f>IFERROR(__xludf.DUMMYFUNCTION("""COMPUTED_VALUE"""),2.6150128E7)</f>
        <v>26150128</v>
      </c>
      <c r="I522" s="7">
        <f>IFERROR(__xludf.DUMMYFUNCTION("""COMPUTED_VALUE"""),3.513573431E9)</f>
        <v>3513573431</v>
      </c>
      <c r="J522" s="7" t="str">
        <f>IFERROR(__xludf.DUMMYFUNCTION("""COMPUTED_VALUE"""),"Google")</f>
        <v>Google</v>
      </c>
      <c r="K522" s="7" t="str">
        <f>IFERROR(__xludf.DUMMYFUNCTION("""COMPUTED_VALUE"""),"Particular")</f>
        <v>Particular</v>
      </c>
      <c r="L522" s="7"/>
      <c r="M522" s="7" t="str">
        <f>IFERROR(__xludf.DUMMYFUNCTION("""COMPUTED_VALUE"""),"Si")</f>
        <v>Si</v>
      </c>
      <c r="N522" s="7" t="str">
        <f>IFERROR(__xludf.DUMMYFUNCTION("""COMPUTED_VALUE"""),"Zumba")</f>
        <v>Zumba</v>
      </c>
      <c r="O522" s="7" t="str">
        <f>IFERROR(__xludf.DUMMYFUNCTION("""COMPUTED_VALUE"""),"1 a 2 veces por semana")</f>
        <v>1 a 2 veces por semana</v>
      </c>
      <c r="P522" s="7"/>
      <c r="Q522" s="7"/>
      <c r="R522" s="7"/>
      <c r="S522" s="7"/>
    </row>
    <row r="523">
      <c r="A523" s="7" t="str">
        <f t="shared" si="1"/>
        <v>Nores, Nicolas Luis</v>
      </c>
      <c r="B523" s="7">
        <f>SUMIFS('bd caja'!$K$1:$K$1012,'bd caja'!$D$1:$D$1012,A523)</f>
        <v>0</v>
      </c>
      <c r="C523" s="19">
        <f>IFERROR(__xludf.DUMMYFUNCTION("""COMPUTED_VALUE"""),45411.37984606481)</f>
        <v>45411.37985</v>
      </c>
      <c r="D523" s="7" t="str">
        <f>IFERROR(__xludf.DUMMYFUNCTION("""COMPUTED_VALUE"""),"Nores")</f>
        <v>Nores</v>
      </c>
      <c r="E523" s="7" t="str">
        <f>IFERROR(__xludf.DUMMYFUNCTION("""COMPUTED_VALUE"""),"Nicolas Luis")</f>
        <v>Nicolas Luis</v>
      </c>
      <c r="F523" s="7" t="str">
        <f>IFERROR(__xludf.DUMMYFUNCTION("""COMPUTED_VALUE"""),"niconores@hotmail.com")</f>
        <v>niconores@hotmail.com</v>
      </c>
      <c r="G523" s="20">
        <f>IFERROR(__xludf.DUMMYFUNCTION("""COMPUTED_VALUE"""),29247.0)</f>
        <v>29247</v>
      </c>
      <c r="H523" s="7">
        <f>IFERROR(__xludf.DUMMYFUNCTION("""COMPUTED_VALUE"""),2.7955579E7)</f>
        <v>27955579</v>
      </c>
      <c r="I523" s="7">
        <f>IFERROR(__xludf.DUMMYFUNCTION("""COMPUTED_VALUE"""),3.515317848E9)</f>
        <v>3515317848</v>
      </c>
      <c r="J523" s="7" t="str">
        <f>IFERROR(__xludf.DUMMYFUNCTION("""COMPUTED_VALUE"""),"Google")</f>
        <v>Google</v>
      </c>
      <c r="K523" s="7" t="str">
        <f>IFERROR(__xludf.DUMMYFUNCTION("""COMPUTED_VALUE"""),"Obra social")</f>
        <v>Obra social</v>
      </c>
      <c r="L523" s="7"/>
      <c r="M523" s="7" t="str">
        <f>IFERROR(__xludf.DUMMYFUNCTION("""COMPUTED_VALUE"""),"Si")</f>
        <v>Si</v>
      </c>
      <c r="N523" s="7" t="str">
        <f>IFERROR(__xludf.DUMMYFUNCTION("""COMPUTED_VALUE"""),"tenis")</f>
        <v>tenis</v>
      </c>
      <c r="O523" s="7" t="str">
        <f>IFERROR(__xludf.DUMMYFUNCTION("""COMPUTED_VALUE"""),"1 a 2 veces por semana")</f>
        <v>1 a 2 veces por semana</v>
      </c>
      <c r="P523" s="7"/>
      <c r="Q523" s="7" t="str">
        <f>IFERROR(__xludf.DUMMYFUNCTION("""COMPUTED_VALUE"""),"PREVENCIÓN")</f>
        <v>PREVENCIÓN</v>
      </c>
      <c r="R523" s="7"/>
      <c r="S523" s="7"/>
    </row>
    <row r="524">
      <c r="A524" s="7" t="str">
        <f t="shared" si="1"/>
        <v>Acosta, Ezequiel</v>
      </c>
      <c r="B524" s="7">
        <f>SUMIFS('bd caja'!$K$1:$K$1012,'bd caja'!$D$1:$D$1012,A524)</f>
        <v>0</v>
      </c>
      <c r="C524" s="19">
        <f>IFERROR(__xludf.DUMMYFUNCTION("""COMPUTED_VALUE"""),45411.79094399305)</f>
        <v>45411.79094</v>
      </c>
      <c r="D524" s="7" t="str">
        <f>IFERROR(__xludf.DUMMYFUNCTION("""COMPUTED_VALUE"""),"Acosta")</f>
        <v>Acosta</v>
      </c>
      <c r="E524" s="7" t="str">
        <f>IFERROR(__xludf.DUMMYFUNCTION("""COMPUTED_VALUE"""),"Ezequiel")</f>
        <v>Ezequiel</v>
      </c>
      <c r="F524" s="7" t="str">
        <f>IFERROR(__xludf.DUMMYFUNCTION("""COMPUTED_VALUE"""),"ezequielacosta1992@gmail.com")</f>
        <v>ezequielacosta1992@gmail.com</v>
      </c>
      <c r="G524" s="20">
        <f>IFERROR(__xludf.DUMMYFUNCTION("""COMPUTED_VALUE"""),33903.0)</f>
        <v>33903</v>
      </c>
      <c r="H524" s="7">
        <f>IFERROR(__xludf.DUMMYFUNCTION("""COMPUTED_VALUE"""),3.7084528E7)</f>
        <v>37084528</v>
      </c>
      <c r="I524" s="7">
        <f>IFERROR(__xludf.DUMMYFUNCTION("""COMPUTED_VALUE"""),3.513395407E9)</f>
        <v>3513395407</v>
      </c>
      <c r="J524" s="7" t="str">
        <f>IFERROR(__xludf.DUMMYFUNCTION("""COMPUTED_VALUE"""),"Recomendación")</f>
        <v>Recomendación</v>
      </c>
      <c r="K524" s="7" t="str">
        <f>IFERROR(__xludf.DUMMYFUNCTION("""COMPUTED_VALUE"""),"Obra social")</f>
        <v>Obra social</v>
      </c>
      <c r="L524" s="7"/>
      <c r="M524" s="7" t="str">
        <f>IFERROR(__xludf.DUMMYFUNCTION("""COMPUTED_VALUE"""),"Si")</f>
        <v>Si</v>
      </c>
      <c r="N524" s="7" t="str">
        <f>IFERROR(__xludf.DUMMYFUNCTION("""COMPUTED_VALUE"""),"Fútbol")</f>
        <v>Fútbol</v>
      </c>
      <c r="O524" s="7" t="str">
        <f>IFERROR(__xludf.DUMMYFUNCTION("""COMPUTED_VALUE"""),"1 a 2 veces por semana")</f>
        <v>1 a 2 veces por semana</v>
      </c>
      <c r="P524" s="7"/>
      <c r="Q524" s="7" t="str">
        <f>IFERROR(__xludf.DUMMYFUNCTION("""COMPUTED_VALUE"""),"APROSS")</f>
        <v>APROSS</v>
      </c>
      <c r="R524" s="7"/>
      <c r="S524" s="7"/>
    </row>
    <row r="525">
      <c r="A525" s="7" t="str">
        <f t="shared" si="1"/>
        <v>bonetto, Alicia Beatriz</v>
      </c>
      <c r="B525" s="7">
        <f>SUMIFS('bd caja'!$K$1:$K$1012,'bd caja'!$D$1:$D$1012,A525)</f>
        <v>0</v>
      </c>
      <c r="C525" s="19">
        <f>IFERROR(__xludf.DUMMYFUNCTION("""COMPUTED_VALUE"""),45414.83301472222)</f>
        <v>45414.83301</v>
      </c>
      <c r="D525" s="7" t="str">
        <f>IFERROR(__xludf.DUMMYFUNCTION("""COMPUTED_VALUE"""),"bonetto")</f>
        <v>bonetto</v>
      </c>
      <c r="E525" s="7" t="str">
        <f>IFERROR(__xludf.DUMMYFUNCTION("""COMPUTED_VALUE"""),"Alicia Beatriz")</f>
        <v>Alicia Beatriz</v>
      </c>
      <c r="F525" s="7" t="str">
        <f>IFERROR(__xludf.DUMMYFUNCTION("""COMPUTED_VALUE"""),"aliciabbonetto@gmail.com")</f>
        <v>aliciabbonetto@gmail.com</v>
      </c>
      <c r="G525" s="20">
        <f>IFERROR(__xludf.DUMMYFUNCTION("""COMPUTED_VALUE"""),21102.0)</f>
        <v>21102</v>
      </c>
      <c r="H525" s="7">
        <f>IFERROR(__xludf.DUMMYFUNCTION("""COMPUTED_VALUE"""),1.3584803E7)</f>
        <v>13584803</v>
      </c>
      <c r="I525" s="7">
        <f>IFERROR(__xludf.DUMMYFUNCTION("""COMPUTED_VALUE"""),3.516465446E9)</f>
        <v>3516465446</v>
      </c>
      <c r="J525" s="7" t="str">
        <f>IFERROR(__xludf.DUMMYFUNCTION("""COMPUTED_VALUE"""),"Recomendación")</f>
        <v>Recomendación</v>
      </c>
      <c r="K525" s="7" t="str">
        <f>IFERROR(__xludf.DUMMYFUNCTION("""COMPUTED_VALUE"""),"Obra social")</f>
        <v>Obra social</v>
      </c>
      <c r="L525" s="7"/>
      <c r="M525" s="7" t="str">
        <f>IFERROR(__xludf.DUMMYFUNCTION("""COMPUTED_VALUE"""),"Si")</f>
        <v>Si</v>
      </c>
      <c r="N525" s="7" t="str">
        <f>IFERROR(__xludf.DUMMYFUNCTION("""COMPUTED_VALUE"""),"pilates, Tap y ,caminata")</f>
        <v>pilates, Tap y ,caminata</v>
      </c>
      <c r="O525" s="7" t="str">
        <f>IFERROR(__xludf.DUMMYFUNCTION("""COMPUTED_VALUE"""),"3 a 5 veces por semana")</f>
        <v>3 a 5 veces por semana</v>
      </c>
      <c r="P525" s="7"/>
      <c r="Q525" s="7" t="str">
        <f>IFERROR(__xludf.DUMMYFUNCTION("""COMPUTED_VALUE"""),"APROSS")</f>
        <v>APROSS</v>
      </c>
      <c r="R525" s="7"/>
      <c r="S525" s="7"/>
    </row>
    <row r="526">
      <c r="A526" s="7" t="str">
        <f t="shared" si="1"/>
        <v>Moreno Salinas, Camila</v>
      </c>
      <c r="B526" s="7">
        <f>SUMIFS('bd caja'!$K$1:$K$1012,'bd caja'!$D$1:$D$1012,A526)</f>
        <v>0</v>
      </c>
      <c r="C526" s="19">
        <f>IFERROR(__xludf.DUMMYFUNCTION("""COMPUTED_VALUE"""),45415.44258420139)</f>
        <v>45415.44258</v>
      </c>
      <c r="D526" s="7" t="str">
        <f>IFERROR(__xludf.DUMMYFUNCTION("""COMPUTED_VALUE"""),"Moreno Salinas")</f>
        <v>Moreno Salinas</v>
      </c>
      <c r="E526" s="7" t="str">
        <f>IFERROR(__xludf.DUMMYFUNCTION("""COMPUTED_VALUE"""),"Camila")</f>
        <v>Camila</v>
      </c>
      <c r="F526" s="7" t="str">
        <f>IFERROR(__xludf.DUMMYFUNCTION("""COMPUTED_VALUE"""),"silvia.salinas78@gmail.com")</f>
        <v>silvia.salinas78@gmail.com</v>
      </c>
      <c r="G526" s="20">
        <f>IFERROR(__xludf.DUMMYFUNCTION("""COMPUTED_VALUE"""),40415.0)</f>
        <v>40415</v>
      </c>
      <c r="H526" s="7">
        <f>IFERROR(__xludf.DUMMYFUNCTION("""COMPUTED_VALUE"""),5.0422101E7)</f>
        <v>50422101</v>
      </c>
      <c r="I526" s="7">
        <f>IFERROR(__xludf.DUMMYFUNCTION("""COMPUTED_VALUE"""),3.513929219E9)</f>
        <v>3513929219</v>
      </c>
      <c r="J526" s="7" t="str">
        <f>IFERROR(__xludf.DUMMYFUNCTION("""COMPUTED_VALUE"""),"ya fuimos varias veces ")</f>
        <v>ya fuimos varias veces </v>
      </c>
      <c r="K526" s="7" t="str">
        <f>IFERROR(__xludf.DUMMYFUNCTION("""COMPUTED_VALUE"""),"Particular")</f>
        <v>Particular</v>
      </c>
      <c r="L526" s="7"/>
      <c r="M526" s="7" t="str">
        <f>IFERROR(__xludf.DUMMYFUNCTION("""COMPUTED_VALUE"""),"Si")</f>
        <v>Si</v>
      </c>
      <c r="N526" s="7" t="str">
        <f>IFERROR(__xludf.DUMMYFUNCTION("""COMPUTED_VALUE"""),"Básquet")</f>
        <v>Básquet</v>
      </c>
      <c r="O526" s="7" t="str">
        <f>IFERROR(__xludf.DUMMYFUNCTION("""COMPUTED_VALUE"""),"3 a 5 veces por semana")</f>
        <v>3 a 5 veces por semana</v>
      </c>
      <c r="P526" s="7"/>
      <c r="Q526" s="7"/>
      <c r="R526" s="7"/>
      <c r="S526" s="7"/>
    </row>
    <row r="527">
      <c r="A527" s="7" t="str">
        <f t="shared" si="1"/>
        <v>Sanchez , Eliana </v>
      </c>
      <c r="B527" s="7">
        <f>SUMIFS('bd caja'!$K$1:$K$1012,'bd caja'!$D$1:$D$1012,A527)</f>
        <v>0</v>
      </c>
      <c r="C527" s="19">
        <f>IFERROR(__xludf.DUMMYFUNCTION("""COMPUTED_VALUE"""),45415.508632418976)</f>
        <v>45415.50863</v>
      </c>
      <c r="D527" s="7" t="str">
        <f>IFERROR(__xludf.DUMMYFUNCTION("""COMPUTED_VALUE"""),"Sanchez ")</f>
        <v>Sanchez </v>
      </c>
      <c r="E527" s="7" t="str">
        <f>IFERROR(__xludf.DUMMYFUNCTION("""COMPUTED_VALUE"""),"Eliana ")</f>
        <v>Eliana </v>
      </c>
      <c r="F527" s="7" t="str">
        <f>IFERROR(__xludf.DUMMYFUNCTION("""COMPUTED_VALUE"""),"eli.sanchez@hotmail.com")</f>
        <v>eli.sanchez@hotmail.com</v>
      </c>
      <c r="G527" s="20">
        <f>IFERROR(__xludf.DUMMYFUNCTION("""COMPUTED_VALUE"""),33292.0)</f>
        <v>33292</v>
      </c>
      <c r="H527" s="7">
        <f>IFERROR(__xludf.DUMMYFUNCTION("""COMPUTED_VALUE"""),3.5575853E7)</f>
        <v>35575853</v>
      </c>
      <c r="I527" s="7">
        <f>IFERROR(__xludf.DUMMYFUNCTION("""COMPUTED_VALUE"""),3.512488931E9)</f>
        <v>3512488931</v>
      </c>
      <c r="J527" s="7" t="str">
        <f>IFERROR(__xludf.DUMMYFUNCTION("""COMPUTED_VALUE"""),"Recomendación")</f>
        <v>Recomendación</v>
      </c>
      <c r="K527" s="7" t="str">
        <f>IFERROR(__xludf.DUMMYFUNCTION("""COMPUTED_VALUE"""),"Obra social")</f>
        <v>Obra social</v>
      </c>
      <c r="L527" s="7"/>
      <c r="M527" s="7" t="str">
        <f>IFERROR(__xludf.DUMMYFUNCTION("""COMPUTED_VALUE"""),"Si")</f>
        <v>Si</v>
      </c>
      <c r="N527" s="7" t="str">
        <f>IFERROR(__xludf.DUMMYFUNCTION("""COMPUTED_VALUE"""),"Fútbol")</f>
        <v>Fútbol</v>
      </c>
      <c r="O527" s="7" t="str">
        <f>IFERROR(__xludf.DUMMYFUNCTION("""COMPUTED_VALUE"""),"1 a 2 veces por semana")</f>
        <v>1 a 2 veces por semana</v>
      </c>
      <c r="P527" s="7"/>
      <c r="Q527" s="7" t="str">
        <f>IFERROR(__xludf.DUMMYFUNCTION("""COMPUTED_VALUE"""),"SANCOR")</f>
        <v>SANCOR</v>
      </c>
      <c r="R527" s="7"/>
      <c r="S527" s="7"/>
    </row>
    <row r="528">
      <c r="A528" s="7" t="str">
        <f t="shared" si="1"/>
        <v>Menacho, David</v>
      </c>
      <c r="B528" s="7">
        <f>SUMIFS('bd caja'!$K$1:$K$1012,'bd caja'!$D$1:$D$1012,A528)</f>
        <v>0</v>
      </c>
      <c r="C528" s="19">
        <f>IFERROR(__xludf.DUMMYFUNCTION("""COMPUTED_VALUE"""),45415.7299703125)</f>
        <v>45415.72997</v>
      </c>
      <c r="D528" s="7" t="str">
        <f>IFERROR(__xludf.DUMMYFUNCTION("""COMPUTED_VALUE"""),"Menacho")</f>
        <v>Menacho</v>
      </c>
      <c r="E528" s="7" t="str">
        <f>IFERROR(__xludf.DUMMYFUNCTION("""COMPUTED_VALUE"""),"David")</f>
        <v>David</v>
      </c>
      <c r="F528" s="7" t="str">
        <f>IFERROR(__xludf.DUMMYFUNCTION("""COMPUTED_VALUE"""),"davidmenacho@hotmail.com")</f>
        <v>davidmenacho@hotmail.com</v>
      </c>
      <c r="G528" s="20">
        <f>IFERROR(__xludf.DUMMYFUNCTION("""COMPUTED_VALUE"""),29304.0)</f>
        <v>29304</v>
      </c>
      <c r="H528" s="7">
        <f>IFERROR(__xludf.DUMMYFUNCTION("""COMPUTED_VALUE"""),2.7956744E7)</f>
        <v>27956744</v>
      </c>
      <c r="I528" s="7">
        <f>IFERROR(__xludf.DUMMYFUNCTION("""COMPUTED_VALUE"""),3.516167281E9)</f>
        <v>3516167281</v>
      </c>
      <c r="J528" s="7" t="str">
        <f>IFERROR(__xludf.DUMMYFUNCTION("""COMPUTED_VALUE"""),"Recomendación")</f>
        <v>Recomendación</v>
      </c>
      <c r="K528" s="7" t="str">
        <f>IFERROR(__xludf.DUMMYFUNCTION("""COMPUTED_VALUE"""),"Particular")</f>
        <v>Particular</v>
      </c>
      <c r="L528" s="7"/>
      <c r="M528" s="7" t="str">
        <f>IFERROR(__xludf.DUMMYFUNCTION("""COMPUTED_VALUE"""),"Si")</f>
        <v>Si</v>
      </c>
      <c r="N528" s="7" t="str">
        <f>IFERROR(__xludf.DUMMYFUNCTION("""COMPUTED_VALUE"""),"Profe de Arte Marciales")</f>
        <v>Profe de Arte Marciales</v>
      </c>
      <c r="O528" s="7" t="str">
        <f>IFERROR(__xludf.DUMMYFUNCTION("""COMPUTED_VALUE"""),"3 a 5 veces por semana")</f>
        <v>3 a 5 veces por semana</v>
      </c>
      <c r="P528" s="7"/>
      <c r="Q528" s="7"/>
      <c r="R528" s="7"/>
      <c r="S528" s="7"/>
    </row>
    <row r="529">
      <c r="A529" s="7" t="str">
        <f t="shared" si="1"/>
        <v>PARASKEVOPULOS, Marco Antonio </v>
      </c>
      <c r="B529" s="7">
        <f>SUMIFS('bd caja'!$K$1:$K$1012,'bd caja'!$D$1:$D$1012,A529)</f>
        <v>0</v>
      </c>
      <c r="C529" s="19">
        <f>IFERROR(__xludf.DUMMYFUNCTION("""COMPUTED_VALUE"""),45417.783245370374)</f>
        <v>45417.78325</v>
      </c>
      <c r="D529" s="7" t="str">
        <f>IFERROR(__xludf.DUMMYFUNCTION("""COMPUTED_VALUE"""),"PARASKEVOPULOS")</f>
        <v>PARASKEVOPULOS</v>
      </c>
      <c r="E529" s="7" t="str">
        <f>IFERROR(__xludf.DUMMYFUNCTION("""COMPUTED_VALUE"""),"Marco Antonio ")</f>
        <v>Marco Antonio </v>
      </c>
      <c r="F529" s="7" t="str">
        <f>IFERROR(__xludf.DUMMYFUNCTION("""COMPUTED_VALUE"""),"marcoantonioparask@gmail.com")</f>
        <v>marcoantonioparask@gmail.com</v>
      </c>
      <c r="G529" s="20">
        <f>IFERROR(__xludf.DUMMYFUNCTION("""COMPUTED_VALUE"""),-663384.0)</f>
        <v>-663384</v>
      </c>
      <c r="H529" s="7">
        <f>IFERROR(__xludf.DUMMYFUNCTION("""COMPUTED_VALUE"""),3.0470882E7)</f>
        <v>30470882</v>
      </c>
      <c r="I529" s="7">
        <f>IFERROR(__xludf.DUMMYFUNCTION("""COMPUTED_VALUE"""),3.515631822E9)</f>
        <v>3515631822</v>
      </c>
      <c r="J529" s="7" t="str">
        <f>IFERROR(__xludf.DUMMYFUNCTION("""COMPUTED_VALUE"""),"Facebook")</f>
        <v>Facebook</v>
      </c>
      <c r="K529" s="7" t="str">
        <f>IFERROR(__xludf.DUMMYFUNCTION("""COMPUTED_VALUE"""),"Particular")</f>
        <v>Particular</v>
      </c>
      <c r="L529" s="7"/>
      <c r="M529" s="7" t="str">
        <f>IFERROR(__xludf.DUMMYFUNCTION("""COMPUTED_VALUE"""),"No")</f>
        <v>No</v>
      </c>
      <c r="N529" s="7"/>
      <c r="O529" s="7"/>
      <c r="P529" s="7"/>
      <c r="Q529" s="7"/>
      <c r="R529" s="7"/>
      <c r="S529" s="7"/>
    </row>
    <row r="530">
      <c r="A530" s="7" t="str">
        <f t="shared" si="1"/>
        <v>vaschetti, mariano</v>
      </c>
      <c r="B530" s="7">
        <f>SUMIFS('bd caja'!$K$1:$K$1012,'bd caja'!$D$1:$D$1012,A530)</f>
        <v>0</v>
      </c>
      <c r="C530" s="19">
        <f>IFERROR(__xludf.DUMMYFUNCTION("""COMPUTED_VALUE"""),45418.499055532404)</f>
        <v>45418.49906</v>
      </c>
      <c r="D530" s="7" t="str">
        <f>IFERROR(__xludf.DUMMYFUNCTION("""COMPUTED_VALUE"""),"vaschetti")</f>
        <v>vaschetti</v>
      </c>
      <c r="E530" s="7" t="str">
        <f>IFERROR(__xludf.DUMMYFUNCTION("""COMPUTED_VALUE"""),"mariano")</f>
        <v>mariano</v>
      </c>
      <c r="F530" s="7" t="str">
        <f>IFERROR(__xludf.DUMMYFUNCTION("""COMPUTED_VALUE"""),"mvaschetti@hotmail.com")</f>
        <v>mvaschetti@hotmail.com</v>
      </c>
      <c r="G530" s="20">
        <f>IFERROR(__xludf.DUMMYFUNCTION("""COMPUTED_VALUE"""),30940.0)</f>
        <v>30940</v>
      </c>
      <c r="H530" s="7">
        <f>IFERROR(__xludf.DUMMYFUNCTION("""COMPUTED_VALUE"""),3.1056377E7)</f>
        <v>31056377</v>
      </c>
      <c r="I530" s="7">
        <f>IFERROR(__xludf.DUMMYFUNCTION("""COMPUTED_VALUE"""),3.517674577E9)</f>
        <v>3517674577</v>
      </c>
      <c r="J530" s="7" t="str">
        <f>IFERROR(__xludf.DUMMYFUNCTION("""COMPUTED_VALUE"""),"Recomendación")</f>
        <v>Recomendación</v>
      </c>
      <c r="K530" s="7" t="str">
        <f>IFERROR(__xludf.DUMMYFUNCTION("""COMPUTED_VALUE"""),"Obra social")</f>
        <v>Obra social</v>
      </c>
      <c r="L530" s="7"/>
      <c r="M530" s="7" t="str">
        <f>IFERROR(__xludf.DUMMYFUNCTION("""COMPUTED_VALUE"""),"Si")</f>
        <v>Si</v>
      </c>
      <c r="N530" s="7" t="str">
        <f>IFERROR(__xludf.DUMMYFUNCTION("""COMPUTED_VALUE"""),"padel, bici")</f>
        <v>padel, bici</v>
      </c>
      <c r="O530" s="7" t="str">
        <f>IFERROR(__xludf.DUMMYFUNCTION("""COMPUTED_VALUE"""),"3 a 5 veces por semana")</f>
        <v>3 a 5 veces por semana</v>
      </c>
      <c r="P530" s="7"/>
      <c r="Q530" s="7" t="str">
        <f>IFERROR(__xludf.DUMMYFUNCTION("""COMPUTED_VALUE"""),"SANCOR")</f>
        <v>SANCOR</v>
      </c>
      <c r="R530" s="7"/>
      <c r="S530" s="7"/>
    </row>
    <row r="531">
      <c r="A531" s="7" t="str">
        <f t="shared" si="1"/>
        <v>Armando, Marcos Ezequiel</v>
      </c>
      <c r="B531" s="7">
        <f>SUMIFS('bd caja'!$K$1:$K$1012,'bd caja'!$D$1:$D$1012,A531)</f>
        <v>0</v>
      </c>
      <c r="C531" s="19">
        <f>IFERROR(__xludf.DUMMYFUNCTION("""COMPUTED_VALUE"""),45418.54224047453)</f>
        <v>45418.54224</v>
      </c>
      <c r="D531" s="7" t="str">
        <f>IFERROR(__xludf.DUMMYFUNCTION("""COMPUTED_VALUE"""),"Armando")</f>
        <v>Armando</v>
      </c>
      <c r="E531" s="7" t="str">
        <f>IFERROR(__xludf.DUMMYFUNCTION("""COMPUTED_VALUE"""),"Marcos Ezequiel")</f>
        <v>Marcos Ezequiel</v>
      </c>
      <c r="F531" s="7" t="str">
        <f>IFERROR(__xludf.DUMMYFUNCTION("""COMPUTED_VALUE"""),"marcos.armando1@gmail.com")</f>
        <v>marcos.armando1@gmail.com</v>
      </c>
      <c r="G531" s="20">
        <f>IFERROR(__xludf.DUMMYFUNCTION("""COMPUTED_VALUE"""),32509.0)</f>
        <v>32509</v>
      </c>
      <c r="H531" s="7">
        <f>IFERROR(__xludf.DUMMYFUNCTION("""COMPUTED_VALUE"""),3.4130395E7)</f>
        <v>34130395</v>
      </c>
      <c r="I531" s="7">
        <f>IFERROR(__xludf.DUMMYFUNCTION("""COMPUTED_VALUE"""),3.513887184E9)</f>
        <v>3513887184</v>
      </c>
      <c r="J531" s="7" t="str">
        <f>IFERROR(__xludf.DUMMYFUNCTION("""COMPUTED_VALUE"""),"Google")</f>
        <v>Google</v>
      </c>
      <c r="K531" s="7" t="str">
        <f>IFERROR(__xludf.DUMMYFUNCTION("""COMPUTED_VALUE"""),"Obra social")</f>
        <v>Obra social</v>
      </c>
      <c r="L531" s="7"/>
      <c r="M531" s="7" t="str">
        <f>IFERROR(__xludf.DUMMYFUNCTION("""COMPUTED_VALUE"""),"Si")</f>
        <v>Si</v>
      </c>
      <c r="N531" s="7" t="str">
        <f>IFERROR(__xludf.DUMMYFUNCTION("""COMPUTED_VALUE"""),"Fútbol")</f>
        <v>Fútbol</v>
      </c>
      <c r="O531" s="7" t="str">
        <f>IFERROR(__xludf.DUMMYFUNCTION("""COMPUTED_VALUE"""),"3 a 5 veces por semana")</f>
        <v>3 a 5 veces por semana</v>
      </c>
      <c r="P531" s="7"/>
      <c r="Q531" s="7" t="str">
        <f>IFERROR(__xludf.DUMMYFUNCTION("""COMPUTED_VALUE"""),"OSDE")</f>
        <v>OSDE</v>
      </c>
      <c r="R531" s="7"/>
      <c r="S531" s="7"/>
    </row>
    <row r="532">
      <c r="A532" s="7" t="str">
        <f t="shared" si="1"/>
        <v>Merlini, Guadalupe</v>
      </c>
      <c r="B532" s="7">
        <f>SUMIFS('bd caja'!$K$1:$K$1012,'bd caja'!$D$1:$D$1012,A532)</f>
        <v>0</v>
      </c>
      <c r="C532" s="19">
        <f>IFERROR(__xludf.DUMMYFUNCTION("""COMPUTED_VALUE"""),45418.749522743055)</f>
        <v>45418.74952</v>
      </c>
      <c r="D532" s="7" t="str">
        <f>IFERROR(__xludf.DUMMYFUNCTION("""COMPUTED_VALUE"""),"Merlini")</f>
        <v>Merlini</v>
      </c>
      <c r="E532" s="7" t="str">
        <f>IFERROR(__xludf.DUMMYFUNCTION("""COMPUTED_VALUE"""),"Guadalupe")</f>
        <v>Guadalupe</v>
      </c>
      <c r="F532" s="7" t="str">
        <f>IFERROR(__xludf.DUMMYFUNCTION("""COMPUTED_VALUE"""),"gmerlini2005@gmail.com")</f>
        <v>gmerlini2005@gmail.com</v>
      </c>
      <c r="G532" s="20">
        <f>IFERROR(__xludf.DUMMYFUNCTION("""COMPUTED_VALUE"""),38805.0)</f>
        <v>38805</v>
      </c>
      <c r="H532" s="7">
        <f>IFERROR(__xludf.DUMMYFUNCTION("""COMPUTED_VALUE"""),4.6850723E7)</f>
        <v>46850723</v>
      </c>
      <c r="I532" s="7">
        <f>IFERROR(__xludf.DUMMYFUNCTION("""COMPUTED_VALUE"""),3.564333703E9)</f>
        <v>3564333703</v>
      </c>
      <c r="J532" s="7" t="str">
        <f>IFERROR(__xludf.DUMMYFUNCTION("""COMPUTED_VALUE"""),"Mi super amiga Lara")</f>
        <v>Mi super amiga Lara</v>
      </c>
      <c r="K532" s="7" t="str">
        <f>IFERROR(__xludf.DUMMYFUNCTION("""COMPUTED_VALUE"""),"Particular")</f>
        <v>Particular</v>
      </c>
      <c r="L532" s="7"/>
      <c r="M532" s="7" t="str">
        <f>IFERROR(__xludf.DUMMYFUNCTION("""COMPUTED_VALUE"""),"Si")</f>
        <v>Si</v>
      </c>
      <c r="N532" s="7" t="str">
        <f>IFERROR(__xludf.DUMMYFUNCTION("""COMPUTED_VALUE"""),"Voley")</f>
        <v>Voley</v>
      </c>
      <c r="O532" s="7" t="str">
        <f>IFERROR(__xludf.DUMMYFUNCTION("""COMPUTED_VALUE"""),"3 a 5 veces por semana")</f>
        <v>3 a 5 veces por semana</v>
      </c>
      <c r="P532" s="7"/>
      <c r="Q532" s="7"/>
      <c r="R532" s="7"/>
      <c r="S532" s="7"/>
    </row>
    <row r="533">
      <c r="A533" s="7" t="str">
        <f t="shared" si="1"/>
        <v>Valles, Gabriel agustin</v>
      </c>
      <c r="B533" s="7">
        <f>SUMIFS('bd caja'!$K$1:$K$1012,'bd caja'!$D$1:$D$1012,A533)</f>
        <v>0</v>
      </c>
      <c r="C533" s="19">
        <f>IFERROR(__xludf.DUMMYFUNCTION("""COMPUTED_VALUE"""),45418.80933912037)</f>
        <v>45418.80934</v>
      </c>
      <c r="D533" s="7" t="str">
        <f>IFERROR(__xludf.DUMMYFUNCTION("""COMPUTED_VALUE"""),"Valles")</f>
        <v>Valles</v>
      </c>
      <c r="E533" s="7" t="str">
        <f>IFERROR(__xludf.DUMMYFUNCTION("""COMPUTED_VALUE"""),"Gabriel agustin")</f>
        <v>Gabriel agustin</v>
      </c>
      <c r="F533" s="7" t="str">
        <f>IFERROR(__xludf.DUMMYFUNCTION("""COMPUTED_VALUE"""),"Gaby_Belgrano90@hotmail.com")</f>
        <v>Gaby_Belgrano90@hotmail.com</v>
      </c>
      <c r="G533" s="20">
        <f>IFERROR(__xludf.DUMMYFUNCTION("""COMPUTED_VALUE"""),33142.0)</f>
        <v>33142</v>
      </c>
      <c r="H533" s="7">
        <f>IFERROR(__xludf.DUMMYFUNCTION("""COMPUTED_VALUE"""),3.6124007E7)</f>
        <v>36124007</v>
      </c>
      <c r="I533" s="7">
        <f>IFERROR(__xludf.DUMMYFUNCTION("""COMPUTED_VALUE"""),3.516173592E9)</f>
        <v>3516173592</v>
      </c>
      <c r="J533" s="7" t="str">
        <f>IFERROR(__xludf.DUMMYFUNCTION("""COMPUTED_VALUE"""),"Facebook")</f>
        <v>Facebook</v>
      </c>
      <c r="K533" s="7" t="str">
        <f>IFERROR(__xludf.DUMMYFUNCTION("""COMPUTED_VALUE"""),"Obra social")</f>
        <v>Obra social</v>
      </c>
      <c r="L533" s="7"/>
      <c r="M533" s="7" t="str">
        <f>IFERROR(__xludf.DUMMYFUNCTION("""COMPUTED_VALUE"""),"Si")</f>
        <v>Si</v>
      </c>
      <c r="N533" s="7" t="str">
        <f>IFERROR(__xludf.DUMMYFUNCTION("""COMPUTED_VALUE"""),"Fútbol")</f>
        <v>Fútbol</v>
      </c>
      <c r="O533" s="7" t="str">
        <f>IFERROR(__xludf.DUMMYFUNCTION("""COMPUTED_VALUE"""),"1 a 2 veces por semana")</f>
        <v>1 a 2 veces por semana</v>
      </c>
      <c r="P533" s="7"/>
      <c r="Q533" s="7" t="str">
        <f>IFERROR(__xludf.DUMMYFUNCTION("""COMPUTED_VALUE"""),"APROSS")</f>
        <v>APROSS</v>
      </c>
      <c r="R533" s="7"/>
      <c r="S533" s="7"/>
    </row>
    <row r="534">
      <c r="A534" s="7" t="str">
        <f t="shared" si="1"/>
        <v>Reano, Veronica</v>
      </c>
      <c r="B534" s="7">
        <f>SUMIFS('bd caja'!$K$1:$K$1012,'bd caja'!$D$1:$D$1012,A534)</f>
        <v>0</v>
      </c>
      <c r="C534" s="19">
        <f>IFERROR(__xludf.DUMMYFUNCTION("""COMPUTED_VALUE"""),45419.381928125)</f>
        <v>45419.38193</v>
      </c>
      <c r="D534" s="7" t="str">
        <f>IFERROR(__xludf.DUMMYFUNCTION("""COMPUTED_VALUE"""),"Reano")</f>
        <v>Reano</v>
      </c>
      <c r="E534" s="7" t="str">
        <f>IFERROR(__xludf.DUMMYFUNCTION("""COMPUTED_VALUE"""),"Veronica")</f>
        <v>Veronica</v>
      </c>
      <c r="F534" s="7" t="str">
        <f>IFERROR(__xludf.DUMMYFUNCTION("""COMPUTED_VALUE"""),"Veroreano@hotmail.com")</f>
        <v>Veroreano@hotmail.com</v>
      </c>
      <c r="G534" s="20">
        <f>IFERROR(__xludf.DUMMYFUNCTION("""COMPUTED_VALUE"""),28536.0)</f>
        <v>28536</v>
      </c>
      <c r="H534" s="7">
        <f>IFERROR(__xludf.DUMMYFUNCTION("""COMPUTED_VALUE"""),2.6083746E7)</f>
        <v>26083746</v>
      </c>
      <c r="I534" s="7">
        <f>IFERROR(__xludf.DUMMYFUNCTION("""COMPUTED_VALUE"""),3.516619705E9)</f>
        <v>3516619705</v>
      </c>
      <c r="J534" s="7" t="str">
        <f>IFERROR(__xludf.DUMMYFUNCTION("""COMPUTED_VALUE"""),"Recomendación")</f>
        <v>Recomendación</v>
      </c>
      <c r="K534" s="7" t="str">
        <f>IFERROR(__xludf.DUMMYFUNCTION("""COMPUTED_VALUE"""),"Obra social")</f>
        <v>Obra social</v>
      </c>
      <c r="L534" s="7"/>
      <c r="M534" s="7" t="str">
        <f>IFERROR(__xludf.DUMMYFUNCTION("""COMPUTED_VALUE"""),"Si")</f>
        <v>Si</v>
      </c>
      <c r="N534" s="7" t="str">
        <f>IFERROR(__xludf.DUMMYFUNCTION("""COMPUTED_VALUE"""),"Voley")</f>
        <v>Voley</v>
      </c>
      <c r="O534" s="7" t="str">
        <f>IFERROR(__xludf.DUMMYFUNCTION("""COMPUTED_VALUE"""),"3 a 5 veces por semana")</f>
        <v>3 a 5 veces por semana</v>
      </c>
      <c r="P534" s="7"/>
      <c r="Q534" s="7" t="str">
        <f>IFERROR(__xludf.DUMMYFUNCTION("""COMPUTED_VALUE"""),"DASPU")</f>
        <v>DASPU</v>
      </c>
      <c r="R534" s="7"/>
      <c r="S534" s="7"/>
    </row>
    <row r="535">
      <c r="A535" s="7" t="str">
        <f t="shared" si="1"/>
        <v>Takaya , Ana María </v>
      </c>
      <c r="B535" s="7">
        <f>SUMIFS('bd caja'!$K$1:$K$1012,'bd caja'!$D$1:$D$1012,A535)</f>
        <v>0</v>
      </c>
      <c r="C535" s="19">
        <f>IFERROR(__xludf.DUMMYFUNCTION("""COMPUTED_VALUE"""),45419.46737496528)</f>
        <v>45419.46737</v>
      </c>
      <c r="D535" s="7" t="str">
        <f>IFERROR(__xludf.DUMMYFUNCTION("""COMPUTED_VALUE"""),"Takaya ")</f>
        <v>Takaya </v>
      </c>
      <c r="E535" s="7" t="str">
        <f>IFERROR(__xludf.DUMMYFUNCTION("""COMPUTED_VALUE"""),"Ana María ")</f>
        <v>Ana María </v>
      </c>
      <c r="F535" s="7" t="str">
        <f>IFERROR(__xludf.DUMMYFUNCTION("""COMPUTED_VALUE"""),"fliatakaya@gmail.com")</f>
        <v>fliatakaya@gmail.com</v>
      </c>
      <c r="G535" s="20">
        <f>IFERROR(__xludf.DUMMYFUNCTION("""COMPUTED_VALUE"""),18784.0)</f>
        <v>18784</v>
      </c>
      <c r="H535" s="7">
        <f>IFERROR(__xludf.DUMMYFUNCTION("""COMPUTED_VALUE"""),6679246.0)</f>
        <v>6679246</v>
      </c>
      <c r="I535" s="7">
        <f>IFERROR(__xludf.DUMMYFUNCTION("""COMPUTED_VALUE"""),3.513859662E9)</f>
        <v>3513859662</v>
      </c>
      <c r="J535" s="7" t="str">
        <f>IFERROR(__xludf.DUMMYFUNCTION("""COMPUTED_VALUE"""),"Google")</f>
        <v>Google</v>
      </c>
      <c r="K535" s="7" t="str">
        <f>IFERROR(__xludf.DUMMYFUNCTION("""COMPUTED_VALUE"""),"Obra social")</f>
        <v>Obra social</v>
      </c>
      <c r="L535" s="7"/>
      <c r="M535" s="7" t="str">
        <f>IFERROR(__xludf.DUMMYFUNCTION("""COMPUTED_VALUE"""),"Si")</f>
        <v>Si</v>
      </c>
      <c r="N535" s="7" t="str">
        <f>IFERROR(__xludf.DUMMYFUNCTION("""COMPUTED_VALUE"""),"Taichichuan ")</f>
        <v>Taichichuan </v>
      </c>
      <c r="O535" s="7" t="str">
        <f>IFERROR(__xludf.DUMMYFUNCTION("""COMPUTED_VALUE"""),"3 a 5 veces por semana")</f>
        <v>3 a 5 veces por semana</v>
      </c>
      <c r="P535" s="7"/>
      <c r="Q535" s="7" t="str">
        <f>IFERROR(__xludf.DUMMYFUNCTION("""COMPUTED_VALUE"""),"APROSS")</f>
        <v>APROSS</v>
      </c>
      <c r="R535" s="7"/>
      <c r="S535" s="7"/>
    </row>
    <row r="536">
      <c r="A536" s="7" t="str">
        <f t="shared" si="1"/>
        <v>Quispe Zevallos , Fernando Mateo </v>
      </c>
      <c r="B536" s="7">
        <f>SUMIFS('bd caja'!$K$1:$K$1012,'bd caja'!$D$1:$D$1012,A536)</f>
        <v>0</v>
      </c>
      <c r="C536" s="19">
        <f>IFERROR(__xludf.DUMMYFUNCTION("""COMPUTED_VALUE"""),45420.680639722224)</f>
        <v>45420.68064</v>
      </c>
      <c r="D536" s="7" t="str">
        <f>IFERROR(__xludf.DUMMYFUNCTION("""COMPUTED_VALUE"""),"Quispe Zevallos ")</f>
        <v>Quispe Zevallos </v>
      </c>
      <c r="E536" s="7" t="str">
        <f>IFERROR(__xludf.DUMMYFUNCTION("""COMPUTED_VALUE"""),"Fernando Mateo ")</f>
        <v>Fernando Mateo </v>
      </c>
      <c r="F536" s="7" t="str">
        <f>IFERROR(__xludf.DUMMYFUNCTION("""COMPUTED_VALUE"""),"matelfixx@gmail.com")</f>
        <v>matelfixx@gmail.com</v>
      </c>
      <c r="G536" s="20">
        <f>IFERROR(__xludf.DUMMYFUNCTION("""COMPUTED_VALUE"""),38190.0)</f>
        <v>38190</v>
      </c>
      <c r="H536" s="7">
        <f>IFERROR(__xludf.DUMMYFUNCTION("""COMPUTED_VALUE"""),9.5220664E7)</f>
        <v>95220664</v>
      </c>
      <c r="I536" s="7">
        <f>IFERROR(__xludf.DUMMYFUNCTION("""COMPUTED_VALUE"""),3.518029805E9)</f>
        <v>3518029805</v>
      </c>
      <c r="J536" s="7" t="str">
        <f>IFERROR(__xludf.DUMMYFUNCTION("""COMPUTED_VALUE"""),"Google")</f>
        <v>Google</v>
      </c>
      <c r="K536" s="7" t="str">
        <f>IFERROR(__xludf.DUMMYFUNCTION("""COMPUTED_VALUE"""),"Particular")</f>
        <v>Particular</v>
      </c>
      <c r="L536" s="7"/>
      <c r="M536" s="7" t="str">
        <f>IFERROR(__xludf.DUMMYFUNCTION("""COMPUTED_VALUE"""),"Si")</f>
        <v>Si</v>
      </c>
      <c r="N536" s="7" t="str">
        <f>IFERROR(__xludf.DUMMYFUNCTION("""COMPUTED_VALUE"""),"Gimnasio")</f>
        <v>Gimnasio</v>
      </c>
      <c r="O536" s="7" t="str">
        <f>IFERROR(__xludf.DUMMYFUNCTION("""COMPUTED_VALUE"""),"1 a 2 veces por semana")</f>
        <v>1 a 2 veces por semana</v>
      </c>
      <c r="P536" s="7"/>
      <c r="Q536" s="7"/>
      <c r="R536" s="7"/>
      <c r="S536" s="7"/>
    </row>
    <row r="537">
      <c r="A537" s="7" t="str">
        <f t="shared" si="1"/>
        <v>Palacios, Ana Paula</v>
      </c>
      <c r="B537" s="7">
        <f>SUMIFS('bd caja'!$K$1:$K$1012,'bd caja'!$D$1:$D$1012,A537)</f>
        <v>0</v>
      </c>
      <c r="C537" s="19">
        <f>IFERROR(__xludf.DUMMYFUNCTION("""COMPUTED_VALUE"""),45421.39449375)</f>
        <v>45421.39449</v>
      </c>
      <c r="D537" s="7" t="str">
        <f>IFERROR(__xludf.DUMMYFUNCTION("""COMPUTED_VALUE"""),"Palacios")</f>
        <v>Palacios</v>
      </c>
      <c r="E537" s="7" t="str">
        <f>IFERROR(__xludf.DUMMYFUNCTION("""COMPUTED_VALUE"""),"Ana Paula")</f>
        <v>Ana Paula</v>
      </c>
      <c r="F537" s="7" t="str">
        <f>IFERROR(__xludf.DUMMYFUNCTION("""COMPUTED_VALUE"""),"Anapaulapalacios17@gmail.com")</f>
        <v>Anapaulapalacios17@gmail.com</v>
      </c>
      <c r="G537" s="20">
        <f>IFERROR(__xludf.DUMMYFUNCTION("""COMPUTED_VALUE"""),38594.0)</f>
        <v>38594</v>
      </c>
      <c r="H537" s="7">
        <f>IFERROR(__xludf.DUMMYFUNCTION("""COMPUTED_VALUE"""),4.6127662E7)</f>
        <v>46127662</v>
      </c>
      <c r="I537" s="7">
        <f>IFERROR(__xludf.DUMMYFUNCTION("""COMPUTED_VALUE"""),3.517357423E9)</f>
        <v>3517357423</v>
      </c>
      <c r="J537" s="7" t="str">
        <f>IFERROR(__xludf.DUMMYFUNCTION("""COMPUTED_VALUE"""),"Recomendación")</f>
        <v>Recomendación</v>
      </c>
      <c r="K537" s="7" t="str">
        <f>IFERROR(__xludf.DUMMYFUNCTION("""COMPUTED_VALUE"""),"Obra social")</f>
        <v>Obra social</v>
      </c>
      <c r="L537" s="7"/>
      <c r="M537" s="7" t="str">
        <f>IFERROR(__xludf.DUMMYFUNCTION("""COMPUTED_VALUE"""),"Si")</f>
        <v>Si</v>
      </c>
      <c r="N537" s="7" t="str">
        <f>IFERROR(__xludf.DUMMYFUNCTION("""COMPUTED_VALUE"""),"Voley")</f>
        <v>Voley</v>
      </c>
      <c r="O537" s="7" t="str">
        <f>IFERROR(__xludf.DUMMYFUNCTION("""COMPUTED_VALUE"""),"3 a 5 veces por semana")</f>
        <v>3 a 5 veces por semana</v>
      </c>
      <c r="P537" s="7"/>
      <c r="Q537" s="7" t="str">
        <f>IFERROR(__xludf.DUMMYFUNCTION("""COMPUTED_VALUE"""),"APROSS")</f>
        <v>APROSS</v>
      </c>
      <c r="R537" s="7"/>
      <c r="S537" s="7"/>
    </row>
    <row r="538">
      <c r="A538" s="7" t="str">
        <f t="shared" si="1"/>
        <v>Reyes, Pilar</v>
      </c>
      <c r="B538" s="7">
        <f>SUMIFS('bd caja'!$K$1:$K$1012,'bd caja'!$D$1:$D$1012,A538)</f>
        <v>0</v>
      </c>
      <c r="C538" s="19">
        <f>IFERROR(__xludf.DUMMYFUNCTION("""COMPUTED_VALUE"""),45421.445508634264)</f>
        <v>45421.44551</v>
      </c>
      <c r="D538" s="7" t="str">
        <f>IFERROR(__xludf.DUMMYFUNCTION("""COMPUTED_VALUE"""),"Reyes")</f>
        <v>Reyes</v>
      </c>
      <c r="E538" s="7" t="str">
        <f>IFERROR(__xludf.DUMMYFUNCTION("""COMPUTED_VALUE"""),"Pilar")</f>
        <v>Pilar</v>
      </c>
      <c r="F538" s="7" t="str">
        <f>IFERROR(__xludf.DUMMYFUNCTION("""COMPUTED_VALUE"""),"pilar584@gmail.com")</f>
        <v>pilar584@gmail.com</v>
      </c>
      <c r="G538" s="20">
        <f>IFERROR(__xludf.DUMMYFUNCTION("""COMPUTED_VALUE"""),31287.0)</f>
        <v>31287</v>
      </c>
      <c r="H538" s="7">
        <f>IFERROR(__xludf.DUMMYFUNCTION("""COMPUTED_VALUE"""),3.1769995E7)</f>
        <v>31769995</v>
      </c>
      <c r="I538" s="7">
        <f>IFERROR(__xludf.DUMMYFUNCTION("""COMPUTED_VALUE"""),3.515928931E9)</f>
        <v>3515928931</v>
      </c>
      <c r="J538" s="7" t="str">
        <f>IFERROR(__xludf.DUMMYFUNCTION("""COMPUTED_VALUE"""),"Voy al gym Manantial")</f>
        <v>Voy al gym Manantial</v>
      </c>
      <c r="K538" s="7" t="str">
        <f>IFERROR(__xludf.DUMMYFUNCTION("""COMPUTED_VALUE"""),"Obra social")</f>
        <v>Obra social</v>
      </c>
      <c r="L538" s="7"/>
      <c r="M538" s="7" t="str">
        <f>IFERROR(__xludf.DUMMYFUNCTION("""COMPUTED_VALUE"""),"Si")</f>
        <v>Si</v>
      </c>
      <c r="N538" s="7" t="str">
        <f>IFERROR(__xludf.DUMMYFUNCTION("""COMPUTED_VALUE"""),"Padlet")</f>
        <v>Padlet</v>
      </c>
      <c r="O538" s="7" t="str">
        <f>IFERROR(__xludf.DUMMYFUNCTION("""COMPUTED_VALUE"""),"3 a 5 veces por semana")</f>
        <v>3 a 5 veces por semana</v>
      </c>
      <c r="P538" s="7"/>
      <c r="Q538" s="7" t="str">
        <f>IFERROR(__xludf.DUMMYFUNCTION("""COMPUTED_VALUE"""),"MET")</f>
        <v>MET</v>
      </c>
      <c r="R538" s="7"/>
      <c r="S538" s="7"/>
    </row>
    <row r="539">
      <c r="A539" s="7" t="str">
        <f t="shared" si="1"/>
        <v>RAUEH , ADRIANA</v>
      </c>
      <c r="B539" s="7">
        <f>SUMIFS('bd caja'!$K$1:$K$1012,'bd caja'!$D$1:$D$1012,A539)</f>
        <v>0</v>
      </c>
      <c r="C539" s="19">
        <f>IFERROR(__xludf.DUMMYFUNCTION("""COMPUTED_VALUE"""),45421.705660949076)</f>
        <v>45421.70566</v>
      </c>
      <c r="D539" s="7" t="str">
        <f>IFERROR(__xludf.DUMMYFUNCTION("""COMPUTED_VALUE"""),"RAUEH ")</f>
        <v>RAUEH </v>
      </c>
      <c r="E539" s="7" t="str">
        <f>IFERROR(__xludf.DUMMYFUNCTION("""COMPUTED_VALUE"""),"ADRIANA")</f>
        <v>ADRIANA</v>
      </c>
      <c r="F539" s="7" t="str">
        <f>IFERROR(__xludf.DUMMYFUNCTION("""COMPUTED_VALUE"""),"adri_raueh@hotmail.com")</f>
        <v>adri_raueh@hotmail.com</v>
      </c>
      <c r="G539" s="20">
        <f>IFERROR(__xludf.DUMMYFUNCTION("""COMPUTED_VALUE"""),24245.0)</f>
        <v>24245</v>
      </c>
      <c r="H539" s="7">
        <f>IFERROR(__xludf.DUMMYFUNCTION("""COMPUTED_VALUE"""),1.7629199E7)</f>
        <v>17629199</v>
      </c>
      <c r="I539" s="7">
        <f>IFERROR(__xludf.DUMMYFUNCTION("""COMPUTED_VALUE"""),3.513211132E9)</f>
        <v>3513211132</v>
      </c>
      <c r="J539" s="7" t="str">
        <f>IFERROR(__xludf.DUMMYFUNCTION("""COMPUTED_VALUE"""),"Google")</f>
        <v>Google</v>
      </c>
      <c r="K539" s="7" t="str">
        <f>IFERROR(__xludf.DUMMYFUNCTION("""COMPUTED_VALUE"""),"Obra social")</f>
        <v>Obra social</v>
      </c>
      <c r="L539" s="7"/>
      <c r="M539" s="7" t="str">
        <f>IFERROR(__xludf.DUMMYFUNCTION("""COMPUTED_VALUE"""),"No")</f>
        <v>No</v>
      </c>
      <c r="N539" s="7"/>
      <c r="O539" s="7"/>
      <c r="P539" s="7"/>
      <c r="Q539" s="7" t="str">
        <f>IFERROR(__xludf.DUMMYFUNCTION("""COMPUTED_VALUE"""),"Medicus, plan Family care")</f>
        <v>Medicus, plan Family care</v>
      </c>
      <c r="R539" s="7"/>
      <c r="S539" s="7"/>
    </row>
    <row r="540">
      <c r="A540" s="7" t="str">
        <f t="shared" si="1"/>
        <v>Kerkebe, Jorge Adrián</v>
      </c>
      <c r="B540" s="7">
        <f>SUMIFS('bd caja'!$K$1:$K$1012,'bd caja'!$D$1:$D$1012,A540)</f>
        <v>0</v>
      </c>
      <c r="C540" s="19">
        <f>IFERROR(__xludf.DUMMYFUNCTION("""COMPUTED_VALUE"""),45422.33087435185)</f>
        <v>45422.33087</v>
      </c>
      <c r="D540" s="7" t="str">
        <f>IFERROR(__xludf.DUMMYFUNCTION("""COMPUTED_VALUE"""),"Kerkebe")</f>
        <v>Kerkebe</v>
      </c>
      <c r="E540" s="7" t="str">
        <f>IFERROR(__xludf.DUMMYFUNCTION("""COMPUTED_VALUE"""),"Jorge Adrián")</f>
        <v>Jorge Adrián</v>
      </c>
      <c r="F540" s="7" t="str">
        <f>IFERROR(__xludf.DUMMYFUNCTION("""COMPUTED_VALUE"""),"jkerkebe@mac.com")</f>
        <v>jkerkebe@mac.com</v>
      </c>
      <c r="G540" s="20">
        <f>IFERROR(__xludf.DUMMYFUNCTION("""COMPUTED_VALUE"""),28725.0)</f>
        <v>28725</v>
      </c>
      <c r="H540" s="7">
        <f>IFERROR(__xludf.DUMMYFUNCTION("""COMPUTED_VALUE"""),2.6903086E7)</f>
        <v>26903086</v>
      </c>
      <c r="I540" s="7">
        <f>IFERROR(__xludf.DUMMYFUNCTION("""COMPUTED_VALUE"""),3.515116201E9)</f>
        <v>3515116201</v>
      </c>
      <c r="J540" s="7" t="str">
        <f>IFERROR(__xludf.DUMMYFUNCTION("""COMPUTED_VALUE"""),"Voy al gym Manantial")</f>
        <v>Voy al gym Manantial</v>
      </c>
      <c r="K540" s="7" t="str">
        <f>IFERROR(__xludf.DUMMYFUNCTION("""COMPUTED_VALUE"""),"Particular")</f>
        <v>Particular</v>
      </c>
      <c r="L540" s="7"/>
      <c r="M540" s="7" t="str">
        <f>IFERROR(__xludf.DUMMYFUNCTION("""COMPUTED_VALUE"""),"Si")</f>
        <v>Si</v>
      </c>
      <c r="N540" s="7" t="str">
        <f>IFERROR(__xludf.DUMMYFUNCTION("""COMPUTED_VALUE"""),"Fútbol")</f>
        <v>Fútbol</v>
      </c>
      <c r="O540" s="7" t="str">
        <f>IFERROR(__xludf.DUMMYFUNCTION("""COMPUTED_VALUE"""),"3 a 5 veces por semana")</f>
        <v>3 a 5 veces por semana</v>
      </c>
      <c r="P540" s="7"/>
      <c r="Q540" s="7"/>
      <c r="R540" s="7"/>
      <c r="S540" s="7"/>
    </row>
    <row r="541">
      <c r="A541" s="7" t="str">
        <f t="shared" si="1"/>
        <v>Desposito, Hernán</v>
      </c>
      <c r="B541" s="7">
        <f>SUMIFS('bd caja'!$K$1:$K$1012,'bd caja'!$D$1:$D$1012,A541)</f>
        <v>0</v>
      </c>
      <c r="C541" s="19">
        <f>IFERROR(__xludf.DUMMYFUNCTION("""COMPUTED_VALUE"""),45425.8209227662)</f>
        <v>45425.82092</v>
      </c>
      <c r="D541" s="7" t="str">
        <f>IFERROR(__xludf.DUMMYFUNCTION("""COMPUTED_VALUE"""),"Desposito")</f>
        <v>Desposito</v>
      </c>
      <c r="E541" s="7" t="str">
        <f>IFERROR(__xludf.DUMMYFUNCTION("""COMPUTED_VALUE"""),"Hernán")</f>
        <v>Hernán</v>
      </c>
      <c r="F541" s="7" t="str">
        <f>IFERROR(__xludf.DUMMYFUNCTION("""COMPUTED_VALUE"""),"Hernandesposito@hotmail.com")</f>
        <v>Hernandesposito@hotmail.com</v>
      </c>
      <c r="G541" s="20">
        <f>IFERROR(__xludf.DUMMYFUNCTION("""COMPUTED_VALUE"""),33772.0)</f>
        <v>33772</v>
      </c>
      <c r="H541" s="7">
        <f>IFERROR(__xludf.DUMMYFUNCTION("""COMPUTED_VALUE"""),3.6355806E7)</f>
        <v>36355806</v>
      </c>
      <c r="I541" s="7">
        <f>IFERROR(__xludf.DUMMYFUNCTION("""COMPUTED_VALUE"""),3.512594972E9)</f>
        <v>3512594972</v>
      </c>
      <c r="J541" s="7" t="str">
        <f>IFERROR(__xludf.DUMMYFUNCTION("""COMPUTED_VALUE"""),"Voy al gym Manantial")</f>
        <v>Voy al gym Manantial</v>
      </c>
      <c r="K541" s="7" t="str">
        <f>IFERROR(__xludf.DUMMYFUNCTION("""COMPUTED_VALUE"""),"Particular")</f>
        <v>Particular</v>
      </c>
      <c r="L541" s="7"/>
      <c r="M541" s="7" t="str">
        <f>IFERROR(__xludf.DUMMYFUNCTION("""COMPUTED_VALUE"""),"Si")</f>
        <v>Si</v>
      </c>
      <c r="N541" s="7" t="str">
        <f>IFERROR(__xludf.DUMMYFUNCTION("""COMPUTED_VALUE"""),"Musculacion")</f>
        <v>Musculacion</v>
      </c>
      <c r="O541" s="7" t="str">
        <f>IFERROR(__xludf.DUMMYFUNCTION("""COMPUTED_VALUE"""),"6 a 7 veces por semana")</f>
        <v>6 a 7 veces por semana</v>
      </c>
      <c r="P541" s="7"/>
      <c r="Q541" s="7"/>
      <c r="R541" s="7"/>
      <c r="S541" s="7"/>
    </row>
    <row r="542">
      <c r="A542" s="7" t="str">
        <f t="shared" si="1"/>
        <v>Martinez, Gonzalo</v>
      </c>
      <c r="B542" s="7">
        <f>SUMIFS('bd caja'!$K$1:$K$1012,'bd caja'!$D$1:$D$1012,A542)</f>
        <v>0</v>
      </c>
      <c r="C542" s="19">
        <f>IFERROR(__xludf.DUMMYFUNCTION("""COMPUTED_VALUE"""),45427.50251122685)</f>
        <v>45427.50251</v>
      </c>
      <c r="D542" s="7" t="str">
        <f>IFERROR(__xludf.DUMMYFUNCTION("""COMPUTED_VALUE"""),"Martinez")</f>
        <v>Martinez</v>
      </c>
      <c r="E542" s="7" t="str">
        <f>IFERROR(__xludf.DUMMYFUNCTION("""COMPUTED_VALUE"""),"Gonzalo")</f>
        <v>Gonzalo</v>
      </c>
      <c r="F542" s="7" t="str">
        <f>IFERROR(__xludf.DUMMYFUNCTION("""COMPUTED_VALUE"""),"arq.martinezgonzalo@gmail.com")</f>
        <v>arq.martinezgonzalo@gmail.com</v>
      </c>
      <c r="G542" s="20">
        <f>IFERROR(__xludf.DUMMYFUNCTION("""COMPUTED_VALUE"""),30372.0)</f>
        <v>30372</v>
      </c>
      <c r="H542" s="7">
        <f>IFERROR(__xludf.DUMMYFUNCTION("""COMPUTED_VALUE"""),3.0121686E7)</f>
        <v>30121686</v>
      </c>
      <c r="I542" s="7">
        <f>IFERROR(__xludf.DUMMYFUNCTION("""COMPUTED_VALUE"""),3.513880924E9)</f>
        <v>3513880924</v>
      </c>
      <c r="J542" s="7" t="str">
        <f>IFERROR(__xludf.DUMMYFUNCTION("""COMPUTED_VALUE"""),"Recomendación")</f>
        <v>Recomendación</v>
      </c>
      <c r="K542" s="7" t="str">
        <f>IFERROR(__xludf.DUMMYFUNCTION("""COMPUTED_VALUE"""),"Obra social")</f>
        <v>Obra social</v>
      </c>
      <c r="L542" s="7"/>
      <c r="M542" s="7" t="str">
        <f>IFERROR(__xludf.DUMMYFUNCTION("""COMPUTED_VALUE"""),"Si")</f>
        <v>Si</v>
      </c>
      <c r="N542" s="7" t="str">
        <f>IFERROR(__xludf.DUMMYFUNCTION("""COMPUTED_VALUE"""),"Gimnasio")</f>
        <v>Gimnasio</v>
      </c>
      <c r="O542" s="7" t="str">
        <f>IFERROR(__xludf.DUMMYFUNCTION("""COMPUTED_VALUE"""),"1 a 2 veces por semana")</f>
        <v>1 a 2 veces por semana</v>
      </c>
      <c r="P542" s="7"/>
      <c r="Q542" s="7" t="str">
        <f>IFERROR(__xludf.DUMMYFUNCTION("""COMPUTED_VALUE"""),"SANCOR")</f>
        <v>SANCOR</v>
      </c>
      <c r="R542" s="7"/>
      <c r="S542" s="7"/>
    </row>
    <row r="543">
      <c r="A543" s="7" t="str">
        <f t="shared" si="1"/>
        <v>BALZI, SANTINO</v>
      </c>
      <c r="B543" s="7">
        <f>SUMIFS('bd caja'!$K$1:$K$1012,'bd caja'!$D$1:$D$1012,A543)</f>
        <v>0</v>
      </c>
      <c r="C543" s="19">
        <f>IFERROR(__xludf.DUMMYFUNCTION("""COMPUTED_VALUE"""),45429.4018212963)</f>
        <v>45429.40182</v>
      </c>
      <c r="D543" s="7" t="str">
        <f>IFERROR(__xludf.DUMMYFUNCTION("""COMPUTED_VALUE"""),"BALZI")</f>
        <v>BALZI</v>
      </c>
      <c r="E543" s="7" t="str">
        <f>IFERROR(__xludf.DUMMYFUNCTION("""COMPUTED_VALUE"""),"SANTINO")</f>
        <v>SANTINO</v>
      </c>
      <c r="F543" s="7" t="str">
        <f>IFERROR(__xludf.DUMMYFUNCTION("""COMPUTED_VALUE"""),"meguanziroli@unc.edu.ar")</f>
        <v>meguanziroli@unc.edu.ar</v>
      </c>
      <c r="G543" s="20">
        <f>IFERROR(__xludf.DUMMYFUNCTION("""COMPUTED_VALUE"""),40516.0)</f>
        <v>40516</v>
      </c>
      <c r="H543" s="7">
        <f>IFERROR(__xludf.DUMMYFUNCTION("""COMPUTED_VALUE"""),5.0627674E7)</f>
        <v>50627674</v>
      </c>
      <c r="I543" s="7">
        <f>IFERROR(__xludf.DUMMYFUNCTION("""COMPUTED_VALUE"""),3.516327965E9)</f>
        <v>3516327965</v>
      </c>
      <c r="J543" s="7" t="str">
        <f>IFERROR(__xludf.DUMMYFUNCTION("""COMPUTED_VALUE"""),"Recomendación")</f>
        <v>Recomendación</v>
      </c>
      <c r="K543" s="7" t="str">
        <f>IFERROR(__xludf.DUMMYFUNCTION("""COMPUTED_VALUE"""),"Obra social")</f>
        <v>Obra social</v>
      </c>
      <c r="L543" s="7"/>
      <c r="M543" s="7" t="str">
        <f>IFERROR(__xludf.DUMMYFUNCTION("""COMPUTED_VALUE"""),"Si")</f>
        <v>Si</v>
      </c>
      <c r="N543" s="7" t="str">
        <f>IFERROR(__xludf.DUMMYFUNCTION("""COMPUTED_VALUE"""),"Fútbol")</f>
        <v>Fútbol</v>
      </c>
      <c r="O543" s="7" t="str">
        <f>IFERROR(__xludf.DUMMYFUNCTION("""COMPUTED_VALUE"""),"3 a 5 veces por semana")</f>
        <v>3 a 5 veces por semana</v>
      </c>
      <c r="P543" s="7"/>
      <c r="Q543" s="7" t="str">
        <f>IFERROR(__xludf.DUMMYFUNCTION("""COMPUTED_VALUE"""),"DASPU")</f>
        <v>DASPU</v>
      </c>
      <c r="R543" s="7"/>
      <c r="S543" s="7"/>
    </row>
    <row r="544">
      <c r="A544" s="7" t="str">
        <f t="shared" si="1"/>
        <v>Maccio, Matias</v>
      </c>
      <c r="B544" s="7">
        <f>SUMIFS('bd caja'!$K$1:$K$1012,'bd caja'!$D$1:$D$1012,A544)</f>
        <v>0</v>
      </c>
      <c r="C544" s="19">
        <f>IFERROR(__xludf.DUMMYFUNCTION("""COMPUTED_VALUE"""),45430.54051553241)</f>
        <v>45430.54052</v>
      </c>
      <c r="D544" s="7" t="str">
        <f>IFERROR(__xludf.DUMMYFUNCTION("""COMPUTED_VALUE"""),"Maccio")</f>
        <v>Maccio</v>
      </c>
      <c r="E544" s="7" t="str">
        <f>IFERROR(__xludf.DUMMYFUNCTION("""COMPUTED_VALUE"""),"Matias")</f>
        <v>Matias</v>
      </c>
      <c r="F544" s="7" t="str">
        <f>IFERROR(__xludf.DUMMYFUNCTION("""COMPUTED_VALUE"""),"maccio.matias@gmail.com")</f>
        <v>maccio.matias@gmail.com</v>
      </c>
      <c r="G544" s="20">
        <f>IFERROR(__xludf.DUMMYFUNCTION("""COMPUTED_VALUE"""),33524.0)</f>
        <v>33524</v>
      </c>
      <c r="H544" s="7">
        <f>IFERROR(__xludf.DUMMYFUNCTION("""COMPUTED_VALUE"""),3.614133E7)</f>
        <v>36141330</v>
      </c>
      <c r="I544" s="7">
        <f>IFERROR(__xludf.DUMMYFUNCTION("""COMPUTED_VALUE"""),3.517630449E9)</f>
        <v>3517630449</v>
      </c>
      <c r="J544" s="7" t="str">
        <f>IFERROR(__xludf.DUMMYFUNCTION("""COMPUTED_VALUE"""),"Google")</f>
        <v>Google</v>
      </c>
      <c r="K544" s="7" t="str">
        <f>IFERROR(__xludf.DUMMYFUNCTION("""COMPUTED_VALUE"""),"Particular")</f>
        <v>Particular</v>
      </c>
      <c r="L544" s="7"/>
      <c r="M544" s="7" t="str">
        <f>IFERROR(__xludf.DUMMYFUNCTION("""COMPUTED_VALUE"""),"No")</f>
        <v>No</v>
      </c>
      <c r="N544" s="7"/>
      <c r="O544" s="7"/>
      <c r="P544" s="7"/>
      <c r="Q544" s="7"/>
      <c r="R544" s="7"/>
      <c r="S544" s="7"/>
    </row>
    <row r="545">
      <c r="A545" s="7" t="str">
        <f t="shared" si="1"/>
        <v>Lazaro, Dardo omar</v>
      </c>
      <c r="B545" s="7">
        <f>SUMIFS('bd caja'!$K$1:$K$1012,'bd caja'!$D$1:$D$1012,A545)</f>
        <v>0</v>
      </c>
      <c r="C545" s="19">
        <f>IFERROR(__xludf.DUMMYFUNCTION("""COMPUTED_VALUE"""),45432.73453487268)</f>
        <v>45432.73453</v>
      </c>
      <c r="D545" s="7" t="str">
        <f>IFERROR(__xludf.DUMMYFUNCTION("""COMPUTED_VALUE"""),"Lazaro")</f>
        <v>Lazaro</v>
      </c>
      <c r="E545" s="7" t="str">
        <f>IFERROR(__xludf.DUMMYFUNCTION("""COMPUTED_VALUE"""),"Dardo omar")</f>
        <v>Dardo omar</v>
      </c>
      <c r="F545" s="7" t="str">
        <f>IFERROR(__xludf.DUMMYFUNCTION("""COMPUTED_VALUE"""),"creacion3204@gmail.com")</f>
        <v>creacion3204@gmail.com</v>
      </c>
      <c r="G545" s="20">
        <f>IFERROR(__xludf.DUMMYFUNCTION("""COMPUTED_VALUE"""),21666.0)</f>
        <v>21666</v>
      </c>
      <c r="H545" s="7">
        <f>IFERROR(__xludf.DUMMYFUNCTION("""COMPUTED_VALUE"""),1.3036471E7)</f>
        <v>13036471</v>
      </c>
      <c r="I545" s="7">
        <f>IFERROR(__xludf.DUMMYFUNCTION("""COMPUTED_VALUE"""),2.944606553E9)</f>
        <v>2944606553</v>
      </c>
      <c r="J545" s="7" t="str">
        <f>IFERROR(__xludf.DUMMYFUNCTION("""COMPUTED_VALUE"""),"Recomendación")</f>
        <v>Recomendación</v>
      </c>
      <c r="K545" s="7" t="str">
        <f>IFERROR(__xludf.DUMMYFUNCTION("""COMPUTED_VALUE"""),"Obra social")</f>
        <v>Obra social</v>
      </c>
      <c r="L545" s="7"/>
      <c r="M545" s="7" t="str">
        <f>IFERROR(__xludf.DUMMYFUNCTION("""COMPUTED_VALUE"""),"Si")</f>
        <v>Si</v>
      </c>
      <c r="N545" s="7" t="str">
        <f>IFERROR(__xludf.DUMMYFUNCTION("""COMPUTED_VALUE"""),"Newcom")</f>
        <v>Newcom</v>
      </c>
      <c r="O545" s="7" t="str">
        <f>IFERROR(__xludf.DUMMYFUNCTION("""COMPUTED_VALUE"""),"3 a 5 veces por semana")</f>
        <v>3 a 5 veces por semana</v>
      </c>
      <c r="P545" s="7"/>
      <c r="Q545" s="7" t="str">
        <f>IFERROR(__xludf.DUMMYFUNCTION("""COMPUTED_VALUE"""),"APROSS")</f>
        <v>APROSS</v>
      </c>
      <c r="R545" s="7"/>
      <c r="S545" s="7"/>
    </row>
    <row r="546">
      <c r="A546" s="7" t="str">
        <f t="shared" si="1"/>
        <v>Pappalardo, Juan</v>
      </c>
      <c r="B546" s="7">
        <f>SUMIFS('bd caja'!$K$1:$K$1012,'bd caja'!$D$1:$D$1012,A546)</f>
        <v>0</v>
      </c>
      <c r="C546" s="19">
        <f>IFERROR(__xludf.DUMMYFUNCTION("""COMPUTED_VALUE"""),45432.743445659726)</f>
        <v>45432.74345</v>
      </c>
      <c r="D546" s="7" t="str">
        <f>IFERROR(__xludf.DUMMYFUNCTION("""COMPUTED_VALUE"""),"Pappalardo")</f>
        <v>Pappalardo</v>
      </c>
      <c r="E546" s="7" t="str">
        <f>IFERROR(__xludf.DUMMYFUNCTION("""COMPUTED_VALUE"""),"Juan")</f>
        <v>Juan</v>
      </c>
      <c r="F546" s="7" t="str">
        <f>IFERROR(__xludf.DUMMYFUNCTION("""COMPUTED_VALUE"""),"pappalardoj@gmail.com")</f>
        <v>pappalardoj@gmail.com</v>
      </c>
      <c r="G546" s="20">
        <f>IFERROR(__xludf.DUMMYFUNCTION("""COMPUTED_VALUE"""),16826.0)</f>
        <v>16826</v>
      </c>
      <c r="H546" s="7">
        <f>IFERROR(__xludf.DUMMYFUNCTION("""COMPUTED_VALUE"""),7986243.0)</f>
        <v>7986243</v>
      </c>
      <c r="I546" s="7">
        <f>IFERROR(__xludf.DUMMYFUNCTION("""COMPUTED_VALUE"""),3.516371481E9)</f>
        <v>3516371481</v>
      </c>
      <c r="J546" s="7" t="str">
        <f>IFERROR(__xludf.DUMMYFUNCTION("""COMPUTED_VALUE"""),"Google")</f>
        <v>Google</v>
      </c>
      <c r="K546" s="7" t="str">
        <f>IFERROR(__xludf.DUMMYFUNCTION("""COMPUTED_VALUE"""),"Obra social")</f>
        <v>Obra social</v>
      </c>
      <c r="L546" s="7"/>
      <c r="M546" s="7" t="str">
        <f>IFERROR(__xludf.DUMMYFUNCTION("""COMPUTED_VALUE"""),"Si")</f>
        <v>Si</v>
      </c>
      <c r="N546" s="7" t="str">
        <f>IFERROR(__xludf.DUMMYFUNCTION("""COMPUTED_VALUE"""),"Caminata")</f>
        <v>Caminata</v>
      </c>
      <c r="O546" s="7" t="str">
        <f>IFERROR(__xludf.DUMMYFUNCTION("""COMPUTED_VALUE"""),"3 a 5 veces por semana")</f>
        <v>3 a 5 veces por semana</v>
      </c>
      <c r="P546" s="7"/>
      <c r="Q546" s="7" t="str">
        <f>IFERROR(__xludf.DUMMYFUNCTION("""COMPUTED_VALUE"""),"Avalian")</f>
        <v>Avalian</v>
      </c>
      <c r="R546" s="7"/>
      <c r="S546" s="7"/>
    </row>
    <row r="547">
      <c r="A547" s="7" t="str">
        <f t="shared" si="1"/>
        <v>Giovannoni caminos, Graciela maria</v>
      </c>
      <c r="B547" s="7">
        <f>SUMIFS('bd caja'!$K$1:$K$1012,'bd caja'!$D$1:$D$1012,A547)</f>
        <v>0</v>
      </c>
      <c r="C547" s="19">
        <f>IFERROR(__xludf.DUMMYFUNCTION("""COMPUTED_VALUE"""),45433.83673152778)</f>
        <v>45433.83673</v>
      </c>
      <c r="D547" s="7" t="str">
        <f>IFERROR(__xludf.DUMMYFUNCTION("""COMPUTED_VALUE"""),"Giovannoni caminos")</f>
        <v>Giovannoni caminos</v>
      </c>
      <c r="E547" s="7" t="str">
        <f>IFERROR(__xludf.DUMMYFUNCTION("""COMPUTED_VALUE"""),"Graciela maria")</f>
        <v>Graciela maria</v>
      </c>
      <c r="F547" s="7" t="str">
        <f>IFERROR(__xludf.DUMMYFUNCTION("""COMPUTED_VALUE"""),"Sivinnca@gmail.com")</f>
        <v>Sivinnca@gmail.com</v>
      </c>
      <c r="G547" s="20">
        <f>IFERROR(__xludf.DUMMYFUNCTION("""COMPUTED_VALUE"""),24800.0)</f>
        <v>24800</v>
      </c>
      <c r="H547" s="7">
        <f>IFERROR(__xludf.DUMMYFUNCTION("""COMPUTED_VALUE"""),1.8607619E7)</f>
        <v>18607619</v>
      </c>
      <c r="I547" s="7">
        <f>IFERROR(__xludf.DUMMYFUNCTION("""COMPUTED_VALUE"""),3.415779654E9)</f>
        <v>3415779654</v>
      </c>
      <c r="J547" s="7" t="str">
        <f>IFERROR(__xludf.DUMMYFUNCTION("""COMPUTED_VALUE"""),"Voy al gym Manantial")</f>
        <v>Voy al gym Manantial</v>
      </c>
      <c r="K547" s="7" t="str">
        <f>IFERROR(__xludf.DUMMYFUNCTION("""COMPUTED_VALUE"""),"Particular")</f>
        <v>Particular</v>
      </c>
      <c r="L547" s="7"/>
      <c r="M547" s="7" t="str">
        <f>IFERROR(__xludf.DUMMYFUNCTION("""COMPUTED_VALUE"""),"Si")</f>
        <v>Si</v>
      </c>
      <c r="N547" s="7" t="str">
        <f>IFERROR(__xludf.DUMMYFUNCTION("""COMPUTED_VALUE"""),"Gimnasio")</f>
        <v>Gimnasio</v>
      </c>
      <c r="O547" s="7" t="str">
        <f>IFERROR(__xludf.DUMMYFUNCTION("""COMPUTED_VALUE"""),"3 a 5 veces por semana")</f>
        <v>3 a 5 veces por semana</v>
      </c>
      <c r="P547" s="7"/>
      <c r="Q547" s="7"/>
      <c r="R547" s="7"/>
      <c r="S547" s="7"/>
    </row>
    <row r="548">
      <c r="A548" s="7" t="str">
        <f t="shared" si="1"/>
        <v>Beltran Lanfranconi , Tatiana </v>
      </c>
      <c r="B548" s="7">
        <f>SUMIFS('bd caja'!$K$1:$K$1012,'bd caja'!$D$1:$D$1012,A548)</f>
        <v>0</v>
      </c>
      <c r="C548" s="19">
        <f>IFERROR(__xludf.DUMMYFUNCTION("""COMPUTED_VALUE"""),45434.44501357639)</f>
        <v>45434.44501</v>
      </c>
      <c r="D548" s="7" t="str">
        <f>IFERROR(__xludf.DUMMYFUNCTION("""COMPUTED_VALUE"""),"Beltran Lanfranconi ")</f>
        <v>Beltran Lanfranconi </v>
      </c>
      <c r="E548" s="7" t="str">
        <f>IFERROR(__xludf.DUMMYFUNCTION("""COMPUTED_VALUE"""),"Tatiana ")</f>
        <v>Tatiana </v>
      </c>
      <c r="F548" s="7" t="str">
        <f>IFERROR(__xludf.DUMMYFUNCTION("""COMPUTED_VALUE"""),"tatibeltran1112@gmail.com")</f>
        <v>tatibeltran1112@gmail.com</v>
      </c>
      <c r="G548" s="20">
        <f>IFERROR(__xludf.DUMMYFUNCTION("""COMPUTED_VALUE"""),-668313.0)</f>
        <v>-668313</v>
      </c>
      <c r="H548" s="7">
        <f>IFERROR(__xludf.DUMMYFUNCTION("""COMPUTED_VALUE"""),2.1395884E7)</f>
        <v>21395884</v>
      </c>
      <c r="I548" s="7">
        <f>IFERROR(__xludf.DUMMYFUNCTION("""COMPUTED_VALUE"""),3.517678122E9)</f>
        <v>3517678122</v>
      </c>
      <c r="J548" s="7" t="str">
        <f>IFERROR(__xludf.DUMMYFUNCTION("""COMPUTED_VALUE"""),"Recomendación")</f>
        <v>Recomendación</v>
      </c>
      <c r="K548" s="7" t="str">
        <f>IFERROR(__xludf.DUMMYFUNCTION("""COMPUTED_VALUE"""),"Obra social")</f>
        <v>Obra social</v>
      </c>
      <c r="L548" s="7"/>
      <c r="M548" s="7" t="str">
        <f>IFERROR(__xludf.DUMMYFUNCTION("""COMPUTED_VALUE"""),"No")</f>
        <v>No</v>
      </c>
      <c r="N548" s="7"/>
      <c r="O548" s="7"/>
      <c r="P548" s="7"/>
      <c r="Q548" s="7" t="str">
        <f>IFERROR(__xludf.DUMMYFUNCTION("""COMPUTED_VALUE"""),"APROSS")</f>
        <v>APROSS</v>
      </c>
      <c r="R548" s="7"/>
      <c r="S548" s="7"/>
    </row>
    <row r="549">
      <c r="A549" s="7" t="str">
        <f t="shared" si="1"/>
        <v>Munch Rabanal, Oriana</v>
      </c>
      <c r="B549" s="7">
        <f>SUMIFS('bd caja'!$K$1:$K$1012,'bd caja'!$D$1:$D$1012,A549)</f>
        <v>0</v>
      </c>
      <c r="C549" s="19">
        <f>IFERROR(__xludf.DUMMYFUNCTION("""COMPUTED_VALUE"""),45434.73883084491)</f>
        <v>45434.73883</v>
      </c>
      <c r="D549" s="7" t="str">
        <f>IFERROR(__xludf.DUMMYFUNCTION("""COMPUTED_VALUE"""),"Munch Rabanal")</f>
        <v>Munch Rabanal</v>
      </c>
      <c r="E549" s="7" t="str">
        <f>IFERROR(__xludf.DUMMYFUNCTION("""COMPUTED_VALUE"""),"Oriana")</f>
        <v>Oriana</v>
      </c>
      <c r="F549" s="7" t="str">
        <f>IFERROR(__xludf.DUMMYFUNCTION("""COMPUTED_VALUE"""),"Sandrarz19@gmail.com ")</f>
        <v>Sandrarz19@gmail.com </v>
      </c>
      <c r="G549" s="20">
        <f>IFERROR(__xludf.DUMMYFUNCTION("""COMPUTED_VALUE"""),41047.0)</f>
        <v>41047</v>
      </c>
      <c r="H549" s="7">
        <f>IFERROR(__xludf.DUMMYFUNCTION("""COMPUTED_VALUE"""),5.2210081E7)</f>
        <v>52210081</v>
      </c>
      <c r="I549" s="7">
        <f>IFERROR(__xludf.DUMMYFUNCTION("""COMPUTED_VALUE"""),3.51633243E9)</f>
        <v>3516332430</v>
      </c>
      <c r="J549" s="7" t="str">
        <f>IFERROR(__xludf.DUMMYFUNCTION("""COMPUTED_VALUE"""),"Recomendación")</f>
        <v>Recomendación</v>
      </c>
      <c r="K549" s="7" t="str">
        <f>IFERROR(__xludf.DUMMYFUNCTION("""COMPUTED_VALUE"""),"Particular")</f>
        <v>Particular</v>
      </c>
      <c r="L549" s="7"/>
      <c r="M549" s="7" t="str">
        <f>IFERROR(__xludf.DUMMYFUNCTION("""COMPUTED_VALUE"""),"Si")</f>
        <v>Si</v>
      </c>
      <c r="N549" s="7" t="str">
        <f>IFERROR(__xludf.DUMMYFUNCTION("""COMPUTED_VALUE"""),"Acrotela")</f>
        <v>Acrotela</v>
      </c>
      <c r="O549" s="7" t="str">
        <f>IFERROR(__xludf.DUMMYFUNCTION("""COMPUTED_VALUE"""),"3 a 5 veces por semana")</f>
        <v>3 a 5 veces por semana</v>
      </c>
      <c r="P549" s="7"/>
      <c r="Q549" s="7"/>
      <c r="R549" s="7"/>
      <c r="S549" s="7"/>
    </row>
    <row r="550">
      <c r="A550" s="7" t="str">
        <f t="shared" si="1"/>
        <v>Apfelbaum, Julieta</v>
      </c>
      <c r="B550" s="7">
        <f>SUMIFS('bd caja'!$K$1:$K$1012,'bd caja'!$D$1:$D$1012,A550)</f>
        <v>0</v>
      </c>
      <c r="C550" s="19">
        <f>IFERROR(__xludf.DUMMYFUNCTION("""COMPUTED_VALUE"""),45434.74117987268)</f>
        <v>45434.74118</v>
      </c>
      <c r="D550" s="7" t="str">
        <f>IFERROR(__xludf.DUMMYFUNCTION("""COMPUTED_VALUE"""),"Apfelbaum")</f>
        <v>Apfelbaum</v>
      </c>
      <c r="E550" s="7" t="str">
        <f>IFERROR(__xludf.DUMMYFUNCTION("""COMPUTED_VALUE"""),"Julieta")</f>
        <v>Julieta</v>
      </c>
      <c r="F550" s="7" t="str">
        <f>IFERROR(__xludf.DUMMYFUNCTION("""COMPUTED_VALUE"""),"laura.herman1@gmail.com")</f>
        <v>laura.herman1@gmail.com</v>
      </c>
      <c r="G550" s="20">
        <f>IFERROR(__xludf.DUMMYFUNCTION("""COMPUTED_VALUE"""),39513.0)</f>
        <v>39513</v>
      </c>
      <c r="H550" s="7">
        <f>IFERROR(__xludf.DUMMYFUNCTION("""COMPUTED_VALUE"""),4.7819784E7)</f>
        <v>47819784</v>
      </c>
      <c r="I550" s="7">
        <f>IFERROR(__xludf.DUMMYFUNCTION("""COMPUTED_VALUE"""),3.515913364E9)</f>
        <v>3515913364</v>
      </c>
      <c r="J550" s="7" t="str">
        <f>IFERROR(__xludf.DUMMYFUNCTION("""COMPUTED_VALUE"""),"Google")</f>
        <v>Google</v>
      </c>
      <c r="K550" s="7" t="str">
        <f>IFERROR(__xludf.DUMMYFUNCTION("""COMPUTED_VALUE"""),"Obra social")</f>
        <v>Obra social</v>
      </c>
      <c r="L550" s="7"/>
      <c r="M550" s="7" t="str">
        <f>IFERROR(__xludf.DUMMYFUNCTION("""COMPUTED_VALUE"""),"Si")</f>
        <v>Si</v>
      </c>
      <c r="N550" s="7" t="str">
        <f>IFERROR(__xludf.DUMMYFUNCTION("""COMPUTED_VALUE"""),"Fútbol")</f>
        <v>Fútbol</v>
      </c>
      <c r="O550" s="7" t="str">
        <f>IFERROR(__xludf.DUMMYFUNCTION("""COMPUTED_VALUE"""),"3 a 5 veces por semana")</f>
        <v>3 a 5 veces por semana</v>
      </c>
      <c r="P550" s="7"/>
      <c r="Q550" s="7" t="str">
        <f>IFERROR(__xludf.DUMMYFUNCTION("""COMPUTED_VALUE"""),"SANCOR")</f>
        <v>SANCOR</v>
      </c>
      <c r="R550" s="7"/>
      <c r="S550" s="7"/>
    </row>
    <row r="551">
      <c r="A551" s="7" t="str">
        <f t="shared" si="1"/>
        <v>Reviglio, Hilda</v>
      </c>
      <c r="B551" s="7">
        <f>SUMIFS('bd caja'!$K$1:$K$1012,'bd caja'!$D$1:$D$1012,A551)</f>
        <v>0</v>
      </c>
      <c r="C551" s="19">
        <f>IFERROR(__xludf.DUMMYFUNCTION("""COMPUTED_VALUE"""),45434.82096269676)</f>
        <v>45434.82096</v>
      </c>
      <c r="D551" s="7" t="str">
        <f>IFERROR(__xludf.DUMMYFUNCTION("""COMPUTED_VALUE"""),"Reviglio")</f>
        <v>Reviglio</v>
      </c>
      <c r="E551" s="7" t="str">
        <f>IFERROR(__xludf.DUMMYFUNCTION("""COMPUTED_VALUE"""),"Hilda")</f>
        <v>Hilda</v>
      </c>
      <c r="F551" s="7" t="str">
        <f>IFERROR(__xludf.DUMMYFUNCTION("""COMPUTED_VALUE"""),"cesarmg77@gmail.com")</f>
        <v>cesarmg77@gmail.com</v>
      </c>
      <c r="G551" s="20">
        <f>IFERROR(__xludf.DUMMYFUNCTION("""COMPUTED_VALUE"""),17041.0)</f>
        <v>17041</v>
      </c>
      <c r="H551" s="7">
        <f>IFERROR(__xludf.DUMMYFUNCTION("""COMPUTED_VALUE"""),5452578.0)</f>
        <v>5452578</v>
      </c>
      <c r="I551" s="7">
        <f>IFERROR(__xludf.DUMMYFUNCTION("""COMPUTED_VALUE"""),3.516646943E9)</f>
        <v>3516646943</v>
      </c>
      <c r="J551" s="7" t="str">
        <f>IFERROR(__xludf.DUMMYFUNCTION("""COMPUTED_VALUE"""),"Google")</f>
        <v>Google</v>
      </c>
      <c r="K551" s="7" t="str">
        <f>IFERROR(__xludf.DUMMYFUNCTION("""COMPUTED_VALUE"""),"Obra social")</f>
        <v>Obra social</v>
      </c>
      <c r="L551" s="7"/>
      <c r="M551" s="7" t="str">
        <f>IFERROR(__xludf.DUMMYFUNCTION("""COMPUTED_VALUE"""),"No")</f>
        <v>No</v>
      </c>
      <c r="N551" s="7"/>
      <c r="O551" s="7"/>
      <c r="P551" s="7"/>
      <c r="Q551" s="7" t="str">
        <f>IFERROR(__xludf.DUMMYFUNCTION("""COMPUTED_VALUE"""),"APROSS")</f>
        <v>APROSS</v>
      </c>
      <c r="R551" s="7"/>
      <c r="S551" s="7"/>
    </row>
    <row r="552">
      <c r="A552" s="7" t="str">
        <f t="shared" si="1"/>
        <v>Ferreyra, Gonzalo</v>
      </c>
      <c r="B552" s="7">
        <f>SUMIFS('bd caja'!$K$1:$K$1012,'bd caja'!$D$1:$D$1012,A552)</f>
        <v>0</v>
      </c>
      <c r="C552" s="19">
        <f>IFERROR(__xludf.DUMMYFUNCTION("""COMPUTED_VALUE"""),45436.858789398146)</f>
        <v>45436.85879</v>
      </c>
      <c r="D552" s="7" t="str">
        <f>IFERROR(__xludf.DUMMYFUNCTION("""COMPUTED_VALUE"""),"Ferreyra")</f>
        <v>Ferreyra</v>
      </c>
      <c r="E552" s="7" t="str">
        <f>IFERROR(__xludf.DUMMYFUNCTION("""COMPUTED_VALUE"""),"Gonzalo")</f>
        <v>Gonzalo</v>
      </c>
      <c r="F552" s="7" t="str">
        <f>IFERROR(__xludf.DUMMYFUNCTION("""COMPUTED_VALUE"""),"Gonza_6944@hotmail.com ")</f>
        <v>Gonza_6944@hotmail.com </v>
      </c>
      <c r="G552" s="20">
        <f>IFERROR(__xludf.DUMMYFUNCTION("""COMPUTED_VALUE"""),32279.0)</f>
        <v>32279</v>
      </c>
      <c r="H552" s="7">
        <f>IFERROR(__xludf.DUMMYFUNCTION("""COMPUTED_VALUE"""),3.3391389E7)</f>
        <v>33391389</v>
      </c>
      <c r="I552" s="7">
        <f>IFERROR(__xludf.DUMMYFUNCTION("""COMPUTED_VALUE"""),3.572548472E9)</f>
        <v>3572548472</v>
      </c>
      <c r="J552" s="7" t="str">
        <f>IFERROR(__xludf.DUMMYFUNCTION("""COMPUTED_VALUE"""),"Cartilla Obra Social")</f>
        <v>Cartilla Obra Social</v>
      </c>
      <c r="K552" s="7" t="str">
        <f>IFERROR(__xludf.DUMMYFUNCTION("""COMPUTED_VALUE"""),"Obra social")</f>
        <v>Obra social</v>
      </c>
      <c r="L552" s="7"/>
      <c r="M552" s="7" t="str">
        <f>IFERROR(__xludf.DUMMYFUNCTION("""COMPUTED_VALUE"""),"Si")</f>
        <v>Si</v>
      </c>
      <c r="N552" s="7" t="str">
        <f>IFERROR(__xludf.DUMMYFUNCTION("""COMPUTED_VALUE"""),"Fútbol")</f>
        <v>Fútbol</v>
      </c>
      <c r="O552" s="7" t="str">
        <f>IFERROR(__xludf.DUMMYFUNCTION("""COMPUTED_VALUE"""),"3 a 5 veces por semana")</f>
        <v>3 a 5 veces por semana</v>
      </c>
      <c r="P552" s="7"/>
      <c r="Q552" s="7" t="str">
        <f>IFERROR(__xludf.DUMMYFUNCTION("""COMPUTED_VALUE"""),"PREVENCIÓN")</f>
        <v>PREVENCIÓN</v>
      </c>
      <c r="R552" s="7"/>
      <c r="S552" s="7"/>
    </row>
    <row r="553">
      <c r="A553" s="7" t="str">
        <f t="shared" si="1"/>
        <v>Ercoli, Matias</v>
      </c>
      <c r="B553" s="7">
        <f>SUMIFS('bd caja'!$K$1:$K$1012,'bd caja'!$D$1:$D$1012,A553)</f>
        <v>0</v>
      </c>
      <c r="C553" s="19">
        <f>IFERROR(__xludf.DUMMYFUNCTION("""COMPUTED_VALUE"""),45439.66710935185)</f>
        <v>45439.66711</v>
      </c>
      <c r="D553" s="7" t="str">
        <f>IFERROR(__xludf.DUMMYFUNCTION("""COMPUTED_VALUE"""),"Ercoli")</f>
        <v>Ercoli</v>
      </c>
      <c r="E553" s="7" t="str">
        <f>IFERROR(__xludf.DUMMYFUNCTION("""COMPUTED_VALUE"""),"Matias")</f>
        <v>Matias</v>
      </c>
      <c r="F553" s="7" t="str">
        <f>IFERROR(__xludf.DUMMYFUNCTION("""COMPUTED_VALUE"""),"matiasercoli95@gmail.com")</f>
        <v>matiasercoli95@gmail.com</v>
      </c>
      <c r="G553" s="20">
        <f>IFERROR(__xludf.DUMMYFUNCTION("""COMPUTED_VALUE"""),34751.0)</f>
        <v>34751</v>
      </c>
      <c r="H553" s="7">
        <f>IFERROR(__xludf.DUMMYFUNCTION("""COMPUTED_VALUE"""),3.8984659E7)</f>
        <v>38984659</v>
      </c>
      <c r="I553" s="7">
        <f>IFERROR(__xludf.DUMMYFUNCTION("""COMPUTED_VALUE"""),3.51272711E9)</f>
        <v>3512727110</v>
      </c>
      <c r="J553" s="7" t="str">
        <f>IFERROR(__xludf.DUMMYFUNCTION("""COMPUTED_VALUE"""),"Voy al gym Manantial")</f>
        <v>Voy al gym Manantial</v>
      </c>
      <c r="K553" s="7" t="str">
        <f>IFERROR(__xludf.DUMMYFUNCTION("""COMPUTED_VALUE"""),"Particular")</f>
        <v>Particular</v>
      </c>
      <c r="L553" s="7"/>
      <c r="M553" s="7" t="str">
        <f>IFERROR(__xludf.DUMMYFUNCTION("""COMPUTED_VALUE"""),"No")</f>
        <v>No</v>
      </c>
      <c r="N553" s="7"/>
      <c r="O553" s="7"/>
      <c r="P553" s="7"/>
      <c r="Q553" s="7"/>
      <c r="R553" s="7"/>
      <c r="S553" s="7"/>
    </row>
    <row r="554">
      <c r="A554" s="7" t="str">
        <f t="shared" si="1"/>
        <v>Giacomelli, Lucila</v>
      </c>
      <c r="B554" s="7">
        <f>SUMIFS('bd caja'!$K$1:$K$1012,'bd caja'!$D$1:$D$1012,A554)</f>
        <v>0</v>
      </c>
      <c r="C554" s="19">
        <f>IFERROR(__xludf.DUMMYFUNCTION("""COMPUTED_VALUE"""),45439.80456204861)</f>
        <v>45439.80456</v>
      </c>
      <c r="D554" s="7" t="str">
        <f>IFERROR(__xludf.DUMMYFUNCTION("""COMPUTED_VALUE"""),"Giacomelli")</f>
        <v>Giacomelli</v>
      </c>
      <c r="E554" s="7" t="str">
        <f>IFERROR(__xludf.DUMMYFUNCTION("""COMPUTED_VALUE"""),"Lucila")</f>
        <v>Lucila</v>
      </c>
      <c r="F554" s="7" t="str">
        <f>IFERROR(__xludf.DUMMYFUNCTION("""COMPUTED_VALUE"""),"lucilagiacomelliv@gmail.com")</f>
        <v>lucilagiacomelliv@gmail.com</v>
      </c>
      <c r="G554" s="20">
        <f>IFERROR(__xludf.DUMMYFUNCTION("""COMPUTED_VALUE"""),35585.0)</f>
        <v>35585</v>
      </c>
      <c r="H554" s="7">
        <f>IFERROR(__xludf.DUMMYFUNCTION("""COMPUTED_VALUE"""),4.0246552E7)</f>
        <v>40246552</v>
      </c>
      <c r="I554" s="7">
        <f>IFERROR(__xludf.DUMMYFUNCTION("""COMPUTED_VALUE"""),3.51676597E9)</f>
        <v>3516765970</v>
      </c>
      <c r="J554" s="7" t="str">
        <f>IFERROR(__xludf.DUMMYFUNCTION("""COMPUTED_VALUE"""),"Voy al gym Manantial")</f>
        <v>Voy al gym Manantial</v>
      </c>
      <c r="K554" s="7" t="str">
        <f>IFERROR(__xludf.DUMMYFUNCTION("""COMPUTED_VALUE"""),"Obra social")</f>
        <v>Obra social</v>
      </c>
      <c r="L554" s="7"/>
      <c r="M554" s="7" t="str">
        <f>IFERROR(__xludf.DUMMYFUNCTION("""COMPUTED_VALUE"""),"Si")</f>
        <v>Si</v>
      </c>
      <c r="N554" s="7" t="str">
        <f>IFERROR(__xludf.DUMMYFUNCTION("""COMPUTED_VALUE"""),"Gimnasio")</f>
        <v>Gimnasio</v>
      </c>
      <c r="O554" s="7" t="str">
        <f>IFERROR(__xludf.DUMMYFUNCTION("""COMPUTED_VALUE"""),"3 a 5 veces por semana")</f>
        <v>3 a 5 veces por semana</v>
      </c>
      <c r="P554" s="7"/>
      <c r="Q554" s="7" t="str">
        <f>IFERROR(__xludf.DUMMYFUNCTION("""COMPUTED_VALUE"""),"APROSS")</f>
        <v>APROSS</v>
      </c>
      <c r="R554" s="7"/>
      <c r="S554" s="7"/>
    </row>
    <row r="555">
      <c r="A555" s="7" t="str">
        <f t="shared" si="1"/>
        <v>Tita, Ileana Micaela</v>
      </c>
      <c r="B555" s="7">
        <f>SUMIFS('bd caja'!$K$1:$K$1012,'bd caja'!$D$1:$D$1012,A555)</f>
        <v>0</v>
      </c>
      <c r="C555" s="19">
        <f>IFERROR(__xludf.DUMMYFUNCTION("""COMPUTED_VALUE"""),45440.39837023148)</f>
        <v>45440.39837</v>
      </c>
      <c r="D555" s="7" t="str">
        <f>IFERROR(__xludf.DUMMYFUNCTION("""COMPUTED_VALUE"""),"Tita")</f>
        <v>Tita</v>
      </c>
      <c r="E555" s="7" t="str">
        <f>IFERROR(__xludf.DUMMYFUNCTION("""COMPUTED_VALUE"""),"Ileana Micaela")</f>
        <v>Ileana Micaela</v>
      </c>
      <c r="F555" s="7" t="str">
        <f>IFERROR(__xludf.DUMMYFUNCTION("""COMPUTED_VALUE"""),"i.micaelatita@gmail.com")</f>
        <v>i.micaelatita@gmail.com</v>
      </c>
      <c r="G555" s="20">
        <f>IFERROR(__xludf.DUMMYFUNCTION("""COMPUTED_VALUE"""),34472.0)</f>
        <v>34472</v>
      </c>
      <c r="H555" s="7">
        <f>IFERROR(__xludf.DUMMYFUNCTION("""COMPUTED_VALUE"""),3.8182695E7)</f>
        <v>38182695</v>
      </c>
      <c r="I555" s="7">
        <f>IFERROR(__xludf.DUMMYFUNCTION("""COMPUTED_VALUE"""),3.515908389E9)</f>
        <v>3515908389</v>
      </c>
      <c r="J555" s="7" t="str">
        <f>IFERROR(__xludf.DUMMYFUNCTION("""COMPUTED_VALUE"""),"Google")</f>
        <v>Google</v>
      </c>
      <c r="K555" s="7" t="str">
        <f>IFERROR(__xludf.DUMMYFUNCTION("""COMPUTED_VALUE"""),"Obra social")</f>
        <v>Obra social</v>
      </c>
      <c r="L555" s="7"/>
      <c r="M555" s="7" t="str">
        <f>IFERROR(__xludf.DUMMYFUNCTION("""COMPUTED_VALUE"""),"Si")</f>
        <v>Si</v>
      </c>
      <c r="N555" s="7" t="str">
        <f>IFERROR(__xludf.DUMMYFUNCTION("""COMPUTED_VALUE"""),"Gimnasio")</f>
        <v>Gimnasio</v>
      </c>
      <c r="O555" s="7" t="str">
        <f>IFERROR(__xludf.DUMMYFUNCTION("""COMPUTED_VALUE"""),"3 a 5 veces por semana")</f>
        <v>3 a 5 veces por semana</v>
      </c>
      <c r="P555" s="7"/>
      <c r="Q555" s="7" t="str">
        <f>IFERROR(__xludf.DUMMYFUNCTION("""COMPUTED_VALUE"""),"SANCOR")</f>
        <v>SANCOR</v>
      </c>
      <c r="R555" s="7"/>
      <c r="S555" s="7"/>
    </row>
    <row r="556">
      <c r="A556" s="7" t="str">
        <f t="shared" si="1"/>
        <v>LOPEZ, Maite</v>
      </c>
      <c r="B556" s="7">
        <f>SUMIFS('bd caja'!$K$1:$K$1012,'bd caja'!$D$1:$D$1012,A556)</f>
        <v>0</v>
      </c>
      <c r="C556" s="19">
        <f>IFERROR(__xludf.DUMMYFUNCTION("""COMPUTED_VALUE"""),45440.47381488426)</f>
        <v>45440.47381</v>
      </c>
      <c r="D556" s="7" t="str">
        <f>IFERROR(__xludf.DUMMYFUNCTION("""COMPUTED_VALUE"""),"LOPEZ")</f>
        <v>LOPEZ</v>
      </c>
      <c r="E556" s="7" t="str">
        <f>IFERROR(__xludf.DUMMYFUNCTION("""COMPUTED_VALUE"""),"Maite")</f>
        <v>Maite</v>
      </c>
      <c r="F556" s="7"/>
      <c r="G556" s="20">
        <f>IFERROR(__xludf.DUMMYFUNCTION("""COMPUTED_VALUE"""),22235.0)</f>
        <v>22235</v>
      </c>
      <c r="H556" s="7">
        <f>IFERROR(__xludf.DUMMYFUNCTION("""COMPUTED_VALUE"""),1.4057387E7)</f>
        <v>14057387</v>
      </c>
      <c r="I556" s="7">
        <f>IFERROR(__xludf.DUMMYFUNCTION("""COMPUTED_VALUE"""),3.518080998E9)</f>
        <v>3518080998</v>
      </c>
      <c r="J556" s="7" t="str">
        <f>IFERROR(__xludf.DUMMYFUNCTION("""COMPUTED_VALUE"""),"Google")</f>
        <v>Google</v>
      </c>
      <c r="K556" s="7" t="str">
        <f>IFERROR(__xludf.DUMMYFUNCTION("""COMPUTED_VALUE"""),"Obra social")</f>
        <v>Obra social</v>
      </c>
      <c r="L556" s="7"/>
      <c r="M556" s="7" t="str">
        <f>IFERROR(__xludf.DUMMYFUNCTION("""COMPUTED_VALUE"""),"Si")</f>
        <v>Si</v>
      </c>
      <c r="N556" s="7" t="str">
        <f>IFERROR(__xludf.DUMMYFUNCTION("""COMPUTED_VALUE"""),"Gimnasio")</f>
        <v>Gimnasio</v>
      </c>
      <c r="O556" s="7" t="str">
        <f>IFERROR(__xludf.DUMMYFUNCTION("""COMPUTED_VALUE"""),"3 a 5 veces por semana")</f>
        <v>3 a 5 veces por semana</v>
      </c>
      <c r="P556" s="7"/>
      <c r="Q556" s="7" t="str">
        <f>IFERROR(__xludf.DUMMYFUNCTION("""COMPUTED_VALUE"""),"APROSS")</f>
        <v>APROSS</v>
      </c>
      <c r="R556" s="7"/>
      <c r="S556" s="7"/>
    </row>
    <row r="557">
      <c r="A557" s="7" t="str">
        <f t="shared" si="1"/>
        <v>Ochandorena, Martin</v>
      </c>
      <c r="B557" s="7">
        <f>SUMIFS('bd caja'!$K$1:$K$1012,'bd caja'!$D$1:$D$1012,A557)</f>
        <v>0</v>
      </c>
      <c r="C557" s="19">
        <f>IFERROR(__xludf.DUMMYFUNCTION("""COMPUTED_VALUE"""),45442.42105765046)</f>
        <v>45442.42106</v>
      </c>
      <c r="D557" s="7" t="str">
        <f>IFERROR(__xludf.DUMMYFUNCTION("""COMPUTED_VALUE"""),"Ochandorena")</f>
        <v>Ochandorena</v>
      </c>
      <c r="E557" s="7" t="str">
        <f>IFERROR(__xludf.DUMMYFUNCTION("""COMPUTED_VALUE"""),"Martin")</f>
        <v>Martin</v>
      </c>
      <c r="F557" s="7" t="str">
        <f>IFERROR(__xludf.DUMMYFUNCTION("""COMPUTED_VALUE"""),"martinochandorena@hotmail.com")</f>
        <v>martinochandorena@hotmail.com</v>
      </c>
      <c r="G557" s="20">
        <f>IFERROR(__xludf.DUMMYFUNCTION("""COMPUTED_VALUE"""),25024.0)</f>
        <v>25024</v>
      </c>
      <c r="H557" s="7">
        <f>IFERROR(__xludf.DUMMYFUNCTION("""COMPUTED_VALUE"""),2.0033277E7)</f>
        <v>20033277</v>
      </c>
      <c r="I557" s="7">
        <f>IFERROR(__xludf.DUMMYFUNCTION("""COMPUTED_VALUE"""),3.512238507E9)</f>
        <v>3512238507</v>
      </c>
      <c r="J557" s="7" t="str">
        <f>IFERROR(__xludf.DUMMYFUNCTION("""COMPUTED_VALUE"""),"Google")</f>
        <v>Google</v>
      </c>
      <c r="K557" s="7" t="str">
        <f>IFERROR(__xludf.DUMMYFUNCTION("""COMPUTED_VALUE"""),"Obra social")</f>
        <v>Obra social</v>
      </c>
      <c r="L557" s="7"/>
      <c r="M557" s="7" t="str">
        <f>IFERROR(__xludf.DUMMYFUNCTION("""COMPUTED_VALUE"""),"Si")</f>
        <v>Si</v>
      </c>
      <c r="N557" s="7" t="str">
        <f>IFERROR(__xludf.DUMMYFUNCTION("""COMPUTED_VALUE"""),"Hockey")</f>
        <v>Hockey</v>
      </c>
      <c r="O557" s="7" t="str">
        <f>IFERROR(__xludf.DUMMYFUNCTION("""COMPUTED_VALUE"""),"3 a 5 veces por semana")</f>
        <v>3 a 5 veces por semana</v>
      </c>
      <c r="P557" s="7"/>
      <c r="Q557" s="7" t="str">
        <f>IFERROR(__xludf.DUMMYFUNCTION("""COMPUTED_VALUE"""),"APROSS")</f>
        <v>APROSS</v>
      </c>
      <c r="R557" s="7"/>
      <c r="S557" s="7"/>
    </row>
    <row r="558">
      <c r="A558" s="7" t="str">
        <f t="shared" si="1"/>
        <v>Moyano, Magdalena </v>
      </c>
      <c r="B558" s="7">
        <f>SUMIFS('bd caja'!$K$1:$K$1012,'bd caja'!$D$1:$D$1012,A558)</f>
        <v>0</v>
      </c>
      <c r="C558" s="19">
        <f>IFERROR(__xludf.DUMMYFUNCTION("""COMPUTED_VALUE"""),45444.39619650463)</f>
        <v>45444.3962</v>
      </c>
      <c r="D558" s="7" t="str">
        <f>IFERROR(__xludf.DUMMYFUNCTION("""COMPUTED_VALUE"""),"Moyano")</f>
        <v>Moyano</v>
      </c>
      <c r="E558" s="7" t="str">
        <f>IFERROR(__xludf.DUMMYFUNCTION("""COMPUTED_VALUE"""),"Magdalena ")</f>
        <v>Magdalena </v>
      </c>
      <c r="F558" s="7" t="str">
        <f>IFERROR(__xludf.DUMMYFUNCTION("""COMPUTED_VALUE"""),"magdamoyano1@gmail.com")</f>
        <v>magdamoyano1@gmail.com</v>
      </c>
      <c r="G558" s="20">
        <f>IFERROR(__xludf.DUMMYFUNCTION("""COMPUTED_VALUE"""),26245.0)</f>
        <v>26245</v>
      </c>
      <c r="H558" s="7">
        <f>IFERROR(__xludf.DUMMYFUNCTION("""COMPUTED_VALUE"""),2.2373745E7)</f>
        <v>22373745</v>
      </c>
      <c r="I558" s="7">
        <f>IFERROR(__xludf.DUMMYFUNCTION("""COMPUTED_VALUE"""),3.516872041E9)</f>
        <v>3516872041</v>
      </c>
      <c r="J558" s="7" t="str">
        <f>IFERROR(__xludf.DUMMYFUNCTION("""COMPUTED_VALUE"""),"La conozco a Anto")</f>
        <v>La conozco a Anto</v>
      </c>
      <c r="K558" s="7" t="str">
        <f>IFERROR(__xludf.DUMMYFUNCTION("""COMPUTED_VALUE"""),"Obra social")</f>
        <v>Obra social</v>
      </c>
      <c r="L558" s="7"/>
      <c r="M558" s="7" t="str">
        <f>IFERROR(__xludf.DUMMYFUNCTION("""COMPUTED_VALUE"""),"Si")</f>
        <v>Si</v>
      </c>
      <c r="N558" s="7" t="str">
        <f>IFERROR(__xludf.DUMMYFUNCTION("""COMPUTED_VALUE"""),"Natación ")</f>
        <v>Natación </v>
      </c>
      <c r="O558" s="7" t="str">
        <f>IFERROR(__xludf.DUMMYFUNCTION("""COMPUTED_VALUE"""),"1 a 2 veces por semana")</f>
        <v>1 a 2 veces por semana</v>
      </c>
      <c r="P558" s="7"/>
      <c r="Q558" s="7" t="str">
        <f>IFERROR(__xludf.DUMMYFUNCTION("""COMPUTED_VALUE"""),"APROSS")</f>
        <v>APROSS</v>
      </c>
      <c r="R558" s="7"/>
      <c r="S558" s="7"/>
    </row>
    <row r="559">
      <c r="A559" s="7" t="str">
        <f t="shared" si="1"/>
        <v>Almada, Luis Ricardo</v>
      </c>
      <c r="B559" s="7">
        <f>SUMIFS('bd caja'!$K$1:$K$1012,'bd caja'!$D$1:$D$1012,A559)</f>
        <v>0</v>
      </c>
      <c r="C559" s="19">
        <f>IFERROR(__xludf.DUMMYFUNCTION("""COMPUTED_VALUE"""),45444.404521944445)</f>
        <v>45444.40452</v>
      </c>
      <c r="D559" s="7" t="str">
        <f>IFERROR(__xludf.DUMMYFUNCTION("""COMPUTED_VALUE"""),"Almada")</f>
        <v>Almada</v>
      </c>
      <c r="E559" s="7" t="str">
        <f>IFERROR(__xludf.DUMMYFUNCTION("""COMPUTED_VALUE"""),"Luis Ricardo")</f>
        <v>Luis Ricardo</v>
      </c>
      <c r="F559" s="7" t="str">
        <f>IFERROR(__xludf.DUMMYFUNCTION("""COMPUTED_VALUE"""),"orlandi.olga@gmail.com")</f>
        <v>orlandi.olga@gmail.com</v>
      </c>
      <c r="G559" s="20">
        <f>IFERROR(__xludf.DUMMYFUNCTION("""COMPUTED_VALUE"""),15835.0)</f>
        <v>15835</v>
      </c>
      <c r="H559" s="7">
        <f>IFERROR(__xludf.DUMMYFUNCTION("""COMPUTED_VALUE"""),7972132.0)</f>
        <v>7972132</v>
      </c>
      <c r="I559" s="7">
        <f>IFERROR(__xludf.DUMMYFUNCTION("""COMPUTED_VALUE"""),3.516379799E9)</f>
        <v>3516379799</v>
      </c>
      <c r="J559" s="7" t="str">
        <f>IFERROR(__xludf.DUMMYFUNCTION("""COMPUTED_VALUE"""),"Google")</f>
        <v>Google</v>
      </c>
      <c r="K559" s="7" t="str">
        <f>IFERROR(__xludf.DUMMYFUNCTION("""COMPUTED_VALUE"""),"Obra social")</f>
        <v>Obra social</v>
      </c>
      <c r="L559" s="7"/>
      <c r="M559" s="7" t="str">
        <f>IFERROR(__xludf.DUMMYFUNCTION("""COMPUTED_VALUE"""),"No")</f>
        <v>No</v>
      </c>
      <c r="N559" s="7"/>
      <c r="O559" s="7"/>
      <c r="P559" s="7"/>
      <c r="Q559" s="7" t="str">
        <f>IFERROR(__xludf.DUMMYFUNCTION("""COMPUTED_VALUE"""),"APROSS")</f>
        <v>APROSS</v>
      </c>
      <c r="R559" s="7"/>
      <c r="S559" s="7"/>
    </row>
    <row r="560">
      <c r="A560" s="7" t="str">
        <f t="shared" si="1"/>
        <v>Orlandi, Olga E. </v>
      </c>
      <c r="B560" s="7">
        <f>SUMIFS('bd caja'!$K$1:$K$1012,'bd caja'!$D$1:$D$1012,A560)</f>
        <v>0</v>
      </c>
      <c r="C560" s="19">
        <f>IFERROR(__xludf.DUMMYFUNCTION("""COMPUTED_VALUE"""),45444.40660425926)</f>
        <v>45444.4066</v>
      </c>
      <c r="D560" s="7" t="str">
        <f>IFERROR(__xludf.DUMMYFUNCTION("""COMPUTED_VALUE"""),"Orlandi")</f>
        <v>Orlandi</v>
      </c>
      <c r="E560" s="7" t="str">
        <f>IFERROR(__xludf.DUMMYFUNCTION("""COMPUTED_VALUE"""),"Olga E. ")</f>
        <v>Olga E. </v>
      </c>
      <c r="F560" s="7" t="str">
        <f>IFERROR(__xludf.DUMMYFUNCTION("""COMPUTED_VALUE"""),"orlandi.olga@gmail.com")</f>
        <v>orlandi.olga@gmail.com</v>
      </c>
      <c r="G560" s="20">
        <f>IFERROR(__xludf.DUMMYFUNCTION("""COMPUTED_VALUE"""),18560.0)</f>
        <v>18560</v>
      </c>
      <c r="H560" s="7">
        <f>IFERROR(__xludf.DUMMYFUNCTION("""COMPUTED_VALUE"""),6398193.0)</f>
        <v>6398193</v>
      </c>
      <c r="I560" s="7">
        <f>IFERROR(__xludf.DUMMYFUNCTION("""COMPUTED_VALUE"""),3.516379799E9)</f>
        <v>3516379799</v>
      </c>
      <c r="J560" s="7" t="str">
        <f>IFERROR(__xludf.DUMMYFUNCTION("""COMPUTED_VALUE"""),"Google")</f>
        <v>Google</v>
      </c>
      <c r="K560" s="7" t="str">
        <f>IFERROR(__xludf.DUMMYFUNCTION("""COMPUTED_VALUE"""),"Obra social")</f>
        <v>Obra social</v>
      </c>
      <c r="L560" s="7"/>
      <c r="M560" s="7" t="str">
        <f>IFERROR(__xludf.DUMMYFUNCTION("""COMPUTED_VALUE"""),"Si")</f>
        <v>Si</v>
      </c>
      <c r="N560" s="7" t="str">
        <f>IFERROR(__xludf.DUMMYFUNCTION("""COMPUTED_VALUE"""),"yoga")</f>
        <v>yoga</v>
      </c>
      <c r="O560" s="7" t="str">
        <f>IFERROR(__xludf.DUMMYFUNCTION("""COMPUTED_VALUE"""),"1 a 2 veces por semana")</f>
        <v>1 a 2 veces por semana</v>
      </c>
      <c r="P560" s="7"/>
      <c r="Q560" s="7" t="str">
        <f>IFERROR(__xludf.DUMMYFUNCTION("""COMPUTED_VALUE"""),"DASPU")</f>
        <v>DASPU</v>
      </c>
      <c r="R560" s="7"/>
      <c r="S560" s="7"/>
    </row>
    <row r="561">
      <c r="A561" s="7" t="str">
        <f t="shared" si="1"/>
        <v>Martinez, Gabriela</v>
      </c>
      <c r="B561" s="7">
        <f>SUMIFS('bd caja'!$K$1:$K$1012,'bd caja'!$D$1:$D$1012,A561)</f>
        <v>0</v>
      </c>
      <c r="C561" s="19">
        <f>IFERROR(__xludf.DUMMYFUNCTION("""COMPUTED_VALUE"""),45446.51922887731)</f>
        <v>45446.51923</v>
      </c>
      <c r="D561" s="7" t="str">
        <f>IFERROR(__xludf.DUMMYFUNCTION("""COMPUTED_VALUE"""),"Martinez")</f>
        <v>Martinez</v>
      </c>
      <c r="E561" s="7" t="str">
        <f>IFERROR(__xludf.DUMMYFUNCTION("""COMPUTED_VALUE"""),"Gabriela")</f>
        <v>Gabriela</v>
      </c>
      <c r="F561" s="7" t="str">
        <f>IFERROR(__xludf.DUMMYFUNCTION("""COMPUTED_VALUE"""),"gabriela.martinezmarma@grupomarma.com.ar")</f>
        <v>gabriela.martinezmarma@grupomarma.com.ar</v>
      </c>
      <c r="G561" s="20">
        <f>IFERROR(__xludf.DUMMYFUNCTION("""COMPUTED_VALUE"""),23641.0)</f>
        <v>23641</v>
      </c>
      <c r="H561" s="7">
        <f>IFERROR(__xludf.DUMMYFUNCTION("""COMPUTED_VALUE"""),1.6907262E7)</f>
        <v>16907262</v>
      </c>
      <c r="I561" s="7">
        <f>IFERROR(__xludf.DUMMYFUNCTION("""COMPUTED_VALUE"""),3.516641216E9)</f>
        <v>3516641216</v>
      </c>
      <c r="J561" s="7" t="str">
        <f>IFERROR(__xludf.DUMMYFUNCTION("""COMPUTED_VALUE"""),"Recomendación")</f>
        <v>Recomendación</v>
      </c>
      <c r="K561" s="7" t="str">
        <f>IFERROR(__xludf.DUMMYFUNCTION("""COMPUTED_VALUE"""),"Particular")</f>
        <v>Particular</v>
      </c>
      <c r="L561" s="7"/>
      <c r="M561" s="7" t="str">
        <f>IFERROR(__xludf.DUMMYFUNCTION("""COMPUTED_VALUE"""),"Si")</f>
        <v>Si</v>
      </c>
      <c r="N561" s="7" t="str">
        <f>IFERROR(__xludf.DUMMYFUNCTION("""COMPUTED_VALUE"""),"Running")</f>
        <v>Running</v>
      </c>
      <c r="O561" s="7" t="str">
        <f>IFERROR(__xludf.DUMMYFUNCTION("""COMPUTED_VALUE"""),"1 a 2 veces por semana")</f>
        <v>1 a 2 veces por semana</v>
      </c>
      <c r="P561" s="7"/>
      <c r="Q561" s="7"/>
      <c r="R561" s="7"/>
      <c r="S561" s="7"/>
    </row>
    <row r="562">
      <c r="A562" s="7" t="str">
        <f t="shared" si="1"/>
        <v>Solana Martinez , Lourdes</v>
      </c>
      <c r="B562" s="7">
        <f>SUMIFS('bd caja'!$K$1:$K$1012,'bd caja'!$D$1:$D$1012,A562)</f>
        <v>0</v>
      </c>
      <c r="C562" s="19">
        <f>IFERROR(__xludf.DUMMYFUNCTION("""COMPUTED_VALUE"""),45447.50917871528)</f>
        <v>45447.50918</v>
      </c>
      <c r="D562" s="7" t="str">
        <f>IFERROR(__xludf.DUMMYFUNCTION("""COMPUTED_VALUE"""),"Solana Martinez ")</f>
        <v>Solana Martinez </v>
      </c>
      <c r="E562" s="7" t="str">
        <f>IFERROR(__xludf.DUMMYFUNCTION("""COMPUTED_VALUE"""),"Lourdes")</f>
        <v>Lourdes</v>
      </c>
      <c r="F562" s="7" t="str">
        <f>IFERROR(__xludf.DUMMYFUNCTION("""COMPUTED_VALUE"""),"flavio.solana@hotmail.com")</f>
        <v>flavio.solana@hotmail.com</v>
      </c>
      <c r="G562" s="20">
        <f>IFERROR(__xludf.DUMMYFUNCTION("""COMPUTED_VALUE"""),41292.0)</f>
        <v>41292</v>
      </c>
      <c r="H562" s="7">
        <f>IFERROR(__xludf.DUMMYFUNCTION("""COMPUTED_VALUE"""),5.2862345E7)</f>
        <v>52862345</v>
      </c>
      <c r="I562" s="7">
        <f>IFERROR(__xludf.DUMMYFUNCTION("""COMPUTED_VALUE"""),3.516136605E9)</f>
        <v>3516136605</v>
      </c>
      <c r="J562" s="7" t="str">
        <f>IFERROR(__xludf.DUMMYFUNCTION("""COMPUTED_VALUE"""),"Recomendación")</f>
        <v>Recomendación</v>
      </c>
      <c r="K562" s="7" t="str">
        <f>IFERROR(__xludf.DUMMYFUNCTION("""COMPUTED_VALUE"""),"Obra social")</f>
        <v>Obra social</v>
      </c>
      <c r="L562" s="7"/>
      <c r="M562" s="7" t="str">
        <f>IFERROR(__xludf.DUMMYFUNCTION("""COMPUTED_VALUE"""),"Si")</f>
        <v>Si</v>
      </c>
      <c r="N562" s="7" t="str">
        <f>IFERROR(__xludf.DUMMYFUNCTION("""COMPUTED_VALUE"""),"Fútbol")</f>
        <v>Fútbol</v>
      </c>
      <c r="O562" s="7" t="str">
        <f>IFERROR(__xludf.DUMMYFUNCTION("""COMPUTED_VALUE"""),"3 a 5 veces por semana")</f>
        <v>3 a 5 veces por semana</v>
      </c>
      <c r="P562" s="7"/>
      <c r="Q562" s="7" t="str">
        <f>IFERROR(__xludf.DUMMYFUNCTION("""COMPUTED_VALUE"""),"APROSS")</f>
        <v>APROSS</v>
      </c>
      <c r="R562" s="7"/>
      <c r="S562" s="7"/>
    </row>
    <row r="563">
      <c r="A563" s="7" t="str">
        <f t="shared" si="1"/>
        <v>Bohne, Erica</v>
      </c>
      <c r="B563" s="7">
        <f>SUMIFS('bd caja'!$K$1:$K$1012,'bd caja'!$D$1:$D$1012,A563)</f>
        <v>0</v>
      </c>
      <c r="C563" s="19">
        <f>IFERROR(__xludf.DUMMYFUNCTION("""COMPUTED_VALUE"""),45448.6335250463)</f>
        <v>45448.63353</v>
      </c>
      <c r="D563" s="7" t="str">
        <f>IFERROR(__xludf.DUMMYFUNCTION("""COMPUTED_VALUE"""),"Bohne")</f>
        <v>Bohne</v>
      </c>
      <c r="E563" s="7" t="str">
        <f>IFERROR(__xludf.DUMMYFUNCTION("""COMPUTED_VALUE"""),"Erica")</f>
        <v>Erica</v>
      </c>
      <c r="F563" s="7" t="str">
        <f>IFERROR(__xludf.DUMMYFUNCTION("""COMPUTED_VALUE"""),"eribohne@yahoo.com.ar")</f>
        <v>eribohne@yahoo.com.ar</v>
      </c>
      <c r="G563" s="20">
        <f>IFERROR(__xludf.DUMMYFUNCTION("""COMPUTED_VALUE"""),27689.0)</f>
        <v>27689</v>
      </c>
      <c r="H563" s="7">
        <f>IFERROR(__xludf.DUMMYFUNCTION("""COMPUTED_VALUE"""),2.4841442E7)</f>
        <v>24841442</v>
      </c>
      <c r="I563" s="7">
        <f>IFERROR(__xludf.DUMMYFUNCTION("""COMPUTED_VALUE"""),3.513545007E9)</f>
        <v>3513545007</v>
      </c>
      <c r="J563" s="7" t="str">
        <f>IFERROR(__xludf.DUMMYFUNCTION("""COMPUTED_VALUE"""),"Recomendación")</f>
        <v>Recomendación</v>
      </c>
      <c r="K563" s="7" t="str">
        <f>IFERROR(__xludf.DUMMYFUNCTION("""COMPUTED_VALUE"""),"Obra social")</f>
        <v>Obra social</v>
      </c>
      <c r="L563" s="7"/>
      <c r="M563" s="7" t="str">
        <f>IFERROR(__xludf.DUMMYFUNCTION("""COMPUTED_VALUE"""),"No")</f>
        <v>No</v>
      </c>
      <c r="N563" s="7"/>
      <c r="O563" s="7"/>
      <c r="P563" s="7"/>
      <c r="Q563" s="7" t="str">
        <f>IFERROR(__xludf.DUMMYFUNCTION("""COMPUTED_VALUE"""),"APROSS")</f>
        <v>APROSS</v>
      </c>
      <c r="R563" s="7"/>
      <c r="S563" s="7"/>
    </row>
    <row r="564">
      <c r="A564" s="7" t="str">
        <f t="shared" si="1"/>
        <v>Amato, Melanie Sol</v>
      </c>
      <c r="B564" s="7">
        <f>SUMIFS('bd caja'!$K$1:$K$1012,'bd caja'!$D$1:$D$1012,A564)</f>
        <v>0</v>
      </c>
      <c r="C564" s="19">
        <f>IFERROR(__xludf.DUMMYFUNCTION("""COMPUTED_VALUE"""),45448.71085643518)</f>
        <v>45448.71086</v>
      </c>
      <c r="D564" s="7" t="str">
        <f>IFERROR(__xludf.DUMMYFUNCTION("""COMPUTED_VALUE"""),"Amato")</f>
        <v>Amato</v>
      </c>
      <c r="E564" s="7" t="str">
        <f>IFERROR(__xludf.DUMMYFUNCTION("""COMPUTED_VALUE"""),"Melanie Sol")</f>
        <v>Melanie Sol</v>
      </c>
      <c r="F564" s="7" t="str">
        <f>IFERROR(__xludf.DUMMYFUNCTION("""COMPUTED_VALUE"""),"melanie.amato@mi.unc.edu.ar")</f>
        <v>melanie.amato@mi.unc.edu.ar</v>
      </c>
      <c r="G564" s="20">
        <f>IFERROR(__xludf.DUMMYFUNCTION("""COMPUTED_VALUE"""),37469.0)</f>
        <v>37469</v>
      </c>
      <c r="H564" s="7">
        <f>IFERROR(__xludf.DUMMYFUNCTION("""COMPUTED_VALUE"""),4.5081579E7)</f>
        <v>45081579</v>
      </c>
      <c r="I564" s="7">
        <f>IFERROR(__xludf.DUMMYFUNCTION("""COMPUTED_VALUE"""),3.512480097E9)</f>
        <v>3512480097</v>
      </c>
      <c r="J564" s="7" t="str">
        <f>IFERROR(__xludf.DUMMYFUNCTION("""COMPUTED_VALUE"""),"Voy al gym Manantial")</f>
        <v>Voy al gym Manantial</v>
      </c>
      <c r="K564" s="7" t="str">
        <f>IFERROR(__xludf.DUMMYFUNCTION("""COMPUTED_VALUE"""),"Particular")</f>
        <v>Particular</v>
      </c>
      <c r="L564" s="7"/>
      <c r="M564" s="7" t="str">
        <f>IFERROR(__xludf.DUMMYFUNCTION("""COMPUTED_VALUE"""),"Si")</f>
        <v>Si</v>
      </c>
      <c r="N564" s="7" t="str">
        <f>IFERROR(__xludf.DUMMYFUNCTION("""COMPUTED_VALUE"""),"Gimnasio")</f>
        <v>Gimnasio</v>
      </c>
      <c r="O564" s="7" t="str">
        <f>IFERROR(__xludf.DUMMYFUNCTION("""COMPUTED_VALUE"""),"6 a 7 veces por semana")</f>
        <v>6 a 7 veces por semana</v>
      </c>
      <c r="P564" s="7"/>
      <c r="Q564" s="7"/>
      <c r="R564" s="7"/>
      <c r="S564" s="7"/>
    </row>
    <row r="565">
      <c r="A565" s="7" t="str">
        <f t="shared" si="1"/>
        <v>Ketibian, Fabian</v>
      </c>
      <c r="B565" s="7">
        <f>SUMIFS('bd caja'!$K$1:$K$1012,'bd caja'!$D$1:$D$1012,A565)</f>
        <v>0</v>
      </c>
      <c r="C565" s="19">
        <f>IFERROR(__xludf.DUMMYFUNCTION("""COMPUTED_VALUE"""),45448.742748275465)</f>
        <v>45448.74275</v>
      </c>
      <c r="D565" s="7" t="str">
        <f>IFERROR(__xludf.DUMMYFUNCTION("""COMPUTED_VALUE"""),"Ketibian")</f>
        <v>Ketibian</v>
      </c>
      <c r="E565" s="7" t="str">
        <f>IFERROR(__xludf.DUMMYFUNCTION("""COMPUTED_VALUE"""),"Fabian")</f>
        <v>Fabian</v>
      </c>
      <c r="F565" s="7" t="str">
        <f>IFERROR(__xludf.DUMMYFUNCTION("""COMPUTED_VALUE"""),"ketibian@hotmail.com")</f>
        <v>ketibian@hotmail.com</v>
      </c>
      <c r="G565" s="20">
        <f>IFERROR(__xludf.DUMMYFUNCTION("""COMPUTED_VALUE"""),23995.0)</f>
        <v>23995</v>
      </c>
      <c r="H565" s="7">
        <f>IFERROR(__xludf.DUMMYFUNCTION("""COMPUTED_VALUE"""),1.7625264E7)</f>
        <v>17625264</v>
      </c>
      <c r="I565" s="7">
        <f>IFERROR(__xludf.DUMMYFUNCTION("""COMPUTED_VALUE"""),3.515186926E9)</f>
        <v>3515186926</v>
      </c>
      <c r="J565" s="7" t="str">
        <f>IFERROR(__xludf.DUMMYFUNCTION("""COMPUTED_VALUE"""),"Voy al gym Manantial")</f>
        <v>Voy al gym Manantial</v>
      </c>
      <c r="K565" s="7" t="str">
        <f>IFERROR(__xludf.DUMMYFUNCTION("""COMPUTED_VALUE"""),"Obra social")</f>
        <v>Obra social</v>
      </c>
      <c r="L565" s="7"/>
      <c r="M565" s="7" t="str">
        <f>IFERROR(__xludf.DUMMYFUNCTION("""COMPUTED_VALUE"""),"Si")</f>
        <v>Si</v>
      </c>
      <c r="N565" s="7" t="str">
        <f>IFERROR(__xludf.DUMMYFUNCTION("""COMPUTED_VALUE"""),"Padlet")</f>
        <v>Padlet</v>
      </c>
      <c r="O565" s="7" t="str">
        <f>IFERROR(__xludf.DUMMYFUNCTION("""COMPUTED_VALUE"""),"3 a 5 veces por semana")</f>
        <v>3 a 5 veces por semana</v>
      </c>
      <c r="P565" s="7"/>
      <c r="Q565" s="7" t="str">
        <f>IFERROR(__xludf.DUMMYFUNCTION("""COMPUTED_VALUE"""),"CPCE")</f>
        <v>CPCE</v>
      </c>
      <c r="R565" s="7"/>
      <c r="S565" s="7"/>
    </row>
    <row r="566">
      <c r="A566" s="7" t="str">
        <f t="shared" si="1"/>
        <v>Alvarez, Marcelo</v>
      </c>
      <c r="B566" s="7">
        <f>SUMIFS('bd caja'!$K$1:$K$1012,'bd caja'!$D$1:$D$1012,A566)</f>
        <v>0</v>
      </c>
      <c r="C566" s="19">
        <f>IFERROR(__xludf.DUMMYFUNCTION("""COMPUTED_VALUE"""),45448.79335230324)</f>
        <v>45448.79335</v>
      </c>
      <c r="D566" s="7" t="str">
        <f>IFERROR(__xludf.DUMMYFUNCTION("""COMPUTED_VALUE"""),"Alvarez")</f>
        <v>Alvarez</v>
      </c>
      <c r="E566" s="7" t="str">
        <f>IFERROR(__xludf.DUMMYFUNCTION("""COMPUTED_VALUE"""),"Marcelo")</f>
        <v>Marcelo</v>
      </c>
      <c r="F566" s="7" t="str">
        <f>IFERROR(__xludf.DUMMYFUNCTION("""COMPUTED_VALUE"""),"marcealvarez4@hotmail.com")</f>
        <v>marcealvarez4@hotmail.com</v>
      </c>
      <c r="G566" s="20">
        <f>IFERROR(__xludf.DUMMYFUNCTION("""COMPUTED_VALUE"""),25735.0)</f>
        <v>25735</v>
      </c>
      <c r="H566" s="7">
        <f>IFERROR(__xludf.DUMMYFUNCTION("""COMPUTED_VALUE"""),2.1398244E7)</f>
        <v>21398244</v>
      </c>
      <c r="I566" s="7">
        <f>IFERROR(__xludf.DUMMYFUNCTION("""COMPUTED_VALUE"""),3.516547039E9)</f>
        <v>3516547039</v>
      </c>
      <c r="J566" s="7" t="str">
        <f>IFERROR(__xludf.DUMMYFUNCTION("""COMPUTED_VALUE"""),"Voy al gym Manantial")</f>
        <v>Voy al gym Manantial</v>
      </c>
      <c r="K566" s="7" t="str">
        <f>IFERROR(__xludf.DUMMYFUNCTION("""COMPUTED_VALUE"""),"Obra social")</f>
        <v>Obra social</v>
      </c>
      <c r="L566" s="7"/>
      <c r="M566" s="7" t="str">
        <f>IFERROR(__xludf.DUMMYFUNCTION("""COMPUTED_VALUE"""),"Si")</f>
        <v>Si</v>
      </c>
      <c r="N566" s="7" t="str">
        <f>IFERROR(__xludf.DUMMYFUNCTION("""COMPUTED_VALUE"""),"Gimnasio")</f>
        <v>Gimnasio</v>
      </c>
      <c r="O566" s="7" t="str">
        <f>IFERROR(__xludf.DUMMYFUNCTION("""COMPUTED_VALUE"""),"3 a 5 veces por semana")</f>
        <v>3 a 5 veces por semana</v>
      </c>
      <c r="P566" s="7"/>
      <c r="Q566" s="7" t="str">
        <f>IFERROR(__xludf.DUMMYFUNCTION("""COMPUTED_VALUE"""),"DASPU")</f>
        <v>DASPU</v>
      </c>
      <c r="R566" s="7"/>
      <c r="S566" s="7"/>
    </row>
    <row r="567">
      <c r="A567" s="7" t="str">
        <f t="shared" si="1"/>
        <v>La Valva, Trinidad</v>
      </c>
      <c r="B567" s="7">
        <f>SUMIFS('bd caja'!$K$1:$K$1012,'bd caja'!$D$1:$D$1012,A567)</f>
        <v>0</v>
      </c>
      <c r="C567" s="19">
        <f>IFERROR(__xludf.DUMMYFUNCTION("""COMPUTED_VALUE"""),45453.67293159722)</f>
        <v>45453.67293</v>
      </c>
      <c r="D567" s="7" t="str">
        <f>IFERROR(__xludf.DUMMYFUNCTION("""COMPUTED_VALUE"""),"La Valva")</f>
        <v>La Valva</v>
      </c>
      <c r="E567" s="7" t="str">
        <f>IFERROR(__xludf.DUMMYFUNCTION("""COMPUTED_VALUE"""),"Trinidad")</f>
        <v>Trinidad</v>
      </c>
      <c r="F567" s="7" t="str">
        <f>IFERROR(__xludf.DUMMYFUNCTION("""COMPUTED_VALUE"""),"trinilav2004@gmail.com")</f>
        <v>trinilav2004@gmail.com</v>
      </c>
      <c r="G567" s="20">
        <f>IFERROR(__xludf.DUMMYFUNCTION("""COMPUTED_VALUE"""),37996.0)</f>
        <v>37996</v>
      </c>
      <c r="H567" s="7">
        <f>IFERROR(__xludf.DUMMYFUNCTION("""COMPUTED_VALUE"""),4.5243123E7)</f>
        <v>45243123</v>
      </c>
      <c r="I567" s="7">
        <f>IFERROR(__xludf.DUMMYFUNCTION("""COMPUTED_VALUE"""),3.512606496E9)</f>
        <v>3512606496</v>
      </c>
      <c r="J567" s="7" t="str">
        <f>IFERROR(__xludf.DUMMYFUNCTION("""COMPUTED_VALUE"""),"Recomendación")</f>
        <v>Recomendación</v>
      </c>
      <c r="K567" s="7" t="str">
        <f>IFERROR(__xludf.DUMMYFUNCTION("""COMPUTED_VALUE"""),"Obra social")</f>
        <v>Obra social</v>
      </c>
      <c r="L567" s="7"/>
      <c r="M567" s="7" t="str">
        <f>IFERROR(__xludf.DUMMYFUNCTION("""COMPUTED_VALUE"""),"Si")</f>
        <v>Si</v>
      </c>
      <c r="N567" s="7" t="str">
        <f>IFERROR(__xludf.DUMMYFUNCTION("""COMPUTED_VALUE"""),"Fútbol")</f>
        <v>Fútbol</v>
      </c>
      <c r="O567" s="7" t="str">
        <f>IFERROR(__xludf.DUMMYFUNCTION("""COMPUTED_VALUE"""),"1 a 2 veces por semana")</f>
        <v>1 a 2 veces por semana</v>
      </c>
      <c r="P567" s="7"/>
      <c r="Q567" s="7" t="str">
        <f>IFERROR(__xludf.DUMMYFUNCTION("""COMPUTED_VALUE"""),"APROSS")</f>
        <v>APROSS</v>
      </c>
      <c r="R567" s="7"/>
      <c r="S567" s="7"/>
    </row>
    <row r="568">
      <c r="A568" s="7" t="str">
        <f t="shared" si="1"/>
        <v>Festa, Walter</v>
      </c>
      <c r="B568" s="7">
        <f>SUMIFS('bd caja'!$K$1:$K$1012,'bd caja'!$D$1:$D$1012,A568)</f>
        <v>0</v>
      </c>
      <c r="C568" s="19">
        <f>IFERROR(__xludf.DUMMYFUNCTION("""COMPUTED_VALUE"""),45453.79267623843)</f>
        <v>45453.79268</v>
      </c>
      <c r="D568" s="7" t="str">
        <f>IFERROR(__xludf.DUMMYFUNCTION("""COMPUTED_VALUE"""),"Festa")</f>
        <v>Festa</v>
      </c>
      <c r="E568" s="7" t="str">
        <f>IFERROR(__xludf.DUMMYFUNCTION("""COMPUTED_VALUE"""),"Walter")</f>
        <v>Walter</v>
      </c>
      <c r="F568" s="7" t="str">
        <f>IFERROR(__xludf.DUMMYFUNCTION("""COMPUTED_VALUE"""),"unmaridoencasaweb@gmail.com")</f>
        <v>unmaridoencasaweb@gmail.com</v>
      </c>
      <c r="G568" s="20">
        <f>IFERROR(__xludf.DUMMYFUNCTION("""COMPUTED_VALUE"""),24445.0)</f>
        <v>24445</v>
      </c>
      <c r="H568" s="7">
        <f>IFERROR(__xludf.DUMMYFUNCTION("""COMPUTED_VALUE"""),1.8174227E7)</f>
        <v>18174227</v>
      </c>
      <c r="I568" s="7">
        <f>IFERROR(__xludf.DUMMYFUNCTION("""COMPUTED_VALUE"""),3.516878235E9)</f>
        <v>3516878235</v>
      </c>
      <c r="J568" s="7" t="str">
        <f>IFERROR(__xludf.DUMMYFUNCTION("""COMPUTED_VALUE"""),"Recomendación")</f>
        <v>Recomendación</v>
      </c>
      <c r="K568" s="7" t="str">
        <f>IFERROR(__xludf.DUMMYFUNCTION("""COMPUTED_VALUE"""),"Particular")</f>
        <v>Particular</v>
      </c>
      <c r="L568" s="7"/>
      <c r="M568" s="7" t="str">
        <f>IFERROR(__xludf.DUMMYFUNCTION("""COMPUTED_VALUE"""),"Si")</f>
        <v>Si</v>
      </c>
      <c r="N568" s="7" t="str">
        <f>IFERROR(__xludf.DUMMYFUNCTION("""COMPUTED_VALUE"""),"Running")</f>
        <v>Running</v>
      </c>
      <c r="O568" s="7" t="str">
        <f>IFERROR(__xludf.DUMMYFUNCTION("""COMPUTED_VALUE"""),"6 a 7 veces por semana")</f>
        <v>6 a 7 veces por semana</v>
      </c>
      <c r="P568" s="7"/>
      <c r="Q568" s="7"/>
      <c r="R568" s="7"/>
      <c r="S568" s="7"/>
    </row>
    <row r="569">
      <c r="A569" s="7" t="str">
        <f t="shared" si="1"/>
        <v>Salguero , Daniel</v>
      </c>
      <c r="B569" s="7">
        <f>SUMIFS('bd caja'!$K$1:$K$1012,'bd caja'!$D$1:$D$1012,A569)</f>
        <v>0</v>
      </c>
      <c r="C569" s="19">
        <f>IFERROR(__xludf.DUMMYFUNCTION("""COMPUTED_VALUE"""),45453.95019423611)</f>
        <v>45453.95019</v>
      </c>
      <c r="D569" s="7" t="str">
        <f>IFERROR(__xludf.DUMMYFUNCTION("""COMPUTED_VALUE"""),"Salguero ")</f>
        <v>Salguero </v>
      </c>
      <c r="E569" s="7" t="str">
        <f>IFERROR(__xludf.DUMMYFUNCTION("""COMPUTED_VALUE"""),"Daniel")</f>
        <v>Daniel</v>
      </c>
      <c r="F569" s="7" t="str">
        <f>IFERROR(__xludf.DUMMYFUNCTION("""COMPUTED_VALUE"""),"Daniel.salguero820@gmail.com ")</f>
        <v>Daniel.salguero820@gmail.com </v>
      </c>
      <c r="G569" s="20">
        <f>IFERROR(__xludf.DUMMYFUNCTION("""COMPUTED_VALUE"""),32396.0)</f>
        <v>32396</v>
      </c>
      <c r="H569" s="7">
        <f>IFERROR(__xludf.DUMMYFUNCTION("""COMPUTED_VALUE"""),3.389482E7)</f>
        <v>33894820</v>
      </c>
      <c r="I569" s="7">
        <f>IFERROR(__xludf.DUMMYFUNCTION("""COMPUTED_VALUE"""),3.518058807E9)</f>
        <v>3518058807</v>
      </c>
      <c r="J569" s="7" t="str">
        <f>IFERROR(__xludf.DUMMYFUNCTION("""COMPUTED_VALUE"""),"Instagram")</f>
        <v>Instagram</v>
      </c>
      <c r="K569" s="7" t="str">
        <f>IFERROR(__xludf.DUMMYFUNCTION("""COMPUTED_VALUE"""),"Obra social")</f>
        <v>Obra social</v>
      </c>
      <c r="L569" s="7"/>
      <c r="M569" s="7" t="str">
        <f>IFERROR(__xludf.DUMMYFUNCTION("""COMPUTED_VALUE"""),"Si")</f>
        <v>Si</v>
      </c>
      <c r="N569" s="7" t="str">
        <f>IFERROR(__xludf.DUMMYFUNCTION("""COMPUTED_VALUE"""),"Running")</f>
        <v>Running</v>
      </c>
      <c r="O569" s="7" t="str">
        <f>IFERROR(__xludf.DUMMYFUNCTION("""COMPUTED_VALUE"""),"3 a 5 veces por semana")</f>
        <v>3 a 5 veces por semana</v>
      </c>
      <c r="P569" s="7"/>
      <c r="Q569" s="7" t="str">
        <f>IFERROR(__xludf.DUMMYFUNCTION("""COMPUTED_VALUE"""),"Gea ")</f>
        <v>Gea </v>
      </c>
      <c r="R569" s="7"/>
      <c r="S569" s="7"/>
    </row>
    <row r="570">
      <c r="A570" s="7" t="str">
        <f t="shared" si="1"/>
        <v>Bruzzo, César </v>
      </c>
      <c r="B570" s="7">
        <f>SUMIFS('bd caja'!$K$1:$K$1012,'bd caja'!$D$1:$D$1012,A570)</f>
        <v>0</v>
      </c>
      <c r="C570" s="19">
        <f>IFERROR(__xludf.DUMMYFUNCTION("""COMPUTED_VALUE"""),45455.832310474536)</f>
        <v>45455.83231</v>
      </c>
      <c r="D570" s="7" t="str">
        <f>IFERROR(__xludf.DUMMYFUNCTION("""COMPUTED_VALUE"""),"Bruzzo")</f>
        <v>Bruzzo</v>
      </c>
      <c r="E570" s="7" t="str">
        <f>IFERROR(__xludf.DUMMYFUNCTION("""COMPUTED_VALUE"""),"César ")</f>
        <v>César </v>
      </c>
      <c r="F570" s="7" t="str">
        <f>IFERROR(__xludf.DUMMYFUNCTION("""COMPUTED_VALUE"""),"ce_bruzzo@hotmail.com")</f>
        <v>ce_bruzzo@hotmail.com</v>
      </c>
      <c r="G570" s="20">
        <f>IFERROR(__xludf.DUMMYFUNCTION("""COMPUTED_VALUE"""),30972.0)</f>
        <v>30972</v>
      </c>
      <c r="H570" s="7">
        <f>IFERROR(__xludf.DUMMYFUNCTION("""COMPUTED_VALUE"""),3.1057686E7)</f>
        <v>31057686</v>
      </c>
      <c r="I570" s="7">
        <f>IFERROR(__xludf.DUMMYFUNCTION("""COMPUTED_VALUE"""),3.513139577E9)</f>
        <v>3513139577</v>
      </c>
      <c r="J570" s="7" t="str">
        <f>IFERROR(__xludf.DUMMYFUNCTION("""COMPUTED_VALUE"""),"Google")</f>
        <v>Google</v>
      </c>
      <c r="K570" s="7" t="str">
        <f>IFERROR(__xludf.DUMMYFUNCTION("""COMPUTED_VALUE"""),"Obra social")</f>
        <v>Obra social</v>
      </c>
      <c r="L570" s="7"/>
      <c r="M570" s="7" t="str">
        <f>IFERROR(__xludf.DUMMYFUNCTION("""COMPUTED_VALUE"""),"Si")</f>
        <v>Si</v>
      </c>
      <c r="N570" s="7" t="str">
        <f>IFERROR(__xludf.DUMMYFUNCTION("""COMPUTED_VALUE"""),"Fútbol")</f>
        <v>Fútbol</v>
      </c>
      <c r="O570" s="7" t="str">
        <f>IFERROR(__xludf.DUMMYFUNCTION("""COMPUTED_VALUE"""),"1 a 2 veces por semana")</f>
        <v>1 a 2 veces por semana</v>
      </c>
      <c r="P570" s="7"/>
      <c r="Q570" s="7" t="str">
        <f>IFERROR(__xludf.DUMMYFUNCTION("""COMPUTED_VALUE"""),"PREVENCIÓN")</f>
        <v>PREVENCIÓN</v>
      </c>
      <c r="R570" s="7"/>
      <c r="S570" s="7"/>
    </row>
    <row r="571">
      <c r="A571" s="7" t="str">
        <f t="shared" si="1"/>
        <v>Atienza, Julieta</v>
      </c>
      <c r="B571" s="7">
        <f>SUMIFS('bd caja'!$K$1:$K$1012,'bd caja'!$D$1:$D$1012,A571)</f>
        <v>0</v>
      </c>
      <c r="C571" s="19">
        <f>IFERROR(__xludf.DUMMYFUNCTION("""COMPUTED_VALUE"""),45455.851470023146)</f>
        <v>45455.85147</v>
      </c>
      <c r="D571" s="7" t="str">
        <f>IFERROR(__xludf.DUMMYFUNCTION("""COMPUTED_VALUE"""),"Atienza")</f>
        <v>Atienza</v>
      </c>
      <c r="E571" s="7" t="str">
        <f>IFERROR(__xludf.DUMMYFUNCTION("""COMPUTED_VALUE"""),"Julieta")</f>
        <v>Julieta</v>
      </c>
      <c r="F571" s="7" t="str">
        <f>IFERROR(__xludf.DUMMYFUNCTION("""COMPUTED_VALUE"""),"Julieta.atienza@mi.unc.edu.ar ")</f>
        <v>Julieta.atienza@mi.unc.edu.ar </v>
      </c>
      <c r="G571" s="20">
        <f>IFERROR(__xludf.DUMMYFUNCTION("""COMPUTED_VALUE"""),37203.0)</f>
        <v>37203</v>
      </c>
      <c r="H571" s="21">
        <f>IFERROR(__xludf.DUMMYFUNCTION("""COMPUTED_VALUE"""),4.3763356E7)</f>
        <v>43763356</v>
      </c>
      <c r="I571" s="7">
        <f>IFERROR(__xludf.DUMMYFUNCTION("""COMPUTED_VALUE"""),2.645300647E9)</f>
        <v>2645300647</v>
      </c>
      <c r="J571" s="7" t="str">
        <f>IFERROR(__xludf.DUMMYFUNCTION("""COMPUTED_VALUE"""),"Google")</f>
        <v>Google</v>
      </c>
      <c r="K571" s="7" t="str">
        <f>IFERROR(__xludf.DUMMYFUNCTION("""COMPUTED_VALUE"""),"Particular")</f>
        <v>Particular</v>
      </c>
      <c r="L571" s="7"/>
      <c r="M571" s="7" t="str">
        <f>IFERROR(__xludf.DUMMYFUNCTION("""COMPUTED_VALUE"""),"No")</f>
        <v>No</v>
      </c>
      <c r="N571" s="7"/>
      <c r="O571" s="7"/>
      <c r="P571" s="7"/>
      <c r="Q571" s="7"/>
      <c r="R571" s="7"/>
      <c r="S571" s="7"/>
    </row>
    <row r="572">
      <c r="A572" s="7" t="str">
        <f t="shared" si="1"/>
        <v>Gudiño, Ivana </v>
      </c>
      <c r="B572" s="7">
        <f>SUMIFS('bd caja'!$K$1:$K$1012,'bd caja'!$D$1:$D$1012,A572)</f>
        <v>0</v>
      </c>
      <c r="C572" s="19">
        <f>IFERROR(__xludf.DUMMYFUNCTION("""COMPUTED_VALUE"""),45461.61398025463)</f>
        <v>45461.61398</v>
      </c>
      <c r="D572" s="7" t="str">
        <f>IFERROR(__xludf.DUMMYFUNCTION("""COMPUTED_VALUE"""),"Gudiño")</f>
        <v>Gudiño</v>
      </c>
      <c r="E572" s="7" t="str">
        <f>IFERROR(__xludf.DUMMYFUNCTION("""COMPUTED_VALUE"""),"Ivana ")</f>
        <v>Ivana </v>
      </c>
      <c r="F572" s="7" t="str">
        <f>IFERROR(__xludf.DUMMYFUNCTION("""COMPUTED_VALUE"""),"ivanagudinio@gmail.com")</f>
        <v>ivanagudinio@gmail.com</v>
      </c>
      <c r="G572" s="20">
        <f>IFERROR(__xludf.DUMMYFUNCTION("""COMPUTED_VALUE"""),32396.0)</f>
        <v>32396</v>
      </c>
      <c r="H572" s="7">
        <f>IFERROR(__xludf.DUMMYFUNCTION("""COMPUTED_VALUE"""),3.3892932E7)</f>
        <v>33892932</v>
      </c>
      <c r="I572" s="7">
        <f>IFERROR(__xludf.DUMMYFUNCTION("""COMPUTED_VALUE"""),3.517548373E9)</f>
        <v>3517548373</v>
      </c>
      <c r="J572" s="7" t="str">
        <f>IFERROR(__xludf.DUMMYFUNCTION("""COMPUTED_VALUE"""),"Recomendación")</f>
        <v>Recomendación</v>
      </c>
      <c r="K572" s="7" t="str">
        <f>IFERROR(__xludf.DUMMYFUNCTION("""COMPUTED_VALUE"""),"Particular")</f>
        <v>Particular</v>
      </c>
      <c r="L572" s="7"/>
      <c r="M572" s="7" t="str">
        <f>IFERROR(__xludf.DUMMYFUNCTION("""COMPUTED_VALUE"""),"Si")</f>
        <v>Si</v>
      </c>
      <c r="N572" s="7" t="str">
        <f>IFERROR(__xludf.DUMMYFUNCTION("""COMPUTED_VALUE"""),"Running")</f>
        <v>Running</v>
      </c>
      <c r="O572" s="7" t="str">
        <f>IFERROR(__xludf.DUMMYFUNCTION("""COMPUTED_VALUE"""),"3 a 5 veces por semana")</f>
        <v>3 a 5 veces por semana</v>
      </c>
      <c r="P572" s="7"/>
      <c r="Q572" s="7"/>
      <c r="R572" s="7"/>
      <c r="S572" s="7"/>
    </row>
    <row r="573">
      <c r="A573" s="7" t="str">
        <f t="shared" si="1"/>
        <v>Figueroa Giardi , Francisco Uriel </v>
      </c>
      <c r="B573" s="7">
        <f>SUMIFS('bd caja'!$K$1:$K$1012,'bd caja'!$D$1:$D$1012,A573)</f>
        <v>0</v>
      </c>
      <c r="C573" s="19">
        <f>IFERROR(__xludf.DUMMYFUNCTION("""COMPUTED_VALUE"""),45462.78624177084)</f>
        <v>45462.78624</v>
      </c>
      <c r="D573" s="7" t="str">
        <f>IFERROR(__xludf.DUMMYFUNCTION("""COMPUTED_VALUE"""),"Figueroa Giardi ")</f>
        <v>Figueroa Giardi </v>
      </c>
      <c r="E573" s="7" t="str">
        <f>IFERROR(__xludf.DUMMYFUNCTION("""COMPUTED_VALUE"""),"Francisco Uriel ")</f>
        <v>Francisco Uriel </v>
      </c>
      <c r="F573" s="7" t="str">
        <f>IFERROR(__xludf.DUMMYFUNCTION("""COMPUTED_VALUE"""),"figue9804@gmail.com")</f>
        <v>figue9804@gmail.com</v>
      </c>
      <c r="G573" s="20">
        <f>IFERROR(__xludf.DUMMYFUNCTION("""COMPUTED_VALUE"""),35927.0)</f>
        <v>35927</v>
      </c>
      <c r="H573" s="7">
        <f>IFERROR(__xludf.DUMMYFUNCTION("""COMPUTED_VALUE"""),4.111539E7)</f>
        <v>41115390</v>
      </c>
      <c r="I573" s="7">
        <f>IFERROR(__xludf.DUMMYFUNCTION("""COMPUTED_VALUE"""),3.543642008E9)</f>
        <v>3543642008</v>
      </c>
      <c r="J573" s="7" t="str">
        <f>IFERROR(__xludf.DUMMYFUNCTION("""COMPUTED_VALUE"""),"Google")</f>
        <v>Google</v>
      </c>
      <c r="K573" s="7" t="str">
        <f>IFERROR(__xludf.DUMMYFUNCTION("""COMPUTED_VALUE"""),"Particular")</f>
        <v>Particular</v>
      </c>
      <c r="L573" s="7"/>
      <c r="M573" s="7" t="str">
        <f>IFERROR(__xludf.DUMMYFUNCTION("""COMPUTED_VALUE"""),"Si")</f>
        <v>Si</v>
      </c>
      <c r="N573" s="7" t="str">
        <f>IFERROR(__xludf.DUMMYFUNCTION("""COMPUTED_VALUE"""),"Gimnasio")</f>
        <v>Gimnasio</v>
      </c>
      <c r="O573" s="7" t="str">
        <f>IFERROR(__xludf.DUMMYFUNCTION("""COMPUTED_VALUE"""),"3 a 5 veces por semana")</f>
        <v>3 a 5 veces por semana</v>
      </c>
      <c r="P573" s="7"/>
      <c r="Q573" s="7"/>
      <c r="R573" s="7"/>
      <c r="S573" s="7"/>
    </row>
    <row r="574">
      <c r="A574" s="7" t="str">
        <f t="shared" si="1"/>
        <v>Carreras, Julieta </v>
      </c>
      <c r="B574" s="7">
        <f>SUMIFS('bd caja'!$K$1:$K$1012,'bd caja'!$D$1:$D$1012,A574)</f>
        <v>0</v>
      </c>
      <c r="C574" s="19">
        <f>IFERROR(__xludf.DUMMYFUNCTION("""COMPUTED_VALUE"""),45463.838611134255)</f>
        <v>45463.83861</v>
      </c>
      <c r="D574" s="7" t="str">
        <f>IFERROR(__xludf.DUMMYFUNCTION("""COMPUTED_VALUE"""),"Carreras")</f>
        <v>Carreras</v>
      </c>
      <c r="E574" s="7" t="str">
        <f>IFERROR(__xludf.DUMMYFUNCTION("""COMPUTED_VALUE"""),"Julieta ")</f>
        <v>Julieta </v>
      </c>
      <c r="F574" s="7" t="str">
        <f>IFERROR(__xludf.DUMMYFUNCTION("""COMPUTED_VALUE"""),"julieta.carreras09@gmail.com")</f>
        <v>julieta.carreras09@gmail.com</v>
      </c>
      <c r="G574" s="20">
        <f>IFERROR(__xludf.DUMMYFUNCTION("""COMPUTED_VALUE"""),38330.0)</f>
        <v>38330</v>
      </c>
      <c r="H574" s="7">
        <f>IFERROR(__xludf.DUMMYFUNCTION("""COMPUTED_VALUE"""),4.6032866E7)</f>
        <v>46032866</v>
      </c>
      <c r="I574" s="7">
        <f>IFERROR(__xludf.DUMMYFUNCTION("""COMPUTED_VALUE"""),3.513083558E9)</f>
        <v>3513083558</v>
      </c>
      <c r="J574" s="7" t="str">
        <f>IFERROR(__xludf.DUMMYFUNCTION("""COMPUTED_VALUE"""),"Recomendación")</f>
        <v>Recomendación</v>
      </c>
      <c r="K574" s="7" t="str">
        <f>IFERROR(__xludf.DUMMYFUNCTION("""COMPUTED_VALUE"""),"Obra social")</f>
        <v>Obra social</v>
      </c>
      <c r="L574" s="7"/>
      <c r="M574" s="7" t="str">
        <f>IFERROR(__xludf.DUMMYFUNCTION("""COMPUTED_VALUE"""),"Si")</f>
        <v>Si</v>
      </c>
      <c r="N574" s="7" t="str">
        <f>IFERROR(__xludf.DUMMYFUNCTION("""COMPUTED_VALUE"""),"Voley")</f>
        <v>Voley</v>
      </c>
      <c r="O574" s="7" t="str">
        <f>IFERROR(__xludf.DUMMYFUNCTION("""COMPUTED_VALUE"""),"3 a 5 veces por semana")</f>
        <v>3 a 5 veces por semana</v>
      </c>
      <c r="P574" s="7"/>
      <c r="Q574" s="7" t="str">
        <f>IFERROR(__xludf.DUMMYFUNCTION("""COMPUTED_VALUE"""),"Boreal")</f>
        <v>Boreal</v>
      </c>
      <c r="R574" s="7"/>
      <c r="S574" s="7"/>
    </row>
    <row r="575">
      <c r="A575" s="7" t="str">
        <f t="shared" si="1"/>
        <v>Bergoglio, Bruno </v>
      </c>
      <c r="B575" s="7">
        <f>SUMIFS('bd caja'!$K$1:$K$1012,'bd caja'!$D$1:$D$1012,A575)</f>
        <v>0</v>
      </c>
      <c r="C575" s="19">
        <f>IFERROR(__xludf.DUMMYFUNCTION("""COMPUTED_VALUE"""),45467.68085815972)</f>
        <v>45467.68086</v>
      </c>
      <c r="D575" s="7" t="str">
        <f>IFERROR(__xludf.DUMMYFUNCTION("""COMPUTED_VALUE"""),"Bergoglio")</f>
        <v>Bergoglio</v>
      </c>
      <c r="E575" s="7" t="str">
        <f>IFERROR(__xludf.DUMMYFUNCTION("""COMPUTED_VALUE"""),"Bruno ")</f>
        <v>Bruno </v>
      </c>
      <c r="F575" s="7" t="str">
        <f>IFERROR(__xludf.DUMMYFUNCTION("""COMPUTED_VALUE"""),"brunobergoglio99@gmail.com")</f>
        <v>brunobergoglio99@gmail.com</v>
      </c>
      <c r="G575" s="20">
        <f>IFERROR(__xludf.DUMMYFUNCTION("""COMPUTED_VALUE"""),36199.0)</f>
        <v>36199</v>
      </c>
      <c r="H575" s="7">
        <f>IFERROR(__xludf.DUMMYFUNCTION("""COMPUTED_VALUE"""),4.1735937E7)</f>
        <v>41735937</v>
      </c>
      <c r="I575" s="7">
        <f>IFERROR(__xludf.DUMMYFUNCTION("""COMPUTED_VALUE"""),3.517535954E9)</f>
        <v>3517535954</v>
      </c>
      <c r="J575" s="7" t="str">
        <f>IFERROR(__xludf.DUMMYFUNCTION("""COMPUTED_VALUE"""),"Recomendación")</f>
        <v>Recomendación</v>
      </c>
      <c r="K575" s="7" t="str">
        <f>IFERROR(__xludf.DUMMYFUNCTION("""COMPUTED_VALUE"""),"Particular")</f>
        <v>Particular</v>
      </c>
      <c r="L575" s="7"/>
      <c r="M575" s="7" t="str">
        <f>IFERROR(__xludf.DUMMYFUNCTION("""COMPUTED_VALUE"""),"Si")</f>
        <v>Si</v>
      </c>
      <c r="N575" s="7" t="str">
        <f>IFERROR(__xludf.DUMMYFUNCTION("""COMPUTED_VALUE"""),"Fútbol")</f>
        <v>Fútbol</v>
      </c>
      <c r="O575" s="7"/>
      <c r="P575" s="7"/>
      <c r="Q575" s="7"/>
      <c r="R575" s="7"/>
      <c r="S575" s="7"/>
    </row>
    <row r="576">
      <c r="A576" s="7" t="str">
        <f t="shared" si="1"/>
        <v>Sinastra, Ezequiel</v>
      </c>
      <c r="B576" s="7">
        <f>SUMIFS('bd caja'!$K$1:$K$1012,'bd caja'!$D$1:$D$1012,A576)</f>
        <v>0</v>
      </c>
      <c r="C576" s="19">
        <f>IFERROR(__xludf.DUMMYFUNCTION("""COMPUTED_VALUE"""),45467.75726333333)</f>
        <v>45467.75726</v>
      </c>
      <c r="D576" s="7" t="str">
        <f>IFERROR(__xludf.DUMMYFUNCTION("""COMPUTED_VALUE"""),"Sinastra")</f>
        <v>Sinastra</v>
      </c>
      <c r="E576" s="7" t="str">
        <f>IFERROR(__xludf.DUMMYFUNCTION("""COMPUTED_VALUE"""),"Ezequiel")</f>
        <v>Ezequiel</v>
      </c>
      <c r="F576" s="7" t="str">
        <f>IFERROR(__xludf.DUMMYFUNCTION("""COMPUTED_VALUE"""),"esinastra@gmail.com")</f>
        <v>esinastra@gmail.com</v>
      </c>
      <c r="G576" s="20">
        <f>IFERROR(__xludf.DUMMYFUNCTION("""COMPUTED_VALUE"""),33710.0)</f>
        <v>33710</v>
      </c>
      <c r="H576" s="7">
        <f>IFERROR(__xludf.DUMMYFUNCTION("""COMPUTED_VALUE"""),3.6766785E7)</f>
        <v>36766785</v>
      </c>
      <c r="I576" s="7">
        <f>IFERROR(__xludf.DUMMYFUNCTION("""COMPUTED_VALUE"""),3.512084672E9)</f>
        <v>3512084672</v>
      </c>
      <c r="J576" s="7" t="str">
        <f>IFERROR(__xludf.DUMMYFUNCTION("""COMPUTED_VALUE"""),"Recomendación")</f>
        <v>Recomendación</v>
      </c>
      <c r="K576" s="7" t="str">
        <f>IFERROR(__xludf.DUMMYFUNCTION("""COMPUTED_VALUE"""),"Obra social")</f>
        <v>Obra social</v>
      </c>
      <c r="L576" s="7"/>
      <c r="M576" s="7" t="str">
        <f>IFERROR(__xludf.DUMMYFUNCTION("""COMPUTED_VALUE"""),"No")</f>
        <v>No</v>
      </c>
      <c r="N576" s="7"/>
      <c r="O576" s="7"/>
      <c r="P576" s="7"/>
      <c r="Q576" s="7" t="str">
        <f>IFERROR(__xludf.DUMMYFUNCTION("""COMPUTED_VALUE"""),"SANCOR")</f>
        <v>SANCOR</v>
      </c>
      <c r="R576" s="7"/>
      <c r="S576" s="7"/>
    </row>
    <row r="577">
      <c r="A577" s="7" t="str">
        <f t="shared" si="1"/>
        <v>Leichner, Matías </v>
      </c>
      <c r="B577" s="7">
        <f>SUMIFS('bd caja'!$K$1:$K$1012,'bd caja'!$D$1:$D$1012,A577)</f>
        <v>0</v>
      </c>
      <c r="C577" s="19">
        <f>IFERROR(__xludf.DUMMYFUNCTION("""COMPUTED_VALUE"""),45467.789752337965)</f>
        <v>45467.78975</v>
      </c>
      <c r="D577" s="7" t="str">
        <f>IFERROR(__xludf.DUMMYFUNCTION("""COMPUTED_VALUE"""),"Leichner")</f>
        <v>Leichner</v>
      </c>
      <c r="E577" s="7" t="str">
        <f>IFERROR(__xludf.DUMMYFUNCTION("""COMPUTED_VALUE"""),"Matías ")</f>
        <v>Matías </v>
      </c>
      <c r="F577" s="7" t="str">
        <f>IFERROR(__xludf.DUMMYFUNCTION("""COMPUTED_VALUE"""),"Leichner.matias27@gmail.com")</f>
        <v>Leichner.matias27@gmail.com</v>
      </c>
      <c r="G577" s="20">
        <f>IFERROR(__xludf.DUMMYFUNCTION("""COMPUTED_VALUE"""),31960.0)</f>
        <v>31960</v>
      </c>
      <c r="H577" s="7">
        <f>IFERROR(__xludf.DUMMYFUNCTION("""COMPUTED_VALUE"""),3.3101362E7)</f>
        <v>33101362</v>
      </c>
      <c r="I577" s="7">
        <f>IFERROR(__xludf.DUMMYFUNCTION("""COMPUTED_VALUE"""),3.51233576E9)</f>
        <v>3512335760</v>
      </c>
      <c r="J577" s="7" t="str">
        <f>IFERROR(__xludf.DUMMYFUNCTION("""COMPUTED_VALUE"""),"Recomendación")</f>
        <v>Recomendación</v>
      </c>
      <c r="K577" s="7" t="str">
        <f>IFERROR(__xludf.DUMMYFUNCTION("""COMPUTED_VALUE"""),"Obra social")</f>
        <v>Obra social</v>
      </c>
      <c r="L577" s="7"/>
      <c r="M577" s="7" t="str">
        <f>IFERROR(__xludf.DUMMYFUNCTION("""COMPUTED_VALUE"""),"Si")</f>
        <v>Si</v>
      </c>
      <c r="N577" s="7" t="str">
        <f>IFERROR(__xludf.DUMMYFUNCTION("""COMPUTED_VALUE"""),"Fútbol")</f>
        <v>Fútbol</v>
      </c>
      <c r="O577" s="7" t="str">
        <f>IFERROR(__xludf.DUMMYFUNCTION("""COMPUTED_VALUE"""),"1 a 2 veces por semana")</f>
        <v>1 a 2 veces por semana</v>
      </c>
      <c r="P577" s="7"/>
      <c r="Q577" s="7" t="str">
        <f>IFERROR(__xludf.DUMMYFUNCTION("""COMPUTED_VALUE"""),"Omin")</f>
        <v>Omin</v>
      </c>
      <c r="R577" s="7"/>
      <c r="S577" s="7"/>
    </row>
    <row r="578">
      <c r="A578" s="7" t="str">
        <f t="shared" si="1"/>
        <v>Capuano , Carolina</v>
      </c>
      <c r="B578" s="7">
        <f>SUMIFS('bd caja'!$K$1:$K$1012,'bd caja'!$D$1:$D$1012,A578)</f>
        <v>0</v>
      </c>
      <c r="C578" s="19">
        <f>IFERROR(__xludf.DUMMYFUNCTION("""COMPUTED_VALUE"""),45468.60597092593)</f>
        <v>45468.60597</v>
      </c>
      <c r="D578" s="7" t="str">
        <f>IFERROR(__xludf.DUMMYFUNCTION("""COMPUTED_VALUE"""),"Capuano ")</f>
        <v>Capuano </v>
      </c>
      <c r="E578" s="7" t="str">
        <f>IFERROR(__xludf.DUMMYFUNCTION("""COMPUTED_VALUE"""),"Carolina")</f>
        <v>Carolina</v>
      </c>
      <c r="F578" s="7" t="str">
        <f>IFERROR(__xludf.DUMMYFUNCTION("""COMPUTED_VALUE"""),"caritocapuano@gmail.com")</f>
        <v>caritocapuano@gmail.com</v>
      </c>
      <c r="G578" s="20">
        <f>IFERROR(__xludf.DUMMYFUNCTION("""COMPUTED_VALUE"""),36227.0)</f>
        <v>36227</v>
      </c>
      <c r="H578" s="7">
        <f>IFERROR(__xludf.DUMMYFUNCTION("""COMPUTED_VALUE"""),4.1810153E7)</f>
        <v>41810153</v>
      </c>
      <c r="I578" s="7">
        <f>IFERROR(__xludf.DUMMYFUNCTION("""COMPUTED_VALUE"""),3.517516899E9)</f>
        <v>3517516899</v>
      </c>
      <c r="J578" s="7" t="str">
        <f>IFERROR(__xludf.DUMMYFUNCTION("""COMPUTED_VALUE"""),"Google")</f>
        <v>Google</v>
      </c>
      <c r="K578" s="7" t="str">
        <f>IFERROR(__xludf.DUMMYFUNCTION("""COMPUTED_VALUE"""),"Obra social")</f>
        <v>Obra social</v>
      </c>
      <c r="L578" s="7"/>
      <c r="M578" s="7" t="str">
        <f>IFERROR(__xludf.DUMMYFUNCTION("""COMPUTED_VALUE"""),"Si")</f>
        <v>Si</v>
      </c>
      <c r="N578" s="7" t="str">
        <f>IFERROR(__xludf.DUMMYFUNCTION("""COMPUTED_VALUE"""),"Gimnasio")</f>
        <v>Gimnasio</v>
      </c>
      <c r="O578" s="7" t="str">
        <f>IFERROR(__xludf.DUMMYFUNCTION("""COMPUTED_VALUE"""),"3 a 5 veces por semana")</f>
        <v>3 a 5 veces por semana</v>
      </c>
      <c r="P578" s="7"/>
      <c r="Q578" s="7" t="str">
        <f>IFERROR(__xludf.DUMMYFUNCTION("""COMPUTED_VALUE"""),"DASPU")</f>
        <v>DASPU</v>
      </c>
      <c r="R578" s="7"/>
      <c r="S578" s="7"/>
    </row>
    <row r="579">
      <c r="A579" s="7" t="str">
        <f t="shared" si="1"/>
        <v>Martinez, Marite</v>
      </c>
      <c r="B579" s="7">
        <f>SUMIFS('bd caja'!$K$1:$K$1012,'bd caja'!$D$1:$D$1012,A579)</f>
        <v>0</v>
      </c>
      <c r="C579" s="19">
        <f>IFERROR(__xludf.DUMMYFUNCTION("""COMPUTED_VALUE"""),45469.47734017362)</f>
        <v>45469.47734</v>
      </c>
      <c r="D579" s="7" t="str">
        <f>IFERROR(__xludf.DUMMYFUNCTION("""COMPUTED_VALUE"""),"Martinez")</f>
        <v>Martinez</v>
      </c>
      <c r="E579" s="7" t="str">
        <f>IFERROR(__xludf.DUMMYFUNCTION("""COMPUTED_VALUE"""),"Marite")</f>
        <v>Marite</v>
      </c>
      <c r="F579" s="7" t="str">
        <f>IFERROR(__xludf.DUMMYFUNCTION("""COMPUTED_VALUE"""),"marite-martinez@hotmail.com")</f>
        <v>marite-martinez@hotmail.com</v>
      </c>
      <c r="G579" s="24">
        <f>IFERROR(__xludf.DUMMYFUNCTION("""COMPUTED_VALUE"""),20803.0)</f>
        <v>20803</v>
      </c>
      <c r="H579" s="7">
        <f>IFERROR(__xludf.DUMMYFUNCTION("""COMPUTED_VALUE"""),1.2744863E7)</f>
        <v>12744863</v>
      </c>
      <c r="I579" s="7">
        <f>IFERROR(__xludf.DUMMYFUNCTION("""COMPUTED_VALUE"""),3.513189626E9)</f>
        <v>3513189626</v>
      </c>
      <c r="J579" s="7" t="str">
        <f>IFERROR(__xludf.DUMMYFUNCTION("""COMPUTED_VALUE"""),"Recomendación")</f>
        <v>Recomendación</v>
      </c>
      <c r="K579" s="7" t="str">
        <f>IFERROR(__xludf.DUMMYFUNCTION("""COMPUTED_VALUE"""),"Particular")</f>
        <v>Particular</v>
      </c>
      <c r="L579" s="7"/>
      <c r="M579" s="7" t="str">
        <f>IFERROR(__xludf.DUMMYFUNCTION("""COMPUTED_VALUE"""),"Si")</f>
        <v>Si</v>
      </c>
      <c r="N579" s="7" t="str">
        <f>IFERROR(__xludf.DUMMYFUNCTION("""COMPUTED_VALUE"""),"Baile")</f>
        <v>Baile</v>
      </c>
      <c r="O579" s="7" t="str">
        <f>IFERROR(__xludf.DUMMYFUNCTION("""COMPUTED_VALUE"""),"3 a 5 veces por semana")</f>
        <v>3 a 5 veces por semana</v>
      </c>
      <c r="P579" s="7"/>
      <c r="Q579" s="7"/>
      <c r="R579" s="7"/>
      <c r="S579" s="7"/>
    </row>
    <row r="580">
      <c r="A580" s="7" t="str">
        <f t="shared" si="1"/>
        <v>Barrera , Patricia </v>
      </c>
      <c r="B580" s="7">
        <f>SUMIFS('bd caja'!$K$1:$K$1012,'bd caja'!$D$1:$D$1012,A580)</f>
        <v>0</v>
      </c>
      <c r="C580" s="19">
        <f>IFERROR(__xludf.DUMMYFUNCTION("""COMPUTED_VALUE"""),45469.54419006944)</f>
        <v>45469.54419</v>
      </c>
      <c r="D580" s="7" t="str">
        <f>IFERROR(__xludf.DUMMYFUNCTION("""COMPUTED_VALUE"""),"Barrera ")</f>
        <v>Barrera </v>
      </c>
      <c r="E580" s="7" t="str">
        <f>IFERROR(__xludf.DUMMYFUNCTION("""COMPUTED_VALUE"""),"Patricia ")</f>
        <v>Patricia </v>
      </c>
      <c r="F580" s="7" t="str">
        <f>IFERROR(__xludf.DUMMYFUNCTION("""COMPUTED_VALUE"""),"victoroviedo@live.com.ar")</f>
        <v>victoroviedo@live.com.ar</v>
      </c>
      <c r="G580" s="20">
        <f>IFERROR(__xludf.DUMMYFUNCTION("""COMPUTED_VALUE"""),45469.0)</f>
        <v>45469</v>
      </c>
      <c r="H580" s="7">
        <f>IFERROR(__xludf.DUMMYFUNCTION("""COMPUTED_VALUE"""),2.0528479E7)</f>
        <v>20528479</v>
      </c>
      <c r="I580" s="7">
        <f>IFERROR(__xludf.DUMMYFUNCTION("""COMPUTED_VALUE"""),3.513510244E9)</f>
        <v>3513510244</v>
      </c>
      <c r="J580" s="7" t="str">
        <f>IFERROR(__xludf.DUMMYFUNCTION("""COMPUTED_VALUE"""),"Recomendación")</f>
        <v>Recomendación</v>
      </c>
      <c r="K580" s="7" t="str">
        <f>IFERROR(__xludf.DUMMYFUNCTION("""COMPUTED_VALUE"""),"Obra social")</f>
        <v>Obra social</v>
      </c>
      <c r="L580" s="7"/>
      <c r="M580" s="7" t="str">
        <f>IFERROR(__xludf.DUMMYFUNCTION("""COMPUTED_VALUE"""),"No")</f>
        <v>No</v>
      </c>
      <c r="N580" s="7"/>
      <c r="O580" s="7"/>
      <c r="P580" s="7"/>
      <c r="Q580" s="7" t="str">
        <f>IFERROR(__xludf.DUMMYFUNCTION("""COMPUTED_VALUE"""),"Boreal")</f>
        <v>Boreal</v>
      </c>
      <c r="R580" s="7"/>
      <c r="S580" s="7"/>
    </row>
    <row r="581">
      <c r="A581" s="7" t="str">
        <f t="shared" si="1"/>
        <v>Vásquez , Inés María </v>
      </c>
      <c r="B581" s="7">
        <f>SUMIFS('bd caja'!$K$1:$K$1012,'bd caja'!$D$1:$D$1012,A581)</f>
        <v>0</v>
      </c>
      <c r="C581" s="19">
        <f>IFERROR(__xludf.DUMMYFUNCTION("""COMPUTED_VALUE"""),45469.58270097223)</f>
        <v>45469.5827</v>
      </c>
      <c r="D581" s="7" t="str">
        <f>IFERROR(__xludf.DUMMYFUNCTION("""COMPUTED_VALUE"""),"Vásquez ")</f>
        <v>Vásquez </v>
      </c>
      <c r="E581" s="7" t="str">
        <f>IFERROR(__xludf.DUMMYFUNCTION("""COMPUTED_VALUE"""),"Inés María ")</f>
        <v>Inés María </v>
      </c>
      <c r="F581" s="7" t="str">
        <f>IFERROR(__xludf.DUMMYFUNCTION("""COMPUTED_VALUE"""),"Inés 77@live .com.ar")</f>
        <v>Inés 77@live .com.ar</v>
      </c>
      <c r="G581" s="20">
        <f>IFERROR(__xludf.DUMMYFUNCTION("""COMPUTED_VALUE"""),28201.0)</f>
        <v>28201</v>
      </c>
      <c r="H581" s="7">
        <f>IFERROR(__xludf.DUMMYFUNCTION("""COMPUTED_VALUE"""),2.5964312E7)</f>
        <v>25964312</v>
      </c>
      <c r="I581" s="7">
        <f>IFERROR(__xludf.DUMMYFUNCTION("""COMPUTED_VALUE"""),3.516109616E9)</f>
        <v>3516109616</v>
      </c>
      <c r="J581" s="7" t="str">
        <f>IFERROR(__xludf.DUMMYFUNCTION("""COMPUTED_VALUE"""),"Recomendación")</f>
        <v>Recomendación</v>
      </c>
      <c r="K581" s="7" t="str">
        <f>IFERROR(__xludf.DUMMYFUNCTION("""COMPUTED_VALUE"""),"Obra social")</f>
        <v>Obra social</v>
      </c>
      <c r="L581" s="7"/>
      <c r="M581" s="7" t="str">
        <f>IFERROR(__xludf.DUMMYFUNCTION("""COMPUTED_VALUE"""),"Si")</f>
        <v>Si</v>
      </c>
      <c r="N581" s="7" t="str">
        <f>IFERROR(__xludf.DUMMYFUNCTION("""COMPUTED_VALUE"""),"Running")</f>
        <v>Running</v>
      </c>
      <c r="O581" s="7" t="str">
        <f>IFERROR(__xludf.DUMMYFUNCTION("""COMPUTED_VALUE"""),"3 a 5 veces por semana")</f>
        <v>3 a 5 veces por semana</v>
      </c>
      <c r="P581" s="7"/>
      <c r="Q581" s="7" t="str">
        <f>IFERROR(__xludf.DUMMYFUNCTION("""COMPUTED_VALUE"""),"PREVENCIÓN")</f>
        <v>PREVENCIÓN</v>
      </c>
      <c r="R581" s="7"/>
      <c r="S581" s="7"/>
    </row>
    <row r="582">
      <c r="A582" s="7" t="str">
        <f t="shared" si="1"/>
        <v>Cecchi, Valentin</v>
      </c>
      <c r="B582" s="7">
        <f>SUMIFS('bd caja'!$K$1:$K$1012,'bd caja'!$D$1:$D$1012,A582)</f>
        <v>0</v>
      </c>
      <c r="C582" s="19">
        <f>IFERROR(__xludf.DUMMYFUNCTION("""COMPUTED_VALUE"""),45469.798674351856)</f>
        <v>45469.79867</v>
      </c>
      <c r="D582" s="7" t="str">
        <f>IFERROR(__xludf.DUMMYFUNCTION("""COMPUTED_VALUE"""),"Cecchi")</f>
        <v>Cecchi</v>
      </c>
      <c r="E582" s="7" t="str">
        <f>IFERROR(__xludf.DUMMYFUNCTION("""COMPUTED_VALUE"""),"Valentin")</f>
        <v>Valentin</v>
      </c>
      <c r="F582" s="7" t="str">
        <f>IFERROR(__xludf.DUMMYFUNCTION("""COMPUTED_VALUE"""),"cecchivalentin@gmail.com")</f>
        <v>cecchivalentin@gmail.com</v>
      </c>
      <c r="G582" s="20">
        <f>IFERROR(__xludf.DUMMYFUNCTION("""COMPUTED_VALUE"""),37038.0)</f>
        <v>37038</v>
      </c>
      <c r="H582" s="7">
        <f>IFERROR(__xludf.DUMMYFUNCTION("""COMPUTED_VALUE"""),4.3367114E7)</f>
        <v>43367114</v>
      </c>
      <c r="I582" s="7">
        <f>IFERROR(__xludf.DUMMYFUNCTION("""COMPUTED_VALUE"""),3.516893622E9)</f>
        <v>3516893622</v>
      </c>
      <c r="J582" s="7" t="str">
        <f>IFERROR(__xludf.DUMMYFUNCTION("""COMPUTED_VALUE"""),"Voy al gym Manantial")</f>
        <v>Voy al gym Manantial</v>
      </c>
      <c r="K582" s="7" t="str">
        <f>IFERROR(__xludf.DUMMYFUNCTION("""COMPUTED_VALUE"""),"Particular")</f>
        <v>Particular</v>
      </c>
      <c r="L582" s="7"/>
      <c r="M582" s="7" t="str">
        <f>IFERROR(__xludf.DUMMYFUNCTION("""COMPUTED_VALUE"""),"Si")</f>
        <v>Si</v>
      </c>
      <c r="N582" s="7" t="str">
        <f>IFERROR(__xludf.DUMMYFUNCTION("""COMPUTED_VALUE"""),"Gimnasio")</f>
        <v>Gimnasio</v>
      </c>
      <c r="O582" s="7" t="str">
        <f>IFERROR(__xludf.DUMMYFUNCTION("""COMPUTED_VALUE"""),"3 a 5 veces por semana")</f>
        <v>3 a 5 veces por semana</v>
      </c>
      <c r="P582" s="7"/>
      <c r="Q582" s="7"/>
      <c r="R582" s="7"/>
      <c r="S582" s="7"/>
    </row>
    <row r="583">
      <c r="A583" s="7" t="str">
        <f t="shared" si="1"/>
        <v>MOLINA, RICARDO JAVIER</v>
      </c>
      <c r="B583" s="7">
        <f>SUMIFS('bd caja'!$K$1:$K$1012,'bd caja'!$D$1:$D$1012,A583)</f>
        <v>0</v>
      </c>
      <c r="C583" s="19">
        <f>IFERROR(__xludf.DUMMYFUNCTION("""COMPUTED_VALUE"""),45469.81614645833)</f>
        <v>45469.81615</v>
      </c>
      <c r="D583" s="7" t="str">
        <f>IFERROR(__xludf.DUMMYFUNCTION("""COMPUTED_VALUE"""),"MOLINA")</f>
        <v>MOLINA</v>
      </c>
      <c r="E583" s="7" t="str">
        <f>IFERROR(__xludf.DUMMYFUNCTION("""COMPUTED_VALUE"""),"RICARDO JAVIER")</f>
        <v>RICARDO JAVIER</v>
      </c>
      <c r="F583" s="7" t="str">
        <f>IFERROR(__xludf.DUMMYFUNCTION("""COMPUTED_VALUE"""),"Gym-javi@hotmail.com")</f>
        <v>Gym-javi@hotmail.com</v>
      </c>
      <c r="G583" s="20">
        <f>IFERROR(__xludf.DUMMYFUNCTION("""COMPUTED_VALUE"""),29697.0)</f>
        <v>29697</v>
      </c>
      <c r="H583" s="7">
        <f>IFERROR(__xludf.DUMMYFUNCTION("""COMPUTED_VALUE"""),2.8849108E7)</f>
        <v>28849108</v>
      </c>
      <c r="I583" s="7">
        <f>IFERROR(__xludf.DUMMYFUNCTION("""COMPUTED_VALUE"""),3.516331313E9)</f>
        <v>3516331313</v>
      </c>
      <c r="J583" s="7" t="str">
        <f>IFERROR(__xludf.DUMMYFUNCTION("""COMPUTED_VALUE"""),"Voy al gym Manantial")</f>
        <v>Voy al gym Manantial</v>
      </c>
      <c r="K583" s="7" t="str">
        <f>IFERROR(__xludf.DUMMYFUNCTION("""COMPUTED_VALUE"""),"Obra social")</f>
        <v>Obra social</v>
      </c>
      <c r="L583" s="7"/>
      <c r="M583" s="7" t="str">
        <f>IFERROR(__xludf.DUMMYFUNCTION("""COMPUTED_VALUE"""),"Si")</f>
        <v>Si</v>
      </c>
      <c r="N583" s="7" t="str">
        <f>IFERROR(__xludf.DUMMYFUNCTION("""COMPUTED_VALUE"""),"Gimnasio")</f>
        <v>Gimnasio</v>
      </c>
      <c r="O583" s="7" t="str">
        <f>IFERROR(__xludf.DUMMYFUNCTION("""COMPUTED_VALUE"""),"3 a 5 veces por semana")</f>
        <v>3 a 5 veces por semana</v>
      </c>
      <c r="P583" s="7"/>
      <c r="Q583" s="7" t="str">
        <f>IFERROR(__xludf.DUMMYFUNCTION("""COMPUTED_VALUE"""),"APROSS")</f>
        <v>APROSS</v>
      </c>
      <c r="R583" s="7"/>
      <c r="S583" s="7"/>
    </row>
    <row r="584">
      <c r="A584" s="7" t="str">
        <f t="shared" si="1"/>
        <v>Aliaga, Maria Mercedes</v>
      </c>
      <c r="B584" s="7">
        <f>SUMIFS('bd caja'!$K$1:$K$1012,'bd caja'!$D$1:$D$1012,A584)</f>
        <v>0</v>
      </c>
      <c r="C584" s="19">
        <f>IFERROR(__xludf.DUMMYFUNCTION("""COMPUTED_VALUE"""),45474.59512592593)</f>
        <v>45474.59513</v>
      </c>
      <c r="D584" s="7" t="str">
        <f>IFERROR(__xludf.DUMMYFUNCTION("""COMPUTED_VALUE"""),"Aliaga")</f>
        <v>Aliaga</v>
      </c>
      <c r="E584" s="7" t="str">
        <f>IFERROR(__xludf.DUMMYFUNCTION("""COMPUTED_VALUE"""),"Maria Mercedes")</f>
        <v>Maria Mercedes</v>
      </c>
      <c r="F584" s="7" t="str">
        <f>IFERROR(__xludf.DUMMYFUNCTION("""COMPUTED_VALUE"""),"marimealiaga@hormail.com")</f>
        <v>marimealiaga@hormail.com</v>
      </c>
      <c r="G584" s="20">
        <f>IFERROR(__xludf.DUMMYFUNCTION("""COMPUTED_VALUE"""),27059.0)</f>
        <v>27059</v>
      </c>
      <c r="H584" s="7">
        <f>IFERROR(__xludf.DUMMYFUNCTION("""COMPUTED_VALUE"""),2.3821812E7)</f>
        <v>23821812</v>
      </c>
      <c r="I584" s="7">
        <f>IFERROR(__xludf.DUMMYFUNCTION("""COMPUTED_VALUE"""),3.516128265E9)</f>
        <v>3516128265</v>
      </c>
      <c r="J584" s="7" t="str">
        <f>IFERROR(__xludf.DUMMYFUNCTION("""COMPUTED_VALUE"""),"Recomendación")</f>
        <v>Recomendación</v>
      </c>
      <c r="K584" s="7" t="str">
        <f>IFERROR(__xludf.DUMMYFUNCTION("""COMPUTED_VALUE"""),"Obra social")</f>
        <v>Obra social</v>
      </c>
      <c r="L584" s="7"/>
      <c r="M584" s="7" t="str">
        <f>IFERROR(__xludf.DUMMYFUNCTION("""COMPUTED_VALUE"""),"No")</f>
        <v>No</v>
      </c>
      <c r="N584" s="7"/>
      <c r="O584" s="7"/>
      <c r="P584" s="7"/>
      <c r="Q584" s="7" t="str">
        <f>IFERROR(__xludf.DUMMYFUNCTION("""COMPUTED_VALUE"""),"Medife")</f>
        <v>Medife</v>
      </c>
      <c r="R584" s="7"/>
      <c r="S584" s="7"/>
    </row>
    <row r="585">
      <c r="A585" s="7" t="str">
        <f t="shared" si="1"/>
        <v>Bonifacio, Daniel</v>
      </c>
      <c r="B585" s="7">
        <f>SUMIFS('bd caja'!$K$1:$K$1012,'bd caja'!$D$1:$D$1012,A585)</f>
        <v>0</v>
      </c>
      <c r="C585" s="19">
        <f>IFERROR(__xludf.DUMMYFUNCTION("""COMPUTED_VALUE"""),45475.72484768518)</f>
        <v>45475.72485</v>
      </c>
      <c r="D585" s="7" t="str">
        <f>IFERROR(__xludf.DUMMYFUNCTION("""COMPUTED_VALUE"""),"Bonifacio")</f>
        <v>Bonifacio</v>
      </c>
      <c r="E585" s="7" t="str">
        <f>IFERROR(__xludf.DUMMYFUNCTION("""COMPUTED_VALUE"""),"Daniel")</f>
        <v>Daniel</v>
      </c>
      <c r="F585" s="7"/>
      <c r="G585" s="20">
        <f>IFERROR(__xludf.DUMMYFUNCTION("""COMPUTED_VALUE"""),19327.0)</f>
        <v>19327</v>
      </c>
      <c r="H585" s="7">
        <f>IFERROR(__xludf.DUMMYFUNCTION("""COMPUTED_VALUE"""),1.0683351E7)</f>
        <v>10683351</v>
      </c>
      <c r="I585" s="7">
        <f>IFERROR(__xludf.DUMMYFUNCTION("""COMPUTED_VALUE"""),3.515083098E9)</f>
        <v>3515083098</v>
      </c>
      <c r="J585" s="7" t="str">
        <f>IFERROR(__xludf.DUMMYFUNCTION("""COMPUTED_VALUE"""),"Recomendación")</f>
        <v>Recomendación</v>
      </c>
      <c r="K585" s="7" t="str">
        <f>IFERROR(__xludf.DUMMYFUNCTION("""COMPUTED_VALUE"""),"Particular")</f>
        <v>Particular</v>
      </c>
      <c r="L585" s="7"/>
      <c r="M585" s="7" t="str">
        <f>IFERROR(__xludf.DUMMYFUNCTION("""COMPUTED_VALUE"""),"No")</f>
        <v>No</v>
      </c>
      <c r="N585" s="7"/>
      <c r="O585" s="7"/>
      <c r="P585" s="7"/>
      <c r="Q585" s="7"/>
      <c r="R585" s="7"/>
      <c r="S585" s="7"/>
    </row>
    <row r="586">
      <c r="A586" s="7" t="str">
        <f t="shared" si="1"/>
        <v>Magallanes , Rodrigo </v>
      </c>
      <c r="B586" s="7">
        <f>SUMIFS('bd caja'!$K$1:$K$1012,'bd caja'!$D$1:$D$1012,A586)</f>
        <v>0</v>
      </c>
      <c r="C586" s="19">
        <f>IFERROR(__xludf.DUMMYFUNCTION("""COMPUTED_VALUE"""),45475.813371006945)</f>
        <v>45475.81337</v>
      </c>
      <c r="D586" s="7" t="str">
        <f>IFERROR(__xludf.DUMMYFUNCTION("""COMPUTED_VALUE"""),"Magallanes ")</f>
        <v>Magallanes </v>
      </c>
      <c r="E586" s="7" t="str">
        <f>IFERROR(__xludf.DUMMYFUNCTION("""COMPUTED_VALUE"""),"Rodrigo ")</f>
        <v>Rodrigo </v>
      </c>
      <c r="F586" s="7" t="str">
        <f>IFERROR(__xludf.DUMMYFUNCTION("""COMPUTED_VALUE"""),"Rodrigocadcam@hotmail.com")</f>
        <v>Rodrigocadcam@hotmail.com</v>
      </c>
      <c r="G586" s="20">
        <f>IFERROR(__xludf.DUMMYFUNCTION("""COMPUTED_VALUE"""),33279.0)</f>
        <v>33279</v>
      </c>
      <c r="H586" s="7">
        <f>IFERROR(__xludf.DUMMYFUNCTION("""COMPUTED_VALUE"""),3.6240161E7)</f>
        <v>36240161</v>
      </c>
      <c r="I586" s="7">
        <f>IFERROR(__xludf.DUMMYFUNCTION("""COMPUTED_VALUE"""),3.517674937E9)</f>
        <v>3517674937</v>
      </c>
      <c r="J586" s="7" t="str">
        <f>IFERROR(__xludf.DUMMYFUNCTION("""COMPUTED_VALUE"""),"Voy al gym Manantial")</f>
        <v>Voy al gym Manantial</v>
      </c>
      <c r="K586" s="7" t="str">
        <f>IFERROR(__xludf.DUMMYFUNCTION("""COMPUTED_VALUE"""),"Particular")</f>
        <v>Particular</v>
      </c>
      <c r="L586" s="7"/>
      <c r="M586" s="7" t="str">
        <f>IFERROR(__xludf.DUMMYFUNCTION("""COMPUTED_VALUE"""),"Si")</f>
        <v>Si</v>
      </c>
      <c r="N586" s="7" t="str">
        <f>IFERROR(__xludf.DUMMYFUNCTION("""COMPUTED_VALUE"""),"Gimnasio")</f>
        <v>Gimnasio</v>
      </c>
      <c r="O586" s="7" t="str">
        <f>IFERROR(__xludf.DUMMYFUNCTION("""COMPUTED_VALUE"""),"1 a 2 veces por semana")</f>
        <v>1 a 2 veces por semana</v>
      </c>
      <c r="P586" s="7"/>
      <c r="Q586" s="7"/>
      <c r="R586" s="7"/>
      <c r="S586" s="7"/>
    </row>
    <row r="587">
      <c r="A587" s="7" t="str">
        <f t="shared" si="1"/>
        <v>Salas, Yanina</v>
      </c>
      <c r="B587" s="7">
        <f>SUMIFS('bd caja'!$K$1:$K$1012,'bd caja'!$D$1:$D$1012,A587)</f>
        <v>0</v>
      </c>
      <c r="C587" s="19">
        <f>IFERROR(__xludf.DUMMYFUNCTION("""COMPUTED_VALUE"""),45476.79148451389)</f>
        <v>45476.79148</v>
      </c>
      <c r="D587" s="7" t="str">
        <f>IFERROR(__xludf.DUMMYFUNCTION("""COMPUTED_VALUE"""),"Salas")</f>
        <v>Salas</v>
      </c>
      <c r="E587" s="7" t="str">
        <f>IFERROR(__xludf.DUMMYFUNCTION("""COMPUTED_VALUE"""),"Yanina")</f>
        <v>Yanina</v>
      </c>
      <c r="F587" s="7" t="str">
        <f>IFERROR(__xludf.DUMMYFUNCTION("""COMPUTED_VALUE"""),"yaninasalas@gmail.com ")</f>
        <v>yaninasalas@gmail.com </v>
      </c>
      <c r="G587" s="20">
        <f>IFERROR(__xludf.DUMMYFUNCTION("""COMPUTED_VALUE"""),31274.0)</f>
        <v>31274</v>
      </c>
      <c r="H587" s="7">
        <f>IFERROR(__xludf.DUMMYFUNCTION("""COMPUTED_VALUE"""),3.176869E7)</f>
        <v>31768690</v>
      </c>
      <c r="I587" s="7">
        <f>IFERROR(__xludf.DUMMYFUNCTION("""COMPUTED_VALUE"""),3.513912985E9)</f>
        <v>3513912985</v>
      </c>
      <c r="J587" s="7" t="str">
        <f>IFERROR(__xludf.DUMMYFUNCTION("""COMPUTED_VALUE"""),"Google")</f>
        <v>Google</v>
      </c>
      <c r="K587" s="7" t="str">
        <f>IFERROR(__xludf.DUMMYFUNCTION("""COMPUTED_VALUE"""),"Obra social")</f>
        <v>Obra social</v>
      </c>
      <c r="L587" s="7"/>
      <c r="M587" s="7" t="str">
        <f>IFERROR(__xludf.DUMMYFUNCTION("""COMPUTED_VALUE"""),"No")</f>
        <v>No</v>
      </c>
      <c r="N587" s="7"/>
      <c r="O587" s="7"/>
      <c r="P587" s="7"/>
      <c r="Q587" s="7" t="str">
        <f>IFERROR(__xludf.DUMMYFUNCTION("""COMPUTED_VALUE"""),"PREVENCIÓN")</f>
        <v>PREVENCIÓN</v>
      </c>
      <c r="R587" s="7"/>
      <c r="S587" s="7"/>
    </row>
    <row r="588">
      <c r="A588" s="7" t="str">
        <f t="shared" si="1"/>
        <v>BECCACECE , Mariela Vanina</v>
      </c>
      <c r="B588" s="7">
        <f>SUMIFS('bd caja'!$K$1:$K$1012,'bd caja'!$D$1:$D$1012,A588)</f>
        <v>0</v>
      </c>
      <c r="C588" s="19">
        <f>IFERROR(__xludf.DUMMYFUNCTION("""COMPUTED_VALUE"""),45477.35374399305)</f>
        <v>45477.35374</v>
      </c>
      <c r="D588" s="7" t="str">
        <f>IFERROR(__xludf.DUMMYFUNCTION("""COMPUTED_VALUE"""),"BECCACECE ")</f>
        <v>BECCACECE </v>
      </c>
      <c r="E588" s="7" t="str">
        <f>IFERROR(__xludf.DUMMYFUNCTION("""COMPUTED_VALUE"""),"Mariela Vanina")</f>
        <v>Mariela Vanina</v>
      </c>
      <c r="F588" s="7" t="str">
        <f>IFERROR(__xludf.DUMMYFUNCTION("""COMPUTED_VALUE"""),"marielabeccacece@gmail.com")</f>
        <v>marielabeccacece@gmail.com</v>
      </c>
      <c r="G588" s="20">
        <f>IFERROR(__xludf.DUMMYFUNCTION("""COMPUTED_VALUE"""),45588.0)</f>
        <v>45588</v>
      </c>
      <c r="H588" s="7">
        <f>IFERROR(__xludf.DUMMYFUNCTION("""COMPUTED_VALUE"""),2.9713558E7)</f>
        <v>29713558</v>
      </c>
      <c r="I588" s="7">
        <f>IFERROR(__xludf.DUMMYFUNCTION("""COMPUTED_VALUE"""),3.512069905E9)</f>
        <v>3512069905</v>
      </c>
      <c r="J588" s="7" t="str">
        <f>IFERROR(__xludf.DUMMYFUNCTION("""COMPUTED_VALUE"""),"Google")</f>
        <v>Google</v>
      </c>
      <c r="K588" s="7" t="str">
        <f>IFERROR(__xludf.DUMMYFUNCTION("""COMPUTED_VALUE"""),"Obra social")</f>
        <v>Obra social</v>
      </c>
      <c r="L588" s="7"/>
      <c r="M588" s="7" t="str">
        <f>IFERROR(__xludf.DUMMYFUNCTION("""COMPUTED_VALUE"""),"No")</f>
        <v>No</v>
      </c>
      <c r="N588" s="7"/>
      <c r="O588" s="7"/>
      <c r="P588" s="7"/>
      <c r="Q588" s="7" t="str">
        <f>IFERROR(__xludf.DUMMYFUNCTION("""COMPUTED_VALUE"""),"APROSS")</f>
        <v>APROSS</v>
      </c>
      <c r="R588" s="7"/>
      <c r="S588" s="7"/>
    </row>
    <row r="589">
      <c r="A589" s="7" t="str">
        <f t="shared" si="1"/>
        <v>Villafañe , Claudio </v>
      </c>
      <c r="B589" s="7">
        <f>SUMIFS('bd caja'!$K$1:$K$1012,'bd caja'!$D$1:$D$1012,A589)</f>
        <v>0</v>
      </c>
      <c r="C589" s="19">
        <f>IFERROR(__xludf.DUMMYFUNCTION("""COMPUTED_VALUE"""),45477.44460155093)</f>
        <v>45477.4446</v>
      </c>
      <c r="D589" s="7" t="str">
        <f>IFERROR(__xludf.DUMMYFUNCTION("""COMPUTED_VALUE"""),"Villafañe ")</f>
        <v>Villafañe </v>
      </c>
      <c r="E589" s="7" t="str">
        <f>IFERROR(__xludf.DUMMYFUNCTION("""COMPUTED_VALUE"""),"Claudio ")</f>
        <v>Claudio </v>
      </c>
      <c r="F589" s="7" t="str">
        <f>IFERROR(__xludf.DUMMYFUNCTION("""COMPUTED_VALUE"""),"claudiovillafane@gmail.com")</f>
        <v>claudiovillafane@gmail.com</v>
      </c>
      <c r="G589" s="20">
        <f>IFERROR(__xludf.DUMMYFUNCTION("""COMPUTED_VALUE"""),27461.0)</f>
        <v>27461</v>
      </c>
      <c r="H589" s="7">
        <f>IFERROR(__xludf.DUMMYFUNCTION("""COMPUTED_VALUE"""),2.4472277E7)</f>
        <v>24472277</v>
      </c>
      <c r="I589" s="7">
        <f>IFERROR(__xludf.DUMMYFUNCTION("""COMPUTED_VALUE"""),3.515638053E9)</f>
        <v>3515638053</v>
      </c>
      <c r="J589" s="7" t="str">
        <f>IFERROR(__xludf.DUMMYFUNCTION("""COMPUTED_VALUE"""),"Recomendación")</f>
        <v>Recomendación</v>
      </c>
      <c r="K589" s="7" t="str">
        <f>IFERROR(__xludf.DUMMYFUNCTION("""COMPUTED_VALUE"""),"Particular")</f>
        <v>Particular</v>
      </c>
      <c r="L589" s="7"/>
      <c r="M589" s="7" t="str">
        <f>IFERROR(__xludf.DUMMYFUNCTION("""COMPUTED_VALUE"""),"Si")</f>
        <v>Si</v>
      </c>
      <c r="N589" s="7" t="str">
        <f>IFERROR(__xludf.DUMMYFUNCTION("""COMPUTED_VALUE"""),"Bicicleta ")</f>
        <v>Bicicleta </v>
      </c>
      <c r="O589" s="7" t="str">
        <f>IFERROR(__xludf.DUMMYFUNCTION("""COMPUTED_VALUE"""),"1 a 2 veces por semana")</f>
        <v>1 a 2 veces por semana</v>
      </c>
      <c r="P589" s="7"/>
      <c r="Q589" s="7"/>
      <c r="R589" s="7"/>
      <c r="S589" s="7"/>
    </row>
    <row r="590">
      <c r="A590" s="7" t="str">
        <f t="shared" si="1"/>
        <v>Soukiassian, Patricia </v>
      </c>
      <c r="B590" s="7">
        <f>SUMIFS('bd caja'!$K$1:$K$1012,'bd caja'!$D$1:$D$1012,A590)</f>
        <v>0</v>
      </c>
      <c r="C590" s="19">
        <f>IFERROR(__xludf.DUMMYFUNCTION("""COMPUTED_VALUE"""),45477.786396157404)</f>
        <v>45477.7864</v>
      </c>
      <c r="D590" s="7" t="str">
        <f>IFERROR(__xludf.DUMMYFUNCTION("""COMPUTED_VALUE"""),"Soukiassian")</f>
        <v>Soukiassian</v>
      </c>
      <c r="E590" s="7" t="str">
        <f>IFERROR(__xludf.DUMMYFUNCTION("""COMPUTED_VALUE"""),"Patricia ")</f>
        <v>Patricia </v>
      </c>
      <c r="F590" s="7" t="str">
        <f>IFERROR(__xludf.DUMMYFUNCTION("""COMPUTED_VALUE"""),"nestorypatri1@gmail.com")</f>
        <v>nestorypatri1@gmail.com</v>
      </c>
      <c r="G590" s="20">
        <f>IFERROR(__xludf.DUMMYFUNCTION("""COMPUTED_VALUE"""),25309.0)</f>
        <v>25309</v>
      </c>
      <c r="H590" s="7">
        <f>IFERROR(__xludf.DUMMYFUNCTION("""COMPUTED_VALUE"""),2.0649721E7)</f>
        <v>20649721</v>
      </c>
      <c r="I590" s="7">
        <f>IFERROR(__xludf.DUMMYFUNCTION("""COMPUTED_VALUE"""),3.518613437E9)</f>
        <v>3518613437</v>
      </c>
      <c r="J590" s="7" t="str">
        <f>IFERROR(__xludf.DUMMYFUNCTION("""COMPUTED_VALUE"""),"Voy al gym Manantial")</f>
        <v>Voy al gym Manantial</v>
      </c>
      <c r="K590" s="7" t="str">
        <f>IFERROR(__xludf.DUMMYFUNCTION("""COMPUTED_VALUE"""),"Obra social")</f>
        <v>Obra social</v>
      </c>
      <c r="L590" s="7"/>
      <c r="M590" s="7" t="str">
        <f>IFERROR(__xludf.DUMMYFUNCTION("""COMPUTED_VALUE"""),"Si")</f>
        <v>Si</v>
      </c>
      <c r="N590" s="7" t="str">
        <f>IFERROR(__xludf.DUMMYFUNCTION("""COMPUTED_VALUE"""),"Bici")</f>
        <v>Bici</v>
      </c>
      <c r="O590" s="7" t="str">
        <f>IFERROR(__xludf.DUMMYFUNCTION("""COMPUTED_VALUE"""),"3 a 5 veces por semana")</f>
        <v>3 a 5 veces por semana</v>
      </c>
      <c r="P590" s="7"/>
      <c r="Q590" s="7" t="str">
        <f>IFERROR(__xludf.DUMMYFUNCTION("""COMPUTED_VALUE"""),"Apm")</f>
        <v>Apm</v>
      </c>
      <c r="R590" s="7"/>
      <c r="S590" s="7"/>
    </row>
    <row r="591">
      <c r="A591" s="7" t="str">
        <f t="shared" si="1"/>
        <v>Campos, Julio</v>
      </c>
      <c r="B591" s="7">
        <f>SUMIFS('bd caja'!$K$1:$K$1012,'bd caja'!$D$1:$D$1012,A591)</f>
        <v>0</v>
      </c>
      <c r="C591" s="19">
        <f>IFERROR(__xludf.DUMMYFUNCTION("""COMPUTED_VALUE"""),45481.46042998842)</f>
        <v>45481.46043</v>
      </c>
      <c r="D591" s="7" t="str">
        <f>IFERROR(__xludf.DUMMYFUNCTION("""COMPUTED_VALUE"""),"Campos")</f>
        <v>Campos</v>
      </c>
      <c r="E591" s="7" t="str">
        <f>IFERROR(__xludf.DUMMYFUNCTION("""COMPUTED_VALUE"""),"Julio")</f>
        <v>Julio</v>
      </c>
      <c r="F591" s="7" t="str">
        <f>IFERROR(__xludf.DUMMYFUNCTION("""COMPUTED_VALUE"""),"juliocamposherrera@gmail.com")</f>
        <v>juliocamposherrera@gmail.com</v>
      </c>
      <c r="G591" s="20">
        <f>IFERROR(__xludf.DUMMYFUNCTION("""COMPUTED_VALUE"""),35808.0)</f>
        <v>35808</v>
      </c>
      <c r="H591" s="7">
        <f>IFERROR(__xludf.DUMMYFUNCTION("""COMPUTED_VALUE"""),4.0681996E7)</f>
        <v>40681996</v>
      </c>
      <c r="I591" s="7">
        <f>IFERROR(__xludf.DUMMYFUNCTION("""COMPUTED_VALUE"""),3.51356606E9)</f>
        <v>3513566060</v>
      </c>
      <c r="J591" s="7" t="str">
        <f>IFERROR(__xludf.DUMMYFUNCTION("""COMPUTED_VALUE"""),"Google")</f>
        <v>Google</v>
      </c>
      <c r="K591" s="7" t="str">
        <f>IFERROR(__xludf.DUMMYFUNCTION("""COMPUTED_VALUE"""),"Obra social")</f>
        <v>Obra social</v>
      </c>
      <c r="L591" s="7"/>
      <c r="M591" s="7" t="str">
        <f>IFERROR(__xludf.DUMMYFUNCTION("""COMPUTED_VALUE"""),"Si")</f>
        <v>Si</v>
      </c>
      <c r="N591" s="7" t="str">
        <f>IFERROR(__xludf.DUMMYFUNCTION("""COMPUTED_VALUE"""),"Fútbol")</f>
        <v>Fútbol</v>
      </c>
      <c r="O591" s="7" t="str">
        <f>IFERROR(__xludf.DUMMYFUNCTION("""COMPUTED_VALUE"""),"1 a 2 veces por semana")</f>
        <v>1 a 2 veces por semana</v>
      </c>
      <c r="P591" s="7"/>
      <c r="Q591" s="7" t="str">
        <f>IFERROR(__xludf.DUMMYFUNCTION("""COMPUTED_VALUE"""),"APROSS")</f>
        <v>APROSS</v>
      </c>
      <c r="R591" s="7"/>
      <c r="S591" s="7"/>
    </row>
    <row r="592">
      <c r="A592" s="7" t="str">
        <f t="shared" si="1"/>
        <v>Moron, Rodolfo  antonio</v>
      </c>
      <c r="B592" s="7">
        <f>SUMIFS('bd caja'!$K$1:$K$1012,'bd caja'!$D$1:$D$1012,A592)</f>
        <v>0</v>
      </c>
      <c r="C592" s="19">
        <f>IFERROR(__xludf.DUMMYFUNCTION("""COMPUTED_VALUE"""),45481.53531491898)</f>
        <v>45481.53531</v>
      </c>
      <c r="D592" s="7" t="str">
        <f>IFERROR(__xludf.DUMMYFUNCTION("""COMPUTED_VALUE"""),"Moron")</f>
        <v>Moron</v>
      </c>
      <c r="E592" s="7" t="str">
        <f>IFERROR(__xludf.DUMMYFUNCTION("""COMPUTED_VALUE"""),"Rodolfo  antonio")</f>
        <v>Rodolfo  antonio</v>
      </c>
      <c r="F592" s="7" t="str">
        <f>IFERROR(__xludf.DUMMYFUNCTION("""COMPUTED_VALUE"""),"Rodolfoantoniomoron50@gmail.com")</f>
        <v>Rodolfoantoniomoron50@gmail.com</v>
      </c>
      <c r="G592" s="20">
        <f>IFERROR(__xludf.DUMMYFUNCTION("""COMPUTED_VALUE"""),-671620.0)</f>
        <v>-671620</v>
      </c>
      <c r="H592" s="7">
        <f>IFERROR(__xludf.DUMMYFUNCTION("""COMPUTED_VALUE"""),1.4409795E7)</f>
        <v>14409795</v>
      </c>
      <c r="I592" s="7">
        <f>IFERROR(__xludf.DUMMYFUNCTION("""COMPUTED_VALUE"""),3.512464627E9)</f>
        <v>3512464627</v>
      </c>
      <c r="J592" s="7" t="str">
        <f>IFERROR(__xludf.DUMMYFUNCTION("""COMPUTED_VALUE"""),"Google")</f>
        <v>Google</v>
      </c>
      <c r="K592" s="7" t="str">
        <f>IFERROR(__xludf.DUMMYFUNCTION("""COMPUTED_VALUE"""),"Obra social")</f>
        <v>Obra social</v>
      </c>
      <c r="L592" s="7"/>
      <c r="M592" s="7" t="str">
        <f>IFERROR(__xludf.DUMMYFUNCTION("""COMPUTED_VALUE"""),"Si")</f>
        <v>Si</v>
      </c>
      <c r="N592" s="7" t="str">
        <f>IFERROR(__xludf.DUMMYFUNCTION("""COMPUTED_VALUE"""),"Tenis")</f>
        <v>Tenis</v>
      </c>
      <c r="O592" s="7" t="str">
        <f>IFERROR(__xludf.DUMMYFUNCTION("""COMPUTED_VALUE"""),"1 a 2 veces por semana")</f>
        <v>1 a 2 veces por semana</v>
      </c>
      <c r="P592" s="7"/>
      <c r="Q592" s="7" t="str">
        <f>IFERROR(__xludf.DUMMYFUNCTION("""COMPUTED_VALUE"""),"APROSS")</f>
        <v>APROSS</v>
      </c>
      <c r="R592" s="7"/>
      <c r="S592" s="7"/>
    </row>
    <row r="593">
      <c r="A593" s="7" t="str">
        <f t="shared" si="1"/>
        <v>Naranjo, Damian Joel</v>
      </c>
      <c r="B593" s="7">
        <f>SUMIFS('bd caja'!$K$1:$K$1012,'bd caja'!$D$1:$D$1012,A593)</f>
        <v>0</v>
      </c>
      <c r="C593" s="19">
        <f>IFERROR(__xludf.DUMMYFUNCTION("""COMPUTED_VALUE"""),45483.38303895833)</f>
        <v>45483.38304</v>
      </c>
      <c r="D593" s="7" t="str">
        <f>IFERROR(__xludf.DUMMYFUNCTION("""COMPUTED_VALUE"""),"Naranjo")</f>
        <v>Naranjo</v>
      </c>
      <c r="E593" s="7" t="str">
        <f>IFERROR(__xludf.DUMMYFUNCTION("""COMPUTED_VALUE"""),"Damian Joel")</f>
        <v>Damian Joel</v>
      </c>
      <c r="F593" s="7" t="str">
        <f>IFERROR(__xludf.DUMMYFUNCTION("""COMPUTED_VALUE"""),"noranasello@hotmail.com ")</f>
        <v>noranasello@hotmail.com </v>
      </c>
      <c r="G593" s="20">
        <f>IFERROR(__xludf.DUMMYFUNCTION("""COMPUTED_VALUE"""),-660452.0)</f>
        <v>-660452</v>
      </c>
      <c r="H593" s="7">
        <f>IFERROR(__xludf.DUMMYFUNCTION("""COMPUTED_VALUE"""),3.6448094E7)</f>
        <v>36448094</v>
      </c>
      <c r="I593" s="7">
        <f>IFERROR(__xludf.DUMMYFUNCTION("""COMPUTED_VALUE"""),3.516565317E9)</f>
        <v>3516565317</v>
      </c>
      <c r="J593" s="7" t="str">
        <f>IFERROR(__xludf.DUMMYFUNCTION("""COMPUTED_VALUE"""),"Cartilla Obra Social")</f>
        <v>Cartilla Obra Social</v>
      </c>
      <c r="K593" s="7" t="str">
        <f>IFERROR(__xludf.DUMMYFUNCTION("""COMPUTED_VALUE"""),"Obra social")</f>
        <v>Obra social</v>
      </c>
      <c r="L593" s="7"/>
      <c r="M593" s="7" t="str">
        <f>IFERROR(__xludf.DUMMYFUNCTION("""COMPUTED_VALUE"""),"Si")</f>
        <v>Si</v>
      </c>
      <c r="N593" s="7" t="str">
        <f>IFERROR(__xludf.DUMMYFUNCTION("""COMPUTED_VALUE"""),"Fútbol")</f>
        <v>Fútbol</v>
      </c>
      <c r="O593" s="7" t="str">
        <f>IFERROR(__xludf.DUMMYFUNCTION("""COMPUTED_VALUE"""),"1 a 2 veces por semana")</f>
        <v>1 a 2 veces por semana</v>
      </c>
      <c r="P593" s="7"/>
      <c r="Q593" s="7" t="str">
        <f>IFERROR(__xludf.DUMMYFUNCTION("""COMPUTED_VALUE"""),"Met(con reintegro)")</f>
        <v>Met(con reintegro)</v>
      </c>
      <c r="R593" s="7"/>
      <c r="S593" s="7"/>
    </row>
    <row r="594">
      <c r="A594" s="7" t="str">
        <f t="shared" si="1"/>
        <v>Madia, Laura </v>
      </c>
      <c r="B594" s="7">
        <f>SUMIFS('bd caja'!$K$1:$K$1012,'bd caja'!$D$1:$D$1012,A594)</f>
        <v>0</v>
      </c>
      <c r="C594" s="19">
        <f>IFERROR(__xludf.DUMMYFUNCTION("""COMPUTED_VALUE"""),45483.45459811343)</f>
        <v>45483.4546</v>
      </c>
      <c r="D594" s="7" t="str">
        <f>IFERROR(__xludf.DUMMYFUNCTION("""COMPUTED_VALUE"""),"Madia")</f>
        <v>Madia</v>
      </c>
      <c r="E594" s="7" t="str">
        <f>IFERROR(__xludf.DUMMYFUNCTION("""COMPUTED_VALUE"""),"Laura ")</f>
        <v>Laura </v>
      </c>
      <c r="F594" s="7" t="str">
        <f>IFERROR(__xludf.DUMMYFUNCTION("""COMPUTED_VALUE"""),"Laucm@protonmail.com")</f>
        <v>Laucm@protonmail.com</v>
      </c>
      <c r="G594" s="20">
        <f>IFERROR(__xludf.DUMMYFUNCTION("""COMPUTED_VALUE"""),24544.0)</f>
        <v>24544</v>
      </c>
      <c r="H594" s="7">
        <f>IFERROR(__xludf.DUMMYFUNCTION("""COMPUTED_VALUE"""),1.8321241E7)</f>
        <v>18321241</v>
      </c>
      <c r="I594" s="7">
        <f>IFERROR(__xludf.DUMMYFUNCTION("""COMPUTED_VALUE"""),1.121629091E9)</f>
        <v>1121629091</v>
      </c>
      <c r="J594" s="7" t="str">
        <f>IFERROR(__xludf.DUMMYFUNCTION("""COMPUTED_VALUE"""),"Google")</f>
        <v>Google</v>
      </c>
      <c r="K594" s="7" t="str">
        <f>IFERROR(__xludf.DUMMYFUNCTION("""COMPUTED_VALUE"""),"Particular")</f>
        <v>Particular</v>
      </c>
      <c r="L594" s="7"/>
      <c r="M594" s="7" t="str">
        <f>IFERROR(__xludf.DUMMYFUNCTION("""COMPUTED_VALUE"""),"No")</f>
        <v>No</v>
      </c>
      <c r="N594" s="7"/>
      <c r="O594" s="7"/>
      <c r="P594" s="7"/>
      <c r="Q594" s="7"/>
      <c r="R594" s="7"/>
      <c r="S594" s="7"/>
    </row>
    <row r="595">
      <c r="A595" s="7" t="str">
        <f t="shared" si="1"/>
        <v>Medina, Gustavo Federico </v>
      </c>
      <c r="B595" s="7">
        <f>SUMIFS('bd caja'!$K$1:$K$1012,'bd caja'!$D$1:$D$1012,A595)</f>
        <v>0</v>
      </c>
      <c r="C595" s="19">
        <f>IFERROR(__xludf.DUMMYFUNCTION("""COMPUTED_VALUE"""),45483.613109224534)</f>
        <v>45483.61311</v>
      </c>
      <c r="D595" s="7" t="str">
        <f>IFERROR(__xludf.DUMMYFUNCTION("""COMPUTED_VALUE"""),"Medina")</f>
        <v>Medina</v>
      </c>
      <c r="E595" s="7" t="str">
        <f>IFERROR(__xludf.DUMMYFUNCTION("""COMPUTED_VALUE"""),"Gustavo Federico ")</f>
        <v>Gustavo Federico </v>
      </c>
      <c r="F595" s="7" t="str">
        <f>IFERROR(__xludf.DUMMYFUNCTION("""COMPUTED_VALUE"""),"tavomedina30@hotmail.com")</f>
        <v>tavomedina30@hotmail.com</v>
      </c>
      <c r="G595" s="20">
        <f>IFERROR(__xludf.DUMMYFUNCTION("""COMPUTED_VALUE"""),27841.0)</f>
        <v>27841</v>
      </c>
      <c r="H595" s="7">
        <f>IFERROR(__xludf.DUMMYFUNCTION("""COMPUTED_VALUE"""),2.517585E7)</f>
        <v>25175850</v>
      </c>
      <c r="I595" s="7">
        <f>IFERROR(__xludf.DUMMYFUNCTION("""COMPUTED_VALUE"""),3.516756852E9)</f>
        <v>3516756852</v>
      </c>
      <c r="J595" s="7" t="str">
        <f>IFERROR(__xludf.DUMMYFUNCTION("""COMPUTED_VALUE"""),"Recomendación")</f>
        <v>Recomendación</v>
      </c>
      <c r="K595" s="7" t="str">
        <f>IFERROR(__xludf.DUMMYFUNCTION("""COMPUTED_VALUE"""),"Particular")</f>
        <v>Particular</v>
      </c>
      <c r="L595" s="7"/>
      <c r="M595" s="7" t="str">
        <f>IFERROR(__xludf.DUMMYFUNCTION("""COMPUTED_VALUE"""),"No")</f>
        <v>No</v>
      </c>
      <c r="N595" s="7"/>
      <c r="O595" s="7"/>
      <c r="P595" s="7"/>
      <c r="Q595" s="7"/>
      <c r="R595" s="7"/>
      <c r="S595" s="7"/>
    </row>
    <row r="596">
      <c r="A596" s="7" t="str">
        <f t="shared" si="1"/>
        <v>Ferrarassi Britos , Nahuel </v>
      </c>
      <c r="B596" s="7">
        <f>SUMIFS('bd caja'!$K$1:$K$1012,'bd caja'!$D$1:$D$1012,A596)</f>
        <v>0</v>
      </c>
      <c r="C596" s="19">
        <f>IFERROR(__xludf.DUMMYFUNCTION("""COMPUTED_VALUE"""),45484.436562187504)</f>
        <v>45484.43656</v>
      </c>
      <c r="D596" s="7" t="str">
        <f>IFERROR(__xludf.DUMMYFUNCTION("""COMPUTED_VALUE"""),"Ferrarassi Britos ")</f>
        <v>Ferrarassi Britos </v>
      </c>
      <c r="E596" s="7" t="str">
        <f>IFERROR(__xludf.DUMMYFUNCTION("""COMPUTED_VALUE"""),"Nahuel ")</f>
        <v>Nahuel </v>
      </c>
      <c r="F596" s="7" t="str">
        <f>IFERROR(__xludf.DUMMYFUNCTION("""COMPUTED_VALUE"""),"nicolasferrarassi@gmail.com")</f>
        <v>nicolasferrarassi@gmail.com</v>
      </c>
      <c r="G596" s="20">
        <f>IFERROR(__xludf.DUMMYFUNCTION("""COMPUTED_VALUE"""),39644.0)</f>
        <v>39644</v>
      </c>
      <c r="H596" s="7">
        <f>IFERROR(__xludf.DUMMYFUNCTION("""COMPUTED_VALUE"""),4.7475395E7)</f>
        <v>47475395</v>
      </c>
      <c r="I596" s="7">
        <f>IFERROR(__xludf.DUMMYFUNCTION("""COMPUTED_VALUE"""),3.51671099E9)</f>
        <v>3516710990</v>
      </c>
      <c r="J596" s="7" t="str">
        <f>IFERROR(__xludf.DUMMYFUNCTION("""COMPUTED_VALUE"""),"Recomendación")</f>
        <v>Recomendación</v>
      </c>
      <c r="K596" s="7" t="str">
        <f>IFERROR(__xludf.DUMMYFUNCTION("""COMPUTED_VALUE"""),"Particular")</f>
        <v>Particular</v>
      </c>
      <c r="L596" s="7"/>
      <c r="M596" s="7" t="str">
        <f>IFERROR(__xludf.DUMMYFUNCTION("""COMPUTED_VALUE"""),"Si")</f>
        <v>Si</v>
      </c>
      <c r="N596" s="7" t="str">
        <f>IFERROR(__xludf.DUMMYFUNCTION("""COMPUTED_VALUE"""),"Fútbol")</f>
        <v>Fútbol</v>
      </c>
      <c r="O596" s="7" t="str">
        <f>IFERROR(__xludf.DUMMYFUNCTION("""COMPUTED_VALUE"""),"3 a 5 veces por semana")</f>
        <v>3 a 5 veces por semana</v>
      </c>
      <c r="P596" s="7"/>
      <c r="Q596" s="7"/>
      <c r="R596" s="7"/>
      <c r="S596" s="7"/>
    </row>
    <row r="597">
      <c r="A597" s="7" t="str">
        <f t="shared" si="1"/>
        <v>Vargas, Fiorella</v>
      </c>
      <c r="B597" s="7">
        <f>SUMIFS('bd caja'!$K$1:$K$1012,'bd caja'!$D$1:$D$1012,A597)</f>
        <v>0</v>
      </c>
      <c r="C597" s="19">
        <f>IFERROR(__xludf.DUMMYFUNCTION("""COMPUTED_VALUE"""),45484.74990880787)</f>
        <v>45484.74991</v>
      </c>
      <c r="D597" s="7" t="str">
        <f>IFERROR(__xludf.DUMMYFUNCTION("""COMPUTED_VALUE"""),"Vargas")</f>
        <v>Vargas</v>
      </c>
      <c r="E597" s="7" t="str">
        <f>IFERROR(__xludf.DUMMYFUNCTION("""COMPUTED_VALUE"""),"Fiorella")</f>
        <v>Fiorella</v>
      </c>
      <c r="F597" s="7" t="str">
        <f>IFERROR(__xludf.DUMMYFUNCTION("""COMPUTED_VALUE"""),"-")</f>
        <v>-</v>
      </c>
      <c r="G597" s="20">
        <f>IFERROR(__xludf.DUMMYFUNCTION("""COMPUTED_VALUE"""),33012.0)</f>
        <v>33012</v>
      </c>
      <c r="H597" s="7">
        <f>IFERROR(__xludf.DUMMYFUNCTION("""COMPUTED_VALUE"""),3.4771733E7)</f>
        <v>34771733</v>
      </c>
      <c r="I597" s="7">
        <f>IFERROR(__xludf.DUMMYFUNCTION("""COMPUTED_VALUE"""),3.517014769E9)</f>
        <v>3517014769</v>
      </c>
      <c r="J597" s="7" t="str">
        <f>IFERROR(__xludf.DUMMYFUNCTION("""COMPUTED_VALUE"""),"Staff del gym")</f>
        <v>Staff del gym</v>
      </c>
      <c r="K597" s="7" t="str">
        <f>IFERROR(__xludf.DUMMYFUNCTION("""COMPUTED_VALUE"""),"Particular")</f>
        <v>Particular</v>
      </c>
      <c r="L597" s="7"/>
      <c r="M597" s="7" t="str">
        <f>IFERROR(__xludf.DUMMYFUNCTION("""COMPUTED_VALUE"""),"No")</f>
        <v>No</v>
      </c>
      <c r="N597" s="7"/>
      <c r="O597" s="7"/>
      <c r="P597" s="7"/>
      <c r="Q597" s="7"/>
      <c r="R597" s="7"/>
      <c r="S597" s="7"/>
    </row>
    <row r="598">
      <c r="A598" s="7" t="str">
        <f t="shared" si="1"/>
        <v>PERDOMO, Antonella</v>
      </c>
      <c r="B598" s="7">
        <f>SUMIFS('bd caja'!$K$1:$K$1012,'bd caja'!$D$1:$D$1012,A598)</f>
        <v>0</v>
      </c>
      <c r="C598" s="19">
        <f>IFERROR(__xludf.DUMMYFUNCTION("""COMPUTED_VALUE"""),45485.507698483794)</f>
        <v>45485.5077</v>
      </c>
      <c r="D598" s="7" t="str">
        <f>IFERROR(__xludf.DUMMYFUNCTION("""COMPUTED_VALUE"""),"PERDOMO")</f>
        <v>PERDOMO</v>
      </c>
      <c r="E598" s="7" t="str">
        <f>IFERROR(__xludf.DUMMYFUNCTION("""COMPUTED_VALUE"""),"Antonella")</f>
        <v>Antonella</v>
      </c>
      <c r="F598" s="7" t="str">
        <f>IFERROR(__xludf.DUMMYFUNCTION("""COMPUTED_VALUE"""),"-")</f>
        <v>-</v>
      </c>
      <c r="G598" s="20">
        <f>IFERROR(__xludf.DUMMYFUNCTION("""COMPUTED_VALUE"""),33167.0)</f>
        <v>33167</v>
      </c>
      <c r="H598" s="7">
        <f>IFERROR(__xludf.DUMMYFUNCTION("""COMPUTED_VALUE"""),3.5512148E7)</f>
        <v>35512148</v>
      </c>
      <c r="I598" s="7">
        <f>IFERROR(__xludf.DUMMYFUNCTION("""COMPUTED_VALUE"""),3.5168193E9)</f>
        <v>3516819300</v>
      </c>
      <c r="J598" s="7" t="str">
        <f>IFERROR(__xludf.DUMMYFUNCTION("""COMPUTED_VALUE"""),"Voy al gym Manantial")</f>
        <v>Voy al gym Manantial</v>
      </c>
      <c r="K598" s="7" t="str">
        <f>IFERROR(__xludf.DUMMYFUNCTION("""COMPUTED_VALUE"""),"Obra social")</f>
        <v>Obra social</v>
      </c>
      <c r="L598" s="7"/>
      <c r="M598" s="7" t="str">
        <f>IFERROR(__xludf.DUMMYFUNCTION("""COMPUTED_VALUE"""),"No")</f>
        <v>No</v>
      </c>
      <c r="N598" s="7"/>
      <c r="O598" s="7"/>
      <c r="P598" s="7"/>
      <c r="Q598" s="7" t="str">
        <f>IFERROR(__xludf.DUMMYFUNCTION("""COMPUTED_VALUE"""),"APROSS")</f>
        <v>APROSS</v>
      </c>
      <c r="R598" s="7"/>
      <c r="S598" s="7"/>
    </row>
    <row r="599">
      <c r="A599" s="7" t="str">
        <f t="shared" si="1"/>
        <v>Andretich, Luciana</v>
      </c>
      <c r="B599" s="7">
        <f>SUMIFS('bd caja'!$K$1:$K$1012,'bd caja'!$D$1:$D$1012,A599)</f>
        <v>0</v>
      </c>
      <c r="C599" s="19">
        <f>IFERROR(__xludf.DUMMYFUNCTION("""COMPUTED_VALUE"""),45485.80061157407)</f>
        <v>45485.80061</v>
      </c>
      <c r="D599" s="7" t="str">
        <f>IFERROR(__xludf.DUMMYFUNCTION("""COMPUTED_VALUE"""),"Andretich")</f>
        <v>Andretich</v>
      </c>
      <c r="E599" s="7" t="str">
        <f>IFERROR(__xludf.DUMMYFUNCTION("""COMPUTED_VALUE"""),"Luciana")</f>
        <v>Luciana</v>
      </c>
      <c r="F599" s="7" t="str">
        <f>IFERROR(__xludf.DUMMYFUNCTION("""COMPUTED_VALUE"""),"lucianaandretich@hotmail.com")</f>
        <v>lucianaandretich@hotmail.com</v>
      </c>
      <c r="G599" s="20">
        <f>IFERROR(__xludf.DUMMYFUNCTION("""COMPUTED_VALUE"""),29185.0)</f>
        <v>29185</v>
      </c>
      <c r="H599" s="7">
        <f>IFERROR(__xludf.DUMMYFUNCTION("""COMPUTED_VALUE"""),2.7681597E7)</f>
        <v>27681597</v>
      </c>
      <c r="I599" s="7">
        <f>IFERROR(__xludf.DUMMYFUNCTION("""COMPUTED_VALUE"""),3.516468609E9)</f>
        <v>3516468609</v>
      </c>
      <c r="J599" s="7" t="str">
        <f>IFERROR(__xludf.DUMMYFUNCTION("""COMPUTED_VALUE"""),"Voy al gym Manantial")</f>
        <v>Voy al gym Manantial</v>
      </c>
      <c r="K599" s="7" t="str">
        <f>IFERROR(__xludf.DUMMYFUNCTION("""COMPUTED_VALUE"""),"Particular")</f>
        <v>Particular</v>
      </c>
      <c r="L599" s="7"/>
      <c r="M599" s="7" t="str">
        <f>IFERROR(__xludf.DUMMYFUNCTION("""COMPUTED_VALUE"""),"Si")</f>
        <v>Si</v>
      </c>
      <c r="N599" s="7" t="str">
        <f>IFERROR(__xludf.DUMMYFUNCTION("""COMPUTED_VALUE"""),"Gimnasio")</f>
        <v>Gimnasio</v>
      </c>
      <c r="O599" s="7" t="str">
        <f>IFERROR(__xludf.DUMMYFUNCTION("""COMPUTED_VALUE"""),"3 a 5 veces por semana")</f>
        <v>3 a 5 veces por semana</v>
      </c>
      <c r="P599" s="7"/>
      <c r="Q599" s="7"/>
      <c r="R599" s="7"/>
      <c r="S599" s="7"/>
    </row>
    <row r="600">
      <c r="A600" s="7" t="str">
        <f t="shared" si="1"/>
        <v>Nieto Collar, Luciana</v>
      </c>
      <c r="B600" s="7">
        <f>SUMIFS('bd caja'!$K$1:$K$1012,'bd caja'!$D$1:$D$1012,A600)</f>
        <v>0</v>
      </c>
      <c r="C600" s="19">
        <f>IFERROR(__xludf.DUMMYFUNCTION("""COMPUTED_VALUE"""),45488.652462569444)</f>
        <v>45488.65246</v>
      </c>
      <c r="D600" s="7" t="str">
        <f>IFERROR(__xludf.DUMMYFUNCTION("""COMPUTED_VALUE"""),"Nieto Collar")</f>
        <v>Nieto Collar</v>
      </c>
      <c r="E600" s="7" t="str">
        <f>IFERROR(__xludf.DUMMYFUNCTION("""COMPUTED_VALUE"""),"Luciana")</f>
        <v>Luciana</v>
      </c>
      <c r="F600" s="7" t="str">
        <f>IFERROR(__xludf.DUMMYFUNCTION("""COMPUTED_VALUE"""),"nietoluciana3@gmail.com")</f>
        <v>nietoluciana3@gmail.com</v>
      </c>
      <c r="G600" s="20">
        <f>IFERROR(__xludf.DUMMYFUNCTION("""COMPUTED_VALUE"""),36701.0)</f>
        <v>36701</v>
      </c>
      <c r="H600" s="7">
        <f>IFERROR(__xludf.DUMMYFUNCTION("""COMPUTED_VALUE"""),4.2639576E7)</f>
        <v>42639576</v>
      </c>
      <c r="I600" s="7">
        <f>IFERROR(__xludf.DUMMYFUNCTION("""COMPUTED_VALUE"""),3.518166981E9)</f>
        <v>3518166981</v>
      </c>
      <c r="J600" s="7" t="str">
        <f>IFERROR(__xludf.DUMMYFUNCTION("""COMPUTED_VALUE"""),"Google")</f>
        <v>Google</v>
      </c>
      <c r="K600" s="7" t="str">
        <f>IFERROR(__xludf.DUMMYFUNCTION("""COMPUTED_VALUE"""),"Obra social")</f>
        <v>Obra social</v>
      </c>
      <c r="L600" s="7"/>
      <c r="M600" s="7" t="str">
        <f>IFERROR(__xludf.DUMMYFUNCTION("""COMPUTED_VALUE"""),"No")</f>
        <v>No</v>
      </c>
      <c r="N600" s="7"/>
      <c r="O600" s="7"/>
      <c r="P600" s="7"/>
      <c r="Q600" s="7" t="str">
        <f>IFERROR(__xludf.DUMMYFUNCTION("""COMPUTED_VALUE"""),"Unimed")</f>
        <v>Unimed</v>
      </c>
      <c r="R600" s="7"/>
      <c r="S600" s="7"/>
    </row>
    <row r="601">
      <c r="A601" s="7" t="str">
        <f t="shared" si="1"/>
        <v>Andres , Juan Manuel</v>
      </c>
      <c r="B601" s="7">
        <f>SUMIFS('bd caja'!$K$1:$K$1012,'bd caja'!$D$1:$D$1012,A601)</f>
        <v>0</v>
      </c>
      <c r="C601" s="19">
        <f>IFERROR(__xludf.DUMMYFUNCTION("""COMPUTED_VALUE"""),45489.41681027778)</f>
        <v>45489.41681</v>
      </c>
      <c r="D601" s="7" t="str">
        <f>IFERROR(__xludf.DUMMYFUNCTION("""COMPUTED_VALUE"""),"Andres ")</f>
        <v>Andres </v>
      </c>
      <c r="E601" s="7" t="str">
        <f>IFERROR(__xludf.DUMMYFUNCTION("""COMPUTED_VALUE"""),"Juan Manuel")</f>
        <v>Juan Manuel</v>
      </c>
      <c r="F601" s="7" t="str">
        <f>IFERROR(__xludf.DUMMYFUNCTION("""COMPUTED_VALUE"""),"ab.andresjuanmanuel@gmail.com")</f>
        <v>ab.andresjuanmanuel@gmail.com</v>
      </c>
      <c r="G601" s="20">
        <f>IFERROR(__xludf.DUMMYFUNCTION("""COMPUTED_VALUE"""),30735.0)</f>
        <v>30735</v>
      </c>
      <c r="H601" s="7">
        <f>IFERROR(__xludf.DUMMYFUNCTION("""COMPUTED_VALUE"""),3.084431E7)</f>
        <v>30844310</v>
      </c>
      <c r="I601" s="7">
        <f>IFERROR(__xludf.DUMMYFUNCTION("""COMPUTED_VALUE"""),3.513411318E9)</f>
        <v>3513411318</v>
      </c>
      <c r="J601" s="7" t="str">
        <f>IFERROR(__xludf.DUMMYFUNCTION("""COMPUTED_VALUE"""),"Voy al gym Manantial")</f>
        <v>Voy al gym Manantial</v>
      </c>
      <c r="K601" s="7" t="str">
        <f>IFERROR(__xludf.DUMMYFUNCTION("""COMPUTED_VALUE"""),"Particular")</f>
        <v>Particular</v>
      </c>
      <c r="L601" s="7"/>
      <c r="M601" s="7" t="str">
        <f>IFERROR(__xludf.DUMMYFUNCTION("""COMPUTED_VALUE"""),"No")</f>
        <v>No</v>
      </c>
      <c r="N601" s="7"/>
      <c r="O601" s="7"/>
      <c r="P601" s="7"/>
      <c r="Q601" s="7"/>
      <c r="R601" s="7"/>
      <c r="S601" s="7"/>
    </row>
    <row r="602">
      <c r="A602" s="7" t="str">
        <f t="shared" si="1"/>
        <v>Carrizo, Lucas</v>
      </c>
      <c r="B602" s="7">
        <f>SUMIFS('bd caja'!$K$1:$K$1012,'bd caja'!$D$1:$D$1012,A602)</f>
        <v>0</v>
      </c>
      <c r="C602" s="19">
        <f>IFERROR(__xludf.DUMMYFUNCTION("""COMPUTED_VALUE"""),45489.427757627316)</f>
        <v>45489.42776</v>
      </c>
      <c r="D602" s="7" t="str">
        <f>IFERROR(__xludf.DUMMYFUNCTION("""COMPUTED_VALUE"""),"Carrizo")</f>
        <v>Carrizo</v>
      </c>
      <c r="E602" s="7" t="str">
        <f>IFERROR(__xludf.DUMMYFUNCTION("""COMPUTED_VALUE"""),"Lucas")</f>
        <v>Lucas</v>
      </c>
      <c r="F602" s="7" t="str">
        <f>IFERROR(__xludf.DUMMYFUNCTION("""COMPUTED_VALUE"""),"lucascarrizo094@gmail.com")</f>
        <v>lucascarrizo094@gmail.com</v>
      </c>
      <c r="G602" s="20">
        <f>IFERROR(__xludf.DUMMYFUNCTION("""COMPUTED_VALUE"""),29130.0)</f>
        <v>29130</v>
      </c>
      <c r="H602" s="7">
        <f>IFERROR(__xludf.DUMMYFUNCTION("""COMPUTED_VALUE"""),2.7657345E7)</f>
        <v>27657345</v>
      </c>
      <c r="I602" s="7">
        <f>IFERROR(__xludf.DUMMYFUNCTION("""COMPUTED_VALUE"""),3.513475545E9)</f>
        <v>3513475545</v>
      </c>
      <c r="J602" s="7" t="str">
        <f>IFERROR(__xludf.DUMMYFUNCTION("""COMPUTED_VALUE"""),"Voy al gym Manantial")</f>
        <v>Voy al gym Manantial</v>
      </c>
      <c r="K602" s="7" t="str">
        <f>IFERROR(__xludf.DUMMYFUNCTION("""COMPUTED_VALUE"""),"Particular")</f>
        <v>Particular</v>
      </c>
      <c r="L602" s="7"/>
      <c r="M602" s="7" t="str">
        <f>IFERROR(__xludf.DUMMYFUNCTION("""COMPUTED_VALUE"""),"Si")</f>
        <v>Si</v>
      </c>
      <c r="N602" s="7" t="str">
        <f>IFERROR(__xludf.DUMMYFUNCTION("""COMPUTED_VALUE"""),"Gimnasio")</f>
        <v>Gimnasio</v>
      </c>
      <c r="O602" s="7" t="str">
        <f>IFERROR(__xludf.DUMMYFUNCTION("""COMPUTED_VALUE"""),"6 a 7 veces por semana")</f>
        <v>6 a 7 veces por semana</v>
      </c>
      <c r="P602" s="7"/>
      <c r="Q602" s="7"/>
      <c r="R602" s="7"/>
      <c r="S602" s="7"/>
    </row>
    <row r="603">
      <c r="A603" s="7" t="str">
        <f t="shared" si="1"/>
        <v>Palacio, Cristian gustavo</v>
      </c>
      <c r="B603" s="7">
        <f>SUMIFS('bd caja'!$K$1:$K$1012,'bd caja'!$D$1:$D$1012,A603)</f>
        <v>0</v>
      </c>
      <c r="C603" s="19">
        <f>IFERROR(__xludf.DUMMYFUNCTION("""COMPUTED_VALUE"""),45489.579512083335)</f>
        <v>45489.57951</v>
      </c>
      <c r="D603" s="7" t="str">
        <f>IFERROR(__xludf.DUMMYFUNCTION("""COMPUTED_VALUE"""),"Palacio")</f>
        <v>Palacio</v>
      </c>
      <c r="E603" s="7" t="str">
        <f>IFERROR(__xludf.DUMMYFUNCTION("""COMPUTED_VALUE"""),"Cristian gustavo")</f>
        <v>Cristian gustavo</v>
      </c>
      <c r="F603" s="7"/>
      <c r="G603" s="20">
        <f>IFERROR(__xludf.DUMMYFUNCTION("""COMPUTED_VALUE"""),26561.0)</f>
        <v>26561</v>
      </c>
      <c r="H603" s="7">
        <f>IFERROR(__xludf.DUMMYFUNCTION("""COMPUTED_VALUE"""),2.2794599E7)</f>
        <v>22794599</v>
      </c>
      <c r="I603" s="7">
        <f>IFERROR(__xludf.DUMMYFUNCTION("""COMPUTED_VALUE"""),3.512711704E9)</f>
        <v>3512711704</v>
      </c>
      <c r="J603" s="7" t="str">
        <f>IFERROR(__xludf.DUMMYFUNCTION("""COMPUTED_VALUE"""),"Facebook")</f>
        <v>Facebook</v>
      </c>
      <c r="K603" s="7" t="str">
        <f>IFERROR(__xludf.DUMMYFUNCTION("""COMPUTED_VALUE"""),"Particular")</f>
        <v>Particular</v>
      </c>
      <c r="L603" s="7"/>
      <c r="M603" s="7" t="str">
        <f>IFERROR(__xludf.DUMMYFUNCTION("""COMPUTED_VALUE"""),"Si")</f>
        <v>Si</v>
      </c>
      <c r="N603" s="7" t="str">
        <f>IFERROR(__xludf.DUMMYFUNCTION("""COMPUTED_VALUE"""),"Gimnasio")</f>
        <v>Gimnasio</v>
      </c>
      <c r="O603" s="7" t="str">
        <f>IFERROR(__xludf.DUMMYFUNCTION("""COMPUTED_VALUE"""),"6 a 7 veces por semana")</f>
        <v>6 a 7 veces por semana</v>
      </c>
      <c r="P603" s="7"/>
      <c r="Q603" s="7"/>
      <c r="R603" s="7"/>
      <c r="S603" s="7"/>
    </row>
    <row r="604">
      <c r="A604" s="7" t="str">
        <f t="shared" si="1"/>
        <v>Carignano, Constanza</v>
      </c>
      <c r="B604" s="7">
        <f>SUMIFS('bd caja'!$K$1:$K$1012,'bd caja'!$D$1:$D$1012,A604)</f>
        <v>0</v>
      </c>
      <c r="C604" s="19">
        <f>IFERROR(__xludf.DUMMYFUNCTION("""COMPUTED_VALUE"""),45490.663704583334)</f>
        <v>45490.6637</v>
      </c>
      <c r="D604" s="7" t="str">
        <f>IFERROR(__xludf.DUMMYFUNCTION("""COMPUTED_VALUE"""),"Carignano")</f>
        <v>Carignano</v>
      </c>
      <c r="E604" s="7" t="str">
        <f>IFERROR(__xludf.DUMMYFUNCTION("""COMPUTED_VALUE"""),"Constanza")</f>
        <v>Constanza</v>
      </c>
      <c r="F604" s="7" t="str">
        <f>IFERROR(__xludf.DUMMYFUNCTION("""COMPUTED_VALUE"""),"coticarignano@gmail.com")</f>
        <v>coticarignano@gmail.com</v>
      </c>
      <c r="G604" s="20">
        <f>IFERROR(__xludf.DUMMYFUNCTION("""COMPUTED_VALUE"""),38131.0)</f>
        <v>38131</v>
      </c>
      <c r="H604" s="7">
        <f>IFERROR(__xludf.DUMMYFUNCTION("""COMPUTED_VALUE"""),4.5691202E7)</f>
        <v>45691202</v>
      </c>
      <c r="I604" s="7">
        <f>IFERROR(__xludf.DUMMYFUNCTION("""COMPUTED_VALUE"""),3.517912616E9)</f>
        <v>3517912616</v>
      </c>
      <c r="J604" s="7" t="str">
        <f>IFERROR(__xludf.DUMMYFUNCTION("""COMPUTED_VALUE"""),"Recomendación")</f>
        <v>Recomendación</v>
      </c>
      <c r="K604" s="7" t="str">
        <f>IFERROR(__xludf.DUMMYFUNCTION("""COMPUTED_VALUE"""),"Obra social")</f>
        <v>Obra social</v>
      </c>
      <c r="L604" s="7"/>
      <c r="M604" s="7" t="str">
        <f>IFERROR(__xludf.DUMMYFUNCTION("""COMPUTED_VALUE"""),"Si")</f>
        <v>Si</v>
      </c>
      <c r="N604" s="7" t="str">
        <f>IFERROR(__xludf.DUMMYFUNCTION("""COMPUTED_VALUE"""),"Voley")</f>
        <v>Voley</v>
      </c>
      <c r="O604" s="7" t="str">
        <f>IFERROR(__xludf.DUMMYFUNCTION("""COMPUTED_VALUE"""),"6 a 7 veces por semana")</f>
        <v>6 a 7 veces por semana</v>
      </c>
      <c r="P604" s="7"/>
      <c r="Q604" s="7" t="str">
        <f>IFERROR(__xludf.DUMMYFUNCTION("""COMPUTED_VALUE"""),"PREVENCIÓN")</f>
        <v>PREVENCIÓN</v>
      </c>
      <c r="R604" s="7"/>
      <c r="S604" s="7"/>
    </row>
    <row r="605">
      <c r="A605" s="7" t="str">
        <f t="shared" si="1"/>
        <v>Rivera, Nicolas</v>
      </c>
      <c r="B605" s="7">
        <f>SUMIFS('bd caja'!$K$1:$K$1012,'bd caja'!$D$1:$D$1012,A605)</f>
        <v>0</v>
      </c>
      <c r="C605" s="19">
        <f>IFERROR(__xludf.DUMMYFUNCTION("""COMPUTED_VALUE"""),45491.651367847226)</f>
        <v>45491.65137</v>
      </c>
      <c r="D605" s="7" t="str">
        <f>IFERROR(__xludf.DUMMYFUNCTION("""COMPUTED_VALUE"""),"Rivera")</f>
        <v>Rivera</v>
      </c>
      <c r="E605" s="7" t="str">
        <f>IFERROR(__xludf.DUMMYFUNCTION("""COMPUTED_VALUE"""),"Nicolas")</f>
        <v>Nicolas</v>
      </c>
      <c r="F605" s="7" t="str">
        <f>IFERROR(__xludf.DUMMYFUNCTION("""COMPUTED_VALUE"""),"nriveracolman@yahoo.com.ar")</f>
        <v>nriveracolman@yahoo.com.ar</v>
      </c>
      <c r="G605" s="20">
        <f>IFERROR(__xludf.DUMMYFUNCTION("""COMPUTED_VALUE"""),30219.0)</f>
        <v>30219</v>
      </c>
      <c r="H605" s="7">
        <f>IFERROR(__xludf.DUMMYFUNCTION("""COMPUTED_VALUE"""),2.9711721E7)</f>
        <v>29711721</v>
      </c>
      <c r="I605" s="7">
        <f>IFERROR(__xludf.DUMMYFUNCTION("""COMPUTED_VALUE"""),3.512277895E9)</f>
        <v>3512277895</v>
      </c>
      <c r="J605" s="7" t="str">
        <f>IFERROR(__xludf.DUMMYFUNCTION("""COMPUTED_VALUE"""),"Voy al gym Manantial")</f>
        <v>Voy al gym Manantial</v>
      </c>
      <c r="K605" s="7" t="str">
        <f>IFERROR(__xludf.DUMMYFUNCTION("""COMPUTED_VALUE"""),"Obra social")</f>
        <v>Obra social</v>
      </c>
      <c r="L605" s="7"/>
      <c r="M605" s="7" t="str">
        <f>IFERROR(__xludf.DUMMYFUNCTION("""COMPUTED_VALUE"""),"Si")</f>
        <v>Si</v>
      </c>
      <c r="N605" s="7" t="str">
        <f>IFERROR(__xludf.DUMMYFUNCTION("""COMPUTED_VALUE"""),"Gimnasio")</f>
        <v>Gimnasio</v>
      </c>
      <c r="O605" s="7" t="str">
        <f>IFERROR(__xludf.DUMMYFUNCTION("""COMPUTED_VALUE"""),"3 a 5 veces por semana")</f>
        <v>3 a 5 veces por semana</v>
      </c>
      <c r="P605" s="7"/>
      <c r="Q605" s="7" t="str">
        <f>IFERROR(__xludf.DUMMYFUNCTION("""COMPUTED_VALUE"""),"PREVENCIÓN")</f>
        <v>PREVENCIÓN</v>
      </c>
      <c r="R605" s="7"/>
      <c r="S605" s="7"/>
    </row>
    <row r="606">
      <c r="A606" s="7" t="str">
        <f t="shared" si="1"/>
        <v>Ramirez, Marino</v>
      </c>
      <c r="B606" s="7">
        <f>SUMIFS('bd caja'!$K$1:$K$1012,'bd caja'!$D$1:$D$1012,A606)</f>
        <v>0</v>
      </c>
      <c r="C606" s="19">
        <f>IFERROR(__xludf.DUMMYFUNCTION("""COMPUTED_VALUE"""),45493.80713181713)</f>
        <v>45493.80713</v>
      </c>
      <c r="D606" s="7" t="str">
        <f>IFERROR(__xludf.DUMMYFUNCTION("""COMPUTED_VALUE"""),"Ramirez")</f>
        <v>Ramirez</v>
      </c>
      <c r="E606" s="7" t="str">
        <f>IFERROR(__xludf.DUMMYFUNCTION("""COMPUTED_VALUE"""),"Marino")</f>
        <v>Marino</v>
      </c>
      <c r="F606" s="7" t="str">
        <f>IFERROR(__xludf.DUMMYFUNCTION("""COMPUTED_VALUE"""),"marinoramirez56@yahoo.com.ar")</f>
        <v>marinoramirez56@yahoo.com.ar</v>
      </c>
      <c r="G606" s="20">
        <f>IFERROR(__xludf.DUMMYFUNCTION("""COMPUTED_VALUE"""),20604.0)</f>
        <v>20604</v>
      </c>
      <c r="H606" s="7">
        <f>IFERROR(__xludf.DUMMYFUNCTION("""COMPUTED_VALUE"""),1.2341638E7)</f>
        <v>12341638</v>
      </c>
      <c r="I606" s="7">
        <f>IFERROR(__xludf.DUMMYFUNCTION("""COMPUTED_VALUE"""),3.51599558E9)</f>
        <v>3515995580</v>
      </c>
      <c r="J606" s="7" t="str">
        <f>IFERROR(__xludf.DUMMYFUNCTION("""COMPUTED_VALUE"""),"Recomendación")</f>
        <v>Recomendación</v>
      </c>
      <c r="K606" s="7" t="str">
        <f>IFERROR(__xludf.DUMMYFUNCTION("""COMPUTED_VALUE"""),"Particular")</f>
        <v>Particular</v>
      </c>
      <c r="L606" s="7"/>
      <c r="M606" s="7" t="str">
        <f>IFERROR(__xludf.DUMMYFUNCTION("""COMPUTED_VALUE"""),"No")</f>
        <v>No</v>
      </c>
      <c r="N606" s="7"/>
      <c r="O606" s="7"/>
      <c r="P606" s="7"/>
      <c r="Q606" s="7"/>
      <c r="R606" s="7"/>
      <c r="S606" s="7"/>
    </row>
    <row r="607">
      <c r="A607" s="7" t="str">
        <f t="shared" si="1"/>
        <v>Passerini, Santiago</v>
      </c>
      <c r="B607" s="7">
        <f>SUMIFS('bd caja'!$K$1:$K$1012,'bd caja'!$D$1:$D$1012,A607)</f>
        <v>0</v>
      </c>
      <c r="C607" s="19">
        <f>IFERROR(__xludf.DUMMYFUNCTION("""COMPUTED_VALUE"""),45495.51752966435)</f>
        <v>45495.51753</v>
      </c>
      <c r="D607" s="7" t="str">
        <f>IFERROR(__xludf.DUMMYFUNCTION("""COMPUTED_VALUE"""),"Passerini")</f>
        <v>Passerini</v>
      </c>
      <c r="E607" s="7" t="str">
        <f>IFERROR(__xludf.DUMMYFUNCTION("""COMPUTED_VALUE"""),"Santiago")</f>
        <v>Santiago</v>
      </c>
      <c r="F607" s="7" t="str">
        <f>IFERROR(__xludf.DUMMYFUNCTION("""COMPUTED_VALUE"""),"santiago.passerini1@gmail.com")</f>
        <v>santiago.passerini1@gmail.com</v>
      </c>
      <c r="G607" s="20">
        <f>IFERROR(__xludf.DUMMYFUNCTION("""COMPUTED_VALUE"""),36636.0)</f>
        <v>36636</v>
      </c>
      <c r="H607" s="7">
        <f>IFERROR(__xludf.DUMMYFUNCTION("""COMPUTED_VALUE"""),4.9640288E7)</f>
        <v>49640288</v>
      </c>
      <c r="I607" s="7">
        <f>IFERROR(__xludf.DUMMYFUNCTION("""COMPUTED_VALUE"""),3.51765002E9)</f>
        <v>3517650020</v>
      </c>
      <c r="J607" s="7" t="str">
        <f>IFERROR(__xludf.DUMMYFUNCTION("""COMPUTED_VALUE"""),"Recomendación")</f>
        <v>Recomendación</v>
      </c>
      <c r="K607" s="7" t="str">
        <f>IFERROR(__xludf.DUMMYFUNCTION("""COMPUTED_VALUE"""),"Particular")</f>
        <v>Particular</v>
      </c>
      <c r="L607" s="7"/>
      <c r="M607" s="7" t="str">
        <f>IFERROR(__xludf.DUMMYFUNCTION("""COMPUTED_VALUE"""),"Si")</f>
        <v>Si</v>
      </c>
      <c r="N607" s="7" t="str">
        <f>IFERROR(__xludf.DUMMYFUNCTION("""COMPUTED_VALUE"""),"Golf")</f>
        <v>Golf</v>
      </c>
      <c r="O607" s="7" t="str">
        <f>IFERROR(__xludf.DUMMYFUNCTION("""COMPUTED_VALUE"""),"1 a 2 veces por semana")</f>
        <v>1 a 2 veces por semana</v>
      </c>
      <c r="P607" s="7"/>
      <c r="Q607" s="7"/>
      <c r="R607" s="7"/>
      <c r="S607" s="7"/>
    </row>
    <row r="608">
      <c r="A608" s="7" t="str">
        <f t="shared" si="1"/>
        <v>Flores bur , Emanuel </v>
      </c>
      <c r="B608" s="7">
        <f>SUMIFS('bd caja'!$K$1:$K$1012,'bd caja'!$D$1:$D$1012,A608)</f>
        <v>0</v>
      </c>
      <c r="C608" s="19">
        <f>IFERROR(__xludf.DUMMYFUNCTION("""COMPUTED_VALUE"""),45496.46288478009)</f>
        <v>45496.46288</v>
      </c>
      <c r="D608" s="7" t="str">
        <f>IFERROR(__xludf.DUMMYFUNCTION("""COMPUTED_VALUE"""),"Flores bur ")</f>
        <v>Flores bur </v>
      </c>
      <c r="E608" s="7" t="str">
        <f>IFERROR(__xludf.DUMMYFUNCTION("""COMPUTED_VALUE"""),"Emanuel ")</f>
        <v>Emanuel </v>
      </c>
      <c r="F608" s="7" t="str">
        <f>IFERROR(__xludf.DUMMYFUNCTION("""COMPUTED_VALUE"""),"Emafloresbur@gmail.com")</f>
        <v>Emafloresbur@gmail.com</v>
      </c>
      <c r="G608" s="20">
        <f>IFERROR(__xludf.DUMMYFUNCTION("""COMPUTED_VALUE"""),29674.0)</f>
        <v>29674</v>
      </c>
      <c r="H608" s="7">
        <f>IFERROR(__xludf.DUMMYFUNCTION("""COMPUTED_VALUE"""),2.8655411E7)</f>
        <v>28655411</v>
      </c>
      <c r="I608" s="7">
        <f>IFERROR(__xludf.DUMMYFUNCTION("""COMPUTED_VALUE"""),3.518057754E9)</f>
        <v>3518057754</v>
      </c>
      <c r="J608" s="7" t="str">
        <f>IFERROR(__xludf.DUMMYFUNCTION("""COMPUTED_VALUE"""),"Recomendación")</f>
        <v>Recomendación</v>
      </c>
      <c r="K608" s="7" t="str">
        <f>IFERROR(__xludf.DUMMYFUNCTION("""COMPUTED_VALUE"""),"Particular")</f>
        <v>Particular</v>
      </c>
      <c r="L608" s="7"/>
      <c r="M608" s="7" t="str">
        <f>IFERROR(__xludf.DUMMYFUNCTION("""COMPUTED_VALUE"""),"Si")</f>
        <v>Si</v>
      </c>
      <c r="N608" s="7" t="str">
        <f>IFERROR(__xludf.DUMMYFUNCTION("""COMPUTED_VALUE"""),"Padel")</f>
        <v>Padel</v>
      </c>
      <c r="O608" s="7" t="str">
        <f>IFERROR(__xludf.DUMMYFUNCTION("""COMPUTED_VALUE"""),"3 a 5 veces por semana")</f>
        <v>3 a 5 veces por semana</v>
      </c>
      <c r="P608" s="7"/>
      <c r="Q608" s="7"/>
      <c r="R608" s="7"/>
      <c r="S608" s="7"/>
    </row>
    <row r="609">
      <c r="A609" s="7" t="str">
        <f t="shared" si="1"/>
        <v>Cristori, Nelson</v>
      </c>
      <c r="B609" s="7">
        <f>SUMIFS('bd caja'!$K$1:$K$1012,'bd caja'!$D$1:$D$1012,A609)</f>
        <v>0</v>
      </c>
      <c r="C609" s="19">
        <f>IFERROR(__xludf.DUMMYFUNCTION("""COMPUTED_VALUE"""),45496.7896662037)</f>
        <v>45496.78967</v>
      </c>
      <c r="D609" s="7" t="str">
        <f>IFERROR(__xludf.DUMMYFUNCTION("""COMPUTED_VALUE"""),"Cristori")</f>
        <v>Cristori</v>
      </c>
      <c r="E609" s="7" t="str">
        <f>IFERROR(__xludf.DUMMYFUNCTION("""COMPUTED_VALUE"""),"Nelson")</f>
        <v>Nelson</v>
      </c>
      <c r="F609" s="7" t="str">
        <f>IFERROR(__xludf.DUMMYFUNCTION("""COMPUTED_VALUE"""),"cristorinelson@gmail.com")</f>
        <v>cristorinelson@gmail.com</v>
      </c>
      <c r="G609" s="20">
        <f>IFERROR(__xludf.DUMMYFUNCTION("""COMPUTED_VALUE"""),29882.0)</f>
        <v>29882</v>
      </c>
      <c r="H609" s="7">
        <f>IFERROR(__xludf.DUMMYFUNCTION("""COMPUTED_VALUE"""),2.9136511E7)</f>
        <v>29136511</v>
      </c>
      <c r="I609" s="7">
        <f>IFERROR(__xludf.DUMMYFUNCTION("""COMPUTED_VALUE"""),3.516604672E9)</f>
        <v>3516604672</v>
      </c>
      <c r="J609" s="7" t="str">
        <f>IFERROR(__xludf.DUMMYFUNCTION("""COMPUTED_VALUE"""),"Voy al gym Manantial")</f>
        <v>Voy al gym Manantial</v>
      </c>
      <c r="K609" s="7" t="str">
        <f>IFERROR(__xludf.DUMMYFUNCTION("""COMPUTED_VALUE"""),"Particular")</f>
        <v>Particular</v>
      </c>
      <c r="L609" s="7"/>
      <c r="M609" s="7" t="str">
        <f>IFERROR(__xludf.DUMMYFUNCTION("""COMPUTED_VALUE"""),"Si")</f>
        <v>Si</v>
      </c>
      <c r="N609" s="7" t="str">
        <f>IFERROR(__xludf.DUMMYFUNCTION("""COMPUTED_VALUE"""),"Padlet")</f>
        <v>Padlet</v>
      </c>
      <c r="O609" s="7" t="str">
        <f>IFERROR(__xludf.DUMMYFUNCTION("""COMPUTED_VALUE"""),"1 a 2 veces por semana")</f>
        <v>1 a 2 veces por semana</v>
      </c>
      <c r="P609" s="7"/>
      <c r="Q609" s="7"/>
      <c r="R609" s="7"/>
      <c r="S609" s="7"/>
    </row>
    <row r="610">
      <c r="A610" s="7" t="str">
        <f t="shared" si="1"/>
        <v>Naranjo, Osvaldo</v>
      </c>
      <c r="B610" s="7">
        <f>SUMIFS('bd caja'!$K$1:$K$1012,'bd caja'!$D$1:$D$1012,A610)</f>
        <v>0</v>
      </c>
      <c r="C610" s="19">
        <f>IFERROR(__xludf.DUMMYFUNCTION("""COMPUTED_VALUE"""),45497.697465034726)</f>
        <v>45497.69747</v>
      </c>
      <c r="D610" s="7" t="str">
        <f>IFERROR(__xludf.DUMMYFUNCTION("""COMPUTED_VALUE"""),"Naranjo")</f>
        <v>Naranjo</v>
      </c>
      <c r="E610" s="7" t="str">
        <f>IFERROR(__xludf.DUMMYFUNCTION("""COMPUTED_VALUE"""),"Osvaldo")</f>
        <v>Osvaldo</v>
      </c>
      <c r="F610" s="7" t="str">
        <f>IFERROR(__xludf.DUMMYFUNCTION("""COMPUTED_VALUE"""),"naranjo.osvaldo@gmail.com")</f>
        <v>naranjo.osvaldo@gmail.com</v>
      </c>
      <c r="G610" s="20">
        <f>IFERROR(__xludf.DUMMYFUNCTION("""COMPUTED_VALUE"""),21598.0)</f>
        <v>21598</v>
      </c>
      <c r="H610" s="7">
        <f>IFERROR(__xludf.DUMMYFUNCTION("""COMPUTED_VALUE"""),1.2874339E7)</f>
        <v>12874339</v>
      </c>
      <c r="I610" s="7">
        <f>IFERROR(__xludf.DUMMYFUNCTION("""COMPUTED_VALUE"""),3.516569941E9)</f>
        <v>3516569941</v>
      </c>
      <c r="J610" s="7" t="str">
        <f>IFERROR(__xludf.DUMMYFUNCTION("""COMPUTED_VALUE"""),"Recomendación")</f>
        <v>Recomendación</v>
      </c>
      <c r="K610" s="7" t="str">
        <f>IFERROR(__xludf.DUMMYFUNCTION("""COMPUTED_VALUE"""),"Particular")</f>
        <v>Particular</v>
      </c>
      <c r="L610" s="7"/>
      <c r="M610" s="7" t="str">
        <f>IFERROR(__xludf.DUMMYFUNCTION("""COMPUTED_VALUE"""),"No")</f>
        <v>No</v>
      </c>
      <c r="N610" s="7"/>
      <c r="O610" s="7"/>
      <c r="P610" s="7"/>
      <c r="Q610" s="7"/>
      <c r="R610" s="7"/>
      <c r="S610" s="7"/>
    </row>
    <row r="611">
      <c r="A611" s="7" t="str">
        <f t="shared" si="1"/>
        <v>Brizuela, Camila</v>
      </c>
      <c r="B611" s="7">
        <f>SUMIFS('bd caja'!$K$1:$K$1012,'bd caja'!$D$1:$D$1012,A611)</f>
        <v>0</v>
      </c>
      <c r="C611" s="19">
        <f>IFERROR(__xludf.DUMMYFUNCTION("""COMPUTED_VALUE"""),45497.784159849536)</f>
        <v>45497.78416</v>
      </c>
      <c r="D611" s="7" t="str">
        <f>IFERROR(__xludf.DUMMYFUNCTION("""COMPUTED_VALUE"""),"Brizuela")</f>
        <v>Brizuela</v>
      </c>
      <c r="E611" s="7" t="str">
        <f>IFERROR(__xludf.DUMMYFUNCTION("""COMPUTED_VALUE"""),"Camila")</f>
        <v>Camila</v>
      </c>
      <c r="F611" s="7" t="str">
        <f>IFERROR(__xludf.DUMMYFUNCTION("""COMPUTED_VALUE"""),"camila.b@upc.edu.ar")</f>
        <v>camila.b@upc.edu.ar</v>
      </c>
      <c r="G611" s="20">
        <f>IFERROR(__xludf.DUMMYFUNCTION("""COMPUTED_VALUE"""),34393.0)</f>
        <v>34393</v>
      </c>
      <c r="H611" s="7">
        <f>IFERROR(__xludf.DUMMYFUNCTION("""COMPUTED_VALUE"""),3.8987217E7)</f>
        <v>38987217</v>
      </c>
      <c r="I611" s="7">
        <f>IFERROR(__xludf.DUMMYFUNCTION("""COMPUTED_VALUE"""),3.513576861E9)</f>
        <v>3513576861</v>
      </c>
      <c r="J611" s="7" t="str">
        <f>IFERROR(__xludf.DUMMYFUNCTION("""COMPUTED_VALUE"""),"wsp")</f>
        <v>wsp</v>
      </c>
      <c r="K611" s="7" t="str">
        <f>IFERROR(__xludf.DUMMYFUNCTION("""COMPUTED_VALUE"""),"Particular")</f>
        <v>Particular</v>
      </c>
      <c r="L611" s="7"/>
      <c r="M611" s="7" t="str">
        <f>IFERROR(__xludf.DUMMYFUNCTION("""COMPUTED_VALUE"""),"Si")</f>
        <v>Si</v>
      </c>
      <c r="N611" s="7" t="str">
        <f>IFERROR(__xludf.DUMMYFUNCTION("""COMPUTED_VALUE"""),"escalada")</f>
        <v>escalada</v>
      </c>
      <c r="O611" s="7" t="str">
        <f>IFERROR(__xludf.DUMMYFUNCTION("""COMPUTED_VALUE"""),"3 a 5 veces por semana")</f>
        <v>3 a 5 veces por semana</v>
      </c>
      <c r="P611" s="7"/>
      <c r="Q611" s="7"/>
      <c r="R611" s="7"/>
      <c r="S611" s="7"/>
    </row>
    <row r="612">
      <c r="A612" s="7" t="str">
        <f t="shared" si="1"/>
        <v>Gianni, Juan</v>
      </c>
      <c r="B612" s="7">
        <f>SUMIFS('bd caja'!$K$1:$K$1012,'bd caja'!$D$1:$D$1012,A612)</f>
        <v>0</v>
      </c>
      <c r="C612" s="19">
        <f>IFERROR(__xludf.DUMMYFUNCTION("""COMPUTED_VALUE"""),45498.48920703704)</f>
        <v>45498.48921</v>
      </c>
      <c r="D612" s="7" t="str">
        <f>IFERROR(__xludf.DUMMYFUNCTION("""COMPUTED_VALUE"""),"Gianni")</f>
        <v>Gianni</v>
      </c>
      <c r="E612" s="7" t="str">
        <f>IFERROR(__xludf.DUMMYFUNCTION("""COMPUTED_VALUE"""),"Juan")</f>
        <v>Juan</v>
      </c>
      <c r="F612" s="7" t="str">
        <f>IFERROR(__xludf.DUMMYFUNCTION("""COMPUTED_VALUE"""),"jcagianni@gmail.com")</f>
        <v>jcagianni@gmail.com</v>
      </c>
      <c r="G612" s="20">
        <f>IFERROR(__xludf.DUMMYFUNCTION("""COMPUTED_VALUE"""),19724.0)</f>
        <v>19724</v>
      </c>
      <c r="H612" s="7">
        <f>IFERROR(__xludf.DUMMYFUNCTION("""COMPUTED_VALUE"""),1.1052471E7)</f>
        <v>11052471</v>
      </c>
      <c r="I612" s="7">
        <f>IFERROR(__xludf.DUMMYFUNCTION("""COMPUTED_VALUE"""),3.516348177E9)</f>
        <v>3516348177</v>
      </c>
      <c r="J612" s="7" t="str">
        <f>IFERROR(__xludf.DUMMYFUNCTION("""COMPUTED_VALUE"""),"Google")</f>
        <v>Google</v>
      </c>
      <c r="K612" s="7" t="str">
        <f>IFERROR(__xludf.DUMMYFUNCTION("""COMPUTED_VALUE"""),"Obra social")</f>
        <v>Obra social</v>
      </c>
      <c r="L612" s="7"/>
      <c r="M612" s="7" t="str">
        <f>IFERROR(__xludf.DUMMYFUNCTION("""COMPUTED_VALUE"""),"No")</f>
        <v>No</v>
      </c>
      <c r="N612" s="7"/>
      <c r="O612" s="7"/>
      <c r="P612" s="7"/>
      <c r="Q612" s="7" t="str">
        <f>IFERROR(__xludf.DUMMYFUNCTION("""COMPUTED_VALUE"""),"APROSS")</f>
        <v>APROSS</v>
      </c>
      <c r="R612" s="7"/>
      <c r="S612" s="7"/>
    </row>
    <row r="613">
      <c r="A613" s="7" t="str">
        <f t="shared" si="1"/>
        <v>Gandolfi , Laura de Lourdes </v>
      </c>
      <c r="B613" s="7">
        <f>SUMIFS('bd caja'!$K$1:$K$1012,'bd caja'!$D$1:$D$1012,A613)</f>
        <v>0</v>
      </c>
      <c r="C613" s="19">
        <f>IFERROR(__xludf.DUMMYFUNCTION("""COMPUTED_VALUE"""),45498.57450174769)</f>
        <v>45498.5745</v>
      </c>
      <c r="D613" s="7" t="str">
        <f>IFERROR(__xludf.DUMMYFUNCTION("""COMPUTED_VALUE"""),"Gandolfi ")</f>
        <v>Gandolfi </v>
      </c>
      <c r="E613" s="7" t="str">
        <f>IFERROR(__xludf.DUMMYFUNCTION("""COMPUTED_VALUE"""),"Laura de Lourdes ")</f>
        <v>Laura de Lourdes </v>
      </c>
      <c r="F613" s="7" t="str">
        <f>IFERROR(__xludf.DUMMYFUNCTION("""COMPUTED_VALUE"""),"lauralgandolfi@gmail.com")</f>
        <v>lauralgandolfi@gmail.com</v>
      </c>
      <c r="G613" s="20">
        <f>IFERROR(__xludf.DUMMYFUNCTION("""COMPUTED_VALUE"""),29622.0)</f>
        <v>29622</v>
      </c>
      <c r="H613" s="7">
        <f>IFERROR(__xludf.DUMMYFUNCTION("""COMPUTED_VALUE"""),2.8653283E7)</f>
        <v>28653283</v>
      </c>
      <c r="I613" s="7">
        <f>IFERROR(__xludf.DUMMYFUNCTION("""COMPUTED_VALUE"""),3.516229217E9)</f>
        <v>3516229217</v>
      </c>
      <c r="J613" s="7" t="str">
        <f>IFERROR(__xludf.DUMMYFUNCTION("""COMPUTED_VALUE"""),"Cartilla Obra Social")</f>
        <v>Cartilla Obra Social</v>
      </c>
      <c r="K613" s="7" t="str">
        <f>IFERROR(__xludf.DUMMYFUNCTION("""COMPUTED_VALUE"""),"Obra social")</f>
        <v>Obra social</v>
      </c>
      <c r="L613" s="7"/>
      <c r="M613" s="7" t="str">
        <f>IFERROR(__xludf.DUMMYFUNCTION("""COMPUTED_VALUE"""),"No")</f>
        <v>No</v>
      </c>
      <c r="N613" s="7"/>
      <c r="O613" s="7"/>
      <c r="P613" s="7"/>
      <c r="Q613" s="7" t="str">
        <f>IFERROR(__xludf.DUMMYFUNCTION("""COMPUTED_VALUE"""),"Boreal Magnum ")</f>
        <v>Boreal Magnum </v>
      </c>
      <c r="R613" s="7"/>
      <c r="S613" s="7"/>
    </row>
    <row r="614">
      <c r="A614" s="7" t="str">
        <f t="shared" si="1"/>
        <v>González , Juan Ignacio </v>
      </c>
      <c r="B614" s="7">
        <f>SUMIFS('bd caja'!$K$1:$K$1012,'bd caja'!$D$1:$D$1012,A614)</f>
        <v>0</v>
      </c>
      <c r="C614" s="19">
        <f>IFERROR(__xludf.DUMMYFUNCTION("""COMPUTED_VALUE"""),45498.71589790509)</f>
        <v>45498.7159</v>
      </c>
      <c r="D614" s="7" t="str">
        <f>IFERROR(__xludf.DUMMYFUNCTION("""COMPUTED_VALUE"""),"González ")</f>
        <v>González </v>
      </c>
      <c r="E614" s="7" t="str">
        <f>IFERROR(__xludf.DUMMYFUNCTION("""COMPUTED_VALUE"""),"Juan Ignacio ")</f>
        <v>Juan Ignacio </v>
      </c>
      <c r="F614" s="7" t="str">
        <f>IFERROR(__xludf.DUMMYFUNCTION("""COMPUTED_VALUE"""),"gonzaleznacho63@gmail.com")</f>
        <v>gonzaleznacho63@gmail.com</v>
      </c>
      <c r="G614" s="20">
        <f>IFERROR(__xludf.DUMMYFUNCTION("""COMPUTED_VALUE"""),38443.0)</f>
        <v>38443</v>
      </c>
      <c r="H614" s="7">
        <f>IFERROR(__xludf.DUMMYFUNCTION("""COMPUTED_VALUE"""),4.603317E7)</f>
        <v>46033170</v>
      </c>
      <c r="I614" s="7">
        <f>IFERROR(__xludf.DUMMYFUNCTION("""COMPUTED_VALUE"""),3.517637449E9)</f>
        <v>3517637449</v>
      </c>
      <c r="J614" s="7" t="str">
        <f>IFERROR(__xludf.DUMMYFUNCTION("""COMPUTED_VALUE"""),"Marcos")</f>
        <v>Marcos</v>
      </c>
      <c r="K614" s="7" t="str">
        <f>IFERROR(__xludf.DUMMYFUNCTION("""COMPUTED_VALUE"""),"Particular")</f>
        <v>Particular</v>
      </c>
      <c r="L614" s="7"/>
      <c r="M614" s="7" t="str">
        <f>IFERROR(__xludf.DUMMYFUNCTION("""COMPUTED_VALUE"""),"Si")</f>
        <v>Si</v>
      </c>
      <c r="N614" s="7" t="str">
        <f>IFERROR(__xludf.DUMMYFUNCTION("""COMPUTED_VALUE"""),"Gimnasio")</f>
        <v>Gimnasio</v>
      </c>
      <c r="O614" s="7" t="str">
        <f>IFERROR(__xludf.DUMMYFUNCTION("""COMPUTED_VALUE"""),"3 a 5 veces por semana")</f>
        <v>3 a 5 veces por semana</v>
      </c>
      <c r="P614" s="7"/>
      <c r="Q614" s="7"/>
      <c r="R614" s="7"/>
      <c r="S614" s="7"/>
    </row>
    <row r="615">
      <c r="A615" s="7" t="str">
        <f t="shared" si="1"/>
        <v>Espinosa , Aldo</v>
      </c>
      <c r="B615" s="7">
        <f>SUMIFS('bd caja'!$K$1:$K$1012,'bd caja'!$D$1:$D$1012,A615)</f>
        <v>0</v>
      </c>
      <c r="C615" s="19">
        <f>IFERROR(__xludf.DUMMYFUNCTION("""COMPUTED_VALUE"""),45498.79940971065)</f>
        <v>45498.79941</v>
      </c>
      <c r="D615" s="7" t="str">
        <f>IFERROR(__xludf.DUMMYFUNCTION("""COMPUTED_VALUE"""),"Espinosa ")</f>
        <v>Espinosa </v>
      </c>
      <c r="E615" s="7" t="str">
        <f>IFERROR(__xludf.DUMMYFUNCTION("""COMPUTED_VALUE"""),"Aldo")</f>
        <v>Aldo</v>
      </c>
      <c r="F615" s="7" t="str">
        <f>IFERROR(__xludf.DUMMYFUNCTION("""COMPUTED_VALUE"""),"smslistos@gmail.com")</f>
        <v>smslistos@gmail.com</v>
      </c>
      <c r="G615" s="20">
        <f>IFERROR(__xludf.DUMMYFUNCTION("""COMPUTED_VALUE"""),20726.0)</f>
        <v>20726</v>
      </c>
      <c r="H615" s="7">
        <f>IFERROR(__xludf.DUMMYFUNCTION("""COMPUTED_VALUE"""),1.2872217E7)</f>
        <v>12872217</v>
      </c>
      <c r="I615" s="7">
        <f>IFERROR(__xludf.DUMMYFUNCTION("""COMPUTED_VALUE"""),3.513160016E9)</f>
        <v>3513160016</v>
      </c>
      <c r="J615" s="7" t="str">
        <f>IFERROR(__xludf.DUMMYFUNCTION("""COMPUTED_VALUE"""),"Recomendación")</f>
        <v>Recomendación</v>
      </c>
      <c r="K615" s="7" t="str">
        <f>IFERROR(__xludf.DUMMYFUNCTION("""COMPUTED_VALUE"""),"Particular")</f>
        <v>Particular</v>
      </c>
      <c r="L615" s="7"/>
      <c r="M615" s="7" t="str">
        <f>IFERROR(__xludf.DUMMYFUNCTION("""COMPUTED_VALUE"""),"Si")</f>
        <v>Si</v>
      </c>
      <c r="N615" s="7"/>
      <c r="O615" s="7" t="str">
        <f>IFERROR(__xludf.DUMMYFUNCTION("""COMPUTED_VALUE"""),"3 a 5 veces por semana")</f>
        <v>3 a 5 veces por semana</v>
      </c>
      <c r="P615" s="7"/>
      <c r="Q615" s="7"/>
      <c r="R615" s="7"/>
      <c r="S615" s="7"/>
    </row>
    <row r="616">
      <c r="A616" s="7" t="str">
        <f t="shared" si="1"/>
        <v>Floreani, Antonella</v>
      </c>
      <c r="B616" s="7">
        <f>SUMIFS('bd caja'!$K$1:$K$1012,'bd caja'!$D$1:$D$1012,A616)</f>
        <v>0</v>
      </c>
      <c r="C616" s="19">
        <f>IFERROR(__xludf.DUMMYFUNCTION("""COMPUTED_VALUE"""),45498.89536185186)</f>
        <v>45498.89536</v>
      </c>
      <c r="D616" s="7" t="str">
        <f>IFERROR(__xludf.DUMMYFUNCTION("""COMPUTED_VALUE"""),"Floreani")</f>
        <v>Floreani</v>
      </c>
      <c r="E616" s="7" t="str">
        <f>IFERROR(__xludf.DUMMYFUNCTION("""COMPUTED_VALUE"""),"Antonella")</f>
        <v>Antonella</v>
      </c>
      <c r="F616" s="7" t="str">
        <f>IFERROR(__xludf.DUMMYFUNCTION("""COMPUTED_VALUE"""),"antonellafloreani6@gmail.com")</f>
        <v>antonellafloreani6@gmail.com</v>
      </c>
      <c r="G616" s="20">
        <f>IFERROR(__xludf.DUMMYFUNCTION("""COMPUTED_VALUE"""),34978.0)</f>
        <v>34978</v>
      </c>
      <c r="H616" s="7">
        <f>IFERROR(__xludf.DUMMYFUNCTION("""COMPUTED_VALUE"""),3.8721091E7)</f>
        <v>38721091</v>
      </c>
      <c r="I616" s="7">
        <f>IFERROR(__xludf.DUMMYFUNCTION("""COMPUTED_VALUE"""),3.513951413E9)</f>
        <v>3513951413</v>
      </c>
      <c r="J616" s="7" t="str">
        <f>IFERROR(__xludf.DUMMYFUNCTION("""COMPUTED_VALUE"""),"Recomendación")</f>
        <v>Recomendación</v>
      </c>
      <c r="K616" s="7" t="str">
        <f>IFERROR(__xludf.DUMMYFUNCTION("""COMPUTED_VALUE"""),"Obra social")</f>
        <v>Obra social</v>
      </c>
      <c r="L616" s="7"/>
      <c r="M616" s="7" t="str">
        <f>IFERROR(__xludf.DUMMYFUNCTION("""COMPUTED_VALUE"""),"Si")</f>
        <v>Si</v>
      </c>
      <c r="N616" s="7" t="str">
        <f>IFERROR(__xludf.DUMMYFUNCTION("""COMPUTED_VALUE"""),"Taekwondo ")</f>
        <v>Taekwondo </v>
      </c>
      <c r="O616" s="7" t="str">
        <f>IFERROR(__xludf.DUMMYFUNCTION("""COMPUTED_VALUE"""),"3 a 5 veces por semana")</f>
        <v>3 a 5 veces por semana</v>
      </c>
      <c r="P616" s="7"/>
      <c r="Q616" s="7" t="str">
        <f>IFERROR(__xludf.DUMMYFUNCTION("""COMPUTED_VALUE"""),"SANCOR")</f>
        <v>SANCOR</v>
      </c>
      <c r="R616" s="7"/>
      <c r="S616" s="7"/>
    </row>
    <row r="617">
      <c r="A617" s="7" t="str">
        <f t="shared" si="1"/>
        <v>Pereyra Brusco, Joaquin</v>
      </c>
      <c r="B617" s="7">
        <f>SUMIFS('bd caja'!$K$1:$K$1012,'bd caja'!$D$1:$D$1012,A617)</f>
        <v>0</v>
      </c>
      <c r="C617" s="19">
        <f>IFERROR(__xludf.DUMMYFUNCTION("""COMPUTED_VALUE"""),45498.92644471065)</f>
        <v>45498.92644</v>
      </c>
      <c r="D617" s="7" t="str">
        <f>IFERROR(__xludf.DUMMYFUNCTION("""COMPUTED_VALUE"""),"Pereyra Brusco")</f>
        <v>Pereyra Brusco</v>
      </c>
      <c r="E617" s="7" t="str">
        <f>IFERROR(__xludf.DUMMYFUNCTION("""COMPUTED_VALUE"""),"Joaquin")</f>
        <v>Joaquin</v>
      </c>
      <c r="F617" s="7" t="str">
        <f>IFERROR(__xludf.DUMMYFUNCTION("""COMPUTED_VALUE"""),"lilibrusco@yahoo.com.ar")</f>
        <v>lilibrusco@yahoo.com.ar</v>
      </c>
      <c r="G617" s="20">
        <f>IFERROR(__xludf.DUMMYFUNCTION("""COMPUTED_VALUE"""),39972.0)</f>
        <v>39972</v>
      </c>
      <c r="H617" s="7">
        <f>IFERROR(__xludf.DUMMYFUNCTION("""COMPUTED_VALUE"""),4.9555748E7)</f>
        <v>49555748</v>
      </c>
      <c r="I617" s="7">
        <f>IFERROR(__xludf.DUMMYFUNCTION("""COMPUTED_VALUE"""),3.516208417E9)</f>
        <v>3516208417</v>
      </c>
      <c r="J617" s="7" t="str">
        <f>IFERROR(__xludf.DUMMYFUNCTION("""COMPUTED_VALUE"""),"Voy al gym Manantial")</f>
        <v>Voy al gym Manantial</v>
      </c>
      <c r="K617" s="7" t="str">
        <f>IFERROR(__xludf.DUMMYFUNCTION("""COMPUTED_VALUE"""),"Obra social")</f>
        <v>Obra social</v>
      </c>
      <c r="L617" s="7"/>
      <c r="M617" s="7" t="str">
        <f>IFERROR(__xludf.DUMMYFUNCTION("""COMPUTED_VALUE"""),"Si")</f>
        <v>Si</v>
      </c>
      <c r="N617" s="7" t="str">
        <f>IFERROR(__xludf.DUMMYFUNCTION("""COMPUTED_VALUE"""),"Voley")</f>
        <v>Voley</v>
      </c>
      <c r="O617" s="7" t="str">
        <f>IFERROR(__xludf.DUMMYFUNCTION("""COMPUTED_VALUE"""),"3 a 5 veces por semana")</f>
        <v>3 a 5 veces por semana</v>
      </c>
      <c r="P617" s="7"/>
      <c r="Q617" s="7" t="str">
        <f>IFERROR(__xludf.DUMMYFUNCTION("""COMPUTED_VALUE"""),"APROSS")</f>
        <v>APROSS</v>
      </c>
      <c r="R617" s="7"/>
      <c r="S617" s="7"/>
    </row>
    <row r="618">
      <c r="A618" s="7" t="str">
        <f t="shared" si="1"/>
        <v>Gayol, Miriam</v>
      </c>
      <c r="B618" s="7">
        <f>SUMIFS('bd caja'!$K$1:$K$1012,'bd caja'!$D$1:$D$1012,A618)</f>
        <v>0</v>
      </c>
      <c r="C618" s="19">
        <f>IFERROR(__xludf.DUMMYFUNCTION("""COMPUTED_VALUE"""),45499.416347245366)</f>
        <v>45499.41635</v>
      </c>
      <c r="D618" s="7" t="str">
        <f>IFERROR(__xludf.DUMMYFUNCTION("""COMPUTED_VALUE"""),"Gayol")</f>
        <v>Gayol</v>
      </c>
      <c r="E618" s="7" t="str">
        <f>IFERROR(__xludf.DUMMYFUNCTION("""COMPUTED_VALUE"""),"Miriam")</f>
        <v>Miriam</v>
      </c>
      <c r="F618" s="7" t="str">
        <f>IFERROR(__xludf.DUMMYFUNCTION("""COMPUTED_VALUE"""),"miriamgayol@hotmail.comm")</f>
        <v>miriamgayol@hotmail.comm</v>
      </c>
      <c r="G618" s="20">
        <f>IFERROR(__xludf.DUMMYFUNCTION("""COMPUTED_VALUE"""),20968.0)</f>
        <v>20968</v>
      </c>
      <c r="H618" s="7">
        <f>IFERROR(__xludf.DUMMYFUNCTION("""COMPUTED_VALUE"""),1.3539288E7)</f>
        <v>13539288</v>
      </c>
      <c r="I618" s="7">
        <f>IFERROR(__xludf.DUMMYFUNCTION("""COMPUTED_VALUE"""),3.513068284E9)</f>
        <v>3513068284</v>
      </c>
      <c r="J618" s="7" t="str">
        <f>IFERROR(__xludf.DUMMYFUNCTION("""COMPUTED_VALUE"""),"Recomendación")</f>
        <v>Recomendación</v>
      </c>
      <c r="K618" s="7" t="str">
        <f>IFERROR(__xludf.DUMMYFUNCTION("""COMPUTED_VALUE"""),"Obra social")</f>
        <v>Obra social</v>
      </c>
      <c r="L618" s="7"/>
      <c r="M618" s="7" t="str">
        <f>IFERROR(__xludf.DUMMYFUNCTION("""COMPUTED_VALUE"""),"Si")</f>
        <v>Si</v>
      </c>
      <c r="N618" s="7" t="str">
        <f>IFERROR(__xludf.DUMMYFUNCTION("""COMPUTED_VALUE"""),"Gimnasio")</f>
        <v>Gimnasio</v>
      </c>
      <c r="O618" s="7" t="str">
        <f>IFERROR(__xludf.DUMMYFUNCTION("""COMPUTED_VALUE"""),"1 a 2 veces por semana")</f>
        <v>1 a 2 veces por semana</v>
      </c>
      <c r="P618" s="7"/>
      <c r="Q618" s="7" t="str">
        <f>IFERROR(__xludf.DUMMYFUNCTION("""COMPUTED_VALUE"""),"Cpce")</f>
        <v>Cpce</v>
      </c>
      <c r="R618" s="7"/>
      <c r="S618" s="7"/>
    </row>
    <row r="619">
      <c r="A619" s="7" t="str">
        <f t="shared" si="1"/>
        <v>Gallardo, Alejandro</v>
      </c>
      <c r="B619" s="7">
        <f>SUMIFS('bd caja'!$K$1:$K$1012,'bd caja'!$D$1:$D$1012,A619)</f>
        <v>0</v>
      </c>
      <c r="C619" s="19">
        <f>IFERROR(__xludf.DUMMYFUNCTION("""COMPUTED_VALUE"""),45499.44803975694)</f>
        <v>45499.44804</v>
      </c>
      <c r="D619" s="7" t="str">
        <f>IFERROR(__xludf.DUMMYFUNCTION("""COMPUTED_VALUE"""),"Gallardo")</f>
        <v>Gallardo</v>
      </c>
      <c r="E619" s="7" t="str">
        <f>IFERROR(__xludf.DUMMYFUNCTION("""COMPUTED_VALUE"""),"Alejandro")</f>
        <v>Alejandro</v>
      </c>
      <c r="F619" s="7" t="str">
        <f>IFERROR(__xludf.DUMMYFUNCTION("""COMPUTED_VALUE"""),"ale47gallardo@gmail.com")</f>
        <v>ale47gallardo@gmail.com</v>
      </c>
      <c r="G619" s="20">
        <f>IFERROR(__xludf.DUMMYFUNCTION("""COMPUTED_VALUE"""),32028.0)</f>
        <v>32028</v>
      </c>
      <c r="H619" s="7">
        <f>IFERROR(__xludf.DUMMYFUNCTION("""COMPUTED_VALUE"""),3.3227169E7)</f>
        <v>33227169</v>
      </c>
      <c r="I619" s="7">
        <f>IFERROR(__xludf.DUMMYFUNCTION("""COMPUTED_VALUE"""),3.517672758E9)</f>
        <v>3517672758</v>
      </c>
      <c r="J619" s="7" t="str">
        <f>IFERROR(__xludf.DUMMYFUNCTION("""COMPUTED_VALUE"""),"Voy al gym Manantial")</f>
        <v>Voy al gym Manantial</v>
      </c>
      <c r="K619" s="7" t="str">
        <f>IFERROR(__xludf.DUMMYFUNCTION("""COMPUTED_VALUE"""),"Obra social")</f>
        <v>Obra social</v>
      </c>
      <c r="L619" s="7"/>
      <c r="M619" s="7" t="str">
        <f>IFERROR(__xludf.DUMMYFUNCTION("""COMPUTED_VALUE"""),"Si")</f>
        <v>Si</v>
      </c>
      <c r="N619" s="7" t="str">
        <f>IFERROR(__xludf.DUMMYFUNCTION("""COMPUTED_VALUE"""),"Gimnasio")</f>
        <v>Gimnasio</v>
      </c>
      <c r="O619" s="7" t="str">
        <f>IFERROR(__xludf.DUMMYFUNCTION("""COMPUTED_VALUE"""),"3 a 5 veces por semana")</f>
        <v>3 a 5 veces por semana</v>
      </c>
      <c r="P619" s="7"/>
      <c r="Q619" s="7" t="str">
        <f>IFERROR(__xludf.DUMMYFUNCTION("""COMPUTED_VALUE"""),"Swiss")</f>
        <v>Swiss</v>
      </c>
      <c r="R619" s="7"/>
      <c r="S619" s="7"/>
    </row>
    <row r="620">
      <c r="A620" s="7" t="str">
        <f t="shared" si="1"/>
        <v>Ojeda, Joaquin Emanuel</v>
      </c>
      <c r="B620" s="7">
        <f>SUMIFS('bd caja'!$K$1:$K$1012,'bd caja'!$D$1:$D$1012,A620)</f>
        <v>0</v>
      </c>
      <c r="C620" s="19">
        <f>IFERROR(__xludf.DUMMYFUNCTION("""COMPUTED_VALUE"""),45499.48750623842)</f>
        <v>45499.48751</v>
      </c>
      <c r="D620" s="7" t="str">
        <f>IFERROR(__xludf.DUMMYFUNCTION("""COMPUTED_VALUE"""),"Ojeda")</f>
        <v>Ojeda</v>
      </c>
      <c r="E620" s="7" t="str">
        <f>IFERROR(__xludf.DUMMYFUNCTION("""COMPUTED_VALUE"""),"Joaquin Emanuel")</f>
        <v>Joaquin Emanuel</v>
      </c>
      <c r="F620" s="7" t="str">
        <f>IFERROR(__xludf.DUMMYFUNCTION("""COMPUTED_VALUE"""),"lauramaidanasalta@gmail.com")</f>
        <v>lauramaidanasalta@gmail.com</v>
      </c>
      <c r="G620" s="20">
        <f>IFERROR(__xludf.DUMMYFUNCTION("""COMPUTED_VALUE"""),40313.0)</f>
        <v>40313</v>
      </c>
      <c r="H620" s="7">
        <f>IFERROR(__xludf.DUMMYFUNCTION("""COMPUTED_VALUE"""),5.0341148E7)</f>
        <v>50341148</v>
      </c>
      <c r="I620" s="7">
        <f>IFERROR(__xludf.DUMMYFUNCTION("""COMPUTED_VALUE"""),3.518097304E9)</f>
        <v>3518097304</v>
      </c>
      <c r="J620" s="7" t="str">
        <f>IFERROR(__xludf.DUMMYFUNCTION("""COMPUTED_VALUE"""),"Recomendación")</f>
        <v>Recomendación</v>
      </c>
      <c r="K620" s="7" t="str">
        <f>IFERROR(__xludf.DUMMYFUNCTION("""COMPUTED_VALUE"""),"Particular")</f>
        <v>Particular</v>
      </c>
      <c r="L620" s="7"/>
      <c r="M620" s="7" t="str">
        <f>IFERROR(__xludf.DUMMYFUNCTION("""COMPUTED_VALUE"""),"Si")</f>
        <v>Si</v>
      </c>
      <c r="N620" s="7" t="str">
        <f>IFERROR(__xludf.DUMMYFUNCTION("""COMPUTED_VALUE"""),"Fútbol")</f>
        <v>Fútbol</v>
      </c>
      <c r="O620" s="7" t="str">
        <f>IFERROR(__xludf.DUMMYFUNCTION("""COMPUTED_VALUE"""),"3 a 5 veces por semana")</f>
        <v>3 a 5 veces por semana</v>
      </c>
      <c r="P620" s="7"/>
      <c r="Q620" s="7"/>
      <c r="R620" s="7"/>
      <c r="S620" s="7"/>
    </row>
    <row r="621">
      <c r="A621" s="7" t="str">
        <f t="shared" si="1"/>
        <v>Schuf, Camila</v>
      </c>
      <c r="B621" s="7">
        <f>SUMIFS('bd caja'!$K$1:$K$1012,'bd caja'!$D$1:$D$1012,A621)</f>
        <v>0</v>
      </c>
      <c r="C621" s="19">
        <f>IFERROR(__xludf.DUMMYFUNCTION("""COMPUTED_VALUE"""),45499.825877905096)</f>
        <v>45499.82588</v>
      </c>
      <c r="D621" s="7" t="str">
        <f>IFERROR(__xludf.DUMMYFUNCTION("""COMPUTED_VALUE"""),"Schuf")</f>
        <v>Schuf</v>
      </c>
      <c r="E621" s="7" t="str">
        <f>IFERROR(__xludf.DUMMYFUNCTION("""COMPUTED_VALUE"""),"Camila")</f>
        <v>Camila</v>
      </c>
      <c r="F621" s="7" t="str">
        <f>IFERROR(__xludf.DUMMYFUNCTION("""COMPUTED_VALUE"""),"camischuf@gmail.com")</f>
        <v>camischuf@gmail.com</v>
      </c>
      <c r="G621" s="20">
        <f>IFERROR(__xludf.DUMMYFUNCTION("""COMPUTED_VALUE"""),38611.0)</f>
        <v>38611</v>
      </c>
      <c r="H621" s="7">
        <f>IFERROR(__xludf.DUMMYFUNCTION("""COMPUTED_VALUE"""),4.631138E7)</f>
        <v>46311380</v>
      </c>
      <c r="I621" s="7">
        <f>IFERROR(__xludf.DUMMYFUNCTION("""COMPUTED_VALUE"""),3.512413092E9)</f>
        <v>3512413092</v>
      </c>
      <c r="J621" s="7" t="str">
        <f>IFERROR(__xludf.DUMMYFUNCTION("""COMPUTED_VALUE"""),"Recomendación")</f>
        <v>Recomendación</v>
      </c>
      <c r="K621" s="7" t="str">
        <f>IFERROR(__xludf.DUMMYFUNCTION("""COMPUTED_VALUE"""),"Obra social")</f>
        <v>Obra social</v>
      </c>
      <c r="L621" s="7"/>
      <c r="M621" s="7" t="str">
        <f>IFERROR(__xludf.DUMMYFUNCTION("""COMPUTED_VALUE"""),"Si")</f>
        <v>Si</v>
      </c>
      <c r="N621" s="7" t="str">
        <f>IFERROR(__xludf.DUMMYFUNCTION("""COMPUTED_VALUE"""),"Gimnasio")</f>
        <v>Gimnasio</v>
      </c>
      <c r="O621" s="7" t="str">
        <f>IFERROR(__xludf.DUMMYFUNCTION("""COMPUTED_VALUE"""),"3 a 5 veces por semana")</f>
        <v>3 a 5 veces por semana</v>
      </c>
      <c r="P621" s="7"/>
      <c r="Q621" s="7" t="str">
        <f>IFERROR(__xludf.DUMMYFUNCTION("""COMPUTED_VALUE"""),"medife")</f>
        <v>medife</v>
      </c>
      <c r="R621" s="7"/>
      <c r="S621" s="7"/>
    </row>
    <row r="622">
      <c r="A622" s="7" t="str">
        <f t="shared" si="1"/>
        <v>Fernández , Esteban</v>
      </c>
      <c r="B622" s="7">
        <f>SUMIFS('bd caja'!$K$1:$K$1012,'bd caja'!$D$1:$D$1012,A622)</f>
        <v>0</v>
      </c>
      <c r="C622" s="19">
        <f>IFERROR(__xludf.DUMMYFUNCTION("""COMPUTED_VALUE"""),45502.314244444446)</f>
        <v>45502.31424</v>
      </c>
      <c r="D622" s="7" t="str">
        <f>IFERROR(__xludf.DUMMYFUNCTION("""COMPUTED_VALUE"""),"Fernández ")</f>
        <v>Fernández </v>
      </c>
      <c r="E622" s="7" t="str">
        <f>IFERROR(__xludf.DUMMYFUNCTION("""COMPUTED_VALUE"""),"Esteban")</f>
        <v>Esteban</v>
      </c>
      <c r="F622" s="7" t="str">
        <f>IFERROR(__xludf.DUMMYFUNCTION("""COMPUTED_VALUE"""),"esteban0912@gmail.com")</f>
        <v>esteban0912@gmail.com</v>
      </c>
      <c r="G622" s="20">
        <f>IFERROR(__xludf.DUMMYFUNCTION("""COMPUTED_VALUE"""),30659.0)</f>
        <v>30659</v>
      </c>
      <c r="H622" s="7">
        <f>IFERROR(__xludf.DUMMYFUNCTION("""COMPUTED_VALUE"""),9.2888117E7)</f>
        <v>92888117</v>
      </c>
      <c r="I622" s="7">
        <f>IFERROR(__xludf.DUMMYFUNCTION("""COMPUTED_VALUE"""),3.51337526E9)</f>
        <v>3513375260</v>
      </c>
      <c r="J622" s="7" t="str">
        <f>IFERROR(__xludf.DUMMYFUNCTION("""COMPUTED_VALUE"""),"Instagram")</f>
        <v>Instagram</v>
      </c>
      <c r="K622" s="7" t="str">
        <f>IFERROR(__xludf.DUMMYFUNCTION("""COMPUTED_VALUE"""),"Obra social")</f>
        <v>Obra social</v>
      </c>
      <c r="L622" s="7"/>
      <c r="M622" s="7" t="str">
        <f>IFERROR(__xludf.DUMMYFUNCTION("""COMPUTED_VALUE"""),"Si")</f>
        <v>Si</v>
      </c>
      <c r="N622" s="7" t="str">
        <f>IFERROR(__xludf.DUMMYFUNCTION("""COMPUTED_VALUE"""),"Squash")</f>
        <v>Squash</v>
      </c>
      <c r="O622" s="7" t="str">
        <f>IFERROR(__xludf.DUMMYFUNCTION("""COMPUTED_VALUE"""),"3 a 5 veces por semana")</f>
        <v>3 a 5 veces por semana</v>
      </c>
      <c r="P622" s="7"/>
      <c r="Q622" s="7" t="str">
        <f>IFERROR(__xludf.DUMMYFUNCTION("""COMPUTED_VALUE"""),"DASPU")</f>
        <v>DASPU</v>
      </c>
      <c r="R622" s="7"/>
      <c r="S622" s="7"/>
    </row>
    <row r="623">
      <c r="A623" s="7" t="str">
        <f t="shared" si="1"/>
        <v>Rodríguez , Alejandra </v>
      </c>
      <c r="B623" s="7">
        <f>SUMIFS('bd caja'!$K$1:$K$1012,'bd caja'!$D$1:$D$1012,A623)</f>
        <v>0</v>
      </c>
      <c r="C623" s="19">
        <f>IFERROR(__xludf.DUMMYFUNCTION("""COMPUTED_VALUE"""),45502.823787395835)</f>
        <v>45502.82379</v>
      </c>
      <c r="D623" s="7" t="str">
        <f>IFERROR(__xludf.DUMMYFUNCTION("""COMPUTED_VALUE"""),"Rodríguez ")</f>
        <v>Rodríguez </v>
      </c>
      <c r="E623" s="7" t="str">
        <f>IFERROR(__xludf.DUMMYFUNCTION("""COMPUTED_VALUE"""),"Alejandra ")</f>
        <v>Alejandra </v>
      </c>
      <c r="F623" s="7" t="str">
        <f>IFERROR(__xludf.DUMMYFUNCTION("""COMPUTED_VALUE"""),"alero841@gmail.com ")</f>
        <v>alero841@gmail.com </v>
      </c>
      <c r="G623" s="20">
        <f>IFERROR(__xludf.DUMMYFUNCTION("""COMPUTED_VALUE"""),27058.0)</f>
        <v>27058</v>
      </c>
      <c r="H623" s="7">
        <f>IFERROR(__xludf.DUMMYFUNCTION("""COMPUTED_VALUE"""),2.3763152E7)</f>
        <v>23763152</v>
      </c>
      <c r="I623" s="7">
        <f>IFERROR(__xludf.DUMMYFUNCTION("""COMPUTED_VALUE"""),3.516422201E9)</f>
        <v>3516422201</v>
      </c>
      <c r="J623" s="7" t="str">
        <f>IFERROR(__xludf.DUMMYFUNCTION("""COMPUTED_VALUE"""),"Cartilla Obra Social")</f>
        <v>Cartilla Obra Social</v>
      </c>
      <c r="K623" s="7" t="str">
        <f>IFERROR(__xludf.DUMMYFUNCTION("""COMPUTED_VALUE"""),"Obra social")</f>
        <v>Obra social</v>
      </c>
      <c r="L623" s="7"/>
      <c r="M623" s="7" t="str">
        <f>IFERROR(__xludf.DUMMYFUNCTION("""COMPUTED_VALUE"""),"Si")</f>
        <v>Si</v>
      </c>
      <c r="N623" s="7" t="str">
        <f>IFERROR(__xludf.DUMMYFUNCTION("""COMPUTED_VALUE"""),"Yoga y caminatas ")</f>
        <v>Yoga y caminatas </v>
      </c>
      <c r="O623" s="7" t="str">
        <f>IFERROR(__xludf.DUMMYFUNCTION("""COMPUTED_VALUE"""),"3 a 5 veces por semana")</f>
        <v>3 a 5 veces por semana</v>
      </c>
      <c r="P623" s="7"/>
      <c r="Q623" s="7" t="str">
        <f>IFERROR(__xludf.DUMMYFUNCTION("""COMPUTED_VALUE"""),"Boreal Plan Magnum ")</f>
        <v>Boreal Plan Magnum </v>
      </c>
      <c r="R623" s="7"/>
      <c r="S623" s="7"/>
    </row>
    <row r="624">
      <c r="A624" s="7" t="str">
        <f t="shared" si="1"/>
        <v>Castagnet, Gaston</v>
      </c>
      <c r="B624" s="7">
        <f>SUMIFS('bd caja'!$K$1:$K$1012,'bd caja'!$D$1:$D$1012,A624)</f>
        <v>0</v>
      </c>
      <c r="C624" s="19">
        <f>IFERROR(__xludf.DUMMYFUNCTION("""COMPUTED_VALUE"""),45503.42098326389)</f>
        <v>45503.42098</v>
      </c>
      <c r="D624" s="7" t="str">
        <f>IFERROR(__xludf.DUMMYFUNCTION("""COMPUTED_VALUE"""),"Castagnet")</f>
        <v>Castagnet</v>
      </c>
      <c r="E624" s="7" t="str">
        <f>IFERROR(__xludf.DUMMYFUNCTION("""COMPUTED_VALUE"""),"Gaston")</f>
        <v>Gaston</v>
      </c>
      <c r="F624" s="7" t="str">
        <f>IFERROR(__xludf.DUMMYFUNCTION("""COMPUTED_VALUE"""),"gastoncastagnet@gmail.com")</f>
        <v>gastoncastagnet@gmail.com</v>
      </c>
      <c r="G624" s="20">
        <f>IFERROR(__xludf.DUMMYFUNCTION("""COMPUTED_VALUE"""),28685.0)</f>
        <v>28685</v>
      </c>
      <c r="H624" s="7">
        <f>IFERROR(__xludf.DUMMYFUNCTION("""COMPUTED_VALUE"""),2.6672961E7)</f>
        <v>26672961</v>
      </c>
      <c r="I624" s="7">
        <f>IFERROR(__xludf.DUMMYFUNCTION("""COMPUTED_VALUE"""),3.51514918E9)</f>
        <v>3515149180</v>
      </c>
      <c r="J624" s="7" t="str">
        <f>IFERROR(__xludf.DUMMYFUNCTION("""COMPUTED_VALUE"""),"Profe Leo Festa")</f>
        <v>Profe Leo Festa</v>
      </c>
      <c r="K624" s="7" t="str">
        <f>IFERROR(__xludf.DUMMYFUNCTION("""COMPUTED_VALUE"""),"Particular")</f>
        <v>Particular</v>
      </c>
      <c r="L624" s="7"/>
      <c r="M624" s="7" t="str">
        <f>IFERROR(__xludf.DUMMYFUNCTION("""COMPUTED_VALUE"""),"Si")</f>
        <v>Si</v>
      </c>
      <c r="N624" s="7" t="str">
        <f>IFERROR(__xludf.DUMMYFUNCTION("""COMPUTED_VALUE"""),"Running")</f>
        <v>Running</v>
      </c>
      <c r="O624" s="7" t="str">
        <f>IFERROR(__xludf.DUMMYFUNCTION("""COMPUTED_VALUE"""),"1 a 2 veces por semana")</f>
        <v>1 a 2 veces por semana</v>
      </c>
      <c r="P624" s="7"/>
      <c r="Q624" s="7"/>
      <c r="R624" s="7"/>
      <c r="S624" s="7"/>
    </row>
    <row r="625">
      <c r="A625" s="7" t="str">
        <f t="shared" si="1"/>
        <v>Baigorri, Sebastian</v>
      </c>
      <c r="B625" s="7">
        <f>SUMIFS('bd caja'!$K$1:$K$1012,'bd caja'!$D$1:$D$1012,A625)</f>
        <v>0</v>
      </c>
      <c r="C625" s="19">
        <f>IFERROR(__xludf.DUMMYFUNCTION("""COMPUTED_VALUE"""),45505.70062539352)</f>
        <v>45505.70063</v>
      </c>
      <c r="D625" s="7" t="str">
        <f>IFERROR(__xludf.DUMMYFUNCTION("""COMPUTED_VALUE"""),"Baigorri")</f>
        <v>Baigorri</v>
      </c>
      <c r="E625" s="7" t="str">
        <f>IFERROR(__xludf.DUMMYFUNCTION("""COMPUTED_VALUE"""),"Sebastian")</f>
        <v>Sebastian</v>
      </c>
      <c r="F625" s="7" t="str">
        <f>IFERROR(__xludf.DUMMYFUNCTION("""COMPUTED_VALUE"""),"sebabaigorri@hotmail.com")</f>
        <v>sebabaigorri@hotmail.com</v>
      </c>
      <c r="G625" s="20">
        <f>IFERROR(__xludf.DUMMYFUNCTION("""COMPUTED_VALUE"""),26973.0)</f>
        <v>26973</v>
      </c>
      <c r="H625" s="7">
        <f>IFERROR(__xludf.DUMMYFUNCTION("""COMPUTED_VALUE"""),2.3683527E7)</f>
        <v>23683527</v>
      </c>
      <c r="I625" s="7">
        <f>IFERROR(__xludf.DUMMYFUNCTION("""COMPUTED_VALUE"""),3.51608061E9)</f>
        <v>3516080610</v>
      </c>
      <c r="J625" s="7" t="str">
        <f>IFERROR(__xludf.DUMMYFUNCTION("""COMPUTED_VALUE"""),"Voy al gym Manantial")</f>
        <v>Voy al gym Manantial</v>
      </c>
      <c r="K625" s="7" t="str">
        <f>IFERROR(__xludf.DUMMYFUNCTION("""COMPUTED_VALUE"""),"Obra social")</f>
        <v>Obra social</v>
      </c>
      <c r="L625" s="7"/>
      <c r="M625" s="7" t="str">
        <f>IFERROR(__xludf.DUMMYFUNCTION("""COMPUTED_VALUE"""),"Si")</f>
        <v>Si</v>
      </c>
      <c r="N625" s="7" t="str">
        <f>IFERROR(__xludf.DUMMYFUNCTION("""COMPUTED_VALUE"""),"Gimnasio")</f>
        <v>Gimnasio</v>
      </c>
      <c r="O625" s="7" t="str">
        <f>IFERROR(__xludf.DUMMYFUNCTION("""COMPUTED_VALUE"""),"3 a 5 veces por semana")</f>
        <v>3 a 5 veces por semana</v>
      </c>
      <c r="P625" s="7"/>
      <c r="Q625" s="7" t="str">
        <f>IFERROR(__xludf.DUMMYFUNCTION("""COMPUTED_VALUE"""),"APROSS")</f>
        <v>APROSS</v>
      </c>
      <c r="R625" s="7"/>
      <c r="S625" s="7"/>
    </row>
    <row r="626">
      <c r="A626" s="7" t="str">
        <f t="shared" si="1"/>
        <v>Rodríguez , Lautaro Gabriel </v>
      </c>
      <c r="B626" s="7">
        <f>SUMIFS('bd caja'!$K$1:$K$1012,'bd caja'!$D$1:$D$1012,A626)</f>
        <v>0</v>
      </c>
      <c r="C626" s="19">
        <f>IFERROR(__xludf.DUMMYFUNCTION("""COMPUTED_VALUE"""),45506.41179774306)</f>
        <v>45506.4118</v>
      </c>
      <c r="D626" s="7" t="str">
        <f>IFERROR(__xludf.DUMMYFUNCTION("""COMPUTED_VALUE"""),"Rodríguez ")</f>
        <v>Rodríguez </v>
      </c>
      <c r="E626" s="7" t="str">
        <f>IFERROR(__xludf.DUMMYFUNCTION("""COMPUTED_VALUE"""),"Lautaro Gabriel ")</f>
        <v>Lautaro Gabriel </v>
      </c>
      <c r="F626" s="7" t="str">
        <f>IFERROR(__xludf.DUMMYFUNCTION("""COMPUTED_VALUE"""),"galleguillocecilia62@gmail.com")</f>
        <v>galleguillocecilia62@gmail.com</v>
      </c>
      <c r="G626" s="20">
        <f>IFERROR(__xludf.DUMMYFUNCTION("""COMPUTED_VALUE"""),39712.0)</f>
        <v>39712</v>
      </c>
      <c r="H626" s="7">
        <f>IFERROR(__xludf.DUMMYFUNCTION("""COMPUTED_VALUE"""),4.8532863E7)</f>
        <v>48532863</v>
      </c>
      <c r="I626" s="7">
        <f>IFERROR(__xludf.DUMMYFUNCTION("""COMPUTED_VALUE"""),3.512182319E9)</f>
        <v>3512182319</v>
      </c>
      <c r="J626" s="7" t="str">
        <f>IFERROR(__xludf.DUMMYFUNCTION("""COMPUTED_VALUE"""),"Cartilla Obra Social")</f>
        <v>Cartilla Obra Social</v>
      </c>
      <c r="K626" s="7" t="str">
        <f>IFERROR(__xludf.DUMMYFUNCTION("""COMPUTED_VALUE"""),"Obra social")</f>
        <v>Obra social</v>
      </c>
      <c r="L626" s="7"/>
      <c r="M626" s="7" t="str">
        <f>IFERROR(__xludf.DUMMYFUNCTION("""COMPUTED_VALUE"""),"Si")</f>
        <v>Si</v>
      </c>
      <c r="N626" s="7" t="str">
        <f>IFERROR(__xludf.DUMMYFUNCTION("""COMPUTED_VALUE"""),"Fútbol")</f>
        <v>Fútbol</v>
      </c>
      <c r="O626" s="7" t="str">
        <f>IFERROR(__xludf.DUMMYFUNCTION("""COMPUTED_VALUE"""),"1 a 2 veces por semana")</f>
        <v>1 a 2 veces por semana</v>
      </c>
      <c r="P626" s="7"/>
      <c r="Q626" s="7" t="str">
        <f>IFERROR(__xludf.DUMMYFUNCTION("""COMPUTED_VALUE"""),"Boreal salud")</f>
        <v>Boreal salud</v>
      </c>
      <c r="R626" s="7"/>
      <c r="S626" s="7"/>
    </row>
    <row r="627">
      <c r="A627" s="7" t="str">
        <f t="shared" si="1"/>
        <v>Pivatto, Christian</v>
      </c>
      <c r="B627" s="7">
        <f>SUMIFS('bd caja'!$K$1:$K$1012,'bd caja'!$D$1:$D$1012,A627)</f>
        <v>0</v>
      </c>
      <c r="C627" s="19">
        <f>IFERROR(__xludf.DUMMYFUNCTION("""COMPUTED_VALUE"""),45509.64580092592)</f>
        <v>45509.6458</v>
      </c>
      <c r="D627" s="7" t="str">
        <f>IFERROR(__xludf.DUMMYFUNCTION("""COMPUTED_VALUE"""),"Pivatto")</f>
        <v>Pivatto</v>
      </c>
      <c r="E627" s="7" t="str">
        <f>IFERROR(__xludf.DUMMYFUNCTION("""COMPUTED_VALUE"""),"Christian")</f>
        <v>Christian</v>
      </c>
      <c r="F627" s="7" t="str">
        <f>IFERROR(__xludf.DUMMYFUNCTION("""COMPUTED_VALUE"""),"ch.pivatto@gmail.com")</f>
        <v>ch.pivatto@gmail.com</v>
      </c>
      <c r="G627" s="20">
        <f>IFERROR(__xludf.DUMMYFUNCTION("""COMPUTED_VALUE"""),33380.0)</f>
        <v>33380</v>
      </c>
      <c r="H627" s="7">
        <f>IFERROR(__xludf.DUMMYFUNCTION("""COMPUTED_VALUE"""),3.6240768E7)</f>
        <v>36240768</v>
      </c>
      <c r="I627" s="7">
        <f>IFERROR(__xludf.DUMMYFUNCTION("""COMPUTED_VALUE"""),2.920663064E9)</f>
        <v>2920663064</v>
      </c>
      <c r="J627" s="7" t="str">
        <f>IFERROR(__xludf.DUMMYFUNCTION("""COMPUTED_VALUE"""),"Recomendación")</f>
        <v>Recomendación</v>
      </c>
      <c r="K627" s="7" t="str">
        <f>IFERROR(__xludf.DUMMYFUNCTION("""COMPUTED_VALUE"""),"Particular")</f>
        <v>Particular</v>
      </c>
      <c r="L627" s="7"/>
      <c r="M627" s="7" t="str">
        <f>IFERROR(__xludf.DUMMYFUNCTION("""COMPUTED_VALUE"""),"Si")</f>
        <v>Si</v>
      </c>
      <c r="N627" s="7" t="str">
        <f>IFERROR(__xludf.DUMMYFUNCTION("""COMPUTED_VALUE"""),"Fútbol")</f>
        <v>Fútbol</v>
      </c>
      <c r="O627" s="7" t="str">
        <f>IFERROR(__xludf.DUMMYFUNCTION("""COMPUTED_VALUE"""),"1 a 2 veces por semana")</f>
        <v>1 a 2 veces por semana</v>
      </c>
      <c r="P627" s="7"/>
      <c r="Q627" s="7"/>
      <c r="R627" s="7"/>
      <c r="S627" s="7"/>
    </row>
    <row r="628">
      <c r="A628" s="7" t="str">
        <f t="shared" si="1"/>
        <v>Bustos , Alex</v>
      </c>
      <c r="B628" s="7">
        <f>SUMIFS('bd caja'!$K$1:$K$1012,'bd caja'!$D$1:$D$1012,A628)</f>
        <v>0</v>
      </c>
      <c r="C628" s="19">
        <f>IFERROR(__xludf.DUMMYFUNCTION("""COMPUTED_VALUE"""),45509.64908984954)</f>
        <v>45509.64909</v>
      </c>
      <c r="D628" s="7" t="str">
        <f>IFERROR(__xludf.DUMMYFUNCTION("""COMPUTED_VALUE"""),"Bustos ")</f>
        <v>Bustos </v>
      </c>
      <c r="E628" s="7" t="str">
        <f>IFERROR(__xludf.DUMMYFUNCTION("""COMPUTED_VALUE"""),"Alex")</f>
        <v>Alex</v>
      </c>
      <c r="F628" s="7" t="str">
        <f>IFERROR(__xludf.DUMMYFUNCTION("""COMPUTED_VALUE"""),"Aleexcdo@gmail.com")</f>
        <v>Aleexcdo@gmail.com</v>
      </c>
      <c r="G628" s="20">
        <f>IFERROR(__xludf.DUMMYFUNCTION("""COMPUTED_VALUE"""),34354.0)</f>
        <v>34354</v>
      </c>
      <c r="H628" s="7">
        <f>IFERROR(__xludf.DUMMYFUNCTION("""COMPUTED_VALUE"""),3.8002954E7)</f>
        <v>38002954</v>
      </c>
      <c r="I628" s="7">
        <f>IFERROR(__xludf.DUMMYFUNCTION("""COMPUTED_VALUE"""),3.513703452E9)</f>
        <v>3513703452</v>
      </c>
      <c r="J628" s="7" t="str">
        <f>IFERROR(__xludf.DUMMYFUNCTION("""COMPUTED_VALUE"""),"Instagram")</f>
        <v>Instagram</v>
      </c>
      <c r="K628" s="7" t="str">
        <f>IFERROR(__xludf.DUMMYFUNCTION("""COMPUTED_VALUE"""),"Particular")</f>
        <v>Particular</v>
      </c>
      <c r="L628" s="7"/>
      <c r="M628" s="7" t="str">
        <f>IFERROR(__xludf.DUMMYFUNCTION("""COMPUTED_VALUE"""),"Si")</f>
        <v>Si</v>
      </c>
      <c r="N628" s="7" t="str">
        <f>IFERROR(__xludf.DUMMYFUNCTION("""COMPUTED_VALUE"""),"Fútbol")</f>
        <v>Fútbol</v>
      </c>
      <c r="O628" s="7" t="str">
        <f>IFERROR(__xludf.DUMMYFUNCTION("""COMPUTED_VALUE"""),"1 a 2 veces por semana")</f>
        <v>1 a 2 veces por semana</v>
      </c>
      <c r="P628" s="7"/>
      <c r="Q628" s="7"/>
      <c r="R628" s="7"/>
      <c r="S628" s="7"/>
    </row>
    <row r="629">
      <c r="A629" s="7" t="str">
        <f t="shared" si="1"/>
        <v>Reynoso marconetto, Nicolás </v>
      </c>
      <c r="B629" s="7">
        <f>SUMIFS('bd caja'!$K$1:$K$1012,'bd caja'!$D$1:$D$1012,A629)</f>
        <v>0</v>
      </c>
      <c r="C629" s="19">
        <f>IFERROR(__xludf.DUMMYFUNCTION("""COMPUTED_VALUE"""),45509.70267107639)</f>
        <v>45509.70267</v>
      </c>
      <c r="D629" s="7" t="str">
        <f>IFERROR(__xludf.DUMMYFUNCTION("""COMPUTED_VALUE"""),"Reynoso marconetto")</f>
        <v>Reynoso marconetto</v>
      </c>
      <c r="E629" s="7" t="str">
        <f>IFERROR(__xludf.DUMMYFUNCTION("""COMPUTED_VALUE"""),"Nicolás ")</f>
        <v>Nicolás </v>
      </c>
      <c r="F629" s="7" t="str">
        <f>IFERROR(__xludf.DUMMYFUNCTION("""COMPUTED_VALUE"""),"nicolasreynoso20@gmail.com")</f>
        <v>nicolasreynoso20@gmail.com</v>
      </c>
      <c r="G629" s="20">
        <f>IFERROR(__xludf.DUMMYFUNCTION("""COMPUTED_VALUE"""),35074.0)</f>
        <v>35074</v>
      </c>
      <c r="H629" s="7">
        <f>IFERROR(__xludf.DUMMYFUNCTION("""COMPUTED_VALUE"""),3.9495074E7)</f>
        <v>39495074</v>
      </c>
      <c r="I629" s="7">
        <f>IFERROR(__xludf.DUMMYFUNCTION("""COMPUTED_VALUE"""),3.518175527E9)</f>
        <v>3518175527</v>
      </c>
      <c r="J629" s="7" t="str">
        <f>IFERROR(__xludf.DUMMYFUNCTION("""COMPUTED_VALUE"""),"Cartilla Obra Social")</f>
        <v>Cartilla Obra Social</v>
      </c>
      <c r="K629" s="7" t="str">
        <f>IFERROR(__xludf.DUMMYFUNCTION("""COMPUTED_VALUE"""),"Obra social")</f>
        <v>Obra social</v>
      </c>
      <c r="L629" s="7"/>
      <c r="M629" s="7" t="str">
        <f>IFERROR(__xludf.DUMMYFUNCTION("""COMPUTED_VALUE"""),"No")</f>
        <v>No</v>
      </c>
      <c r="N629" s="7"/>
      <c r="O629" s="7"/>
      <c r="P629" s="7"/>
      <c r="Q629" s="7" t="str">
        <f>IFERROR(__xludf.DUMMYFUNCTION("""COMPUTED_VALUE"""),"Boreal")</f>
        <v>Boreal</v>
      </c>
      <c r="R629" s="7"/>
      <c r="S629" s="7"/>
    </row>
    <row r="630">
      <c r="A630" s="7" t="str">
        <f t="shared" si="1"/>
        <v>Maximiliano , Giraudo</v>
      </c>
      <c r="B630" s="7">
        <f>SUMIFS('bd caja'!$K$1:$K$1012,'bd caja'!$D$1:$D$1012,A630)</f>
        <v>0</v>
      </c>
      <c r="C630" s="19">
        <f>IFERROR(__xludf.DUMMYFUNCTION("""COMPUTED_VALUE"""),45509.772189317126)</f>
        <v>45509.77219</v>
      </c>
      <c r="D630" s="7" t="str">
        <f>IFERROR(__xludf.DUMMYFUNCTION("""COMPUTED_VALUE"""),"Maximiliano ")</f>
        <v>Maximiliano </v>
      </c>
      <c r="E630" s="7" t="str">
        <f>IFERROR(__xludf.DUMMYFUNCTION("""COMPUTED_VALUE"""),"Giraudo")</f>
        <v>Giraudo</v>
      </c>
      <c r="F630" s="7" t="str">
        <f>IFERROR(__xludf.DUMMYFUNCTION("""COMPUTED_VALUE"""),"maxigiraudo@gmail.com")</f>
        <v>maxigiraudo@gmail.com</v>
      </c>
      <c r="G630" s="20">
        <f>IFERROR(__xludf.DUMMYFUNCTION("""COMPUTED_VALUE"""),24513.0)</f>
        <v>24513</v>
      </c>
      <c r="H630" s="7">
        <f>IFERROR(__xludf.DUMMYFUNCTION("""COMPUTED_VALUE"""),1.8489585E7)</f>
        <v>18489585</v>
      </c>
      <c r="I630" s="7">
        <f>IFERROR(__xludf.DUMMYFUNCTION("""COMPUTED_VALUE"""),3.51765363E9)</f>
        <v>3517653630</v>
      </c>
      <c r="J630" s="7" t="str">
        <f>IFERROR(__xludf.DUMMYFUNCTION("""COMPUTED_VALUE"""),"Google")</f>
        <v>Google</v>
      </c>
      <c r="K630" s="7" t="str">
        <f>IFERROR(__xludf.DUMMYFUNCTION("""COMPUTED_VALUE"""),"Obra social")</f>
        <v>Obra social</v>
      </c>
      <c r="L630" s="7"/>
      <c r="M630" s="7" t="str">
        <f>IFERROR(__xludf.DUMMYFUNCTION("""COMPUTED_VALUE"""),"Si")</f>
        <v>Si</v>
      </c>
      <c r="N630" s="7" t="str">
        <f>IFERROR(__xludf.DUMMYFUNCTION("""COMPUTED_VALUE"""),"Caminata")</f>
        <v>Caminata</v>
      </c>
      <c r="O630" s="7" t="str">
        <f>IFERROR(__xludf.DUMMYFUNCTION("""COMPUTED_VALUE"""),"1 a 2 veces por semana")</f>
        <v>1 a 2 veces por semana</v>
      </c>
      <c r="P630" s="7"/>
      <c r="Q630" s="7" t="str">
        <f>IFERROR(__xludf.DUMMYFUNCTION("""COMPUTED_VALUE"""),"Y daspu")</f>
        <v>Y daspu</v>
      </c>
      <c r="R630" s="7"/>
      <c r="S630" s="7"/>
    </row>
    <row r="631">
      <c r="A631" s="7" t="str">
        <f t="shared" si="1"/>
        <v>Festa Gaon, Diego</v>
      </c>
      <c r="B631" s="7">
        <f>SUMIFS('bd caja'!$K$1:$K$1012,'bd caja'!$D$1:$D$1012,A631)</f>
        <v>0</v>
      </c>
      <c r="C631" s="19">
        <f>IFERROR(__xludf.DUMMYFUNCTION("""COMPUTED_VALUE"""),45510.52542430555)</f>
        <v>45510.52542</v>
      </c>
      <c r="D631" s="7" t="str">
        <f>IFERROR(__xludf.DUMMYFUNCTION("""COMPUTED_VALUE"""),"Festa Gaon")</f>
        <v>Festa Gaon</v>
      </c>
      <c r="E631" s="7" t="str">
        <f>IFERROR(__xludf.DUMMYFUNCTION("""COMPUTED_VALUE"""),"Diego")</f>
        <v>Diego</v>
      </c>
      <c r="F631" s="7" t="str">
        <f>IFERROR(__xludf.DUMMYFUNCTION("""COMPUTED_VALUE"""),"diegofestagaon10@gmail.com")</f>
        <v>diegofestagaon10@gmail.com</v>
      </c>
      <c r="G631" s="20">
        <f>IFERROR(__xludf.DUMMYFUNCTION("""COMPUTED_VALUE"""),37133.0)</f>
        <v>37133</v>
      </c>
      <c r="H631" s="7">
        <f>IFERROR(__xludf.DUMMYFUNCTION("""COMPUTED_VALUE"""),4.3524167E7)</f>
        <v>43524167</v>
      </c>
      <c r="I631" s="7">
        <f>IFERROR(__xludf.DUMMYFUNCTION("""COMPUTED_VALUE"""),3.515559108E9)</f>
        <v>3515559108</v>
      </c>
      <c r="J631" s="7" t="str">
        <f>IFERROR(__xludf.DUMMYFUNCTION("""COMPUTED_VALUE"""),"Recomendación")</f>
        <v>Recomendación</v>
      </c>
      <c r="K631" s="7" t="str">
        <f>IFERROR(__xludf.DUMMYFUNCTION("""COMPUTED_VALUE"""),"Obra social")</f>
        <v>Obra social</v>
      </c>
      <c r="L631" s="7"/>
      <c r="M631" s="7" t="str">
        <f>IFERROR(__xludf.DUMMYFUNCTION("""COMPUTED_VALUE"""),"Si")</f>
        <v>Si</v>
      </c>
      <c r="N631" s="7" t="str">
        <f>IFERROR(__xludf.DUMMYFUNCTION("""COMPUTED_VALUE"""),"Gimnasio")</f>
        <v>Gimnasio</v>
      </c>
      <c r="O631" s="7" t="str">
        <f>IFERROR(__xludf.DUMMYFUNCTION("""COMPUTED_VALUE"""),"3 a 5 veces por semana")</f>
        <v>3 a 5 veces por semana</v>
      </c>
      <c r="P631" s="7"/>
      <c r="Q631" s="7" t="str">
        <f>IFERROR(__xludf.DUMMYFUNCTION("""COMPUTED_VALUE"""),"DASPU")</f>
        <v>DASPU</v>
      </c>
      <c r="R631" s="7"/>
      <c r="S631" s="7"/>
    </row>
    <row r="632">
      <c r="A632" s="7" t="str">
        <f t="shared" si="1"/>
        <v>Gayol, Gabriel</v>
      </c>
      <c r="B632" s="7">
        <f>SUMIFS('bd caja'!$K$1:$K$1012,'bd caja'!$D$1:$D$1012,A632)</f>
        <v>0</v>
      </c>
      <c r="C632" s="19">
        <f>IFERROR(__xludf.DUMMYFUNCTION("""COMPUTED_VALUE"""),45510.60113672454)</f>
        <v>45510.60114</v>
      </c>
      <c r="D632" s="7" t="str">
        <f>IFERROR(__xludf.DUMMYFUNCTION("""COMPUTED_VALUE"""),"Gayol")</f>
        <v>Gayol</v>
      </c>
      <c r="E632" s="7" t="str">
        <f>IFERROR(__xludf.DUMMYFUNCTION("""COMPUTED_VALUE"""),"Gabriel")</f>
        <v>Gabriel</v>
      </c>
      <c r="F632" s="7" t="str">
        <f>IFERROR(__xludf.DUMMYFUNCTION("""COMPUTED_VALUE"""),"gabrielgayol@hotmail.com")</f>
        <v>gabrielgayol@hotmail.com</v>
      </c>
      <c r="G632" s="20">
        <f>IFERROR(__xludf.DUMMYFUNCTION("""COMPUTED_VALUE"""),23204.0)</f>
        <v>23204</v>
      </c>
      <c r="H632" s="7">
        <f>IFERROR(__xludf.DUMMYFUNCTION("""COMPUTED_VALUE"""),1.6741765E7)</f>
        <v>16741765</v>
      </c>
      <c r="I632" s="7">
        <f>IFERROR(__xludf.DUMMYFUNCTION("""COMPUTED_VALUE"""),3.515934519E9)</f>
        <v>3515934519</v>
      </c>
      <c r="J632" s="7" t="str">
        <f>IFERROR(__xludf.DUMMYFUNCTION("""COMPUTED_VALUE"""),"Recomendación")</f>
        <v>Recomendación</v>
      </c>
      <c r="K632" s="7" t="str">
        <f>IFERROR(__xludf.DUMMYFUNCTION("""COMPUTED_VALUE"""),"Particular")</f>
        <v>Particular</v>
      </c>
      <c r="L632" s="7"/>
      <c r="M632" s="7" t="str">
        <f>IFERROR(__xludf.DUMMYFUNCTION("""COMPUTED_VALUE"""),"Si")</f>
        <v>Si</v>
      </c>
      <c r="N632" s="7" t="str">
        <f>IFERROR(__xludf.DUMMYFUNCTION("""COMPUTED_VALUE"""),"Gimnasio")</f>
        <v>Gimnasio</v>
      </c>
      <c r="O632" s="7" t="str">
        <f>IFERROR(__xludf.DUMMYFUNCTION("""COMPUTED_VALUE"""),"3 a 5 veces por semana")</f>
        <v>3 a 5 veces por semana</v>
      </c>
      <c r="P632" s="7"/>
      <c r="Q632" s="7"/>
      <c r="R632" s="7"/>
      <c r="S632" s="7"/>
    </row>
    <row r="633">
      <c r="A633" s="7" t="str">
        <f t="shared" si="1"/>
        <v>Walker de martini, John</v>
      </c>
      <c r="B633" s="7">
        <f>SUMIFS('bd caja'!$K$1:$K$1012,'bd caja'!$D$1:$D$1012,A633)</f>
        <v>0</v>
      </c>
      <c r="C633" s="19">
        <f>IFERROR(__xludf.DUMMYFUNCTION("""COMPUTED_VALUE"""),45510.66112232639)</f>
        <v>45510.66112</v>
      </c>
      <c r="D633" s="7" t="str">
        <f>IFERROR(__xludf.DUMMYFUNCTION("""COMPUTED_VALUE"""),"Walker de martini")</f>
        <v>Walker de martini</v>
      </c>
      <c r="E633" s="7" t="str">
        <f>IFERROR(__xludf.DUMMYFUNCTION("""COMPUTED_VALUE"""),"John")</f>
        <v>John</v>
      </c>
      <c r="F633" s="7" t="str">
        <f>IFERROR(__xludf.DUMMYFUNCTION("""COMPUTED_VALUE"""),"guadademartini@gmail.com")</f>
        <v>guadademartini@gmail.com</v>
      </c>
      <c r="G633" s="20">
        <f>IFERROR(__xludf.DUMMYFUNCTION("""COMPUTED_VALUE"""),39679.0)</f>
        <v>39679</v>
      </c>
      <c r="H633" s="7">
        <f>IFERROR(__xludf.DUMMYFUNCTION("""COMPUTED_VALUE"""),4.9397273E7)</f>
        <v>49397273</v>
      </c>
      <c r="I633" s="7">
        <f>IFERROR(__xludf.DUMMYFUNCTION("""COMPUTED_VALUE"""),3.517342634E9)</f>
        <v>3517342634</v>
      </c>
      <c r="J633" s="7" t="str">
        <f>IFERROR(__xludf.DUMMYFUNCTION("""COMPUTED_VALUE"""),"Google")</f>
        <v>Google</v>
      </c>
      <c r="K633" s="7" t="str">
        <f>IFERROR(__xludf.DUMMYFUNCTION("""COMPUTED_VALUE"""),"Particular")</f>
        <v>Particular</v>
      </c>
      <c r="L633" s="7"/>
      <c r="M633" s="7" t="str">
        <f>IFERROR(__xludf.DUMMYFUNCTION("""COMPUTED_VALUE"""),"Si")</f>
        <v>Si</v>
      </c>
      <c r="N633" s="7" t="str">
        <f>IFERROR(__xludf.DUMMYFUNCTION("""COMPUTED_VALUE"""),"Rugby")</f>
        <v>Rugby</v>
      </c>
      <c r="O633" s="7" t="str">
        <f>IFERROR(__xludf.DUMMYFUNCTION("""COMPUTED_VALUE"""),"3 a 5 veces por semana")</f>
        <v>3 a 5 veces por semana</v>
      </c>
      <c r="P633" s="7"/>
      <c r="Q633" s="7"/>
      <c r="R633" s="7"/>
      <c r="S633" s="7"/>
    </row>
    <row r="634">
      <c r="A634" s="7" t="str">
        <f t="shared" si="1"/>
        <v>Matheu, Jeronimo</v>
      </c>
      <c r="B634" s="7">
        <f>SUMIFS('bd caja'!$K$1:$K$1012,'bd caja'!$D$1:$D$1012,A634)</f>
        <v>0</v>
      </c>
      <c r="C634" s="19">
        <f>IFERROR(__xludf.DUMMYFUNCTION("""COMPUTED_VALUE"""),45511.421522916666)</f>
        <v>45511.42152</v>
      </c>
      <c r="D634" s="7" t="str">
        <f>IFERROR(__xludf.DUMMYFUNCTION("""COMPUTED_VALUE"""),"Matheu")</f>
        <v>Matheu</v>
      </c>
      <c r="E634" s="7" t="str">
        <f>IFERROR(__xludf.DUMMYFUNCTION("""COMPUTED_VALUE"""),"Jeronimo")</f>
        <v>Jeronimo</v>
      </c>
      <c r="F634" s="7" t="str">
        <f>IFERROR(__xludf.DUMMYFUNCTION("""COMPUTED_VALUE"""),"jeromatheu93@gmail.com")</f>
        <v>jeromatheu93@gmail.com</v>
      </c>
      <c r="G634" s="20">
        <f>IFERROR(__xludf.DUMMYFUNCTION("""COMPUTED_VALUE"""),37426.0)</f>
        <v>37426</v>
      </c>
      <c r="H634" s="7">
        <f>IFERROR(__xludf.DUMMYFUNCTION("""COMPUTED_VALUE"""),4.3996798E7)</f>
        <v>43996798</v>
      </c>
      <c r="I634" s="7">
        <f>IFERROR(__xludf.DUMMYFUNCTION("""COMPUTED_VALUE"""),3.518154005E9)</f>
        <v>3518154005</v>
      </c>
      <c r="J634" s="7" t="str">
        <f>IFERROR(__xludf.DUMMYFUNCTION("""COMPUTED_VALUE"""),"Recomendación")</f>
        <v>Recomendación</v>
      </c>
      <c r="K634" s="7" t="str">
        <f>IFERROR(__xludf.DUMMYFUNCTION("""COMPUTED_VALUE"""),"Obra social")</f>
        <v>Obra social</v>
      </c>
      <c r="L634" s="7"/>
      <c r="M634" s="7" t="str">
        <f>IFERROR(__xludf.DUMMYFUNCTION("""COMPUTED_VALUE"""),"Si")</f>
        <v>Si</v>
      </c>
      <c r="N634" s="7" t="str">
        <f>IFERROR(__xludf.DUMMYFUNCTION("""COMPUTED_VALUE"""),"Fútbol")</f>
        <v>Fútbol</v>
      </c>
      <c r="O634" s="7" t="str">
        <f>IFERROR(__xludf.DUMMYFUNCTION("""COMPUTED_VALUE"""),"3 a 5 veces por semana")</f>
        <v>3 a 5 veces por semana</v>
      </c>
      <c r="P634" s="7"/>
      <c r="Q634" s="7" t="str">
        <f>IFERROR(__xludf.DUMMYFUNCTION("""COMPUTED_VALUE"""),"DASPU")</f>
        <v>DASPU</v>
      </c>
      <c r="R634" s="7"/>
      <c r="S634" s="7"/>
    </row>
    <row r="635">
      <c r="A635" s="7" t="str">
        <f t="shared" si="1"/>
        <v>Cimo, Julia</v>
      </c>
      <c r="B635" s="7">
        <f>SUMIFS('bd caja'!$K$1:$K$1012,'bd caja'!$D$1:$D$1012,A635)</f>
        <v>0</v>
      </c>
      <c r="C635" s="19">
        <f>IFERROR(__xludf.DUMMYFUNCTION("""COMPUTED_VALUE"""),45511.47171248843)</f>
        <v>45511.47171</v>
      </c>
      <c r="D635" s="7" t="str">
        <f>IFERROR(__xludf.DUMMYFUNCTION("""COMPUTED_VALUE"""),"Cimo")</f>
        <v>Cimo</v>
      </c>
      <c r="E635" s="7" t="str">
        <f>IFERROR(__xludf.DUMMYFUNCTION("""COMPUTED_VALUE"""),"Julia")</f>
        <v>Julia</v>
      </c>
      <c r="F635" s="7"/>
      <c r="G635" s="20">
        <f>IFERROR(__xludf.DUMMYFUNCTION("""COMPUTED_VALUE"""),15133.0)</f>
        <v>15133</v>
      </c>
      <c r="H635" s="7">
        <f>IFERROR(__xludf.DUMMYFUNCTION("""COMPUTED_VALUE"""),4120025.0)</f>
        <v>4120025</v>
      </c>
      <c r="I635" s="7">
        <f>IFERROR(__xludf.DUMMYFUNCTION("""COMPUTED_VALUE"""),3.512145133E9)</f>
        <v>3512145133</v>
      </c>
      <c r="J635" s="7" t="str">
        <f>IFERROR(__xludf.DUMMYFUNCTION("""COMPUTED_VALUE"""),"Google")</f>
        <v>Google</v>
      </c>
      <c r="K635" s="7" t="str">
        <f>IFERROR(__xludf.DUMMYFUNCTION("""COMPUTED_VALUE"""),"Obra social")</f>
        <v>Obra social</v>
      </c>
      <c r="L635" s="7"/>
      <c r="M635" s="7" t="str">
        <f>IFERROR(__xludf.DUMMYFUNCTION("""COMPUTED_VALUE"""),"Si")</f>
        <v>Si</v>
      </c>
      <c r="N635" s="7" t="str">
        <f>IFERROR(__xludf.DUMMYFUNCTION("""COMPUTED_VALUE"""),"Gimnasio")</f>
        <v>Gimnasio</v>
      </c>
      <c r="O635" s="7" t="str">
        <f>IFERROR(__xludf.DUMMYFUNCTION("""COMPUTED_VALUE"""),"1 a 2 veces por semana")</f>
        <v>1 a 2 veces por semana</v>
      </c>
      <c r="P635" s="7"/>
      <c r="Q635" s="7" t="str">
        <f>IFERROR(__xludf.DUMMYFUNCTION("""COMPUTED_VALUE"""),"APROSS")</f>
        <v>APROSS</v>
      </c>
      <c r="R635" s="7"/>
      <c r="S635" s="7"/>
    </row>
    <row r="636">
      <c r="A636" s="7" t="str">
        <f t="shared" si="1"/>
        <v>Romero, Fabricio</v>
      </c>
      <c r="B636" s="7">
        <f>SUMIFS('bd caja'!$K$1:$K$1012,'bd caja'!$D$1:$D$1012,A636)</f>
        <v>0</v>
      </c>
      <c r="C636" s="19">
        <f>IFERROR(__xludf.DUMMYFUNCTION("""COMPUTED_VALUE"""),45511.66090540509)</f>
        <v>45511.66091</v>
      </c>
      <c r="D636" s="7" t="str">
        <f>IFERROR(__xludf.DUMMYFUNCTION("""COMPUTED_VALUE"""),"Romero")</f>
        <v>Romero</v>
      </c>
      <c r="E636" s="7" t="str">
        <f>IFERROR(__xludf.DUMMYFUNCTION("""COMPUTED_VALUE"""),"Fabricio")</f>
        <v>Fabricio</v>
      </c>
      <c r="F636" s="7" t="str">
        <f>IFERROR(__xludf.DUMMYFUNCTION("""COMPUTED_VALUE"""),"romerogadea96@gmail.com")</f>
        <v>romerogadea96@gmail.com</v>
      </c>
      <c r="G636" s="20">
        <f>IFERROR(__xludf.DUMMYFUNCTION("""COMPUTED_VALUE"""),35249.0)</f>
        <v>35249</v>
      </c>
      <c r="H636" s="7">
        <f>IFERROR(__xludf.DUMMYFUNCTION("""COMPUTED_VALUE"""),4.1033433E7)</f>
        <v>41033433</v>
      </c>
      <c r="I636" s="7">
        <f>IFERROR(__xludf.DUMMYFUNCTION("""COMPUTED_VALUE"""),3.513200999E9)</f>
        <v>3513200999</v>
      </c>
      <c r="J636" s="7" t="str">
        <f>IFERROR(__xludf.DUMMYFUNCTION("""COMPUTED_VALUE"""),"Voy al gym Manantial")</f>
        <v>Voy al gym Manantial</v>
      </c>
      <c r="K636" s="7" t="str">
        <f>IFERROR(__xludf.DUMMYFUNCTION("""COMPUTED_VALUE"""),"Particular")</f>
        <v>Particular</v>
      </c>
      <c r="L636" s="7"/>
      <c r="M636" s="7" t="str">
        <f>IFERROR(__xludf.DUMMYFUNCTION("""COMPUTED_VALUE"""),"Si")</f>
        <v>Si</v>
      </c>
      <c r="N636" s="7" t="str">
        <f>IFERROR(__xludf.DUMMYFUNCTION("""COMPUTED_VALUE"""),"Gimnasio")</f>
        <v>Gimnasio</v>
      </c>
      <c r="O636" s="7" t="str">
        <f>IFERROR(__xludf.DUMMYFUNCTION("""COMPUTED_VALUE"""),"3 a 5 veces por semana")</f>
        <v>3 a 5 veces por semana</v>
      </c>
      <c r="P636" s="7"/>
      <c r="Q636" s="7"/>
      <c r="R636" s="7"/>
      <c r="S636" s="7"/>
    </row>
    <row r="637">
      <c r="A637" s="7" t="str">
        <f t="shared" si="1"/>
        <v>Moine, Maria del Carmen</v>
      </c>
      <c r="B637" s="7">
        <f>SUMIFS('bd caja'!$K$1:$K$1012,'bd caja'!$D$1:$D$1012,A637)</f>
        <v>0</v>
      </c>
      <c r="C637" s="19">
        <f>IFERROR(__xludf.DUMMYFUNCTION("""COMPUTED_VALUE"""),45511.73112457176)</f>
        <v>45511.73112</v>
      </c>
      <c r="D637" s="7" t="str">
        <f>IFERROR(__xludf.DUMMYFUNCTION("""COMPUTED_VALUE"""),"Moine")</f>
        <v>Moine</v>
      </c>
      <c r="E637" s="7" t="str">
        <f>IFERROR(__xludf.DUMMYFUNCTION("""COMPUTED_VALUE"""),"Maria del Carmen")</f>
        <v>Maria del Carmen</v>
      </c>
      <c r="F637" s="7" t="str">
        <f>IFERROR(__xludf.DUMMYFUNCTION("""COMPUTED_VALUE"""),"mariadelcarmenmoine@gmail.com")</f>
        <v>mariadelcarmenmoine@gmail.com</v>
      </c>
      <c r="G637" s="20">
        <f>IFERROR(__xludf.DUMMYFUNCTION("""COMPUTED_VALUE"""),18889.0)</f>
        <v>18889</v>
      </c>
      <c r="H637" s="7">
        <f>IFERROR(__xludf.DUMMYFUNCTION("""COMPUTED_VALUE"""),6678798.0)</f>
        <v>6678798</v>
      </c>
      <c r="I637" s="7">
        <f>IFERROR(__xludf.DUMMYFUNCTION("""COMPUTED_VALUE"""),3.513241344E9)</f>
        <v>3513241344</v>
      </c>
      <c r="J637" s="7" t="str">
        <f>IFERROR(__xludf.DUMMYFUNCTION("""COMPUTED_VALUE"""),"Google")</f>
        <v>Google</v>
      </c>
      <c r="K637" s="7" t="str">
        <f>IFERROR(__xludf.DUMMYFUNCTION("""COMPUTED_VALUE"""),"Obra social")</f>
        <v>Obra social</v>
      </c>
      <c r="L637" s="7"/>
      <c r="M637" s="7" t="str">
        <f>IFERROR(__xludf.DUMMYFUNCTION("""COMPUTED_VALUE"""),"Si")</f>
        <v>Si</v>
      </c>
      <c r="N637" s="7" t="str">
        <f>IFERROR(__xludf.DUMMYFUNCTION("""COMPUTED_VALUE"""),"Yoga")</f>
        <v>Yoga</v>
      </c>
      <c r="O637" s="7" t="str">
        <f>IFERROR(__xludf.DUMMYFUNCTION("""COMPUTED_VALUE"""),"1 a 2 veces por semana")</f>
        <v>1 a 2 veces por semana</v>
      </c>
      <c r="P637" s="7"/>
      <c r="Q637" s="7" t="str">
        <f>IFERROR(__xludf.DUMMYFUNCTION("""COMPUTED_VALUE"""),"APROSS")</f>
        <v>APROSS</v>
      </c>
      <c r="R637" s="7"/>
      <c r="S637" s="7"/>
    </row>
    <row r="638">
      <c r="A638" s="7" t="str">
        <f t="shared" si="1"/>
        <v>Leon , Romina</v>
      </c>
      <c r="B638" s="7">
        <f>SUMIFS('bd caja'!$K$1:$K$1012,'bd caja'!$D$1:$D$1012,A638)</f>
        <v>0</v>
      </c>
      <c r="C638" s="19">
        <f>IFERROR(__xludf.DUMMYFUNCTION("""COMPUTED_VALUE"""),45511.82193436343)</f>
        <v>45511.82193</v>
      </c>
      <c r="D638" s="7" t="str">
        <f>IFERROR(__xludf.DUMMYFUNCTION("""COMPUTED_VALUE"""),"Leon ")</f>
        <v>Leon </v>
      </c>
      <c r="E638" s="7" t="str">
        <f>IFERROR(__xludf.DUMMYFUNCTION("""COMPUTED_VALUE"""),"Romina")</f>
        <v>Romina</v>
      </c>
      <c r="F638" s="7" t="str">
        <f>IFERROR(__xludf.DUMMYFUNCTION("""COMPUTED_VALUE"""),"romy5714@hotmail.com")</f>
        <v>romy5714@hotmail.com</v>
      </c>
      <c r="G638" s="20">
        <f>IFERROR(__xludf.DUMMYFUNCTION("""COMPUTED_VALUE"""),30379.0)</f>
        <v>30379</v>
      </c>
      <c r="H638" s="7">
        <f>IFERROR(__xludf.DUMMYFUNCTION("""COMPUTED_VALUE"""),3.0121375E7)</f>
        <v>30121375</v>
      </c>
      <c r="I638" s="7">
        <f>IFERROR(__xludf.DUMMYFUNCTION("""COMPUTED_VALUE"""),3.5137357E9)</f>
        <v>3513735700</v>
      </c>
      <c r="J638" s="7" t="str">
        <f>IFERROR(__xludf.DUMMYFUNCTION("""COMPUTED_VALUE"""),"Voy al gym Manantial")</f>
        <v>Voy al gym Manantial</v>
      </c>
      <c r="K638" s="7" t="str">
        <f>IFERROR(__xludf.DUMMYFUNCTION("""COMPUTED_VALUE"""),"Particular")</f>
        <v>Particular</v>
      </c>
      <c r="L638" s="7"/>
      <c r="M638" s="7" t="str">
        <f>IFERROR(__xludf.DUMMYFUNCTION("""COMPUTED_VALUE"""),"No")</f>
        <v>No</v>
      </c>
      <c r="N638" s="7"/>
      <c r="O638" s="7"/>
      <c r="P638" s="7"/>
      <c r="Q638" s="7"/>
      <c r="R638" s="7"/>
      <c r="S638" s="7"/>
    </row>
    <row r="639">
      <c r="A639" s="7" t="str">
        <f t="shared" si="1"/>
        <v>Cabaña , Julieta</v>
      </c>
      <c r="B639" s="7">
        <f>SUMIFS('bd caja'!$K$1:$K$1012,'bd caja'!$D$1:$D$1012,A639)</f>
        <v>0</v>
      </c>
      <c r="C639" s="19">
        <f>IFERROR(__xludf.DUMMYFUNCTION("""COMPUTED_VALUE"""),45511.94582033565)</f>
        <v>45511.94582</v>
      </c>
      <c r="D639" s="7" t="str">
        <f>IFERROR(__xludf.DUMMYFUNCTION("""COMPUTED_VALUE"""),"Cabaña ")</f>
        <v>Cabaña </v>
      </c>
      <c r="E639" s="7" t="str">
        <f>IFERROR(__xludf.DUMMYFUNCTION("""COMPUTED_VALUE"""),"Julieta")</f>
        <v>Julieta</v>
      </c>
      <c r="F639" s="7" t="str">
        <f>IFERROR(__xludf.DUMMYFUNCTION("""COMPUTED_VALUE"""),"sa5m24@hotmail.com")</f>
        <v>sa5m24@hotmail.com</v>
      </c>
      <c r="G639" s="20">
        <f>IFERROR(__xludf.DUMMYFUNCTION("""COMPUTED_VALUE"""),35354.0)</f>
        <v>35354</v>
      </c>
      <c r="H639" s="7">
        <f>IFERROR(__xludf.DUMMYFUNCTION("""COMPUTED_VALUE"""),3.9464481E7)</f>
        <v>39464481</v>
      </c>
      <c r="I639" s="7">
        <f>IFERROR(__xludf.DUMMYFUNCTION("""COMPUTED_VALUE"""),1.126499645E9)</f>
        <v>1126499645</v>
      </c>
      <c r="J639" s="7" t="str">
        <f>IFERROR(__xludf.DUMMYFUNCTION("""COMPUTED_VALUE"""),"Google")</f>
        <v>Google</v>
      </c>
      <c r="K639" s="7" t="str">
        <f>IFERROR(__xludf.DUMMYFUNCTION("""COMPUTED_VALUE"""),"Obra social")</f>
        <v>Obra social</v>
      </c>
      <c r="L639" s="7"/>
      <c r="M639" s="7" t="str">
        <f>IFERROR(__xludf.DUMMYFUNCTION("""COMPUTED_VALUE"""),"Si")</f>
        <v>Si</v>
      </c>
      <c r="N639" s="7" t="str">
        <f>IFERROR(__xludf.DUMMYFUNCTION("""COMPUTED_VALUE"""),"Gimnasio")</f>
        <v>Gimnasio</v>
      </c>
      <c r="O639" s="7" t="str">
        <f>IFERROR(__xludf.DUMMYFUNCTION("""COMPUTED_VALUE"""),"3 a 5 veces por semana")</f>
        <v>3 a 5 veces por semana</v>
      </c>
      <c r="P639" s="7"/>
      <c r="Q639" s="7" t="str">
        <f>IFERROR(__xludf.DUMMYFUNCTION("""COMPUTED_VALUE"""),"Medicus")</f>
        <v>Medicus</v>
      </c>
      <c r="R639" s="7"/>
      <c r="S639" s="7"/>
    </row>
    <row r="640">
      <c r="A640" s="7" t="str">
        <f t="shared" si="1"/>
        <v>Balbi, Geraldine</v>
      </c>
      <c r="B640" s="7">
        <f>SUMIFS('bd caja'!$K$1:$K$1012,'bd caja'!$D$1:$D$1012,A640)</f>
        <v>0</v>
      </c>
      <c r="C640" s="19">
        <f>IFERROR(__xludf.DUMMYFUNCTION("""COMPUTED_VALUE"""),45512.417433009265)</f>
        <v>45512.41743</v>
      </c>
      <c r="D640" s="7" t="str">
        <f>IFERROR(__xludf.DUMMYFUNCTION("""COMPUTED_VALUE"""),"Balbi")</f>
        <v>Balbi</v>
      </c>
      <c r="E640" s="7" t="str">
        <f>IFERROR(__xludf.DUMMYFUNCTION("""COMPUTED_VALUE"""),"Geraldine")</f>
        <v>Geraldine</v>
      </c>
      <c r="F640" s="7" t="str">
        <f>IFERROR(__xludf.DUMMYFUNCTION("""COMPUTED_VALUE"""),"geraldinebalbi@hotmail.com")</f>
        <v>geraldinebalbi@hotmail.com</v>
      </c>
      <c r="G640" s="20">
        <f>IFERROR(__xludf.DUMMYFUNCTION("""COMPUTED_VALUE"""),23949.0)</f>
        <v>23949</v>
      </c>
      <c r="H640" s="7">
        <f>IFERROR(__xludf.DUMMYFUNCTION("""COMPUTED_VALUE"""),1.7628545E7)</f>
        <v>17628545</v>
      </c>
      <c r="I640" s="7">
        <f>IFERROR(__xludf.DUMMYFUNCTION("""COMPUTED_VALUE"""),3.515636836E9)</f>
        <v>3515636836</v>
      </c>
      <c r="J640" s="7" t="str">
        <f>IFERROR(__xludf.DUMMYFUNCTION("""COMPUTED_VALUE"""),"Google")</f>
        <v>Google</v>
      </c>
      <c r="K640" s="7" t="str">
        <f>IFERROR(__xludf.DUMMYFUNCTION("""COMPUTED_VALUE"""),"Obra social")</f>
        <v>Obra social</v>
      </c>
      <c r="L640" s="7"/>
      <c r="M640" s="7" t="str">
        <f>IFERROR(__xludf.DUMMYFUNCTION("""COMPUTED_VALUE"""),"Si")</f>
        <v>Si</v>
      </c>
      <c r="N640" s="7" t="str">
        <f>IFERROR(__xludf.DUMMYFUNCTION("""COMPUTED_VALUE"""),"funcional, zumba y caminar")</f>
        <v>funcional, zumba y caminar</v>
      </c>
      <c r="O640" s="7" t="str">
        <f>IFERROR(__xludf.DUMMYFUNCTION("""COMPUTED_VALUE"""),"3 a 5 veces por semana")</f>
        <v>3 a 5 veces por semana</v>
      </c>
      <c r="P640" s="7"/>
      <c r="Q640" s="7" t="str">
        <f>IFERROR(__xludf.DUMMYFUNCTION("""COMPUTED_VALUE"""),"Caja de abogados ")</f>
        <v>Caja de abogados </v>
      </c>
      <c r="R640" s="7"/>
      <c r="S640" s="7"/>
    </row>
    <row r="641">
      <c r="A641" s="7" t="str">
        <f t="shared" si="1"/>
        <v>Amata, Ricardo</v>
      </c>
      <c r="B641" s="7">
        <f>SUMIFS('bd caja'!$K$1:$K$1012,'bd caja'!$D$1:$D$1012,A641)</f>
        <v>0</v>
      </c>
      <c r="C641" s="19">
        <f>IFERROR(__xludf.DUMMYFUNCTION("""COMPUTED_VALUE"""),45512.74620520833)</f>
        <v>45512.74621</v>
      </c>
      <c r="D641" s="7" t="str">
        <f>IFERROR(__xludf.DUMMYFUNCTION("""COMPUTED_VALUE"""),"Amata")</f>
        <v>Amata</v>
      </c>
      <c r="E641" s="7" t="str">
        <f>IFERROR(__xludf.DUMMYFUNCTION("""COMPUTED_VALUE"""),"Ricardo")</f>
        <v>Ricardo</v>
      </c>
      <c r="F641" s="7" t="str">
        <f>IFERROR(__xludf.DUMMYFUNCTION("""COMPUTED_VALUE"""),"tatoamata@hotmail.com")</f>
        <v>tatoamata@hotmail.com</v>
      </c>
      <c r="G641" s="20">
        <f>IFERROR(__xludf.DUMMYFUNCTION("""COMPUTED_VALUE"""),29606.0)</f>
        <v>29606</v>
      </c>
      <c r="H641" s="7">
        <f>IFERROR(__xludf.DUMMYFUNCTION("""COMPUTED_VALUE"""),2.8432857E7)</f>
        <v>28432857</v>
      </c>
      <c r="I641" s="7">
        <f>IFERROR(__xludf.DUMMYFUNCTION("""COMPUTED_VALUE"""),3.517538501E9)</f>
        <v>3517538501</v>
      </c>
      <c r="J641" s="7" t="str">
        <f>IFERROR(__xludf.DUMMYFUNCTION("""COMPUTED_VALUE"""),"Recomendación")</f>
        <v>Recomendación</v>
      </c>
      <c r="K641" s="7" t="str">
        <f>IFERROR(__xludf.DUMMYFUNCTION("""COMPUTED_VALUE"""),"Particular")</f>
        <v>Particular</v>
      </c>
      <c r="L641" s="7"/>
      <c r="M641" s="7" t="str">
        <f>IFERROR(__xludf.DUMMYFUNCTION("""COMPUTED_VALUE"""),"Si")</f>
        <v>Si</v>
      </c>
      <c r="N641" s="7" t="str">
        <f>IFERROR(__xludf.DUMMYFUNCTION("""COMPUTED_VALUE"""),"Fútbol")</f>
        <v>Fútbol</v>
      </c>
      <c r="O641" s="7" t="str">
        <f>IFERROR(__xludf.DUMMYFUNCTION("""COMPUTED_VALUE"""),"3 a 5 veces por semana")</f>
        <v>3 a 5 veces por semana</v>
      </c>
      <c r="P641" s="7"/>
      <c r="Q641" s="7"/>
      <c r="R641" s="7"/>
      <c r="S641" s="7"/>
    </row>
    <row r="642">
      <c r="A642" s="7" t="str">
        <f t="shared" si="1"/>
        <v>Battistini, Maria Cristina</v>
      </c>
      <c r="B642" s="7">
        <f>SUMIFS('bd caja'!$K$1:$K$1012,'bd caja'!$D$1:$D$1012,A642)</f>
        <v>0</v>
      </c>
      <c r="C642" s="19">
        <f>IFERROR(__xludf.DUMMYFUNCTION("""COMPUTED_VALUE"""),45513.77311340278)</f>
        <v>45513.77311</v>
      </c>
      <c r="D642" s="7" t="str">
        <f>IFERROR(__xludf.DUMMYFUNCTION("""COMPUTED_VALUE"""),"Battistini")</f>
        <v>Battistini</v>
      </c>
      <c r="E642" s="7" t="str">
        <f>IFERROR(__xludf.DUMMYFUNCTION("""COMPUTED_VALUE"""),"Maria Cristina")</f>
        <v>Maria Cristina</v>
      </c>
      <c r="F642" s="7"/>
      <c r="G642" s="20">
        <f>IFERROR(__xludf.DUMMYFUNCTION("""COMPUTED_VALUE"""),17378.0)</f>
        <v>17378</v>
      </c>
      <c r="H642" s="7">
        <f>IFERROR(__xludf.DUMMYFUNCTION("""COMPUTED_VALUE"""),5681186.0)</f>
        <v>5681186</v>
      </c>
      <c r="I642" s="7">
        <f>IFERROR(__xludf.DUMMYFUNCTION("""COMPUTED_VALUE"""),3.516450262E9)</f>
        <v>3516450262</v>
      </c>
      <c r="J642" s="7" t="str">
        <f>IFERROR(__xludf.DUMMYFUNCTION("""COMPUTED_VALUE"""),"Recomendación")</f>
        <v>Recomendación</v>
      </c>
      <c r="K642" s="7" t="str">
        <f>IFERROR(__xludf.DUMMYFUNCTION("""COMPUTED_VALUE"""),"Particular")</f>
        <v>Particular</v>
      </c>
      <c r="L642" s="7"/>
      <c r="M642" s="7" t="str">
        <f>IFERROR(__xludf.DUMMYFUNCTION("""COMPUTED_VALUE"""),"No")</f>
        <v>No</v>
      </c>
      <c r="N642" s="7"/>
      <c r="O642" s="7"/>
      <c r="P642" s="7"/>
      <c r="Q642" s="7"/>
      <c r="R642" s="7"/>
      <c r="S642" s="7"/>
    </row>
    <row r="643">
      <c r="A643" s="7" t="str">
        <f t="shared" si="1"/>
        <v>Carignano, Franco</v>
      </c>
      <c r="B643" s="7">
        <f>SUMIFS('bd caja'!$K$1:$K$1012,'bd caja'!$D$1:$D$1012,A643)</f>
        <v>0</v>
      </c>
      <c r="C643" s="19">
        <f>IFERROR(__xludf.DUMMYFUNCTION("""COMPUTED_VALUE"""),45513.803982488425)</f>
        <v>45513.80398</v>
      </c>
      <c r="D643" s="7" t="str">
        <f>IFERROR(__xludf.DUMMYFUNCTION("""COMPUTED_VALUE"""),"Carignano")</f>
        <v>Carignano</v>
      </c>
      <c r="E643" s="7" t="str">
        <f>IFERROR(__xludf.DUMMYFUNCTION("""COMPUTED_VALUE"""),"Franco")</f>
        <v>Franco</v>
      </c>
      <c r="F643" s="7" t="str">
        <f>IFERROR(__xludf.DUMMYFUNCTION("""COMPUTED_VALUE"""),"francocarignano13@gmail.com")</f>
        <v>francocarignano13@gmail.com</v>
      </c>
      <c r="G643" s="20">
        <f>IFERROR(__xludf.DUMMYFUNCTION("""COMPUTED_VALUE"""),40413.0)</f>
        <v>40413</v>
      </c>
      <c r="H643" s="7">
        <f>IFERROR(__xludf.DUMMYFUNCTION("""COMPUTED_VALUE"""),5.0419491E7)</f>
        <v>50419491</v>
      </c>
      <c r="I643" s="7">
        <f>IFERROR(__xludf.DUMMYFUNCTION("""COMPUTED_VALUE"""),3.515720555E9)</f>
        <v>3515720555</v>
      </c>
      <c r="J643" s="7" t="str">
        <f>IFERROR(__xludf.DUMMYFUNCTION("""COMPUTED_VALUE"""),"Recomendación")</f>
        <v>Recomendación</v>
      </c>
      <c r="K643" s="7" t="str">
        <f>IFERROR(__xludf.DUMMYFUNCTION("""COMPUTED_VALUE"""),"Obra social")</f>
        <v>Obra social</v>
      </c>
      <c r="L643" s="7"/>
      <c r="M643" s="7" t="str">
        <f>IFERROR(__xludf.DUMMYFUNCTION("""COMPUTED_VALUE"""),"Si")</f>
        <v>Si</v>
      </c>
      <c r="N643" s="7" t="str">
        <f>IFERROR(__xludf.DUMMYFUNCTION("""COMPUTED_VALUE"""),"Fútbol")</f>
        <v>Fútbol</v>
      </c>
      <c r="O643" s="7" t="str">
        <f>IFERROR(__xludf.DUMMYFUNCTION("""COMPUTED_VALUE"""),"6 a 7 veces por semana")</f>
        <v>6 a 7 veces por semana</v>
      </c>
      <c r="P643" s="7"/>
      <c r="Q643" s="7" t="str">
        <f>IFERROR(__xludf.DUMMYFUNCTION("""COMPUTED_VALUE"""),"PREVENCIÓN")</f>
        <v>PREVENCIÓN</v>
      </c>
      <c r="R643" s="7"/>
      <c r="S643" s="7"/>
    </row>
    <row r="644">
      <c r="A644" s="7" t="str">
        <f t="shared" si="1"/>
        <v>serlin, lucas</v>
      </c>
      <c r="B644" s="7">
        <f>SUMIFS('bd caja'!$K$1:$K$1012,'bd caja'!$D$1:$D$1012,A644)</f>
        <v>0</v>
      </c>
      <c r="C644" s="19">
        <f>IFERROR(__xludf.DUMMYFUNCTION("""COMPUTED_VALUE"""),45516.573396458334)</f>
        <v>45516.5734</v>
      </c>
      <c r="D644" s="7" t="str">
        <f>IFERROR(__xludf.DUMMYFUNCTION("""COMPUTED_VALUE"""),"serlin")</f>
        <v>serlin</v>
      </c>
      <c r="E644" s="7" t="str">
        <f>IFERROR(__xludf.DUMMYFUNCTION("""COMPUTED_VALUE"""),"lucas")</f>
        <v>lucas</v>
      </c>
      <c r="F644" s="7" t="str">
        <f>IFERROR(__xludf.DUMMYFUNCTION("""COMPUTED_VALUE"""),"lucasserlin1@gmail.com")</f>
        <v>lucasserlin1@gmail.com</v>
      </c>
      <c r="G644" s="20">
        <f>IFERROR(__xludf.DUMMYFUNCTION("""COMPUTED_VALUE"""),37792.0)</f>
        <v>37792</v>
      </c>
      <c r="H644" s="7">
        <f>IFERROR(__xludf.DUMMYFUNCTION("""COMPUTED_VALUE"""),4.4805781E7)</f>
        <v>44805781</v>
      </c>
      <c r="I644" s="7">
        <f>IFERROR(__xludf.DUMMYFUNCTION("""COMPUTED_VALUE"""),3.513938792E9)</f>
        <v>3513938792</v>
      </c>
      <c r="J644" s="7" t="str">
        <f>IFERROR(__xludf.DUMMYFUNCTION("""COMPUTED_VALUE"""),"Recomendación")</f>
        <v>Recomendación</v>
      </c>
      <c r="K644" s="7" t="str">
        <f>IFERROR(__xludf.DUMMYFUNCTION("""COMPUTED_VALUE"""),"Obra social")</f>
        <v>Obra social</v>
      </c>
      <c r="L644" s="7"/>
      <c r="M644" s="7" t="str">
        <f>IFERROR(__xludf.DUMMYFUNCTION("""COMPUTED_VALUE"""),"Si")</f>
        <v>Si</v>
      </c>
      <c r="N644" s="7" t="str">
        <f>IFERROR(__xludf.DUMMYFUNCTION("""COMPUTED_VALUE"""),"Fútbol")</f>
        <v>Fútbol</v>
      </c>
      <c r="O644" s="7" t="str">
        <f>IFERROR(__xludf.DUMMYFUNCTION("""COMPUTED_VALUE"""),"3 a 5 veces por semana")</f>
        <v>3 a 5 veces por semana</v>
      </c>
      <c r="P644" s="7"/>
      <c r="Q644" s="7" t="str">
        <f>IFERROR(__xludf.DUMMYFUNCTION("""COMPUTED_VALUE"""),"swiss medical")</f>
        <v>swiss medical</v>
      </c>
      <c r="R644" s="7"/>
      <c r="S644" s="7"/>
    </row>
    <row r="645">
      <c r="A645" s="7" t="str">
        <f t="shared" si="1"/>
        <v>Bertone, Veronica</v>
      </c>
      <c r="B645" s="7">
        <f>SUMIFS('bd caja'!$K$1:$K$1012,'bd caja'!$D$1:$D$1012,A645)</f>
        <v>0</v>
      </c>
      <c r="C645" s="19">
        <f>IFERROR(__xludf.DUMMYFUNCTION("""COMPUTED_VALUE"""),45516.734569409724)</f>
        <v>45516.73457</v>
      </c>
      <c r="D645" s="7" t="str">
        <f>IFERROR(__xludf.DUMMYFUNCTION("""COMPUTED_VALUE"""),"Bertone")</f>
        <v>Bertone</v>
      </c>
      <c r="E645" s="7" t="str">
        <f>IFERROR(__xludf.DUMMYFUNCTION("""COMPUTED_VALUE"""),"Veronica")</f>
        <v>Veronica</v>
      </c>
      <c r="F645" s="7" t="str">
        <f>IFERROR(__xludf.DUMMYFUNCTION("""COMPUTED_VALUE"""),"verogeniabertone@gmail.com")</f>
        <v>verogeniabertone@gmail.com</v>
      </c>
      <c r="G645" s="20">
        <f>IFERROR(__xludf.DUMMYFUNCTION("""COMPUTED_VALUE"""),27434.0)</f>
        <v>27434</v>
      </c>
      <c r="H645" s="7">
        <f>IFERROR(__xludf.DUMMYFUNCTION("""COMPUTED_VALUE"""),2.4160938E7)</f>
        <v>24160938</v>
      </c>
      <c r="I645" s="7">
        <f>IFERROR(__xludf.DUMMYFUNCTION("""COMPUTED_VALUE"""),3.515923208E9)</f>
        <v>3515923208</v>
      </c>
      <c r="J645" s="7" t="str">
        <f>IFERROR(__xludf.DUMMYFUNCTION("""COMPUTED_VALUE"""),"Google")</f>
        <v>Google</v>
      </c>
      <c r="K645" s="7" t="str">
        <f>IFERROR(__xludf.DUMMYFUNCTION("""COMPUTED_VALUE"""),"Obra social")</f>
        <v>Obra social</v>
      </c>
      <c r="L645" s="7"/>
      <c r="M645" s="7" t="str">
        <f>IFERROR(__xludf.DUMMYFUNCTION("""COMPUTED_VALUE"""),"Si")</f>
        <v>Si</v>
      </c>
      <c r="N645" s="7" t="str">
        <f>IFERROR(__xludf.DUMMYFUNCTION("""COMPUTED_VALUE"""),"Gimnasio")</f>
        <v>Gimnasio</v>
      </c>
      <c r="O645" s="7" t="str">
        <f>IFERROR(__xludf.DUMMYFUNCTION("""COMPUTED_VALUE"""),"3 a 5 veces por semana")</f>
        <v>3 a 5 veces por semana</v>
      </c>
      <c r="P645" s="7"/>
      <c r="Q645" s="7" t="str">
        <f>IFERROR(__xludf.DUMMYFUNCTION("""COMPUTED_VALUE"""),"Osptv")</f>
        <v>Osptv</v>
      </c>
      <c r="R645" s="7"/>
      <c r="S645" s="7"/>
    </row>
    <row r="646">
      <c r="A646" s="7" t="str">
        <f t="shared" si="1"/>
        <v>Contreras Pulitta, Valentino</v>
      </c>
      <c r="B646" s="7">
        <f>SUMIFS('bd caja'!$K$1:$K$1012,'bd caja'!$D$1:$D$1012,A646)</f>
        <v>0</v>
      </c>
      <c r="C646" s="19">
        <f>IFERROR(__xludf.DUMMYFUNCTION("""COMPUTED_VALUE"""),45516.80856587963)</f>
        <v>45516.80857</v>
      </c>
      <c r="D646" s="7" t="str">
        <f>IFERROR(__xludf.DUMMYFUNCTION("""COMPUTED_VALUE"""),"Contreras Pulitta")</f>
        <v>Contreras Pulitta</v>
      </c>
      <c r="E646" s="7" t="str">
        <f>IFERROR(__xludf.DUMMYFUNCTION("""COMPUTED_VALUE"""),"Valentino")</f>
        <v>Valentino</v>
      </c>
      <c r="F646" s="7" t="str">
        <f>IFERROR(__xludf.DUMMYFUNCTION("""COMPUTED_VALUE"""),"valentinocontreras06@gmail.com")</f>
        <v>valentinocontreras06@gmail.com</v>
      </c>
      <c r="G646" s="20">
        <f>IFERROR(__xludf.DUMMYFUNCTION("""COMPUTED_VALUE"""),38817.0)</f>
        <v>38817</v>
      </c>
      <c r="H646" s="7">
        <f>IFERROR(__xludf.DUMMYFUNCTION("""COMPUTED_VALUE"""),4.699994E7)</f>
        <v>46999940</v>
      </c>
      <c r="I646" s="7">
        <f>IFERROR(__xludf.DUMMYFUNCTION("""COMPUTED_VALUE"""),3.518638864E9)</f>
        <v>3518638864</v>
      </c>
      <c r="J646" s="7" t="str">
        <f>IFERROR(__xludf.DUMMYFUNCTION("""COMPUTED_VALUE"""),"Recomendación")</f>
        <v>Recomendación</v>
      </c>
      <c r="K646" s="7" t="str">
        <f>IFERROR(__xludf.DUMMYFUNCTION("""COMPUTED_VALUE"""),"Obra social")</f>
        <v>Obra social</v>
      </c>
      <c r="L646" s="7"/>
      <c r="M646" s="7" t="str">
        <f>IFERROR(__xludf.DUMMYFUNCTION("""COMPUTED_VALUE"""),"Si")</f>
        <v>Si</v>
      </c>
      <c r="N646" s="7" t="str">
        <f>IFERROR(__xludf.DUMMYFUNCTION("""COMPUTED_VALUE"""),"Natacion")</f>
        <v>Natacion</v>
      </c>
      <c r="O646" s="7" t="str">
        <f>IFERROR(__xludf.DUMMYFUNCTION("""COMPUTED_VALUE"""),"6 a 7 veces por semana")</f>
        <v>6 a 7 veces por semana</v>
      </c>
      <c r="P646" s="7"/>
      <c r="Q646" s="7" t="str">
        <f>IFERROR(__xludf.DUMMYFUNCTION("""COMPUTED_VALUE"""),"APROSS")</f>
        <v>APROSS</v>
      </c>
      <c r="R646" s="7"/>
      <c r="S646" s="7"/>
    </row>
    <row r="647">
      <c r="A647" s="7" t="str">
        <f t="shared" si="1"/>
        <v>TOMASELLI, DIEGO</v>
      </c>
      <c r="B647" s="7">
        <f>SUMIFS('bd caja'!$K$1:$K$1012,'bd caja'!$D$1:$D$1012,A647)</f>
        <v>0</v>
      </c>
      <c r="C647" s="19">
        <f>IFERROR(__xludf.DUMMYFUNCTION("""COMPUTED_VALUE"""),45517.5666265162)</f>
        <v>45517.56663</v>
      </c>
      <c r="D647" s="7" t="str">
        <f>IFERROR(__xludf.DUMMYFUNCTION("""COMPUTED_VALUE"""),"TOMASELLI")</f>
        <v>TOMASELLI</v>
      </c>
      <c r="E647" s="7" t="str">
        <f>IFERROR(__xludf.DUMMYFUNCTION("""COMPUTED_VALUE"""),"DIEGO")</f>
        <v>DIEGO</v>
      </c>
      <c r="F647" s="7" t="str">
        <f>IFERROR(__xludf.DUMMYFUNCTION("""COMPUTED_VALUE"""),"diegotomaselli@hotmail.com")</f>
        <v>diegotomaselli@hotmail.com</v>
      </c>
      <c r="G647" s="20">
        <f>IFERROR(__xludf.DUMMYFUNCTION("""COMPUTED_VALUE"""),28447.0)</f>
        <v>28447</v>
      </c>
      <c r="H647" s="7">
        <f>IFERROR(__xludf.DUMMYFUNCTION("""COMPUTED_VALUE"""),2.6385278E7)</f>
        <v>26385278</v>
      </c>
      <c r="I647" s="7">
        <f>IFERROR(__xludf.DUMMYFUNCTION("""COMPUTED_VALUE"""),3.516744744E9)</f>
        <v>3516744744</v>
      </c>
      <c r="J647" s="7" t="str">
        <f>IFERROR(__xludf.DUMMYFUNCTION("""COMPUTED_VALUE"""),"Google")</f>
        <v>Google</v>
      </c>
      <c r="K647" s="7" t="str">
        <f>IFERROR(__xludf.DUMMYFUNCTION("""COMPUTED_VALUE"""),"Obra social")</f>
        <v>Obra social</v>
      </c>
      <c r="L647" s="7"/>
      <c r="M647" s="7" t="str">
        <f>IFERROR(__xludf.DUMMYFUNCTION("""COMPUTED_VALUE"""),"Si")</f>
        <v>Si</v>
      </c>
      <c r="N647" s="7" t="str">
        <f>IFERROR(__xludf.DUMMYFUNCTION("""COMPUTED_VALUE"""),"Running")</f>
        <v>Running</v>
      </c>
      <c r="O647" s="7" t="str">
        <f>IFERROR(__xludf.DUMMYFUNCTION("""COMPUTED_VALUE"""),"1 a 2 veces por semana")</f>
        <v>1 a 2 veces por semana</v>
      </c>
      <c r="P647" s="7"/>
      <c r="Q647" s="7" t="str">
        <f>IFERROR(__xludf.DUMMYFUNCTION("""COMPUTED_VALUE"""),"APROSS")</f>
        <v>APROSS</v>
      </c>
      <c r="R647" s="7"/>
      <c r="S647" s="7"/>
    </row>
    <row r="648">
      <c r="A648" s="7" t="str">
        <f t="shared" si="1"/>
        <v>Balestrini, Alberto</v>
      </c>
      <c r="B648" s="7">
        <f>SUMIFS('bd caja'!$K$1:$K$1012,'bd caja'!$D$1:$D$1012,A648)</f>
        <v>0</v>
      </c>
      <c r="C648" s="19">
        <f>IFERROR(__xludf.DUMMYFUNCTION("""COMPUTED_VALUE"""),45517.57129678241)</f>
        <v>45517.5713</v>
      </c>
      <c r="D648" s="7" t="str">
        <f>IFERROR(__xludf.DUMMYFUNCTION("""COMPUTED_VALUE"""),"Balestrini")</f>
        <v>Balestrini</v>
      </c>
      <c r="E648" s="7" t="str">
        <f>IFERROR(__xludf.DUMMYFUNCTION("""COMPUTED_VALUE"""),"Alberto")</f>
        <v>Alberto</v>
      </c>
      <c r="F648" s="7"/>
      <c r="G648" s="20">
        <f>IFERROR(__xludf.DUMMYFUNCTION("""COMPUTED_VALUE"""),21845.0)</f>
        <v>21845</v>
      </c>
      <c r="H648" s="7">
        <f>IFERROR(__xludf.DUMMYFUNCTION("""COMPUTED_VALUE"""),1.3684971E7)</f>
        <v>13684971</v>
      </c>
      <c r="I648" s="7">
        <f>IFERROR(__xludf.DUMMYFUNCTION("""COMPUTED_VALUE"""),3.51531759E9)</f>
        <v>3515317590</v>
      </c>
      <c r="J648" s="7" t="str">
        <f>IFERROR(__xludf.DUMMYFUNCTION("""COMPUTED_VALUE"""),"Recomendación")</f>
        <v>Recomendación</v>
      </c>
      <c r="K648" s="7" t="str">
        <f>IFERROR(__xludf.DUMMYFUNCTION("""COMPUTED_VALUE"""),"Obra social")</f>
        <v>Obra social</v>
      </c>
      <c r="L648" s="7"/>
      <c r="M648" s="7" t="str">
        <f>IFERROR(__xludf.DUMMYFUNCTION("""COMPUTED_VALUE"""),"No")</f>
        <v>No</v>
      </c>
      <c r="N648" s="7"/>
      <c r="O648" s="7"/>
      <c r="P648" s="7"/>
      <c r="Q648" s="7" t="str">
        <f>IFERROR(__xludf.DUMMYFUNCTION("""COMPUTED_VALUE"""),"APROSS")</f>
        <v>APROSS</v>
      </c>
      <c r="R648" s="7"/>
      <c r="S648" s="7"/>
    </row>
    <row r="649">
      <c r="A649" s="7" t="str">
        <f t="shared" si="1"/>
        <v>Sanchez, Amilcar</v>
      </c>
      <c r="B649" s="7">
        <f>SUMIFS('bd caja'!$K$1:$K$1012,'bd caja'!$D$1:$D$1012,A649)</f>
        <v>0</v>
      </c>
      <c r="C649" s="19">
        <f>IFERROR(__xludf.DUMMYFUNCTION("""COMPUTED_VALUE"""),45517.64590212963)</f>
        <v>45517.6459</v>
      </c>
      <c r="D649" s="7" t="str">
        <f>IFERROR(__xludf.DUMMYFUNCTION("""COMPUTED_VALUE"""),"Sanchez")</f>
        <v>Sanchez</v>
      </c>
      <c r="E649" s="7" t="str">
        <f>IFERROR(__xludf.DUMMYFUNCTION("""COMPUTED_VALUE"""),"Amilcar")</f>
        <v>Amilcar</v>
      </c>
      <c r="F649" s="7" t="str">
        <f>IFERROR(__xludf.DUMMYFUNCTION("""COMPUTED_VALUE"""),"amilcarmsanchez@gmail.com")</f>
        <v>amilcarmsanchez@gmail.com</v>
      </c>
      <c r="G649" s="20">
        <f>IFERROR(__xludf.DUMMYFUNCTION("""COMPUTED_VALUE"""),35287.0)</f>
        <v>35287</v>
      </c>
      <c r="H649" s="7">
        <f>IFERROR(__xludf.DUMMYFUNCTION("""COMPUTED_VALUE"""),3.9622628E7)</f>
        <v>39622628</v>
      </c>
      <c r="I649" s="7">
        <f>IFERROR(__xludf.DUMMYFUNCTION("""COMPUTED_VALUE"""),3.512563083E9)</f>
        <v>3512563083</v>
      </c>
      <c r="J649" s="7" t="str">
        <f>IFERROR(__xludf.DUMMYFUNCTION("""COMPUTED_VALUE"""),"Cartilla Obra Social")</f>
        <v>Cartilla Obra Social</v>
      </c>
      <c r="K649" s="7" t="str">
        <f>IFERROR(__xludf.DUMMYFUNCTION("""COMPUTED_VALUE"""),"Obra social")</f>
        <v>Obra social</v>
      </c>
      <c r="L649" s="7"/>
      <c r="M649" s="7" t="str">
        <f>IFERROR(__xludf.DUMMYFUNCTION("""COMPUTED_VALUE"""),"Si")</f>
        <v>Si</v>
      </c>
      <c r="N649" s="7" t="str">
        <f>IFERROR(__xludf.DUMMYFUNCTION("""COMPUTED_VALUE"""),"Fútbol")</f>
        <v>Fútbol</v>
      </c>
      <c r="O649" s="7" t="str">
        <f>IFERROR(__xludf.DUMMYFUNCTION("""COMPUTED_VALUE"""),"3 a 5 veces por semana")</f>
        <v>3 a 5 veces por semana</v>
      </c>
      <c r="P649" s="7"/>
      <c r="Q649" s="7" t="str">
        <f>IFERROR(__xludf.DUMMYFUNCTION("""COMPUTED_VALUE"""),"PREVENCIÓN")</f>
        <v>PREVENCIÓN</v>
      </c>
      <c r="R649" s="7"/>
      <c r="S649" s="7"/>
    </row>
    <row r="650">
      <c r="A650" s="7" t="str">
        <f t="shared" si="1"/>
        <v>Bonato, Zoe Alexia </v>
      </c>
      <c r="B650" s="7">
        <f>SUMIFS('bd caja'!$K$1:$K$1012,'bd caja'!$D$1:$D$1012,A650)</f>
        <v>0</v>
      </c>
      <c r="C650" s="19">
        <f>IFERROR(__xludf.DUMMYFUNCTION("""COMPUTED_VALUE"""),45517.648160439814)</f>
        <v>45517.64816</v>
      </c>
      <c r="D650" s="7" t="str">
        <f>IFERROR(__xludf.DUMMYFUNCTION("""COMPUTED_VALUE"""),"Bonato")</f>
        <v>Bonato</v>
      </c>
      <c r="E650" s="7" t="str">
        <f>IFERROR(__xludf.DUMMYFUNCTION("""COMPUTED_VALUE"""),"Zoe Alexia ")</f>
        <v>Zoe Alexia </v>
      </c>
      <c r="F650" s="7" t="str">
        <f>IFERROR(__xludf.DUMMYFUNCTION("""COMPUTED_VALUE"""),"bonatozoe@gmail.com")</f>
        <v>bonatozoe@gmail.com</v>
      </c>
      <c r="G650" s="20">
        <f>IFERROR(__xludf.DUMMYFUNCTION("""COMPUTED_VALUE"""),34163.0)</f>
        <v>34163</v>
      </c>
      <c r="H650" s="7">
        <f>IFERROR(__xludf.DUMMYFUNCTION("""COMPUTED_VALUE"""),3.761819E7)</f>
        <v>37618190</v>
      </c>
      <c r="I650" s="7">
        <f>IFERROR(__xludf.DUMMYFUNCTION("""COMPUTED_VALUE"""),2.966602051E9)</f>
        <v>2966602051</v>
      </c>
      <c r="J650" s="7" t="str">
        <f>IFERROR(__xludf.DUMMYFUNCTION("""COMPUTED_VALUE"""),"Voy al gym Manantial")</f>
        <v>Voy al gym Manantial</v>
      </c>
      <c r="K650" s="7" t="str">
        <f>IFERROR(__xludf.DUMMYFUNCTION("""COMPUTED_VALUE"""),"Particular")</f>
        <v>Particular</v>
      </c>
      <c r="L650" s="7"/>
      <c r="M650" s="7" t="str">
        <f>IFERROR(__xludf.DUMMYFUNCTION("""COMPUTED_VALUE"""),"No")</f>
        <v>No</v>
      </c>
      <c r="N650" s="7"/>
      <c r="O650" s="7"/>
      <c r="P650" s="7"/>
      <c r="Q650" s="7"/>
      <c r="R650" s="7"/>
      <c r="S650" s="7"/>
    </row>
    <row r="651">
      <c r="A651" s="7" t="str">
        <f t="shared" si="1"/>
        <v>Battistoni , Santiago</v>
      </c>
      <c r="B651" s="7">
        <f>SUMIFS('bd caja'!$K$1:$K$1012,'bd caja'!$D$1:$D$1012,A651)</f>
        <v>0</v>
      </c>
      <c r="C651" s="19">
        <f>IFERROR(__xludf.DUMMYFUNCTION("""COMPUTED_VALUE"""),45517.816461180555)</f>
        <v>45517.81646</v>
      </c>
      <c r="D651" s="7" t="str">
        <f>IFERROR(__xludf.DUMMYFUNCTION("""COMPUTED_VALUE"""),"Battistoni ")</f>
        <v>Battistoni </v>
      </c>
      <c r="E651" s="7" t="str">
        <f>IFERROR(__xludf.DUMMYFUNCTION("""COMPUTED_VALUE"""),"Santiago")</f>
        <v>Santiago</v>
      </c>
      <c r="F651" s="7" t="str">
        <f>IFERROR(__xludf.DUMMYFUNCTION("""COMPUTED_VALUE"""),"santibattistoni22@gmail.com")</f>
        <v>santibattistoni22@gmail.com</v>
      </c>
      <c r="G651" s="20">
        <f>IFERROR(__xludf.DUMMYFUNCTION("""COMPUTED_VALUE"""),35384.0)</f>
        <v>35384</v>
      </c>
      <c r="H651" s="7">
        <f>IFERROR(__xludf.DUMMYFUNCTION("""COMPUTED_VALUE"""),3.993735E7)</f>
        <v>39937350</v>
      </c>
      <c r="I651" s="7">
        <f>IFERROR(__xludf.DUMMYFUNCTION("""COMPUTED_VALUE"""),3.516134519E9)</f>
        <v>3516134519</v>
      </c>
      <c r="J651" s="7" t="str">
        <f>IFERROR(__xludf.DUMMYFUNCTION("""COMPUTED_VALUE"""),"Recomendación")</f>
        <v>Recomendación</v>
      </c>
      <c r="K651" s="7" t="str">
        <f>IFERROR(__xludf.DUMMYFUNCTION("""COMPUTED_VALUE"""),"Particular")</f>
        <v>Particular</v>
      </c>
      <c r="L651" s="7"/>
      <c r="M651" s="7" t="str">
        <f>IFERROR(__xludf.DUMMYFUNCTION("""COMPUTED_VALUE"""),"Si")</f>
        <v>Si</v>
      </c>
      <c r="N651" s="7" t="str">
        <f>IFERROR(__xludf.DUMMYFUNCTION("""COMPUTED_VALUE"""),"Fútbol")</f>
        <v>Fútbol</v>
      </c>
      <c r="O651" s="7" t="str">
        <f>IFERROR(__xludf.DUMMYFUNCTION("""COMPUTED_VALUE"""),"1 a 2 veces por semana")</f>
        <v>1 a 2 veces por semana</v>
      </c>
      <c r="P651" s="7"/>
      <c r="Q651" s="7"/>
      <c r="R651" s="7"/>
      <c r="S651" s="7"/>
    </row>
    <row r="652">
      <c r="A652" s="7" t="str">
        <f t="shared" si="1"/>
        <v>González , Francisco </v>
      </c>
      <c r="B652" s="7">
        <f>SUMIFS('bd caja'!$K$1:$K$1012,'bd caja'!$D$1:$D$1012,A652)</f>
        <v>0</v>
      </c>
      <c r="C652" s="19">
        <f>IFERROR(__xludf.DUMMYFUNCTION("""COMPUTED_VALUE"""),45518.69364788194)</f>
        <v>45518.69365</v>
      </c>
      <c r="D652" s="7" t="str">
        <f>IFERROR(__xludf.DUMMYFUNCTION("""COMPUTED_VALUE"""),"González ")</f>
        <v>González </v>
      </c>
      <c r="E652" s="7" t="str">
        <f>IFERROR(__xludf.DUMMYFUNCTION("""COMPUTED_VALUE"""),"Francisco ")</f>
        <v>Francisco </v>
      </c>
      <c r="F652" s="7" t="str">
        <f>IFERROR(__xludf.DUMMYFUNCTION("""COMPUTED_VALUE"""),"Bateriascrash@gmail.com")</f>
        <v>Bateriascrash@gmail.com</v>
      </c>
      <c r="G652" s="20">
        <f>IFERROR(__xludf.DUMMYFUNCTION("""COMPUTED_VALUE"""),33543.0)</f>
        <v>33543</v>
      </c>
      <c r="H652" s="7">
        <f>IFERROR(__xludf.DUMMYFUNCTION("""COMPUTED_VALUE"""),3.6141852E7)</f>
        <v>36141852</v>
      </c>
      <c r="I652" s="7">
        <f>IFERROR(__xludf.DUMMYFUNCTION("""COMPUTED_VALUE"""),3.513698015E9)</f>
        <v>3513698015</v>
      </c>
      <c r="J652" s="7" t="str">
        <f>IFERROR(__xludf.DUMMYFUNCTION("""COMPUTED_VALUE"""),"Google")</f>
        <v>Google</v>
      </c>
      <c r="K652" s="7" t="str">
        <f>IFERROR(__xludf.DUMMYFUNCTION("""COMPUTED_VALUE"""),"Obra social")</f>
        <v>Obra social</v>
      </c>
      <c r="L652" s="7"/>
      <c r="M652" s="7" t="str">
        <f>IFERROR(__xludf.DUMMYFUNCTION("""COMPUTED_VALUE"""),"No")</f>
        <v>No</v>
      </c>
      <c r="N652" s="7"/>
      <c r="O652" s="7"/>
      <c r="P652" s="7"/>
      <c r="Q652" s="7" t="str">
        <f>IFERROR(__xludf.DUMMYFUNCTION("""COMPUTED_VALUE"""),"DASPU")</f>
        <v>DASPU</v>
      </c>
      <c r="R652" s="7"/>
      <c r="S652" s="7"/>
    </row>
    <row r="653">
      <c r="A653" s="7" t="str">
        <f t="shared" si="1"/>
        <v>Rivadeneyra, Evelyn Noelia</v>
      </c>
      <c r="B653" s="7">
        <f>SUMIFS('bd caja'!$K$1:$K$1012,'bd caja'!$D$1:$D$1012,A653)</f>
        <v>0</v>
      </c>
      <c r="C653" s="19">
        <f>IFERROR(__xludf.DUMMYFUNCTION("""COMPUTED_VALUE"""),45518.772020115735)</f>
        <v>45518.77202</v>
      </c>
      <c r="D653" s="7" t="str">
        <f>IFERROR(__xludf.DUMMYFUNCTION("""COMPUTED_VALUE"""),"Rivadeneyra")</f>
        <v>Rivadeneyra</v>
      </c>
      <c r="E653" s="7" t="str">
        <f>IFERROR(__xludf.DUMMYFUNCTION("""COMPUTED_VALUE"""),"Evelyn Noelia")</f>
        <v>Evelyn Noelia</v>
      </c>
      <c r="F653" s="7" t="str">
        <f>IFERROR(__xludf.DUMMYFUNCTION("""COMPUTED_VALUE"""),"Noeri")</f>
        <v>Noeri</v>
      </c>
      <c r="G653" s="20">
        <f>IFERROR(__xludf.DUMMYFUNCTION("""COMPUTED_VALUE"""),32193.0)</f>
        <v>32193</v>
      </c>
      <c r="H653" s="7">
        <f>IFERROR(__xludf.DUMMYFUNCTION("""COMPUTED_VALUE"""),3.3598965E7)</f>
        <v>33598965</v>
      </c>
      <c r="I653" s="7">
        <f>IFERROR(__xludf.DUMMYFUNCTION("""COMPUTED_VALUE"""),3.516351034E9)</f>
        <v>3516351034</v>
      </c>
      <c r="J653" s="7" t="str">
        <f>IFERROR(__xludf.DUMMYFUNCTION("""COMPUTED_VALUE"""),"Cartilla Obra Social")</f>
        <v>Cartilla Obra Social</v>
      </c>
      <c r="K653" s="7" t="str">
        <f>IFERROR(__xludf.DUMMYFUNCTION("""COMPUTED_VALUE"""),"Obra social")</f>
        <v>Obra social</v>
      </c>
      <c r="L653" s="7"/>
      <c r="M653" s="7" t="str">
        <f>IFERROR(__xludf.DUMMYFUNCTION("""COMPUTED_VALUE"""),"No")</f>
        <v>No</v>
      </c>
      <c r="N653" s="7"/>
      <c r="O653" s="7"/>
      <c r="P653" s="7"/>
      <c r="Q653" s="7" t="str">
        <f>IFERROR(__xludf.DUMMYFUNCTION("""COMPUTED_VALUE"""),"Boreal")</f>
        <v>Boreal</v>
      </c>
      <c r="R653" s="7"/>
      <c r="S653" s="7"/>
    </row>
    <row r="654">
      <c r="A654" s="7" t="str">
        <f t="shared" si="1"/>
        <v>Bohogu, Martin</v>
      </c>
      <c r="B654" s="7">
        <f>SUMIFS('bd caja'!$K$1:$K$1012,'bd caja'!$D$1:$D$1012,A654)</f>
        <v>0</v>
      </c>
      <c r="C654" s="19">
        <f>IFERROR(__xludf.DUMMYFUNCTION("""COMPUTED_VALUE"""),45518.78521495371)</f>
        <v>45518.78521</v>
      </c>
      <c r="D654" s="7" t="str">
        <f>IFERROR(__xludf.DUMMYFUNCTION("""COMPUTED_VALUE"""),"Bohogu")</f>
        <v>Bohogu</v>
      </c>
      <c r="E654" s="7" t="str">
        <f>IFERROR(__xludf.DUMMYFUNCTION("""COMPUTED_VALUE"""),"Martin")</f>
        <v>Martin</v>
      </c>
      <c r="F654" s="7"/>
      <c r="G654" s="20">
        <f>IFERROR(__xludf.DUMMYFUNCTION("""COMPUTED_VALUE"""),39455.0)</f>
        <v>39455</v>
      </c>
      <c r="H654" s="7">
        <f>IFERROR(__xludf.DUMMYFUNCTION("""COMPUTED_VALUE"""),4.812389E7)</f>
        <v>48123890</v>
      </c>
      <c r="I654" s="7">
        <f>IFERROR(__xludf.DUMMYFUNCTION("""COMPUTED_VALUE"""),3.516826804E9)</f>
        <v>3516826804</v>
      </c>
      <c r="J654" s="7" t="str">
        <f>IFERROR(__xludf.DUMMYFUNCTION("""COMPUTED_VALUE"""),"Recomendación")</f>
        <v>Recomendación</v>
      </c>
      <c r="K654" s="7" t="str">
        <f>IFERROR(__xludf.DUMMYFUNCTION("""COMPUTED_VALUE"""),"Particular")</f>
        <v>Particular</v>
      </c>
      <c r="L654" s="7"/>
      <c r="M654" s="7" t="str">
        <f>IFERROR(__xludf.DUMMYFUNCTION("""COMPUTED_VALUE"""),"Si")</f>
        <v>Si</v>
      </c>
      <c r="N654" s="7" t="str">
        <f>IFERROR(__xludf.DUMMYFUNCTION("""COMPUTED_VALUE"""),"Fútbol")</f>
        <v>Fútbol</v>
      </c>
      <c r="O654" s="7" t="str">
        <f>IFERROR(__xludf.DUMMYFUNCTION("""COMPUTED_VALUE"""),"3 a 5 veces por semana")</f>
        <v>3 a 5 veces por semana</v>
      </c>
      <c r="P654" s="7"/>
      <c r="Q654" s="7"/>
      <c r="R654" s="7"/>
      <c r="S654" s="7"/>
    </row>
    <row r="655">
      <c r="A655" s="7" t="str">
        <f t="shared" si="1"/>
        <v>Nuñez , Alejandra Verónica </v>
      </c>
      <c r="B655" s="7">
        <f>SUMIFS('bd caja'!$K$1:$K$1012,'bd caja'!$D$1:$D$1012,A655)</f>
        <v>0</v>
      </c>
      <c r="C655" s="19">
        <f>IFERROR(__xludf.DUMMYFUNCTION("""COMPUTED_VALUE"""),45519.56915402778)</f>
        <v>45519.56915</v>
      </c>
      <c r="D655" s="7" t="str">
        <f>IFERROR(__xludf.DUMMYFUNCTION("""COMPUTED_VALUE"""),"Nuñez ")</f>
        <v>Nuñez </v>
      </c>
      <c r="E655" s="7" t="str">
        <f>IFERROR(__xludf.DUMMYFUNCTION("""COMPUTED_VALUE"""),"Alejandra Verónica ")</f>
        <v>Alejandra Verónica </v>
      </c>
      <c r="F655" s="7" t="str">
        <f>IFERROR(__xludf.DUMMYFUNCTION("""COMPUTED_VALUE"""),"ale-veronunez@hotmail.com")</f>
        <v>ale-veronunez@hotmail.com</v>
      </c>
      <c r="G655" s="20">
        <f>IFERROR(__xludf.DUMMYFUNCTION("""COMPUTED_VALUE"""),26136.0)</f>
        <v>26136</v>
      </c>
      <c r="H655" s="7">
        <f>IFERROR(__xludf.DUMMYFUNCTION("""COMPUTED_VALUE"""),2.2224815E7)</f>
        <v>22224815</v>
      </c>
      <c r="I655" s="7">
        <f>IFERROR(__xludf.DUMMYFUNCTION("""COMPUTED_VALUE"""),3.512242987E9)</f>
        <v>3512242987</v>
      </c>
      <c r="J655" s="7" t="str">
        <f>IFERROR(__xludf.DUMMYFUNCTION("""COMPUTED_VALUE"""),"Cartilla Obra Social")</f>
        <v>Cartilla Obra Social</v>
      </c>
      <c r="K655" s="7" t="str">
        <f>IFERROR(__xludf.DUMMYFUNCTION("""COMPUTED_VALUE"""),"Obra social")</f>
        <v>Obra social</v>
      </c>
      <c r="L655" s="7"/>
      <c r="M655" s="7" t="str">
        <f>IFERROR(__xludf.DUMMYFUNCTION("""COMPUTED_VALUE"""),"No")</f>
        <v>No</v>
      </c>
      <c r="N655" s="7"/>
      <c r="O655" s="7"/>
      <c r="P655" s="7"/>
      <c r="Q655" s="7" t="str">
        <f>IFERROR(__xludf.DUMMYFUNCTION("""COMPUTED_VALUE"""),"Boreal Magnum")</f>
        <v>Boreal Magnum</v>
      </c>
      <c r="R655" s="7"/>
      <c r="S655" s="7"/>
    </row>
    <row r="656">
      <c r="A656" s="7" t="str">
        <f t="shared" si="1"/>
        <v>Ande, Valentin</v>
      </c>
      <c r="B656" s="7">
        <f>SUMIFS('bd caja'!$K$1:$K$1012,'bd caja'!$D$1:$D$1012,A656)</f>
        <v>0</v>
      </c>
      <c r="C656" s="19">
        <f>IFERROR(__xludf.DUMMYFUNCTION("""COMPUTED_VALUE"""),45519.79601395833)</f>
        <v>45519.79601</v>
      </c>
      <c r="D656" s="7" t="str">
        <f>IFERROR(__xludf.DUMMYFUNCTION("""COMPUTED_VALUE"""),"Ande")</f>
        <v>Ande</v>
      </c>
      <c r="E656" s="7" t="str">
        <f>IFERROR(__xludf.DUMMYFUNCTION("""COMPUTED_VALUE"""),"Valentin")</f>
        <v>Valentin</v>
      </c>
      <c r="F656" s="7" t="str">
        <f>IFERROR(__xludf.DUMMYFUNCTION("""COMPUTED_VALUE"""),"valentinande8@gmail.com")</f>
        <v>valentinande8@gmail.com</v>
      </c>
      <c r="G656" s="20">
        <f>IFERROR(__xludf.DUMMYFUNCTION("""COMPUTED_VALUE"""),38322.0)</f>
        <v>38322</v>
      </c>
      <c r="H656" s="7">
        <f>IFERROR(__xludf.DUMMYFUNCTION("""COMPUTED_VALUE"""),4.6032852E7)</f>
        <v>46032852</v>
      </c>
      <c r="I656" s="7">
        <f>IFERROR(__xludf.DUMMYFUNCTION("""COMPUTED_VALUE"""),3.517370378E9)</f>
        <v>3517370378</v>
      </c>
      <c r="J656" s="7" t="str">
        <f>IFERROR(__xludf.DUMMYFUNCTION("""COMPUTED_VALUE"""),"Voy al gym Manantial")</f>
        <v>Voy al gym Manantial</v>
      </c>
      <c r="K656" s="7" t="str">
        <f>IFERROR(__xludf.DUMMYFUNCTION("""COMPUTED_VALUE"""),"Particular")</f>
        <v>Particular</v>
      </c>
      <c r="L656" s="7"/>
      <c r="M656" s="7" t="str">
        <f>IFERROR(__xludf.DUMMYFUNCTION("""COMPUTED_VALUE"""),"Si")</f>
        <v>Si</v>
      </c>
      <c r="N656" s="7" t="str">
        <f>IFERROR(__xludf.DUMMYFUNCTION("""COMPUTED_VALUE"""),"Gimnasio")</f>
        <v>Gimnasio</v>
      </c>
      <c r="O656" s="7" t="str">
        <f>IFERROR(__xludf.DUMMYFUNCTION("""COMPUTED_VALUE"""),"3 a 5 veces por semana")</f>
        <v>3 a 5 veces por semana</v>
      </c>
      <c r="P656" s="7"/>
      <c r="Q656" s="7"/>
      <c r="R656" s="7"/>
      <c r="S656" s="7"/>
    </row>
    <row r="657">
      <c r="A657" s="7" t="str">
        <f t="shared" si="1"/>
        <v>SESIN, Dante</v>
      </c>
      <c r="B657" s="7">
        <f>SUMIFS('bd caja'!$K$1:$K$1012,'bd caja'!$D$1:$D$1012,A657)</f>
        <v>0</v>
      </c>
      <c r="C657" s="19">
        <f>IFERROR(__xludf.DUMMYFUNCTION("""COMPUTED_VALUE"""),45520.479435636575)</f>
        <v>45520.47944</v>
      </c>
      <c r="D657" s="7" t="str">
        <f>IFERROR(__xludf.DUMMYFUNCTION("""COMPUTED_VALUE"""),"SESIN")</f>
        <v>SESIN</v>
      </c>
      <c r="E657" s="7" t="str">
        <f>IFERROR(__xludf.DUMMYFUNCTION("""COMPUTED_VALUE"""),"Dante")</f>
        <v>Dante</v>
      </c>
      <c r="F657" s="7" t="str">
        <f>IFERROR(__xludf.DUMMYFUNCTION("""COMPUTED_VALUE"""),"-")</f>
        <v>-</v>
      </c>
      <c r="G657" s="20">
        <f>IFERROR(__xludf.DUMMYFUNCTION("""COMPUTED_VALUE"""),13270.0)</f>
        <v>13270</v>
      </c>
      <c r="H657" s="7">
        <f>IFERROR(__xludf.DUMMYFUNCTION("""COMPUTED_VALUE"""),7176771.0)</f>
        <v>7176771</v>
      </c>
      <c r="I657" s="7">
        <f>IFERROR(__xludf.DUMMYFUNCTION("""COMPUTED_VALUE"""),3.515087917E9)</f>
        <v>3515087917</v>
      </c>
      <c r="J657" s="7" t="str">
        <f>IFERROR(__xludf.DUMMYFUNCTION("""COMPUTED_VALUE"""),"Voy al gym Manantial")</f>
        <v>Voy al gym Manantial</v>
      </c>
      <c r="K657" s="7" t="str">
        <f>IFERROR(__xludf.DUMMYFUNCTION("""COMPUTED_VALUE"""),"Particular")</f>
        <v>Particular</v>
      </c>
      <c r="L657" s="7"/>
      <c r="M657" s="7" t="str">
        <f>IFERROR(__xludf.DUMMYFUNCTION("""COMPUTED_VALUE"""),"Si")</f>
        <v>Si</v>
      </c>
      <c r="N657" s="7" t="str">
        <f>IFERROR(__xludf.DUMMYFUNCTION("""COMPUTED_VALUE"""),"Gimnasio")</f>
        <v>Gimnasio</v>
      </c>
      <c r="O657" s="7" t="str">
        <f>IFERROR(__xludf.DUMMYFUNCTION("""COMPUTED_VALUE"""),"3 a 5 veces por semana")</f>
        <v>3 a 5 veces por semana</v>
      </c>
      <c r="P657" s="7"/>
      <c r="Q657" s="7"/>
      <c r="R657" s="7"/>
      <c r="S657" s="7"/>
    </row>
    <row r="658">
      <c r="A658" s="7" t="str">
        <f t="shared" si="1"/>
        <v>Carranza , Brenda</v>
      </c>
      <c r="B658" s="7">
        <f>SUMIFS('bd caja'!$K$1:$K$1012,'bd caja'!$D$1:$D$1012,A658)</f>
        <v>0</v>
      </c>
      <c r="C658" s="19">
        <f>IFERROR(__xludf.DUMMYFUNCTION("""COMPUTED_VALUE"""),45520.59028290509)</f>
        <v>45520.59028</v>
      </c>
      <c r="D658" s="7" t="str">
        <f>IFERROR(__xludf.DUMMYFUNCTION("""COMPUTED_VALUE"""),"Carranza ")</f>
        <v>Carranza </v>
      </c>
      <c r="E658" s="7" t="str">
        <f>IFERROR(__xludf.DUMMYFUNCTION("""COMPUTED_VALUE"""),"Brenda")</f>
        <v>Brenda</v>
      </c>
      <c r="F658" s="7" t="str">
        <f>IFERROR(__xludf.DUMMYFUNCTION("""COMPUTED_VALUE"""),"brendacarranza318@gmail.com")</f>
        <v>brendacarranza318@gmail.com</v>
      </c>
      <c r="G658" s="20">
        <f>IFERROR(__xludf.DUMMYFUNCTION("""COMPUTED_VALUE"""),34063.0)</f>
        <v>34063</v>
      </c>
      <c r="H658" s="7">
        <f>IFERROR(__xludf.DUMMYFUNCTION("""COMPUTED_VALUE"""),3.6430931E7)</f>
        <v>36430931</v>
      </c>
      <c r="I658" s="7">
        <f>IFERROR(__xludf.DUMMYFUNCTION("""COMPUTED_VALUE"""),3.513338526E9)</f>
        <v>3513338526</v>
      </c>
      <c r="J658" s="7" t="str">
        <f>IFERROR(__xludf.DUMMYFUNCTION("""COMPUTED_VALUE"""),"Cartilla Obra Social")</f>
        <v>Cartilla Obra Social</v>
      </c>
      <c r="K658" s="7" t="str">
        <f>IFERROR(__xludf.DUMMYFUNCTION("""COMPUTED_VALUE"""),"Obra social")</f>
        <v>Obra social</v>
      </c>
      <c r="L658" s="7"/>
      <c r="M658" s="7" t="str">
        <f>IFERROR(__xludf.DUMMYFUNCTION("""COMPUTED_VALUE"""),"Si")</f>
        <v>Si</v>
      </c>
      <c r="N658" s="7" t="str">
        <f>IFERROR(__xludf.DUMMYFUNCTION("""COMPUTED_VALUE"""),"Fútbol")</f>
        <v>Fútbol</v>
      </c>
      <c r="O658" s="7" t="str">
        <f>IFERROR(__xludf.DUMMYFUNCTION("""COMPUTED_VALUE"""),"3 a 5 veces por semana")</f>
        <v>3 a 5 veces por semana</v>
      </c>
      <c r="P658" s="7"/>
      <c r="Q658" s="7" t="str">
        <f>IFERROR(__xludf.DUMMYFUNCTION("""COMPUTED_VALUE"""),"Boreal")</f>
        <v>Boreal</v>
      </c>
      <c r="R658" s="7"/>
      <c r="S658" s="7"/>
    </row>
    <row r="659">
      <c r="A659" s="7" t="str">
        <f t="shared" si="1"/>
        <v>Micelli, Claudio </v>
      </c>
      <c r="B659" s="7">
        <f>SUMIFS('bd caja'!$K$1:$K$1012,'bd caja'!$D$1:$D$1012,A659)</f>
        <v>0</v>
      </c>
      <c r="C659" s="19">
        <f>IFERROR(__xludf.DUMMYFUNCTION("""COMPUTED_VALUE"""),45525.81678949074)</f>
        <v>45525.81679</v>
      </c>
      <c r="D659" s="7" t="str">
        <f>IFERROR(__xludf.DUMMYFUNCTION("""COMPUTED_VALUE"""),"Micelli")</f>
        <v>Micelli</v>
      </c>
      <c r="E659" s="7" t="str">
        <f>IFERROR(__xludf.DUMMYFUNCTION("""COMPUTED_VALUE"""),"Claudio ")</f>
        <v>Claudio </v>
      </c>
      <c r="F659" s="7" t="str">
        <f>IFERROR(__xludf.DUMMYFUNCTION("""COMPUTED_VALUE"""),"Claudiomicelli@crystalcord.com.ar")</f>
        <v>Claudiomicelli@crystalcord.com.ar</v>
      </c>
      <c r="G659" s="20">
        <f>IFERROR(__xludf.DUMMYFUNCTION("""COMPUTED_VALUE"""),23507.0)</f>
        <v>23507</v>
      </c>
      <c r="H659" s="7">
        <f>IFERROR(__xludf.DUMMYFUNCTION("""COMPUTED_VALUE"""),16.0)</f>
        <v>16</v>
      </c>
      <c r="I659" s="7">
        <f>IFERROR(__xludf.DUMMYFUNCTION("""COMPUTED_VALUE"""),3.515190577E9)</f>
        <v>3515190577</v>
      </c>
      <c r="J659" s="7" t="str">
        <f>IFERROR(__xludf.DUMMYFUNCTION("""COMPUTED_VALUE"""),"Recomendación")</f>
        <v>Recomendación</v>
      </c>
      <c r="K659" s="7" t="str">
        <f>IFERROR(__xludf.DUMMYFUNCTION("""COMPUTED_VALUE"""),"Obra social")</f>
        <v>Obra social</v>
      </c>
      <c r="L659" s="7"/>
      <c r="M659" s="7" t="str">
        <f>IFERROR(__xludf.DUMMYFUNCTION("""COMPUTED_VALUE"""),"No")</f>
        <v>No</v>
      </c>
      <c r="N659" s="7"/>
      <c r="O659" s="7"/>
      <c r="P659" s="7"/>
      <c r="Q659" s="7"/>
      <c r="R659" s="7"/>
      <c r="S659" s="7"/>
    </row>
    <row r="660">
      <c r="A660" s="7" t="str">
        <f t="shared" si="1"/>
        <v>Ruano, Antonella</v>
      </c>
      <c r="B660" s="7">
        <f>SUMIFS('bd caja'!$K$1:$K$1012,'bd caja'!$D$1:$D$1012,A660)</f>
        <v>0</v>
      </c>
      <c r="C660" s="19">
        <f>IFERROR(__xludf.DUMMYFUNCTION("""COMPUTED_VALUE"""),45525.821400810186)</f>
        <v>45525.8214</v>
      </c>
      <c r="D660" s="7" t="str">
        <f>IFERROR(__xludf.DUMMYFUNCTION("""COMPUTED_VALUE"""),"Ruano")</f>
        <v>Ruano</v>
      </c>
      <c r="E660" s="7" t="str">
        <f>IFERROR(__xludf.DUMMYFUNCTION("""COMPUTED_VALUE"""),"Antonella")</f>
        <v>Antonella</v>
      </c>
      <c r="F660" s="7" t="str">
        <f>IFERROR(__xludf.DUMMYFUNCTION("""COMPUTED_VALUE"""),"aruanogomez@gmail.com")</f>
        <v>aruanogomez@gmail.com</v>
      </c>
      <c r="G660" s="20">
        <f>IFERROR(__xludf.DUMMYFUNCTION("""COMPUTED_VALUE"""),35994.0)</f>
        <v>35994</v>
      </c>
      <c r="H660" s="7">
        <f>IFERROR(__xludf.DUMMYFUNCTION("""COMPUTED_VALUE"""),4.141007E7)</f>
        <v>41410070</v>
      </c>
      <c r="I660" s="7">
        <f>IFERROR(__xludf.DUMMYFUNCTION("""COMPUTED_VALUE"""),3.513143334E9)</f>
        <v>3513143334</v>
      </c>
      <c r="J660" s="7" t="str">
        <f>IFERROR(__xludf.DUMMYFUNCTION("""COMPUTED_VALUE"""),"Recomendación")</f>
        <v>Recomendación</v>
      </c>
      <c r="K660" s="7" t="str">
        <f>IFERROR(__xludf.DUMMYFUNCTION("""COMPUTED_VALUE"""),"Obra social")</f>
        <v>Obra social</v>
      </c>
      <c r="L660" s="7"/>
      <c r="M660" s="7" t="str">
        <f>IFERROR(__xludf.DUMMYFUNCTION("""COMPUTED_VALUE"""),"Si")</f>
        <v>Si</v>
      </c>
      <c r="N660" s="7" t="str">
        <f>IFERROR(__xludf.DUMMYFUNCTION("""COMPUTED_VALUE"""),"Gimnasio")</f>
        <v>Gimnasio</v>
      </c>
      <c r="O660" s="7" t="str">
        <f>IFERROR(__xludf.DUMMYFUNCTION("""COMPUTED_VALUE"""),"3 a 5 veces por semana")</f>
        <v>3 a 5 veces por semana</v>
      </c>
      <c r="P660" s="7"/>
      <c r="Q660" s="7" t="str">
        <f>IFERROR(__xludf.DUMMYFUNCTION("""COMPUTED_VALUE"""),"Medife")</f>
        <v>Medife</v>
      </c>
      <c r="R660" s="7"/>
      <c r="S660" s="7"/>
    </row>
    <row r="661">
      <c r="A661" s="7" t="str">
        <f t="shared" si="1"/>
        <v>Macchiavello , Rosario</v>
      </c>
      <c r="B661" s="7">
        <f>SUMIFS('bd caja'!$K$1:$K$1012,'bd caja'!$D$1:$D$1012,A661)</f>
        <v>0</v>
      </c>
      <c r="C661" s="19">
        <f>IFERROR(__xludf.DUMMYFUNCTION("""COMPUTED_VALUE"""),45526.60735929398)</f>
        <v>45526.60736</v>
      </c>
      <c r="D661" s="7" t="str">
        <f>IFERROR(__xludf.DUMMYFUNCTION("""COMPUTED_VALUE"""),"Macchiavello ")</f>
        <v>Macchiavello </v>
      </c>
      <c r="E661" s="7" t="str">
        <f>IFERROR(__xludf.DUMMYFUNCTION("""COMPUTED_VALUE"""),"Rosario")</f>
        <v>Rosario</v>
      </c>
      <c r="F661" s="7" t="str">
        <f>IFERROR(__xludf.DUMMYFUNCTION("""COMPUTED_VALUE"""),"Rosariomacch@gmail.com")</f>
        <v>Rosariomacch@gmail.com</v>
      </c>
      <c r="G661" s="20">
        <f>IFERROR(__xludf.DUMMYFUNCTION("""COMPUTED_VALUE"""),32572.0)</f>
        <v>32572</v>
      </c>
      <c r="H661" s="7">
        <f>IFERROR(__xludf.DUMMYFUNCTION("""COMPUTED_VALUE"""),3.4454594E7)</f>
        <v>34454594</v>
      </c>
      <c r="I661" s="7">
        <f>IFERROR(__xludf.DUMMYFUNCTION("""COMPUTED_VALUE"""),1.149797102E9)</f>
        <v>1149797102</v>
      </c>
      <c r="J661" s="7" t="str">
        <f>IFERROR(__xludf.DUMMYFUNCTION("""COMPUTED_VALUE"""),"Google")</f>
        <v>Google</v>
      </c>
      <c r="K661" s="7" t="str">
        <f>IFERROR(__xludf.DUMMYFUNCTION("""COMPUTED_VALUE"""),"Particular")</f>
        <v>Particular</v>
      </c>
      <c r="L661" s="7"/>
      <c r="M661" s="7" t="str">
        <f>IFERROR(__xludf.DUMMYFUNCTION("""COMPUTED_VALUE"""),"Si")</f>
        <v>Si</v>
      </c>
      <c r="N661" s="7" t="str">
        <f>IFERROR(__xludf.DUMMYFUNCTION("""COMPUTED_VALUE"""),"Padel ")</f>
        <v>Padel </v>
      </c>
      <c r="O661" s="7" t="str">
        <f>IFERROR(__xludf.DUMMYFUNCTION("""COMPUTED_VALUE"""),"1 a 2 veces por semana")</f>
        <v>1 a 2 veces por semana</v>
      </c>
      <c r="P661" s="7"/>
      <c r="Q661" s="7"/>
      <c r="R661" s="7"/>
      <c r="S661" s="7"/>
    </row>
    <row r="662">
      <c r="A662" s="7" t="str">
        <f t="shared" si="1"/>
        <v>Acevedo, Griselda Del Valle</v>
      </c>
      <c r="B662" s="7">
        <f>SUMIFS('bd caja'!$K$1:$K$1012,'bd caja'!$D$1:$D$1012,A662)</f>
        <v>0</v>
      </c>
      <c r="C662" s="19">
        <f>IFERROR(__xludf.DUMMYFUNCTION("""COMPUTED_VALUE"""),45527.516877939815)</f>
        <v>45527.51688</v>
      </c>
      <c r="D662" s="7" t="str">
        <f>IFERROR(__xludf.DUMMYFUNCTION("""COMPUTED_VALUE"""),"Acevedo")</f>
        <v>Acevedo</v>
      </c>
      <c r="E662" s="7" t="str">
        <f>IFERROR(__xludf.DUMMYFUNCTION("""COMPUTED_VALUE"""),"Griselda Del Valle")</f>
        <v>Griselda Del Valle</v>
      </c>
      <c r="F662" s="7" t="str">
        <f>IFERROR(__xludf.DUMMYFUNCTION("""COMPUTED_VALUE"""),"Lagordabella_454@hotmsil.com")</f>
        <v>Lagordabella_454@hotmsil.com</v>
      </c>
      <c r="G662" s="20">
        <f>IFERROR(__xludf.DUMMYFUNCTION("""COMPUTED_VALUE"""),24544.0)</f>
        <v>24544</v>
      </c>
      <c r="H662" s="21">
        <f>IFERROR(__xludf.DUMMYFUNCTION("""COMPUTED_VALUE"""),1.8176566E7)</f>
        <v>18176566</v>
      </c>
      <c r="I662" s="7">
        <f>IFERROR(__xludf.DUMMYFUNCTION("""COMPUTED_VALUE"""),3.516077026E9)</f>
        <v>3516077026</v>
      </c>
      <c r="J662" s="7" t="str">
        <f>IFERROR(__xludf.DUMMYFUNCTION("""COMPUTED_VALUE"""),"Recomendación")</f>
        <v>Recomendación</v>
      </c>
      <c r="K662" s="7" t="str">
        <f>IFERROR(__xludf.DUMMYFUNCTION("""COMPUTED_VALUE"""),"Particular")</f>
        <v>Particular</v>
      </c>
      <c r="L662" s="7"/>
      <c r="M662" s="7" t="str">
        <f>IFERROR(__xludf.DUMMYFUNCTION("""COMPUTED_VALUE"""),"No")</f>
        <v>No</v>
      </c>
      <c r="N662" s="7"/>
      <c r="O662" s="7"/>
      <c r="P662" s="7"/>
      <c r="Q662" s="7"/>
      <c r="R662" s="7"/>
      <c r="S662" s="7"/>
    </row>
    <row r="663">
      <c r="A663" s="7" t="str">
        <f t="shared" si="1"/>
        <v>Dastolfo, Gisela Marisa</v>
      </c>
      <c r="B663" s="7">
        <f>SUMIFS('bd caja'!$K$1:$K$1012,'bd caja'!$D$1:$D$1012,A663)</f>
        <v>0</v>
      </c>
      <c r="C663" s="19">
        <f>IFERROR(__xludf.DUMMYFUNCTION("""COMPUTED_VALUE"""),45530.926267523144)</f>
        <v>45530.92627</v>
      </c>
      <c r="D663" s="7" t="str">
        <f>IFERROR(__xludf.DUMMYFUNCTION("""COMPUTED_VALUE"""),"Dastolfo")</f>
        <v>Dastolfo</v>
      </c>
      <c r="E663" s="7" t="str">
        <f>IFERROR(__xludf.DUMMYFUNCTION("""COMPUTED_VALUE"""),"Gisela Marisa")</f>
        <v>Gisela Marisa</v>
      </c>
      <c r="F663" s="7" t="str">
        <f>IFERROR(__xludf.DUMMYFUNCTION("""COMPUTED_VALUE"""),"gisedastolfo@gmail.com")</f>
        <v>gisedastolfo@gmail.com</v>
      </c>
      <c r="G663" s="20">
        <f>IFERROR(__xludf.DUMMYFUNCTION("""COMPUTED_VALUE"""),45508.0)</f>
        <v>45508</v>
      </c>
      <c r="H663" s="7">
        <f>IFERROR(__xludf.DUMMYFUNCTION("""COMPUTED_VALUE"""),2.7077658E7)</f>
        <v>27077658</v>
      </c>
      <c r="I663" s="7">
        <f>IFERROR(__xludf.DUMMYFUNCTION("""COMPUTED_VALUE"""),3.513854926E9)</f>
        <v>3513854926</v>
      </c>
      <c r="J663" s="7" t="str">
        <f>IFERROR(__xludf.DUMMYFUNCTION("""COMPUTED_VALUE"""),"Recomendación")</f>
        <v>Recomendación</v>
      </c>
      <c r="K663" s="7" t="str">
        <f>IFERROR(__xludf.DUMMYFUNCTION("""COMPUTED_VALUE"""),"Obra social")</f>
        <v>Obra social</v>
      </c>
      <c r="L663" s="7"/>
      <c r="M663" s="7" t="str">
        <f>IFERROR(__xludf.DUMMYFUNCTION("""COMPUTED_VALUE"""),"No")</f>
        <v>No</v>
      </c>
      <c r="N663" s="7"/>
      <c r="O663" s="7"/>
      <c r="P663" s="7"/>
      <c r="Q663" s="7" t="str">
        <f>IFERROR(__xludf.DUMMYFUNCTION("""COMPUTED_VALUE"""),"PREVENCIÓN")</f>
        <v>PREVENCIÓN</v>
      </c>
      <c r="R663" s="7"/>
      <c r="S663" s="7"/>
    </row>
    <row r="664">
      <c r="A664" s="7" t="str">
        <f t="shared" si="1"/>
        <v>Dottori , Santino </v>
      </c>
      <c r="B664" s="7">
        <f>SUMIFS('bd caja'!$K$1:$K$1012,'bd caja'!$D$1:$D$1012,A664)</f>
        <v>0</v>
      </c>
      <c r="C664" s="19">
        <f>IFERROR(__xludf.DUMMYFUNCTION("""COMPUTED_VALUE"""),45531.62040598379)</f>
        <v>45531.62041</v>
      </c>
      <c r="D664" s="7" t="str">
        <f>IFERROR(__xludf.DUMMYFUNCTION("""COMPUTED_VALUE"""),"Dottori ")</f>
        <v>Dottori </v>
      </c>
      <c r="E664" s="7" t="str">
        <f>IFERROR(__xludf.DUMMYFUNCTION("""COMPUTED_VALUE"""),"Santino ")</f>
        <v>Santino </v>
      </c>
      <c r="F664" s="7" t="str">
        <f>IFERROR(__xludf.DUMMYFUNCTION("""COMPUTED_VALUE"""),"sofianavasd@gmail.com")</f>
        <v>sofianavasd@gmail.com</v>
      </c>
      <c r="G664" s="20">
        <f>IFERROR(__xludf.DUMMYFUNCTION("""COMPUTED_VALUE"""),39610.0)</f>
        <v>39610</v>
      </c>
      <c r="H664" s="7">
        <f>IFERROR(__xludf.DUMMYFUNCTION("""COMPUTED_VALUE"""),4.7821471E7)</f>
        <v>47821471</v>
      </c>
      <c r="I664" s="7">
        <f>IFERROR(__xludf.DUMMYFUNCTION("""COMPUTED_VALUE"""),3.516957798E9)</f>
        <v>3516957798</v>
      </c>
      <c r="J664" s="7" t="str">
        <f>IFERROR(__xludf.DUMMYFUNCTION("""COMPUTED_VALUE"""),"Recomendación")</f>
        <v>Recomendación</v>
      </c>
      <c r="K664" s="7" t="str">
        <f>IFERROR(__xludf.DUMMYFUNCTION("""COMPUTED_VALUE"""),"Obra social")</f>
        <v>Obra social</v>
      </c>
      <c r="L664" s="7"/>
      <c r="M664" s="7" t="str">
        <f>IFERROR(__xludf.DUMMYFUNCTION("""COMPUTED_VALUE"""),"Si")</f>
        <v>Si</v>
      </c>
      <c r="N664" s="7" t="str">
        <f>IFERROR(__xludf.DUMMYFUNCTION("""COMPUTED_VALUE"""),"Rugby")</f>
        <v>Rugby</v>
      </c>
      <c r="O664" s="7" t="str">
        <f>IFERROR(__xludf.DUMMYFUNCTION("""COMPUTED_VALUE"""),"3 a 5 veces por semana")</f>
        <v>3 a 5 veces por semana</v>
      </c>
      <c r="P664" s="7"/>
      <c r="Q664" s="7" t="str">
        <f>IFERROR(__xludf.DUMMYFUNCTION("""COMPUTED_VALUE"""),"Federada salud")</f>
        <v>Federada salud</v>
      </c>
      <c r="R664" s="7"/>
      <c r="S664" s="7"/>
    </row>
    <row r="665">
      <c r="A665" s="7" t="str">
        <f t="shared" si="1"/>
        <v>Vargas, Emiliano</v>
      </c>
      <c r="B665" s="7">
        <f>SUMIFS('bd caja'!$K$1:$K$1012,'bd caja'!$D$1:$D$1012,A665)</f>
        <v>0</v>
      </c>
      <c r="C665" s="19">
        <f>IFERROR(__xludf.DUMMYFUNCTION("""COMPUTED_VALUE"""),45531.69770146991)</f>
        <v>45531.6977</v>
      </c>
      <c r="D665" s="7" t="str">
        <f>IFERROR(__xludf.DUMMYFUNCTION("""COMPUTED_VALUE"""),"Vargas")</f>
        <v>Vargas</v>
      </c>
      <c r="E665" s="7" t="str">
        <f>IFERROR(__xludf.DUMMYFUNCTION("""COMPUTED_VALUE"""),"Emiliano")</f>
        <v>Emiliano</v>
      </c>
      <c r="F665" s="7" t="str">
        <f>IFERROR(__xludf.DUMMYFUNCTION("""COMPUTED_VALUE"""),"evargas@santander.com.ar")</f>
        <v>evargas@santander.com.ar</v>
      </c>
      <c r="G665" s="20">
        <f>IFERROR(__xludf.DUMMYFUNCTION("""COMPUTED_VALUE"""),31484.0)</f>
        <v>31484</v>
      </c>
      <c r="H665" s="7">
        <f>IFERROR(__xludf.DUMMYFUNCTION("""COMPUTED_VALUE"""),3.2204018E7)</f>
        <v>32204018</v>
      </c>
      <c r="I665" s="7">
        <f>IFERROR(__xludf.DUMMYFUNCTION("""COMPUTED_VALUE"""),3.512690651E9)</f>
        <v>3512690651</v>
      </c>
      <c r="J665" s="7" t="str">
        <f>IFERROR(__xludf.DUMMYFUNCTION("""COMPUTED_VALUE"""),"Voy al gym Manantial")</f>
        <v>Voy al gym Manantial</v>
      </c>
      <c r="K665" s="7" t="str">
        <f>IFERROR(__xludf.DUMMYFUNCTION("""COMPUTED_VALUE"""),"Particular")</f>
        <v>Particular</v>
      </c>
      <c r="L665" s="7"/>
      <c r="M665" s="7" t="str">
        <f>IFERROR(__xludf.DUMMYFUNCTION("""COMPUTED_VALUE"""),"Si")</f>
        <v>Si</v>
      </c>
      <c r="N665" s="7" t="str">
        <f>IFERROR(__xludf.DUMMYFUNCTION("""COMPUTED_VALUE"""),"Fútbol")</f>
        <v>Fútbol</v>
      </c>
      <c r="O665" s="7" t="str">
        <f>IFERROR(__xludf.DUMMYFUNCTION("""COMPUTED_VALUE"""),"3 a 5 veces por semana")</f>
        <v>3 a 5 veces por semana</v>
      </c>
      <c r="P665" s="7"/>
      <c r="Q665" s="7"/>
      <c r="R665" s="7"/>
      <c r="S665" s="7"/>
    </row>
    <row r="666">
      <c r="A666" s="7" t="str">
        <f t="shared" si="1"/>
        <v>Saurin, Julieta</v>
      </c>
      <c r="B666" s="7">
        <f>SUMIFS('bd caja'!$K$1:$K$1012,'bd caja'!$D$1:$D$1012,A666)</f>
        <v>0</v>
      </c>
      <c r="C666" s="19">
        <f>IFERROR(__xludf.DUMMYFUNCTION("""COMPUTED_VALUE"""),45531.750971180554)</f>
        <v>45531.75097</v>
      </c>
      <c r="D666" s="7" t="str">
        <f>IFERROR(__xludf.DUMMYFUNCTION("""COMPUTED_VALUE"""),"Saurin")</f>
        <v>Saurin</v>
      </c>
      <c r="E666" s="7" t="str">
        <f>IFERROR(__xludf.DUMMYFUNCTION("""COMPUTED_VALUE"""),"Julieta")</f>
        <v>Julieta</v>
      </c>
      <c r="F666" s="7" t="str">
        <f>IFERROR(__xludf.DUMMYFUNCTION("""COMPUTED_VALUE"""),"juulisaurin@gmail.com")</f>
        <v>juulisaurin@gmail.com</v>
      </c>
      <c r="G666" s="20">
        <f>IFERROR(__xludf.DUMMYFUNCTION("""COMPUTED_VALUE"""),32947.0)</f>
        <v>32947</v>
      </c>
      <c r="H666" s="7">
        <f>IFERROR(__xludf.DUMMYFUNCTION("""COMPUTED_VALUE"""),3.5077134E7)</f>
        <v>35077134</v>
      </c>
      <c r="I666" s="7">
        <f>IFERROR(__xludf.DUMMYFUNCTION("""COMPUTED_VALUE"""),3.512769374E9)</f>
        <v>3512769374</v>
      </c>
      <c r="J666" s="7" t="str">
        <f>IFERROR(__xludf.DUMMYFUNCTION("""COMPUTED_VALUE"""),"Recomendación")</f>
        <v>Recomendación</v>
      </c>
      <c r="K666" s="7" t="str">
        <f>IFERROR(__xludf.DUMMYFUNCTION("""COMPUTED_VALUE"""),"Obra social")</f>
        <v>Obra social</v>
      </c>
      <c r="L666" s="7"/>
      <c r="M666" s="7" t="str">
        <f>IFERROR(__xludf.DUMMYFUNCTION("""COMPUTED_VALUE"""),"No")</f>
        <v>No</v>
      </c>
      <c r="N666" s="7"/>
      <c r="O666" s="7"/>
      <c r="P666" s="7"/>
      <c r="Q666" s="7" t="str">
        <f>IFERROR(__xludf.DUMMYFUNCTION("""COMPUTED_VALUE"""),"SANCOR")</f>
        <v>SANCOR</v>
      </c>
      <c r="R666" s="7"/>
      <c r="S666" s="7"/>
    </row>
    <row r="667">
      <c r="A667" s="7" t="str">
        <f t="shared" si="1"/>
        <v>Quinteros, Faustino</v>
      </c>
      <c r="B667" s="7">
        <f>SUMIFS('bd caja'!$K$1:$K$1012,'bd caja'!$D$1:$D$1012,A667)</f>
        <v>0</v>
      </c>
      <c r="C667" s="19">
        <f>IFERROR(__xludf.DUMMYFUNCTION("""COMPUTED_VALUE"""),45531.754883773145)</f>
        <v>45531.75488</v>
      </c>
      <c r="D667" s="7" t="str">
        <f>IFERROR(__xludf.DUMMYFUNCTION("""COMPUTED_VALUE"""),"Quinteros")</f>
        <v>Quinteros</v>
      </c>
      <c r="E667" s="7" t="str">
        <f>IFERROR(__xludf.DUMMYFUNCTION("""COMPUTED_VALUE"""),"Faustino")</f>
        <v>Faustino</v>
      </c>
      <c r="F667" s="7" t="str">
        <f>IFERROR(__xludf.DUMMYFUNCTION("""COMPUTED_VALUE"""),"Quinterosismael@hotmail.com")</f>
        <v>Quinterosismael@hotmail.com</v>
      </c>
      <c r="G667" s="20">
        <f>IFERROR(__xludf.DUMMYFUNCTION("""COMPUTED_VALUE"""),41949.0)</f>
        <v>41949</v>
      </c>
      <c r="H667" s="7">
        <f>IFERROR(__xludf.DUMMYFUNCTION("""COMPUTED_VALUE"""),5.4019263E7)</f>
        <v>54019263</v>
      </c>
      <c r="I667" s="7">
        <f>IFERROR(__xludf.DUMMYFUNCTION("""COMPUTED_VALUE"""),3.512357187E9)</f>
        <v>3512357187</v>
      </c>
      <c r="J667" s="7" t="str">
        <f>IFERROR(__xludf.DUMMYFUNCTION("""COMPUTED_VALUE"""),"Recomendación")</f>
        <v>Recomendación</v>
      </c>
      <c r="K667" s="7" t="str">
        <f>IFERROR(__xludf.DUMMYFUNCTION("""COMPUTED_VALUE"""),"Obra social")</f>
        <v>Obra social</v>
      </c>
      <c r="L667" s="7"/>
      <c r="M667" s="7" t="str">
        <f>IFERROR(__xludf.DUMMYFUNCTION("""COMPUTED_VALUE"""),"Si")</f>
        <v>Si</v>
      </c>
      <c r="N667" s="7" t="str">
        <f>IFERROR(__xludf.DUMMYFUNCTION("""COMPUTED_VALUE"""),"Fútbol")</f>
        <v>Fútbol</v>
      </c>
      <c r="O667" s="7" t="str">
        <f>IFERROR(__xludf.DUMMYFUNCTION("""COMPUTED_VALUE"""),"3 a 5 veces por semana")</f>
        <v>3 a 5 veces por semana</v>
      </c>
      <c r="P667" s="7"/>
      <c r="Q667" s="7" t="str">
        <f>IFERROR(__xludf.DUMMYFUNCTION("""COMPUTED_VALUE"""),"Medife")</f>
        <v>Medife</v>
      </c>
      <c r="R667" s="7"/>
      <c r="S667" s="7"/>
    </row>
    <row r="668">
      <c r="A668" s="7" t="str">
        <f t="shared" si="1"/>
        <v>Moya, Estela Cristina</v>
      </c>
      <c r="B668" s="7">
        <f>SUMIFS('bd caja'!$K$1:$K$1012,'bd caja'!$D$1:$D$1012,A668)</f>
        <v>0</v>
      </c>
      <c r="C668" s="19">
        <f>IFERROR(__xludf.DUMMYFUNCTION("""COMPUTED_VALUE"""),45531.793527800924)</f>
        <v>45531.79353</v>
      </c>
      <c r="D668" s="7" t="str">
        <f>IFERROR(__xludf.DUMMYFUNCTION("""COMPUTED_VALUE"""),"Moya")</f>
        <v>Moya</v>
      </c>
      <c r="E668" s="7" t="str">
        <f>IFERROR(__xludf.DUMMYFUNCTION("""COMPUTED_VALUE"""),"Estela Cristina")</f>
        <v>Estela Cristina</v>
      </c>
      <c r="F668" s="7" t="str">
        <f>IFERROR(__xludf.DUMMYFUNCTION("""COMPUTED_VALUE"""),"estecrimo@gmail.com")</f>
        <v>estecrimo@gmail.com</v>
      </c>
      <c r="G668" s="20">
        <f>IFERROR(__xludf.DUMMYFUNCTION("""COMPUTED_VALUE"""),19995.0)</f>
        <v>19995</v>
      </c>
      <c r="H668" s="7">
        <f>IFERROR(__xludf.DUMMYFUNCTION("""COMPUTED_VALUE"""),1.1193775E7)</f>
        <v>11193775</v>
      </c>
      <c r="I668" s="7">
        <f>IFERROR(__xludf.DUMMYFUNCTION("""COMPUTED_VALUE"""),3.512277554E9)</f>
        <v>3512277554</v>
      </c>
      <c r="J668" s="7" t="str">
        <f>IFERROR(__xludf.DUMMYFUNCTION("""COMPUTED_VALUE"""),"Google")</f>
        <v>Google</v>
      </c>
      <c r="K668" s="7" t="str">
        <f>IFERROR(__xludf.DUMMYFUNCTION("""COMPUTED_VALUE"""),"Obra social")</f>
        <v>Obra social</v>
      </c>
      <c r="L668" s="7"/>
      <c r="M668" s="7" t="str">
        <f>IFERROR(__xludf.DUMMYFUNCTION("""COMPUTED_VALUE"""),"Si")</f>
        <v>Si</v>
      </c>
      <c r="N668" s="7" t="str">
        <f>IFERROR(__xludf.DUMMYFUNCTION("""COMPUTED_VALUE"""),"Baile")</f>
        <v>Baile</v>
      </c>
      <c r="O668" s="7" t="str">
        <f>IFERROR(__xludf.DUMMYFUNCTION("""COMPUTED_VALUE"""),"1 a 2 veces por semana")</f>
        <v>1 a 2 veces por semana</v>
      </c>
      <c r="P668" s="7"/>
      <c r="Q668" s="7" t="str">
        <f>IFERROR(__xludf.DUMMYFUNCTION("""COMPUTED_VALUE"""),"CPCE")</f>
        <v>CPCE</v>
      </c>
      <c r="R668" s="7"/>
      <c r="S668" s="7"/>
    </row>
    <row r="669">
      <c r="A669" s="7" t="str">
        <f t="shared" si="1"/>
        <v>Caparros, Sergio</v>
      </c>
      <c r="B669" s="7">
        <f>SUMIFS('bd caja'!$K$1:$K$1012,'bd caja'!$D$1:$D$1012,A669)</f>
        <v>0</v>
      </c>
      <c r="C669" s="19">
        <f>IFERROR(__xludf.DUMMYFUNCTION("""COMPUTED_VALUE"""),45531.79744592593)</f>
        <v>45531.79745</v>
      </c>
      <c r="D669" s="7" t="str">
        <f>IFERROR(__xludf.DUMMYFUNCTION("""COMPUTED_VALUE"""),"Caparros")</f>
        <v>Caparros</v>
      </c>
      <c r="E669" s="7" t="str">
        <f>IFERROR(__xludf.DUMMYFUNCTION("""COMPUTED_VALUE"""),"Sergio")</f>
        <v>Sergio</v>
      </c>
      <c r="F669" s="7"/>
      <c r="G669" s="20">
        <f>IFERROR(__xludf.DUMMYFUNCTION("""COMPUTED_VALUE"""),27742.0)</f>
        <v>27742</v>
      </c>
      <c r="H669" s="7">
        <f>IFERROR(__xludf.DUMMYFUNCTION("""COMPUTED_VALUE"""),531090.0)</f>
        <v>531090</v>
      </c>
      <c r="I669" s="7">
        <f>IFERROR(__xludf.DUMMYFUNCTION("""COMPUTED_VALUE"""),3.196322831E9)</f>
        <v>3196322831</v>
      </c>
      <c r="J669" s="7" t="str">
        <f>IFERROR(__xludf.DUMMYFUNCTION("""COMPUTED_VALUE"""),"Voy al gym Manantial")</f>
        <v>Voy al gym Manantial</v>
      </c>
      <c r="K669" s="7" t="str">
        <f>IFERROR(__xludf.DUMMYFUNCTION("""COMPUTED_VALUE"""),"Particular")</f>
        <v>Particular</v>
      </c>
      <c r="L669" s="7"/>
      <c r="M669" s="7" t="str">
        <f>IFERROR(__xludf.DUMMYFUNCTION("""COMPUTED_VALUE"""),"No")</f>
        <v>No</v>
      </c>
      <c r="N669" s="7"/>
      <c r="O669" s="7"/>
      <c r="P669" s="7"/>
      <c r="Q669" s="7"/>
      <c r="R669" s="7"/>
      <c r="S669" s="7"/>
    </row>
    <row r="670">
      <c r="A670" s="7" t="str">
        <f t="shared" si="1"/>
        <v>Maidana, Ana Laura</v>
      </c>
      <c r="B670" s="7">
        <f>SUMIFS('bd caja'!$K$1:$K$1012,'bd caja'!$D$1:$D$1012,A670)</f>
        <v>0</v>
      </c>
      <c r="C670" s="19">
        <f>IFERROR(__xludf.DUMMYFUNCTION("""COMPUTED_VALUE"""),45532.765570752315)</f>
        <v>45532.76557</v>
      </c>
      <c r="D670" s="7" t="str">
        <f>IFERROR(__xludf.DUMMYFUNCTION("""COMPUTED_VALUE"""),"Maidana")</f>
        <v>Maidana</v>
      </c>
      <c r="E670" s="7" t="str">
        <f>IFERROR(__xludf.DUMMYFUNCTION("""COMPUTED_VALUE"""),"Ana Laura")</f>
        <v>Ana Laura</v>
      </c>
      <c r="F670" s="7" t="str">
        <f>IFERROR(__xludf.DUMMYFUNCTION("""COMPUTED_VALUE"""),"lauramaidanasalta@gmail.com")</f>
        <v>lauramaidanasalta@gmail.com</v>
      </c>
      <c r="G670" s="20">
        <f>IFERROR(__xludf.DUMMYFUNCTION("""COMPUTED_VALUE"""),32813.0)</f>
        <v>32813</v>
      </c>
      <c r="H670" s="7">
        <f>IFERROR(__xludf.DUMMYFUNCTION("""COMPUTED_VALUE"""),3.4913524E7)</f>
        <v>34913524</v>
      </c>
      <c r="I670" s="7">
        <f>IFERROR(__xludf.DUMMYFUNCTION("""COMPUTED_VALUE"""),3.518097304E9)</f>
        <v>3518097304</v>
      </c>
      <c r="J670" s="7" t="str">
        <f>IFERROR(__xludf.DUMMYFUNCTION("""COMPUTED_VALUE"""),"Recomendación")</f>
        <v>Recomendación</v>
      </c>
      <c r="K670" s="7" t="str">
        <f>IFERROR(__xludf.DUMMYFUNCTION("""COMPUTED_VALUE"""),"Particular")</f>
        <v>Particular</v>
      </c>
      <c r="L670" s="7"/>
      <c r="M670" s="7" t="str">
        <f>IFERROR(__xludf.DUMMYFUNCTION("""COMPUTED_VALUE"""),"Si")</f>
        <v>Si</v>
      </c>
      <c r="N670" s="7" t="str">
        <f>IFERROR(__xludf.DUMMYFUNCTION("""COMPUTED_VALUE"""),"Gimnasio")</f>
        <v>Gimnasio</v>
      </c>
      <c r="O670" s="7" t="str">
        <f>IFERROR(__xludf.DUMMYFUNCTION("""COMPUTED_VALUE"""),"1 a 2 veces por semana")</f>
        <v>1 a 2 veces por semana</v>
      </c>
      <c r="P670" s="7"/>
      <c r="Q670" s="7"/>
      <c r="R670" s="7"/>
      <c r="S670" s="7"/>
    </row>
    <row r="671">
      <c r="A671" s="7" t="str">
        <f t="shared" si="1"/>
        <v>LESSIO, MARIO</v>
      </c>
      <c r="B671" s="7">
        <f>SUMIFS('bd caja'!$K$1:$K$1012,'bd caja'!$D$1:$D$1012,A671)</f>
        <v>0</v>
      </c>
      <c r="C671" s="19">
        <f>IFERROR(__xludf.DUMMYFUNCTION("""COMPUTED_VALUE"""),45533.4392194213)</f>
        <v>45533.43922</v>
      </c>
      <c r="D671" s="7" t="str">
        <f>IFERROR(__xludf.DUMMYFUNCTION("""COMPUTED_VALUE"""),"LESSIO")</f>
        <v>LESSIO</v>
      </c>
      <c r="E671" s="7" t="str">
        <f>IFERROR(__xludf.DUMMYFUNCTION("""COMPUTED_VALUE"""),"MARIO")</f>
        <v>MARIO</v>
      </c>
      <c r="F671" s="7" t="str">
        <f>IFERROR(__xludf.DUMMYFUNCTION("""COMPUTED_VALUE"""),"mario@lessio.com.ar")</f>
        <v>mario@lessio.com.ar</v>
      </c>
      <c r="G671" s="20">
        <f>IFERROR(__xludf.DUMMYFUNCTION("""COMPUTED_VALUE"""),22658.0)</f>
        <v>22658</v>
      </c>
      <c r="H671" s="7">
        <f>IFERROR(__xludf.DUMMYFUNCTION("""COMPUTED_VALUE"""),1.4798007E7)</f>
        <v>14798007</v>
      </c>
      <c r="I671" s="7">
        <f>IFERROR(__xludf.DUMMYFUNCTION("""COMPUTED_VALUE"""),3.516760355E9)</f>
        <v>3516760355</v>
      </c>
      <c r="J671" s="7" t="str">
        <f>IFERROR(__xludf.DUMMYFUNCTION("""COMPUTED_VALUE"""),"Voy al gym Manantial")</f>
        <v>Voy al gym Manantial</v>
      </c>
      <c r="K671" s="7" t="str">
        <f>IFERROR(__xludf.DUMMYFUNCTION("""COMPUTED_VALUE"""),"Particular")</f>
        <v>Particular</v>
      </c>
      <c r="L671" s="7"/>
      <c r="M671" s="7" t="str">
        <f>IFERROR(__xludf.DUMMYFUNCTION("""COMPUTED_VALUE"""),"Si")</f>
        <v>Si</v>
      </c>
      <c r="N671" s="7" t="str">
        <f>IFERROR(__xludf.DUMMYFUNCTION("""COMPUTED_VALUE"""),"Gimnasio")</f>
        <v>Gimnasio</v>
      </c>
      <c r="O671" s="7" t="str">
        <f>IFERROR(__xludf.DUMMYFUNCTION("""COMPUTED_VALUE"""),"3 a 5 veces por semana")</f>
        <v>3 a 5 veces por semana</v>
      </c>
      <c r="P671" s="7"/>
      <c r="Q671" s="7"/>
      <c r="R671" s="7"/>
      <c r="S671" s="7"/>
    </row>
    <row r="672">
      <c r="A672" s="7" t="str">
        <f t="shared" si="1"/>
        <v>Gomez, Gabriela</v>
      </c>
      <c r="B672" s="7">
        <f>SUMIFS('bd caja'!$K$1:$K$1012,'bd caja'!$D$1:$D$1012,A672)</f>
        <v>0</v>
      </c>
      <c r="C672" s="19">
        <f>IFERROR(__xludf.DUMMYFUNCTION("""COMPUTED_VALUE"""),45533.72147675926)</f>
        <v>45533.72148</v>
      </c>
      <c r="D672" s="7" t="str">
        <f>IFERROR(__xludf.DUMMYFUNCTION("""COMPUTED_VALUE"""),"Gomez")</f>
        <v>Gomez</v>
      </c>
      <c r="E672" s="7" t="str">
        <f>IFERROR(__xludf.DUMMYFUNCTION("""COMPUTED_VALUE"""),"Gabriela")</f>
        <v>Gabriela</v>
      </c>
      <c r="F672" s="7" t="str">
        <f>IFERROR(__xludf.DUMMYFUNCTION("""COMPUTED_VALUE"""),"gabygomeznoseda@hotmail.com")</f>
        <v>gabygomeznoseda@hotmail.com</v>
      </c>
      <c r="G672" s="20">
        <f>IFERROR(__xludf.DUMMYFUNCTION("""COMPUTED_VALUE"""),27750.0)</f>
        <v>27750</v>
      </c>
      <c r="H672" s="7">
        <f>IFERROR(__xludf.DUMMYFUNCTION("""COMPUTED_VALUE"""),2.4703868E7)</f>
        <v>24703868</v>
      </c>
      <c r="I672" s="7">
        <f>IFERROR(__xludf.DUMMYFUNCTION("""COMPUTED_VALUE"""),3.512407224E9)</f>
        <v>3512407224</v>
      </c>
      <c r="J672" s="7" t="str">
        <f>IFERROR(__xludf.DUMMYFUNCTION("""COMPUTED_VALUE"""),"Voy al gym Manantial")</f>
        <v>Voy al gym Manantial</v>
      </c>
      <c r="K672" s="7" t="str">
        <f>IFERROR(__xludf.DUMMYFUNCTION("""COMPUTED_VALUE"""),"Particular")</f>
        <v>Particular</v>
      </c>
      <c r="L672" s="7"/>
      <c r="M672" s="7" t="str">
        <f>IFERROR(__xludf.DUMMYFUNCTION("""COMPUTED_VALUE"""),"Si")</f>
        <v>Si</v>
      </c>
      <c r="N672" s="7" t="str">
        <f>IFERROR(__xludf.DUMMYFUNCTION("""COMPUTED_VALUE"""),"Gimnasio")</f>
        <v>Gimnasio</v>
      </c>
      <c r="O672" s="7" t="str">
        <f>IFERROR(__xludf.DUMMYFUNCTION("""COMPUTED_VALUE"""),"3 a 5 veces por semana")</f>
        <v>3 a 5 veces por semana</v>
      </c>
      <c r="P672" s="7"/>
      <c r="Q672" s="7"/>
      <c r="R672" s="7"/>
      <c r="S672" s="7"/>
    </row>
    <row r="673">
      <c r="A673" s="7" t="str">
        <f t="shared" si="1"/>
        <v>Bibiloni, Nicolas</v>
      </c>
      <c r="B673" s="7">
        <f>SUMIFS('bd caja'!$K$1:$K$1012,'bd caja'!$D$1:$D$1012,A673)</f>
        <v>0</v>
      </c>
      <c r="C673" s="19">
        <f>IFERROR(__xludf.DUMMYFUNCTION("""COMPUTED_VALUE"""),45533.73568722222)</f>
        <v>45533.73569</v>
      </c>
      <c r="D673" s="7" t="str">
        <f>IFERROR(__xludf.DUMMYFUNCTION("""COMPUTED_VALUE"""),"Bibiloni")</f>
        <v>Bibiloni</v>
      </c>
      <c r="E673" s="7" t="str">
        <f>IFERROR(__xludf.DUMMYFUNCTION("""COMPUTED_VALUE"""),"Nicolas")</f>
        <v>Nicolas</v>
      </c>
      <c r="F673" s="7" t="str">
        <f>IFERROR(__xludf.DUMMYFUNCTION("""COMPUTED_VALUE"""),"nicobibiloni2@gmail.com")</f>
        <v>nicobibiloni2@gmail.com</v>
      </c>
      <c r="G673" s="20">
        <f>IFERROR(__xludf.DUMMYFUNCTION("""COMPUTED_VALUE"""),38209.0)</f>
        <v>38209</v>
      </c>
      <c r="H673" s="7">
        <f>IFERROR(__xludf.DUMMYFUNCTION("""COMPUTED_VALUE"""),4.5692578E7)</f>
        <v>45692578</v>
      </c>
      <c r="I673" s="7">
        <f>IFERROR(__xludf.DUMMYFUNCTION("""COMPUTED_VALUE"""),3.513712696E9)</f>
        <v>3513712696</v>
      </c>
      <c r="J673" s="7" t="str">
        <f>IFERROR(__xludf.DUMMYFUNCTION("""COMPUTED_VALUE"""),"Voy al gym Manantial")</f>
        <v>Voy al gym Manantial</v>
      </c>
      <c r="K673" s="7" t="str">
        <f>IFERROR(__xludf.DUMMYFUNCTION("""COMPUTED_VALUE"""),"Obra social")</f>
        <v>Obra social</v>
      </c>
      <c r="L673" s="7"/>
      <c r="M673" s="7" t="str">
        <f>IFERROR(__xludf.DUMMYFUNCTION("""COMPUTED_VALUE"""),"Si")</f>
        <v>Si</v>
      </c>
      <c r="N673" s="7" t="str">
        <f>IFERROR(__xludf.DUMMYFUNCTION("""COMPUTED_VALUE"""),"Rugby")</f>
        <v>Rugby</v>
      </c>
      <c r="O673" s="7" t="str">
        <f>IFERROR(__xludf.DUMMYFUNCTION("""COMPUTED_VALUE"""),"3 a 5 veces por semana")</f>
        <v>3 a 5 veces por semana</v>
      </c>
      <c r="P673" s="7"/>
      <c r="Q673" s="7" t="str">
        <f>IFERROR(__xludf.DUMMYFUNCTION("""COMPUTED_VALUE"""),"PREVENCIÓN")</f>
        <v>PREVENCIÓN</v>
      </c>
      <c r="R673" s="7"/>
      <c r="S673" s="7"/>
    </row>
    <row r="674">
      <c r="A674" s="7" t="str">
        <f t="shared" si="1"/>
        <v>Di pauli, Emiliano</v>
      </c>
      <c r="B674" s="7">
        <f>SUMIFS('bd caja'!$K$1:$K$1012,'bd caja'!$D$1:$D$1012,A674)</f>
        <v>0</v>
      </c>
      <c r="C674" s="19">
        <f>IFERROR(__xludf.DUMMYFUNCTION("""COMPUTED_VALUE"""),45534.50041861111)</f>
        <v>45534.50042</v>
      </c>
      <c r="D674" s="7" t="str">
        <f>IFERROR(__xludf.DUMMYFUNCTION("""COMPUTED_VALUE"""),"Di pauli")</f>
        <v>Di pauli</v>
      </c>
      <c r="E674" s="7" t="str">
        <f>IFERROR(__xludf.DUMMYFUNCTION("""COMPUTED_VALUE"""),"Emiliano")</f>
        <v>Emiliano</v>
      </c>
      <c r="F674" s="7" t="str">
        <f>IFERROR(__xludf.DUMMYFUNCTION("""COMPUTED_VALUE"""),"emidipauli@gmail.com")</f>
        <v>emidipauli@gmail.com</v>
      </c>
      <c r="G674" s="20">
        <f>IFERROR(__xludf.DUMMYFUNCTION("""COMPUTED_VALUE"""),35461.0)</f>
        <v>35461</v>
      </c>
      <c r="H674" s="7">
        <f>IFERROR(__xludf.DUMMYFUNCTION("""COMPUTED_VALUE"""),4.0110017E7)</f>
        <v>40110017</v>
      </c>
      <c r="I674" s="7">
        <f>IFERROR(__xludf.DUMMYFUNCTION("""COMPUTED_VALUE"""),3.51676005E9)</f>
        <v>3516760050</v>
      </c>
      <c r="J674" s="7" t="str">
        <f>IFERROR(__xludf.DUMMYFUNCTION("""COMPUTED_VALUE"""),"Voy al gym Manantial")</f>
        <v>Voy al gym Manantial</v>
      </c>
      <c r="K674" s="7" t="str">
        <f>IFERROR(__xludf.DUMMYFUNCTION("""COMPUTED_VALUE"""),"Particular")</f>
        <v>Particular</v>
      </c>
      <c r="L674" s="7"/>
      <c r="M674" s="7" t="str">
        <f>IFERROR(__xludf.DUMMYFUNCTION("""COMPUTED_VALUE"""),"Si")</f>
        <v>Si</v>
      </c>
      <c r="N674" s="7" t="str">
        <f>IFERROR(__xludf.DUMMYFUNCTION("""COMPUTED_VALUE"""),"Gimnasio")</f>
        <v>Gimnasio</v>
      </c>
      <c r="O674" s="7" t="str">
        <f>IFERROR(__xludf.DUMMYFUNCTION("""COMPUTED_VALUE"""),"6 a 7 veces por semana")</f>
        <v>6 a 7 veces por semana</v>
      </c>
      <c r="P674" s="7"/>
      <c r="Q674" s="7"/>
      <c r="R674" s="7"/>
      <c r="S674" s="7"/>
    </row>
    <row r="675">
      <c r="A675" s="7" t="str">
        <f t="shared" si="1"/>
        <v>Lopez, Martin</v>
      </c>
      <c r="B675" s="7">
        <f>SUMIFS('bd caja'!$K$1:$K$1012,'bd caja'!$D$1:$D$1012,A675)</f>
        <v>0</v>
      </c>
      <c r="C675" s="19">
        <f>IFERROR(__xludf.DUMMYFUNCTION("""COMPUTED_VALUE"""),45534.6819000463)</f>
        <v>45534.6819</v>
      </c>
      <c r="D675" s="7" t="str">
        <f>IFERROR(__xludf.DUMMYFUNCTION("""COMPUTED_VALUE"""),"Lopez")</f>
        <v>Lopez</v>
      </c>
      <c r="E675" s="7" t="str">
        <f>IFERROR(__xludf.DUMMYFUNCTION("""COMPUTED_VALUE"""),"Martin")</f>
        <v>Martin</v>
      </c>
      <c r="F675" s="7"/>
      <c r="G675" s="20">
        <f>IFERROR(__xludf.DUMMYFUNCTION("""COMPUTED_VALUE"""),32304.0)</f>
        <v>32304</v>
      </c>
      <c r="H675" s="7">
        <f>IFERROR(__xludf.DUMMYFUNCTION("""COMPUTED_VALUE"""),3.3752591E7)</f>
        <v>33752591</v>
      </c>
      <c r="I675" s="7">
        <f>IFERROR(__xludf.DUMMYFUNCTION("""COMPUTED_VALUE"""),3.512014854E9)</f>
        <v>3512014854</v>
      </c>
      <c r="J675" s="7" t="str">
        <f>IFERROR(__xludf.DUMMYFUNCTION("""COMPUTED_VALUE"""),"Cartilla Obra Social")</f>
        <v>Cartilla Obra Social</v>
      </c>
      <c r="K675" s="7" t="str">
        <f>IFERROR(__xludf.DUMMYFUNCTION("""COMPUTED_VALUE"""),"Obra social")</f>
        <v>Obra social</v>
      </c>
      <c r="L675" s="7"/>
      <c r="M675" s="7" t="str">
        <f>IFERROR(__xludf.DUMMYFUNCTION("""COMPUTED_VALUE"""),"Si")</f>
        <v>Si</v>
      </c>
      <c r="N675" s="7" t="str">
        <f>IFERROR(__xludf.DUMMYFUNCTION("""COMPUTED_VALUE"""),"Fútbol")</f>
        <v>Fútbol</v>
      </c>
      <c r="O675" s="7" t="str">
        <f>IFERROR(__xludf.DUMMYFUNCTION("""COMPUTED_VALUE"""),"1 a 2 veces por semana")</f>
        <v>1 a 2 veces por semana</v>
      </c>
      <c r="P675" s="7"/>
      <c r="Q675" s="7" t="str">
        <f>IFERROR(__xludf.DUMMYFUNCTION("""COMPUTED_VALUE"""),"Boreal")</f>
        <v>Boreal</v>
      </c>
      <c r="R675" s="7"/>
      <c r="S675" s="7"/>
    </row>
    <row r="676">
      <c r="A676" s="7" t="str">
        <f t="shared" si="1"/>
        <v>Bonadeo, Hernán</v>
      </c>
      <c r="B676" s="7">
        <f>SUMIFS('bd caja'!$K$1:$K$1012,'bd caja'!$D$1:$D$1012,A676)</f>
        <v>0</v>
      </c>
      <c r="C676" s="19">
        <f>IFERROR(__xludf.DUMMYFUNCTION("""COMPUTED_VALUE"""),45539.52360247685)</f>
        <v>45539.5236</v>
      </c>
      <c r="D676" s="7" t="str">
        <f>IFERROR(__xludf.DUMMYFUNCTION("""COMPUTED_VALUE"""),"Bonadeo")</f>
        <v>Bonadeo</v>
      </c>
      <c r="E676" s="7" t="str">
        <f>IFERROR(__xludf.DUMMYFUNCTION("""COMPUTED_VALUE"""),"Hernán")</f>
        <v>Hernán</v>
      </c>
      <c r="F676" s="7" t="str">
        <f>IFERROR(__xludf.DUMMYFUNCTION("""COMPUTED_VALUE"""),"hernanbonadeo@gmail.com")</f>
        <v>hernanbonadeo@gmail.com</v>
      </c>
      <c r="G676" s="20">
        <f>IFERROR(__xludf.DUMMYFUNCTION("""COMPUTED_VALUE"""),33793.0)</f>
        <v>33793</v>
      </c>
      <c r="H676" s="7">
        <f>IFERROR(__xludf.DUMMYFUNCTION("""COMPUTED_VALUE"""),3.6357538E7)</f>
        <v>36357538</v>
      </c>
      <c r="I676" s="7">
        <f>IFERROR(__xludf.DUMMYFUNCTION("""COMPUTED_VALUE"""),3.513983401E9)</f>
        <v>3513983401</v>
      </c>
      <c r="J676" s="7" t="str">
        <f>IFERROR(__xludf.DUMMYFUNCTION("""COMPUTED_VALUE"""),"Google")</f>
        <v>Google</v>
      </c>
      <c r="K676" s="7" t="str">
        <f>IFERROR(__xludf.DUMMYFUNCTION("""COMPUTED_VALUE"""),"Particular")</f>
        <v>Particular</v>
      </c>
      <c r="L676" s="7"/>
      <c r="M676" s="7" t="str">
        <f>IFERROR(__xludf.DUMMYFUNCTION("""COMPUTED_VALUE"""),"Si")</f>
        <v>Si</v>
      </c>
      <c r="N676" s="7" t="str">
        <f>IFERROR(__xludf.DUMMYFUNCTION("""COMPUTED_VALUE"""),"Básquet")</f>
        <v>Básquet</v>
      </c>
      <c r="O676" s="7" t="str">
        <f>IFERROR(__xludf.DUMMYFUNCTION("""COMPUTED_VALUE"""),"1 a 2 veces por semana")</f>
        <v>1 a 2 veces por semana</v>
      </c>
      <c r="P676" s="7"/>
      <c r="Q676" s="7"/>
      <c r="R676" s="7"/>
      <c r="S676" s="7"/>
    </row>
    <row r="677">
      <c r="A677" s="7" t="str">
        <f t="shared" si="1"/>
        <v>Della Siega, Ruben</v>
      </c>
      <c r="B677" s="7">
        <f>SUMIFS('bd caja'!$K$1:$K$1012,'bd caja'!$D$1:$D$1012,A677)</f>
        <v>0</v>
      </c>
      <c r="C677" s="19">
        <f>IFERROR(__xludf.DUMMYFUNCTION("""COMPUTED_VALUE"""),45539.73048236111)</f>
        <v>45539.73048</v>
      </c>
      <c r="D677" s="7" t="str">
        <f>IFERROR(__xludf.DUMMYFUNCTION("""COMPUTED_VALUE"""),"Della Siega")</f>
        <v>Della Siega</v>
      </c>
      <c r="E677" s="7" t="str">
        <f>IFERROR(__xludf.DUMMYFUNCTION("""COMPUTED_VALUE"""),"Ruben")</f>
        <v>Ruben</v>
      </c>
      <c r="F677" s="7" t="str">
        <f>IFERROR(__xludf.DUMMYFUNCTION("""COMPUTED_VALUE"""),"rubendellasiega57@gmail.com")</f>
        <v>rubendellasiega57@gmail.com</v>
      </c>
      <c r="G677" s="20">
        <f>IFERROR(__xludf.DUMMYFUNCTION("""COMPUTED_VALUE"""),20997.0)</f>
        <v>20997</v>
      </c>
      <c r="H677" s="7">
        <f>IFERROR(__xludf.DUMMYFUNCTION("""COMPUTED_VALUE"""),1.3151933E7)</f>
        <v>13151933</v>
      </c>
      <c r="I677" s="7">
        <f>IFERROR(__xludf.DUMMYFUNCTION("""COMPUTED_VALUE"""),3.518045274E9)</f>
        <v>3518045274</v>
      </c>
      <c r="J677" s="7" t="str">
        <f>IFERROR(__xludf.DUMMYFUNCTION("""COMPUTED_VALUE"""),"Recomendación")</f>
        <v>Recomendación</v>
      </c>
      <c r="K677" s="7" t="str">
        <f>IFERROR(__xludf.DUMMYFUNCTION("""COMPUTED_VALUE"""),"Obra social")</f>
        <v>Obra social</v>
      </c>
      <c r="L677" s="7"/>
      <c r="M677" s="7" t="str">
        <f>IFERROR(__xludf.DUMMYFUNCTION("""COMPUTED_VALUE"""),"Si")</f>
        <v>Si</v>
      </c>
      <c r="N677" s="7" t="str">
        <f>IFERROR(__xludf.DUMMYFUNCTION("""COMPUTED_VALUE"""),"Caminata")</f>
        <v>Caminata</v>
      </c>
      <c r="O677" s="7" t="str">
        <f>IFERROR(__xludf.DUMMYFUNCTION("""COMPUTED_VALUE"""),"3 a 5 veces por semana")</f>
        <v>3 a 5 veces por semana</v>
      </c>
      <c r="P677" s="7"/>
      <c r="Q677" s="7" t="str">
        <f>IFERROR(__xludf.DUMMYFUNCTION("""COMPUTED_VALUE"""),"APROSS")</f>
        <v>APROSS</v>
      </c>
      <c r="R677" s="7"/>
      <c r="S677" s="7"/>
    </row>
    <row r="678">
      <c r="A678" s="7" t="str">
        <f t="shared" si="1"/>
        <v>Bongiorno , Virginia </v>
      </c>
      <c r="B678" s="7">
        <f>SUMIFS('bd caja'!$K$1:$K$1012,'bd caja'!$D$1:$D$1012,A678)</f>
        <v>0</v>
      </c>
      <c r="C678" s="19">
        <f>IFERROR(__xludf.DUMMYFUNCTION("""COMPUTED_VALUE"""),45540.38745116898)</f>
        <v>45540.38745</v>
      </c>
      <c r="D678" s="7" t="str">
        <f>IFERROR(__xludf.DUMMYFUNCTION("""COMPUTED_VALUE"""),"Bongiorno ")</f>
        <v>Bongiorno </v>
      </c>
      <c r="E678" s="7" t="str">
        <f>IFERROR(__xludf.DUMMYFUNCTION("""COMPUTED_VALUE"""),"Virginia ")</f>
        <v>Virginia </v>
      </c>
      <c r="F678" s="7" t="str">
        <f>IFERROR(__xludf.DUMMYFUNCTION("""COMPUTED_VALUE"""),"Vir.bongiorno@hotmail.com")</f>
        <v>Vir.bongiorno@hotmail.com</v>
      </c>
      <c r="G678" s="20">
        <f>IFERROR(__xludf.DUMMYFUNCTION("""COMPUTED_VALUE"""),33690.0)</f>
        <v>33690</v>
      </c>
      <c r="H678" s="7">
        <f>IFERROR(__xludf.DUMMYFUNCTION("""COMPUTED_VALUE"""),3.623327E7)</f>
        <v>36233270</v>
      </c>
      <c r="I678" s="7">
        <f>IFERROR(__xludf.DUMMYFUNCTION("""COMPUTED_VALUE"""),3.515398344E9)</f>
        <v>3515398344</v>
      </c>
      <c r="J678" s="7" t="str">
        <f>IFERROR(__xludf.DUMMYFUNCTION("""COMPUTED_VALUE"""),"Google")</f>
        <v>Google</v>
      </c>
      <c r="K678" s="7" t="str">
        <f>IFERROR(__xludf.DUMMYFUNCTION("""COMPUTED_VALUE"""),"Particular")</f>
        <v>Particular</v>
      </c>
      <c r="L678" s="7"/>
      <c r="M678" s="7" t="str">
        <f>IFERROR(__xludf.DUMMYFUNCTION("""COMPUTED_VALUE"""),"Si")</f>
        <v>Si</v>
      </c>
      <c r="N678" s="7" t="str">
        <f>IFERROR(__xludf.DUMMYFUNCTION("""COMPUTED_VALUE"""),"Acrobacias aereas")</f>
        <v>Acrobacias aereas</v>
      </c>
      <c r="O678" s="7" t="str">
        <f>IFERROR(__xludf.DUMMYFUNCTION("""COMPUTED_VALUE"""),"3 a 5 veces por semana")</f>
        <v>3 a 5 veces por semana</v>
      </c>
      <c r="P678" s="7"/>
      <c r="Q678" s="7"/>
      <c r="R678" s="7"/>
      <c r="S678" s="7"/>
    </row>
    <row r="679">
      <c r="A679" s="7" t="str">
        <f t="shared" si="1"/>
        <v>Izquierdo, Isabel</v>
      </c>
      <c r="B679" s="7">
        <f>SUMIFS('bd caja'!$K$1:$K$1012,'bd caja'!$D$1:$D$1012,A679)</f>
        <v>0</v>
      </c>
      <c r="C679" s="19">
        <f>IFERROR(__xludf.DUMMYFUNCTION("""COMPUTED_VALUE"""),45541.70386513889)</f>
        <v>45541.70387</v>
      </c>
      <c r="D679" s="7" t="str">
        <f>IFERROR(__xludf.DUMMYFUNCTION("""COMPUTED_VALUE"""),"Izquierdo")</f>
        <v>Izquierdo</v>
      </c>
      <c r="E679" s="7" t="str">
        <f>IFERROR(__xludf.DUMMYFUNCTION("""COMPUTED_VALUE"""),"Isabel")</f>
        <v>Isabel</v>
      </c>
      <c r="F679" s="7" t="str">
        <f>IFERROR(__xludf.DUMMYFUNCTION("""COMPUTED_VALUE"""),"miizquierdo59@gmail.com")</f>
        <v>miizquierdo59@gmail.com</v>
      </c>
      <c r="G679" s="20">
        <f>IFERROR(__xludf.DUMMYFUNCTION("""COMPUTED_VALUE"""),21587.0)</f>
        <v>21587</v>
      </c>
      <c r="H679" s="7">
        <f>IFERROR(__xludf.DUMMYFUNCTION("""COMPUTED_VALUE"""),1.315128E7)</f>
        <v>13151280</v>
      </c>
      <c r="I679" s="7">
        <f>IFERROR(__xludf.DUMMYFUNCTION("""COMPUTED_VALUE"""),3.516621433E9)</f>
        <v>3516621433</v>
      </c>
      <c r="J679" s="7" t="str">
        <f>IFERROR(__xludf.DUMMYFUNCTION("""COMPUTED_VALUE"""),"Recomendación")</f>
        <v>Recomendación</v>
      </c>
      <c r="K679" s="7" t="str">
        <f>IFERROR(__xludf.DUMMYFUNCTION("""COMPUTED_VALUE"""),"Obra social")</f>
        <v>Obra social</v>
      </c>
      <c r="L679" s="7"/>
      <c r="M679" s="7" t="str">
        <f>IFERROR(__xludf.DUMMYFUNCTION("""COMPUTED_VALUE"""),"Si")</f>
        <v>Si</v>
      </c>
      <c r="N679" s="7" t="str">
        <f>IFERROR(__xludf.DUMMYFUNCTION("""COMPUTED_VALUE"""),"Baila Flamenco")</f>
        <v>Baila Flamenco</v>
      </c>
      <c r="O679" s="7" t="str">
        <f>IFERROR(__xludf.DUMMYFUNCTION("""COMPUTED_VALUE"""),"1 a 2 veces por semana")</f>
        <v>1 a 2 veces por semana</v>
      </c>
      <c r="P679" s="7"/>
      <c r="Q679" s="7" t="str">
        <f>IFERROR(__xludf.DUMMYFUNCTION("""COMPUTED_VALUE"""),"DASPU")</f>
        <v>DASPU</v>
      </c>
      <c r="R679" s="7"/>
      <c r="S679" s="7"/>
    </row>
    <row r="680">
      <c r="A680" s="7" t="str">
        <f t="shared" si="1"/>
        <v>Peñaloza, Marta</v>
      </c>
      <c r="B680" s="7">
        <f>SUMIFS('bd caja'!$K$1:$K$1012,'bd caja'!$D$1:$D$1012,A680)</f>
        <v>0</v>
      </c>
      <c r="C680" s="19">
        <f>IFERROR(__xludf.DUMMYFUNCTION("""COMPUTED_VALUE"""),45541.79054199074)</f>
        <v>45541.79054</v>
      </c>
      <c r="D680" s="7" t="str">
        <f>IFERROR(__xludf.DUMMYFUNCTION("""COMPUTED_VALUE"""),"Peñaloza")</f>
        <v>Peñaloza</v>
      </c>
      <c r="E680" s="7" t="str">
        <f>IFERROR(__xludf.DUMMYFUNCTION("""COMPUTED_VALUE"""),"Marta")</f>
        <v>Marta</v>
      </c>
      <c r="F680" s="7"/>
      <c r="G680" s="20">
        <f>IFERROR(__xludf.DUMMYFUNCTION("""COMPUTED_VALUE"""),18282.0)</f>
        <v>18282</v>
      </c>
      <c r="H680" s="7">
        <f>IFERROR(__xludf.DUMMYFUNCTION("""COMPUTED_VALUE"""),6029207.0)</f>
        <v>6029207</v>
      </c>
      <c r="I680" s="7">
        <f>IFERROR(__xludf.DUMMYFUNCTION("""COMPUTED_VALUE"""),3.513278792E9)</f>
        <v>3513278792</v>
      </c>
      <c r="J680" s="7" t="str">
        <f>IFERROR(__xludf.DUMMYFUNCTION("""COMPUTED_VALUE"""),"Google")</f>
        <v>Google</v>
      </c>
      <c r="K680" s="7" t="str">
        <f>IFERROR(__xludf.DUMMYFUNCTION("""COMPUTED_VALUE"""),"Obra social")</f>
        <v>Obra social</v>
      </c>
      <c r="L680" s="7"/>
      <c r="M680" s="7" t="str">
        <f>IFERROR(__xludf.DUMMYFUNCTION("""COMPUTED_VALUE"""),"No")</f>
        <v>No</v>
      </c>
      <c r="N680" s="7"/>
      <c r="O680" s="7"/>
      <c r="P680" s="7"/>
      <c r="Q680" s="7" t="str">
        <f>IFERROR(__xludf.DUMMYFUNCTION("""COMPUTED_VALUE"""),"Medife")</f>
        <v>Medife</v>
      </c>
      <c r="R680" s="7"/>
      <c r="S680" s="7"/>
    </row>
    <row r="681">
      <c r="A681" s="7" t="str">
        <f t="shared" si="1"/>
        <v>Arias, Andres</v>
      </c>
      <c r="B681" s="7">
        <f>SUMIFS('bd caja'!$K$1:$K$1012,'bd caja'!$D$1:$D$1012,A681)</f>
        <v>0</v>
      </c>
      <c r="C681" s="19">
        <f>IFERROR(__xludf.DUMMYFUNCTION("""COMPUTED_VALUE"""),45542.63209688658)</f>
        <v>45542.6321</v>
      </c>
      <c r="D681" s="7" t="str">
        <f>IFERROR(__xludf.DUMMYFUNCTION("""COMPUTED_VALUE"""),"Arias")</f>
        <v>Arias</v>
      </c>
      <c r="E681" s="7" t="str">
        <f>IFERROR(__xludf.DUMMYFUNCTION("""COMPUTED_VALUE"""),"Andres")</f>
        <v>Andres</v>
      </c>
      <c r="F681" s="7" t="str">
        <f>IFERROR(__xludf.DUMMYFUNCTION("""COMPUTED_VALUE"""),"Andresarias04@icloud.com")</f>
        <v>Andresarias04@icloud.com</v>
      </c>
      <c r="G681" s="20">
        <f>IFERROR(__xludf.DUMMYFUNCTION("""COMPUTED_VALUE"""),35312.0)</f>
        <v>35312</v>
      </c>
      <c r="H681" s="7">
        <f>IFERROR(__xludf.DUMMYFUNCTION("""COMPUTED_VALUE"""),3.969227E7)</f>
        <v>39692270</v>
      </c>
      <c r="I681" s="7">
        <f>IFERROR(__xludf.DUMMYFUNCTION("""COMPUTED_VALUE"""),3.513507322E9)</f>
        <v>3513507322</v>
      </c>
      <c r="J681" s="7" t="str">
        <f>IFERROR(__xludf.DUMMYFUNCTION("""COMPUTED_VALUE"""),"Recomendación")</f>
        <v>Recomendación</v>
      </c>
      <c r="K681" s="7" t="str">
        <f>IFERROR(__xludf.DUMMYFUNCTION("""COMPUTED_VALUE"""),"Particular")</f>
        <v>Particular</v>
      </c>
      <c r="L681" s="7"/>
      <c r="M681" s="7" t="str">
        <f>IFERROR(__xludf.DUMMYFUNCTION("""COMPUTED_VALUE"""),"Si")</f>
        <v>Si</v>
      </c>
      <c r="N681" s="7" t="str">
        <f>IFERROR(__xludf.DUMMYFUNCTION("""COMPUTED_VALUE"""),"Fútbol")</f>
        <v>Fútbol</v>
      </c>
      <c r="O681" s="7" t="str">
        <f>IFERROR(__xludf.DUMMYFUNCTION("""COMPUTED_VALUE"""),"3 a 5 veces por semana")</f>
        <v>3 a 5 veces por semana</v>
      </c>
      <c r="P681" s="7"/>
      <c r="Q681" s="7"/>
      <c r="R681" s="7"/>
      <c r="S681" s="7"/>
    </row>
    <row r="682">
      <c r="A682" s="7" t="str">
        <f t="shared" si="1"/>
        <v>Guerrini, Marcelo</v>
      </c>
      <c r="B682" s="7">
        <f>SUMIFS('bd caja'!$K$1:$K$1012,'bd caja'!$D$1:$D$1012,A682)</f>
        <v>0</v>
      </c>
      <c r="C682" s="19">
        <f>IFERROR(__xludf.DUMMYFUNCTION("""COMPUTED_VALUE"""),45544.41133855324)</f>
        <v>45544.41134</v>
      </c>
      <c r="D682" s="7" t="str">
        <f>IFERROR(__xludf.DUMMYFUNCTION("""COMPUTED_VALUE"""),"Guerrini")</f>
        <v>Guerrini</v>
      </c>
      <c r="E682" s="7" t="str">
        <f>IFERROR(__xludf.DUMMYFUNCTION("""COMPUTED_VALUE"""),"Marcelo")</f>
        <v>Marcelo</v>
      </c>
      <c r="F682" s="7" t="str">
        <f>IFERROR(__xludf.DUMMYFUNCTION("""COMPUTED_VALUE"""),"marceguerrini@gmail.com")</f>
        <v>marceguerrini@gmail.com</v>
      </c>
      <c r="G682" s="20">
        <f>IFERROR(__xludf.DUMMYFUNCTION("""COMPUTED_VALUE"""),45544.0)</f>
        <v>45544</v>
      </c>
      <c r="H682" s="7">
        <f>IFERROR(__xludf.DUMMYFUNCTION("""COMPUTED_VALUE"""),2.7959232E7)</f>
        <v>27959232</v>
      </c>
      <c r="I682" s="7">
        <f>IFERROR(__xludf.DUMMYFUNCTION("""COMPUTED_VALUE"""),3.51212626E9)</f>
        <v>3512126260</v>
      </c>
      <c r="J682" s="7" t="str">
        <f>IFERROR(__xludf.DUMMYFUNCTION("""COMPUTED_VALUE"""),"Google")</f>
        <v>Google</v>
      </c>
      <c r="K682" s="7" t="str">
        <f>IFERROR(__xludf.DUMMYFUNCTION("""COMPUTED_VALUE"""),"Particular")</f>
        <v>Particular</v>
      </c>
      <c r="L682" s="7"/>
      <c r="M682" s="7" t="str">
        <f>IFERROR(__xludf.DUMMYFUNCTION("""COMPUTED_VALUE"""),"Si")</f>
        <v>Si</v>
      </c>
      <c r="N682" s="7" t="str">
        <f>IFERROR(__xludf.DUMMYFUNCTION("""COMPUTED_VALUE"""),"Running")</f>
        <v>Running</v>
      </c>
      <c r="O682" s="7" t="str">
        <f>IFERROR(__xludf.DUMMYFUNCTION("""COMPUTED_VALUE"""),"1 a 2 veces por semana")</f>
        <v>1 a 2 veces por semana</v>
      </c>
      <c r="P682" s="7"/>
      <c r="Q682" s="7"/>
      <c r="R682" s="7"/>
      <c r="S682" s="7"/>
    </row>
    <row r="683">
      <c r="A683" s="7" t="str">
        <f t="shared" si="1"/>
        <v>Malbrán, Jorge</v>
      </c>
      <c r="B683" s="7">
        <f>SUMIFS('bd caja'!$K$1:$K$1012,'bd caja'!$D$1:$D$1012,A683)</f>
        <v>0</v>
      </c>
      <c r="C683" s="19">
        <f>IFERROR(__xludf.DUMMYFUNCTION("""COMPUTED_VALUE"""),45544.66913875)</f>
        <v>45544.66914</v>
      </c>
      <c r="D683" s="7" t="str">
        <f>IFERROR(__xludf.DUMMYFUNCTION("""COMPUTED_VALUE"""),"Malbrán")</f>
        <v>Malbrán</v>
      </c>
      <c r="E683" s="7" t="str">
        <f>IFERROR(__xludf.DUMMYFUNCTION("""COMPUTED_VALUE"""),"Jorge")</f>
        <v>Jorge</v>
      </c>
      <c r="F683" s="7" t="str">
        <f>IFERROR(__xludf.DUMMYFUNCTION("""COMPUTED_VALUE"""),"jrmalbran@hotmai.com")</f>
        <v>jrmalbran@hotmai.com</v>
      </c>
      <c r="G683" s="20">
        <f>IFERROR(__xludf.DUMMYFUNCTION("""COMPUTED_VALUE"""),28410.0)</f>
        <v>28410</v>
      </c>
      <c r="H683" s="7">
        <f>IFERROR(__xludf.DUMMYFUNCTION("""COMPUTED_VALUE"""),2.6178031E7)</f>
        <v>26178031</v>
      </c>
      <c r="I683" s="7">
        <f>IFERROR(__xludf.DUMMYFUNCTION("""COMPUTED_VALUE"""),3.535656072E9)</f>
        <v>3535656072</v>
      </c>
      <c r="J683" s="7" t="str">
        <f>IFERROR(__xludf.DUMMYFUNCTION("""COMPUTED_VALUE"""),"Recomendación")</f>
        <v>Recomendación</v>
      </c>
      <c r="K683" s="7" t="str">
        <f>IFERROR(__xludf.DUMMYFUNCTION("""COMPUTED_VALUE"""),"Obra social")</f>
        <v>Obra social</v>
      </c>
      <c r="L683" s="7"/>
      <c r="M683" s="7" t="str">
        <f>IFERROR(__xludf.DUMMYFUNCTION("""COMPUTED_VALUE"""),"Si")</f>
        <v>Si</v>
      </c>
      <c r="N683" s="7" t="str">
        <f>IFERROR(__xludf.DUMMYFUNCTION("""COMPUTED_VALUE"""),"Padel, caminata.")</f>
        <v>Padel, caminata.</v>
      </c>
      <c r="O683" s="7" t="str">
        <f>IFERROR(__xludf.DUMMYFUNCTION("""COMPUTED_VALUE"""),"1 a 2 veces por semana")</f>
        <v>1 a 2 veces por semana</v>
      </c>
      <c r="P683" s="7"/>
      <c r="Q683" s="7" t="str">
        <f>IFERROR(__xludf.DUMMYFUNCTION("""COMPUTED_VALUE"""),"SANCOR")</f>
        <v>SANCOR</v>
      </c>
      <c r="R683" s="7"/>
      <c r="S683" s="7"/>
    </row>
    <row r="684">
      <c r="A684" s="7" t="str">
        <f t="shared" si="1"/>
        <v>Rojas, Marco</v>
      </c>
      <c r="B684" s="7">
        <f>SUMIFS('bd caja'!$K$1:$K$1012,'bd caja'!$D$1:$D$1012,A684)</f>
        <v>0</v>
      </c>
      <c r="C684" s="19">
        <f>IFERROR(__xludf.DUMMYFUNCTION("""COMPUTED_VALUE"""),45544.689350416666)</f>
        <v>45544.68935</v>
      </c>
      <c r="D684" s="7" t="str">
        <f>IFERROR(__xludf.DUMMYFUNCTION("""COMPUTED_VALUE"""),"Rojas")</f>
        <v>Rojas</v>
      </c>
      <c r="E684" s="7" t="str">
        <f>IFERROR(__xludf.DUMMYFUNCTION("""COMPUTED_VALUE"""),"Marco")</f>
        <v>Marco</v>
      </c>
      <c r="F684" s="7"/>
      <c r="G684" s="20">
        <f>IFERROR(__xludf.DUMMYFUNCTION("""COMPUTED_VALUE"""),33753.0)</f>
        <v>33753</v>
      </c>
      <c r="H684" s="7">
        <f>IFERROR(__xludf.DUMMYFUNCTION("""COMPUTED_VALUE"""),3.6431204E7)</f>
        <v>36431204</v>
      </c>
      <c r="I684" s="7">
        <f>IFERROR(__xludf.DUMMYFUNCTION("""COMPUTED_VALUE"""),3.517066754E9)</f>
        <v>3517066754</v>
      </c>
      <c r="J684" s="7" t="str">
        <f>IFERROR(__xludf.DUMMYFUNCTION("""COMPUTED_VALUE"""),"Cartilla Obra Social")</f>
        <v>Cartilla Obra Social</v>
      </c>
      <c r="K684" s="7" t="str">
        <f>IFERROR(__xludf.DUMMYFUNCTION("""COMPUTED_VALUE"""),"Obra social")</f>
        <v>Obra social</v>
      </c>
      <c r="L684" s="7"/>
      <c r="M684" s="7" t="str">
        <f>IFERROR(__xludf.DUMMYFUNCTION("""COMPUTED_VALUE"""),"Si")</f>
        <v>Si</v>
      </c>
      <c r="N684" s="7" t="str">
        <f>IFERROR(__xludf.DUMMYFUNCTION("""COMPUTED_VALUE"""),"Fútbol")</f>
        <v>Fútbol</v>
      </c>
      <c r="O684" s="7" t="str">
        <f>IFERROR(__xludf.DUMMYFUNCTION("""COMPUTED_VALUE"""),"1 a 2 veces por semana")</f>
        <v>1 a 2 veces por semana</v>
      </c>
      <c r="P684" s="7"/>
      <c r="Q684" s="7" t="str">
        <f>IFERROR(__xludf.DUMMYFUNCTION("""COMPUTED_VALUE"""),"SANCOR")</f>
        <v>SANCOR</v>
      </c>
      <c r="R684" s="7"/>
      <c r="S684" s="7"/>
    </row>
    <row r="685">
      <c r="A685" s="7" t="str">
        <f t="shared" si="1"/>
        <v>Maurino, Julio</v>
      </c>
      <c r="B685" s="7">
        <f>SUMIFS('bd caja'!$K$1:$K$1012,'bd caja'!$D$1:$D$1012,A685)</f>
        <v>0</v>
      </c>
      <c r="C685" s="19">
        <f>IFERROR(__xludf.DUMMYFUNCTION("""COMPUTED_VALUE"""),45544.771295439816)</f>
        <v>45544.7713</v>
      </c>
      <c r="D685" s="7" t="str">
        <f>IFERROR(__xludf.DUMMYFUNCTION("""COMPUTED_VALUE"""),"Maurino")</f>
        <v>Maurino</v>
      </c>
      <c r="E685" s="7" t="str">
        <f>IFERROR(__xludf.DUMMYFUNCTION("""COMPUTED_VALUE"""),"Julio")</f>
        <v>Julio</v>
      </c>
      <c r="F685" s="7" t="str">
        <f>IFERROR(__xludf.DUMMYFUNCTION("""COMPUTED_VALUE"""),"julio@sgv.com.ar")</f>
        <v>julio@sgv.com.ar</v>
      </c>
      <c r="G685" s="20">
        <f>IFERROR(__xludf.DUMMYFUNCTION("""COMPUTED_VALUE"""),28128.0)</f>
        <v>28128</v>
      </c>
      <c r="H685" s="7">
        <f>IFERROR(__xludf.DUMMYFUNCTION("""COMPUTED_VALUE"""),2.5247502E7)</f>
        <v>25247502</v>
      </c>
      <c r="I685" s="7">
        <f>IFERROR(__xludf.DUMMYFUNCTION("""COMPUTED_VALUE"""),3.515553532E9)</f>
        <v>3515553532</v>
      </c>
      <c r="J685" s="7" t="str">
        <f>IFERROR(__xludf.DUMMYFUNCTION("""COMPUTED_VALUE"""),"Google")</f>
        <v>Google</v>
      </c>
      <c r="K685" s="7" t="str">
        <f>IFERROR(__xludf.DUMMYFUNCTION("""COMPUTED_VALUE"""),"Obra social")</f>
        <v>Obra social</v>
      </c>
      <c r="L685" s="7"/>
      <c r="M685" s="7" t="str">
        <f>IFERROR(__xludf.DUMMYFUNCTION("""COMPUTED_VALUE"""),"Si")</f>
        <v>Si</v>
      </c>
      <c r="N685" s="7" t="str">
        <f>IFERROR(__xludf.DUMMYFUNCTION("""COMPUTED_VALUE"""),"Fútbol")</f>
        <v>Fútbol</v>
      </c>
      <c r="O685" s="7" t="str">
        <f>IFERROR(__xludf.DUMMYFUNCTION("""COMPUTED_VALUE"""),"1 a 2 veces por semana")</f>
        <v>1 a 2 veces por semana</v>
      </c>
      <c r="P685" s="7"/>
      <c r="Q685" s="7" t="str">
        <f>IFERROR(__xludf.DUMMYFUNCTION("""COMPUTED_VALUE"""),"CPCE")</f>
        <v>CPCE</v>
      </c>
      <c r="R685" s="7"/>
      <c r="S685" s="7"/>
    </row>
    <row r="686">
      <c r="A686" s="7" t="str">
        <f t="shared" si="1"/>
        <v>Guevara , Mariela </v>
      </c>
      <c r="B686" s="7">
        <f>SUMIFS('bd caja'!$K$1:$K$1012,'bd caja'!$D$1:$D$1012,A686)</f>
        <v>0</v>
      </c>
      <c r="C686" s="19">
        <f>IFERROR(__xludf.DUMMYFUNCTION("""COMPUTED_VALUE"""),45545.46656008102)</f>
        <v>45545.46656</v>
      </c>
      <c r="D686" s="7" t="str">
        <f>IFERROR(__xludf.DUMMYFUNCTION("""COMPUTED_VALUE"""),"Guevara ")</f>
        <v>Guevara </v>
      </c>
      <c r="E686" s="7" t="str">
        <f>IFERROR(__xludf.DUMMYFUNCTION("""COMPUTED_VALUE"""),"Mariela ")</f>
        <v>Mariela </v>
      </c>
      <c r="F686" s="7" t="str">
        <f>IFERROR(__xludf.DUMMYFUNCTION("""COMPUTED_VALUE"""),"msguevara2@gmail.com")</f>
        <v>msguevara2@gmail.com</v>
      </c>
      <c r="G686" s="20">
        <f>IFERROR(__xludf.DUMMYFUNCTION("""COMPUTED_VALUE"""),30035.0)</f>
        <v>30035</v>
      </c>
      <c r="H686" s="7">
        <f>IFERROR(__xludf.DUMMYFUNCTION("""COMPUTED_VALUE"""),2.9256259E7)</f>
        <v>29256259</v>
      </c>
      <c r="I686" s="7">
        <f>IFERROR(__xludf.DUMMYFUNCTION("""COMPUTED_VALUE"""),3.512080135E9)</f>
        <v>3512080135</v>
      </c>
      <c r="J686" s="7" t="str">
        <f>IFERROR(__xludf.DUMMYFUNCTION("""COMPUTED_VALUE"""),"Google")</f>
        <v>Google</v>
      </c>
      <c r="K686" s="7" t="str">
        <f>IFERROR(__xludf.DUMMYFUNCTION("""COMPUTED_VALUE"""),"Particular")</f>
        <v>Particular</v>
      </c>
      <c r="L686" s="7"/>
      <c r="M686" s="7" t="str">
        <f>IFERROR(__xludf.DUMMYFUNCTION("""COMPUTED_VALUE"""),"No")</f>
        <v>No</v>
      </c>
      <c r="N686" s="7"/>
      <c r="O686" s="7"/>
      <c r="P686" s="7"/>
      <c r="Q686" s="7"/>
      <c r="R686" s="7"/>
      <c r="S686" s="7"/>
    </row>
    <row r="687">
      <c r="A687" s="7" t="str">
        <f t="shared" si="1"/>
        <v>Pereyra, Pablo</v>
      </c>
      <c r="B687" s="7">
        <f>SUMIFS('bd caja'!$K$1:$K$1012,'bd caja'!$D$1:$D$1012,A687)</f>
        <v>0</v>
      </c>
      <c r="C687" s="19">
        <f>IFERROR(__xludf.DUMMYFUNCTION("""COMPUTED_VALUE"""),45545.70997085648)</f>
        <v>45545.70997</v>
      </c>
      <c r="D687" s="7" t="str">
        <f>IFERROR(__xludf.DUMMYFUNCTION("""COMPUTED_VALUE"""),"Pereyra")</f>
        <v>Pereyra</v>
      </c>
      <c r="E687" s="7" t="str">
        <f>IFERROR(__xludf.DUMMYFUNCTION("""COMPUTED_VALUE"""),"Pablo")</f>
        <v>Pablo</v>
      </c>
      <c r="F687" s="7" t="str">
        <f>IFERROR(__xludf.DUMMYFUNCTION("""COMPUTED_VALUE"""),"pablodanielpereyra11@gmail.com")</f>
        <v>pablodanielpereyra11@gmail.com</v>
      </c>
      <c r="G687" s="20">
        <f>IFERROR(__xludf.DUMMYFUNCTION("""COMPUTED_VALUE"""),30743.0)</f>
        <v>30743</v>
      </c>
      <c r="H687" s="7">
        <f>IFERROR(__xludf.DUMMYFUNCTION("""COMPUTED_VALUE"""),3.0845183E7)</f>
        <v>30845183</v>
      </c>
      <c r="I687" s="7">
        <f>IFERROR(__xludf.DUMMYFUNCTION("""COMPUTED_VALUE"""),3.516532594E9)</f>
        <v>3516532594</v>
      </c>
      <c r="J687" s="7" t="str">
        <f>IFERROR(__xludf.DUMMYFUNCTION("""COMPUTED_VALUE"""),"Voy al gym Manantial")</f>
        <v>Voy al gym Manantial</v>
      </c>
      <c r="K687" s="7" t="str">
        <f>IFERROR(__xludf.DUMMYFUNCTION("""COMPUTED_VALUE"""),"Obra social")</f>
        <v>Obra social</v>
      </c>
      <c r="L687" s="7"/>
      <c r="M687" s="7" t="str">
        <f>IFERROR(__xludf.DUMMYFUNCTION("""COMPUTED_VALUE"""),"Si")</f>
        <v>Si</v>
      </c>
      <c r="N687" s="7" t="str">
        <f>IFERROR(__xludf.DUMMYFUNCTION("""COMPUTED_VALUE"""),"Fútbol")</f>
        <v>Fútbol</v>
      </c>
      <c r="O687" s="7" t="str">
        <f>IFERROR(__xludf.DUMMYFUNCTION("""COMPUTED_VALUE"""),"3 a 5 veces por semana")</f>
        <v>3 a 5 veces por semana</v>
      </c>
      <c r="P687" s="7"/>
      <c r="Q687" s="7" t="str">
        <f>IFERROR(__xludf.DUMMYFUNCTION("""COMPUTED_VALUE"""),"APROSS")</f>
        <v>APROSS</v>
      </c>
      <c r="R687" s="7"/>
      <c r="S687" s="7"/>
    </row>
    <row r="688">
      <c r="A688" s="7" t="str">
        <f t="shared" si="1"/>
        <v>Hadad, Diego Ignacio</v>
      </c>
      <c r="B688" s="7">
        <f>SUMIFS('bd caja'!$K$1:$K$1012,'bd caja'!$D$1:$D$1012,A688)</f>
        <v>0</v>
      </c>
      <c r="C688" s="19">
        <f>IFERROR(__xludf.DUMMYFUNCTION("""COMPUTED_VALUE"""),45545.764309108796)</f>
        <v>45545.76431</v>
      </c>
      <c r="D688" s="7" t="str">
        <f>IFERROR(__xludf.DUMMYFUNCTION("""COMPUTED_VALUE"""),"Hadad")</f>
        <v>Hadad</v>
      </c>
      <c r="E688" s="7" t="str">
        <f>IFERROR(__xludf.DUMMYFUNCTION("""COMPUTED_VALUE"""),"Diego Ignacio")</f>
        <v>Diego Ignacio</v>
      </c>
      <c r="F688" s="7" t="str">
        <f>IFERROR(__xludf.DUMMYFUNCTION("""COMPUTED_VALUE"""),"diegohadad10@gmail.com")</f>
        <v>diegohadad10@gmail.com</v>
      </c>
      <c r="G688" s="20">
        <f>IFERROR(__xludf.DUMMYFUNCTION("""COMPUTED_VALUE"""),30927.0)</f>
        <v>30927</v>
      </c>
      <c r="H688" s="7">
        <f>IFERROR(__xludf.DUMMYFUNCTION("""COMPUTED_VALUE"""),3.1056122E7)</f>
        <v>31056122</v>
      </c>
      <c r="I688" s="7">
        <f>IFERROR(__xludf.DUMMYFUNCTION("""COMPUTED_VALUE"""),3.512458679E9)</f>
        <v>3512458679</v>
      </c>
      <c r="J688" s="7" t="str">
        <f>IFERROR(__xludf.DUMMYFUNCTION("""COMPUTED_VALUE"""),"Recomendación")</f>
        <v>Recomendación</v>
      </c>
      <c r="K688" s="7" t="str">
        <f>IFERROR(__xludf.DUMMYFUNCTION("""COMPUTED_VALUE"""),"Obra social")</f>
        <v>Obra social</v>
      </c>
      <c r="L688" s="7"/>
      <c r="M688" s="7" t="str">
        <f>IFERROR(__xludf.DUMMYFUNCTION("""COMPUTED_VALUE"""),"Si")</f>
        <v>Si</v>
      </c>
      <c r="N688" s="7" t="str">
        <f>IFERROR(__xludf.DUMMYFUNCTION("""COMPUTED_VALUE"""),"Fútbol")</f>
        <v>Fútbol</v>
      </c>
      <c r="O688" s="7" t="str">
        <f>IFERROR(__xludf.DUMMYFUNCTION("""COMPUTED_VALUE"""),"3 a 5 veces por semana")</f>
        <v>3 a 5 veces por semana</v>
      </c>
      <c r="P688" s="7"/>
      <c r="Q688" s="7" t="str">
        <f>IFERROR(__xludf.DUMMYFUNCTION("""COMPUTED_VALUE"""),"DASPU")</f>
        <v>DASPU</v>
      </c>
      <c r="R688" s="7"/>
      <c r="S688" s="7"/>
    </row>
    <row r="689">
      <c r="A689" s="7" t="str">
        <f t="shared" si="1"/>
        <v>Paez, Sol</v>
      </c>
      <c r="B689" s="7">
        <f>SUMIFS('bd caja'!$K$1:$K$1012,'bd caja'!$D$1:$D$1012,A689)</f>
        <v>0</v>
      </c>
      <c r="C689" s="19">
        <f>IFERROR(__xludf.DUMMYFUNCTION("""COMPUTED_VALUE"""),45545.791105069446)</f>
        <v>45545.79111</v>
      </c>
      <c r="D689" s="7" t="str">
        <f>IFERROR(__xludf.DUMMYFUNCTION("""COMPUTED_VALUE"""),"Paez")</f>
        <v>Paez</v>
      </c>
      <c r="E689" s="7" t="str">
        <f>IFERROR(__xludf.DUMMYFUNCTION("""COMPUTED_VALUE"""),"Sol")</f>
        <v>Sol</v>
      </c>
      <c r="F689" s="7" t="str">
        <f>IFERROR(__xludf.DUMMYFUNCTION("""COMPUTED_VALUE"""),"solpaez.17@gmail.com")</f>
        <v>solpaez.17@gmail.com</v>
      </c>
      <c r="G689" s="20">
        <f>IFERROR(__xludf.DUMMYFUNCTION("""COMPUTED_VALUE"""),29399.0)</f>
        <v>29399</v>
      </c>
      <c r="H689" s="7">
        <f>IFERROR(__xludf.DUMMYFUNCTION("""COMPUTED_VALUE"""),2.8268901E7)</f>
        <v>28268901</v>
      </c>
      <c r="I689" s="7">
        <f>IFERROR(__xludf.DUMMYFUNCTION("""COMPUTED_VALUE"""),3.515945432E9)</f>
        <v>3515945432</v>
      </c>
      <c r="J689" s="7" t="str">
        <f>IFERROR(__xludf.DUMMYFUNCTION("""COMPUTED_VALUE"""),"Voy al gym Manantial")</f>
        <v>Voy al gym Manantial</v>
      </c>
      <c r="K689" s="7" t="str">
        <f>IFERROR(__xludf.DUMMYFUNCTION("""COMPUTED_VALUE"""),"Particular")</f>
        <v>Particular</v>
      </c>
      <c r="L689" s="7"/>
      <c r="M689" s="7" t="str">
        <f>IFERROR(__xludf.DUMMYFUNCTION("""COMPUTED_VALUE"""),"Si")</f>
        <v>Si</v>
      </c>
      <c r="N689" s="7" t="str">
        <f>IFERROR(__xludf.DUMMYFUNCTION("""COMPUTED_VALUE"""),"Gimnasio")</f>
        <v>Gimnasio</v>
      </c>
      <c r="O689" s="7" t="str">
        <f>IFERROR(__xludf.DUMMYFUNCTION("""COMPUTED_VALUE"""),"1 a 2 veces por semana")</f>
        <v>1 a 2 veces por semana</v>
      </c>
      <c r="P689" s="7"/>
      <c r="Q689" s="7"/>
      <c r="R689" s="7"/>
      <c r="S689" s="7"/>
    </row>
    <row r="690">
      <c r="A690" s="7" t="str">
        <f t="shared" si="1"/>
        <v>Diaz, María Mauricia</v>
      </c>
      <c r="B690" s="7">
        <f>SUMIFS('bd caja'!$K$1:$K$1012,'bd caja'!$D$1:$D$1012,A690)</f>
        <v>0</v>
      </c>
      <c r="C690" s="19">
        <f>IFERROR(__xludf.DUMMYFUNCTION("""COMPUTED_VALUE"""),45546.474677488426)</f>
        <v>45546.47468</v>
      </c>
      <c r="D690" s="7" t="str">
        <f>IFERROR(__xludf.DUMMYFUNCTION("""COMPUTED_VALUE"""),"Diaz")</f>
        <v>Diaz</v>
      </c>
      <c r="E690" s="7" t="str">
        <f>IFERROR(__xludf.DUMMYFUNCTION("""COMPUTED_VALUE"""),"María Mauricia")</f>
        <v>María Mauricia</v>
      </c>
      <c r="F690" s="7" t="str">
        <f>IFERROR(__xludf.DUMMYFUNCTION("""COMPUTED_VALUE"""),"Norma.perez71@hotmail.com")</f>
        <v>Norma.perez71@hotmail.com</v>
      </c>
      <c r="G690" s="20">
        <f>IFERROR(__xludf.DUMMYFUNCTION("""COMPUTED_VALUE"""),16337.0)</f>
        <v>16337</v>
      </c>
      <c r="H690" s="7">
        <f>IFERROR(__xludf.DUMMYFUNCTION("""COMPUTED_VALUE"""),4891051.0)</f>
        <v>4891051</v>
      </c>
      <c r="I690" s="7">
        <f>IFERROR(__xludf.DUMMYFUNCTION("""COMPUTED_VALUE"""),2.932467444E9)</f>
        <v>2932467444</v>
      </c>
      <c r="J690" s="7" t="str">
        <f>IFERROR(__xludf.DUMMYFUNCTION("""COMPUTED_VALUE"""),"Google")</f>
        <v>Google</v>
      </c>
      <c r="K690" s="7" t="str">
        <f>IFERROR(__xludf.DUMMYFUNCTION("""COMPUTED_VALUE"""),"Particular")</f>
        <v>Particular</v>
      </c>
      <c r="L690" s="7"/>
      <c r="M690" s="7" t="str">
        <f>IFERROR(__xludf.DUMMYFUNCTION("""COMPUTED_VALUE"""),"No")</f>
        <v>No</v>
      </c>
      <c r="N690" s="7"/>
      <c r="O690" s="7"/>
      <c r="P690" s="7"/>
      <c r="Q690" s="7"/>
      <c r="R690" s="7"/>
      <c r="S690" s="7"/>
    </row>
    <row r="691">
      <c r="A691" s="7" t="str">
        <f t="shared" si="1"/>
        <v>Mateos, Sebastian</v>
      </c>
      <c r="B691" s="7">
        <f>SUMIFS('bd caja'!$K$1:$K$1012,'bd caja'!$D$1:$D$1012,A691)</f>
        <v>0</v>
      </c>
      <c r="C691" s="19">
        <f>IFERROR(__xludf.DUMMYFUNCTION("""COMPUTED_VALUE"""),45546.57110476852)</f>
        <v>45546.5711</v>
      </c>
      <c r="D691" s="7" t="str">
        <f>IFERROR(__xludf.DUMMYFUNCTION("""COMPUTED_VALUE"""),"Mateos")</f>
        <v>Mateos</v>
      </c>
      <c r="E691" s="7" t="str">
        <f>IFERROR(__xludf.DUMMYFUNCTION("""COMPUTED_VALUE"""),"Sebastian")</f>
        <v>Sebastian</v>
      </c>
      <c r="F691" s="7" t="str">
        <f>IFERROR(__xludf.DUMMYFUNCTION("""COMPUTED_VALUE"""),"sebitamateos1080@gmail.com")</f>
        <v>sebitamateos1080@gmail.com</v>
      </c>
      <c r="G691" s="20">
        <f>IFERROR(__xludf.DUMMYFUNCTION("""COMPUTED_VALUE"""),36034.0)</f>
        <v>36034</v>
      </c>
      <c r="H691" s="7">
        <f>IFERROR(__xludf.DUMMYFUNCTION("""COMPUTED_VALUE"""),4.1482756E7)</f>
        <v>41482756</v>
      </c>
      <c r="I691" s="7">
        <f>IFERROR(__xludf.DUMMYFUNCTION("""COMPUTED_VALUE"""),3.517441185E9)</f>
        <v>3517441185</v>
      </c>
      <c r="J691" s="7" t="str">
        <f>IFERROR(__xludf.DUMMYFUNCTION("""COMPUTED_VALUE"""),"Instagram")</f>
        <v>Instagram</v>
      </c>
      <c r="K691" s="7" t="str">
        <f>IFERROR(__xludf.DUMMYFUNCTION("""COMPUTED_VALUE"""),"Obra social")</f>
        <v>Obra social</v>
      </c>
      <c r="L691" s="7"/>
      <c r="M691" s="7" t="str">
        <f>IFERROR(__xludf.DUMMYFUNCTION("""COMPUTED_VALUE"""),"Si")</f>
        <v>Si</v>
      </c>
      <c r="N691" s="7"/>
      <c r="O691" s="7" t="str">
        <f>IFERROR(__xludf.DUMMYFUNCTION("""COMPUTED_VALUE"""),"1 a 2 veces por semana")</f>
        <v>1 a 2 veces por semana</v>
      </c>
      <c r="P691" s="7"/>
      <c r="Q691" s="7" t="str">
        <f>IFERROR(__xludf.DUMMYFUNCTION("""COMPUTED_VALUE"""),"SANCOR")</f>
        <v>SANCOR</v>
      </c>
      <c r="R691" s="7"/>
      <c r="S691" s="7"/>
    </row>
    <row r="692">
      <c r="A692" s="7" t="str">
        <f t="shared" si="1"/>
        <v>Bustos , Raquel elizabeth </v>
      </c>
      <c r="B692" s="7">
        <f>SUMIFS('bd caja'!$K$1:$K$1012,'bd caja'!$D$1:$D$1012,A692)</f>
        <v>0</v>
      </c>
      <c r="C692" s="19">
        <f>IFERROR(__xludf.DUMMYFUNCTION("""COMPUTED_VALUE"""),45547.58937111111)</f>
        <v>45547.58937</v>
      </c>
      <c r="D692" s="7" t="str">
        <f>IFERROR(__xludf.DUMMYFUNCTION("""COMPUTED_VALUE"""),"Bustos ")</f>
        <v>Bustos </v>
      </c>
      <c r="E692" s="7" t="str">
        <f>IFERROR(__xludf.DUMMYFUNCTION("""COMPUTED_VALUE"""),"Raquel elizabeth ")</f>
        <v>Raquel elizabeth </v>
      </c>
      <c r="F692" s="7" t="str">
        <f>IFERROR(__xludf.DUMMYFUNCTION("""COMPUTED_VALUE"""),"kelybus.1983@gmail.com")</f>
        <v>kelybus.1983@gmail.com</v>
      </c>
      <c r="G692" s="20">
        <f>IFERROR(__xludf.DUMMYFUNCTION("""COMPUTED_VALUE"""),30322.0)</f>
        <v>30322</v>
      </c>
      <c r="H692" s="7">
        <f>IFERROR(__xludf.DUMMYFUNCTION("""COMPUTED_VALUE"""),2.9965182E7)</f>
        <v>29965182</v>
      </c>
      <c r="I692" s="7">
        <f>IFERROR(__xludf.DUMMYFUNCTION("""COMPUTED_VALUE"""),3.515463038E9)</f>
        <v>3515463038</v>
      </c>
      <c r="J692" s="7" t="str">
        <f>IFERROR(__xludf.DUMMYFUNCTION("""COMPUTED_VALUE"""),"Cartilla Obra Social")</f>
        <v>Cartilla Obra Social</v>
      </c>
      <c r="K692" s="7" t="str">
        <f>IFERROR(__xludf.DUMMYFUNCTION("""COMPUTED_VALUE"""),"Obra social")</f>
        <v>Obra social</v>
      </c>
      <c r="L692" s="7"/>
      <c r="M692" s="7" t="str">
        <f>IFERROR(__xludf.DUMMYFUNCTION("""COMPUTED_VALUE"""),"No")</f>
        <v>No</v>
      </c>
      <c r="N692" s="7"/>
      <c r="O692" s="7"/>
      <c r="P692" s="7"/>
      <c r="Q692" s="7" t="str">
        <f>IFERROR(__xludf.DUMMYFUNCTION("""COMPUTED_VALUE"""),"Boreal")</f>
        <v>Boreal</v>
      </c>
      <c r="R692" s="7"/>
      <c r="S692" s="7"/>
    </row>
    <row r="693">
      <c r="A693" s="7" t="str">
        <f t="shared" si="1"/>
        <v>Garcia, Graciela del Rosario</v>
      </c>
      <c r="B693" s="7">
        <f>SUMIFS('bd caja'!$K$1:$K$1012,'bd caja'!$D$1:$D$1012,A693)</f>
        <v>0</v>
      </c>
      <c r="C693" s="19">
        <f>IFERROR(__xludf.DUMMYFUNCTION("""COMPUTED_VALUE"""),45547.62265252315)</f>
        <v>45547.62265</v>
      </c>
      <c r="D693" s="7" t="str">
        <f>IFERROR(__xludf.DUMMYFUNCTION("""COMPUTED_VALUE"""),"Garcia")</f>
        <v>Garcia</v>
      </c>
      <c r="E693" s="7" t="str">
        <f>IFERROR(__xludf.DUMMYFUNCTION("""COMPUTED_VALUE"""),"Graciela del Rosario")</f>
        <v>Graciela del Rosario</v>
      </c>
      <c r="F693" s="7" t="str">
        <f>IFERROR(__xludf.DUMMYFUNCTION("""COMPUTED_VALUE"""),"MARIAFERNANDA_PERALTA@HOTMAIL.COM")</f>
        <v>MARIAFERNANDA_PERALTA@HOTMAIL.COM</v>
      </c>
      <c r="G693" s="20">
        <f>IFERROR(__xludf.DUMMYFUNCTION("""COMPUTED_VALUE"""),14697.0)</f>
        <v>14697</v>
      </c>
      <c r="H693" s="7">
        <f>IFERROR(__xludf.DUMMYFUNCTION("""COMPUTED_VALUE"""),6342154.0)</f>
        <v>6342154</v>
      </c>
      <c r="I693" s="7">
        <f>IFERROR(__xludf.DUMMYFUNCTION("""COMPUTED_VALUE"""),3.515055014E9)</f>
        <v>3515055014</v>
      </c>
      <c r="J693" s="7" t="str">
        <f>IFERROR(__xludf.DUMMYFUNCTION("""COMPUTED_VALUE"""),"Google")</f>
        <v>Google</v>
      </c>
      <c r="K693" s="7" t="str">
        <f>IFERROR(__xludf.DUMMYFUNCTION("""COMPUTED_VALUE"""),"Particular")</f>
        <v>Particular</v>
      </c>
      <c r="L693" s="7"/>
      <c r="M693" s="7" t="str">
        <f>IFERROR(__xludf.DUMMYFUNCTION("""COMPUTED_VALUE"""),"No")</f>
        <v>No</v>
      </c>
      <c r="N693" s="7"/>
      <c r="O693" s="7"/>
      <c r="P693" s="7"/>
      <c r="Q693" s="7"/>
      <c r="R693" s="7"/>
      <c r="S693" s="7"/>
    </row>
    <row r="694">
      <c r="A694" s="7" t="str">
        <f t="shared" si="1"/>
        <v>Otero, Rodrigo</v>
      </c>
      <c r="B694" s="7">
        <f>SUMIFS('bd caja'!$K$1:$K$1012,'bd caja'!$D$1:$D$1012,A694)</f>
        <v>0</v>
      </c>
      <c r="C694" s="19">
        <f>IFERROR(__xludf.DUMMYFUNCTION("""COMPUTED_VALUE"""),45547.77953017361)</f>
        <v>45547.77953</v>
      </c>
      <c r="D694" s="7" t="str">
        <f>IFERROR(__xludf.DUMMYFUNCTION("""COMPUTED_VALUE"""),"Otero")</f>
        <v>Otero</v>
      </c>
      <c r="E694" s="7" t="str">
        <f>IFERROR(__xludf.DUMMYFUNCTION("""COMPUTED_VALUE"""),"Rodrigo")</f>
        <v>Rodrigo</v>
      </c>
      <c r="F694" s="7" t="str">
        <f>IFERROR(__xludf.DUMMYFUNCTION("""COMPUTED_VALUE"""),"oterodrigo37@gmail.com")</f>
        <v>oterodrigo37@gmail.com</v>
      </c>
      <c r="G694" s="20">
        <f>IFERROR(__xludf.DUMMYFUNCTION("""COMPUTED_VALUE"""),34144.0)</f>
        <v>34144</v>
      </c>
      <c r="H694" s="7">
        <f>IFERROR(__xludf.DUMMYFUNCTION("""COMPUTED_VALUE"""),3.7733553E7)</f>
        <v>37733553</v>
      </c>
      <c r="I694" s="7">
        <f>IFERROR(__xludf.DUMMYFUNCTION("""COMPUTED_VALUE"""),3.51357811E9)</f>
        <v>3513578110</v>
      </c>
      <c r="J694" s="7" t="str">
        <f>IFERROR(__xludf.DUMMYFUNCTION("""COMPUTED_VALUE"""),"Recomendación")</f>
        <v>Recomendación</v>
      </c>
      <c r="K694" s="7" t="str">
        <f>IFERROR(__xludf.DUMMYFUNCTION("""COMPUTED_VALUE"""),"Particular")</f>
        <v>Particular</v>
      </c>
      <c r="L694" s="7"/>
      <c r="M694" s="7" t="str">
        <f>IFERROR(__xludf.DUMMYFUNCTION("""COMPUTED_VALUE"""),"No")</f>
        <v>No</v>
      </c>
      <c r="N694" s="7"/>
      <c r="O694" s="7"/>
      <c r="P694" s="7"/>
      <c r="Q694" s="7"/>
      <c r="R694" s="7"/>
      <c r="S694" s="7"/>
    </row>
    <row r="695">
      <c r="A695" s="7" t="str">
        <f t="shared" si="1"/>
        <v>Ricci, Bautista</v>
      </c>
      <c r="B695" s="7">
        <f>SUMIFS('bd caja'!$K$1:$K$1012,'bd caja'!$D$1:$D$1012,A695)</f>
        <v>0</v>
      </c>
      <c r="C695" s="19">
        <f>IFERROR(__xludf.DUMMYFUNCTION("""COMPUTED_VALUE"""),45547.842180266205)</f>
        <v>45547.84218</v>
      </c>
      <c r="D695" s="7" t="str">
        <f>IFERROR(__xludf.DUMMYFUNCTION("""COMPUTED_VALUE"""),"Ricci")</f>
        <v>Ricci</v>
      </c>
      <c r="E695" s="7" t="str">
        <f>IFERROR(__xludf.DUMMYFUNCTION("""COMPUTED_VALUE"""),"Bautista")</f>
        <v>Bautista</v>
      </c>
      <c r="F695" s="7" t="str">
        <f>IFERROR(__xludf.DUMMYFUNCTION("""COMPUTED_VALUE"""),"ricci_pablo@hotmail.com")</f>
        <v>ricci_pablo@hotmail.com</v>
      </c>
      <c r="G695" s="20">
        <f>IFERROR(__xludf.DUMMYFUNCTION("""COMPUTED_VALUE"""),40377.0)</f>
        <v>40377</v>
      </c>
      <c r="H695" s="7">
        <f>IFERROR(__xludf.DUMMYFUNCTION("""COMPUTED_VALUE"""),5.032931E7)</f>
        <v>50329310</v>
      </c>
      <c r="I695" s="7">
        <f>IFERROR(__xludf.DUMMYFUNCTION("""COMPUTED_VALUE"""),3.515595669E9)</f>
        <v>3515595669</v>
      </c>
      <c r="J695" s="7" t="str">
        <f>IFERROR(__xludf.DUMMYFUNCTION("""COMPUTED_VALUE"""),"Recomendación")</f>
        <v>Recomendación</v>
      </c>
      <c r="K695" s="7" t="str">
        <f>IFERROR(__xludf.DUMMYFUNCTION("""COMPUTED_VALUE"""),"Obra social")</f>
        <v>Obra social</v>
      </c>
      <c r="L695" s="7"/>
      <c r="M695" s="7" t="str">
        <f>IFERROR(__xludf.DUMMYFUNCTION("""COMPUTED_VALUE"""),"Si")</f>
        <v>Si</v>
      </c>
      <c r="N695" s="7" t="str">
        <f>IFERROR(__xludf.DUMMYFUNCTION("""COMPUTED_VALUE"""),"Futball y Gimnasio")</f>
        <v>Futball y Gimnasio</v>
      </c>
      <c r="O695" s="7" t="str">
        <f>IFERROR(__xludf.DUMMYFUNCTION("""COMPUTED_VALUE"""),"3 a 5 veces por semana")</f>
        <v>3 a 5 veces por semana</v>
      </c>
      <c r="P695" s="7"/>
      <c r="Q695" s="7" t="str">
        <f>IFERROR(__xludf.DUMMYFUNCTION("""COMPUTED_VALUE"""),"APROSS")</f>
        <v>APROSS</v>
      </c>
      <c r="R695" s="7"/>
      <c r="S695" s="7"/>
    </row>
    <row r="696">
      <c r="A696" s="7" t="str">
        <f t="shared" si="1"/>
        <v>Sampayo, Alejandro</v>
      </c>
      <c r="B696" s="7">
        <f>SUMIFS('bd caja'!$K$1:$K$1012,'bd caja'!$D$1:$D$1012,A696)</f>
        <v>0</v>
      </c>
      <c r="C696" s="19">
        <f>IFERROR(__xludf.DUMMYFUNCTION("""COMPUTED_VALUE"""),45548.39318396991)</f>
        <v>45548.39318</v>
      </c>
      <c r="D696" s="7" t="str">
        <f>IFERROR(__xludf.DUMMYFUNCTION("""COMPUTED_VALUE"""),"Sampayo")</f>
        <v>Sampayo</v>
      </c>
      <c r="E696" s="7" t="str">
        <f>IFERROR(__xludf.DUMMYFUNCTION("""COMPUTED_VALUE"""),"Alejandro")</f>
        <v>Alejandro</v>
      </c>
      <c r="F696" s="7" t="str">
        <f>IFERROR(__xludf.DUMMYFUNCTION("""COMPUTED_VALUE"""),"Alesampayo.srf@gmail.com")</f>
        <v>Alesampayo.srf@gmail.com</v>
      </c>
      <c r="G696" s="20">
        <f>IFERROR(__xludf.DUMMYFUNCTION("""COMPUTED_VALUE"""),35834.0)</f>
        <v>35834</v>
      </c>
      <c r="H696" s="7">
        <f>IFERROR(__xludf.DUMMYFUNCTION("""COMPUTED_VALUE"""),4.094147E7)</f>
        <v>40941470</v>
      </c>
      <c r="I696" s="7">
        <f>IFERROR(__xludf.DUMMYFUNCTION("""COMPUTED_VALUE"""),3.513849359E9)</f>
        <v>3513849359</v>
      </c>
      <c r="J696" s="7" t="str">
        <f>IFERROR(__xludf.DUMMYFUNCTION("""COMPUTED_VALUE"""),"Recomendación")</f>
        <v>Recomendación</v>
      </c>
      <c r="K696" s="7" t="str">
        <f>IFERROR(__xludf.DUMMYFUNCTION("""COMPUTED_VALUE"""),"Particular")</f>
        <v>Particular</v>
      </c>
      <c r="L696" s="7"/>
      <c r="M696" s="7" t="str">
        <f>IFERROR(__xludf.DUMMYFUNCTION("""COMPUTED_VALUE"""),"Si")</f>
        <v>Si</v>
      </c>
      <c r="N696" s="7" t="str">
        <f>IFERROR(__xludf.DUMMYFUNCTION("""COMPUTED_VALUE"""),"Gimnasio")</f>
        <v>Gimnasio</v>
      </c>
      <c r="O696" s="7" t="str">
        <f>IFERROR(__xludf.DUMMYFUNCTION("""COMPUTED_VALUE"""),"3 a 5 veces por semana")</f>
        <v>3 a 5 veces por semana</v>
      </c>
      <c r="P696" s="7"/>
      <c r="Q696" s="7"/>
      <c r="R696" s="7"/>
      <c r="S696" s="7"/>
    </row>
    <row r="697">
      <c r="A697" s="7" t="str">
        <f t="shared" si="1"/>
        <v>Ferro, Estefania Eva</v>
      </c>
      <c r="B697" s="7">
        <f>SUMIFS('bd caja'!$K$1:$K$1012,'bd caja'!$D$1:$D$1012,A697)</f>
        <v>0</v>
      </c>
      <c r="C697" s="19">
        <f>IFERROR(__xludf.DUMMYFUNCTION("""COMPUTED_VALUE"""),45551.59474053241)</f>
        <v>45551.59474</v>
      </c>
      <c r="D697" s="7" t="str">
        <f>IFERROR(__xludf.DUMMYFUNCTION("""COMPUTED_VALUE"""),"Ferro")</f>
        <v>Ferro</v>
      </c>
      <c r="E697" s="7" t="str">
        <f>IFERROR(__xludf.DUMMYFUNCTION("""COMPUTED_VALUE"""),"Estefania Eva")</f>
        <v>Estefania Eva</v>
      </c>
      <c r="F697" s="7" t="str">
        <f>IFERROR(__xludf.DUMMYFUNCTION("""COMPUTED_VALUE"""),"Ferroestefania@gmail.com")</f>
        <v>Ferroestefania@gmail.com</v>
      </c>
      <c r="G697" s="20">
        <f>IFERROR(__xludf.DUMMYFUNCTION("""COMPUTED_VALUE"""),32762.0)</f>
        <v>32762</v>
      </c>
      <c r="H697" s="7">
        <f>IFERROR(__xludf.DUMMYFUNCTION("""COMPUTED_VALUE"""),3.4768805E7)</f>
        <v>34768805</v>
      </c>
      <c r="I697" s="7">
        <f>IFERROR(__xludf.DUMMYFUNCTION("""COMPUTED_VALUE"""),3.51208529E9)</f>
        <v>3512085290</v>
      </c>
      <c r="J697" s="7" t="str">
        <f>IFERROR(__xludf.DUMMYFUNCTION("""COMPUTED_VALUE"""),"Google")</f>
        <v>Google</v>
      </c>
      <c r="K697" s="7" t="str">
        <f>IFERROR(__xludf.DUMMYFUNCTION("""COMPUTED_VALUE"""),"Obra social")</f>
        <v>Obra social</v>
      </c>
      <c r="L697" s="7"/>
      <c r="M697" s="7" t="str">
        <f>IFERROR(__xludf.DUMMYFUNCTION("""COMPUTED_VALUE"""),"Si")</f>
        <v>Si</v>
      </c>
      <c r="N697" s="7" t="str">
        <f>IFERROR(__xludf.DUMMYFUNCTION("""COMPUTED_VALUE"""),"Running")</f>
        <v>Running</v>
      </c>
      <c r="O697" s="7" t="str">
        <f>IFERROR(__xludf.DUMMYFUNCTION("""COMPUTED_VALUE"""),"3 a 5 veces por semana")</f>
        <v>3 a 5 veces por semana</v>
      </c>
      <c r="P697" s="7"/>
      <c r="Q697" s="7" t="str">
        <f>IFERROR(__xludf.DUMMYFUNCTION("""COMPUTED_VALUE"""),"PREVENCIÓN")</f>
        <v>PREVENCIÓN</v>
      </c>
      <c r="R697" s="7"/>
      <c r="S697" s="7"/>
    </row>
    <row r="698">
      <c r="A698" s="7" t="str">
        <f t="shared" si="1"/>
        <v>Moran, Nahuel</v>
      </c>
      <c r="B698" s="7">
        <f>SUMIFS('bd caja'!$K$1:$K$1012,'bd caja'!$D$1:$D$1012,A698)</f>
        <v>0</v>
      </c>
      <c r="C698" s="19">
        <f>IFERROR(__xludf.DUMMYFUNCTION("""COMPUTED_VALUE"""),45551.71451895833)</f>
        <v>45551.71452</v>
      </c>
      <c r="D698" s="7" t="str">
        <f>IFERROR(__xludf.DUMMYFUNCTION("""COMPUTED_VALUE"""),"Moran")</f>
        <v>Moran</v>
      </c>
      <c r="E698" s="7" t="str">
        <f>IFERROR(__xludf.DUMMYFUNCTION("""COMPUTED_VALUE"""),"Nahuel")</f>
        <v>Nahuel</v>
      </c>
      <c r="F698" s="7" t="str">
        <f>IFERROR(__xludf.DUMMYFUNCTION("""COMPUTED_VALUE"""),"eduardomoran22@gmail.com")</f>
        <v>eduardomoran22@gmail.com</v>
      </c>
      <c r="G698" s="20">
        <f>IFERROR(__xludf.DUMMYFUNCTION("""COMPUTED_VALUE"""),32512.0)</f>
        <v>32512</v>
      </c>
      <c r="H698" s="7">
        <f>IFERROR(__xludf.DUMMYFUNCTION("""COMPUTED_VALUE"""),3.4188738E7)</f>
        <v>34188738</v>
      </c>
      <c r="I698" s="7">
        <f>IFERROR(__xludf.DUMMYFUNCTION("""COMPUTED_VALUE"""),3.517405784E9)</f>
        <v>3517405784</v>
      </c>
      <c r="J698" s="7" t="str">
        <f>IFERROR(__xludf.DUMMYFUNCTION("""COMPUTED_VALUE"""),"Voy al gym Manantial")</f>
        <v>Voy al gym Manantial</v>
      </c>
      <c r="K698" s="7" t="str">
        <f>IFERROR(__xludf.DUMMYFUNCTION("""COMPUTED_VALUE"""),"Obra social")</f>
        <v>Obra social</v>
      </c>
      <c r="L698" s="7"/>
      <c r="M698" s="7" t="str">
        <f>IFERROR(__xludf.DUMMYFUNCTION("""COMPUTED_VALUE"""),"Si")</f>
        <v>Si</v>
      </c>
      <c r="N698" s="7" t="str">
        <f>IFERROR(__xludf.DUMMYFUNCTION("""COMPUTED_VALUE"""),"Gimnasio")</f>
        <v>Gimnasio</v>
      </c>
      <c r="O698" s="7" t="str">
        <f>IFERROR(__xludf.DUMMYFUNCTION("""COMPUTED_VALUE"""),"3 a 5 veces por semana")</f>
        <v>3 a 5 veces por semana</v>
      </c>
      <c r="P698" s="7"/>
      <c r="Q698" s="7" t="str">
        <f>IFERROR(__xludf.DUMMYFUNCTION("""COMPUTED_VALUE"""),"APROSS")</f>
        <v>APROSS</v>
      </c>
      <c r="R698" s="7"/>
      <c r="S698" s="7"/>
    </row>
    <row r="699">
      <c r="A699" s="7" t="str">
        <f t="shared" si="1"/>
        <v>Zogbi, Santiago Tomas</v>
      </c>
      <c r="B699" s="7">
        <f>SUMIFS('bd caja'!$K$1:$K$1012,'bd caja'!$D$1:$D$1012,A699)</f>
        <v>0</v>
      </c>
      <c r="C699" s="19">
        <f>IFERROR(__xludf.DUMMYFUNCTION("""COMPUTED_VALUE"""),45551.71581252315)</f>
        <v>45551.71581</v>
      </c>
      <c r="D699" s="7" t="str">
        <f>IFERROR(__xludf.DUMMYFUNCTION("""COMPUTED_VALUE"""),"Zogbi")</f>
        <v>Zogbi</v>
      </c>
      <c r="E699" s="7" t="str">
        <f>IFERROR(__xludf.DUMMYFUNCTION("""COMPUTED_VALUE"""),"Santiago Tomas")</f>
        <v>Santiago Tomas</v>
      </c>
      <c r="F699" s="7" t="str">
        <f>IFERROR(__xludf.DUMMYFUNCTION("""COMPUTED_VALUE"""),"santizogbi98@gmail.com")</f>
        <v>santizogbi98@gmail.com</v>
      </c>
      <c r="G699" s="20">
        <f>IFERROR(__xludf.DUMMYFUNCTION("""COMPUTED_VALUE"""),35899.0)</f>
        <v>35899</v>
      </c>
      <c r="H699" s="7">
        <f>IFERROR(__xludf.DUMMYFUNCTION("""COMPUTED_VALUE"""),4.1115028E7)</f>
        <v>41115028</v>
      </c>
      <c r="I699" s="7">
        <f>IFERROR(__xludf.DUMMYFUNCTION("""COMPUTED_VALUE"""),3.513434424E9)</f>
        <v>3513434424</v>
      </c>
      <c r="J699" s="7" t="str">
        <f>IFERROR(__xludf.DUMMYFUNCTION("""COMPUTED_VALUE"""),"Voy al gym Manantial")</f>
        <v>Voy al gym Manantial</v>
      </c>
      <c r="K699" s="7" t="str">
        <f>IFERROR(__xludf.DUMMYFUNCTION("""COMPUTED_VALUE"""),"Obra social")</f>
        <v>Obra social</v>
      </c>
      <c r="L699" s="7"/>
      <c r="M699" s="7" t="str">
        <f>IFERROR(__xludf.DUMMYFUNCTION("""COMPUTED_VALUE"""),"Si")</f>
        <v>Si</v>
      </c>
      <c r="N699" s="7" t="str">
        <f>IFERROR(__xludf.DUMMYFUNCTION("""COMPUTED_VALUE"""),"Padel, Futbol y Gimnasio ")</f>
        <v>Padel, Futbol y Gimnasio </v>
      </c>
      <c r="O699" s="7" t="str">
        <f>IFERROR(__xludf.DUMMYFUNCTION("""COMPUTED_VALUE"""),"3 a 5 veces por semana")</f>
        <v>3 a 5 veces por semana</v>
      </c>
      <c r="P699" s="7"/>
      <c r="Q699" s="7" t="str">
        <f>IFERROR(__xludf.DUMMYFUNCTION("""COMPUTED_VALUE"""),"APROSS")</f>
        <v>APROSS</v>
      </c>
      <c r="R699" s="7"/>
      <c r="S699" s="7"/>
    </row>
    <row r="700">
      <c r="A700" s="7" t="str">
        <f t="shared" si="1"/>
        <v>Adamo, Sofia</v>
      </c>
      <c r="B700" s="7">
        <f>SUMIFS('bd caja'!$K$1:$K$1012,'bd caja'!$D$1:$D$1012,A700)</f>
        <v>0</v>
      </c>
      <c r="C700" s="19">
        <f>IFERROR(__xludf.DUMMYFUNCTION("""COMPUTED_VALUE"""),45552.37838834491)</f>
        <v>45552.37839</v>
      </c>
      <c r="D700" s="7" t="str">
        <f>IFERROR(__xludf.DUMMYFUNCTION("""COMPUTED_VALUE"""),"Adamo")</f>
        <v>Adamo</v>
      </c>
      <c r="E700" s="7" t="str">
        <f>IFERROR(__xludf.DUMMYFUNCTION("""COMPUTED_VALUE"""),"Sofia")</f>
        <v>Sofia</v>
      </c>
      <c r="F700" s="7" t="str">
        <f>IFERROR(__xludf.DUMMYFUNCTION("""COMPUTED_VALUE"""),"sofiadamo@hotmail.com")</f>
        <v>sofiadamo@hotmail.com</v>
      </c>
      <c r="G700" s="20">
        <f>IFERROR(__xludf.DUMMYFUNCTION("""COMPUTED_VALUE"""),33300.0)</f>
        <v>33300</v>
      </c>
      <c r="H700" s="7">
        <f>IFERROR(__xludf.DUMMYFUNCTION("""COMPUTED_VALUE"""),3.5577658E7)</f>
        <v>35577658</v>
      </c>
      <c r="I700" s="7">
        <f>IFERROR(__xludf.DUMMYFUNCTION("""COMPUTED_VALUE"""),3.517422014E9)</f>
        <v>3517422014</v>
      </c>
      <c r="J700" s="7" t="str">
        <f>IFERROR(__xludf.DUMMYFUNCTION("""COMPUTED_VALUE"""),"Voy al gym Manantial")</f>
        <v>Voy al gym Manantial</v>
      </c>
      <c r="K700" s="7" t="str">
        <f>IFERROR(__xludf.DUMMYFUNCTION("""COMPUTED_VALUE"""),"Obra social")</f>
        <v>Obra social</v>
      </c>
      <c r="L700" s="7"/>
      <c r="M700" s="7" t="str">
        <f>IFERROR(__xludf.DUMMYFUNCTION("""COMPUTED_VALUE"""),"Si")</f>
        <v>Si</v>
      </c>
      <c r="N700" s="7" t="str">
        <f>IFERROR(__xludf.DUMMYFUNCTION("""COMPUTED_VALUE"""),"Fútbol")</f>
        <v>Fútbol</v>
      </c>
      <c r="O700" s="7" t="str">
        <f>IFERROR(__xludf.DUMMYFUNCTION("""COMPUTED_VALUE"""),"3 a 5 veces por semana")</f>
        <v>3 a 5 veces por semana</v>
      </c>
      <c r="P700" s="7"/>
      <c r="Q700" s="7" t="str">
        <f>IFERROR(__xludf.DUMMYFUNCTION("""COMPUTED_VALUE"""),"SANCOR")</f>
        <v>SANCOR</v>
      </c>
      <c r="R700" s="7"/>
      <c r="S700" s="7"/>
    </row>
    <row r="701">
      <c r="A701" s="7" t="str">
        <f t="shared" si="1"/>
        <v>Aragones, Marianela</v>
      </c>
      <c r="B701" s="7">
        <f>SUMIFS('bd caja'!$K$1:$K$1012,'bd caja'!$D$1:$D$1012,A701)</f>
        <v>0</v>
      </c>
      <c r="C701" s="19">
        <f>IFERROR(__xludf.DUMMYFUNCTION("""COMPUTED_VALUE"""),45552.790506192134)</f>
        <v>45552.79051</v>
      </c>
      <c r="D701" s="7" t="str">
        <f>IFERROR(__xludf.DUMMYFUNCTION("""COMPUTED_VALUE"""),"Aragones")</f>
        <v>Aragones</v>
      </c>
      <c r="E701" s="7" t="str">
        <f>IFERROR(__xludf.DUMMYFUNCTION("""COMPUTED_VALUE"""),"Marianela")</f>
        <v>Marianela</v>
      </c>
      <c r="F701" s="7" t="str">
        <f>IFERROR(__xludf.DUMMYFUNCTION("""COMPUTED_VALUE"""),"maridrew13@gmail.com")</f>
        <v>maridrew13@gmail.com</v>
      </c>
      <c r="G701" s="20">
        <f>IFERROR(__xludf.DUMMYFUNCTION("""COMPUTED_VALUE"""),35723.0)</f>
        <v>35723</v>
      </c>
      <c r="H701" s="7">
        <f>IFERROR(__xludf.DUMMYFUNCTION("""COMPUTED_VALUE"""),4.0681753E7)</f>
        <v>40681753</v>
      </c>
      <c r="I701" s="7">
        <f>IFERROR(__xludf.DUMMYFUNCTION("""COMPUTED_VALUE"""),3.513251381E9)</f>
        <v>3513251381</v>
      </c>
      <c r="J701" s="7" t="str">
        <f>IFERROR(__xludf.DUMMYFUNCTION("""COMPUTED_VALUE"""),"Voy al gym Manantial")</f>
        <v>Voy al gym Manantial</v>
      </c>
      <c r="K701" s="7" t="str">
        <f>IFERROR(__xludf.DUMMYFUNCTION("""COMPUTED_VALUE"""),"Particular")</f>
        <v>Particular</v>
      </c>
      <c r="L701" s="7"/>
      <c r="M701" s="7" t="str">
        <f>IFERROR(__xludf.DUMMYFUNCTION("""COMPUTED_VALUE"""),"Si")</f>
        <v>Si</v>
      </c>
      <c r="N701" s="7" t="str">
        <f>IFERROR(__xludf.DUMMYFUNCTION("""COMPUTED_VALUE"""),"Gimnasio")</f>
        <v>Gimnasio</v>
      </c>
      <c r="O701" s="7" t="str">
        <f>IFERROR(__xludf.DUMMYFUNCTION("""COMPUTED_VALUE"""),"3 a 5 veces por semana")</f>
        <v>3 a 5 veces por semana</v>
      </c>
      <c r="P701" s="7"/>
      <c r="Q701" s="7"/>
      <c r="R701" s="7"/>
      <c r="S701" s="7"/>
    </row>
    <row r="702">
      <c r="A702" s="7" t="str">
        <f t="shared" si="1"/>
        <v>Hechalar, Gaston </v>
      </c>
      <c r="B702" s="7">
        <f>SUMIFS('bd caja'!$K$1:$K$1012,'bd caja'!$D$1:$D$1012,A702)</f>
        <v>0</v>
      </c>
      <c r="C702" s="19">
        <f>IFERROR(__xludf.DUMMYFUNCTION("""COMPUTED_VALUE"""),45552.82242674768)</f>
        <v>45552.82243</v>
      </c>
      <c r="D702" s="7" t="str">
        <f>IFERROR(__xludf.DUMMYFUNCTION("""COMPUTED_VALUE"""),"Hechalar")</f>
        <v>Hechalar</v>
      </c>
      <c r="E702" s="7" t="str">
        <f>IFERROR(__xludf.DUMMYFUNCTION("""COMPUTED_VALUE"""),"Gaston ")</f>
        <v>Gaston </v>
      </c>
      <c r="F702" s="7" t="str">
        <f>IFERROR(__xludf.DUMMYFUNCTION("""COMPUTED_VALUE"""),"Gastonhechalar@gmail.com")</f>
        <v>Gastonhechalar@gmail.com</v>
      </c>
      <c r="G702" s="20">
        <f>IFERROR(__xludf.DUMMYFUNCTION("""COMPUTED_VALUE"""),32802.0)</f>
        <v>32802</v>
      </c>
      <c r="H702" s="7">
        <f>IFERROR(__xludf.DUMMYFUNCTION("""COMPUTED_VALUE"""),3.4838579E7)</f>
        <v>34838579</v>
      </c>
      <c r="I702" s="7">
        <f>IFERROR(__xludf.DUMMYFUNCTION("""COMPUTED_VALUE"""),3.515998963E9)</f>
        <v>3515998963</v>
      </c>
      <c r="J702" s="7" t="str">
        <f>IFERROR(__xludf.DUMMYFUNCTION("""COMPUTED_VALUE"""),"Recomendación")</f>
        <v>Recomendación</v>
      </c>
      <c r="K702" s="7" t="str">
        <f>IFERROR(__xludf.DUMMYFUNCTION("""COMPUTED_VALUE"""),"Particular")</f>
        <v>Particular</v>
      </c>
      <c r="L702" s="7"/>
      <c r="M702" s="7" t="str">
        <f>IFERROR(__xludf.DUMMYFUNCTION("""COMPUTED_VALUE"""),"Si")</f>
        <v>Si</v>
      </c>
      <c r="N702" s="7" t="str">
        <f>IFERROR(__xludf.DUMMYFUNCTION("""COMPUTED_VALUE"""),"Fútbol")</f>
        <v>Fútbol</v>
      </c>
      <c r="O702" s="7" t="str">
        <f>IFERROR(__xludf.DUMMYFUNCTION("""COMPUTED_VALUE"""),"3 a 5 veces por semana")</f>
        <v>3 a 5 veces por semana</v>
      </c>
      <c r="P702" s="7"/>
      <c r="Q702" s="7"/>
      <c r="R702" s="7"/>
      <c r="S702" s="7"/>
    </row>
    <row r="703">
      <c r="A703" s="7" t="str">
        <f t="shared" si="1"/>
        <v>Ramallo, Amir</v>
      </c>
      <c r="B703" s="7">
        <f>SUMIFS('bd caja'!$K$1:$K$1012,'bd caja'!$D$1:$D$1012,A703)</f>
        <v>0</v>
      </c>
      <c r="C703" s="19">
        <f>IFERROR(__xludf.DUMMYFUNCTION("""COMPUTED_VALUE"""),45553.687410266204)</f>
        <v>45553.68741</v>
      </c>
      <c r="D703" s="7" t="str">
        <f>IFERROR(__xludf.DUMMYFUNCTION("""COMPUTED_VALUE"""),"Ramallo")</f>
        <v>Ramallo</v>
      </c>
      <c r="E703" s="7" t="str">
        <f>IFERROR(__xludf.DUMMYFUNCTION("""COMPUTED_VALUE"""),"Amir")</f>
        <v>Amir</v>
      </c>
      <c r="F703" s="7" t="str">
        <f>IFERROR(__xludf.DUMMYFUNCTION("""COMPUTED_VALUE"""),"amiirramallo31031998@gmail.com")</f>
        <v>amiirramallo31031998@gmail.com</v>
      </c>
      <c r="G703" s="20">
        <f>IFERROR(__xludf.DUMMYFUNCTION("""COMPUTED_VALUE"""),35885.0)</f>
        <v>35885</v>
      </c>
      <c r="H703" s="7">
        <f>IFERROR(__xludf.DUMMYFUNCTION("""COMPUTED_VALUE"""),4.1115033E7)</f>
        <v>41115033</v>
      </c>
      <c r="I703" s="7">
        <f>IFERROR(__xludf.DUMMYFUNCTION("""COMPUTED_VALUE"""),3.518723367E9)</f>
        <v>3518723367</v>
      </c>
      <c r="J703" s="7" t="str">
        <f>IFERROR(__xludf.DUMMYFUNCTION("""COMPUTED_VALUE"""),"Voy al gym Manantial")</f>
        <v>Voy al gym Manantial</v>
      </c>
      <c r="K703" s="7" t="str">
        <f>IFERROR(__xludf.DUMMYFUNCTION("""COMPUTED_VALUE"""),"Particular")</f>
        <v>Particular</v>
      </c>
      <c r="L703" s="7"/>
      <c r="M703" s="7" t="str">
        <f>IFERROR(__xludf.DUMMYFUNCTION("""COMPUTED_VALUE"""),"Si")</f>
        <v>Si</v>
      </c>
      <c r="N703" s="7" t="str">
        <f>IFERROR(__xludf.DUMMYFUNCTION("""COMPUTED_VALUE"""),"Fútbol")</f>
        <v>Fútbol</v>
      </c>
      <c r="O703" s="7" t="str">
        <f>IFERROR(__xludf.DUMMYFUNCTION("""COMPUTED_VALUE"""),"3 a 5 veces por semana")</f>
        <v>3 a 5 veces por semana</v>
      </c>
      <c r="P703" s="7"/>
      <c r="Q703" s="7"/>
      <c r="R703" s="7"/>
      <c r="S703" s="7"/>
    </row>
    <row r="704">
      <c r="A704" s="7" t="str">
        <f t="shared" si="1"/>
        <v>Romero, Benjamin</v>
      </c>
      <c r="B704" s="7">
        <f>SUMIFS('bd caja'!$K$1:$K$1012,'bd caja'!$D$1:$D$1012,A704)</f>
        <v>0</v>
      </c>
      <c r="C704" s="19">
        <f>IFERROR(__xludf.DUMMYFUNCTION("""COMPUTED_VALUE"""),45553.83369642361)</f>
        <v>45553.8337</v>
      </c>
      <c r="D704" s="7" t="str">
        <f>IFERROR(__xludf.DUMMYFUNCTION("""COMPUTED_VALUE"""),"Romero")</f>
        <v>Romero</v>
      </c>
      <c r="E704" s="7" t="str">
        <f>IFERROR(__xludf.DUMMYFUNCTION("""COMPUTED_VALUE"""),"Benjamin")</f>
        <v>Benjamin</v>
      </c>
      <c r="F704" s="7" t="str">
        <f>IFERROR(__xludf.DUMMYFUNCTION("""COMPUTED_VALUE"""),"danimjuri@hotmail.com")</f>
        <v>danimjuri@hotmail.com</v>
      </c>
      <c r="G704" s="20">
        <f>IFERROR(__xludf.DUMMYFUNCTION("""COMPUTED_VALUE"""),41024.0)</f>
        <v>41024</v>
      </c>
      <c r="H704" s="7">
        <f>IFERROR(__xludf.DUMMYFUNCTION("""COMPUTED_VALUE"""),5.2157219E7)</f>
        <v>52157219</v>
      </c>
      <c r="I704" s="7">
        <f>IFERROR(__xludf.DUMMYFUNCTION("""COMPUTED_VALUE"""),3.513164275E9)</f>
        <v>3513164275</v>
      </c>
      <c r="J704" s="7" t="str">
        <f>IFERROR(__xludf.DUMMYFUNCTION("""COMPUTED_VALUE"""),"Recomendación")</f>
        <v>Recomendación</v>
      </c>
      <c r="K704" s="7" t="str">
        <f>IFERROR(__xludf.DUMMYFUNCTION("""COMPUTED_VALUE"""),"Particular")</f>
        <v>Particular</v>
      </c>
      <c r="L704" s="7"/>
      <c r="M704" s="7" t="str">
        <f>IFERROR(__xludf.DUMMYFUNCTION("""COMPUTED_VALUE"""),"Si")</f>
        <v>Si</v>
      </c>
      <c r="N704" s="7" t="str">
        <f>IFERROR(__xludf.DUMMYFUNCTION("""COMPUTED_VALUE"""),"Fútbol")</f>
        <v>Fútbol</v>
      </c>
      <c r="O704" s="7" t="str">
        <f>IFERROR(__xludf.DUMMYFUNCTION("""COMPUTED_VALUE"""),"3 a 5 veces por semana")</f>
        <v>3 a 5 veces por semana</v>
      </c>
      <c r="P704" s="7"/>
      <c r="Q704" s="7"/>
      <c r="R704" s="7"/>
      <c r="S704" s="7"/>
    </row>
    <row r="705">
      <c r="A705" s="7" t="str">
        <f t="shared" si="1"/>
        <v>Villullas , Susana </v>
      </c>
      <c r="B705" s="7">
        <f>SUMIFS('bd caja'!$K$1:$K$1012,'bd caja'!$D$1:$D$1012,A705)</f>
        <v>0</v>
      </c>
      <c r="C705" s="19">
        <f>IFERROR(__xludf.DUMMYFUNCTION("""COMPUTED_VALUE"""),45554.54233813657)</f>
        <v>45554.54234</v>
      </c>
      <c r="D705" s="7" t="str">
        <f>IFERROR(__xludf.DUMMYFUNCTION("""COMPUTED_VALUE"""),"Villullas ")</f>
        <v>Villullas </v>
      </c>
      <c r="E705" s="7" t="str">
        <f>IFERROR(__xludf.DUMMYFUNCTION("""COMPUTED_VALUE"""),"Susana ")</f>
        <v>Susana </v>
      </c>
      <c r="F705" s="7" t="str">
        <f>IFERROR(__xludf.DUMMYFUNCTION("""COMPUTED_VALUE"""),"susanavillullas@hotmail.com")</f>
        <v>susanavillullas@hotmail.com</v>
      </c>
      <c r="G705" s="20">
        <f>IFERROR(__xludf.DUMMYFUNCTION("""COMPUTED_VALUE"""),22445.0)</f>
        <v>22445</v>
      </c>
      <c r="H705" s="7">
        <f>IFERROR(__xludf.DUMMYFUNCTION("""COMPUTED_VALUE"""),1.4401315E7)</f>
        <v>14401315</v>
      </c>
      <c r="I705" s="7">
        <f>IFERROR(__xludf.DUMMYFUNCTION("""COMPUTED_VALUE"""),3.513703952E9)</f>
        <v>3513703952</v>
      </c>
      <c r="J705" s="7" t="str">
        <f>IFERROR(__xludf.DUMMYFUNCTION("""COMPUTED_VALUE"""),"Recomendación")</f>
        <v>Recomendación</v>
      </c>
      <c r="K705" s="7" t="str">
        <f>IFERROR(__xludf.DUMMYFUNCTION("""COMPUTED_VALUE"""),"Obra social")</f>
        <v>Obra social</v>
      </c>
      <c r="L705" s="7"/>
      <c r="M705" s="7" t="str">
        <f>IFERROR(__xludf.DUMMYFUNCTION("""COMPUTED_VALUE"""),"Si")</f>
        <v>Si</v>
      </c>
      <c r="N705" s="7" t="str">
        <f>IFERROR(__xludf.DUMMYFUNCTION("""COMPUTED_VALUE"""),"Caminata")</f>
        <v>Caminata</v>
      </c>
      <c r="O705" s="7" t="str">
        <f>IFERROR(__xludf.DUMMYFUNCTION("""COMPUTED_VALUE"""),"1 a 2 veces por semana")</f>
        <v>1 a 2 veces por semana</v>
      </c>
      <c r="P705" s="7"/>
      <c r="Q705" s="7" t="str">
        <f>IFERROR(__xludf.DUMMYFUNCTION("""COMPUTED_VALUE"""),"APROSS")</f>
        <v>APROSS</v>
      </c>
      <c r="R705" s="7"/>
      <c r="S705" s="7"/>
    </row>
    <row r="706">
      <c r="A706" s="7" t="str">
        <f t="shared" si="1"/>
        <v>Rostagno, Leandro</v>
      </c>
      <c r="B706" s="7">
        <f>SUMIFS('bd caja'!$K$1:$K$1012,'bd caja'!$D$1:$D$1012,A706)</f>
        <v>0</v>
      </c>
      <c r="C706" s="19">
        <f>IFERROR(__xludf.DUMMYFUNCTION("""COMPUTED_VALUE"""),45555.55360962963)</f>
        <v>45555.55361</v>
      </c>
      <c r="D706" s="7" t="str">
        <f>IFERROR(__xludf.DUMMYFUNCTION("""COMPUTED_VALUE"""),"Rostagno")</f>
        <v>Rostagno</v>
      </c>
      <c r="E706" s="7" t="str">
        <f>IFERROR(__xludf.DUMMYFUNCTION("""COMPUTED_VALUE"""),"Leandro")</f>
        <v>Leandro</v>
      </c>
      <c r="F706" s="7"/>
      <c r="G706" s="20">
        <f>IFERROR(__xludf.DUMMYFUNCTION("""COMPUTED_VALUE"""),36621.0)</f>
        <v>36621</v>
      </c>
      <c r="H706" s="7">
        <f>IFERROR(__xludf.DUMMYFUNCTION("""COMPUTED_VALUE"""),4.2439947E7)</f>
        <v>42439947</v>
      </c>
      <c r="I706" s="7">
        <f>IFERROR(__xludf.DUMMYFUNCTION("""COMPUTED_VALUE"""),3.513576395E9)</f>
        <v>3513576395</v>
      </c>
      <c r="J706" s="7" t="str">
        <f>IFERROR(__xludf.DUMMYFUNCTION("""COMPUTED_VALUE"""),"Recomendación")</f>
        <v>Recomendación</v>
      </c>
      <c r="K706" s="7" t="str">
        <f>IFERROR(__xludf.DUMMYFUNCTION("""COMPUTED_VALUE"""),"Obra social")</f>
        <v>Obra social</v>
      </c>
      <c r="L706" s="7"/>
      <c r="M706" s="7" t="str">
        <f>IFERROR(__xludf.DUMMYFUNCTION("""COMPUTED_VALUE"""),"Si")</f>
        <v>Si</v>
      </c>
      <c r="N706" s="7" t="str">
        <f>IFERROR(__xludf.DUMMYFUNCTION("""COMPUTED_VALUE"""),"Gimnasio, natación, pádel ")</f>
        <v>Gimnasio, natación, pádel </v>
      </c>
      <c r="O706" s="7" t="str">
        <f>IFERROR(__xludf.DUMMYFUNCTION("""COMPUTED_VALUE"""),"3 a 5 veces por semana")</f>
        <v>3 a 5 veces por semana</v>
      </c>
      <c r="P706" s="7"/>
      <c r="Q706" s="7" t="str">
        <f>IFERROR(__xludf.DUMMYFUNCTION("""COMPUTED_VALUE"""),"Swiss Medical")</f>
        <v>Swiss Medical</v>
      </c>
      <c r="R706" s="7"/>
      <c r="S706" s="7"/>
    </row>
    <row r="707">
      <c r="A707" s="7" t="str">
        <f t="shared" si="1"/>
        <v>Pianaroli, Bruno brandon</v>
      </c>
      <c r="B707" s="7">
        <f>SUMIFS('bd caja'!$K$1:$K$1012,'bd caja'!$D$1:$D$1012,A707)</f>
        <v>0</v>
      </c>
      <c r="C707" s="19">
        <f>IFERROR(__xludf.DUMMYFUNCTION("""COMPUTED_VALUE"""),45555.8222240162)</f>
        <v>45555.82222</v>
      </c>
      <c r="D707" s="7" t="str">
        <f>IFERROR(__xludf.DUMMYFUNCTION("""COMPUTED_VALUE"""),"Pianaroli")</f>
        <v>Pianaroli</v>
      </c>
      <c r="E707" s="7" t="str">
        <f>IFERROR(__xludf.DUMMYFUNCTION("""COMPUTED_VALUE"""),"Bruno brandon")</f>
        <v>Bruno brandon</v>
      </c>
      <c r="F707" s="7" t="str">
        <f>IFERROR(__xludf.DUMMYFUNCTION("""COMPUTED_VALUE"""),"Lalii.pedernera18@gmail.com")</f>
        <v>Lalii.pedernera18@gmail.com</v>
      </c>
      <c r="G707" s="20">
        <f>IFERROR(__xludf.DUMMYFUNCTION("""COMPUTED_VALUE"""),35830.0)</f>
        <v>35830</v>
      </c>
      <c r="H707" s="7">
        <f>IFERROR(__xludf.DUMMYFUNCTION("""COMPUTED_VALUE"""),4.0940701E7)</f>
        <v>40940701</v>
      </c>
      <c r="I707" s="7">
        <f>IFERROR(__xludf.DUMMYFUNCTION("""COMPUTED_VALUE"""),3.516596518E9)</f>
        <v>3516596518</v>
      </c>
      <c r="J707" s="7" t="str">
        <f>IFERROR(__xludf.DUMMYFUNCTION("""COMPUTED_VALUE"""),"Cartilla Obra Social")</f>
        <v>Cartilla Obra Social</v>
      </c>
      <c r="K707" s="7" t="str">
        <f>IFERROR(__xludf.DUMMYFUNCTION("""COMPUTED_VALUE"""),"Obra social")</f>
        <v>Obra social</v>
      </c>
      <c r="L707" s="7"/>
      <c r="M707" s="7" t="str">
        <f>IFERROR(__xludf.DUMMYFUNCTION("""COMPUTED_VALUE"""),"Si")</f>
        <v>Si</v>
      </c>
      <c r="N707" s="7" t="str">
        <f>IFERROR(__xludf.DUMMYFUNCTION("""COMPUTED_VALUE"""),"Fútbol")</f>
        <v>Fútbol</v>
      </c>
      <c r="O707" s="7" t="str">
        <f>IFERROR(__xludf.DUMMYFUNCTION("""COMPUTED_VALUE"""),"1 a 2 veces por semana")</f>
        <v>1 a 2 veces por semana</v>
      </c>
      <c r="P707" s="7"/>
      <c r="Q707" s="7" t="str">
        <f>IFERROR(__xludf.DUMMYFUNCTION("""COMPUTED_VALUE"""),"Boreal")</f>
        <v>Boreal</v>
      </c>
      <c r="R707" s="7"/>
      <c r="S707" s="7"/>
    </row>
    <row r="708">
      <c r="A708" s="7" t="str">
        <f t="shared" si="1"/>
        <v>HERRERA, ISABELLA</v>
      </c>
      <c r="B708" s="7">
        <f>SUMIFS('bd caja'!$K$1:$K$1012,'bd caja'!$D$1:$D$1012,A708)</f>
        <v>0</v>
      </c>
      <c r="C708" s="19">
        <f>IFERROR(__xludf.DUMMYFUNCTION("""COMPUTED_VALUE"""),45559.690004895834)</f>
        <v>45559.69</v>
      </c>
      <c r="D708" s="7" t="str">
        <f>IFERROR(__xludf.DUMMYFUNCTION("""COMPUTED_VALUE"""),"HERRERA")</f>
        <v>HERRERA</v>
      </c>
      <c r="E708" s="7" t="str">
        <f>IFERROR(__xludf.DUMMYFUNCTION("""COMPUTED_VALUE"""),"ISABELLA")</f>
        <v>ISABELLA</v>
      </c>
      <c r="F708" s="7" t="str">
        <f>IFERROR(__xludf.DUMMYFUNCTION("""COMPUTED_VALUE"""),"isabellaherreranasif@gmail.com")</f>
        <v>isabellaherreranasif@gmail.com</v>
      </c>
      <c r="G708" s="20">
        <f>IFERROR(__xludf.DUMMYFUNCTION("""COMPUTED_VALUE"""),39413.0)</f>
        <v>39413</v>
      </c>
      <c r="H708" s="7">
        <f>IFERROR(__xludf.DUMMYFUNCTION("""COMPUTED_VALUE"""),4.8041313E7)</f>
        <v>48041313</v>
      </c>
      <c r="I708" s="7">
        <f>IFERROR(__xludf.DUMMYFUNCTION("""COMPUTED_VALUE"""),3.513276306E9)</f>
        <v>3513276306</v>
      </c>
      <c r="J708" s="7" t="str">
        <f>IFERROR(__xludf.DUMMYFUNCTION("""COMPUTED_VALUE"""),"Google")</f>
        <v>Google</v>
      </c>
      <c r="K708" s="7" t="str">
        <f>IFERROR(__xludf.DUMMYFUNCTION("""COMPUTED_VALUE"""),"Particular")</f>
        <v>Particular</v>
      </c>
      <c r="L708" s="7"/>
      <c r="M708" s="7" t="str">
        <f>IFERROR(__xludf.DUMMYFUNCTION("""COMPUTED_VALUE"""),"No")</f>
        <v>No</v>
      </c>
      <c r="N708" s="7"/>
      <c r="O708" s="7"/>
      <c r="P708" s="7"/>
      <c r="Q708" s="7"/>
      <c r="R708" s="7"/>
      <c r="S708" s="7"/>
    </row>
    <row r="709">
      <c r="A709" s="7" t="str">
        <f t="shared" si="1"/>
        <v>Corzo, Renzo</v>
      </c>
      <c r="B709" s="7">
        <f>SUMIFS('bd caja'!$K$1:$K$1012,'bd caja'!$D$1:$D$1012,A709)</f>
        <v>0</v>
      </c>
      <c r="C709" s="19">
        <f>IFERROR(__xludf.DUMMYFUNCTION("""COMPUTED_VALUE"""),45560.38234268519)</f>
        <v>45560.38234</v>
      </c>
      <c r="D709" s="7" t="str">
        <f>IFERROR(__xludf.DUMMYFUNCTION("""COMPUTED_VALUE"""),"Corzo")</f>
        <v>Corzo</v>
      </c>
      <c r="E709" s="7" t="str">
        <f>IFERROR(__xludf.DUMMYFUNCTION("""COMPUTED_VALUE"""),"Renzo")</f>
        <v>Renzo</v>
      </c>
      <c r="F709" s="7" t="str">
        <f>IFERROR(__xludf.DUMMYFUNCTION("""COMPUTED_VALUE"""),"renzogonzalocorzo@gmail.com")</f>
        <v>renzogonzalocorzo@gmail.com</v>
      </c>
      <c r="G709" s="20">
        <f>IFERROR(__xludf.DUMMYFUNCTION("""COMPUTED_VALUE"""),32899.0)</f>
        <v>32899</v>
      </c>
      <c r="H709" s="7">
        <f>IFERROR(__xludf.DUMMYFUNCTION("""COMPUTED_VALUE"""),3.4849685E7)</f>
        <v>34849685</v>
      </c>
      <c r="I709" s="7">
        <f>IFERROR(__xludf.DUMMYFUNCTION("""COMPUTED_VALUE"""),3.515436185E9)</f>
        <v>3515436185</v>
      </c>
      <c r="J709" s="7" t="str">
        <f>IFERROR(__xludf.DUMMYFUNCTION("""COMPUTED_VALUE"""),"Google")</f>
        <v>Google</v>
      </c>
      <c r="K709" s="7" t="str">
        <f>IFERROR(__xludf.DUMMYFUNCTION("""COMPUTED_VALUE"""),"Particular")</f>
        <v>Particular</v>
      </c>
      <c r="L709" s="7"/>
      <c r="M709" s="7" t="str">
        <f>IFERROR(__xludf.DUMMYFUNCTION("""COMPUTED_VALUE"""),"Si")</f>
        <v>Si</v>
      </c>
      <c r="N709" s="7" t="str">
        <f>IFERROR(__xludf.DUMMYFUNCTION("""COMPUTED_VALUE"""),"Fútbol")</f>
        <v>Fútbol</v>
      </c>
      <c r="O709" s="7" t="str">
        <f>IFERROR(__xludf.DUMMYFUNCTION("""COMPUTED_VALUE"""),"1 a 2 veces por semana")</f>
        <v>1 a 2 veces por semana</v>
      </c>
      <c r="P709" s="7"/>
      <c r="Q709" s="7"/>
      <c r="R709" s="7"/>
      <c r="S709" s="7"/>
    </row>
    <row r="710">
      <c r="A710" s="7" t="str">
        <f t="shared" si="1"/>
        <v>Tabares , Andres</v>
      </c>
      <c r="B710" s="7">
        <f>SUMIFS('bd caja'!$K$1:$K$1012,'bd caja'!$D$1:$D$1012,A710)</f>
        <v>0</v>
      </c>
      <c r="C710" s="19">
        <f>IFERROR(__xludf.DUMMYFUNCTION("""COMPUTED_VALUE"""),45560.43885681713)</f>
        <v>45560.43886</v>
      </c>
      <c r="D710" s="7" t="str">
        <f>IFERROR(__xludf.DUMMYFUNCTION("""COMPUTED_VALUE"""),"Tabares ")</f>
        <v>Tabares </v>
      </c>
      <c r="E710" s="7" t="str">
        <f>IFERROR(__xludf.DUMMYFUNCTION("""COMPUTED_VALUE"""),"Andres")</f>
        <v>Andres</v>
      </c>
      <c r="F710" s="7" t="str">
        <f>IFERROR(__xludf.DUMMYFUNCTION("""COMPUTED_VALUE"""),"andres17ttt@gmail.com")</f>
        <v>andres17ttt@gmail.com</v>
      </c>
      <c r="G710" s="20">
        <f>IFERROR(__xludf.DUMMYFUNCTION("""COMPUTED_VALUE"""),-662917.0)</f>
        <v>-662917</v>
      </c>
      <c r="H710" s="7">
        <f>IFERROR(__xludf.DUMMYFUNCTION("""COMPUTED_VALUE"""),3.1222813E7)</f>
        <v>31222813</v>
      </c>
      <c r="I710" s="7">
        <f>IFERROR(__xludf.DUMMYFUNCTION("""COMPUTED_VALUE"""),3.51516941E9)</f>
        <v>3515169410</v>
      </c>
      <c r="J710" s="7" t="str">
        <f>IFERROR(__xludf.DUMMYFUNCTION("""COMPUTED_VALUE"""),"Instagram")</f>
        <v>Instagram</v>
      </c>
      <c r="K710" s="7" t="str">
        <f>IFERROR(__xludf.DUMMYFUNCTION("""COMPUTED_VALUE"""),"Particular")</f>
        <v>Particular</v>
      </c>
      <c r="L710" s="7"/>
      <c r="M710" s="7" t="str">
        <f>IFERROR(__xludf.DUMMYFUNCTION("""COMPUTED_VALUE"""),"Si")</f>
        <v>Si</v>
      </c>
      <c r="N710" s="7" t="str">
        <f>IFERROR(__xludf.DUMMYFUNCTION("""COMPUTED_VALUE"""),"Fútbol")</f>
        <v>Fútbol</v>
      </c>
      <c r="O710" s="7" t="str">
        <f>IFERROR(__xludf.DUMMYFUNCTION("""COMPUTED_VALUE"""),"3 a 5 veces por semana")</f>
        <v>3 a 5 veces por semana</v>
      </c>
      <c r="P710" s="7"/>
      <c r="Q710" s="7"/>
      <c r="R710" s="7"/>
      <c r="S710" s="7"/>
    </row>
    <row r="711">
      <c r="A711" s="7" t="str">
        <f t="shared" si="1"/>
        <v> Carballo , Victoria </v>
      </c>
      <c r="B711" s="7">
        <f>SUMIFS('bd caja'!$K$1:$K$1012,'bd caja'!$D$1:$D$1012,A711)</f>
        <v>0</v>
      </c>
      <c r="C711" s="19">
        <f>IFERROR(__xludf.DUMMYFUNCTION("""COMPUTED_VALUE"""),45560.482727118055)</f>
        <v>45560.48273</v>
      </c>
      <c r="D711" s="7" t="str">
        <f>IFERROR(__xludf.DUMMYFUNCTION("""COMPUTED_VALUE""")," Carballo ")</f>
        <v> Carballo </v>
      </c>
      <c r="E711" s="7" t="str">
        <f>IFERROR(__xludf.DUMMYFUNCTION("""COMPUTED_VALUE"""),"Victoria ")</f>
        <v>Victoria </v>
      </c>
      <c r="F711" s="7" t="str">
        <f>IFERROR(__xludf.DUMMYFUNCTION("""COMPUTED_VALUE"""),"victoriacarballogonzalez@gmail.com")</f>
        <v>victoriacarballogonzalez@gmail.com</v>
      </c>
      <c r="G711" s="20">
        <f>IFERROR(__xludf.DUMMYFUNCTION("""COMPUTED_VALUE"""),29324.0)</f>
        <v>29324</v>
      </c>
      <c r="H711" s="7">
        <f>IFERROR(__xludf.DUMMYFUNCTION("""COMPUTED_VALUE"""),9.3906461E7)</f>
        <v>93906461</v>
      </c>
      <c r="I711" s="7">
        <f>IFERROR(__xludf.DUMMYFUNCTION("""COMPUTED_VALUE"""),3.516248316E9)</f>
        <v>3516248316</v>
      </c>
      <c r="J711" s="7" t="str">
        <f>IFERROR(__xludf.DUMMYFUNCTION("""COMPUTED_VALUE"""),"Google")</f>
        <v>Google</v>
      </c>
      <c r="K711" s="7" t="str">
        <f>IFERROR(__xludf.DUMMYFUNCTION("""COMPUTED_VALUE"""),"Obra social")</f>
        <v>Obra social</v>
      </c>
      <c r="L711" s="7"/>
      <c r="M711" s="7" t="str">
        <f>IFERROR(__xludf.DUMMYFUNCTION("""COMPUTED_VALUE"""),"No")</f>
        <v>No</v>
      </c>
      <c r="N711" s="7"/>
      <c r="O711" s="7"/>
      <c r="P711" s="7"/>
      <c r="Q711" s="7" t="str">
        <f>IFERROR(__xludf.DUMMYFUNCTION("""COMPUTED_VALUE"""),"DASPU")</f>
        <v>DASPU</v>
      </c>
      <c r="R711" s="7"/>
      <c r="S711" s="7"/>
    </row>
    <row r="712">
      <c r="A712" s="7" t="str">
        <f t="shared" si="1"/>
        <v>Cabrera , Nicolas</v>
      </c>
      <c r="B712" s="7">
        <f>SUMIFS('bd caja'!$K$1:$K$1012,'bd caja'!$D$1:$D$1012,A712)</f>
        <v>0</v>
      </c>
      <c r="C712" s="19">
        <f>IFERROR(__xludf.DUMMYFUNCTION("""COMPUTED_VALUE"""),45560.5961643287)</f>
        <v>45560.59616</v>
      </c>
      <c r="D712" s="7" t="str">
        <f>IFERROR(__xludf.DUMMYFUNCTION("""COMPUTED_VALUE"""),"Cabrera ")</f>
        <v>Cabrera </v>
      </c>
      <c r="E712" s="7" t="str">
        <f>IFERROR(__xludf.DUMMYFUNCTION("""COMPUTED_VALUE"""),"Nicolas")</f>
        <v>Nicolas</v>
      </c>
      <c r="F712" s="7" t="str">
        <f>IFERROR(__xludf.DUMMYFUNCTION("""COMPUTED_VALUE"""),"elpirata.nico10@gmail.com")</f>
        <v>elpirata.nico10@gmail.com</v>
      </c>
      <c r="G712" s="20">
        <f>IFERROR(__xludf.DUMMYFUNCTION("""COMPUTED_VALUE"""),31796.0)</f>
        <v>31796</v>
      </c>
      <c r="H712" s="7">
        <f>IFERROR(__xludf.DUMMYFUNCTION("""COMPUTED_VALUE"""),3.2785705E7)</f>
        <v>32785705</v>
      </c>
      <c r="I712" s="7">
        <f>IFERROR(__xludf.DUMMYFUNCTION("""COMPUTED_VALUE"""),3.512503307E9)</f>
        <v>3512503307</v>
      </c>
      <c r="J712" s="7" t="str">
        <f>IFERROR(__xludf.DUMMYFUNCTION("""COMPUTED_VALUE"""),"Cartilla Obra Social")</f>
        <v>Cartilla Obra Social</v>
      </c>
      <c r="K712" s="7" t="str">
        <f>IFERROR(__xludf.DUMMYFUNCTION("""COMPUTED_VALUE"""),"Obra social")</f>
        <v>Obra social</v>
      </c>
      <c r="L712" s="7"/>
      <c r="M712" s="7" t="str">
        <f>IFERROR(__xludf.DUMMYFUNCTION("""COMPUTED_VALUE"""),"No")</f>
        <v>No</v>
      </c>
      <c r="N712" s="7"/>
      <c r="O712" s="7"/>
      <c r="P712" s="7"/>
      <c r="Q712" s="7" t="str">
        <f>IFERROR(__xludf.DUMMYFUNCTION("""COMPUTED_VALUE"""),"Boreal")</f>
        <v>Boreal</v>
      </c>
      <c r="R712" s="7"/>
      <c r="S712" s="7"/>
    </row>
    <row r="713">
      <c r="A713" s="7" t="str">
        <f t="shared" si="1"/>
        <v>Ardini, Maximiliano </v>
      </c>
      <c r="B713" s="7">
        <f>SUMIFS('bd caja'!$K$1:$K$1012,'bd caja'!$D$1:$D$1012,A713)</f>
        <v>0</v>
      </c>
      <c r="C713" s="19">
        <f>IFERROR(__xludf.DUMMYFUNCTION("""COMPUTED_VALUE"""),45560.748012662036)</f>
        <v>45560.74801</v>
      </c>
      <c r="D713" s="7" t="str">
        <f>IFERROR(__xludf.DUMMYFUNCTION("""COMPUTED_VALUE"""),"Ardini")</f>
        <v>Ardini</v>
      </c>
      <c r="E713" s="7" t="str">
        <f>IFERROR(__xludf.DUMMYFUNCTION("""COMPUTED_VALUE"""),"Maximiliano ")</f>
        <v>Maximiliano </v>
      </c>
      <c r="F713" s="7" t="str">
        <f>IFERROR(__xludf.DUMMYFUNCTION("""COMPUTED_VALUE"""),"Maxiardini@gmail.com")</f>
        <v>Maxiardini@gmail.com</v>
      </c>
      <c r="G713" s="20">
        <f>IFERROR(__xludf.DUMMYFUNCTION("""COMPUTED_VALUE"""),33843.0)</f>
        <v>33843</v>
      </c>
      <c r="H713" s="7">
        <f>IFERROR(__xludf.DUMMYFUNCTION("""COMPUTED_VALUE"""),3.8328928E7)</f>
        <v>38328928</v>
      </c>
      <c r="I713" s="7">
        <f>IFERROR(__xludf.DUMMYFUNCTION("""COMPUTED_VALUE"""),3.513717271E9)</f>
        <v>3513717271</v>
      </c>
      <c r="J713" s="7" t="str">
        <f>IFERROR(__xludf.DUMMYFUNCTION("""COMPUTED_VALUE"""),"Voy al gym Manantial")</f>
        <v>Voy al gym Manantial</v>
      </c>
      <c r="K713" s="7" t="str">
        <f>IFERROR(__xludf.DUMMYFUNCTION("""COMPUTED_VALUE"""),"Obra social")</f>
        <v>Obra social</v>
      </c>
      <c r="L713" s="7"/>
      <c r="M713" s="7" t="str">
        <f>IFERROR(__xludf.DUMMYFUNCTION("""COMPUTED_VALUE"""),"Si")</f>
        <v>Si</v>
      </c>
      <c r="N713" s="7" t="str">
        <f>IFERROR(__xludf.DUMMYFUNCTION("""COMPUTED_VALUE"""),"Fútbol")</f>
        <v>Fútbol</v>
      </c>
      <c r="O713" s="7" t="str">
        <f>IFERROR(__xludf.DUMMYFUNCTION("""COMPUTED_VALUE"""),"3 a 5 veces por semana")</f>
        <v>3 a 5 veces por semana</v>
      </c>
      <c r="P713" s="7"/>
      <c r="Q713" s="7" t="str">
        <f>IFERROR(__xludf.DUMMYFUNCTION("""COMPUTED_VALUE"""),"Unimed")</f>
        <v>Unimed</v>
      </c>
      <c r="R713" s="7"/>
      <c r="S713" s="7"/>
    </row>
    <row r="714">
      <c r="A714" s="7" t="str">
        <f t="shared" si="1"/>
        <v>Freire, Mara</v>
      </c>
      <c r="B714" s="7">
        <f>SUMIFS('bd caja'!$K$1:$K$1012,'bd caja'!$D$1:$D$1012,A714)</f>
        <v>0</v>
      </c>
      <c r="C714" s="19">
        <f>IFERROR(__xludf.DUMMYFUNCTION("""COMPUTED_VALUE"""),45561.45607901621)</f>
        <v>45561.45608</v>
      </c>
      <c r="D714" s="7" t="str">
        <f>IFERROR(__xludf.DUMMYFUNCTION("""COMPUTED_VALUE"""),"Freire")</f>
        <v>Freire</v>
      </c>
      <c r="E714" s="7" t="str">
        <f>IFERROR(__xludf.DUMMYFUNCTION("""COMPUTED_VALUE"""),"Mara")</f>
        <v>Mara</v>
      </c>
      <c r="F714" s="7" t="str">
        <f>IFERROR(__xludf.DUMMYFUNCTION("""COMPUTED_VALUE"""),"marafreire1204@gmail.com")</f>
        <v>marafreire1204@gmail.com</v>
      </c>
      <c r="G714" s="20">
        <f>IFERROR(__xludf.DUMMYFUNCTION("""COMPUTED_VALUE"""),33706.0)</f>
        <v>33706</v>
      </c>
      <c r="H714" s="7">
        <f>IFERROR(__xludf.DUMMYFUNCTION("""COMPUTED_VALUE"""),3.562342E7)</f>
        <v>35623420</v>
      </c>
      <c r="I714" s="7">
        <f>IFERROR(__xludf.DUMMYFUNCTION("""COMPUTED_VALUE"""),3.513711819E9)</f>
        <v>3513711819</v>
      </c>
      <c r="J714" s="7" t="str">
        <f>IFERROR(__xludf.DUMMYFUNCTION("""COMPUTED_VALUE"""),"Cartilla Obra Social")</f>
        <v>Cartilla Obra Social</v>
      </c>
      <c r="K714" s="7" t="str">
        <f>IFERROR(__xludf.DUMMYFUNCTION("""COMPUTED_VALUE"""),"Obra social")</f>
        <v>Obra social</v>
      </c>
      <c r="L714" s="7"/>
      <c r="M714" s="7" t="str">
        <f>IFERROR(__xludf.DUMMYFUNCTION("""COMPUTED_VALUE"""),"Si")</f>
        <v>Si</v>
      </c>
      <c r="N714" s="7" t="str">
        <f>IFERROR(__xludf.DUMMYFUNCTION("""COMPUTED_VALUE"""),"Gimnasio")</f>
        <v>Gimnasio</v>
      </c>
      <c r="O714" s="7" t="str">
        <f>IFERROR(__xludf.DUMMYFUNCTION("""COMPUTED_VALUE"""),"3 a 5 veces por semana")</f>
        <v>3 a 5 veces por semana</v>
      </c>
      <c r="P714" s="7"/>
      <c r="Q714" s="7" t="str">
        <f>IFERROR(__xludf.DUMMYFUNCTION("""COMPUTED_VALUE"""),"PREVENCIÓN")</f>
        <v>PREVENCIÓN</v>
      </c>
      <c r="R714" s="7"/>
      <c r="S714" s="7"/>
    </row>
    <row r="715">
      <c r="A715" s="7" t="str">
        <f t="shared" si="1"/>
        <v>Soria, Celeste</v>
      </c>
      <c r="B715" s="7">
        <f>SUMIFS('bd caja'!$K$1:$K$1012,'bd caja'!$D$1:$D$1012,A715)</f>
        <v>0</v>
      </c>
      <c r="C715" s="19">
        <f>IFERROR(__xludf.DUMMYFUNCTION("""COMPUTED_VALUE"""),45561.565180590274)</f>
        <v>45561.56518</v>
      </c>
      <c r="D715" s="7" t="str">
        <f>IFERROR(__xludf.DUMMYFUNCTION("""COMPUTED_VALUE"""),"Soria")</f>
        <v>Soria</v>
      </c>
      <c r="E715" s="7" t="str">
        <f>IFERROR(__xludf.DUMMYFUNCTION("""COMPUTED_VALUE"""),"Celeste")</f>
        <v>Celeste</v>
      </c>
      <c r="F715" s="7" t="str">
        <f>IFERROR(__xludf.DUMMYFUNCTION("""COMPUTED_VALUE"""),"Celesoria3179@gmail.com")</f>
        <v>Celesoria3179@gmail.com</v>
      </c>
      <c r="G715" s="20">
        <f>IFERROR(__xludf.DUMMYFUNCTION("""COMPUTED_VALUE"""),29219.0)</f>
        <v>29219</v>
      </c>
      <c r="H715" s="7">
        <f>IFERROR(__xludf.DUMMYFUNCTION("""COMPUTED_VALUE"""),2.7671345E7)</f>
        <v>27671345</v>
      </c>
      <c r="I715" s="7">
        <f>IFERROR(__xludf.DUMMYFUNCTION("""COMPUTED_VALUE"""),3.516175658E9)</f>
        <v>3516175658</v>
      </c>
      <c r="J715" s="7" t="str">
        <f>IFERROR(__xludf.DUMMYFUNCTION("""COMPUTED_VALUE"""),"Cartilla Obra Social")</f>
        <v>Cartilla Obra Social</v>
      </c>
      <c r="K715" s="7" t="str">
        <f>IFERROR(__xludf.DUMMYFUNCTION("""COMPUTED_VALUE"""),"Obra social")</f>
        <v>Obra social</v>
      </c>
      <c r="L715" s="7"/>
      <c r="M715" s="7" t="str">
        <f>IFERROR(__xludf.DUMMYFUNCTION("""COMPUTED_VALUE"""),"No")</f>
        <v>No</v>
      </c>
      <c r="N715" s="7"/>
      <c r="O715" s="7"/>
      <c r="P715" s="7"/>
      <c r="Q715" s="7" t="str">
        <f>IFERROR(__xludf.DUMMYFUNCTION("""COMPUTED_VALUE"""),"SANCOR")</f>
        <v>SANCOR</v>
      </c>
      <c r="R715" s="7"/>
      <c r="S715" s="7"/>
    </row>
    <row r="716">
      <c r="A716" s="7" t="str">
        <f t="shared" si="1"/>
        <v>Nicolas, Kwiecinski</v>
      </c>
      <c r="B716" s="7">
        <f>SUMIFS('bd caja'!$K$1:$K$1012,'bd caja'!$D$1:$D$1012,A716)</f>
        <v>0</v>
      </c>
      <c r="C716" s="19">
        <f>IFERROR(__xludf.DUMMYFUNCTION("""COMPUTED_VALUE"""),45561.96918467592)</f>
        <v>45561.96918</v>
      </c>
      <c r="D716" s="7" t="str">
        <f>IFERROR(__xludf.DUMMYFUNCTION("""COMPUTED_VALUE"""),"Nicolas")</f>
        <v>Nicolas</v>
      </c>
      <c r="E716" s="7" t="str">
        <f>IFERROR(__xludf.DUMMYFUNCTION("""COMPUTED_VALUE"""),"Kwiecinski")</f>
        <v>Kwiecinski</v>
      </c>
      <c r="F716" s="7" t="str">
        <f>IFERROR(__xludf.DUMMYFUNCTION("""COMPUTED_VALUE"""),"nicolaskw77@gmail.com")</f>
        <v>nicolaskw77@gmail.com</v>
      </c>
      <c r="G716" s="20">
        <f>IFERROR(__xludf.DUMMYFUNCTION("""COMPUTED_VALUE"""),34051.0)</f>
        <v>34051</v>
      </c>
      <c r="H716" s="7">
        <f>IFERROR(__xludf.DUMMYFUNCTION("""COMPUTED_VALUE"""),3.7476608E7)</f>
        <v>37476608</v>
      </c>
      <c r="I716" s="7">
        <f>IFERROR(__xludf.DUMMYFUNCTION("""COMPUTED_VALUE"""),3.513741771E9)</f>
        <v>3513741771</v>
      </c>
      <c r="J716" s="7" t="str">
        <f>IFERROR(__xludf.DUMMYFUNCTION("""COMPUTED_VALUE"""),"Recomendación")</f>
        <v>Recomendación</v>
      </c>
      <c r="K716" s="7" t="str">
        <f>IFERROR(__xludf.DUMMYFUNCTION("""COMPUTED_VALUE"""),"Particular")</f>
        <v>Particular</v>
      </c>
      <c r="L716" s="7"/>
      <c r="M716" s="7" t="str">
        <f>IFERROR(__xludf.DUMMYFUNCTION("""COMPUTED_VALUE"""),"No")</f>
        <v>No</v>
      </c>
      <c r="N716" s="7"/>
      <c r="O716" s="7"/>
      <c r="P716" s="7"/>
      <c r="Q716" s="7"/>
      <c r="R716" s="7"/>
      <c r="S716" s="7"/>
    </row>
    <row r="717">
      <c r="A717" s="7" t="str">
        <f t="shared" si="1"/>
        <v>Oliviero, Eliana</v>
      </c>
      <c r="B717" s="7">
        <f>SUMIFS('bd caja'!$K$1:$K$1012,'bd caja'!$D$1:$D$1012,A717)</f>
        <v>0</v>
      </c>
      <c r="C717" s="19">
        <f>IFERROR(__xludf.DUMMYFUNCTION("""COMPUTED_VALUE"""),45562.64346263889)</f>
        <v>45562.64346</v>
      </c>
      <c r="D717" s="7" t="str">
        <f>IFERROR(__xludf.DUMMYFUNCTION("""COMPUTED_VALUE"""),"Oliviero")</f>
        <v>Oliviero</v>
      </c>
      <c r="E717" s="7" t="str">
        <f>IFERROR(__xludf.DUMMYFUNCTION("""COMPUTED_VALUE"""),"Eliana")</f>
        <v>Eliana</v>
      </c>
      <c r="F717" s="7" t="str">
        <f>IFERROR(__xludf.DUMMYFUNCTION("""COMPUTED_VALUE"""),"Eliana.oliviero1985@gmail.com")</f>
        <v>Eliana.oliviero1985@gmail.com</v>
      </c>
      <c r="G717" s="20">
        <f>IFERROR(__xludf.DUMMYFUNCTION("""COMPUTED_VALUE"""),31272.0)</f>
        <v>31272</v>
      </c>
      <c r="H717" s="7">
        <f>IFERROR(__xludf.DUMMYFUNCTION("""COMPUTED_VALUE"""),3.1769213E7)</f>
        <v>31769213</v>
      </c>
      <c r="I717" s="7">
        <f>IFERROR(__xludf.DUMMYFUNCTION("""COMPUTED_VALUE"""),3.515393323E9)</f>
        <v>3515393323</v>
      </c>
      <c r="J717" s="7" t="str">
        <f>IFERROR(__xludf.DUMMYFUNCTION("""COMPUTED_VALUE"""),"Voy al gym Manantial")</f>
        <v>Voy al gym Manantial</v>
      </c>
      <c r="K717" s="7" t="str">
        <f>IFERROR(__xludf.DUMMYFUNCTION("""COMPUTED_VALUE"""),"Particular")</f>
        <v>Particular</v>
      </c>
      <c r="L717" s="7"/>
      <c r="M717" s="7" t="str">
        <f>IFERROR(__xludf.DUMMYFUNCTION("""COMPUTED_VALUE"""),"Si")</f>
        <v>Si</v>
      </c>
      <c r="N717" s="7" t="str">
        <f>IFERROR(__xludf.DUMMYFUNCTION("""COMPUTED_VALUE"""),"Gimnasio")</f>
        <v>Gimnasio</v>
      </c>
      <c r="O717" s="7" t="str">
        <f>IFERROR(__xludf.DUMMYFUNCTION("""COMPUTED_VALUE"""),"3 a 5 veces por semana")</f>
        <v>3 a 5 veces por semana</v>
      </c>
      <c r="P717" s="7"/>
      <c r="Q717" s="7"/>
      <c r="R717" s="7"/>
      <c r="S717" s="7"/>
    </row>
    <row r="718">
      <c r="A718" s="7" t="str">
        <f t="shared" si="1"/>
        <v>Gawuryn, Joel</v>
      </c>
      <c r="B718" s="7">
        <f>SUMIFS('bd caja'!$K$1:$K$1012,'bd caja'!$D$1:$D$1012,A718)</f>
        <v>0</v>
      </c>
      <c r="C718" s="19">
        <f>IFERROR(__xludf.DUMMYFUNCTION("""COMPUTED_VALUE"""),45562.6527130787)</f>
        <v>45562.65271</v>
      </c>
      <c r="D718" s="7" t="str">
        <f>IFERROR(__xludf.DUMMYFUNCTION("""COMPUTED_VALUE"""),"Gawuryn")</f>
        <v>Gawuryn</v>
      </c>
      <c r="E718" s="7" t="str">
        <f>IFERROR(__xludf.DUMMYFUNCTION("""COMPUTED_VALUE"""),"Joel")</f>
        <v>Joel</v>
      </c>
      <c r="F718" s="7" t="str">
        <f>IFERROR(__xludf.DUMMYFUNCTION("""COMPUTED_VALUE"""),"joelsgaw@gmail.com")</f>
        <v>joelsgaw@gmail.com</v>
      </c>
      <c r="G718" s="20">
        <f>IFERROR(__xludf.DUMMYFUNCTION("""COMPUTED_VALUE"""),34465.0)</f>
        <v>34465</v>
      </c>
      <c r="H718" s="7">
        <f>IFERROR(__xludf.DUMMYFUNCTION("""COMPUTED_VALUE"""),3.8329576E7)</f>
        <v>38329576</v>
      </c>
      <c r="I718" s="7">
        <f>IFERROR(__xludf.DUMMYFUNCTION("""COMPUTED_VALUE"""),3.516110785E9)</f>
        <v>3516110785</v>
      </c>
      <c r="J718" s="7" t="str">
        <f>IFERROR(__xludf.DUMMYFUNCTION("""COMPUTED_VALUE"""),"Voy al gym Manantial")</f>
        <v>Voy al gym Manantial</v>
      </c>
      <c r="K718" s="7" t="str">
        <f>IFERROR(__xludf.DUMMYFUNCTION("""COMPUTED_VALUE"""),"Particular")</f>
        <v>Particular</v>
      </c>
      <c r="L718" s="7"/>
      <c r="M718" s="7" t="str">
        <f>IFERROR(__xludf.DUMMYFUNCTION("""COMPUTED_VALUE"""),"Si")</f>
        <v>Si</v>
      </c>
      <c r="N718" s="7" t="str">
        <f>IFERROR(__xludf.DUMMYFUNCTION("""COMPUTED_VALUE"""),"Fútbol")</f>
        <v>Fútbol</v>
      </c>
      <c r="O718" s="7" t="str">
        <f>IFERROR(__xludf.DUMMYFUNCTION("""COMPUTED_VALUE"""),"3 a 5 veces por semana")</f>
        <v>3 a 5 veces por semana</v>
      </c>
      <c r="P718" s="7"/>
      <c r="Q718" s="7"/>
      <c r="R718" s="7"/>
      <c r="S718" s="7"/>
    </row>
    <row r="719">
      <c r="A719" s="7" t="str">
        <f t="shared" si="1"/>
        <v>Guido, Donatela </v>
      </c>
      <c r="B719" s="7">
        <f>SUMIFS('bd caja'!$K$1:$K$1012,'bd caja'!$D$1:$D$1012,A719)</f>
        <v>0</v>
      </c>
      <c r="C719" s="19">
        <f>IFERROR(__xludf.DUMMYFUNCTION("""COMPUTED_VALUE"""),45562.84715621528)</f>
        <v>45562.84716</v>
      </c>
      <c r="D719" s="7" t="str">
        <f>IFERROR(__xludf.DUMMYFUNCTION("""COMPUTED_VALUE"""),"Guido")</f>
        <v>Guido</v>
      </c>
      <c r="E719" s="7" t="str">
        <f>IFERROR(__xludf.DUMMYFUNCTION("""COMPUTED_VALUE"""),"Donatela ")</f>
        <v>Donatela </v>
      </c>
      <c r="F719" s="7" t="str">
        <f>IFERROR(__xludf.DUMMYFUNCTION("""COMPUTED_VALUE"""),"guidodonatela@gmail.com")</f>
        <v>guidodonatela@gmail.com</v>
      </c>
      <c r="G719" s="20">
        <f>IFERROR(__xludf.DUMMYFUNCTION("""COMPUTED_VALUE"""),32544.0)</f>
        <v>32544</v>
      </c>
      <c r="H719" s="7">
        <f>IFERROR(__xludf.DUMMYFUNCTION("""COMPUTED_VALUE"""),3.4246624E7)</f>
        <v>34246624</v>
      </c>
      <c r="I719" s="7">
        <f>IFERROR(__xludf.DUMMYFUNCTION("""COMPUTED_VALUE"""),3.515930298E9)</f>
        <v>3515930298</v>
      </c>
      <c r="J719" s="7" t="str">
        <f>IFERROR(__xludf.DUMMYFUNCTION("""COMPUTED_VALUE"""),"Voy al gym Manantial")</f>
        <v>Voy al gym Manantial</v>
      </c>
      <c r="K719" s="7" t="str">
        <f>IFERROR(__xludf.DUMMYFUNCTION("""COMPUTED_VALUE"""),"Obra social")</f>
        <v>Obra social</v>
      </c>
      <c r="L719" s="7"/>
      <c r="M719" s="7" t="str">
        <f>IFERROR(__xludf.DUMMYFUNCTION("""COMPUTED_VALUE"""),"Si")</f>
        <v>Si</v>
      </c>
      <c r="N719" s="7" t="str">
        <f>IFERROR(__xludf.DUMMYFUNCTION("""COMPUTED_VALUE"""),"Gimnasio")</f>
        <v>Gimnasio</v>
      </c>
      <c r="O719" s="7" t="str">
        <f>IFERROR(__xludf.DUMMYFUNCTION("""COMPUTED_VALUE"""),"1 a 2 veces por semana")</f>
        <v>1 a 2 veces por semana</v>
      </c>
      <c r="P719" s="7"/>
      <c r="Q719" s="7" t="str">
        <f>IFERROR(__xludf.DUMMYFUNCTION("""COMPUTED_VALUE"""),"DASPU")</f>
        <v>DASPU</v>
      </c>
      <c r="R719" s="7"/>
      <c r="S719" s="7"/>
    </row>
    <row r="720">
      <c r="A720" s="7" t="str">
        <f t="shared" si="1"/>
        <v>Lutteral, Jessica Natalia</v>
      </c>
      <c r="B720" s="7">
        <f>SUMIFS('bd caja'!$K$1:$K$1012,'bd caja'!$D$1:$D$1012,A720)</f>
        <v>0</v>
      </c>
      <c r="C720" s="19">
        <f>IFERROR(__xludf.DUMMYFUNCTION("""COMPUTED_VALUE"""),45563.55964872685)</f>
        <v>45563.55965</v>
      </c>
      <c r="D720" s="7" t="str">
        <f>IFERROR(__xludf.DUMMYFUNCTION("""COMPUTED_VALUE"""),"Lutteral")</f>
        <v>Lutteral</v>
      </c>
      <c r="E720" s="7" t="str">
        <f>IFERROR(__xludf.DUMMYFUNCTION("""COMPUTED_VALUE"""),"Jessica Natalia")</f>
        <v>Jessica Natalia</v>
      </c>
      <c r="F720" s="7" t="str">
        <f>IFERROR(__xludf.DUMMYFUNCTION("""COMPUTED_VALUE"""),"jessilutt93@gmail.com")</f>
        <v>jessilutt93@gmail.com</v>
      </c>
      <c r="G720" s="20">
        <f>IFERROR(__xludf.DUMMYFUNCTION("""COMPUTED_VALUE"""),34152.0)</f>
        <v>34152</v>
      </c>
      <c r="H720" s="7">
        <f>IFERROR(__xludf.DUMMYFUNCTION("""COMPUTED_VALUE"""),3.761917E7)</f>
        <v>37619170</v>
      </c>
      <c r="I720" s="7">
        <f>IFERROR(__xludf.DUMMYFUNCTION("""COMPUTED_VALUE"""),3.513088065E9)</f>
        <v>3513088065</v>
      </c>
      <c r="J720" s="7" t="str">
        <f>IFERROR(__xludf.DUMMYFUNCTION("""COMPUTED_VALUE"""),"Instagram")</f>
        <v>Instagram</v>
      </c>
      <c r="K720" s="7" t="str">
        <f>IFERROR(__xludf.DUMMYFUNCTION("""COMPUTED_VALUE"""),"Obra social")</f>
        <v>Obra social</v>
      </c>
      <c r="L720" s="7"/>
      <c r="M720" s="7" t="str">
        <f>IFERROR(__xludf.DUMMYFUNCTION("""COMPUTED_VALUE"""),"Si")</f>
        <v>Si</v>
      </c>
      <c r="N720" s="7" t="str">
        <f>IFERROR(__xludf.DUMMYFUNCTION("""COMPUTED_VALUE"""),"Taekwondo")</f>
        <v>Taekwondo</v>
      </c>
      <c r="O720" s="7" t="str">
        <f>IFERROR(__xludf.DUMMYFUNCTION("""COMPUTED_VALUE"""),"1 a 2 veces por semana")</f>
        <v>1 a 2 veces por semana</v>
      </c>
      <c r="P720" s="7"/>
      <c r="Q720" s="7" t="str">
        <f>IFERROR(__xludf.DUMMYFUNCTION("""COMPUTED_VALUE"""),"SANCOR")</f>
        <v>SANCOR</v>
      </c>
      <c r="R720" s="7"/>
      <c r="S720" s="7"/>
    </row>
    <row r="721">
      <c r="A721" s="7" t="str">
        <f t="shared" si="1"/>
        <v>Nicolas, Kwiecinski</v>
      </c>
      <c r="B721" s="7">
        <f>SUMIFS('bd caja'!$K$1:$K$1012,'bd caja'!$D$1:$D$1012,A721)</f>
        <v>0</v>
      </c>
      <c r="C721" s="19">
        <f>IFERROR(__xludf.DUMMYFUNCTION("""COMPUTED_VALUE"""),45563.65193283565)</f>
        <v>45563.65193</v>
      </c>
      <c r="D721" s="7" t="str">
        <f>IFERROR(__xludf.DUMMYFUNCTION("""COMPUTED_VALUE"""),"Nicolas")</f>
        <v>Nicolas</v>
      </c>
      <c r="E721" s="7" t="str">
        <f>IFERROR(__xludf.DUMMYFUNCTION("""COMPUTED_VALUE"""),"Kwiecinski")</f>
        <v>Kwiecinski</v>
      </c>
      <c r="F721" s="7" t="str">
        <f>IFERROR(__xludf.DUMMYFUNCTION("""COMPUTED_VALUE"""),"nicolaskw77@gmail.com")</f>
        <v>nicolaskw77@gmail.com</v>
      </c>
      <c r="G721" s="20">
        <f>IFERROR(__xludf.DUMMYFUNCTION("""COMPUTED_VALUE"""),34051.0)</f>
        <v>34051</v>
      </c>
      <c r="H721" s="7">
        <f>IFERROR(__xludf.DUMMYFUNCTION("""COMPUTED_VALUE"""),3.7476608E7)</f>
        <v>37476608</v>
      </c>
      <c r="I721" s="7">
        <f>IFERROR(__xludf.DUMMYFUNCTION("""COMPUTED_VALUE"""),3.513741771E9)</f>
        <v>3513741771</v>
      </c>
      <c r="J721" s="7" t="str">
        <f>IFERROR(__xludf.DUMMYFUNCTION("""COMPUTED_VALUE"""),"Recomendación")</f>
        <v>Recomendación</v>
      </c>
      <c r="K721" s="7" t="str">
        <f>IFERROR(__xludf.DUMMYFUNCTION("""COMPUTED_VALUE"""),"Particular")</f>
        <v>Particular</v>
      </c>
      <c r="L721" s="7"/>
      <c r="M721" s="7" t="str">
        <f>IFERROR(__xludf.DUMMYFUNCTION("""COMPUTED_VALUE"""),"No")</f>
        <v>No</v>
      </c>
      <c r="N721" s="7"/>
      <c r="O721" s="7"/>
      <c r="P721" s="7"/>
      <c r="Q721" s="7"/>
      <c r="R721" s="7"/>
      <c r="S721" s="7"/>
    </row>
    <row r="722">
      <c r="A722" s="7" t="str">
        <f t="shared" si="1"/>
        <v>Palacios , Luciano</v>
      </c>
      <c r="B722" s="7">
        <f>SUMIFS('bd caja'!$K$1:$K$1012,'bd caja'!$D$1:$D$1012,A722)</f>
        <v>0</v>
      </c>
      <c r="C722" s="19">
        <f>IFERROR(__xludf.DUMMYFUNCTION("""COMPUTED_VALUE"""),45565.74458827546)</f>
        <v>45565.74459</v>
      </c>
      <c r="D722" s="7" t="str">
        <f>IFERROR(__xludf.DUMMYFUNCTION("""COMPUTED_VALUE"""),"Palacios ")</f>
        <v>Palacios </v>
      </c>
      <c r="E722" s="7" t="str">
        <f>IFERROR(__xludf.DUMMYFUNCTION("""COMPUTED_VALUE"""),"Luciano")</f>
        <v>Luciano</v>
      </c>
      <c r="F722" s="7" t="str">
        <f>IFERROR(__xludf.DUMMYFUNCTION("""COMPUTED_VALUE"""),"lucianopalacios48@gmail.com")</f>
        <v>lucianopalacios48@gmail.com</v>
      </c>
      <c r="G722" s="20">
        <f>IFERROR(__xludf.DUMMYFUNCTION("""COMPUTED_VALUE"""),36279.0)</f>
        <v>36279</v>
      </c>
      <c r="H722" s="7">
        <f>IFERROR(__xludf.DUMMYFUNCTION("""COMPUTED_VALUE"""),4.1887291E7)</f>
        <v>41887291</v>
      </c>
      <c r="I722" s="7">
        <f>IFERROR(__xludf.DUMMYFUNCTION("""COMPUTED_VALUE"""),3.516890302E9)</f>
        <v>3516890302</v>
      </c>
      <c r="J722" s="7" t="str">
        <f>IFERROR(__xludf.DUMMYFUNCTION("""COMPUTED_VALUE"""),"Voy al gym Manantial")</f>
        <v>Voy al gym Manantial</v>
      </c>
      <c r="K722" s="7" t="str">
        <f>IFERROR(__xludf.DUMMYFUNCTION("""COMPUTED_VALUE"""),"Particular")</f>
        <v>Particular</v>
      </c>
      <c r="L722" s="7"/>
      <c r="M722" s="7" t="str">
        <f>IFERROR(__xludf.DUMMYFUNCTION("""COMPUTED_VALUE"""),"Si")</f>
        <v>Si</v>
      </c>
      <c r="N722" s="7" t="str">
        <f>IFERROR(__xludf.DUMMYFUNCTION("""COMPUTED_VALUE"""),"Fútbol")</f>
        <v>Fútbol</v>
      </c>
      <c r="O722" s="7" t="str">
        <f>IFERROR(__xludf.DUMMYFUNCTION("""COMPUTED_VALUE"""),"6 a 7 veces por semana")</f>
        <v>6 a 7 veces por semana</v>
      </c>
      <c r="P722" s="7"/>
      <c r="Q722" s="7"/>
      <c r="R722" s="7"/>
      <c r="S722" s="7"/>
    </row>
    <row r="723">
      <c r="A723" s="7" t="str">
        <f t="shared" si="1"/>
        <v>Giorgetti , Angelo</v>
      </c>
      <c r="B723" s="7">
        <f>SUMIFS('bd caja'!$K$1:$K$1012,'bd caja'!$D$1:$D$1012,A723)</f>
        <v>0</v>
      </c>
      <c r="C723" s="19">
        <f>IFERROR(__xludf.DUMMYFUNCTION("""COMPUTED_VALUE"""),45566.486779768515)</f>
        <v>45566.48678</v>
      </c>
      <c r="D723" s="7" t="str">
        <f>IFERROR(__xludf.DUMMYFUNCTION("""COMPUTED_VALUE"""),"Giorgetti ")</f>
        <v>Giorgetti </v>
      </c>
      <c r="E723" s="7" t="str">
        <f>IFERROR(__xludf.DUMMYFUNCTION("""COMPUTED_VALUE"""),"Angelo")</f>
        <v>Angelo</v>
      </c>
      <c r="F723" s="7" t="str">
        <f>IFERROR(__xludf.DUMMYFUNCTION("""COMPUTED_VALUE"""),"angelogiorgetti3@gmail.com")</f>
        <v>angelogiorgetti3@gmail.com</v>
      </c>
      <c r="G723" s="20">
        <f>IFERROR(__xludf.DUMMYFUNCTION("""COMPUTED_VALUE"""),33806.0)</f>
        <v>33806</v>
      </c>
      <c r="H723" s="7">
        <f>IFERROR(__xludf.DUMMYFUNCTION("""COMPUTED_VALUE"""),3.6643179E7)</f>
        <v>36643179</v>
      </c>
      <c r="I723" s="7">
        <f>IFERROR(__xludf.DUMMYFUNCTION("""COMPUTED_VALUE"""),3.51623309E9)</f>
        <v>3516233090</v>
      </c>
      <c r="J723" s="7" t="str">
        <f>IFERROR(__xludf.DUMMYFUNCTION("""COMPUTED_VALUE"""),"Google")</f>
        <v>Google</v>
      </c>
      <c r="K723" s="7" t="str">
        <f>IFERROR(__xludf.DUMMYFUNCTION("""COMPUTED_VALUE"""),"Obra social")</f>
        <v>Obra social</v>
      </c>
      <c r="L723" s="7"/>
      <c r="M723" s="7" t="str">
        <f>IFERROR(__xludf.DUMMYFUNCTION("""COMPUTED_VALUE"""),"Si")</f>
        <v>Si</v>
      </c>
      <c r="N723" s="7" t="str">
        <f>IFERROR(__xludf.DUMMYFUNCTION("""COMPUTED_VALUE"""),"Fútbol")</f>
        <v>Fútbol</v>
      </c>
      <c r="O723" s="7" t="str">
        <f>IFERROR(__xludf.DUMMYFUNCTION("""COMPUTED_VALUE"""),"3 a 5 veces por semana")</f>
        <v>3 a 5 veces por semana</v>
      </c>
      <c r="P723" s="7"/>
      <c r="Q723" s="7" t="str">
        <f>IFERROR(__xludf.DUMMYFUNCTION("""COMPUTED_VALUE"""),"PREVENCIÓN")</f>
        <v>PREVENCIÓN</v>
      </c>
      <c r="R723" s="7"/>
      <c r="S723" s="7"/>
    </row>
    <row r="724">
      <c r="A724" s="7" t="str">
        <f t="shared" si="1"/>
        <v>Heredia, María Florencia</v>
      </c>
      <c r="B724" s="7">
        <f>SUMIFS('bd caja'!$K$1:$K$1012,'bd caja'!$D$1:$D$1012,A724)</f>
        <v>0</v>
      </c>
      <c r="C724" s="19">
        <f>IFERROR(__xludf.DUMMYFUNCTION("""COMPUTED_VALUE"""),45567.57981246528)</f>
        <v>45567.57981</v>
      </c>
      <c r="D724" s="7" t="str">
        <f>IFERROR(__xludf.DUMMYFUNCTION("""COMPUTED_VALUE"""),"Heredia")</f>
        <v>Heredia</v>
      </c>
      <c r="E724" s="7" t="str">
        <f>IFERROR(__xludf.DUMMYFUNCTION("""COMPUTED_VALUE"""),"María Florencia")</f>
        <v>María Florencia</v>
      </c>
      <c r="F724" s="7" t="str">
        <f>IFERROR(__xludf.DUMMYFUNCTION("""COMPUTED_VALUE"""),"mflorheredia24@gmail.com")</f>
        <v>mflorheredia24@gmail.com</v>
      </c>
      <c r="G724" s="20">
        <f>IFERROR(__xludf.DUMMYFUNCTION("""COMPUTED_VALUE"""),32815.0)</f>
        <v>32815</v>
      </c>
      <c r="H724" s="7">
        <f>IFERROR(__xludf.DUMMYFUNCTION("""COMPUTED_VALUE"""),3.4542656E7)</f>
        <v>34542656</v>
      </c>
      <c r="I724" s="7">
        <f>IFERROR(__xludf.DUMMYFUNCTION("""COMPUTED_VALUE"""),3.517011721E9)</f>
        <v>3517011721</v>
      </c>
      <c r="J724" s="7" t="str">
        <f>IFERROR(__xludf.DUMMYFUNCTION("""COMPUTED_VALUE"""),"Recomendación")</f>
        <v>Recomendación</v>
      </c>
      <c r="K724" s="7" t="str">
        <f>IFERROR(__xludf.DUMMYFUNCTION("""COMPUTED_VALUE"""),"Obra social")</f>
        <v>Obra social</v>
      </c>
      <c r="L724" s="7"/>
      <c r="M724" s="7" t="str">
        <f>IFERROR(__xludf.DUMMYFUNCTION("""COMPUTED_VALUE"""),"Si")</f>
        <v>Si</v>
      </c>
      <c r="N724" s="7" t="str">
        <f>IFERROR(__xludf.DUMMYFUNCTION("""COMPUTED_VALUE"""),"Tenis - Padel")</f>
        <v>Tenis - Padel</v>
      </c>
      <c r="O724" s="7" t="str">
        <f>IFERROR(__xludf.DUMMYFUNCTION("""COMPUTED_VALUE"""),"3 a 5 veces por semana")</f>
        <v>3 a 5 veces por semana</v>
      </c>
      <c r="P724" s="7"/>
      <c r="Q724" s="7" t="str">
        <f>IFERROR(__xludf.DUMMYFUNCTION("""COMPUTED_VALUE"""),"SANCOR")</f>
        <v>SANCOR</v>
      </c>
      <c r="R724" s="7"/>
      <c r="S724" s="7"/>
    </row>
    <row r="725">
      <c r="A725" s="7" t="str">
        <f t="shared" si="1"/>
        <v>Romero, Joaquin</v>
      </c>
      <c r="B725" s="7">
        <f>SUMIFS('bd caja'!$K$1:$K$1012,'bd caja'!$D$1:$D$1012,A725)</f>
        <v>0</v>
      </c>
      <c r="C725" s="19">
        <f>IFERROR(__xludf.DUMMYFUNCTION("""COMPUTED_VALUE"""),45567.65279324074)</f>
        <v>45567.65279</v>
      </c>
      <c r="D725" s="7" t="str">
        <f>IFERROR(__xludf.DUMMYFUNCTION("""COMPUTED_VALUE"""),"Romero")</f>
        <v>Romero</v>
      </c>
      <c r="E725" s="7" t="str">
        <f>IFERROR(__xludf.DUMMYFUNCTION("""COMPUTED_VALUE"""),"Joaquin")</f>
        <v>Joaquin</v>
      </c>
      <c r="F725" s="7" t="str">
        <f>IFERROR(__xludf.DUMMYFUNCTION("""COMPUTED_VALUE"""),"veronicacentini@hotmail.com")</f>
        <v>veronicacentini@hotmail.com</v>
      </c>
      <c r="G725" s="20">
        <f>IFERROR(__xludf.DUMMYFUNCTION("""COMPUTED_VALUE"""),41610.0)</f>
        <v>41610</v>
      </c>
      <c r="H725" s="7">
        <f>IFERROR(__xludf.DUMMYFUNCTION("""COMPUTED_VALUE"""),5.3505494E7)</f>
        <v>53505494</v>
      </c>
      <c r="I725" s="7">
        <f>IFERROR(__xludf.DUMMYFUNCTION("""COMPUTED_VALUE"""),3.517073124E9)</f>
        <v>3517073124</v>
      </c>
      <c r="J725" s="7" t="str">
        <f>IFERROR(__xludf.DUMMYFUNCTION("""COMPUTED_VALUE"""),"Instagram")</f>
        <v>Instagram</v>
      </c>
      <c r="K725" s="7" t="str">
        <f>IFERROR(__xludf.DUMMYFUNCTION("""COMPUTED_VALUE"""),"Obra social")</f>
        <v>Obra social</v>
      </c>
      <c r="L725" s="7"/>
      <c r="M725" s="7" t="str">
        <f>IFERROR(__xludf.DUMMYFUNCTION("""COMPUTED_VALUE"""),"Si")</f>
        <v>Si</v>
      </c>
      <c r="N725" s="7" t="str">
        <f>IFERROR(__xludf.DUMMYFUNCTION("""COMPUTED_VALUE"""),"Básquet")</f>
        <v>Básquet</v>
      </c>
      <c r="O725" s="7" t="str">
        <f>IFERROR(__xludf.DUMMYFUNCTION("""COMPUTED_VALUE"""),"3 a 5 veces por semana")</f>
        <v>3 a 5 veces por semana</v>
      </c>
      <c r="P725" s="7"/>
      <c r="Q725" s="7" t="str">
        <f>IFERROR(__xludf.DUMMYFUNCTION("""COMPUTED_VALUE"""),"SANCOR")</f>
        <v>SANCOR</v>
      </c>
      <c r="R725" s="7"/>
      <c r="S725" s="7"/>
    </row>
    <row r="726">
      <c r="A726" s="7" t="str">
        <f t="shared" si="1"/>
        <v>Lopez, Amalia</v>
      </c>
      <c r="B726" s="7">
        <f>SUMIFS('bd caja'!$K$1:$K$1012,'bd caja'!$D$1:$D$1012,A726)</f>
        <v>0</v>
      </c>
      <c r="C726" s="19">
        <f>IFERROR(__xludf.DUMMYFUNCTION("""COMPUTED_VALUE"""),45567.69454513889)</f>
        <v>45567.69455</v>
      </c>
      <c r="D726" s="7" t="str">
        <f>IFERROR(__xludf.DUMMYFUNCTION("""COMPUTED_VALUE"""),"Lopez")</f>
        <v>Lopez</v>
      </c>
      <c r="E726" s="7" t="str">
        <f>IFERROR(__xludf.DUMMYFUNCTION("""COMPUTED_VALUE"""),"Amalia")</f>
        <v>Amalia</v>
      </c>
      <c r="F726" s="7"/>
      <c r="G726" s="20">
        <f>IFERROR(__xludf.DUMMYFUNCTION("""COMPUTED_VALUE"""),14142.0)</f>
        <v>14142</v>
      </c>
      <c r="H726" s="7">
        <f>IFERROR(__xludf.DUMMYFUNCTION("""COMPUTED_VALUE"""),2035123.0)</f>
        <v>2035123</v>
      </c>
      <c r="I726" s="7">
        <f>IFERROR(__xludf.DUMMYFUNCTION("""COMPUTED_VALUE"""),3.515377216E9)</f>
        <v>3515377216</v>
      </c>
      <c r="J726" s="7" t="str">
        <f>IFERROR(__xludf.DUMMYFUNCTION("""COMPUTED_VALUE"""),"Google")</f>
        <v>Google</v>
      </c>
      <c r="K726" s="7" t="str">
        <f>IFERROR(__xludf.DUMMYFUNCTION("""COMPUTED_VALUE"""),"Particular")</f>
        <v>Particular</v>
      </c>
      <c r="L726" s="7"/>
      <c r="M726" s="7" t="str">
        <f>IFERROR(__xludf.DUMMYFUNCTION("""COMPUTED_VALUE"""),"No")</f>
        <v>No</v>
      </c>
      <c r="N726" s="7"/>
      <c r="O726" s="7"/>
      <c r="P726" s="7"/>
      <c r="Q726" s="7"/>
      <c r="R726" s="7"/>
      <c r="S726" s="7"/>
    </row>
    <row r="727">
      <c r="A727" s="7" t="str">
        <f t="shared" si="1"/>
        <v>ILLIA, Marcelo</v>
      </c>
      <c r="B727" s="7">
        <f>SUMIFS('bd caja'!$K$1:$K$1012,'bd caja'!$D$1:$D$1012,A727)</f>
        <v>0</v>
      </c>
      <c r="C727" s="19">
        <f>IFERROR(__xludf.DUMMYFUNCTION("""COMPUTED_VALUE"""),45567.764562951386)</f>
        <v>45567.76456</v>
      </c>
      <c r="D727" s="7" t="str">
        <f>IFERROR(__xludf.DUMMYFUNCTION("""COMPUTED_VALUE"""),"ILLIA")</f>
        <v>ILLIA</v>
      </c>
      <c r="E727" s="7" t="str">
        <f>IFERROR(__xludf.DUMMYFUNCTION("""COMPUTED_VALUE"""),"Marcelo")</f>
        <v>Marcelo</v>
      </c>
      <c r="F727" s="7" t="str">
        <f>IFERROR(__xludf.DUMMYFUNCTION("""COMPUTED_VALUE"""),"-")</f>
        <v>-</v>
      </c>
      <c r="G727" s="20">
        <f>IFERROR(__xludf.DUMMYFUNCTION("""COMPUTED_VALUE"""),21203.0)</f>
        <v>21203</v>
      </c>
      <c r="H727" s="7">
        <f>IFERROR(__xludf.DUMMYFUNCTION("""COMPUTED_VALUE"""),1.1956189E7)</f>
        <v>11956189</v>
      </c>
      <c r="I727" s="7">
        <f>IFERROR(__xludf.DUMMYFUNCTION("""COMPUTED_VALUE"""),3.517585112E9)</f>
        <v>3517585112</v>
      </c>
      <c r="J727" s="7" t="str">
        <f>IFERROR(__xludf.DUMMYFUNCTION("""COMPUTED_VALUE"""),"Voy al gym Manantial")</f>
        <v>Voy al gym Manantial</v>
      </c>
      <c r="K727" s="7" t="str">
        <f>IFERROR(__xludf.DUMMYFUNCTION("""COMPUTED_VALUE"""),"Particular")</f>
        <v>Particular</v>
      </c>
      <c r="L727" s="7"/>
      <c r="M727" s="7" t="str">
        <f>IFERROR(__xludf.DUMMYFUNCTION("""COMPUTED_VALUE"""),"Si")</f>
        <v>Si</v>
      </c>
      <c r="N727" s="7" t="str">
        <f>IFERROR(__xludf.DUMMYFUNCTION("""COMPUTED_VALUE"""),"Gimnasio")</f>
        <v>Gimnasio</v>
      </c>
      <c r="O727" s="7" t="str">
        <f>IFERROR(__xludf.DUMMYFUNCTION("""COMPUTED_VALUE"""),"3 a 5 veces por semana")</f>
        <v>3 a 5 veces por semana</v>
      </c>
      <c r="P727" s="7"/>
      <c r="Q727" s="7"/>
      <c r="R727" s="7"/>
      <c r="S727" s="7"/>
    </row>
    <row r="728">
      <c r="A728" s="7" t="str">
        <f t="shared" si="1"/>
        <v>Sannazzaro, Valentina</v>
      </c>
      <c r="B728" s="7">
        <f>SUMIFS('bd caja'!$K$1:$K$1012,'bd caja'!$D$1:$D$1012,A728)</f>
        <v>0</v>
      </c>
      <c r="C728" s="19">
        <f>IFERROR(__xludf.DUMMYFUNCTION("""COMPUTED_VALUE"""),45567.791359097224)</f>
        <v>45567.79136</v>
      </c>
      <c r="D728" s="7" t="str">
        <f>IFERROR(__xludf.DUMMYFUNCTION("""COMPUTED_VALUE"""),"Sannazzaro")</f>
        <v>Sannazzaro</v>
      </c>
      <c r="E728" s="7" t="str">
        <f>IFERROR(__xludf.DUMMYFUNCTION("""COMPUTED_VALUE"""),"Valentina")</f>
        <v>Valentina</v>
      </c>
      <c r="F728" s="7" t="str">
        <f>IFERROR(__xludf.DUMMYFUNCTION("""COMPUTED_VALUE"""),"snzrodolfo@gmail.com")</f>
        <v>snzrodolfo@gmail.com</v>
      </c>
      <c r="G728" s="20">
        <f>IFERROR(__xludf.DUMMYFUNCTION("""COMPUTED_VALUE"""),39763.0)</f>
        <v>39763</v>
      </c>
      <c r="H728" s="7">
        <f>IFERROR(__xludf.DUMMYFUNCTION("""COMPUTED_VALUE"""),4.9220014E7)</f>
        <v>49220014</v>
      </c>
      <c r="I728" s="7">
        <f>IFERROR(__xludf.DUMMYFUNCTION("""COMPUTED_VALUE"""),3.51245764E9)</f>
        <v>3512457640</v>
      </c>
      <c r="J728" s="7" t="str">
        <f>IFERROR(__xludf.DUMMYFUNCTION("""COMPUTED_VALUE"""),"Mi papá va a Manantial")</f>
        <v>Mi papá va a Manantial</v>
      </c>
      <c r="K728" s="7" t="str">
        <f>IFERROR(__xludf.DUMMYFUNCTION("""COMPUTED_VALUE"""),"Particular")</f>
        <v>Particular</v>
      </c>
      <c r="L728" s="7"/>
      <c r="M728" s="7" t="str">
        <f>IFERROR(__xludf.DUMMYFUNCTION("""COMPUTED_VALUE"""),"Si")</f>
        <v>Si</v>
      </c>
      <c r="N728" s="7" t="str">
        <f>IFERROR(__xludf.DUMMYFUNCTION("""COMPUTED_VALUE"""),"Gimnasio")</f>
        <v>Gimnasio</v>
      </c>
      <c r="O728" s="7" t="str">
        <f>IFERROR(__xludf.DUMMYFUNCTION("""COMPUTED_VALUE"""),"1 a 2 veces por semana")</f>
        <v>1 a 2 veces por semana</v>
      </c>
      <c r="P728" s="7"/>
      <c r="Q728" s="7"/>
      <c r="R728" s="7"/>
      <c r="S728" s="7"/>
    </row>
    <row r="729">
      <c r="A729" s="7" t="str">
        <f t="shared" si="1"/>
        <v>Parra, Guillermo </v>
      </c>
      <c r="B729" s="7">
        <f>SUMIFS('bd caja'!$K$1:$K$1012,'bd caja'!$D$1:$D$1012,A729)</f>
        <v>0</v>
      </c>
      <c r="C729" s="19">
        <f>IFERROR(__xludf.DUMMYFUNCTION("""COMPUTED_VALUE"""),45567.81328241898)</f>
        <v>45567.81328</v>
      </c>
      <c r="D729" s="7" t="str">
        <f>IFERROR(__xludf.DUMMYFUNCTION("""COMPUTED_VALUE"""),"Parra")</f>
        <v>Parra</v>
      </c>
      <c r="E729" s="7" t="str">
        <f>IFERROR(__xludf.DUMMYFUNCTION("""COMPUTED_VALUE"""),"Guillermo ")</f>
        <v>Guillermo </v>
      </c>
      <c r="F729" s="7" t="str">
        <f>IFERROR(__xludf.DUMMYFUNCTION("""COMPUTED_VALUE"""),"guillermoparra667@gmail.com")</f>
        <v>guillermoparra667@gmail.com</v>
      </c>
      <c r="G729" s="20">
        <f>IFERROR(__xludf.DUMMYFUNCTION("""COMPUTED_VALUE"""),29348.0)</f>
        <v>29348</v>
      </c>
      <c r="H729" s="7">
        <f>IFERROR(__xludf.DUMMYFUNCTION("""COMPUTED_VALUE"""),2.8115209E7)</f>
        <v>28115209</v>
      </c>
      <c r="I729" s="7">
        <f>IFERROR(__xludf.DUMMYFUNCTION("""COMPUTED_VALUE"""),3.517523197E9)</f>
        <v>3517523197</v>
      </c>
      <c r="J729" s="7" t="str">
        <f>IFERROR(__xludf.DUMMYFUNCTION("""COMPUTED_VALUE"""),"Facebook")</f>
        <v>Facebook</v>
      </c>
      <c r="K729" s="7" t="str">
        <f>IFERROR(__xludf.DUMMYFUNCTION("""COMPUTED_VALUE"""),"Obra social")</f>
        <v>Obra social</v>
      </c>
      <c r="L729" s="7"/>
      <c r="M729" s="7" t="str">
        <f>IFERROR(__xludf.DUMMYFUNCTION("""COMPUTED_VALUE"""),"Si")</f>
        <v>Si</v>
      </c>
      <c r="N729" s="7" t="str">
        <f>IFERROR(__xludf.DUMMYFUNCTION("""COMPUTED_VALUE"""),"Fútbol")</f>
        <v>Fútbol</v>
      </c>
      <c r="O729" s="7" t="str">
        <f>IFERROR(__xludf.DUMMYFUNCTION("""COMPUTED_VALUE"""),"1 a 2 veces por semana")</f>
        <v>1 a 2 veces por semana</v>
      </c>
      <c r="P729" s="7"/>
      <c r="Q729" s="7" t="str">
        <f>IFERROR(__xludf.DUMMYFUNCTION("""COMPUTED_VALUE"""),"SANCOR")</f>
        <v>SANCOR</v>
      </c>
      <c r="R729" s="7"/>
      <c r="S729" s="7"/>
    </row>
    <row r="730">
      <c r="A730" s="7" t="str">
        <f t="shared" si="1"/>
        <v>berton, ivana paola</v>
      </c>
      <c r="B730" s="7">
        <f>SUMIFS('bd caja'!$K$1:$K$1012,'bd caja'!$D$1:$D$1012,A730)</f>
        <v>0</v>
      </c>
      <c r="C730" s="19">
        <f>IFERROR(__xludf.DUMMYFUNCTION("""COMPUTED_VALUE"""),45572.88887189815)</f>
        <v>45572.88887</v>
      </c>
      <c r="D730" s="7" t="str">
        <f>IFERROR(__xludf.DUMMYFUNCTION("""COMPUTED_VALUE"""),"berton")</f>
        <v>berton</v>
      </c>
      <c r="E730" s="7" t="str">
        <f>IFERROR(__xludf.DUMMYFUNCTION("""COMPUTED_VALUE"""),"ivana paola")</f>
        <v>ivana paola</v>
      </c>
      <c r="F730" s="7" t="str">
        <f>IFERROR(__xludf.DUMMYFUNCTION("""COMPUTED_VALUE"""),"bertpaola1983@gmail.com")</f>
        <v>bertpaola1983@gmail.com</v>
      </c>
      <c r="G730" s="20">
        <f>IFERROR(__xludf.DUMMYFUNCTION("""COMPUTED_VALUE"""),30228.0)</f>
        <v>30228</v>
      </c>
      <c r="H730" s="7">
        <f>IFERROR(__xludf.DUMMYFUNCTION("""COMPUTED_VALUE"""),2.971183E7)</f>
        <v>29711830</v>
      </c>
      <c r="I730" s="7">
        <f>IFERROR(__xludf.DUMMYFUNCTION("""COMPUTED_VALUE"""),3.513113644E9)</f>
        <v>3513113644</v>
      </c>
      <c r="J730" s="7" t="str">
        <f>IFERROR(__xludf.DUMMYFUNCTION("""COMPUTED_VALUE"""),"Cartilla Obra Social")</f>
        <v>Cartilla Obra Social</v>
      </c>
      <c r="K730" s="7" t="str">
        <f>IFERROR(__xludf.DUMMYFUNCTION("""COMPUTED_VALUE"""),"Obra social")</f>
        <v>Obra social</v>
      </c>
      <c r="L730" s="7"/>
      <c r="M730" s="7" t="str">
        <f>IFERROR(__xludf.DUMMYFUNCTION("""COMPUTED_VALUE"""),"No")</f>
        <v>No</v>
      </c>
      <c r="N730" s="7"/>
      <c r="O730" s="7"/>
      <c r="P730" s="7"/>
      <c r="Q730" s="7" t="str">
        <f>IFERROR(__xludf.DUMMYFUNCTION("""COMPUTED_VALUE"""),"PREVENCIÓN")</f>
        <v>PREVENCIÓN</v>
      </c>
      <c r="R730" s="7"/>
      <c r="S730" s="7"/>
    </row>
    <row r="731">
      <c r="A731" s="7" t="str">
        <f t="shared" si="1"/>
        <v>PATIÑO, Jorge</v>
      </c>
      <c r="B731" s="7">
        <f>SUMIFS('bd caja'!$K$1:$K$1012,'bd caja'!$D$1:$D$1012,A731)</f>
        <v>0</v>
      </c>
      <c r="C731" s="19">
        <f>IFERROR(__xludf.DUMMYFUNCTION("""COMPUTED_VALUE"""),45573.50579378472)</f>
        <v>45573.50579</v>
      </c>
      <c r="D731" s="7" t="str">
        <f>IFERROR(__xludf.DUMMYFUNCTION("""COMPUTED_VALUE"""),"PATIÑO")</f>
        <v>PATIÑO</v>
      </c>
      <c r="E731" s="7" t="str">
        <f>IFERROR(__xludf.DUMMYFUNCTION("""COMPUTED_VALUE"""),"Jorge")</f>
        <v>Jorge</v>
      </c>
      <c r="F731" s="7" t="str">
        <f>IFERROR(__xludf.DUMMYFUNCTION("""COMPUTED_VALUE"""),"-")</f>
        <v>-</v>
      </c>
      <c r="G731" s="20">
        <f>IFERROR(__xludf.DUMMYFUNCTION("""COMPUTED_VALUE"""),29000.0)</f>
        <v>29000</v>
      </c>
      <c r="H731" s="7">
        <f>IFERROR(__xludf.DUMMYFUNCTION("""COMPUTED_VALUE"""),2.7249145E7)</f>
        <v>27249145</v>
      </c>
      <c r="I731" s="7">
        <f>IFERROR(__xludf.DUMMYFUNCTION("""COMPUTED_VALUE"""),3.513504545E9)</f>
        <v>3513504545</v>
      </c>
      <c r="J731" s="7" t="str">
        <f>IFERROR(__xludf.DUMMYFUNCTION("""COMPUTED_VALUE"""),"Voy al gym Manantial")</f>
        <v>Voy al gym Manantial</v>
      </c>
      <c r="K731" s="7" t="str">
        <f>IFERROR(__xludf.DUMMYFUNCTION("""COMPUTED_VALUE"""),"Particular")</f>
        <v>Particular</v>
      </c>
      <c r="L731" s="7"/>
      <c r="M731" s="7" t="str">
        <f>IFERROR(__xludf.DUMMYFUNCTION("""COMPUTED_VALUE"""),"Si")</f>
        <v>Si</v>
      </c>
      <c r="N731" s="7" t="str">
        <f>IFERROR(__xludf.DUMMYFUNCTION("""COMPUTED_VALUE"""),"Cuatri")</f>
        <v>Cuatri</v>
      </c>
      <c r="O731" s="7" t="str">
        <f>IFERROR(__xludf.DUMMYFUNCTION("""COMPUTED_VALUE"""),"3 a 5 veces por semana")</f>
        <v>3 a 5 veces por semana</v>
      </c>
      <c r="P731" s="7"/>
      <c r="Q731" s="7"/>
      <c r="R731" s="7"/>
      <c r="S731" s="7"/>
    </row>
    <row r="732">
      <c r="A732" s="7" t="str">
        <f t="shared" si="1"/>
        <v>Cabrera, Carla</v>
      </c>
      <c r="B732" s="7">
        <f>SUMIFS('bd caja'!$K$1:$K$1012,'bd caja'!$D$1:$D$1012,A732)</f>
        <v>0</v>
      </c>
      <c r="C732" s="19">
        <f>IFERROR(__xludf.DUMMYFUNCTION("""COMPUTED_VALUE"""),45574.49762930555)</f>
        <v>45574.49763</v>
      </c>
      <c r="D732" s="7" t="str">
        <f>IFERROR(__xludf.DUMMYFUNCTION("""COMPUTED_VALUE"""),"Cabrera")</f>
        <v>Cabrera</v>
      </c>
      <c r="E732" s="7" t="str">
        <f>IFERROR(__xludf.DUMMYFUNCTION("""COMPUTED_VALUE"""),"Carla")</f>
        <v>Carla</v>
      </c>
      <c r="F732" s="7" t="str">
        <f>IFERROR(__xludf.DUMMYFUNCTION("""COMPUTED_VALUE"""),"carlaecabreracba@gmail.com")</f>
        <v>carlaecabreracba@gmail.com</v>
      </c>
      <c r="G732" s="20">
        <f>IFERROR(__xludf.DUMMYFUNCTION("""COMPUTED_VALUE"""),30334.0)</f>
        <v>30334</v>
      </c>
      <c r="H732" s="7">
        <f>IFERROR(__xludf.DUMMYFUNCTION("""COMPUTED_VALUE"""),3.0327643E7)</f>
        <v>30327643</v>
      </c>
      <c r="I732" s="7">
        <f>IFERROR(__xludf.DUMMYFUNCTION("""COMPUTED_VALUE"""),3.51222875E9)</f>
        <v>3512228750</v>
      </c>
      <c r="J732" s="7" t="str">
        <f>IFERROR(__xludf.DUMMYFUNCTION("""COMPUTED_VALUE"""),"Recomendación")</f>
        <v>Recomendación</v>
      </c>
      <c r="K732" s="7" t="str">
        <f>IFERROR(__xludf.DUMMYFUNCTION("""COMPUTED_VALUE"""),"Obra social")</f>
        <v>Obra social</v>
      </c>
      <c r="L732" s="7"/>
      <c r="M732" s="7" t="str">
        <f>IFERROR(__xludf.DUMMYFUNCTION("""COMPUTED_VALUE"""),"No")</f>
        <v>No</v>
      </c>
      <c r="N732" s="7"/>
      <c r="O732" s="7"/>
      <c r="P732" s="7"/>
      <c r="Q732" s="7" t="str">
        <f>IFERROR(__xludf.DUMMYFUNCTION("""COMPUTED_VALUE"""),"PREVENCIÓN")</f>
        <v>PREVENCIÓN</v>
      </c>
      <c r="R732" s="7"/>
      <c r="S732" s="7"/>
    </row>
    <row r="733">
      <c r="A733" s="7" t="str">
        <f t="shared" si="1"/>
        <v>Droguett, Gabriel</v>
      </c>
      <c r="B733" s="7">
        <f>SUMIFS('bd caja'!$K$1:$K$1012,'bd caja'!$D$1:$D$1012,A733)</f>
        <v>0</v>
      </c>
      <c r="C733" s="19">
        <f>IFERROR(__xludf.DUMMYFUNCTION("""COMPUTED_VALUE"""),45574.81868989584)</f>
        <v>45574.81869</v>
      </c>
      <c r="D733" s="7" t="str">
        <f>IFERROR(__xludf.DUMMYFUNCTION("""COMPUTED_VALUE"""),"Droguett")</f>
        <v>Droguett</v>
      </c>
      <c r="E733" s="7" t="str">
        <f>IFERROR(__xludf.DUMMYFUNCTION("""COMPUTED_VALUE"""),"Gabriel")</f>
        <v>Gabriel</v>
      </c>
      <c r="F733" s="7" t="str">
        <f>IFERROR(__xludf.DUMMYFUNCTION("""COMPUTED_VALUE"""),"gabrieldariodroguett@gmail.com")</f>
        <v>gabrieldariodroguett@gmail.com</v>
      </c>
      <c r="G733" s="20">
        <f>IFERROR(__xludf.DUMMYFUNCTION("""COMPUTED_VALUE"""),34700.0)</f>
        <v>34700</v>
      </c>
      <c r="H733" s="7">
        <f>IFERROR(__xludf.DUMMYFUNCTION("""COMPUTED_VALUE"""),3.8088693E7)</f>
        <v>38088693</v>
      </c>
      <c r="I733" s="7">
        <f>IFERROR(__xludf.DUMMYFUNCTION("""COMPUTED_VALUE"""),3.516075005E9)</f>
        <v>3516075005</v>
      </c>
      <c r="J733" s="7" t="str">
        <f>IFERROR(__xludf.DUMMYFUNCTION("""COMPUTED_VALUE"""),"Voy al gym Manantial")</f>
        <v>Voy al gym Manantial</v>
      </c>
      <c r="K733" s="7" t="str">
        <f>IFERROR(__xludf.DUMMYFUNCTION("""COMPUTED_VALUE"""),"Particular")</f>
        <v>Particular</v>
      </c>
      <c r="L733" s="7"/>
      <c r="M733" s="7" t="str">
        <f>IFERROR(__xludf.DUMMYFUNCTION("""COMPUTED_VALUE"""),"Si")</f>
        <v>Si</v>
      </c>
      <c r="N733" s="7" t="str">
        <f>IFERROR(__xludf.DUMMYFUNCTION("""COMPUTED_VALUE"""),"Gimnasio")</f>
        <v>Gimnasio</v>
      </c>
      <c r="O733" s="7" t="str">
        <f>IFERROR(__xludf.DUMMYFUNCTION("""COMPUTED_VALUE"""),"3 a 5 veces por semana")</f>
        <v>3 a 5 veces por semana</v>
      </c>
      <c r="P733" s="7"/>
      <c r="Q733" s="7"/>
      <c r="R733" s="7"/>
      <c r="S733" s="7"/>
    </row>
    <row r="734">
      <c r="A734" s="7" t="str">
        <f t="shared" si="1"/>
        <v>Angiolini , Antonella </v>
      </c>
      <c r="B734" s="7">
        <f>SUMIFS('bd caja'!$K$1:$K$1012,'bd caja'!$D$1:$D$1012,A734)</f>
        <v>0</v>
      </c>
      <c r="C734" s="19">
        <f>IFERROR(__xludf.DUMMYFUNCTION("""COMPUTED_VALUE"""),45575.45812069444)</f>
        <v>45575.45812</v>
      </c>
      <c r="D734" s="7" t="str">
        <f>IFERROR(__xludf.DUMMYFUNCTION("""COMPUTED_VALUE"""),"Angiolini ")</f>
        <v>Angiolini </v>
      </c>
      <c r="E734" s="7" t="str">
        <f>IFERROR(__xludf.DUMMYFUNCTION("""COMPUTED_VALUE"""),"Antonella ")</f>
        <v>Antonella </v>
      </c>
      <c r="F734" s="7" t="str">
        <f>IFERROR(__xludf.DUMMYFUNCTION("""COMPUTED_VALUE"""),"angioanti@gmail.com")</f>
        <v>angioanti@gmail.com</v>
      </c>
      <c r="G734" s="20">
        <f>IFERROR(__xludf.DUMMYFUNCTION("""COMPUTED_VALUE"""),37888.0)</f>
        <v>37888</v>
      </c>
      <c r="H734" s="7">
        <f>IFERROR(__xludf.DUMMYFUNCTION("""COMPUTED_VALUE"""),4.5083727E7)</f>
        <v>45083727</v>
      </c>
      <c r="I734" s="7">
        <f>IFERROR(__xludf.DUMMYFUNCTION("""COMPUTED_VALUE"""),3.512657941E9)</f>
        <v>3512657941</v>
      </c>
      <c r="J734" s="7" t="str">
        <f>IFERROR(__xludf.DUMMYFUNCTION("""COMPUTED_VALUE"""),"Voy al gym Manantial")</f>
        <v>Voy al gym Manantial</v>
      </c>
      <c r="K734" s="7" t="str">
        <f>IFERROR(__xludf.DUMMYFUNCTION("""COMPUTED_VALUE"""),"Obra social")</f>
        <v>Obra social</v>
      </c>
      <c r="L734" s="7"/>
      <c r="M734" s="7" t="str">
        <f>IFERROR(__xludf.DUMMYFUNCTION("""COMPUTED_VALUE"""),"Si")</f>
        <v>Si</v>
      </c>
      <c r="N734" s="7" t="str">
        <f>IFERROR(__xludf.DUMMYFUNCTION("""COMPUTED_VALUE"""),"Gimnasio")</f>
        <v>Gimnasio</v>
      </c>
      <c r="O734" s="7" t="str">
        <f>IFERROR(__xludf.DUMMYFUNCTION("""COMPUTED_VALUE"""),"3 a 5 veces por semana")</f>
        <v>3 a 5 veces por semana</v>
      </c>
      <c r="P734" s="7"/>
      <c r="Q734" s="7" t="str">
        <f>IFERROR(__xludf.DUMMYFUNCTION("""COMPUTED_VALUE"""),"APROSS")</f>
        <v>APROSS</v>
      </c>
      <c r="R734" s="7"/>
      <c r="S734" s="7"/>
    </row>
    <row r="735">
      <c r="A735" s="7" t="str">
        <f t="shared" si="1"/>
        <v>SERRANO, Susana</v>
      </c>
      <c r="B735" s="7">
        <f>SUMIFS('bd caja'!$K$1:$K$1012,'bd caja'!$D$1:$D$1012,A735)</f>
        <v>0</v>
      </c>
      <c r="C735" s="19">
        <f>IFERROR(__xludf.DUMMYFUNCTION("""COMPUTED_VALUE"""),45575.49374015046)</f>
        <v>45575.49374</v>
      </c>
      <c r="D735" s="7" t="str">
        <f>IFERROR(__xludf.DUMMYFUNCTION("""COMPUTED_VALUE"""),"SERRANO")</f>
        <v>SERRANO</v>
      </c>
      <c r="E735" s="7" t="str">
        <f>IFERROR(__xludf.DUMMYFUNCTION("""COMPUTED_VALUE"""),"Susana")</f>
        <v>Susana</v>
      </c>
      <c r="F735" s="7"/>
      <c r="G735" s="20">
        <f>IFERROR(__xludf.DUMMYFUNCTION("""COMPUTED_VALUE"""),15028.0)</f>
        <v>15028</v>
      </c>
      <c r="H735" s="7">
        <f>IFERROR(__xludf.DUMMYFUNCTION("""COMPUTED_VALUE"""),4118761.0)</f>
        <v>4118761</v>
      </c>
      <c r="I735" s="7">
        <f>IFERROR(__xludf.DUMMYFUNCTION("""COMPUTED_VALUE"""),3.516222609E9)</f>
        <v>3516222609</v>
      </c>
      <c r="J735" s="7" t="str">
        <f>IFERROR(__xludf.DUMMYFUNCTION("""COMPUTED_VALUE"""),"Traumatologo de Gauss")</f>
        <v>Traumatologo de Gauss</v>
      </c>
      <c r="K735" s="7" t="str">
        <f>IFERROR(__xludf.DUMMYFUNCTION("""COMPUTED_VALUE"""),"Obra social")</f>
        <v>Obra social</v>
      </c>
      <c r="L735" s="7"/>
      <c r="M735" s="7" t="str">
        <f>IFERROR(__xludf.DUMMYFUNCTION("""COMPUTED_VALUE"""),"No")</f>
        <v>No</v>
      </c>
      <c r="N735" s="7"/>
      <c r="O735" s="7"/>
      <c r="P735" s="7"/>
      <c r="Q735" s="7" t="str">
        <f>IFERROR(__xludf.DUMMYFUNCTION("""COMPUTED_VALUE"""),"APROSS")</f>
        <v>APROSS</v>
      </c>
      <c r="R735" s="7"/>
      <c r="S735" s="7"/>
    </row>
    <row r="736">
      <c r="A736" s="7" t="str">
        <f t="shared" si="1"/>
        <v>Garcia , Javier</v>
      </c>
      <c r="B736" s="7">
        <f>SUMIFS('bd caja'!$K$1:$K$1012,'bd caja'!$D$1:$D$1012,A736)</f>
        <v>0</v>
      </c>
      <c r="C736" s="19">
        <f>IFERROR(__xludf.DUMMYFUNCTION("""COMPUTED_VALUE"""),45576.48771190972)</f>
        <v>45576.48771</v>
      </c>
      <c r="D736" s="7" t="str">
        <f>IFERROR(__xludf.DUMMYFUNCTION("""COMPUTED_VALUE"""),"Garcia ")</f>
        <v>Garcia </v>
      </c>
      <c r="E736" s="7" t="str">
        <f>IFERROR(__xludf.DUMMYFUNCTION("""COMPUTED_VALUE"""),"Javier")</f>
        <v>Javier</v>
      </c>
      <c r="F736" s="7" t="str">
        <f>IFERROR(__xludf.DUMMYFUNCTION("""COMPUTED_VALUE"""),"javier._garcia@hotmail.com ")</f>
        <v>javier._garcia@hotmail.com </v>
      </c>
      <c r="G736" s="20">
        <f>IFERROR(__xludf.DUMMYFUNCTION("""COMPUTED_VALUE"""),30386.0)</f>
        <v>30386</v>
      </c>
      <c r="H736" s="7">
        <f>IFERROR(__xludf.DUMMYFUNCTION("""COMPUTED_VALUE"""),3.0078305E7)</f>
        <v>30078305</v>
      </c>
      <c r="I736" s="7">
        <f>IFERROR(__xludf.DUMMYFUNCTION("""COMPUTED_VALUE"""),3.518085123E9)</f>
        <v>3518085123</v>
      </c>
      <c r="J736" s="7" t="str">
        <f>IFERROR(__xludf.DUMMYFUNCTION("""COMPUTED_VALUE"""),"Google")</f>
        <v>Google</v>
      </c>
      <c r="K736" s="7" t="str">
        <f>IFERROR(__xludf.DUMMYFUNCTION("""COMPUTED_VALUE"""),"Obra social")</f>
        <v>Obra social</v>
      </c>
      <c r="L736" s="7"/>
      <c r="M736" s="7" t="str">
        <f>IFERROR(__xludf.DUMMYFUNCTION("""COMPUTED_VALUE"""),"Si")</f>
        <v>Si</v>
      </c>
      <c r="N736" s="7" t="str">
        <f>IFERROR(__xludf.DUMMYFUNCTION("""COMPUTED_VALUE"""),"Fútbol")</f>
        <v>Fútbol</v>
      </c>
      <c r="O736" s="7" t="str">
        <f>IFERROR(__xludf.DUMMYFUNCTION("""COMPUTED_VALUE"""),"1 a 2 veces por semana")</f>
        <v>1 a 2 veces por semana</v>
      </c>
      <c r="P736" s="7"/>
      <c r="Q736" s="7" t="str">
        <f>IFERROR(__xludf.DUMMYFUNCTION("""COMPUTED_VALUE"""),"Osde")</f>
        <v>Osde</v>
      </c>
      <c r="R736" s="7"/>
      <c r="S736" s="7"/>
    </row>
    <row r="737">
      <c r="A737" s="7" t="str">
        <f t="shared" si="1"/>
        <v>Medina, Gonzalo</v>
      </c>
      <c r="B737" s="7">
        <f>SUMIFS('bd caja'!$K$1:$K$1012,'bd caja'!$D$1:$D$1012,A737)</f>
        <v>0</v>
      </c>
      <c r="C737" s="19">
        <f>IFERROR(__xludf.DUMMYFUNCTION("""COMPUTED_VALUE"""),45579.88663949074)</f>
        <v>45579.88664</v>
      </c>
      <c r="D737" s="7" t="str">
        <f>IFERROR(__xludf.DUMMYFUNCTION("""COMPUTED_VALUE"""),"Medina")</f>
        <v>Medina</v>
      </c>
      <c r="E737" s="7" t="str">
        <f>IFERROR(__xludf.DUMMYFUNCTION("""COMPUTED_VALUE"""),"Gonzalo")</f>
        <v>Gonzalo</v>
      </c>
      <c r="F737" s="7" t="str">
        <f>IFERROR(__xludf.DUMMYFUNCTION("""COMPUTED_VALUE"""),"Polirrubrosol@gmail.com")</f>
        <v>Polirrubrosol@gmail.com</v>
      </c>
      <c r="G737" s="20">
        <f>IFERROR(__xludf.DUMMYFUNCTION("""COMPUTED_VALUE"""),-664917.0)</f>
        <v>-664917</v>
      </c>
      <c r="H737" s="7">
        <f>IFERROR(__xludf.DUMMYFUNCTION("""COMPUTED_VALUE"""),2.7546046E7)</f>
        <v>27546046</v>
      </c>
      <c r="I737" s="7">
        <f>IFERROR(__xludf.DUMMYFUNCTION("""COMPUTED_VALUE"""),3.512606579E9)</f>
        <v>3512606579</v>
      </c>
      <c r="J737" s="7" t="str">
        <f>IFERROR(__xludf.DUMMYFUNCTION("""COMPUTED_VALUE"""),"Facebook")</f>
        <v>Facebook</v>
      </c>
      <c r="K737" s="7" t="str">
        <f>IFERROR(__xludf.DUMMYFUNCTION("""COMPUTED_VALUE"""),"Particular")</f>
        <v>Particular</v>
      </c>
      <c r="L737" s="7"/>
      <c r="M737" s="7" t="str">
        <f>IFERROR(__xludf.DUMMYFUNCTION("""COMPUTED_VALUE"""),"Si")</f>
        <v>Si</v>
      </c>
      <c r="N737" s="7" t="str">
        <f>IFERROR(__xludf.DUMMYFUNCTION("""COMPUTED_VALUE"""),"Padel")</f>
        <v>Padel</v>
      </c>
      <c r="O737" s="7" t="str">
        <f>IFERROR(__xludf.DUMMYFUNCTION("""COMPUTED_VALUE"""),"1 a 2 veces por semana")</f>
        <v>1 a 2 veces por semana</v>
      </c>
      <c r="P737" s="7"/>
      <c r="Q737" s="7"/>
      <c r="R737" s="7"/>
      <c r="S737" s="7"/>
    </row>
    <row r="738">
      <c r="A738" s="7" t="str">
        <f t="shared" si="1"/>
        <v>Pereyra, German</v>
      </c>
      <c r="B738" s="7">
        <f>SUMIFS('bd caja'!$K$1:$K$1012,'bd caja'!$D$1:$D$1012,A738)</f>
        <v>0</v>
      </c>
      <c r="C738" s="19">
        <f>IFERROR(__xludf.DUMMYFUNCTION("""COMPUTED_VALUE"""),45580.76529030093)</f>
        <v>45580.76529</v>
      </c>
      <c r="D738" s="7" t="str">
        <f>IFERROR(__xludf.DUMMYFUNCTION("""COMPUTED_VALUE"""),"Pereyra")</f>
        <v>Pereyra</v>
      </c>
      <c r="E738" s="7" t="str">
        <f>IFERROR(__xludf.DUMMYFUNCTION("""COMPUTED_VALUE"""),"German")</f>
        <v>German</v>
      </c>
      <c r="F738" s="7" t="str">
        <f>IFERROR(__xludf.DUMMYFUNCTION("""COMPUTED_VALUE"""),"gpereyra@hotmail.com")</f>
        <v>gpereyra@hotmail.com</v>
      </c>
      <c r="G738" s="20">
        <f>IFERROR(__xludf.DUMMYFUNCTION("""COMPUTED_VALUE"""),27432.0)</f>
        <v>27432</v>
      </c>
      <c r="H738" s="7">
        <f>IFERROR(__xludf.DUMMYFUNCTION("""COMPUTED_VALUE"""),2.4180259E7)</f>
        <v>24180259</v>
      </c>
      <c r="I738" s="7">
        <f>IFERROR(__xludf.DUMMYFUNCTION("""COMPUTED_VALUE"""),3.518003357E9)</f>
        <v>3518003357</v>
      </c>
      <c r="J738" s="7" t="str">
        <f>IFERROR(__xludf.DUMMYFUNCTION("""COMPUTED_VALUE"""),"Voy al gym Manantial")</f>
        <v>Voy al gym Manantial</v>
      </c>
      <c r="K738" s="7" t="str">
        <f>IFERROR(__xludf.DUMMYFUNCTION("""COMPUTED_VALUE"""),"Particular")</f>
        <v>Particular</v>
      </c>
      <c r="L738" s="7"/>
      <c r="M738" s="7" t="str">
        <f>IFERROR(__xludf.DUMMYFUNCTION("""COMPUTED_VALUE"""),"Si")</f>
        <v>Si</v>
      </c>
      <c r="N738" s="7" t="str">
        <f>IFERROR(__xludf.DUMMYFUNCTION("""COMPUTED_VALUE"""),"Gimnasio")</f>
        <v>Gimnasio</v>
      </c>
      <c r="O738" s="7" t="str">
        <f>IFERROR(__xludf.DUMMYFUNCTION("""COMPUTED_VALUE"""),"3 a 5 veces por semana")</f>
        <v>3 a 5 veces por semana</v>
      </c>
      <c r="P738" s="7"/>
      <c r="Q738" s="7"/>
      <c r="R738" s="7"/>
      <c r="S738" s="7"/>
    </row>
    <row r="739">
      <c r="A739" s="7" t="str">
        <f t="shared" si="1"/>
        <v>Guzman, Maria Eugenia</v>
      </c>
      <c r="B739" s="7">
        <f>SUMIFS('bd caja'!$K$1:$K$1012,'bd caja'!$D$1:$D$1012,A739)</f>
        <v>0</v>
      </c>
      <c r="C739" s="19">
        <f>IFERROR(__xludf.DUMMYFUNCTION("""COMPUTED_VALUE"""),45581.74116123843)</f>
        <v>45581.74116</v>
      </c>
      <c r="D739" s="7" t="str">
        <f>IFERROR(__xludf.DUMMYFUNCTION("""COMPUTED_VALUE"""),"Guzman")</f>
        <v>Guzman</v>
      </c>
      <c r="E739" s="7" t="str">
        <f>IFERROR(__xludf.DUMMYFUNCTION("""COMPUTED_VALUE"""),"Maria Eugenia")</f>
        <v>Maria Eugenia</v>
      </c>
      <c r="F739" s="7" t="str">
        <f>IFERROR(__xludf.DUMMYFUNCTION("""COMPUTED_VALUE"""),"eugitaguzman@hotmail.com")</f>
        <v>eugitaguzman@hotmail.com</v>
      </c>
      <c r="G739" s="20">
        <f>IFERROR(__xludf.DUMMYFUNCTION("""COMPUTED_VALUE"""),30671.0)</f>
        <v>30671</v>
      </c>
      <c r="H739" s="7">
        <f>IFERROR(__xludf.DUMMYFUNCTION("""COMPUTED_VALUE"""),3.0658685E7)</f>
        <v>30658685</v>
      </c>
      <c r="I739" s="7">
        <f>IFERROR(__xludf.DUMMYFUNCTION("""COMPUTED_VALUE"""),3.513938754E9)</f>
        <v>3513938754</v>
      </c>
      <c r="J739" s="7" t="str">
        <f>IFERROR(__xludf.DUMMYFUNCTION("""COMPUTED_VALUE"""),"Voy al gym Manantial")</f>
        <v>Voy al gym Manantial</v>
      </c>
      <c r="K739" s="7" t="str">
        <f>IFERROR(__xludf.DUMMYFUNCTION("""COMPUTED_VALUE"""),"Obra social")</f>
        <v>Obra social</v>
      </c>
      <c r="L739" s="7"/>
      <c r="M739" s="7" t="str">
        <f>IFERROR(__xludf.DUMMYFUNCTION("""COMPUTED_VALUE"""),"Si")</f>
        <v>Si</v>
      </c>
      <c r="N739" s="7" t="str">
        <f>IFERROR(__xludf.DUMMYFUNCTION("""COMPUTED_VALUE"""),"Gimnasio")</f>
        <v>Gimnasio</v>
      </c>
      <c r="O739" s="7" t="str">
        <f>IFERROR(__xludf.DUMMYFUNCTION("""COMPUTED_VALUE"""),"3 a 5 veces por semana")</f>
        <v>3 a 5 veces por semana</v>
      </c>
      <c r="P739" s="7"/>
      <c r="Q739" s="7" t="str">
        <f>IFERROR(__xludf.DUMMYFUNCTION("""COMPUTED_VALUE"""),"DASPU")</f>
        <v>DASPU</v>
      </c>
      <c r="R739" s="7"/>
      <c r="S739" s="7"/>
    </row>
    <row r="740">
      <c r="A740" s="7" t="str">
        <f t="shared" si="1"/>
        <v>Gomez, Barbara Antonella </v>
      </c>
      <c r="B740" s="7">
        <f>SUMIFS('bd caja'!$K$1:$K$1012,'bd caja'!$D$1:$D$1012,A740)</f>
        <v>0</v>
      </c>
      <c r="C740" s="19">
        <f>IFERROR(__xludf.DUMMYFUNCTION("""COMPUTED_VALUE"""),45582.46252732639)</f>
        <v>45582.46253</v>
      </c>
      <c r="D740" s="7" t="str">
        <f>IFERROR(__xludf.DUMMYFUNCTION("""COMPUTED_VALUE"""),"Gomez")</f>
        <v>Gomez</v>
      </c>
      <c r="E740" s="7" t="str">
        <f>IFERROR(__xludf.DUMMYFUNCTION("""COMPUTED_VALUE"""),"Barbara Antonella ")</f>
        <v>Barbara Antonella </v>
      </c>
      <c r="F740" s="7" t="str">
        <f>IFERROR(__xludf.DUMMYFUNCTION("""COMPUTED_VALUE"""),"alejandraeugeniamoyano@gmail.com")</f>
        <v>alejandraeugeniamoyano@gmail.com</v>
      </c>
      <c r="G740" s="20">
        <f>IFERROR(__xludf.DUMMYFUNCTION("""COMPUTED_VALUE"""),41225.0)</f>
        <v>41225</v>
      </c>
      <c r="H740" s="7">
        <f>IFERROR(__xludf.DUMMYFUNCTION("""COMPUTED_VALUE"""),5.2464936E7)</f>
        <v>52464936</v>
      </c>
      <c r="I740" s="7">
        <f>IFERROR(__xludf.DUMMYFUNCTION("""COMPUTED_VALUE"""),3.513713474E9)</f>
        <v>3513713474</v>
      </c>
      <c r="J740" s="7" t="str">
        <f>IFERROR(__xludf.DUMMYFUNCTION("""COMPUTED_VALUE"""),"Recomendación")</f>
        <v>Recomendación</v>
      </c>
      <c r="K740" s="7" t="str">
        <f>IFERROR(__xludf.DUMMYFUNCTION("""COMPUTED_VALUE"""),"Particular")</f>
        <v>Particular</v>
      </c>
      <c r="L740" s="7"/>
      <c r="M740" s="7" t="str">
        <f>IFERROR(__xludf.DUMMYFUNCTION("""COMPUTED_VALUE"""),"Si")</f>
        <v>Si</v>
      </c>
      <c r="N740" s="7" t="str">
        <f>IFERROR(__xludf.DUMMYFUNCTION("""COMPUTED_VALUE"""),"Baile")</f>
        <v>Baile</v>
      </c>
      <c r="O740" s="7" t="str">
        <f>IFERROR(__xludf.DUMMYFUNCTION("""COMPUTED_VALUE"""),"3 a 5 veces por semana")</f>
        <v>3 a 5 veces por semana</v>
      </c>
      <c r="P740" s="7"/>
      <c r="Q740" s="7"/>
      <c r="R740" s="7"/>
      <c r="S740" s="7"/>
    </row>
    <row r="741">
      <c r="A741" s="7" t="str">
        <f t="shared" si="1"/>
        <v>Rentine juncos , Alma azul </v>
      </c>
      <c r="B741" s="7">
        <f>SUMIFS('bd caja'!$K$1:$K$1012,'bd caja'!$D$1:$D$1012,A741)</f>
        <v>0</v>
      </c>
      <c r="C741" s="19">
        <f>IFERROR(__xludf.DUMMYFUNCTION("""COMPUTED_VALUE"""),45583.34815612268)</f>
        <v>45583.34816</v>
      </c>
      <c r="D741" s="7" t="str">
        <f>IFERROR(__xludf.DUMMYFUNCTION("""COMPUTED_VALUE"""),"Rentine juncos ")</f>
        <v>Rentine juncos </v>
      </c>
      <c r="E741" s="7" t="str">
        <f>IFERROR(__xludf.DUMMYFUNCTION("""COMPUTED_VALUE"""),"Alma azul ")</f>
        <v>Alma azul </v>
      </c>
      <c r="F741" s="7" t="str">
        <f>IFERROR(__xludf.DUMMYFUNCTION("""COMPUTED_VALUE"""),"eliizabethjuncoss@gmail.com")</f>
        <v>eliizabethjuncoss@gmail.com</v>
      </c>
      <c r="G741" s="20">
        <f>IFERROR(__xludf.DUMMYFUNCTION("""COMPUTED_VALUE"""),41781.0)</f>
        <v>41781</v>
      </c>
      <c r="H741" s="21">
        <f>IFERROR(__xludf.DUMMYFUNCTION("""COMPUTED_VALUE"""),5.3731075E7)</f>
        <v>53731075</v>
      </c>
      <c r="I741" s="7">
        <f>IFERROR(__xludf.DUMMYFUNCTION("""COMPUTED_VALUE"""),3.516826077E9)</f>
        <v>3516826077</v>
      </c>
      <c r="J741" s="7" t="str">
        <f>IFERROR(__xludf.DUMMYFUNCTION("""COMPUTED_VALUE"""),"Cartilla Obra Social")</f>
        <v>Cartilla Obra Social</v>
      </c>
      <c r="K741" s="7" t="str">
        <f>IFERROR(__xludf.DUMMYFUNCTION("""COMPUTED_VALUE"""),"Obra social")</f>
        <v>Obra social</v>
      </c>
      <c r="L741" s="7"/>
      <c r="M741" s="7" t="str">
        <f>IFERROR(__xludf.DUMMYFUNCTION("""COMPUTED_VALUE"""),"Si")</f>
        <v>Si</v>
      </c>
      <c r="N741" s="7" t="str">
        <f>IFERROR(__xludf.DUMMYFUNCTION("""COMPUTED_VALUE"""),"Natación ")</f>
        <v>Natación </v>
      </c>
      <c r="O741" s="7" t="str">
        <f>IFERROR(__xludf.DUMMYFUNCTION("""COMPUTED_VALUE"""),"1 a 2 veces por semana")</f>
        <v>1 a 2 veces por semana</v>
      </c>
      <c r="P741" s="7"/>
      <c r="Q741" s="7" t="str">
        <f>IFERROR(__xludf.DUMMYFUNCTION("""COMPUTED_VALUE"""),"Boreal")</f>
        <v>Boreal</v>
      </c>
      <c r="R741" s="7"/>
      <c r="S741" s="7"/>
    </row>
    <row r="742">
      <c r="A742" s="7" t="str">
        <f t="shared" si="1"/>
        <v>Gomez , Gabriel </v>
      </c>
      <c r="B742" s="7">
        <f>SUMIFS('bd caja'!$K$1:$K$1012,'bd caja'!$D$1:$D$1012,A742)</f>
        <v>0</v>
      </c>
      <c r="C742" s="19">
        <f>IFERROR(__xludf.DUMMYFUNCTION("""COMPUTED_VALUE"""),45583.717446574075)</f>
        <v>45583.71745</v>
      </c>
      <c r="D742" s="7" t="str">
        <f>IFERROR(__xludf.DUMMYFUNCTION("""COMPUTED_VALUE"""),"Gomez ")</f>
        <v>Gomez </v>
      </c>
      <c r="E742" s="7" t="str">
        <f>IFERROR(__xludf.DUMMYFUNCTION("""COMPUTED_VALUE"""),"Gabriel ")</f>
        <v>Gabriel </v>
      </c>
      <c r="F742" s="7" t="str">
        <f>IFERROR(__xludf.DUMMYFUNCTION("""COMPUTED_VALUE"""),"Gabrielalejandrogomez7@gmail.com")</f>
        <v>Gabrielalejandrogomez7@gmail.com</v>
      </c>
      <c r="G742" s="20">
        <f>IFERROR(__xludf.DUMMYFUNCTION("""COMPUTED_VALUE"""),25981.0)</f>
        <v>25981</v>
      </c>
      <c r="H742" s="7">
        <f>IFERROR(__xludf.DUMMYFUNCTION("""COMPUTED_VALUE"""),2.2034524E7)</f>
        <v>22034524</v>
      </c>
      <c r="I742" s="7">
        <f>IFERROR(__xludf.DUMMYFUNCTION("""COMPUTED_VALUE"""),3.543560752E9)</f>
        <v>3543560752</v>
      </c>
      <c r="J742" s="7" t="str">
        <f>IFERROR(__xludf.DUMMYFUNCTION("""COMPUTED_VALUE"""),"X mi hija")</f>
        <v>X mi hija</v>
      </c>
      <c r="K742" s="7" t="str">
        <f>IFERROR(__xludf.DUMMYFUNCTION("""COMPUTED_VALUE"""),"Particular")</f>
        <v>Particular</v>
      </c>
      <c r="L742" s="7"/>
      <c r="M742" s="7" t="str">
        <f>IFERROR(__xludf.DUMMYFUNCTION("""COMPUTED_VALUE"""),"Si")</f>
        <v>Si</v>
      </c>
      <c r="N742" s="7" t="str">
        <f>IFERROR(__xludf.DUMMYFUNCTION("""COMPUTED_VALUE"""),"Gimnasio")</f>
        <v>Gimnasio</v>
      </c>
      <c r="O742" s="7" t="str">
        <f>IFERROR(__xludf.DUMMYFUNCTION("""COMPUTED_VALUE"""),"3 a 5 veces por semana")</f>
        <v>3 a 5 veces por semana</v>
      </c>
      <c r="P742" s="7"/>
      <c r="Q742" s="7"/>
      <c r="R742" s="7"/>
      <c r="S742" s="7"/>
    </row>
    <row r="743">
      <c r="A743" s="7" t="str">
        <f t="shared" si="1"/>
        <v>Ghione , Santino</v>
      </c>
      <c r="B743" s="7">
        <f>SUMIFS('bd caja'!$K$1:$K$1012,'bd caja'!$D$1:$D$1012,A743)</f>
        <v>0</v>
      </c>
      <c r="C743" s="19">
        <f>IFERROR(__xludf.DUMMYFUNCTION("""COMPUTED_VALUE"""),45586.488825625)</f>
        <v>45586.48883</v>
      </c>
      <c r="D743" s="7" t="str">
        <f>IFERROR(__xludf.DUMMYFUNCTION("""COMPUTED_VALUE"""),"Ghione ")</f>
        <v>Ghione </v>
      </c>
      <c r="E743" s="7" t="str">
        <f>IFERROR(__xludf.DUMMYFUNCTION("""COMPUTED_VALUE"""),"Santino")</f>
        <v>Santino</v>
      </c>
      <c r="F743" s="7" t="str">
        <f>IFERROR(__xludf.DUMMYFUNCTION("""COMPUTED_VALUE"""),"vrosales@iua.edu.ar")</f>
        <v>vrosales@iua.edu.ar</v>
      </c>
      <c r="G743" s="20">
        <f>IFERROR(__xludf.DUMMYFUNCTION("""COMPUTED_VALUE"""),41011.0)</f>
        <v>41011</v>
      </c>
      <c r="H743" s="7">
        <f>IFERROR(__xludf.DUMMYFUNCTION("""COMPUTED_VALUE"""),5.2206311E7)</f>
        <v>52206311</v>
      </c>
      <c r="I743" s="7">
        <f>IFERROR(__xludf.DUMMYFUNCTION("""COMPUTED_VALUE"""),3.518031224E9)</f>
        <v>3518031224</v>
      </c>
      <c r="J743" s="7" t="str">
        <f>IFERROR(__xludf.DUMMYFUNCTION("""COMPUTED_VALUE"""),"Recomendación")</f>
        <v>Recomendación</v>
      </c>
      <c r="K743" s="7" t="str">
        <f>IFERROR(__xludf.DUMMYFUNCTION("""COMPUTED_VALUE"""),"Particular")</f>
        <v>Particular</v>
      </c>
      <c r="L743" s="7"/>
      <c r="M743" s="7" t="str">
        <f>IFERROR(__xludf.DUMMYFUNCTION("""COMPUTED_VALUE"""),"Si")</f>
        <v>Si</v>
      </c>
      <c r="N743" s="7" t="str">
        <f>IFERROR(__xludf.DUMMYFUNCTION("""COMPUTED_VALUE"""),"Natacion")</f>
        <v>Natacion</v>
      </c>
      <c r="O743" s="7" t="str">
        <f>IFERROR(__xludf.DUMMYFUNCTION("""COMPUTED_VALUE"""),"1 a 2 veces por semana")</f>
        <v>1 a 2 veces por semana</v>
      </c>
      <c r="P743" s="7"/>
      <c r="Q743" s="7"/>
      <c r="R743" s="7"/>
      <c r="S743" s="7"/>
    </row>
    <row r="744">
      <c r="A744" s="7" t="str">
        <f t="shared" si="1"/>
        <v>Reyna, Fabiana</v>
      </c>
      <c r="B744" s="7">
        <f>SUMIFS('bd caja'!$K$1:$K$1012,'bd caja'!$D$1:$D$1012,A744)</f>
        <v>0</v>
      </c>
      <c r="C744" s="19">
        <f>IFERROR(__xludf.DUMMYFUNCTION("""COMPUTED_VALUE"""),45586.64161608796)</f>
        <v>45586.64162</v>
      </c>
      <c r="D744" s="7" t="str">
        <f>IFERROR(__xludf.DUMMYFUNCTION("""COMPUTED_VALUE"""),"Reyna")</f>
        <v>Reyna</v>
      </c>
      <c r="E744" s="7" t="str">
        <f>IFERROR(__xludf.DUMMYFUNCTION("""COMPUTED_VALUE"""),"Fabiana")</f>
        <v>Fabiana</v>
      </c>
      <c r="F744" s="7" t="str">
        <f>IFERROR(__xludf.DUMMYFUNCTION("""COMPUTED_VALUE"""),"fabireyna13@gmail.com")</f>
        <v>fabireyna13@gmail.com</v>
      </c>
      <c r="G744" s="20">
        <f>IFERROR(__xludf.DUMMYFUNCTION("""COMPUTED_VALUE"""),45645.0)</f>
        <v>45645</v>
      </c>
      <c r="H744" s="7">
        <f>IFERROR(__xludf.DUMMYFUNCTION("""COMPUTED_VALUE"""),2.5756798E7)</f>
        <v>25756798</v>
      </c>
      <c r="I744" s="7">
        <f>IFERROR(__xludf.DUMMYFUNCTION("""COMPUTED_VALUE"""),3.5127663E9)</f>
        <v>3512766300</v>
      </c>
      <c r="J744" s="7" t="str">
        <f>IFERROR(__xludf.DUMMYFUNCTION("""COMPUTED_VALUE"""),"Google")</f>
        <v>Google</v>
      </c>
      <c r="K744" s="7" t="str">
        <f>IFERROR(__xludf.DUMMYFUNCTION("""COMPUTED_VALUE"""),"Obra social")</f>
        <v>Obra social</v>
      </c>
      <c r="L744" s="7"/>
      <c r="M744" s="7" t="str">
        <f>IFERROR(__xludf.DUMMYFUNCTION("""COMPUTED_VALUE"""),"No")</f>
        <v>No</v>
      </c>
      <c r="N744" s="7"/>
      <c r="O744" s="7"/>
      <c r="P744" s="7"/>
      <c r="Q744" s="7" t="str">
        <f>IFERROR(__xludf.DUMMYFUNCTION("""COMPUTED_VALUE"""),"Boreal")</f>
        <v>Boreal</v>
      </c>
      <c r="R744" s="7"/>
      <c r="S744" s="7"/>
    </row>
    <row r="745">
      <c r="A745" s="7" t="str">
        <f t="shared" si="1"/>
        <v>Montagna, Alejandro</v>
      </c>
      <c r="B745" s="7">
        <f>SUMIFS('bd caja'!$K$1:$K$1012,'bd caja'!$D$1:$D$1012,A745)</f>
        <v>0</v>
      </c>
      <c r="C745" s="19">
        <f>IFERROR(__xludf.DUMMYFUNCTION("""COMPUTED_VALUE"""),45586.69986299769)</f>
        <v>45586.69986</v>
      </c>
      <c r="D745" s="7" t="str">
        <f>IFERROR(__xludf.DUMMYFUNCTION("""COMPUTED_VALUE"""),"Montagna")</f>
        <v>Montagna</v>
      </c>
      <c r="E745" s="7" t="str">
        <f>IFERROR(__xludf.DUMMYFUNCTION("""COMPUTED_VALUE"""),"Alejandro")</f>
        <v>Alejandro</v>
      </c>
      <c r="F745" s="7" t="str">
        <f>IFERROR(__xludf.DUMMYFUNCTION("""COMPUTED_VALUE"""),"ale4683@hotmail.com")</f>
        <v>ale4683@hotmail.com</v>
      </c>
      <c r="G745" s="20">
        <f>IFERROR(__xludf.DUMMYFUNCTION("""COMPUTED_VALUE"""),20848.0)</f>
        <v>20848</v>
      </c>
      <c r="H745" s="7">
        <f>IFERROR(__xludf.DUMMYFUNCTION("""COMPUTED_VALUE"""),1.2583296E7)</f>
        <v>12583296</v>
      </c>
      <c r="I745" s="7">
        <f>IFERROR(__xludf.DUMMYFUNCTION("""COMPUTED_VALUE"""),3.51542587E9)</f>
        <v>3515425870</v>
      </c>
      <c r="J745" s="7" t="str">
        <f>IFERROR(__xludf.DUMMYFUNCTION("""COMPUTED_VALUE"""),"Recomendación")</f>
        <v>Recomendación</v>
      </c>
      <c r="K745" s="7" t="str">
        <f>IFERROR(__xludf.DUMMYFUNCTION("""COMPUTED_VALUE"""),"Particular")</f>
        <v>Particular</v>
      </c>
      <c r="L745" s="7"/>
      <c r="M745" s="7" t="str">
        <f>IFERROR(__xludf.DUMMYFUNCTION("""COMPUTED_VALUE"""),"No")</f>
        <v>No</v>
      </c>
      <c r="N745" s="7"/>
      <c r="O745" s="7"/>
      <c r="P745" s="7"/>
      <c r="Q745" s="7"/>
      <c r="R745" s="7"/>
      <c r="S745" s="7"/>
    </row>
    <row r="746">
      <c r="A746" s="7" t="str">
        <f t="shared" si="1"/>
        <v>Ordoñez, Santiago</v>
      </c>
      <c r="B746" s="7">
        <f>SUMIFS('bd caja'!$K$1:$K$1012,'bd caja'!$D$1:$D$1012,A746)</f>
        <v>0</v>
      </c>
      <c r="C746" s="19">
        <f>IFERROR(__xludf.DUMMYFUNCTION("""COMPUTED_VALUE"""),45587.72615585648)</f>
        <v>45587.72616</v>
      </c>
      <c r="D746" s="7" t="str">
        <f>IFERROR(__xludf.DUMMYFUNCTION("""COMPUTED_VALUE"""),"Ordoñez")</f>
        <v>Ordoñez</v>
      </c>
      <c r="E746" s="7" t="str">
        <f>IFERROR(__xludf.DUMMYFUNCTION("""COMPUTED_VALUE"""),"Santiago")</f>
        <v>Santiago</v>
      </c>
      <c r="F746" s="7"/>
      <c r="G746" s="20">
        <f>IFERROR(__xludf.DUMMYFUNCTION("""COMPUTED_VALUE"""),18645.0)</f>
        <v>18645</v>
      </c>
      <c r="H746" s="7">
        <f>IFERROR(__xludf.DUMMYFUNCTION("""COMPUTED_VALUE"""),8531201.0)</f>
        <v>8531201</v>
      </c>
      <c r="I746" s="7">
        <f>IFERROR(__xludf.DUMMYFUNCTION("""COMPUTED_VALUE"""),3.518070833E9)</f>
        <v>3518070833</v>
      </c>
      <c r="J746" s="7" t="str">
        <f>IFERROR(__xludf.DUMMYFUNCTION("""COMPUTED_VALUE"""),"Recomendación")</f>
        <v>Recomendación</v>
      </c>
      <c r="K746" s="7" t="str">
        <f>IFERROR(__xludf.DUMMYFUNCTION("""COMPUTED_VALUE"""),"Particular")</f>
        <v>Particular</v>
      </c>
      <c r="L746" s="7"/>
      <c r="M746" s="7" t="str">
        <f>IFERROR(__xludf.DUMMYFUNCTION("""COMPUTED_VALUE"""),"Si")</f>
        <v>Si</v>
      </c>
      <c r="N746" s="7"/>
      <c r="O746" s="7" t="str">
        <f>IFERROR(__xludf.DUMMYFUNCTION("""COMPUTED_VALUE"""),"3 a 5 veces por semana")</f>
        <v>3 a 5 veces por semana</v>
      </c>
      <c r="P746" s="7"/>
      <c r="Q746" s="7"/>
      <c r="R746" s="7"/>
      <c r="S746" s="7"/>
    </row>
    <row r="747">
      <c r="A747" s="7" t="str">
        <f t="shared" si="1"/>
        <v>Gómez andurno, Tomás Agustin</v>
      </c>
      <c r="B747" s="7">
        <f>SUMIFS('bd caja'!$K$1:$K$1012,'bd caja'!$D$1:$D$1012,A747)</f>
        <v>0</v>
      </c>
      <c r="C747" s="19">
        <f>IFERROR(__xludf.DUMMYFUNCTION("""COMPUTED_VALUE"""),45587.89139234954)</f>
        <v>45587.89139</v>
      </c>
      <c r="D747" s="7" t="str">
        <f>IFERROR(__xludf.DUMMYFUNCTION("""COMPUTED_VALUE"""),"Gómez andurno")</f>
        <v>Gómez andurno</v>
      </c>
      <c r="E747" s="7" t="str">
        <f>IFERROR(__xludf.DUMMYFUNCTION("""COMPUTED_VALUE"""),"Tomás Agustin")</f>
        <v>Tomás Agustin</v>
      </c>
      <c r="F747" s="7"/>
      <c r="G747" s="20">
        <f>IFERROR(__xludf.DUMMYFUNCTION("""COMPUTED_VALUE"""),34823.0)</f>
        <v>34823</v>
      </c>
      <c r="H747" s="7">
        <f>IFERROR(__xludf.DUMMYFUNCTION("""COMPUTED_VALUE"""),3.8989159E7)</f>
        <v>38989159</v>
      </c>
      <c r="I747" s="7">
        <f>IFERROR(__xludf.DUMMYFUNCTION("""COMPUTED_VALUE"""),3.513284008E9)</f>
        <v>3513284008</v>
      </c>
      <c r="J747" s="7" t="str">
        <f>IFERROR(__xludf.DUMMYFUNCTION("""COMPUTED_VALUE"""),"Google")</f>
        <v>Google</v>
      </c>
      <c r="K747" s="7" t="str">
        <f>IFERROR(__xludf.DUMMYFUNCTION("""COMPUTED_VALUE"""),"Obra social")</f>
        <v>Obra social</v>
      </c>
      <c r="L747" s="7"/>
      <c r="M747" s="7" t="str">
        <f>IFERROR(__xludf.DUMMYFUNCTION("""COMPUTED_VALUE"""),"Si")</f>
        <v>Si</v>
      </c>
      <c r="N747" s="7" t="str">
        <f>IFERROR(__xludf.DUMMYFUNCTION("""COMPUTED_VALUE"""),"Fútbol")</f>
        <v>Fútbol</v>
      </c>
      <c r="O747" s="7" t="str">
        <f>IFERROR(__xludf.DUMMYFUNCTION("""COMPUTED_VALUE"""),"3 a 5 veces por semana")</f>
        <v>3 a 5 veces por semana</v>
      </c>
      <c r="P747" s="7"/>
      <c r="Q747" s="7" t="str">
        <f>IFERROR(__xludf.DUMMYFUNCTION("""COMPUTED_VALUE"""),"Swiss")</f>
        <v>Swiss</v>
      </c>
      <c r="R747" s="7"/>
      <c r="S747" s="7"/>
    </row>
    <row r="748">
      <c r="A748" s="7" t="str">
        <f t="shared" si="1"/>
        <v>Diaz, Noelia</v>
      </c>
      <c r="B748" s="7">
        <f>SUMIFS('bd caja'!$K$1:$K$1012,'bd caja'!$D$1:$D$1012,A748)</f>
        <v>0</v>
      </c>
      <c r="C748" s="19">
        <f>IFERROR(__xludf.DUMMYFUNCTION("""COMPUTED_VALUE"""),45588.49695340278)</f>
        <v>45588.49695</v>
      </c>
      <c r="D748" s="7" t="str">
        <f>IFERROR(__xludf.DUMMYFUNCTION("""COMPUTED_VALUE"""),"Diaz")</f>
        <v>Diaz</v>
      </c>
      <c r="E748" s="7" t="str">
        <f>IFERROR(__xludf.DUMMYFUNCTION("""COMPUTED_VALUE"""),"Noelia")</f>
        <v>Noelia</v>
      </c>
      <c r="F748" s="7" t="str">
        <f>IFERROR(__xludf.DUMMYFUNCTION("""COMPUTED_VALUE"""),"Diaznoelia124@gmail.com")</f>
        <v>Diaznoelia124@gmail.com</v>
      </c>
      <c r="G748" s="20">
        <f>IFERROR(__xludf.DUMMYFUNCTION("""COMPUTED_VALUE"""),28175.0)</f>
        <v>28175</v>
      </c>
      <c r="H748" s="7">
        <f>IFERROR(__xludf.DUMMYFUNCTION("""COMPUTED_VALUE"""),2.575624E7)</f>
        <v>25756240</v>
      </c>
      <c r="I748" s="7">
        <f>IFERROR(__xludf.DUMMYFUNCTION("""COMPUTED_VALUE"""),3.517353014E9)</f>
        <v>3517353014</v>
      </c>
      <c r="J748" s="7" t="str">
        <f>IFERROR(__xludf.DUMMYFUNCTION("""COMPUTED_VALUE"""),"Google")</f>
        <v>Google</v>
      </c>
      <c r="K748" s="7" t="str">
        <f>IFERROR(__xludf.DUMMYFUNCTION("""COMPUTED_VALUE"""),"Obra social")</f>
        <v>Obra social</v>
      </c>
      <c r="L748" s="7"/>
      <c r="M748" s="7" t="str">
        <f>IFERROR(__xludf.DUMMYFUNCTION("""COMPUTED_VALUE"""),"No")</f>
        <v>No</v>
      </c>
      <c r="N748" s="7"/>
      <c r="O748" s="7"/>
      <c r="P748" s="7"/>
      <c r="Q748" s="7" t="str">
        <f>IFERROR(__xludf.DUMMYFUNCTION("""COMPUTED_VALUE"""),"SANCOR")</f>
        <v>SANCOR</v>
      </c>
      <c r="R748" s="7"/>
      <c r="S748" s="7"/>
    </row>
    <row r="749">
      <c r="A749" s="7" t="str">
        <f t="shared" si="1"/>
        <v>Boasi, Santiago</v>
      </c>
      <c r="B749" s="7">
        <f>SUMIFS('bd caja'!$K$1:$K$1012,'bd caja'!$D$1:$D$1012,A749)</f>
        <v>0</v>
      </c>
      <c r="C749" s="19">
        <f>IFERROR(__xludf.DUMMYFUNCTION("""COMPUTED_VALUE"""),45588.51485894676)</f>
        <v>45588.51486</v>
      </c>
      <c r="D749" s="7" t="str">
        <f>IFERROR(__xludf.DUMMYFUNCTION("""COMPUTED_VALUE"""),"Boasi")</f>
        <v>Boasi</v>
      </c>
      <c r="E749" s="7" t="str">
        <f>IFERROR(__xludf.DUMMYFUNCTION("""COMPUTED_VALUE"""),"Santiago")</f>
        <v>Santiago</v>
      </c>
      <c r="F749" s="7" t="str">
        <f>IFERROR(__xludf.DUMMYFUNCTION("""COMPUTED_VALUE"""),"Santiezel30@gmail.com")</f>
        <v>Santiezel30@gmail.com</v>
      </c>
      <c r="G749" s="20">
        <f>IFERROR(__xludf.DUMMYFUNCTION("""COMPUTED_VALUE"""),30969.0)</f>
        <v>30969</v>
      </c>
      <c r="H749" s="7">
        <f>IFERROR(__xludf.DUMMYFUNCTION("""COMPUTED_VALUE"""),3.1217605E7)</f>
        <v>31217605</v>
      </c>
      <c r="I749" s="7">
        <f>IFERROR(__xludf.DUMMYFUNCTION("""COMPUTED_VALUE"""),3.5176838E9)</f>
        <v>3517683800</v>
      </c>
      <c r="J749" s="7" t="str">
        <f>IFERROR(__xludf.DUMMYFUNCTION("""COMPUTED_VALUE"""),"Recomendación")</f>
        <v>Recomendación</v>
      </c>
      <c r="K749" s="7" t="str">
        <f>IFERROR(__xludf.DUMMYFUNCTION("""COMPUTED_VALUE"""),"Particular")</f>
        <v>Particular</v>
      </c>
      <c r="L749" s="7"/>
      <c r="M749" s="7" t="str">
        <f>IFERROR(__xludf.DUMMYFUNCTION("""COMPUTED_VALUE"""),"Si")</f>
        <v>Si</v>
      </c>
      <c r="N749" s="7" t="str">
        <f>IFERROR(__xludf.DUMMYFUNCTION("""COMPUTED_VALUE"""),"Baile")</f>
        <v>Baile</v>
      </c>
      <c r="O749" s="7" t="str">
        <f>IFERROR(__xludf.DUMMYFUNCTION("""COMPUTED_VALUE"""),"6 a 7 veces por semana")</f>
        <v>6 a 7 veces por semana</v>
      </c>
      <c r="P749" s="7"/>
      <c r="Q749" s="7"/>
      <c r="R749" s="7"/>
      <c r="S749" s="7"/>
    </row>
    <row r="750">
      <c r="A750" s="7" t="str">
        <f t="shared" si="1"/>
        <v>Gallerano, Luciano</v>
      </c>
      <c r="B750" s="7">
        <f>SUMIFS('bd caja'!$K$1:$K$1012,'bd caja'!$D$1:$D$1012,A750)</f>
        <v>0</v>
      </c>
      <c r="C750" s="19">
        <f>IFERROR(__xludf.DUMMYFUNCTION("""COMPUTED_VALUE"""),45588.82899361111)</f>
        <v>45588.82899</v>
      </c>
      <c r="D750" s="7" t="str">
        <f>IFERROR(__xludf.DUMMYFUNCTION("""COMPUTED_VALUE"""),"Gallerano")</f>
        <v>Gallerano</v>
      </c>
      <c r="E750" s="7" t="str">
        <f>IFERROR(__xludf.DUMMYFUNCTION("""COMPUTED_VALUE"""),"Luciano")</f>
        <v>Luciano</v>
      </c>
      <c r="F750" s="7" t="str">
        <f>IFERROR(__xludf.DUMMYFUNCTION("""COMPUTED_VALUE"""),"luciano_liceopaz@hotmail.com.ar")</f>
        <v>luciano_liceopaz@hotmail.com.ar</v>
      </c>
      <c r="G750" s="20">
        <f>IFERROR(__xludf.DUMMYFUNCTION("""COMPUTED_VALUE"""),34607.0)</f>
        <v>34607</v>
      </c>
      <c r="H750" s="7">
        <f>IFERROR(__xludf.DUMMYFUNCTION("""COMPUTED_VALUE"""),3.841314E7)</f>
        <v>38413140</v>
      </c>
      <c r="I750" s="7">
        <f>IFERROR(__xludf.DUMMYFUNCTION("""COMPUTED_VALUE"""),3.513117498E9)</f>
        <v>3513117498</v>
      </c>
      <c r="J750" s="7" t="str">
        <f>IFERROR(__xludf.DUMMYFUNCTION("""COMPUTED_VALUE"""),"Recomendación")</f>
        <v>Recomendación</v>
      </c>
      <c r="K750" s="7" t="str">
        <f>IFERROR(__xludf.DUMMYFUNCTION("""COMPUTED_VALUE"""),"Obra social")</f>
        <v>Obra social</v>
      </c>
      <c r="L750" s="7"/>
      <c r="M750" s="7" t="str">
        <f>IFERROR(__xludf.DUMMYFUNCTION("""COMPUTED_VALUE"""),"Si")</f>
        <v>Si</v>
      </c>
      <c r="N750" s="7" t="str">
        <f>IFERROR(__xludf.DUMMYFUNCTION("""COMPUTED_VALUE"""),"Gimnasio")</f>
        <v>Gimnasio</v>
      </c>
      <c r="O750" s="7" t="str">
        <f>IFERROR(__xludf.DUMMYFUNCTION("""COMPUTED_VALUE"""),"3 a 5 veces por semana")</f>
        <v>3 a 5 veces por semana</v>
      </c>
      <c r="P750" s="7"/>
      <c r="Q750" s="7" t="str">
        <f>IFERROR(__xludf.DUMMYFUNCTION("""COMPUTED_VALUE"""),"MEDIFÉ")</f>
        <v>MEDIFÉ</v>
      </c>
      <c r="R750" s="7"/>
      <c r="S750" s="7"/>
    </row>
    <row r="751">
      <c r="A751" s="7" t="str">
        <f t="shared" si="1"/>
        <v>Gonzalez, Gonzalo</v>
      </c>
      <c r="B751" s="7">
        <f>SUMIFS('bd caja'!$K$1:$K$1012,'bd caja'!$D$1:$D$1012,A751)</f>
        <v>0</v>
      </c>
      <c r="C751" s="19">
        <f>IFERROR(__xludf.DUMMYFUNCTION("""COMPUTED_VALUE"""),45589.70310760417)</f>
        <v>45589.70311</v>
      </c>
      <c r="D751" s="7" t="str">
        <f>IFERROR(__xludf.DUMMYFUNCTION("""COMPUTED_VALUE"""),"Gonzalez")</f>
        <v>Gonzalez</v>
      </c>
      <c r="E751" s="7" t="str">
        <f>IFERROR(__xludf.DUMMYFUNCTION("""COMPUTED_VALUE"""),"Gonzalo")</f>
        <v>Gonzalo</v>
      </c>
      <c r="F751" s="7" t="str">
        <f>IFERROR(__xludf.DUMMYFUNCTION("""COMPUTED_VALUE"""),"gonzalojavier441@gmail.com")</f>
        <v>gonzalojavier441@gmail.com</v>
      </c>
      <c r="G751" s="20">
        <f>IFERROR(__xludf.DUMMYFUNCTION("""COMPUTED_VALUE"""),28343.0)</f>
        <v>28343</v>
      </c>
      <c r="H751" s="7">
        <f>IFERROR(__xludf.DUMMYFUNCTION("""COMPUTED_VALUE"""),2.592061E7)</f>
        <v>25920610</v>
      </c>
      <c r="I751" s="7">
        <f>IFERROR(__xludf.DUMMYFUNCTION("""COMPUTED_VALUE"""),3.518151278E9)</f>
        <v>3518151278</v>
      </c>
      <c r="J751" s="7" t="str">
        <f>IFERROR(__xludf.DUMMYFUNCTION("""COMPUTED_VALUE"""),"Recomendación")</f>
        <v>Recomendación</v>
      </c>
      <c r="K751" s="7" t="str">
        <f>IFERROR(__xludf.DUMMYFUNCTION("""COMPUTED_VALUE"""),"Particular")</f>
        <v>Particular</v>
      </c>
      <c r="L751" s="7"/>
      <c r="M751" s="7" t="str">
        <f>IFERROR(__xludf.DUMMYFUNCTION("""COMPUTED_VALUE"""),"Si")</f>
        <v>Si</v>
      </c>
      <c r="N751" s="7" t="str">
        <f>IFERROR(__xludf.DUMMYFUNCTION("""COMPUTED_VALUE"""),"Fútbol")</f>
        <v>Fútbol</v>
      </c>
      <c r="O751" s="7" t="str">
        <f>IFERROR(__xludf.DUMMYFUNCTION("""COMPUTED_VALUE"""),"1 a 2 veces por semana")</f>
        <v>1 a 2 veces por semana</v>
      </c>
      <c r="P751" s="7"/>
      <c r="Q751" s="7"/>
      <c r="R751" s="7"/>
      <c r="S751" s="7"/>
    </row>
    <row r="752">
      <c r="A752" s="7" t="str">
        <f t="shared" si="1"/>
        <v>Guagliano, Agustin</v>
      </c>
      <c r="B752" s="7">
        <f>SUMIFS('bd caja'!$K$1:$K$1012,'bd caja'!$D$1:$D$1012,A752)</f>
        <v>0</v>
      </c>
      <c r="C752" s="19">
        <f>IFERROR(__xludf.DUMMYFUNCTION("""COMPUTED_VALUE"""),45590.4747653125)</f>
        <v>45590.47477</v>
      </c>
      <c r="D752" s="7" t="str">
        <f>IFERROR(__xludf.DUMMYFUNCTION("""COMPUTED_VALUE"""),"Guagliano")</f>
        <v>Guagliano</v>
      </c>
      <c r="E752" s="7" t="str">
        <f>IFERROR(__xludf.DUMMYFUNCTION("""COMPUTED_VALUE"""),"Agustin")</f>
        <v>Agustin</v>
      </c>
      <c r="F752" s="7" t="str">
        <f>IFERROR(__xludf.DUMMYFUNCTION("""COMPUTED_VALUE"""),"guagliano.agustin@gmail.com")</f>
        <v>guagliano.agustin@gmail.com</v>
      </c>
      <c r="G752" s="20">
        <f>IFERROR(__xludf.DUMMYFUNCTION("""COMPUTED_VALUE"""),34298.0)</f>
        <v>34298</v>
      </c>
      <c r="H752" s="7">
        <f>IFERROR(__xludf.DUMMYFUNCTION("""COMPUTED_VALUE"""),3.8028896E7)</f>
        <v>38028896</v>
      </c>
      <c r="I752" s="7">
        <f>IFERROR(__xludf.DUMMYFUNCTION("""COMPUTED_VALUE"""),3.512125255E9)</f>
        <v>3512125255</v>
      </c>
      <c r="J752" s="7" t="str">
        <f>IFERROR(__xludf.DUMMYFUNCTION("""COMPUTED_VALUE"""),"Voy al sportclub de gauss")</f>
        <v>Voy al sportclub de gauss</v>
      </c>
      <c r="K752" s="7" t="str">
        <f>IFERROR(__xludf.DUMMYFUNCTION("""COMPUTED_VALUE"""),"Particular")</f>
        <v>Particular</v>
      </c>
      <c r="L752" s="7"/>
      <c r="M752" s="7" t="str">
        <f>IFERROR(__xludf.DUMMYFUNCTION("""COMPUTED_VALUE"""),"Si")</f>
        <v>Si</v>
      </c>
      <c r="N752" s="7" t="str">
        <f>IFERROR(__xludf.DUMMYFUNCTION("""COMPUTED_VALUE"""),"Gimnasio")</f>
        <v>Gimnasio</v>
      </c>
      <c r="O752" s="7" t="str">
        <f>IFERROR(__xludf.DUMMYFUNCTION("""COMPUTED_VALUE"""),"3 a 5 veces por semana")</f>
        <v>3 a 5 veces por semana</v>
      </c>
      <c r="P752" s="7"/>
      <c r="Q752" s="7"/>
      <c r="R752" s="7"/>
      <c r="S752" s="7"/>
    </row>
    <row r="753">
      <c r="A753" s="7" t="str">
        <f t="shared" si="1"/>
        <v>Platia, Luciana</v>
      </c>
      <c r="B753" s="7">
        <f>SUMIFS('bd caja'!$K$1:$K$1012,'bd caja'!$D$1:$D$1012,A753)</f>
        <v>0</v>
      </c>
      <c r="C753" s="19">
        <f>IFERROR(__xludf.DUMMYFUNCTION("""COMPUTED_VALUE"""),45593.805293680554)</f>
        <v>45593.80529</v>
      </c>
      <c r="D753" s="7" t="str">
        <f>IFERROR(__xludf.DUMMYFUNCTION("""COMPUTED_VALUE"""),"Platia")</f>
        <v>Platia</v>
      </c>
      <c r="E753" s="7" t="str">
        <f>IFERROR(__xludf.DUMMYFUNCTION("""COMPUTED_VALUE"""),"Luciana")</f>
        <v>Luciana</v>
      </c>
      <c r="F753" s="7" t="str">
        <f>IFERROR(__xludf.DUMMYFUNCTION("""COMPUTED_VALUE"""),"lucianaplatia@gmail.com")</f>
        <v>lucianaplatia@gmail.com</v>
      </c>
      <c r="G753" s="20">
        <f>IFERROR(__xludf.DUMMYFUNCTION("""COMPUTED_VALUE"""),39079.0)</f>
        <v>39079</v>
      </c>
      <c r="H753" s="7">
        <f>IFERROR(__xludf.DUMMYFUNCTION("""COMPUTED_VALUE"""),4.7662025E7)</f>
        <v>47662025</v>
      </c>
      <c r="I753" s="7">
        <f>IFERROR(__xludf.DUMMYFUNCTION("""COMPUTED_VALUE"""),3.512171646E9)</f>
        <v>3512171646</v>
      </c>
      <c r="J753" s="7" t="str">
        <f>IFERROR(__xludf.DUMMYFUNCTION("""COMPUTED_VALUE"""),"Recomendación")</f>
        <v>Recomendación</v>
      </c>
      <c r="K753" s="7" t="str">
        <f>IFERROR(__xludf.DUMMYFUNCTION("""COMPUTED_VALUE"""),"Particular")</f>
        <v>Particular</v>
      </c>
      <c r="L753" s="7"/>
      <c r="M753" s="7" t="str">
        <f>IFERROR(__xludf.DUMMYFUNCTION("""COMPUTED_VALUE"""),"Si")</f>
        <v>Si</v>
      </c>
      <c r="N753" s="7" t="str">
        <f>IFERROR(__xludf.DUMMYFUNCTION("""COMPUTED_VALUE"""),"Baile")</f>
        <v>Baile</v>
      </c>
      <c r="O753" s="7" t="str">
        <f>IFERROR(__xludf.DUMMYFUNCTION("""COMPUTED_VALUE"""),"1 a 2 veces por semana")</f>
        <v>1 a 2 veces por semana</v>
      </c>
      <c r="P753" s="7"/>
      <c r="Q753" s="7"/>
      <c r="R753" s="7"/>
      <c r="S753" s="7"/>
    </row>
    <row r="754">
      <c r="A754" s="7" t="str">
        <f t="shared" si="1"/>
        <v>García Abad, María Luz</v>
      </c>
      <c r="B754" s="7">
        <f>SUMIFS('bd caja'!$K$1:$K$1012,'bd caja'!$D$1:$D$1012,A754)</f>
        <v>0</v>
      </c>
      <c r="C754" s="19">
        <f>IFERROR(__xludf.DUMMYFUNCTION("""COMPUTED_VALUE"""),45594.52847359954)</f>
        <v>45594.52847</v>
      </c>
      <c r="D754" s="7" t="str">
        <f>IFERROR(__xludf.DUMMYFUNCTION("""COMPUTED_VALUE"""),"García Abad")</f>
        <v>García Abad</v>
      </c>
      <c r="E754" s="7" t="str">
        <f>IFERROR(__xludf.DUMMYFUNCTION("""COMPUTED_VALUE"""),"María Luz")</f>
        <v>María Luz</v>
      </c>
      <c r="F754" s="7" t="str">
        <f>IFERROR(__xludf.DUMMYFUNCTION("""COMPUTED_VALUE"""),"Luzgarciaabad193@gmail.com")</f>
        <v>Luzgarciaabad193@gmail.com</v>
      </c>
      <c r="G754" s="20">
        <f>IFERROR(__xludf.DUMMYFUNCTION("""COMPUTED_VALUE"""),33983.0)</f>
        <v>33983</v>
      </c>
      <c r="H754" s="7">
        <f>IFERROR(__xludf.DUMMYFUNCTION("""COMPUTED_VALUE"""),3.7195371E7)</f>
        <v>37195371</v>
      </c>
      <c r="I754" s="7">
        <f>IFERROR(__xludf.DUMMYFUNCTION("""COMPUTED_VALUE"""),3.518150251E9)</f>
        <v>3518150251</v>
      </c>
      <c r="J754" s="7" t="str">
        <f>IFERROR(__xludf.DUMMYFUNCTION("""COMPUTED_VALUE"""),"Google")</f>
        <v>Google</v>
      </c>
      <c r="K754" s="7" t="str">
        <f>IFERROR(__xludf.DUMMYFUNCTION("""COMPUTED_VALUE"""),"Obra social")</f>
        <v>Obra social</v>
      </c>
      <c r="L754" s="7"/>
      <c r="M754" s="7" t="str">
        <f>IFERROR(__xludf.DUMMYFUNCTION("""COMPUTED_VALUE"""),"Si")</f>
        <v>Si</v>
      </c>
      <c r="N754" s="7" t="str">
        <f>IFERROR(__xludf.DUMMYFUNCTION("""COMPUTED_VALUE"""),"Pilates, TPA")</f>
        <v>Pilates, TPA</v>
      </c>
      <c r="O754" s="7" t="str">
        <f>IFERROR(__xludf.DUMMYFUNCTION("""COMPUTED_VALUE"""),"3 a 5 veces por semana")</f>
        <v>3 a 5 veces por semana</v>
      </c>
      <c r="P754" s="7"/>
      <c r="Q754" s="7" t="str">
        <f>IFERROR(__xludf.DUMMYFUNCTION("""COMPUTED_VALUE"""),"IOSFA")</f>
        <v>IOSFA</v>
      </c>
      <c r="R754" s="7"/>
      <c r="S754" s="7"/>
    </row>
    <row r="755">
      <c r="A755" s="7" t="str">
        <f t="shared" si="1"/>
        <v>Peretti, Fernando</v>
      </c>
      <c r="B755" s="7">
        <f>SUMIFS('bd caja'!$K$1:$K$1012,'bd caja'!$D$1:$D$1012,A755)</f>
        <v>0</v>
      </c>
      <c r="C755" s="19">
        <f>IFERROR(__xludf.DUMMYFUNCTION("""COMPUTED_VALUE"""),45594.778788564814)</f>
        <v>45594.77879</v>
      </c>
      <c r="D755" s="7" t="str">
        <f>IFERROR(__xludf.DUMMYFUNCTION("""COMPUTED_VALUE"""),"Peretti")</f>
        <v>Peretti</v>
      </c>
      <c r="E755" s="7" t="str">
        <f>IFERROR(__xludf.DUMMYFUNCTION("""COMPUTED_VALUE"""),"Fernando")</f>
        <v>Fernando</v>
      </c>
      <c r="F755" s="7" t="str">
        <f>IFERROR(__xludf.DUMMYFUNCTION("""COMPUTED_VALUE"""),"Ferperetti@hotmail.com")</f>
        <v>Ferperetti@hotmail.com</v>
      </c>
      <c r="G755" s="20">
        <f>IFERROR(__xludf.DUMMYFUNCTION("""COMPUTED_VALUE"""),21866.0)</f>
        <v>21866</v>
      </c>
      <c r="H755" s="7">
        <f>IFERROR(__xludf.DUMMYFUNCTION("""COMPUTED_VALUE"""),1.3537934E7)</f>
        <v>13537934</v>
      </c>
      <c r="I755" s="7">
        <f>IFERROR(__xludf.DUMMYFUNCTION("""COMPUTED_VALUE"""),3.515516896E9)</f>
        <v>3515516896</v>
      </c>
      <c r="J755" s="7" t="str">
        <f>IFERROR(__xludf.DUMMYFUNCTION("""COMPUTED_VALUE"""),"Google")</f>
        <v>Google</v>
      </c>
      <c r="K755" s="7" t="str">
        <f>IFERROR(__xludf.DUMMYFUNCTION("""COMPUTED_VALUE"""),"Obra social")</f>
        <v>Obra social</v>
      </c>
      <c r="L755" s="7"/>
      <c r="M755" s="7" t="str">
        <f>IFERROR(__xludf.DUMMYFUNCTION("""COMPUTED_VALUE"""),"Si")</f>
        <v>Si</v>
      </c>
      <c r="N755" s="7" t="str">
        <f>IFERROR(__xludf.DUMMYFUNCTION("""COMPUTED_VALUE"""),"Natacion")</f>
        <v>Natacion</v>
      </c>
      <c r="O755" s="7" t="str">
        <f>IFERROR(__xludf.DUMMYFUNCTION("""COMPUTED_VALUE"""),"1 a 2 veces por semana")</f>
        <v>1 a 2 veces por semana</v>
      </c>
      <c r="P755" s="7"/>
      <c r="Q755" s="7" t="str">
        <f>IFERROR(__xludf.DUMMYFUNCTION("""COMPUTED_VALUE"""),"Osde")</f>
        <v>Osde</v>
      </c>
      <c r="R755" s="7"/>
      <c r="S755" s="7"/>
    </row>
    <row r="756">
      <c r="A756" s="7" t="str">
        <f t="shared" si="1"/>
        <v>Nuñez, Gladys </v>
      </c>
      <c r="B756" s="7">
        <f>SUMIFS('bd caja'!$K$1:$K$1012,'bd caja'!$D$1:$D$1012,A756)</f>
        <v>0</v>
      </c>
      <c r="C756" s="19">
        <f>IFERROR(__xludf.DUMMYFUNCTION("""COMPUTED_VALUE"""),45594.78059741898)</f>
        <v>45594.7806</v>
      </c>
      <c r="D756" s="7" t="str">
        <f>IFERROR(__xludf.DUMMYFUNCTION("""COMPUTED_VALUE"""),"Nuñez")</f>
        <v>Nuñez</v>
      </c>
      <c r="E756" s="7" t="str">
        <f>IFERROR(__xludf.DUMMYFUNCTION("""COMPUTED_VALUE"""),"Gladys ")</f>
        <v>Gladys </v>
      </c>
      <c r="F756" s="7" t="str">
        <f>IFERROR(__xludf.DUMMYFUNCTION("""COMPUTED_VALUE"""),"Ggcanga@gmail.com")</f>
        <v>Ggcanga@gmail.com</v>
      </c>
      <c r="G756" s="20">
        <f>IFERROR(__xludf.DUMMYFUNCTION("""COMPUTED_VALUE"""),20509.0)</f>
        <v>20509</v>
      </c>
      <c r="H756" s="7">
        <f>IFERROR(__xludf.DUMMYFUNCTION("""COMPUTED_VALUE"""),1.2209967E7)</f>
        <v>12209967</v>
      </c>
      <c r="I756" s="7">
        <f>IFERROR(__xludf.DUMMYFUNCTION("""COMPUTED_VALUE"""),3.512268711E9)</f>
        <v>3512268711</v>
      </c>
      <c r="J756" s="7" t="str">
        <f>IFERROR(__xludf.DUMMYFUNCTION("""COMPUTED_VALUE"""),"Recomendación")</f>
        <v>Recomendación</v>
      </c>
      <c r="K756" s="7" t="str">
        <f>IFERROR(__xludf.DUMMYFUNCTION("""COMPUTED_VALUE"""),"Particular")</f>
        <v>Particular</v>
      </c>
      <c r="L756" s="7"/>
      <c r="M756" s="7" t="str">
        <f>IFERROR(__xludf.DUMMYFUNCTION("""COMPUTED_VALUE"""),"No")</f>
        <v>No</v>
      </c>
      <c r="N756" s="7"/>
      <c r="O756" s="7"/>
      <c r="P756" s="7"/>
      <c r="Q756" s="7"/>
      <c r="R756" s="7"/>
      <c r="S756" s="7"/>
    </row>
    <row r="757">
      <c r="A757" s="7" t="str">
        <f t="shared" si="1"/>
        <v>Reynoso , Ana </v>
      </c>
      <c r="B757" s="7">
        <f>SUMIFS('bd caja'!$K$1:$K$1012,'bd caja'!$D$1:$D$1012,A757)</f>
        <v>0</v>
      </c>
      <c r="C757" s="19">
        <f>IFERROR(__xludf.DUMMYFUNCTION("""COMPUTED_VALUE"""),45594.96885052083)</f>
        <v>45594.96885</v>
      </c>
      <c r="D757" s="7" t="str">
        <f>IFERROR(__xludf.DUMMYFUNCTION("""COMPUTED_VALUE"""),"Reynoso ")</f>
        <v>Reynoso </v>
      </c>
      <c r="E757" s="7" t="str">
        <f>IFERROR(__xludf.DUMMYFUNCTION("""COMPUTED_VALUE"""),"Ana ")</f>
        <v>Ana </v>
      </c>
      <c r="F757" s="7" t="str">
        <f>IFERROR(__xludf.DUMMYFUNCTION("""COMPUTED_VALUE"""),"reynosofabiana245@gmail.com")</f>
        <v>reynosofabiana245@gmail.com</v>
      </c>
      <c r="G757" s="20">
        <f>IFERROR(__xludf.DUMMYFUNCTION("""COMPUTED_VALUE"""),45459.0)</f>
        <v>45459</v>
      </c>
      <c r="H757" s="7">
        <f>IFERROR(__xludf.DUMMYFUNCTION("""COMPUTED_VALUE"""),2.5300915E7)</f>
        <v>25300915</v>
      </c>
      <c r="I757" s="7">
        <f>IFERROR(__xludf.DUMMYFUNCTION("""COMPUTED_VALUE"""),3.5126678E9)</f>
        <v>3512667800</v>
      </c>
      <c r="J757" s="7" t="str">
        <f>IFERROR(__xludf.DUMMYFUNCTION("""COMPUTED_VALUE"""),"Google")</f>
        <v>Google</v>
      </c>
      <c r="K757" s="7" t="str">
        <f>IFERROR(__xludf.DUMMYFUNCTION("""COMPUTED_VALUE"""),"Obra social")</f>
        <v>Obra social</v>
      </c>
      <c r="L757" s="7"/>
      <c r="M757" s="7" t="str">
        <f>IFERROR(__xludf.DUMMYFUNCTION("""COMPUTED_VALUE"""),"No")</f>
        <v>No</v>
      </c>
      <c r="N757" s="7"/>
      <c r="O757" s="7"/>
      <c r="P757" s="7"/>
      <c r="Q757" s="7" t="str">
        <f>IFERROR(__xludf.DUMMYFUNCTION("""COMPUTED_VALUE"""),"APROSS")</f>
        <v>APROSS</v>
      </c>
      <c r="R757" s="7"/>
      <c r="S757" s="7"/>
    </row>
    <row r="758">
      <c r="A758" s="7" t="str">
        <f t="shared" si="1"/>
        <v>Patiño , María Fernanda</v>
      </c>
      <c r="B758" s="7">
        <f>SUMIFS('bd caja'!$K$1:$K$1012,'bd caja'!$D$1:$D$1012,A758)</f>
        <v>0</v>
      </c>
      <c r="C758" s="19">
        <f>IFERROR(__xludf.DUMMYFUNCTION("""COMPUTED_VALUE"""),45595.45162929398)</f>
        <v>45595.45163</v>
      </c>
      <c r="D758" s="7" t="str">
        <f>IFERROR(__xludf.DUMMYFUNCTION("""COMPUTED_VALUE"""),"Patiño ")</f>
        <v>Patiño </v>
      </c>
      <c r="E758" s="7" t="str">
        <f>IFERROR(__xludf.DUMMYFUNCTION("""COMPUTED_VALUE"""),"María Fernanda")</f>
        <v>María Fernanda</v>
      </c>
      <c r="F758" s="7" t="str">
        <f>IFERROR(__xludf.DUMMYFUNCTION("""COMPUTED_VALUE"""),"Mfpatinio@gmail.com")</f>
        <v>Mfpatinio@gmail.com</v>
      </c>
      <c r="G758" s="20">
        <f>IFERROR(__xludf.DUMMYFUNCTION("""COMPUTED_VALUE"""),45305.0)</f>
        <v>45305</v>
      </c>
      <c r="H758" s="7">
        <f>IFERROR(__xludf.DUMMYFUNCTION("""COMPUTED_VALUE"""),2.3822196E7)</f>
        <v>23822196</v>
      </c>
      <c r="I758" s="7">
        <f>IFERROR(__xludf.DUMMYFUNCTION("""COMPUTED_VALUE"""),3.516167629E9)</f>
        <v>3516167629</v>
      </c>
      <c r="J758" s="7" t="str">
        <f>IFERROR(__xludf.DUMMYFUNCTION("""COMPUTED_VALUE"""),"Recomendación")</f>
        <v>Recomendación</v>
      </c>
      <c r="K758" s="7" t="str">
        <f>IFERROR(__xludf.DUMMYFUNCTION("""COMPUTED_VALUE"""),"Obra social")</f>
        <v>Obra social</v>
      </c>
      <c r="L758" s="7"/>
      <c r="M758" s="7" t="str">
        <f>IFERROR(__xludf.DUMMYFUNCTION("""COMPUTED_VALUE"""),"Si")</f>
        <v>Si</v>
      </c>
      <c r="N758" s="7" t="str">
        <f>IFERROR(__xludf.DUMMYFUNCTION("""COMPUTED_VALUE"""),"Gimnasia personalizada")</f>
        <v>Gimnasia personalizada</v>
      </c>
      <c r="O758" s="7" t="str">
        <f>IFERROR(__xludf.DUMMYFUNCTION("""COMPUTED_VALUE"""),"1 a 2 veces por semana")</f>
        <v>1 a 2 veces por semana</v>
      </c>
      <c r="P758" s="7"/>
      <c r="Q758" s="7" t="str">
        <f>IFERROR(__xludf.DUMMYFUNCTION("""COMPUTED_VALUE"""),"CPCE")</f>
        <v>CPCE</v>
      </c>
      <c r="R758" s="7"/>
      <c r="S758" s="7"/>
    </row>
    <row r="759">
      <c r="A759" s="7" t="str">
        <f t="shared" si="1"/>
        <v>Vannucci, Carlos</v>
      </c>
      <c r="B759" s="7">
        <f>SUMIFS('bd caja'!$K$1:$K$1012,'bd caja'!$D$1:$D$1012,A759)</f>
        <v>0</v>
      </c>
      <c r="C759" s="19">
        <f>IFERROR(__xludf.DUMMYFUNCTION("""COMPUTED_VALUE"""),45596.72292666667)</f>
        <v>45596.72293</v>
      </c>
      <c r="D759" s="7" t="str">
        <f>IFERROR(__xludf.DUMMYFUNCTION("""COMPUTED_VALUE"""),"Vannucci")</f>
        <v>Vannucci</v>
      </c>
      <c r="E759" s="7" t="str">
        <f>IFERROR(__xludf.DUMMYFUNCTION("""COMPUTED_VALUE"""),"Carlos")</f>
        <v>Carlos</v>
      </c>
      <c r="F759" s="7"/>
      <c r="G759" s="20">
        <f>IFERROR(__xludf.DUMMYFUNCTION("""COMPUTED_VALUE"""),17486.0)</f>
        <v>17486</v>
      </c>
      <c r="H759" s="7">
        <f>IFERROR(__xludf.DUMMYFUNCTION("""COMPUTED_VALUE"""),7999463.0)</f>
        <v>7999463</v>
      </c>
      <c r="I759" s="7">
        <f>IFERROR(__xludf.DUMMYFUNCTION("""COMPUTED_VALUE"""),3.516641834E9)</f>
        <v>3516641834</v>
      </c>
      <c r="J759" s="7" t="str">
        <f>IFERROR(__xludf.DUMMYFUNCTION("""COMPUTED_VALUE"""),"Recomendación")</f>
        <v>Recomendación</v>
      </c>
      <c r="K759" s="7" t="str">
        <f>IFERROR(__xludf.DUMMYFUNCTION("""COMPUTED_VALUE"""),"Obra social")</f>
        <v>Obra social</v>
      </c>
      <c r="L759" s="7"/>
      <c r="M759" s="7" t="str">
        <f>IFERROR(__xludf.DUMMYFUNCTION("""COMPUTED_VALUE"""),"No")</f>
        <v>No</v>
      </c>
      <c r="N759" s="7"/>
      <c r="O759" s="7"/>
      <c r="P759" s="7"/>
      <c r="Q759" s="7" t="str">
        <f>IFERROR(__xludf.DUMMYFUNCTION("""COMPUTED_VALUE"""),"Daspu")</f>
        <v>Daspu</v>
      </c>
      <c r="R759" s="7"/>
      <c r="S759" s="7"/>
    </row>
    <row r="760">
      <c r="A760" s="7" t="str">
        <f t="shared" si="1"/>
        <v>Claus, Sabrina</v>
      </c>
      <c r="B760" s="7">
        <f>SUMIFS('bd caja'!$K$1:$K$1012,'bd caja'!$D$1:$D$1012,A760)</f>
        <v>0</v>
      </c>
      <c r="C760" s="19">
        <f>IFERROR(__xludf.DUMMYFUNCTION("""COMPUTED_VALUE"""),45596.76487648148)</f>
        <v>45596.76488</v>
      </c>
      <c r="D760" s="7" t="str">
        <f>IFERROR(__xludf.DUMMYFUNCTION("""COMPUTED_VALUE"""),"Claus")</f>
        <v>Claus</v>
      </c>
      <c r="E760" s="7" t="str">
        <f>IFERROR(__xludf.DUMMYFUNCTION("""COMPUTED_VALUE"""),"Sabrina")</f>
        <v>Sabrina</v>
      </c>
      <c r="F760" s="7" t="str">
        <f>IFERROR(__xludf.DUMMYFUNCTION("""COMPUTED_VALUE"""),"sabriclaus.sc@gmail.com")</f>
        <v>sabriclaus.sc@gmail.com</v>
      </c>
      <c r="G760" s="20">
        <f>IFERROR(__xludf.DUMMYFUNCTION("""COMPUTED_VALUE"""),35225.0)</f>
        <v>35225</v>
      </c>
      <c r="H760" s="7">
        <f>IFERROR(__xludf.DUMMYFUNCTION("""COMPUTED_VALUE"""),3.9070275E7)</f>
        <v>39070275</v>
      </c>
      <c r="I760" s="7">
        <f>IFERROR(__xludf.DUMMYFUNCTION("""COMPUTED_VALUE"""),3.517473197E9)</f>
        <v>3517473197</v>
      </c>
      <c r="J760" s="7" t="str">
        <f>IFERROR(__xludf.DUMMYFUNCTION("""COMPUTED_VALUE"""),"Andrés heredia")</f>
        <v>Andrés heredia</v>
      </c>
      <c r="K760" s="7" t="str">
        <f>IFERROR(__xludf.DUMMYFUNCTION("""COMPUTED_VALUE"""),"Obra social")</f>
        <v>Obra social</v>
      </c>
      <c r="L760" s="7"/>
      <c r="M760" s="7" t="str">
        <f>IFERROR(__xludf.DUMMYFUNCTION("""COMPUTED_VALUE"""),"Si")</f>
        <v>Si</v>
      </c>
      <c r="N760" s="7" t="str">
        <f>IFERROR(__xludf.DUMMYFUNCTION("""COMPUTED_VALUE"""),"Pádel y voley ")</f>
        <v>Pádel y voley </v>
      </c>
      <c r="O760" s="7" t="str">
        <f>IFERROR(__xludf.DUMMYFUNCTION("""COMPUTED_VALUE"""),"6 a 7 veces por semana")</f>
        <v>6 a 7 veces por semana</v>
      </c>
      <c r="P760" s="7"/>
      <c r="Q760" s="7" t="str">
        <f>IFERROR(__xludf.DUMMYFUNCTION("""COMPUTED_VALUE"""),"SANCOR")</f>
        <v>SANCOR</v>
      </c>
      <c r="R760" s="7"/>
      <c r="S760" s="7"/>
    </row>
    <row r="761">
      <c r="A761" s="7" t="str">
        <f t="shared" si="1"/>
        <v>Oliva , Marcos </v>
      </c>
      <c r="B761" s="7">
        <f>SUMIFS('bd caja'!$K$1:$K$1012,'bd caja'!$D$1:$D$1012,A761)</f>
        <v>0</v>
      </c>
      <c r="C761" s="19">
        <f>IFERROR(__xludf.DUMMYFUNCTION("""COMPUTED_VALUE"""),45598.445467349535)</f>
        <v>45598.44547</v>
      </c>
      <c r="D761" s="7" t="str">
        <f>IFERROR(__xludf.DUMMYFUNCTION("""COMPUTED_VALUE"""),"Oliva ")</f>
        <v>Oliva </v>
      </c>
      <c r="E761" s="7" t="str">
        <f>IFERROR(__xludf.DUMMYFUNCTION("""COMPUTED_VALUE"""),"Marcos ")</f>
        <v>Marcos </v>
      </c>
      <c r="F761" s="7" t="str">
        <f>IFERROR(__xludf.DUMMYFUNCTION("""COMPUTED_VALUE"""),"marcosoliva22@hotmail.com")</f>
        <v>marcosoliva22@hotmail.com</v>
      </c>
      <c r="G761" s="20">
        <f>IFERROR(__xludf.DUMMYFUNCTION("""COMPUTED_VALUE"""),28208.0)</f>
        <v>28208</v>
      </c>
      <c r="H761" s="7">
        <f>IFERROR(__xludf.DUMMYFUNCTION("""COMPUTED_VALUE"""),2.5759503E7)</f>
        <v>25759503</v>
      </c>
      <c r="I761" s="7">
        <f>IFERROR(__xludf.DUMMYFUNCTION("""COMPUTED_VALUE"""),3.516199707E9)</f>
        <v>3516199707</v>
      </c>
      <c r="J761" s="7" t="str">
        <f>IFERROR(__xludf.DUMMYFUNCTION("""COMPUTED_VALUE"""),"Google")</f>
        <v>Google</v>
      </c>
      <c r="K761" s="7" t="str">
        <f>IFERROR(__xludf.DUMMYFUNCTION("""COMPUTED_VALUE"""),"Obra social")</f>
        <v>Obra social</v>
      </c>
      <c r="L761" s="7"/>
      <c r="M761" s="7" t="str">
        <f>IFERROR(__xludf.DUMMYFUNCTION("""COMPUTED_VALUE"""),"Si")</f>
        <v>Si</v>
      </c>
      <c r="N761" s="7" t="str">
        <f>IFERROR(__xludf.DUMMYFUNCTION("""COMPUTED_VALUE"""),"Caminar ")</f>
        <v>Caminar </v>
      </c>
      <c r="O761" s="7" t="str">
        <f>IFERROR(__xludf.DUMMYFUNCTION("""COMPUTED_VALUE"""),"1 a 2 veces por semana")</f>
        <v>1 a 2 veces por semana</v>
      </c>
      <c r="P761" s="7"/>
      <c r="Q761" s="7" t="str">
        <f>IFERROR(__xludf.DUMMYFUNCTION("""COMPUTED_VALUE"""),"Jerárquicos salud")</f>
        <v>Jerárquicos salud</v>
      </c>
      <c r="R761" s="7"/>
      <c r="S761" s="7"/>
    </row>
    <row r="762">
      <c r="A762" s="7" t="str">
        <f t="shared" si="1"/>
        <v>Reynoso, Monica</v>
      </c>
      <c r="B762" s="7">
        <f>SUMIFS('bd caja'!$K$1:$K$1012,'bd caja'!$D$1:$D$1012,A762)</f>
        <v>0</v>
      </c>
      <c r="C762" s="19">
        <f>IFERROR(__xludf.DUMMYFUNCTION("""COMPUTED_VALUE"""),45600.43385048611)</f>
        <v>45600.43385</v>
      </c>
      <c r="D762" s="7" t="str">
        <f>IFERROR(__xludf.DUMMYFUNCTION("""COMPUTED_VALUE"""),"Reynoso")</f>
        <v>Reynoso</v>
      </c>
      <c r="E762" s="7" t="str">
        <f>IFERROR(__xludf.DUMMYFUNCTION("""COMPUTED_VALUE"""),"Monica")</f>
        <v>Monica</v>
      </c>
      <c r="F762" s="7" t="str">
        <f>IFERROR(__xludf.DUMMYFUNCTION("""COMPUTED_VALUE"""),"monicareynoso007@gmail.com")</f>
        <v>monicareynoso007@gmail.com</v>
      </c>
      <c r="G762" s="20">
        <f>IFERROR(__xludf.DUMMYFUNCTION("""COMPUTED_VALUE"""),21797.0)</f>
        <v>21797</v>
      </c>
      <c r="H762" s="7">
        <f>IFERROR(__xludf.DUMMYFUNCTION("""COMPUTED_VALUE"""),1.3684132E7)</f>
        <v>13684132</v>
      </c>
      <c r="I762" s="7">
        <f>IFERROR(__xludf.DUMMYFUNCTION("""COMPUTED_VALUE"""),3.515281007E9)</f>
        <v>3515281007</v>
      </c>
      <c r="J762" s="7" t="str">
        <f>IFERROR(__xludf.DUMMYFUNCTION("""COMPUTED_VALUE"""),"Recomendación")</f>
        <v>Recomendación</v>
      </c>
      <c r="K762" s="7" t="str">
        <f>IFERROR(__xludf.DUMMYFUNCTION("""COMPUTED_VALUE"""),"Particular")</f>
        <v>Particular</v>
      </c>
      <c r="L762" s="7"/>
      <c r="M762" s="7" t="str">
        <f>IFERROR(__xludf.DUMMYFUNCTION("""COMPUTED_VALUE"""),"No")</f>
        <v>No</v>
      </c>
      <c r="N762" s="7"/>
      <c r="O762" s="7"/>
      <c r="P762" s="7"/>
      <c r="Q762" s="7"/>
      <c r="R762" s="7"/>
      <c r="S762" s="7"/>
    </row>
    <row r="763">
      <c r="A763" s="7" t="str">
        <f t="shared" si="1"/>
        <v>Zárate , Augusto </v>
      </c>
      <c r="B763" s="7">
        <f>SUMIFS('bd caja'!$K$1:$K$1012,'bd caja'!$D$1:$D$1012,A763)</f>
        <v>0</v>
      </c>
      <c r="C763" s="19">
        <f>IFERROR(__xludf.DUMMYFUNCTION("""COMPUTED_VALUE"""),45601.83933983796)</f>
        <v>45601.83934</v>
      </c>
      <c r="D763" s="7" t="str">
        <f>IFERROR(__xludf.DUMMYFUNCTION("""COMPUTED_VALUE"""),"Zárate ")</f>
        <v>Zárate </v>
      </c>
      <c r="E763" s="7" t="str">
        <f>IFERROR(__xludf.DUMMYFUNCTION("""COMPUTED_VALUE"""),"Augusto ")</f>
        <v>Augusto </v>
      </c>
      <c r="F763" s="7" t="str">
        <f>IFERROR(__xludf.DUMMYFUNCTION("""COMPUTED_VALUE"""),"augustozarate6@gmail.com")</f>
        <v>augustozarate6@gmail.com</v>
      </c>
      <c r="G763" s="20">
        <f>IFERROR(__xludf.DUMMYFUNCTION("""COMPUTED_VALUE"""),29026.0)</f>
        <v>29026</v>
      </c>
      <c r="H763" s="7">
        <f>IFERROR(__xludf.DUMMYFUNCTION("""COMPUTED_VALUE"""),2.7361158E7)</f>
        <v>27361158</v>
      </c>
      <c r="I763" s="7">
        <f>IFERROR(__xludf.DUMMYFUNCTION("""COMPUTED_VALUE"""),3.517693839E9)</f>
        <v>3517693839</v>
      </c>
      <c r="J763" s="7" t="str">
        <f>IFERROR(__xludf.DUMMYFUNCTION("""COMPUTED_VALUE"""),"Recomendación")</f>
        <v>Recomendación</v>
      </c>
      <c r="K763" s="7" t="str">
        <f>IFERROR(__xludf.DUMMYFUNCTION("""COMPUTED_VALUE"""),"Obra social")</f>
        <v>Obra social</v>
      </c>
      <c r="L763" s="7"/>
      <c r="M763" s="7" t="str">
        <f>IFERROR(__xludf.DUMMYFUNCTION("""COMPUTED_VALUE"""),"Si")</f>
        <v>Si</v>
      </c>
      <c r="N763" s="7" t="str">
        <f>IFERROR(__xludf.DUMMYFUNCTION("""COMPUTED_VALUE"""),"Gimnasio")</f>
        <v>Gimnasio</v>
      </c>
      <c r="O763" s="7" t="str">
        <f>IFERROR(__xludf.DUMMYFUNCTION("""COMPUTED_VALUE"""),"1 a 2 veces por semana")</f>
        <v>1 a 2 veces por semana</v>
      </c>
      <c r="P763" s="7"/>
      <c r="Q763" s="7" t="str">
        <f>IFERROR(__xludf.DUMMYFUNCTION("""COMPUTED_VALUE"""),"APROSS")</f>
        <v>APROSS</v>
      </c>
      <c r="R763" s="7"/>
      <c r="S763" s="7"/>
    </row>
    <row r="764">
      <c r="A764" s="7" t="str">
        <f t="shared" si="1"/>
        <v>Barrionuevo , Angela</v>
      </c>
      <c r="B764" s="7">
        <f>SUMIFS('bd caja'!$K$1:$K$1012,'bd caja'!$D$1:$D$1012,A764)</f>
        <v>0</v>
      </c>
      <c r="C764" s="19">
        <f>IFERROR(__xludf.DUMMYFUNCTION("""COMPUTED_VALUE"""),45602.40748409722)</f>
        <v>45602.40748</v>
      </c>
      <c r="D764" s="7" t="str">
        <f>IFERROR(__xludf.DUMMYFUNCTION("""COMPUTED_VALUE"""),"Barrionuevo ")</f>
        <v>Barrionuevo </v>
      </c>
      <c r="E764" s="7" t="str">
        <f>IFERROR(__xludf.DUMMYFUNCTION("""COMPUTED_VALUE"""),"Angela")</f>
        <v>Angela</v>
      </c>
      <c r="F764" s="7" t="str">
        <f>IFERROR(__xludf.DUMMYFUNCTION("""COMPUTED_VALUE"""),"angela_seimon@hotmail.com")</f>
        <v>angela_seimon@hotmail.com</v>
      </c>
      <c r="G764" s="20">
        <f>IFERROR(__xludf.DUMMYFUNCTION("""COMPUTED_VALUE"""),29291.0)</f>
        <v>29291</v>
      </c>
      <c r="H764" s="7">
        <f>IFERROR(__xludf.DUMMYFUNCTION("""COMPUTED_VALUE"""),2.7959178E7)</f>
        <v>27959178</v>
      </c>
      <c r="I764" s="7">
        <f>IFERROR(__xludf.DUMMYFUNCTION("""COMPUTED_VALUE"""),3.517049179E9)</f>
        <v>3517049179</v>
      </c>
      <c r="J764" s="7" t="str">
        <f>IFERROR(__xludf.DUMMYFUNCTION("""COMPUTED_VALUE"""),"Recomendación")</f>
        <v>Recomendación</v>
      </c>
      <c r="K764" s="7" t="str">
        <f>IFERROR(__xludf.DUMMYFUNCTION("""COMPUTED_VALUE"""),"Obra social")</f>
        <v>Obra social</v>
      </c>
      <c r="L764" s="7"/>
      <c r="M764" s="7" t="str">
        <f>IFERROR(__xludf.DUMMYFUNCTION("""COMPUTED_VALUE"""),"No")</f>
        <v>No</v>
      </c>
      <c r="N764" s="7"/>
      <c r="O764" s="7"/>
      <c r="P764" s="7"/>
      <c r="Q764" s="7" t="str">
        <f>IFERROR(__xludf.DUMMYFUNCTION("""COMPUTED_VALUE"""),"APROSS")</f>
        <v>APROSS</v>
      </c>
      <c r="R764" s="7"/>
      <c r="S764" s="7"/>
    </row>
    <row r="765">
      <c r="A765" s="7" t="str">
        <f t="shared" si="1"/>
        <v>Bomone, Manuel</v>
      </c>
      <c r="B765" s="7">
        <f>SUMIFS('bd caja'!$K$1:$K$1012,'bd caja'!$D$1:$D$1012,A765)</f>
        <v>0</v>
      </c>
      <c r="C765" s="19">
        <f>IFERROR(__xludf.DUMMYFUNCTION("""COMPUTED_VALUE"""),45602.69726361111)</f>
        <v>45602.69726</v>
      </c>
      <c r="D765" s="7" t="str">
        <f>IFERROR(__xludf.DUMMYFUNCTION("""COMPUTED_VALUE"""),"Bomone")</f>
        <v>Bomone</v>
      </c>
      <c r="E765" s="7" t="str">
        <f>IFERROR(__xludf.DUMMYFUNCTION("""COMPUTED_VALUE"""),"Manuel")</f>
        <v>Manuel</v>
      </c>
      <c r="F765" s="7" t="str">
        <f>IFERROR(__xludf.DUMMYFUNCTION("""COMPUTED_VALUE"""),"manubomone@gmail.com")</f>
        <v>manubomone@gmail.com</v>
      </c>
      <c r="G765" s="20">
        <f>IFERROR(__xludf.DUMMYFUNCTION("""COMPUTED_VALUE"""),32450.0)</f>
        <v>32450</v>
      </c>
      <c r="H765" s="7">
        <f>IFERROR(__xludf.DUMMYFUNCTION("""COMPUTED_VALUE"""),3.3976771E7)</f>
        <v>33976771</v>
      </c>
      <c r="I765" s="7">
        <f>IFERROR(__xludf.DUMMYFUNCTION("""COMPUTED_VALUE"""),3.512447028E9)</f>
        <v>3512447028</v>
      </c>
      <c r="J765" s="7" t="str">
        <f>IFERROR(__xludf.DUMMYFUNCTION("""COMPUTED_VALUE"""),"Recomendación")</f>
        <v>Recomendación</v>
      </c>
      <c r="K765" s="7" t="str">
        <f>IFERROR(__xludf.DUMMYFUNCTION("""COMPUTED_VALUE"""),"Particular")</f>
        <v>Particular</v>
      </c>
      <c r="L765" s="7"/>
      <c r="M765" s="7" t="str">
        <f>IFERROR(__xludf.DUMMYFUNCTION("""COMPUTED_VALUE"""),"Si")</f>
        <v>Si</v>
      </c>
      <c r="N765" s="7" t="str">
        <f>IFERROR(__xludf.DUMMYFUNCTION("""COMPUTED_VALUE"""),"Gimnasio")</f>
        <v>Gimnasio</v>
      </c>
      <c r="O765" s="7" t="str">
        <f>IFERROR(__xludf.DUMMYFUNCTION("""COMPUTED_VALUE"""),"3 a 5 veces por semana")</f>
        <v>3 a 5 veces por semana</v>
      </c>
      <c r="P765" s="7"/>
      <c r="Q765" s="7"/>
      <c r="R765" s="7"/>
      <c r="S765" s="7"/>
    </row>
    <row r="766">
      <c r="A766" s="7" t="str">
        <f t="shared" si="1"/>
        <v>Della Vedoba , Cecilia </v>
      </c>
      <c r="B766" s="7">
        <f>SUMIFS('bd caja'!$K$1:$K$1012,'bd caja'!$D$1:$D$1012,A766)</f>
        <v>0</v>
      </c>
      <c r="C766" s="19">
        <f>IFERROR(__xludf.DUMMYFUNCTION("""COMPUTED_VALUE"""),45602.80207820602)</f>
        <v>45602.80208</v>
      </c>
      <c r="D766" s="7" t="str">
        <f>IFERROR(__xludf.DUMMYFUNCTION("""COMPUTED_VALUE"""),"Della Vedoba ")</f>
        <v>Della Vedoba </v>
      </c>
      <c r="E766" s="7" t="str">
        <f>IFERROR(__xludf.DUMMYFUNCTION("""COMPUTED_VALUE"""),"Cecilia ")</f>
        <v>Cecilia </v>
      </c>
      <c r="F766" s="7" t="str">
        <f>IFERROR(__xludf.DUMMYFUNCTION("""COMPUTED_VALUE"""),"cdellavedoba@gmail.com")</f>
        <v>cdellavedoba@gmail.com</v>
      </c>
      <c r="G766" s="20">
        <f>IFERROR(__xludf.DUMMYFUNCTION("""COMPUTED_VALUE"""),25750.0)</f>
        <v>25750</v>
      </c>
      <c r="H766" s="7">
        <f>IFERROR(__xludf.DUMMYFUNCTION("""COMPUTED_VALUE"""),2.1628906E7)</f>
        <v>21628906</v>
      </c>
      <c r="I766" s="7">
        <f>IFERROR(__xludf.DUMMYFUNCTION("""COMPUTED_VALUE"""),3.515321272E9)</f>
        <v>3515321272</v>
      </c>
      <c r="J766" s="7" t="str">
        <f>IFERROR(__xludf.DUMMYFUNCTION("""COMPUTED_VALUE"""),"Voy al gym Manantial")</f>
        <v>Voy al gym Manantial</v>
      </c>
      <c r="K766" s="7" t="str">
        <f>IFERROR(__xludf.DUMMYFUNCTION("""COMPUTED_VALUE"""),"Obra social")</f>
        <v>Obra social</v>
      </c>
      <c r="L766" s="7"/>
      <c r="M766" s="7" t="str">
        <f>IFERROR(__xludf.DUMMYFUNCTION("""COMPUTED_VALUE"""),"Si")</f>
        <v>Si</v>
      </c>
      <c r="N766" s="7" t="str">
        <f>IFERROR(__xludf.DUMMYFUNCTION("""COMPUTED_VALUE"""),"Gimnasio")</f>
        <v>Gimnasio</v>
      </c>
      <c r="O766" s="7" t="str">
        <f>IFERROR(__xludf.DUMMYFUNCTION("""COMPUTED_VALUE"""),"1 a 2 veces por semana")</f>
        <v>1 a 2 veces por semana</v>
      </c>
      <c r="P766" s="7"/>
      <c r="Q766" s="7" t="str">
        <f>IFERROR(__xludf.DUMMYFUNCTION("""COMPUTED_VALUE"""),"DASPU")</f>
        <v>DASPU</v>
      </c>
      <c r="R766" s="7"/>
      <c r="S766" s="7"/>
    </row>
    <row r="767">
      <c r="A767" s="7" t="str">
        <f t="shared" si="1"/>
        <v>Carranza, Adriana</v>
      </c>
      <c r="B767" s="7">
        <f>SUMIFS('bd caja'!$K$1:$K$1012,'bd caja'!$D$1:$D$1012,A767)</f>
        <v>0</v>
      </c>
      <c r="C767" s="19">
        <f>IFERROR(__xludf.DUMMYFUNCTION("""COMPUTED_VALUE"""),45602.95404063657)</f>
        <v>45602.95404</v>
      </c>
      <c r="D767" s="7" t="str">
        <f>IFERROR(__xludf.DUMMYFUNCTION("""COMPUTED_VALUE"""),"Carranza")</f>
        <v>Carranza</v>
      </c>
      <c r="E767" s="7" t="str">
        <f>IFERROR(__xludf.DUMMYFUNCTION("""COMPUTED_VALUE"""),"Adriana")</f>
        <v>Adriana</v>
      </c>
      <c r="F767" s="7" t="str">
        <f>IFERROR(__xludf.DUMMYFUNCTION("""COMPUTED_VALUE"""),"adrianaflma3553@yahoo.com.ar")</f>
        <v>adrianaflma3553@yahoo.com.ar</v>
      </c>
      <c r="G767" s="20">
        <f>IFERROR(__xludf.DUMMYFUNCTION("""COMPUTED_VALUE"""),25326.0)</f>
        <v>25326</v>
      </c>
      <c r="H767" s="7">
        <f>IFERROR(__xludf.DUMMYFUNCTION("""COMPUTED_VALUE"""),2.0786418E7)</f>
        <v>20786418</v>
      </c>
      <c r="I767" s="7">
        <f>IFERROR(__xludf.DUMMYFUNCTION("""COMPUTED_VALUE"""),3.512464142E9)</f>
        <v>3512464142</v>
      </c>
      <c r="J767" s="7" t="str">
        <f>IFERROR(__xludf.DUMMYFUNCTION("""COMPUTED_VALUE"""),"Recomendación")</f>
        <v>Recomendación</v>
      </c>
      <c r="K767" s="7" t="str">
        <f>IFERROR(__xludf.DUMMYFUNCTION("""COMPUTED_VALUE"""),"Obra social")</f>
        <v>Obra social</v>
      </c>
      <c r="L767" s="7"/>
      <c r="M767" s="7" t="str">
        <f>IFERROR(__xludf.DUMMYFUNCTION("""COMPUTED_VALUE"""),"Si")</f>
        <v>Si</v>
      </c>
      <c r="N767" s="7" t="str">
        <f>IFERROR(__xludf.DUMMYFUNCTION("""COMPUTED_VALUE"""),"Gimnasio")</f>
        <v>Gimnasio</v>
      </c>
      <c r="O767" s="7" t="str">
        <f>IFERROR(__xludf.DUMMYFUNCTION("""COMPUTED_VALUE"""),"1 a 2 veces por semana")</f>
        <v>1 a 2 veces por semana</v>
      </c>
      <c r="P767" s="7"/>
      <c r="Q767" s="7" t="str">
        <f>IFERROR(__xludf.DUMMYFUNCTION("""COMPUTED_VALUE"""),"APROSS")</f>
        <v>APROSS</v>
      </c>
      <c r="R767" s="7"/>
      <c r="S767" s="7"/>
    </row>
    <row r="768">
      <c r="A768" s="7" t="str">
        <f t="shared" si="1"/>
        <v>Vivas, Luis</v>
      </c>
      <c r="B768" s="7">
        <f>SUMIFS('bd caja'!$K$1:$K$1012,'bd caja'!$D$1:$D$1012,A768)</f>
        <v>0</v>
      </c>
      <c r="C768" s="19">
        <f>IFERROR(__xludf.DUMMYFUNCTION("""COMPUTED_VALUE"""),45603.38044371528)</f>
        <v>45603.38044</v>
      </c>
      <c r="D768" s="7" t="str">
        <f>IFERROR(__xludf.DUMMYFUNCTION("""COMPUTED_VALUE"""),"Vivas")</f>
        <v>Vivas</v>
      </c>
      <c r="E768" s="7" t="str">
        <f>IFERROR(__xludf.DUMMYFUNCTION("""COMPUTED_VALUE"""),"Luis")</f>
        <v>Luis</v>
      </c>
      <c r="F768" s="7"/>
      <c r="G768" s="20">
        <f>IFERROR(__xludf.DUMMYFUNCTION("""COMPUTED_VALUE"""),18512.0)</f>
        <v>18512</v>
      </c>
      <c r="H768" s="7">
        <f>IFERROR(__xludf.DUMMYFUNCTION("""COMPUTED_VALUE"""),8409107.0)</f>
        <v>8409107</v>
      </c>
      <c r="I768" s="7">
        <f>IFERROR(__xludf.DUMMYFUNCTION("""COMPUTED_VALUE"""),3.515192445E9)</f>
        <v>3515192445</v>
      </c>
      <c r="J768" s="7" t="str">
        <f>IFERROR(__xludf.DUMMYFUNCTION("""COMPUTED_VALUE"""),"Voy al gym Manantial")</f>
        <v>Voy al gym Manantial</v>
      </c>
      <c r="K768" s="7" t="str">
        <f>IFERROR(__xludf.DUMMYFUNCTION("""COMPUTED_VALUE"""),"Obra social")</f>
        <v>Obra social</v>
      </c>
      <c r="L768" s="7"/>
      <c r="M768" s="7" t="str">
        <f>IFERROR(__xludf.DUMMYFUNCTION("""COMPUTED_VALUE"""),"Si")</f>
        <v>Si</v>
      </c>
      <c r="N768" s="7" t="str">
        <f>IFERROR(__xludf.DUMMYFUNCTION("""COMPUTED_VALUE"""),"Gimnasio")</f>
        <v>Gimnasio</v>
      </c>
      <c r="O768" s="7" t="str">
        <f>IFERROR(__xludf.DUMMYFUNCTION("""COMPUTED_VALUE"""),"3 a 5 veces por semana")</f>
        <v>3 a 5 veces por semana</v>
      </c>
      <c r="P768" s="7"/>
      <c r="Q768" s="7" t="str">
        <f>IFERROR(__xludf.DUMMYFUNCTION("""COMPUTED_VALUE"""),"Medife")</f>
        <v>Medife</v>
      </c>
      <c r="R768" s="7"/>
      <c r="S768" s="7"/>
    </row>
    <row r="769">
      <c r="A769" s="7" t="str">
        <f t="shared" si="1"/>
        <v>Cismondi , Emilia</v>
      </c>
      <c r="B769" s="7">
        <f>SUMIFS('bd caja'!$K$1:$K$1012,'bd caja'!$D$1:$D$1012,A769)</f>
        <v>0</v>
      </c>
      <c r="C769" s="19">
        <f>IFERROR(__xludf.DUMMYFUNCTION("""COMPUTED_VALUE"""),45604.65487809028)</f>
        <v>45604.65488</v>
      </c>
      <c r="D769" s="7" t="str">
        <f>IFERROR(__xludf.DUMMYFUNCTION("""COMPUTED_VALUE"""),"Cismondi ")</f>
        <v>Cismondi </v>
      </c>
      <c r="E769" s="7" t="str">
        <f>IFERROR(__xludf.DUMMYFUNCTION("""COMPUTED_VALUE"""),"Emilia")</f>
        <v>Emilia</v>
      </c>
      <c r="F769" s="7" t="str">
        <f>IFERROR(__xludf.DUMMYFUNCTION("""COMPUTED_VALUE"""),"Maricismondi@gmail.com")</f>
        <v>Maricismondi@gmail.com</v>
      </c>
      <c r="G769" s="20">
        <f>IFERROR(__xludf.DUMMYFUNCTION("""COMPUTED_VALUE"""),31113.0)</f>
        <v>31113</v>
      </c>
      <c r="H769" s="7">
        <f>IFERROR(__xludf.DUMMYFUNCTION("""COMPUTED_VALUE"""),3.1480753E7)</f>
        <v>31480753</v>
      </c>
      <c r="I769" s="7">
        <f>IFERROR(__xludf.DUMMYFUNCTION("""COMPUTED_VALUE"""),3.513416186E9)</f>
        <v>3513416186</v>
      </c>
      <c r="J769" s="7" t="str">
        <f>IFERROR(__xludf.DUMMYFUNCTION("""COMPUTED_VALUE"""),"Voy al gym Manantial")</f>
        <v>Voy al gym Manantial</v>
      </c>
      <c r="K769" s="7" t="str">
        <f>IFERROR(__xludf.DUMMYFUNCTION("""COMPUTED_VALUE"""),"Obra social")</f>
        <v>Obra social</v>
      </c>
      <c r="L769" s="7"/>
      <c r="M769" s="7" t="str">
        <f>IFERROR(__xludf.DUMMYFUNCTION("""COMPUTED_VALUE"""),"Si")</f>
        <v>Si</v>
      </c>
      <c r="N769" s="7" t="str">
        <f>IFERROR(__xludf.DUMMYFUNCTION("""COMPUTED_VALUE"""),"Gimnasio")</f>
        <v>Gimnasio</v>
      </c>
      <c r="O769" s="7" t="str">
        <f>IFERROR(__xludf.DUMMYFUNCTION("""COMPUTED_VALUE"""),"3 a 5 veces por semana")</f>
        <v>3 a 5 veces por semana</v>
      </c>
      <c r="P769" s="7"/>
      <c r="Q769" s="7"/>
      <c r="R769" s="7"/>
      <c r="S769" s="7"/>
    </row>
    <row r="770">
      <c r="A770" s="7" t="str">
        <f t="shared" si="1"/>
        <v>CASTRO, MONICA</v>
      </c>
      <c r="B770" s="7">
        <f>SUMIFS('bd caja'!$K$1:$K$1012,'bd caja'!$D$1:$D$1012,A770)</f>
        <v>0</v>
      </c>
      <c r="C770" s="19">
        <f>IFERROR(__xludf.DUMMYFUNCTION("""COMPUTED_VALUE"""),45607.75385769676)</f>
        <v>45607.75386</v>
      </c>
      <c r="D770" s="7" t="str">
        <f>IFERROR(__xludf.DUMMYFUNCTION("""COMPUTED_VALUE"""),"CASTRO")</f>
        <v>CASTRO</v>
      </c>
      <c r="E770" s="7" t="str">
        <f>IFERROR(__xludf.DUMMYFUNCTION("""COMPUTED_VALUE"""),"MONICA")</f>
        <v>MONICA</v>
      </c>
      <c r="F770" s="7" t="str">
        <f>IFERROR(__xludf.DUMMYFUNCTION("""COMPUTED_VALUE"""),"monicacastro890@gmail.com")</f>
        <v>monicacastro890@gmail.com</v>
      </c>
      <c r="G770" s="20">
        <f>IFERROR(__xludf.DUMMYFUNCTION("""COMPUTED_VALUE"""),26323.0)</f>
        <v>26323</v>
      </c>
      <c r="H770" s="7">
        <f>IFERROR(__xludf.DUMMYFUNCTION("""COMPUTED_VALUE"""),2.2562895E7)</f>
        <v>22562895</v>
      </c>
      <c r="I770" s="7">
        <f>IFERROR(__xludf.DUMMYFUNCTION("""COMPUTED_VALUE"""),3.517023527E9)</f>
        <v>3517023527</v>
      </c>
      <c r="J770" s="7" t="str">
        <f>IFERROR(__xludf.DUMMYFUNCTION("""COMPUTED_VALUE"""),"Recomendación")</f>
        <v>Recomendación</v>
      </c>
      <c r="K770" s="7" t="str">
        <f>IFERROR(__xludf.DUMMYFUNCTION("""COMPUTED_VALUE"""),"Obra social")</f>
        <v>Obra social</v>
      </c>
      <c r="L770" s="7"/>
      <c r="M770" s="7" t="str">
        <f>IFERROR(__xludf.DUMMYFUNCTION("""COMPUTED_VALUE"""),"Si")</f>
        <v>Si</v>
      </c>
      <c r="N770" s="7" t="str">
        <f>IFERROR(__xludf.DUMMYFUNCTION("""COMPUTED_VALUE"""),"Pilates")</f>
        <v>Pilates</v>
      </c>
      <c r="O770" s="7" t="str">
        <f>IFERROR(__xludf.DUMMYFUNCTION("""COMPUTED_VALUE"""),"1 a 2 veces por semana")</f>
        <v>1 a 2 veces por semana</v>
      </c>
      <c r="P770" s="7"/>
      <c r="Q770" s="7" t="str">
        <f>IFERROR(__xludf.DUMMYFUNCTION("""COMPUTED_VALUE"""),"PREVENCIÓN")</f>
        <v>PREVENCIÓN</v>
      </c>
      <c r="R770" s="7"/>
      <c r="S770" s="7"/>
    </row>
    <row r="771">
      <c r="A771" s="7" t="str">
        <f t="shared" si="1"/>
        <v>Venezia, Agostina</v>
      </c>
      <c r="B771" s="7">
        <f>SUMIFS('bd caja'!$K$1:$K$1012,'bd caja'!$D$1:$D$1012,A771)</f>
        <v>0</v>
      </c>
      <c r="C771" s="19">
        <f>IFERROR(__xludf.DUMMYFUNCTION("""COMPUTED_VALUE"""),45608.479184236116)</f>
        <v>45608.47918</v>
      </c>
      <c r="D771" s="7" t="str">
        <f>IFERROR(__xludf.DUMMYFUNCTION("""COMPUTED_VALUE"""),"Venezia")</f>
        <v>Venezia</v>
      </c>
      <c r="E771" s="7" t="str">
        <f>IFERROR(__xludf.DUMMYFUNCTION("""COMPUTED_VALUE"""),"Agostina")</f>
        <v>Agostina</v>
      </c>
      <c r="F771" s="7" t="str">
        <f>IFERROR(__xludf.DUMMYFUNCTION("""COMPUTED_VALUE"""),"agosvenezia1@gmail.com")</f>
        <v>agosvenezia1@gmail.com</v>
      </c>
      <c r="G771" s="20">
        <f>IFERROR(__xludf.DUMMYFUNCTION("""COMPUTED_VALUE"""),37713.0)</f>
        <v>37713</v>
      </c>
      <c r="H771" s="7">
        <f>IFERROR(__xludf.DUMMYFUNCTION("""COMPUTED_VALUE"""),4.4347189E7)</f>
        <v>44347189</v>
      </c>
      <c r="I771" s="7">
        <f>IFERROR(__xludf.DUMMYFUNCTION("""COMPUTED_VALUE"""),3.516456352E9)</f>
        <v>3516456352</v>
      </c>
      <c r="J771" s="7" t="str">
        <f>IFERROR(__xludf.DUMMYFUNCTION("""COMPUTED_VALUE"""),"Ya me había rehabilitado con ustedes")</f>
        <v>Ya me había rehabilitado con ustedes</v>
      </c>
      <c r="K771" s="7" t="str">
        <f>IFERROR(__xludf.DUMMYFUNCTION("""COMPUTED_VALUE"""),"Obra social")</f>
        <v>Obra social</v>
      </c>
      <c r="L771" s="7"/>
      <c r="M771" s="7" t="str">
        <f>IFERROR(__xludf.DUMMYFUNCTION("""COMPUTED_VALUE"""),"Si")</f>
        <v>Si</v>
      </c>
      <c r="N771" s="7" t="str">
        <f>IFERROR(__xludf.DUMMYFUNCTION("""COMPUTED_VALUE"""),"Fútbol")</f>
        <v>Fútbol</v>
      </c>
      <c r="O771" s="7" t="str">
        <f>IFERROR(__xludf.DUMMYFUNCTION("""COMPUTED_VALUE"""),"3 a 5 veces por semana")</f>
        <v>3 a 5 veces por semana</v>
      </c>
      <c r="P771" s="7"/>
      <c r="Q771" s="7" t="str">
        <f>IFERROR(__xludf.DUMMYFUNCTION("""COMPUTED_VALUE"""),"SANCOR")</f>
        <v>SANCOR</v>
      </c>
      <c r="R771" s="7"/>
      <c r="S771" s="7"/>
    </row>
    <row r="772">
      <c r="A772" s="7" t="str">
        <f t="shared" si="1"/>
        <v>Rios, Valeria Isabel</v>
      </c>
      <c r="B772" s="7">
        <f>SUMIFS('bd caja'!$K$1:$K$1012,'bd caja'!$D$1:$D$1012,A772)</f>
        <v>0</v>
      </c>
      <c r="C772" s="19">
        <f>IFERROR(__xludf.DUMMYFUNCTION("""COMPUTED_VALUE"""),45608.76609793981)</f>
        <v>45608.7661</v>
      </c>
      <c r="D772" s="7" t="str">
        <f>IFERROR(__xludf.DUMMYFUNCTION("""COMPUTED_VALUE"""),"Rios")</f>
        <v>Rios</v>
      </c>
      <c r="E772" s="7" t="str">
        <f>IFERROR(__xludf.DUMMYFUNCTION("""COMPUTED_VALUE"""),"Valeria Isabel")</f>
        <v>Valeria Isabel</v>
      </c>
      <c r="F772" s="7" t="str">
        <f>IFERROR(__xludf.DUMMYFUNCTION("""COMPUTED_VALUE"""),"valeriarios12061978@gmail.com")</f>
        <v>valeriarios12061978@gmail.com</v>
      </c>
      <c r="G772" s="20">
        <f>IFERROR(__xludf.DUMMYFUNCTION("""COMPUTED_VALUE"""),28653.0)</f>
        <v>28653</v>
      </c>
      <c r="H772" s="7">
        <f>IFERROR(__xludf.DUMMYFUNCTION("""COMPUTED_VALUE"""),2.6484801E7)</f>
        <v>26484801</v>
      </c>
      <c r="I772" s="7">
        <f>IFERROR(__xludf.DUMMYFUNCTION("""COMPUTED_VALUE"""),3.543574159E9)</f>
        <v>3543574159</v>
      </c>
      <c r="J772" s="7" t="str">
        <f>IFERROR(__xludf.DUMMYFUNCTION("""COMPUTED_VALUE"""),"Recomendación")</f>
        <v>Recomendación</v>
      </c>
      <c r="K772" s="7" t="str">
        <f>IFERROR(__xludf.DUMMYFUNCTION("""COMPUTED_VALUE"""),"Obra social")</f>
        <v>Obra social</v>
      </c>
      <c r="L772" s="7"/>
      <c r="M772" s="7" t="str">
        <f>IFERROR(__xludf.DUMMYFUNCTION("""COMPUTED_VALUE"""),"No")</f>
        <v>No</v>
      </c>
      <c r="N772" s="7"/>
      <c r="O772" s="7"/>
      <c r="P772" s="7"/>
      <c r="Q772" s="7" t="str">
        <f>IFERROR(__xludf.DUMMYFUNCTION("""COMPUTED_VALUE"""),"APROSS")</f>
        <v>APROSS</v>
      </c>
      <c r="R772" s="7"/>
      <c r="S772" s="7"/>
    </row>
    <row r="773">
      <c r="A773" s="7" t="str">
        <f t="shared" si="1"/>
        <v>Romero, Franco</v>
      </c>
      <c r="B773" s="7">
        <f>SUMIFS('bd caja'!$K$1:$K$1012,'bd caja'!$D$1:$D$1012,A773)</f>
        <v>0</v>
      </c>
      <c r="C773" s="19">
        <f>IFERROR(__xludf.DUMMYFUNCTION("""COMPUTED_VALUE"""),45609.887809224536)</f>
        <v>45609.88781</v>
      </c>
      <c r="D773" s="7" t="str">
        <f>IFERROR(__xludf.DUMMYFUNCTION("""COMPUTED_VALUE"""),"Romero")</f>
        <v>Romero</v>
      </c>
      <c r="E773" s="7" t="str">
        <f>IFERROR(__xludf.DUMMYFUNCTION("""COMPUTED_VALUE"""),"Franco")</f>
        <v>Franco</v>
      </c>
      <c r="F773" s="7" t="str">
        <f>IFERROR(__xludf.DUMMYFUNCTION("""COMPUTED_VALUE"""),"Francoromeroo99@gmail.com")</f>
        <v>Francoromeroo99@gmail.com</v>
      </c>
      <c r="G773" s="20">
        <f>IFERROR(__xludf.DUMMYFUNCTION("""COMPUTED_VALUE"""),35404.0)</f>
        <v>35404</v>
      </c>
      <c r="H773" s="7">
        <f>IFERROR(__xludf.DUMMYFUNCTION("""COMPUTED_VALUE"""),4.0107593E7)</f>
        <v>40107593</v>
      </c>
      <c r="I773" s="7">
        <f>IFERROR(__xludf.DUMMYFUNCTION("""COMPUTED_VALUE"""),3.516203961E9)</f>
        <v>3516203961</v>
      </c>
      <c r="J773" s="7" t="str">
        <f>IFERROR(__xludf.DUMMYFUNCTION("""COMPUTED_VALUE"""),"Recomendación")</f>
        <v>Recomendación</v>
      </c>
      <c r="K773" s="7" t="str">
        <f>IFERROR(__xludf.DUMMYFUNCTION("""COMPUTED_VALUE"""),"Particular")</f>
        <v>Particular</v>
      </c>
      <c r="L773" s="7"/>
      <c r="M773" s="7" t="str">
        <f>IFERROR(__xludf.DUMMYFUNCTION("""COMPUTED_VALUE"""),"Si")</f>
        <v>Si</v>
      </c>
      <c r="N773" s="7" t="str">
        <f>IFERROR(__xludf.DUMMYFUNCTION("""COMPUTED_VALUE"""),"Gimnasio y jiujitsu brasileño ")</f>
        <v>Gimnasio y jiujitsu brasileño </v>
      </c>
      <c r="O773" s="7" t="str">
        <f>IFERROR(__xludf.DUMMYFUNCTION("""COMPUTED_VALUE"""),"6 a 7 veces por semana")</f>
        <v>6 a 7 veces por semana</v>
      </c>
      <c r="P773" s="7"/>
      <c r="Q773" s="7"/>
      <c r="R773" s="7"/>
      <c r="S773" s="7"/>
    </row>
    <row r="774">
      <c r="A774" s="7" t="str">
        <f t="shared" si="1"/>
        <v>Contreras, Mario</v>
      </c>
      <c r="B774" s="7">
        <f>SUMIFS('bd caja'!$K$1:$K$1012,'bd caja'!$D$1:$D$1012,A774)</f>
        <v>0</v>
      </c>
      <c r="C774" s="19">
        <f>IFERROR(__xludf.DUMMYFUNCTION("""COMPUTED_VALUE"""),45610.73455349537)</f>
        <v>45610.73455</v>
      </c>
      <c r="D774" s="7" t="str">
        <f>IFERROR(__xludf.DUMMYFUNCTION("""COMPUTED_VALUE"""),"Contreras")</f>
        <v>Contreras</v>
      </c>
      <c r="E774" s="7" t="str">
        <f>IFERROR(__xludf.DUMMYFUNCTION("""COMPUTED_VALUE"""),"Mario")</f>
        <v>Mario</v>
      </c>
      <c r="F774" s="7"/>
      <c r="G774" s="20">
        <f>IFERROR(__xludf.DUMMYFUNCTION("""COMPUTED_VALUE"""),17395.0)</f>
        <v>17395</v>
      </c>
      <c r="H774" s="7">
        <f>IFERROR(__xludf.DUMMYFUNCTION("""COMPUTED_VALUE"""),7946827.0)</f>
        <v>7946827</v>
      </c>
      <c r="I774" s="7">
        <f>IFERROR(__xludf.DUMMYFUNCTION("""COMPUTED_VALUE"""),3.51606088E9)</f>
        <v>3516060880</v>
      </c>
      <c r="J774" s="7" t="str">
        <f>IFERROR(__xludf.DUMMYFUNCTION("""COMPUTED_VALUE"""),"Recomendación")</f>
        <v>Recomendación</v>
      </c>
      <c r="K774" s="7" t="str">
        <f>IFERROR(__xludf.DUMMYFUNCTION("""COMPUTED_VALUE"""),"Obra social")</f>
        <v>Obra social</v>
      </c>
      <c r="L774" s="7"/>
      <c r="M774" s="7" t="str">
        <f>IFERROR(__xludf.DUMMYFUNCTION("""COMPUTED_VALUE"""),"No")</f>
        <v>No</v>
      </c>
      <c r="N774" s="7"/>
      <c r="O774" s="7"/>
      <c r="P774" s="7"/>
      <c r="Q774" s="7" t="str">
        <f>IFERROR(__xludf.DUMMYFUNCTION("""COMPUTED_VALUE"""),"APROSS")</f>
        <v>APROSS</v>
      </c>
      <c r="R774" s="7"/>
      <c r="S774" s="7"/>
    </row>
    <row r="775">
      <c r="A775" s="7" t="str">
        <f t="shared" si="1"/>
        <v>BARDUS CASTELLANOS , Patricia Alejandra </v>
      </c>
      <c r="B775" s="7">
        <f>SUMIFS('bd caja'!$K$1:$K$1012,'bd caja'!$D$1:$D$1012,A775)</f>
        <v>0</v>
      </c>
      <c r="C775" s="19">
        <f>IFERROR(__xludf.DUMMYFUNCTION("""COMPUTED_VALUE"""),45611.57525098379)</f>
        <v>45611.57525</v>
      </c>
      <c r="D775" s="7" t="str">
        <f>IFERROR(__xludf.DUMMYFUNCTION("""COMPUTED_VALUE"""),"BARDUS CASTELLANOS ")</f>
        <v>BARDUS CASTELLANOS </v>
      </c>
      <c r="E775" s="7" t="str">
        <f>IFERROR(__xludf.DUMMYFUNCTION("""COMPUTED_VALUE"""),"Patricia Alejandra ")</f>
        <v>Patricia Alejandra </v>
      </c>
      <c r="F775" s="7" t="str">
        <f>IFERROR(__xludf.DUMMYFUNCTION("""COMPUTED_VALUE"""),"Patobardus@hotmail.com")</f>
        <v>Patobardus@hotmail.com</v>
      </c>
      <c r="G775" s="20">
        <f>IFERROR(__xludf.DUMMYFUNCTION("""COMPUTED_VALUE"""),24637.0)</f>
        <v>24637</v>
      </c>
      <c r="H775" s="7">
        <f>IFERROR(__xludf.DUMMYFUNCTION("""COMPUTED_VALUE"""),1.8408396E7)</f>
        <v>18408396</v>
      </c>
      <c r="I775" s="7">
        <f>IFERROR(__xludf.DUMMYFUNCTION("""COMPUTED_VALUE"""),3.513248546E9)</f>
        <v>3513248546</v>
      </c>
      <c r="J775" s="7" t="str">
        <f>IFERROR(__xludf.DUMMYFUNCTION("""COMPUTED_VALUE"""),"Recomendación")</f>
        <v>Recomendación</v>
      </c>
      <c r="K775" s="7" t="str">
        <f>IFERROR(__xludf.DUMMYFUNCTION("""COMPUTED_VALUE"""),"Particular")</f>
        <v>Particular</v>
      </c>
      <c r="L775" s="7"/>
      <c r="M775" s="7" t="str">
        <f>IFERROR(__xludf.DUMMYFUNCTION("""COMPUTED_VALUE"""),"No")</f>
        <v>No</v>
      </c>
      <c r="N775" s="7"/>
      <c r="O775" s="7"/>
      <c r="P775" s="7"/>
      <c r="Q775" s="7"/>
      <c r="R775" s="7"/>
      <c r="S775" s="7"/>
    </row>
    <row r="776">
      <c r="A776" s="7" t="str">
        <f t="shared" si="1"/>
        <v>Canale, Alejandro</v>
      </c>
      <c r="B776" s="7">
        <f>SUMIFS('bd caja'!$K$1:$K$1012,'bd caja'!$D$1:$D$1012,A776)</f>
        <v>0</v>
      </c>
      <c r="C776" s="19">
        <f>IFERROR(__xludf.DUMMYFUNCTION("""COMPUTED_VALUE"""),45611.75169362269)</f>
        <v>45611.75169</v>
      </c>
      <c r="D776" s="7" t="str">
        <f>IFERROR(__xludf.DUMMYFUNCTION("""COMPUTED_VALUE"""),"Canale")</f>
        <v>Canale</v>
      </c>
      <c r="E776" s="7" t="str">
        <f>IFERROR(__xludf.DUMMYFUNCTION("""COMPUTED_VALUE"""),"Alejandro")</f>
        <v>Alejandro</v>
      </c>
      <c r="F776" s="7" t="str">
        <f>IFERROR(__xludf.DUMMYFUNCTION("""COMPUTED_VALUE"""),"acanale1080@gmail.com")</f>
        <v>acanale1080@gmail.com</v>
      </c>
      <c r="G776" s="20">
        <f>IFERROR(__xludf.DUMMYFUNCTION("""COMPUTED_VALUE"""),29479.0)</f>
        <v>29479</v>
      </c>
      <c r="H776" s="7">
        <f>IFERROR(__xludf.DUMMYFUNCTION("""COMPUTED_VALUE"""),2.8343919E7)</f>
        <v>28343919</v>
      </c>
      <c r="I776" s="7">
        <f>IFERROR(__xludf.DUMMYFUNCTION("""COMPUTED_VALUE"""),3.517324915E9)</f>
        <v>3517324915</v>
      </c>
      <c r="J776" s="7" t="str">
        <f>IFERROR(__xludf.DUMMYFUNCTION("""COMPUTED_VALUE"""),"Voy al gym Manantial")</f>
        <v>Voy al gym Manantial</v>
      </c>
      <c r="K776" s="7" t="str">
        <f>IFERROR(__xludf.DUMMYFUNCTION("""COMPUTED_VALUE"""),"Obra social")</f>
        <v>Obra social</v>
      </c>
      <c r="L776" s="7"/>
      <c r="M776" s="7" t="str">
        <f>IFERROR(__xludf.DUMMYFUNCTION("""COMPUTED_VALUE"""),"Si")</f>
        <v>Si</v>
      </c>
      <c r="N776" s="7" t="str">
        <f>IFERROR(__xludf.DUMMYFUNCTION("""COMPUTED_VALUE"""),"Gimnasio")</f>
        <v>Gimnasio</v>
      </c>
      <c r="O776" s="7" t="str">
        <f>IFERROR(__xludf.DUMMYFUNCTION("""COMPUTED_VALUE"""),"3 a 5 veces por semana")</f>
        <v>3 a 5 veces por semana</v>
      </c>
      <c r="P776" s="7"/>
      <c r="Q776" s="7" t="str">
        <f>IFERROR(__xludf.DUMMYFUNCTION("""COMPUTED_VALUE"""),"PREVENCIÓN")</f>
        <v>PREVENCIÓN</v>
      </c>
      <c r="R776" s="7"/>
      <c r="S776" s="7"/>
    </row>
    <row r="777">
      <c r="A777" s="7" t="str">
        <f t="shared" si="1"/>
        <v>Rodriguez, Marta</v>
      </c>
      <c r="B777" s="7">
        <f>SUMIFS('bd caja'!$K$1:$K$1012,'bd caja'!$D$1:$D$1012,A777)</f>
        <v>0</v>
      </c>
      <c r="C777" s="19">
        <f>IFERROR(__xludf.DUMMYFUNCTION("""COMPUTED_VALUE"""),45615.46583380787)</f>
        <v>45615.46583</v>
      </c>
      <c r="D777" s="7" t="str">
        <f>IFERROR(__xludf.DUMMYFUNCTION("""COMPUTED_VALUE"""),"Rodriguez")</f>
        <v>Rodriguez</v>
      </c>
      <c r="E777" s="7" t="str">
        <f>IFERROR(__xludf.DUMMYFUNCTION("""COMPUTED_VALUE"""),"Marta")</f>
        <v>Marta</v>
      </c>
      <c r="F777" s="7" t="str">
        <f>IFERROR(__xludf.DUMMYFUNCTION("""COMPUTED_VALUE"""),"martarodriguez@gmail.com")</f>
        <v>martarodriguez@gmail.com</v>
      </c>
      <c r="G777" s="20">
        <f>IFERROR(__xludf.DUMMYFUNCTION("""COMPUTED_VALUE"""),18661.0)</f>
        <v>18661</v>
      </c>
      <c r="H777" s="7">
        <f>IFERROR(__xludf.DUMMYFUNCTION("""COMPUTED_VALUE"""),6392101.0)</f>
        <v>6392101</v>
      </c>
      <c r="I777" s="7">
        <f>IFERROR(__xludf.DUMMYFUNCTION("""COMPUTED_VALUE"""),3.515064419E9)</f>
        <v>3515064419</v>
      </c>
      <c r="J777" s="7" t="str">
        <f>IFERROR(__xludf.DUMMYFUNCTION("""COMPUTED_VALUE"""),"Recomendación")</f>
        <v>Recomendación</v>
      </c>
      <c r="K777" s="7" t="str">
        <f>IFERROR(__xludf.DUMMYFUNCTION("""COMPUTED_VALUE"""),"Obra social")</f>
        <v>Obra social</v>
      </c>
      <c r="L777" s="7"/>
      <c r="M777" s="7" t="str">
        <f>IFERROR(__xludf.DUMMYFUNCTION("""COMPUTED_VALUE"""),"Si")</f>
        <v>Si</v>
      </c>
      <c r="N777" s="7" t="str">
        <f>IFERROR(__xludf.DUMMYFUNCTION("""COMPUTED_VALUE"""),"Pilates")</f>
        <v>Pilates</v>
      </c>
      <c r="O777" s="7" t="str">
        <f>IFERROR(__xludf.DUMMYFUNCTION("""COMPUTED_VALUE"""),"1 a 2 veces por semana")</f>
        <v>1 a 2 veces por semana</v>
      </c>
      <c r="P777" s="7"/>
      <c r="Q777" s="7" t="str">
        <f>IFERROR(__xludf.DUMMYFUNCTION("""COMPUTED_VALUE"""),"Medife")</f>
        <v>Medife</v>
      </c>
      <c r="R777" s="7"/>
      <c r="S777" s="7"/>
    </row>
    <row r="778">
      <c r="A778" s="7" t="str">
        <f t="shared" si="1"/>
        <v>Fernandez, Susana</v>
      </c>
      <c r="B778" s="7">
        <f>SUMIFS('bd caja'!$K$1:$K$1012,'bd caja'!$D$1:$D$1012,A778)</f>
        <v>0</v>
      </c>
      <c r="C778" s="19">
        <f>IFERROR(__xludf.DUMMYFUNCTION("""COMPUTED_VALUE"""),45617.795183159724)</f>
        <v>45617.79518</v>
      </c>
      <c r="D778" s="7" t="str">
        <f>IFERROR(__xludf.DUMMYFUNCTION("""COMPUTED_VALUE"""),"Fernandez")</f>
        <v>Fernandez</v>
      </c>
      <c r="E778" s="7" t="str">
        <f>IFERROR(__xludf.DUMMYFUNCTION("""COMPUTED_VALUE"""),"Susana")</f>
        <v>Susana</v>
      </c>
      <c r="F778" s="7"/>
      <c r="G778" s="20">
        <f>IFERROR(__xludf.DUMMYFUNCTION("""COMPUTED_VALUE"""),21877.0)</f>
        <v>21877</v>
      </c>
      <c r="H778" s="7">
        <f>IFERROR(__xludf.DUMMYFUNCTION("""COMPUTED_VALUE"""),1.3476436E7)</f>
        <v>13476436</v>
      </c>
      <c r="I778" s="7">
        <f>IFERROR(__xludf.DUMMYFUNCTION("""COMPUTED_VALUE"""),3.513467613E9)</f>
        <v>3513467613</v>
      </c>
      <c r="J778" s="7" t="str">
        <f>IFERROR(__xludf.DUMMYFUNCTION("""COMPUTED_VALUE"""),"Recomendación")</f>
        <v>Recomendación</v>
      </c>
      <c r="K778" s="7" t="str">
        <f>IFERROR(__xludf.DUMMYFUNCTION("""COMPUTED_VALUE"""),"Obra social")</f>
        <v>Obra social</v>
      </c>
      <c r="L778" s="7"/>
      <c r="M778" s="7" t="str">
        <f>IFERROR(__xludf.DUMMYFUNCTION("""COMPUTED_VALUE"""),"No")</f>
        <v>No</v>
      </c>
      <c r="N778" s="7"/>
      <c r="O778" s="7"/>
      <c r="P778" s="7"/>
      <c r="Q778" s="7" t="str">
        <f>IFERROR(__xludf.DUMMYFUNCTION("""COMPUTED_VALUE"""),"Opdea")</f>
        <v>Opdea</v>
      </c>
      <c r="R778" s="7"/>
      <c r="S778" s="7"/>
    </row>
    <row r="779">
      <c r="A779" s="7" t="str">
        <f t="shared" si="1"/>
        <v>Longo , Aldo Marcelo </v>
      </c>
      <c r="B779" s="7">
        <f>SUMIFS('bd caja'!$K$1:$K$1012,'bd caja'!$D$1:$D$1012,A779)</f>
        <v>0</v>
      </c>
      <c r="C779" s="19">
        <f>IFERROR(__xludf.DUMMYFUNCTION("""COMPUTED_VALUE"""),45619.67737237268)</f>
        <v>45619.67737</v>
      </c>
      <c r="D779" s="7" t="str">
        <f>IFERROR(__xludf.DUMMYFUNCTION("""COMPUTED_VALUE"""),"Longo ")</f>
        <v>Longo </v>
      </c>
      <c r="E779" s="7" t="str">
        <f>IFERROR(__xludf.DUMMYFUNCTION("""COMPUTED_VALUE"""),"Aldo Marcelo ")</f>
        <v>Aldo Marcelo </v>
      </c>
      <c r="F779" s="7" t="str">
        <f>IFERROR(__xludf.DUMMYFUNCTION("""COMPUTED_VALUE"""),"aldolongo617@gmail.com")</f>
        <v>aldolongo617@gmail.com</v>
      </c>
      <c r="G779" s="20">
        <f>IFERROR(__xludf.DUMMYFUNCTION("""COMPUTED_VALUE"""),27279.0)</f>
        <v>27279</v>
      </c>
      <c r="H779" s="7">
        <f>IFERROR(__xludf.DUMMYFUNCTION("""COMPUTED_VALUE"""),2.4013617E7)</f>
        <v>24013617</v>
      </c>
      <c r="I779" s="7">
        <f>IFERROR(__xludf.DUMMYFUNCTION("""COMPUTED_VALUE"""),3.515998629E9)</f>
        <v>3515998629</v>
      </c>
      <c r="J779" s="7" t="str">
        <f>IFERROR(__xludf.DUMMYFUNCTION("""COMPUTED_VALUE"""),"Recomendación")</f>
        <v>Recomendación</v>
      </c>
      <c r="K779" s="7" t="str">
        <f>IFERROR(__xludf.DUMMYFUNCTION("""COMPUTED_VALUE"""),"Obra social")</f>
        <v>Obra social</v>
      </c>
      <c r="L779" s="7"/>
      <c r="M779" s="7" t="str">
        <f>IFERROR(__xludf.DUMMYFUNCTION("""COMPUTED_VALUE"""),"Si")</f>
        <v>Si</v>
      </c>
      <c r="N779" s="7" t="str">
        <f>IFERROR(__xludf.DUMMYFUNCTION("""COMPUTED_VALUE"""),"Caminatas, MTB, full body")</f>
        <v>Caminatas, MTB, full body</v>
      </c>
      <c r="O779" s="7" t="str">
        <f>IFERROR(__xludf.DUMMYFUNCTION("""COMPUTED_VALUE"""),"3 a 5 veces por semana")</f>
        <v>3 a 5 veces por semana</v>
      </c>
      <c r="P779" s="7"/>
      <c r="Q779" s="7" t="str">
        <f>IFERROR(__xludf.DUMMYFUNCTION("""COMPUTED_VALUE"""),"DASPU")</f>
        <v>DASPU</v>
      </c>
      <c r="R779" s="7"/>
      <c r="S779" s="7"/>
    </row>
    <row r="780">
      <c r="A780" s="7" t="str">
        <f t="shared" si="1"/>
        <v>Vila, Gonzalo</v>
      </c>
      <c r="B780" s="7">
        <f>SUMIFS('bd caja'!$K$1:$K$1012,'bd caja'!$D$1:$D$1012,A780)</f>
        <v>0</v>
      </c>
      <c r="C780" s="19">
        <f>IFERROR(__xludf.DUMMYFUNCTION("""COMPUTED_VALUE"""),45622.583672256944)</f>
        <v>45622.58367</v>
      </c>
      <c r="D780" s="7" t="str">
        <f>IFERROR(__xludf.DUMMYFUNCTION("""COMPUTED_VALUE"""),"Vila")</f>
        <v>Vila</v>
      </c>
      <c r="E780" s="7" t="str">
        <f>IFERROR(__xludf.DUMMYFUNCTION("""COMPUTED_VALUE"""),"Gonzalo")</f>
        <v>Gonzalo</v>
      </c>
      <c r="F780" s="7" t="str">
        <f>IFERROR(__xludf.DUMMYFUNCTION("""COMPUTED_VALUE"""),"paracuentas63@gmail.com")</f>
        <v>paracuentas63@gmail.com</v>
      </c>
      <c r="G780" s="20">
        <f>IFERROR(__xludf.DUMMYFUNCTION("""COMPUTED_VALUE"""),34513.0)</f>
        <v>34513</v>
      </c>
      <c r="H780" s="7">
        <f>IFERROR(__xludf.DUMMYFUNCTION("""COMPUTED_VALUE"""),3.8331162E7)</f>
        <v>38331162</v>
      </c>
      <c r="I780" s="7">
        <f>IFERROR(__xludf.DUMMYFUNCTION("""COMPUTED_VALUE"""),3.512592059E9)</f>
        <v>3512592059</v>
      </c>
      <c r="J780" s="7" t="str">
        <f>IFERROR(__xludf.DUMMYFUNCTION("""COMPUTED_VALUE"""),"Voy al gym Manantial")</f>
        <v>Voy al gym Manantial</v>
      </c>
      <c r="K780" s="7" t="str">
        <f>IFERROR(__xludf.DUMMYFUNCTION("""COMPUTED_VALUE"""),"Particular")</f>
        <v>Particular</v>
      </c>
      <c r="L780" s="7"/>
      <c r="M780" s="7" t="str">
        <f>IFERROR(__xludf.DUMMYFUNCTION("""COMPUTED_VALUE"""),"Si")</f>
        <v>Si</v>
      </c>
      <c r="N780" s="7" t="str">
        <f>IFERROR(__xludf.DUMMYFUNCTION("""COMPUTED_VALUE"""),"Gimnasio")</f>
        <v>Gimnasio</v>
      </c>
      <c r="O780" s="7" t="str">
        <f>IFERROR(__xludf.DUMMYFUNCTION("""COMPUTED_VALUE"""),"3 a 5 veces por semana")</f>
        <v>3 a 5 veces por semana</v>
      </c>
      <c r="P780" s="7"/>
      <c r="Q780" s="7"/>
      <c r="R780" s="7"/>
      <c r="S780" s="7"/>
    </row>
    <row r="781">
      <c r="A781" s="7" t="str">
        <f t="shared" si="1"/>
        <v>Sagues, Alejandro</v>
      </c>
      <c r="B781" s="7">
        <f>SUMIFS('bd caja'!$K$1:$K$1012,'bd caja'!$D$1:$D$1012,A781)</f>
        <v>0</v>
      </c>
      <c r="C781" s="19">
        <f>IFERROR(__xludf.DUMMYFUNCTION("""COMPUTED_VALUE"""),45622.769652939816)</f>
        <v>45622.76965</v>
      </c>
      <c r="D781" s="7" t="str">
        <f>IFERROR(__xludf.DUMMYFUNCTION("""COMPUTED_VALUE"""),"Sagues")</f>
        <v>Sagues</v>
      </c>
      <c r="E781" s="7" t="str">
        <f>IFERROR(__xludf.DUMMYFUNCTION("""COMPUTED_VALUE"""),"Alejandro")</f>
        <v>Alejandro</v>
      </c>
      <c r="F781" s="7"/>
      <c r="G781" s="20">
        <f>IFERROR(__xludf.DUMMYFUNCTION("""COMPUTED_VALUE"""),27495.0)</f>
        <v>27495</v>
      </c>
      <c r="H781" s="7">
        <f>IFERROR(__xludf.DUMMYFUNCTION("""COMPUTED_VALUE"""),2.4385318E7)</f>
        <v>24385318</v>
      </c>
      <c r="I781" s="7">
        <f>IFERROR(__xludf.DUMMYFUNCTION("""COMPUTED_VALUE"""),3.515990795E9)</f>
        <v>3515990795</v>
      </c>
      <c r="J781" s="7" t="str">
        <f>IFERROR(__xludf.DUMMYFUNCTION("""COMPUTED_VALUE"""),"Recomendación")</f>
        <v>Recomendación</v>
      </c>
      <c r="K781" s="7" t="str">
        <f>IFERROR(__xludf.DUMMYFUNCTION("""COMPUTED_VALUE"""),"Particular")</f>
        <v>Particular</v>
      </c>
      <c r="L781" s="7"/>
      <c r="M781" s="7" t="str">
        <f>IFERROR(__xludf.DUMMYFUNCTION("""COMPUTED_VALUE"""),"No")</f>
        <v>No</v>
      </c>
      <c r="N781" s="7"/>
      <c r="O781" s="7"/>
      <c r="P781" s="7"/>
      <c r="Q781" s="7"/>
      <c r="R781" s="7"/>
      <c r="S781" s="7"/>
    </row>
    <row r="782">
      <c r="A782" s="7" t="str">
        <f t="shared" si="1"/>
        <v>Rossa, Victoria </v>
      </c>
      <c r="B782" s="7">
        <f>SUMIFS('bd caja'!$K$1:$K$1012,'bd caja'!$D$1:$D$1012,A782)</f>
        <v>0</v>
      </c>
      <c r="C782" s="19">
        <f>IFERROR(__xludf.DUMMYFUNCTION("""COMPUTED_VALUE"""),45622.770108020835)</f>
        <v>45622.77011</v>
      </c>
      <c r="D782" s="7" t="str">
        <f>IFERROR(__xludf.DUMMYFUNCTION("""COMPUTED_VALUE"""),"Rossa")</f>
        <v>Rossa</v>
      </c>
      <c r="E782" s="7" t="str">
        <f>IFERROR(__xludf.DUMMYFUNCTION("""COMPUTED_VALUE"""),"Victoria ")</f>
        <v>Victoria </v>
      </c>
      <c r="F782" s="7" t="str">
        <f>IFERROR(__xludf.DUMMYFUNCTION("""COMPUTED_VALUE"""),"vickyrossa07@gmail.com")</f>
        <v>vickyrossa07@gmail.com</v>
      </c>
      <c r="G782" s="20">
        <f>IFERROR(__xludf.DUMMYFUNCTION("""COMPUTED_VALUE"""),37497.0)</f>
        <v>37497</v>
      </c>
      <c r="H782" s="7">
        <f>IFERROR(__xludf.DUMMYFUNCTION("""COMPUTED_VALUE"""),4.434615E7)</f>
        <v>44346150</v>
      </c>
      <c r="I782" s="7">
        <f>IFERROR(__xludf.DUMMYFUNCTION("""COMPUTED_VALUE"""),3.517570132E9)</f>
        <v>3517570132</v>
      </c>
      <c r="J782" s="7" t="str">
        <f>IFERROR(__xludf.DUMMYFUNCTION("""COMPUTED_VALUE"""),"Voy al gym Manantial")</f>
        <v>Voy al gym Manantial</v>
      </c>
      <c r="K782" s="7" t="str">
        <f>IFERROR(__xludf.DUMMYFUNCTION("""COMPUTED_VALUE"""),"Obra social")</f>
        <v>Obra social</v>
      </c>
      <c r="L782" s="7"/>
      <c r="M782" s="7" t="str">
        <f>IFERROR(__xludf.DUMMYFUNCTION("""COMPUTED_VALUE"""),"Si")</f>
        <v>Si</v>
      </c>
      <c r="N782" s="7" t="str">
        <f>IFERROR(__xludf.DUMMYFUNCTION("""COMPUTED_VALUE"""),"Gimnasio")</f>
        <v>Gimnasio</v>
      </c>
      <c r="O782" s="7" t="str">
        <f>IFERROR(__xludf.DUMMYFUNCTION("""COMPUTED_VALUE"""),"3 a 5 veces por semana")</f>
        <v>3 a 5 veces por semana</v>
      </c>
      <c r="P782" s="7"/>
      <c r="Q782" s="7" t="str">
        <f>IFERROR(__xludf.DUMMYFUNCTION("""COMPUTED_VALUE"""),"PREVENCIÓN")</f>
        <v>PREVENCIÓN</v>
      </c>
      <c r="R782" s="7"/>
      <c r="S782" s="7"/>
    </row>
    <row r="783">
      <c r="A783" s="7" t="str">
        <f t="shared" si="1"/>
        <v>Medina, Gonzalo damian</v>
      </c>
      <c r="B783" s="7">
        <f>SUMIFS('bd caja'!$K$1:$K$1012,'bd caja'!$D$1:$D$1012,A783)</f>
        <v>0</v>
      </c>
      <c r="C783" s="19">
        <f>IFERROR(__xludf.DUMMYFUNCTION("""COMPUTED_VALUE"""),45622.78752197917)</f>
        <v>45622.78752</v>
      </c>
      <c r="D783" s="7" t="str">
        <f>IFERROR(__xludf.DUMMYFUNCTION("""COMPUTED_VALUE"""),"Medina")</f>
        <v>Medina</v>
      </c>
      <c r="E783" s="7" t="str">
        <f>IFERROR(__xludf.DUMMYFUNCTION("""COMPUTED_VALUE"""),"Gonzalo damian")</f>
        <v>Gonzalo damian</v>
      </c>
      <c r="F783" s="7" t="str">
        <f>IFERROR(__xludf.DUMMYFUNCTION("""COMPUTED_VALUE"""),"polirrubrosol@gmail.com")</f>
        <v>polirrubrosol@gmail.com</v>
      </c>
      <c r="G783" s="20">
        <f>IFERROR(__xludf.DUMMYFUNCTION("""COMPUTED_VALUE"""),29043.0)</f>
        <v>29043</v>
      </c>
      <c r="H783" s="7">
        <f>IFERROR(__xludf.DUMMYFUNCTION("""COMPUTED_VALUE"""),2.7546046E7)</f>
        <v>27546046</v>
      </c>
      <c r="I783" s="7">
        <f>IFERROR(__xludf.DUMMYFUNCTION("""COMPUTED_VALUE"""),3.512606579E9)</f>
        <v>3512606579</v>
      </c>
      <c r="J783" s="7" t="str">
        <f>IFERROR(__xludf.DUMMYFUNCTION("""COMPUTED_VALUE"""),"Facebook")</f>
        <v>Facebook</v>
      </c>
      <c r="K783" s="7" t="str">
        <f>IFERROR(__xludf.DUMMYFUNCTION("""COMPUTED_VALUE"""),"Particular")</f>
        <v>Particular</v>
      </c>
      <c r="L783" s="7"/>
      <c r="M783" s="7" t="str">
        <f>IFERROR(__xludf.DUMMYFUNCTION("""COMPUTED_VALUE"""),"Si")</f>
        <v>Si</v>
      </c>
      <c r="N783" s="7" t="str">
        <f>IFERROR(__xludf.DUMMYFUNCTION("""COMPUTED_VALUE"""),"Padel")</f>
        <v>Padel</v>
      </c>
      <c r="O783" s="7" t="str">
        <f>IFERROR(__xludf.DUMMYFUNCTION("""COMPUTED_VALUE"""),"1 a 2 veces por semana")</f>
        <v>1 a 2 veces por semana</v>
      </c>
      <c r="P783" s="7"/>
      <c r="Q783" s="7"/>
      <c r="R783" s="7"/>
      <c r="S783" s="7"/>
    </row>
    <row r="784">
      <c r="A784" s="7" t="str">
        <f t="shared" si="1"/>
        <v>Bustos , Sergio</v>
      </c>
      <c r="B784" s="7">
        <f>SUMIFS('bd caja'!$K$1:$K$1012,'bd caja'!$D$1:$D$1012,A784)</f>
        <v>0</v>
      </c>
      <c r="C784" s="19">
        <f>IFERROR(__xludf.DUMMYFUNCTION("""COMPUTED_VALUE"""),45623.74120827546)</f>
        <v>45623.74121</v>
      </c>
      <c r="D784" s="7" t="str">
        <f>IFERROR(__xludf.DUMMYFUNCTION("""COMPUTED_VALUE"""),"Bustos ")</f>
        <v>Bustos </v>
      </c>
      <c r="E784" s="7" t="str">
        <f>IFERROR(__xludf.DUMMYFUNCTION("""COMPUTED_VALUE"""),"Sergio")</f>
        <v>Sergio</v>
      </c>
      <c r="F784" s="7" t="str">
        <f>IFERROR(__xludf.DUMMYFUNCTION("""COMPUTED_VALUE"""),"Sergiorbustos@hormail.com")</f>
        <v>Sergiorbustos@hormail.com</v>
      </c>
      <c r="G784" s="20">
        <f>IFERROR(__xludf.DUMMYFUNCTION("""COMPUTED_VALUE"""),25470.0)</f>
        <v>25470</v>
      </c>
      <c r="H784" s="7">
        <f>IFERROR(__xludf.DUMMYFUNCTION("""COMPUTED_VALUE"""),2.0998074E7)</f>
        <v>20998074</v>
      </c>
      <c r="I784" s="7">
        <f>IFERROR(__xludf.DUMMYFUNCTION("""COMPUTED_VALUE"""),3.515932389E9)</f>
        <v>3515932389</v>
      </c>
      <c r="J784" s="7" t="str">
        <f>IFERROR(__xludf.DUMMYFUNCTION("""COMPUTED_VALUE"""),"Voy al gym Manantial")</f>
        <v>Voy al gym Manantial</v>
      </c>
      <c r="K784" s="7" t="str">
        <f>IFERROR(__xludf.DUMMYFUNCTION("""COMPUTED_VALUE"""),"Obra social")</f>
        <v>Obra social</v>
      </c>
      <c r="L784" s="7"/>
      <c r="M784" s="7" t="str">
        <f>IFERROR(__xludf.DUMMYFUNCTION("""COMPUTED_VALUE"""),"Si")</f>
        <v>Si</v>
      </c>
      <c r="N784" s="7" t="str">
        <f>IFERROR(__xludf.DUMMYFUNCTION("""COMPUTED_VALUE"""),"Pádel ")</f>
        <v>Pádel </v>
      </c>
      <c r="O784" s="7" t="str">
        <f>IFERROR(__xludf.DUMMYFUNCTION("""COMPUTED_VALUE"""),"3 a 5 veces por semana")</f>
        <v>3 a 5 veces por semana</v>
      </c>
      <c r="P784" s="7"/>
      <c r="Q784" s="7" t="str">
        <f>IFERROR(__xludf.DUMMYFUNCTION("""COMPUTED_VALUE"""),"Met")</f>
        <v>Met</v>
      </c>
      <c r="R784" s="7"/>
      <c r="S784" s="7"/>
    </row>
    <row r="785">
      <c r="A785" s="7" t="str">
        <f t="shared" si="1"/>
        <v>Casella Volosin, Guido</v>
      </c>
      <c r="B785" s="7">
        <f>SUMIFS('bd caja'!$K$1:$K$1012,'bd caja'!$D$1:$D$1012,A785)</f>
        <v>0</v>
      </c>
      <c r="C785" s="19">
        <f>IFERROR(__xludf.DUMMYFUNCTION("""COMPUTED_VALUE"""),45624.35528481481)</f>
        <v>45624.35528</v>
      </c>
      <c r="D785" s="7" t="str">
        <f>IFERROR(__xludf.DUMMYFUNCTION("""COMPUTED_VALUE"""),"Casella Volosin")</f>
        <v>Casella Volosin</v>
      </c>
      <c r="E785" s="7" t="str">
        <f>IFERROR(__xludf.DUMMYFUNCTION("""COMPUTED_VALUE"""),"Guido")</f>
        <v>Guido</v>
      </c>
      <c r="F785" s="7" t="str">
        <f>IFERROR(__xludf.DUMMYFUNCTION("""COMPUTED_VALUE"""),"Guido_casella@hotmail.com")</f>
        <v>Guido_casella@hotmail.com</v>
      </c>
      <c r="G785" s="20">
        <f>IFERROR(__xludf.DUMMYFUNCTION("""COMPUTED_VALUE"""),34078.0)</f>
        <v>34078</v>
      </c>
      <c r="H785" s="7">
        <f>IFERROR(__xludf.DUMMYFUNCTION("""COMPUTED_VALUE"""),3.7476222E7)</f>
        <v>37476222</v>
      </c>
      <c r="I785" s="7">
        <f>IFERROR(__xludf.DUMMYFUNCTION("""COMPUTED_VALUE"""),3.515293085E9)</f>
        <v>3515293085</v>
      </c>
      <c r="J785" s="7" t="str">
        <f>IFERROR(__xludf.DUMMYFUNCTION("""COMPUTED_VALUE"""),"Google")</f>
        <v>Google</v>
      </c>
      <c r="K785" s="7" t="str">
        <f>IFERROR(__xludf.DUMMYFUNCTION("""COMPUTED_VALUE"""),"Obra social")</f>
        <v>Obra social</v>
      </c>
      <c r="L785" s="7"/>
      <c r="M785" s="7" t="str">
        <f>IFERROR(__xludf.DUMMYFUNCTION("""COMPUTED_VALUE"""),"No")</f>
        <v>No</v>
      </c>
      <c r="N785" s="7"/>
      <c r="O785" s="7"/>
      <c r="P785" s="7"/>
      <c r="Q785" s="7" t="str">
        <f>IFERROR(__xludf.DUMMYFUNCTION("""COMPUTED_VALUE"""),"CPCE")</f>
        <v>CPCE</v>
      </c>
      <c r="R785" s="7"/>
      <c r="S785" s="7"/>
    </row>
    <row r="786">
      <c r="A786" s="7" t="str">
        <f t="shared" si="1"/>
        <v>Capponi, Ernesto</v>
      </c>
      <c r="B786" s="7">
        <f>SUMIFS('bd caja'!$K$1:$K$1012,'bd caja'!$D$1:$D$1012,A786)</f>
        <v>0</v>
      </c>
      <c r="C786" s="19">
        <f>IFERROR(__xludf.DUMMYFUNCTION("""COMPUTED_VALUE"""),45624.51729928241)</f>
        <v>45624.5173</v>
      </c>
      <c r="D786" s="7" t="str">
        <f>IFERROR(__xludf.DUMMYFUNCTION("""COMPUTED_VALUE"""),"Capponi")</f>
        <v>Capponi</v>
      </c>
      <c r="E786" s="7" t="str">
        <f>IFERROR(__xludf.DUMMYFUNCTION("""COMPUTED_VALUE"""),"Ernesto")</f>
        <v>Ernesto</v>
      </c>
      <c r="F786" s="7" t="str">
        <f>IFERROR(__xludf.DUMMYFUNCTION("""COMPUTED_VALUE"""),"ernestocapponi1@gmail.com")</f>
        <v>ernestocapponi1@gmail.com</v>
      </c>
      <c r="G786" s="20">
        <f>IFERROR(__xludf.DUMMYFUNCTION("""COMPUTED_VALUE"""),13386.0)</f>
        <v>13386</v>
      </c>
      <c r="H786" s="7">
        <f>IFERROR(__xludf.DUMMYFUNCTION("""COMPUTED_VALUE"""),6496932.0)</f>
        <v>6496932</v>
      </c>
      <c r="I786" s="7">
        <f>IFERROR(__xludf.DUMMYFUNCTION("""COMPUTED_VALUE"""),3.512072926E9)</f>
        <v>3512072926</v>
      </c>
      <c r="J786" s="7" t="str">
        <f>IFERROR(__xludf.DUMMYFUNCTION("""COMPUTED_VALUE"""),"Recomendación")</f>
        <v>Recomendación</v>
      </c>
      <c r="K786" s="7" t="str">
        <f>IFERROR(__xludf.DUMMYFUNCTION("""COMPUTED_VALUE"""),"Particular")</f>
        <v>Particular</v>
      </c>
      <c r="L786" s="7"/>
      <c r="M786" s="7" t="str">
        <f>IFERROR(__xludf.DUMMYFUNCTION("""COMPUTED_VALUE"""),"Si")</f>
        <v>Si</v>
      </c>
      <c r="N786" s="7" t="str">
        <f>IFERROR(__xludf.DUMMYFUNCTION("""COMPUTED_VALUE"""),"Yoga terapeutico + Gimnasia adaptada")</f>
        <v>Yoga terapeutico + Gimnasia adaptada</v>
      </c>
      <c r="O786" s="7" t="str">
        <f>IFERROR(__xludf.DUMMYFUNCTION("""COMPUTED_VALUE"""),"3 a 5 veces por semana")</f>
        <v>3 a 5 veces por semana</v>
      </c>
      <c r="P786" s="7"/>
      <c r="Q786" s="7"/>
      <c r="R786" s="7"/>
      <c r="S786" s="7"/>
    </row>
    <row r="787">
      <c r="A787" s="7" t="str">
        <f t="shared" si="1"/>
        <v>Parra , Diego </v>
      </c>
      <c r="B787" s="7">
        <f>SUMIFS('bd caja'!$K$1:$K$1012,'bd caja'!$D$1:$D$1012,A787)</f>
        <v>0</v>
      </c>
      <c r="C787" s="19">
        <f>IFERROR(__xludf.DUMMYFUNCTION("""COMPUTED_VALUE"""),45625.418358043986)</f>
        <v>45625.41836</v>
      </c>
      <c r="D787" s="7" t="str">
        <f>IFERROR(__xludf.DUMMYFUNCTION("""COMPUTED_VALUE"""),"Parra ")</f>
        <v>Parra </v>
      </c>
      <c r="E787" s="7" t="str">
        <f>IFERROR(__xludf.DUMMYFUNCTION("""COMPUTED_VALUE"""),"Diego ")</f>
        <v>Diego </v>
      </c>
      <c r="F787" s="7" t="str">
        <f>IFERROR(__xludf.DUMMYFUNCTION("""COMPUTED_VALUE"""),"diego@familiaparra.com.ar")</f>
        <v>diego@familiaparra.com.ar</v>
      </c>
      <c r="G787" s="20">
        <f>IFERROR(__xludf.DUMMYFUNCTION("""COMPUTED_VALUE"""),29380.0)</f>
        <v>29380</v>
      </c>
      <c r="H787" s="7">
        <f>IFERROR(__xludf.DUMMYFUNCTION("""COMPUTED_VALUE"""),2.811739E7)</f>
        <v>28117390</v>
      </c>
      <c r="I787" s="7">
        <f>IFERROR(__xludf.DUMMYFUNCTION("""COMPUTED_VALUE"""),3.51560046E9)</f>
        <v>3515600460</v>
      </c>
      <c r="J787" s="7" t="str">
        <f>IFERROR(__xludf.DUMMYFUNCTION("""COMPUTED_VALUE"""),"Recomendación")</f>
        <v>Recomendación</v>
      </c>
      <c r="K787" s="7" t="str">
        <f>IFERROR(__xludf.DUMMYFUNCTION("""COMPUTED_VALUE"""),"Obra social")</f>
        <v>Obra social</v>
      </c>
      <c r="L787" s="7"/>
      <c r="M787" s="7" t="str">
        <f>IFERROR(__xludf.DUMMYFUNCTION("""COMPUTED_VALUE"""),"Si")</f>
        <v>Si</v>
      </c>
      <c r="N787" s="7" t="str">
        <f>IFERROR(__xludf.DUMMYFUNCTION("""COMPUTED_VALUE"""),"Fútbol")</f>
        <v>Fútbol</v>
      </c>
      <c r="O787" s="7" t="str">
        <f>IFERROR(__xludf.DUMMYFUNCTION("""COMPUTED_VALUE"""),"3 a 5 veces por semana")</f>
        <v>3 a 5 veces por semana</v>
      </c>
      <c r="P787" s="7"/>
      <c r="Q787" s="7" t="str">
        <f>IFERROR(__xludf.DUMMYFUNCTION("""COMPUTED_VALUE"""),"DASPU")</f>
        <v>DASPU</v>
      </c>
      <c r="R787" s="7"/>
      <c r="S787" s="7"/>
    </row>
    <row r="788">
      <c r="A788" s="7" t="str">
        <f t="shared" si="1"/>
        <v>FRANCESCANGELI, María Laura </v>
      </c>
      <c r="B788" s="7">
        <f>SUMIFS('bd caja'!$K$1:$K$1012,'bd caja'!$D$1:$D$1012,A788)</f>
        <v>0</v>
      </c>
      <c r="C788" s="19">
        <f>IFERROR(__xludf.DUMMYFUNCTION("""COMPUTED_VALUE"""),45625.51721197917)</f>
        <v>45625.51721</v>
      </c>
      <c r="D788" s="7" t="str">
        <f>IFERROR(__xludf.DUMMYFUNCTION("""COMPUTED_VALUE"""),"FRANCESCANGELI")</f>
        <v>FRANCESCANGELI</v>
      </c>
      <c r="E788" s="7" t="str">
        <f>IFERROR(__xludf.DUMMYFUNCTION("""COMPUTED_VALUE"""),"María Laura ")</f>
        <v>María Laura </v>
      </c>
      <c r="F788" s="7" t="str">
        <f>IFERROR(__xludf.DUMMYFUNCTION("""COMPUTED_VALUE"""),"Laurif51@hotmail.com ")</f>
        <v>Laurif51@hotmail.com </v>
      </c>
      <c r="G788" s="20">
        <f>IFERROR(__xludf.DUMMYFUNCTION("""COMPUTED_VALUE"""),29193.0)</f>
        <v>29193</v>
      </c>
      <c r="H788" s="7">
        <f>IFERROR(__xludf.DUMMYFUNCTION("""COMPUTED_VALUE"""),2.7445405E7)</f>
        <v>27445405</v>
      </c>
      <c r="I788" s="7">
        <f>IFERROR(__xludf.DUMMYFUNCTION("""COMPUTED_VALUE"""),3.512319518E9)</f>
        <v>3512319518</v>
      </c>
      <c r="J788" s="7" t="str">
        <f>IFERROR(__xludf.DUMMYFUNCTION("""COMPUTED_VALUE"""),"Recomendación")</f>
        <v>Recomendación</v>
      </c>
      <c r="K788" s="7" t="str">
        <f>IFERROR(__xludf.DUMMYFUNCTION("""COMPUTED_VALUE"""),"Obra social")</f>
        <v>Obra social</v>
      </c>
      <c r="L788" s="7"/>
      <c r="M788" s="7" t="str">
        <f>IFERROR(__xludf.DUMMYFUNCTION("""COMPUTED_VALUE"""),"Si")</f>
        <v>Si</v>
      </c>
      <c r="N788" s="7" t="str">
        <f>IFERROR(__xludf.DUMMYFUNCTION("""COMPUTED_VALUE"""),"Voley")</f>
        <v>Voley</v>
      </c>
      <c r="O788" s="7" t="str">
        <f>IFERROR(__xludf.DUMMYFUNCTION("""COMPUTED_VALUE"""),"3 a 5 veces por semana")</f>
        <v>3 a 5 veces por semana</v>
      </c>
      <c r="P788" s="7"/>
      <c r="Q788" s="7" t="str">
        <f>IFERROR(__xludf.DUMMYFUNCTION("""COMPUTED_VALUE"""),"APROSS")</f>
        <v>APROSS</v>
      </c>
      <c r="R788" s="7"/>
      <c r="S788" s="7"/>
    </row>
    <row r="789">
      <c r="A789" s="7" t="str">
        <f t="shared" si="1"/>
        <v>Rosa, Mirta</v>
      </c>
      <c r="B789" s="7">
        <f>SUMIFS('bd caja'!$K$1:$K$1012,'bd caja'!$D$1:$D$1012,A789)</f>
        <v>0</v>
      </c>
      <c r="C789" s="19">
        <f>IFERROR(__xludf.DUMMYFUNCTION("""COMPUTED_VALUE"""),45628.509041412035)</f>
        <v>45628.50904</v>
      </c>
      <c r="D789" s="7" t="str">
        <f>IFERROR(__xludf.DUMMYFUNCTION("""COMPUTED_VALUE"""),"Rosa")</f>
        <v>Rosa</v>
      </c>
      <c r="E789" s="7" t="str">
        <f>IFERROR(__xludf.DUMMYFUNCTION("""COMPUTED_VALUE"""),"Mirta")</f>
        <v>Mirta</v>
      </c>
      <c r="F789" s="7"/>
      <c r="G789" s="20">
        <f>IFERROR(__xludf.DUMMYFUNCTION("""COMPUTED_VALUE"""),18507.0)</f>
        <v>18507</v>
      </c>
      <c r="H789" s="7">
        <f>IFERROR(__xludf.DUMMYFUNCTION("""COMPUTED_VALUE"""),6204156.0)</f>
        <v>6204156</v>
      </c>
      <c r="I789" s="7">
        <f>IFERROR(__xludf.DUMMYFUNCTION("""COMPUTED_VALUE"""),3.514771372E9)</f>
        <v>3514771372</v>
      </c>
      <c r="J789" s="7" t="str">
        <f>IFERROR(__xludf.DUMMYFUNCTION("""COMPUTED_VALUE"""),"Recomendación")</f>
        <v>Recomendación</v>
      </c>
      <c r="K789" s="7" t="str">
        <f>IFERROR(__xludf.DUMMYFUNCTION("""COMPUTED_VALUE"""),"Particular")</f>
        <v>Particular</v>
      </c>
      <c r="L789" s="7"/>
      <c r="M789" s="7" t="str">
        <f>IFERROR(__xludf.DUMMYFUNCTION("""COMPUTED_VALUE"""),"No")</f>
        <v>No</v>
      </c>
      <c r="N789" s="7"/>
      <c r="O789" s="7"/>
      <c r="P789" s="7"/>
      <c r="Q789" s="7"/>
      <c r="R789" s="7"/>
      <c r="S789" s="7"/>
    </row>
    <row r="790">
      <c r="A790" s="7" t="str">
        <f t="shared" si="1"/>
        <v>Abdala, Gerardo</v>
      </c>
      <c r="B790" s="7">
        <f>SUMIFS('bd caja'!$K$1:$K$1012,'bd caja'!$D$1:$D$1012,A790)</f>
        <v>0</v>
      </c>
      <c r="C790" s="19">
        <f>IFERROR(__xludf.DUMMYFUNCTION("""COMPUTED_VALUE"""),45630.34583914352)</f>
        <v>45630.34584</v>
      </c>
      <c r="D790" s="7" t="str">
        <f>IFERROR(__xludf.DUMMYFUNCTION("""COMPUTED_VALUE"""),"Abdala")</f>
        <v>Abdala</v>
      </c>
      <c r="E790" s="7" t="str">
        <f>IFERROR(__xludf.DUMMYFUNCTION("""COMPUTED_VALUE"""),"Gerardo")</f>
        <v>Gerardo</v>
      </c>
      <c r="F790" s="7" t="str">
        <f>IFERROR(__xludf.DUMMYFUNCTION("""COMPUTED_VALUE"""),"gerardoabdala@gmail.com")</f>
        <v>gerardoabdala@gmail.com</v>
      </c>
      <c r="G790" s="20">
        <f>IFERROR(__xludf.DUMMYFUNCTION("""COMPUTED_VALUE"""),24937.0)</f>
        <v>24937</v>
      </c>
      <c r="H790" s="7">
        <f>IFERROR(__xludf.DUMMYFUNCTION("""COMPUTED_VALUE"""),2.0268672E7)</f>
        <v>20268672</v>
      </c>
      <c r="I790" s="7">
        <f>IFERROR(__xludf.DUMMYFUNCTION("""COMPUTED_VALUE"""),3.515113925E9)</f>
        <v>3515113925</v>
      </c>
      <c r="J790" s="7" t="str">
        <f>IFERROR(__xludf.DUMMYFUNCTION("""COMPUTED_VALUE"""),"Leo Festa")</f>
        <v>Leo Festa</v>
      </c>
      <c r="K790" s="7" t="str">
        <f>IFERROR(__xludf.DUMMYFUNCTION("""COMPUTED_VALUE"""),"Obra social")</f>
        <v>Obra social</v>
      </c>
      <c r="L790" s="7"/>
      <c r="M790" s="7" t="str">
        <f>IFERROR(__xludf.DUMMYFUNCTION("""COMPUTED_VALUE"""),"Si")</f>
        <v>Si</v>
      </c>
      <c r="N790" s="7" t="str">
        <f>IFERROR(__xludf.DUMMYFUNCTION("""COMPUTED_VALUE"""),"Running")</f>
        <v>Running</v>
      </c>
      <c r="O790" s="7" t="str">
        <f>IFERROR(__xludf.DUMMYFUNCTION("""COMPUTED_VALUE"""),"3 a 5 veces por semana")</f>
        <v>3 a 5 veces por semana</v>
      </c>
      <c r="P790" s="7"/>
      <c r="Q790" s="7" t="str">
        <f>IFERROR(__xludf.DUMMYFUNCTION("""COMPUTED_VALUE"""),"osde")</f>
        <v>osde</v>
      </c>
      <c r="R790" s="7"/>
      <c r="S790" s="7"/>
    </row>
    <row r="791">
      <c r="A791" s="7" t="str">
        <f t="shared" si="1"/>
        <v>Pesse, Nelson</v>
      </c>
      <c r="B791" s="7">
        <f>SUMIFS('bd caja'!$K$1:$K$1012,'bd caja'!$D$1:$D$1012,A791)</f>
        <v>0</v>
      </c>
      <c r="C791" s="19">
        <f>IFERROR(__xludf.DUMMYFUNCTION("""COMPUTED_VALUE"""),45630.68122916667)</f>
        <v>45630.68123</v>
      </c>
      <c r="D791" s="7" t="str">
        <f>IFERROR(__xludf.DUMMYFUNCTION("""COMPUTED_VALUE"""),"Pesse")</f>
        <v>Pesse</v>
      </c>
      <c r="E791" s="7" t="str">
        <f>IFERROR(__xludf.DUMMYFUNCTION("""COMPUTED_VALUE"""),"Nelson")</f>
        <v>Nelson</v>
      </c>
      <c r="F791" s="7"/>
      <c r="G791" s="20">
        <f>IFERROR(__xludf.DUMMYFUNCTION("""COMPUTED_VALUE"""),27946.0)</f>
        <v>27946</v>
      </c>
      <c r="H791" s="7">
        <f>IFERROR(__xludf.DUMMYFUNCTION("""COMPUTED_VALUE"""),2.5288236E7)</f>
        <v>25288236</v>
      </c>
      <c r="I791" s="7">
        <f>IFERROR(__xludf.DUMMYFUNCTION("""COMPUTED_VALUE"""),3.454010455E9)</f>
        <v>3454010455</v>
      </c>
      <c r="J791" s="7" t="str">
        <f>IFERROR(__xludf.DUMMYFUNCTION("""COMPUTED_VALUE"""),"Recomendación")</f>
        <v>Recomendación</v>
      </c>
      <c r="K791" s="7" t="str">
        <f>IFERROR(__xludf.DUMMYFUNCTION("""COMPUTED_VALUE"""),"Particular")</f>
        <v>Particular</v>
      </c>
      <c r="L791" s="7"/>
      <c r="M791" s="7" t="str">
        <f>IFERROR(__xludf.DUMMYFUNCTION("""COMPUTED_VALUE"""),"Si")</f>
        <v>Si</v>
      </c>
      <c r="N791" s="7"/>
      <c r="O791" s="7" t="str">
        <f>IFERROR(__xludf.DUMMYFUNCTION("""COMPUTED_VALUE"""),"3 a 5 veces por semana")</f>
        <v>3 a 5 veces por semana</v>
      </c>
      <c r="P791" s="7"/>
      <c r="Q791" s="7"/>
      <c r="R791" s="7"/>
      <c r="S791" s="7"/>
    </row>
    <row r="792">
      <c r="A792" s="7" t="str">
        <f t="shared" si="1"/>
        <v>Cáceres Medina , Aisquiel </v>
      </c>
      <c r="B792" s="7">
        <f>SUMIFS('bd caja'!$K$1:$K$1012,'bd caja'!$D$1:$D$1012,A792)</f>
        <v>0</v>
      </c>
      <c r="C792" s="19">
        <f>IFERROR(__xludf.DUMMYFUNCTION("""COMPUTED_VALUE"""),45631.54479418982)</f>
        <v>45631.54479</v>
      </c>
      <c r="D792" s="7" t="str">
        <f>IFERROR(__xludf.DUMMYFUNCTION("""COMPUTED_VALUE"""),"Cáceres Medina ")</f>
        <v>Cáceres Medina </v>
      </c>
      <c r="E792" s="7" t="str">
        <f>IFERROR(__xludf.DUMMYFUNCTION("""COMPUTED_VALUE"""),"Aisquiel ")</f>
        <v>Aisquiel </v>
      </c>
      <c r="F792" s="7" t="str">
        <f>IFERROR(__xludf.DUMMYFUNCTION("""COMPUTED_VALUE"""),"mariang199113@gmail.com")</f>
        <v>mariang199113@gmail.com</v>
      </c>
      <c r="G792" s="20">
        <f>IFERROR(__xludf.DUMMYFUNCTION("""COMPUTED_VALUE"""),22327.0)</f>
        <v>22327</v>
      </c>
      <c r="H792" s="7">
        <f>IFERROR(__xludf.DUMMYFUNCTION("""COMPUTED_VALUE"""),9.6372555E7)</f>
        <v>96372555</v>
      </c>
      <c r="I792" s="7">
        <f>IFERROR(__xludf.DUMMYFUNCTION("""COMPUTED_VALUE"""),3.512135972E9)</f>
        <v>3512135972</v>
      </c>
      <c r="J792" s="7" t="str">
        <f>IFERROR(__xludf.DUMMYFUNCTION("""COMPUTED_VALUE"""),"Google")</f>
        <v>Google</v>
      </c>
      <c r="K792" s="7" t="str">
        <f>IFERROR(__xludf.DUMMYFUNCTION("""COMPUTED_VALUE"""),"Particular")</f>
        <v>Particular</v>
      </c>
      <c r="L792" s="7"/>
      <c r="M792" s="7" t="str">
        <f>IFERROR(__xludf.DUMMYFUNCTION("""COMPUTED_VALUE"""),"Si")</f>
        <v>Si</v>
      </c>
      <c r="N792" s="7" t="str">
        <f>IFERROR(__xludf.DUMMYFUNCTION("""COMPUTED_VALUE"""),"Zumba")</f>
        <v>Zumba</v>
      </c>
      <c r="O792" s="7" t="str">
        <f>IFERROR(__xludf.DUMMYFUNCTION("""COMPUTED_VALUE"""),"1 a 2 veces por semana")</f>
        <v>1 a 2 veces por semana</v>
      </c>
      <c r="P792" s="7"/>
      <c r="Q792" s="7"/>
      <c r="R792" s="7"/>
      <c r="S792" s="7"/>
    </row>
    <row r="793">
      <c r="A793" s="7" t="str">
        <f t="shared" si="1"/>
        <v>Gonzalez, Claudio alejandro</v>
      </c>
      <c r="B793" s="7">
        <f>SUMIFS('bd caja'!$K$1:$K$1012,'bd caja'!$D$1:$D$1012,A793)</f>
        <v>0</v>
      </c>
      <c r="C793" s="19">
        <f>IFERROR(__xludf.DUMMYFUNCTION("""COMPUTED_VALUE"""),45631.63436334491)</f>
        <v>45631.63436</v>
      </c>
      <c r="D793" s="7" t="str">
        <f>IFERROR(__xludf.DUMMYFUNCTION("""COMPUTED_VALUE"""),"Gonzalez")</f>
        <v>Gonzalez</v>
      </c>
      <c r="E793" s="7" t="str">
        <f>IFERROR(__xludf.DUMMYFUNCTION("""COMPUTED_VALUE"""),"Claudio alejandro")</f>
        <v>Claudio alejandro</v>
      </c>
      <c r="F793" s="7" t="str">
        <f>IFERROR(__xludf.DUMMYFUNCTION("""COMPUTED_VALUE"""),"clauditoo1993@gmail.com")</f>
        <v>clauditoo1993@gmail.com</v>
      </c>
      <c r="G793" s="20">
        <f>IFERROR(__xludf.DUMMYFUNCTION("""COMPUTED_VALUE"""),34175.0)</f>
        <v>34175</v>
      </c>
      <c r="H793" s="7">
        <f>IFERROR(__xludf.DUMMYFUNCTION("""COMPUTED_VALUE"""),3.7820795E7)</f>
        <v>37820795</v>
      </c>
      <c r="I793" s="7">
        <f>IFERROR(__xludf.DUMMYFUNCTION("""COMPUTED_VALUE"""),3.516338709E9)</f>
        <v>3516338709</v>
      </c>
      <c r="J793" s="7" t="str">
        <f>IFERROR(__xludf.DUMMYFUNCTION("""COMPUTED_VALUE"""),"Conocidos ")</f>
        <v>Conocidos </v>
      </c>
      <c r="K793" s="7" t="str">
        <f>IFERROR(__xludf.DUMMYFUNCTION("""COMPUTED_VALUE"""),"Particular")</f>
        <v>Particular</v>
      </c>
      <c r="L793" s="7"/>
      <c r="M793" s="7" t="str">
        <f>IFERROR(__xludf.DUMMYFUNCTION("""COMPUTED_VALUE"""),"Si")</f>
        <v>Si</v>
      </c>
      <c r="N793" s="7" t="str">
        <f>IFERROR(__xludf.DUMMYFUNCTION("""COMPUTED_VALUE"""),"Fútbol")</f>
        <v>Fútbol</v>
      </c>
      <c r="O793" s="7" t="str">
        <f>IFERROR(__xludf.DUMMYFUNCTION("""COMPUTED_VALUE"""),"3 a 5 veces por semana")</f>
        <v>3 a 5 veces por semana</v>
      </c>
      <c r="P793" s="7"/>
      <c r="Q793" s="7"/>
      <c r="R793" s="7"/>
      <c r="S793" s="7"/>
    </row>
    <row r="794">
      <c r="A794" s="7" t="str">
        <f t="shared" si="1"/>
        <v>PALENCIA, FABIO</v>
      </c>
      <c r="B794" s="7">
        <f>SUMIFS('bd caja'!$K$1:$K$1012,'bd caja'!$D$1:$D$1012,A794)</f>
        <v>0</v>
      </c>
      <c r="C794" s="19">
        <f>IFERROR(__xludf.DUMMYFUNCTION("""COMPUTED_VALUE"""),45634.820822650465)</f>
        <v>45634.82082</v>
      </c>
      <c r="D794" s="7" t="str">
        <f>IFERROR(__xludf.DUMMYFUNCTION("""COMPUTED_VALUE"""),"PALENCIA")</f>
        <v>PALENCIA</v>
      </c>
      <c r="E794" s="7" t="str">
        <f>IFERROR(__xludf.DUMMYFUNCTION("""COMPUTED_VALUE"""),"FABIO")</f>
        <v>FABIO</v>
      </c>
      <c r="F794" s="7" t="str">
        <f>IFERROR(__xludf.DUMMYFUNCTION("""COMPUTED_VALUE"""),"fabiopalencia9@hotmail.com")</f>
        <v>fabiopalencia9@hotmail.com</v>
      </c>
      <c r="G794" s="20">
        <f>IFERROR(__xludf.DUMMYFUNCTION("""COMPUTED_VALUE"""),30981.0)</f>
        <v>30981</v>
      </c>
      <c r="H794" s="7">
        <f>IFERROR(__xludf.DUMMYFUNCTION("""COMPUTED_VALUE"""),3.10581E7)</f>
        <v>31058100</v>
      </c>
      <c r="I794" s="7">
        <f>IFERROR(__xludf.DUMMYFUNCTION("""COMPUTED_VALUE"""),3.516606695E9)</f>
        <v>3516606695</v>
      </c>
      <c r="J794" s="7" t="str">
        <f>IFERROR(__xludf.DUMMYFUNCTION("""COMPUTED_VALUE"""),"Facebook")</f>
        <v>Facebook</v>
      </c>
      <c r="K794" s="7" t="str">
        <f>IFERROR(__xludf.DUMMYFUNCTION("""COMPUTED_VALUE"""),"Particular")</f>
        <v>Particular</v>
      </c>
      <c r="L794" s="7"/>
      <c r="M794" s="7" t="str">
        <f>IFERROR(__xludf.DUMMYFUNCTION("""COMPUTED_VALUE"""),"Si")</f>
        <v>Si</v>
      </c>
      <c r="N794" s="7" t="str">
        <f>IFERROR(__xludf.DUMMYFUNCTION("""COMPUTED_VALUE"""),"Fútbol")</f>
        <v>Fútbol</v>
      </c>
      <c r="O794" s="7" t="str">
        <f>IFERROR(__xludf.DUMMYFUNCTION("""COMPUTED_VALUE"""),"3 a 5 veces por semana")</f>
        <v>3 a 5 veces por semana</v>
      </c>
      <c r="P794" s="7"/>
      <c r="Q794" s="7"/>
      <c r="R794" s="7"/>
      <c r="S794" s="7"/>
    </row>
    <row r="795">
      <c r="A795" s="7" t="str">
        <f t="shared" si="1"/>
        <v>Gianotti Katsuda , Maximiliano </v>
      </c>
      <c r="B795" s="7">
        <f>SUMIFS('bd caja'!$K$1:$K$1012,'bd caja'!$D$1:$D$1012,A795)</f>
        <v>0</v>
      </c>
      <c r="C795" s="19">
        <f>IFERROR(__xludf.DUMMYFUNCTION("""COMPUTED_VALUE"""),45635.44894149306)</f>
        <v>45635.44894</v>
      </c>
      <c r="D795" s="7" t="str">
        <f>IFERROR(__xludf.DUMMYFUNCTION("""COMPUTED_VALUE"""),"Gianotti Katsuda ")</f>
        <v>Gianotti Katsuda </v>
      </c>
      <c r="E795" s="7" t="str">
        <f>IFERROR(__xludf.DUMMYFUNCTION("""COMPUTED_VALUE"""),"Maximiliano ")</f>
        <v>Maximiliano </v>
      </c>
      <c r="F795" s="7" t="str">
        <f>IFERROR(__xludf.DUMMYFUNCTION("""COMPUTED_VALUE"""),"cheto004@hotmail.com")</f>
        <v>cheto004@hotmail.com</v>
      </c>
      <c r="G795" s="20">
        <f>IFERROR(__xludf.DUMMYFUNCTION("""COMPUTED_VALUE"""),29364.0)</f>
        <v>29364</v>
      </c>
      <c r="H795" s="7">
        <f>IFERROR(__xludf.DUMMYFUNCTION("""COMPUTED_VALUE"""),2.8116252E7)</f>
        <v>28116252</v>
      </c>
      <c r="I795" s="7" t="str">
        <f>IFERROR(__xludf.DUMMYFUNCTION("""COMPUTED_VALUE"""),"34679628314-3515063219")</f>
        <v>34679628314-3515063219</v>
      </c>
      <c r="J795" s="7" t="str">
        <f>IFERROR(__xludf.DUMMYFUNCTION("""COMPUTED_VALUE"""),"Voy al gym Manantial")</f>
        <v>Voy al gym Manantial</v>
      </c>
      <c r="K795" s="7" t="str">
        <f>IFERROR(__xludf.DUMMYFUNCTION("""COMPUTED_VALUE"""),"Particular")</f>
        <v>Particular</v>
      </c>
      <c r="L795" s="7"/>
      <c r="M795" s="7" t="str">
        <f>IFERROR(__xludf.DUMMYFUNCTION("""COMPUTED_VALUE"""),"Si")</f>
        <v>Si</v>
      </c>
      <c r="N795" s="7" t="str">
        <f>IFERROR(__xludf.DUMMYFUNCTION("""COMPUTED_VALUE"""),"Gimnasio")</f>
        <v>Gimnasio</v>
      </c>
      <c r="O795" s="7" t="str">
        <f>IFERROR(__xludf.DUMMYFUNCTION("""COMPUTED_VALUE"""),"1 a 2 veces por semana")</f>
        <v>1 a 2 veces por semana</v>
      </c>
      <c r="P795" s="7"/>
      <c r="Q795" s="7"/>
      <c r="R795" s="7"/>
      <c r="S795" s="7"/>
    </row>
    <row r="796">
      <c r="A796" s="7" t="str">
        <f t="shared" si="1"/>
        <v>Kwiecien, Adriana Graciela </v>
      </c>
      <c r="B796" s="7">
        <f>SUMIFS('bd caja'!$K$1:$K$1012,'bd caja'!$D$1:$D$1012,A796)</f>
        <v>0</v>
      </c>
      <c r="C796" s="19">
        <f>IFERROR(__xludf.DUMMYFUNCTION("""COMPUTED_VALUE"""),45635.65956346065)</f>
        <v>45635.65956</v>
      </c>
      <c r="D796" s="7" t="str">
        <f>IFERROR(__xludf.DUMMYFUNCTION("""COMPUTED_VALUE"""),"Kwiecien")</f>
        <v>Kwiecien</v>
      </c>
      <c r="E796" s="7" t="str">
        <f>IFERROR(__xludf.DUMMYFUNCTION("""COMPUTED_VALUE"""),"Adriana Graciela ")</f>
        <v>Adriana Graciela </v>
      </c>
      <c r="F796" s="7" t="str">
        <f>IFERROR(__xludf.DUMMYFUNCTION("""COMPUTED_VALUE"""),"adriana_graciela09@hotmail.com")</f>
        <v>adriana_graciela09@hotmail.com</v>
      </c>
      <c r="G796" s="20">
        <f>IFERROR(__xludf.DUMMYFUNCTION("""COMPUTED_VALUE"""),20514.0)</f>
        <v>20514</v>
      </c>
      <c r="H796" s="7">
        <f>IFERROR(__xludf.DUMMYFUNCTION("""COMPUTED_VALUE"""),1.2245397E7)</f>
        <v>12245397</v>
      </c>
      <c r="I796" s="7">
        <f>IFERROR(__xludf.DUMMYFUNCTION("""COMPUTED_VALUE"""),3.512366066E9)</f>
        <v>3512366066</v>
      </c>
      <c r="J796" s="7" t="str">
        <f>IFERROR(__xludf.DUMMYFUNCTION("""COMPUTED_VALUE"""),"Recomendación")</f>
        <v>Recomendación</v>
      </c>
      <c r="K796" s="7" t="str">
        <f>IFERROR(__xludf.DUMMYFUNCTION("""COMPUTED_VALUE"""),"Obra social")</f>
        <v>Obra social</v>
      </c>
      <c r="L796" s="7"/>
      <c r="M796" s="7" t="str">
        <f>IFERROR(__xludf.DUMMYFUNCTION("""COMPUTED_VALUE"""),"Si")</f>
        <v>Si</v>
      </c>
      <c r="N796" s="7" t="str">
        <f>IFERROR(__xludf.DUMMYFUNCTION("""COMPUTED_VALUE"""),"Pileta")</f>
        <v>Pileta</v>
      </c>
      <c r="O796" s="7" t="str">
        <f>IFERROR(__xludf.DUMMYFUNCTION("""COMPUTED_VALUE"""),"1 a 2 veces por semana")</f>
        <v>1 a 2 veces por semana</v>
      </c>
      <c r="P796" s="7"/>
      <c r="Q796" s="7" t="str">
        <f>IFERROR(__xludf.DUMMYFUNCTION("""COMPUTED_VALUE"""),"APROSS")</f>
        <v>APROSS</v>
      </c>
      <c r="R796" s="7"/>
      <c r="S796" s="7"/>
    </row>
    <row r="797">
      <c r="A797" s="7" t="str">
        <f t="shared" si="1"/>
        <v>Ledesma, Sebastián</v>
      </c>
      <c r="B797" s="7">
        <f>SUMIFS('bd caja'!$K$1:$K$1012,'bd caja'!$D$1:$D$1012,A797)</f>
        <v>0</v>
      </c>
      <c r="C797" s="19">
        <f>IFERROR(__xludf.DUMMYFUNCTION("""COMPUTED_VALUE"""),45635.789426655094)</f>
        <v>45635.78943</v>
      </c>
      <c r="D797" s="7" t="str">
        <f>IFERROR(__xludf.DUMMYFUNCTION("""COMPUTED_VALUE"""),"Ledesma")</f>
        <v>Ledesma</v>
      </c>
      <c r="E797" s="7" t="str">
        <f>IFERROR(__xludf.DUMMYFUNCTION("""COMPUTED_VALUE"""),"Sebastián")</f>
        <v>Sebastián</v>
      </c>
      <c r="F797" s="7" t="str">
        <f>IFERROR(__xludf.DUMMYFUNCTION("""COMPUTED_VALUE"""),"Ledesmasebastian@hotmail.es")</f>
        <v>Ledesmasebastian@hotmail.es</v>
      </c>
      <c r="G797" s="20">
        <f>IFERROR(__xludf.DUMMYFUNCTION("""COMPUTED_VALUE"""),27445.0)</f>
        <v>27445</v>
      </c>
      <c r="H797" s="7">
        <f>IFERROR(__xludf.DUMMYFUNCTION("""COMPUTED_VALUE"""),2.4318363E7)</f>
        <v>24318363</v>
      </c>
      <c r="I797" s="7">
        <f>IFERROR(__xludf.DUMMYFUNCTION("""COMPUTED_VALUE"""),3.516191977E9)</f>
        <v>3516191977</v>
      </c>
      <c r="J797" s="7" t="str">
        <f>IFERROR(__xludf.DUMMYFUNCTION("""COMPUTED_VALUE"""),"Cartilla Obra Social")</f>
        <v>Cartilla Obra Social</v>
      </c>
      <c r="K797" s="7" t="str">
        <f>IFERROR(__xludf.DUMMYFUNCTION("""COMPUTED_VALUE"""),"Obra social")</f>
        <v>Obra social</v>
      </c>
      <c r="L797" s="7"/>
      <c r="M797" s="7" t="str">
        <f>IFERROR(__xludf.DUMMYFUNCTION("""COMPUTED_VALUE"""),"No")</f>
        <v>No</v>
      </c>
      <c r="N797" s="7"/>
      <c r="O797" s="7"/>
      <c r="P797" s="7"/>
      <c r="Q797" s="7" t="str">
        <f>IFERROR(__xludf.DUMMYFUNCTION("""COMPUTED_VALUE"""),"Boreal")</f>
        <v>Boreal</v>
      </c>
      <c r="R797" s="7"/>
      <c r="S797" s="7"/>
    </row>
    <row r="798">
      <c r="A798" s="7" t="str">
        <f t="shared" si="1"/>
        <v>Ledesma, Sebastian</v>
      </c>
      <c r="B798" s="7">
        <f>SUMIFS('bd caja'!$K$1:$K$1012,'bd caja'!$D$1:$D$1012,A798)</f>
        <v>0</v>
      </c>
      <c r="C798" s="19">
        <f>IFERROR(__xludf.DUMMYFUNCTION("""COMPUTED_VALUE"""),45635.79125086806)</f>
        <v>45635.79125</v>
      </c>
      <c r="D798" s="7" t="str">
        <f>IFERROR(__xludf.DUMMYFUNCTION("""COMPUTED_VALUE"""),"Ledesma")</f>
        <v>Ledesma</v>
      </c>
      <c r="E798" s="7" t="str">
        <f>IFERROR(__xludf.DUMMYFUNCTION("""COMPUTED_VALUE"""),"Sebastian")</f>
        <v>Sebastian</v>
      </c>
      <c r="F798" s="7" t="str">
        <f>IFERROR(__xludf.DUMMYFUNCTION("""COMPUTED_VALUE"""),"ledesmasebastian@hotmail.es")</f>
        <v>ledesmasebastian@hotmail.es</v>
      </c>
      <c r="G798" s="20">
        <f>IFERROR(__xludf.DUMMYFUNCTION("""COMPUTED_VALUE"""),27445.0)</f>
        <v>27445</v>
      </c>
      <c r="H798" s="7">
        <f>IFERROR(__xludf.DUMMYFUNCTION("""COMPUTED_VALUE"""),2.4318363E7)</f>
        <v>24318363</v>
      </c>
      <c r="I798" s="7">
        <f>IFERROR(__xludf.DUMMYFUNCTION("""COMPUTED_VALUE"""),3.516191977E9)</f>
        <v>3516191977</v>
      </c>
      <c r="J798" s="7" t="str">
        <f>IFERROR(__xludf.DUMMYFUNCTION("""COMPUTED_VALUE"""),"Cartilla Obra Social")</f>
        <v>Cartilla Obra Social</v>
      </c>
      <c r="K798" s="7" t="str">
        <f>IFERROR(__xludf.DUMMYFUNCTION("""COMPUTED_VALUE"""),"Obra social")</f>
        <v>Obra social</v>
      </c>
      <c r="L798" s="7"/>
      <c r="M798" s="7" t="str">
        <f>IFERROR(__xludf.DUMMYFUNCTION("""COMPUTED_VALUE"""),"No")</f>
        <v>No</v>
      </c>
      <c r="N798" s="7"/>
      <c r="O798" s="7"/>
      <c r="P798" s="7"/>
      <c r="Q798" s="7" t="str">
        <f>IFERROR(__xludf.DUMMYFUNCTION("""COMPUTED_VALUE"""),"Boreal")</f>
        <v>Boreal</v>
      </c>
      <c r="R798" s="7"/>
      <c r="S798" s="7"/>
    </row>
    <row r="799">
      <c r="A799" s="7" t="str">
        <f t="shared" si="1"/>
        <v>Anain, Juan</v>
      </c>
      <c r="B799" s="7">
        <f>SUMIFS('bd caja'!$K$1:$K$1012,'bd caja'!$D$1:$D$1012,A799)</f>
        <v>0</v>
      </c>
      <c r="C799" s="19">
        <f>IFERROR(__xludf.DUMMYFUNCTION("""COMPUTED_VALUE"""),45636.44899597223)</f>
        <v>45636.449</v>
      </c>
      <c r="D799" s="7" t="str">
        <f>IFERROR(__xludf.DUMMYFUNCTION("""COMPUTED_VALUE"""),"Anain")</f>
        <v>Anain</v>
      </c>
      <c r="E799" s="7" t="str">
        <f>IFERROR(__xludf.DUMMYFUNCTION("""COMPUTED_VALUE"""),"Juan")</f>
        <v>Juan</v>
      </c>
      <c r="F799" s="7" t="str">
        <f>IFERROR(__xludf.DUMMYFUNCTION("""COMPUTED_VALUE"""),"juanchi107@hotmail.com")</f>
        <v>juanchi107@hotmail.com</v>
      </c>
      <c r="G799" s="20">
        <f>IFERROR(__xludf.DUMMYFUNCTION("""COMPUTED_VALUE"""),29748.0)</f>
        <v>29748</v>
      </c>
      <c r="H799" s="7">
        <f>IFERROR(__xludf.DUMMYFUNCTION("""COMPUTED_VALUE"""),2.8850674E7)</f>
        <v>28850674</v>
      </c>
      <c r="I799" s="7">
        <f>IFERROR(__xludf.DUMMYFUNCTION("""COMPUTED_VALUE"""),3.516778033E9)</f>
        <v>3516778033</v>
      </c>
      <c r="J799" s="7" t="str">
        <f>IFERROR(__xludf.DUMMYFUNCTION("""COMPUTED_VALUE"""),"Gym Gauss")</f>
        <v>Gym Gauss</v>
      </c>
      <c r="K799" s="7" t="str">
        <f>IFERROR(__xludf.DUMMYFUNCTION("""COMPUTED_VALUE"""),"Obra social")</f>
        <v>Obra social</v>
      </c>
      <c r="L799" s="7"/>
      <c r="M799" s="7" t="str">
        <f>IFERROR(__xludf.DUMMYFUNCTION("""COMPUTED_VALUE"""),"Si")</f>
        <v>Si</v>
      </c>
      <c r="N799" s="7" t="str">
        <f>IFERROR(__xludf.DUMMYFUNCTION("""COMPUTED_VALUE"""),"Running")</f>
        <v>Running</v>
      </c>
      <c r="O799" s="7" t="str">
        <f>IFERROR(__xludf.DUMMYFUNCTION("""COMPUTED_VALUE"""),"3 a 5 veces por semana")</f>
        <v>3 a 5 veces por semana</v>
      </c>
      <c r="P799" s="7"/>
      <c r="Q799" s="7" t="str">
        <f>IFERROR(__xludf.DUMMYFUNCTION("""COMPUTED_VALUE"""),"SANCOR")</f>
        <v>SANCOR</v>
      </c>
      <c r="R799" s="7"/>
      <c r="S799" s="7"/>
    </row>
    <row r="800">
      <c r="A800" s="7" t="str">
        <f t="shared" si="1"/>
        <v>Bonifay, Ary</v>
      </c>
      <c r="B800" s="7">
        <f>SUMIFS('bd caja'!$K$1:$K$1012,'bd caja'!$D$1:$D$1012,A800)</f>
        <v>0</v>
      </c>
      <c r="C800" s="19">
        <f>IFERROR(__xludf.DUMMYFUNCTION("""COMPUTED_VALUE"""),45636.466414780094)</f>
        <v>45636.46641</v>
      </c>
      <c r="D800" s="7" t="str">
        <f>IFERROR(__xludf.DUMMYFUNCTION("""COMPUTED_VALUE"""),"Bonifay")</f>
        <v>Bonifay</v>
      </c>
      <c r="E800" s="7" t="str">
        <f>IFERROR(__xludf.DUMMYFUNCTION("""COMPUTED_VALUE"""),"Ary")</f>
        <v>Ary</v>
      </c>
      <c r="F800" s="7" t="str">
        <f>IFERROR(__xludf.DUMMYFUNCTION("""COMPUTED_VALUE"""),"ary.bonifay@gmail.com")</f>
        <v>ary.bonifay@gmail.com</v>
      </c>
      <c r="G800" s="20">
        <f>IFERROR(__xludf.DUMMYFUNCTION("""COMPUTED_VALUE"""),30736.0)</f>
        <v>30736</v>
      </c>
      <c r="H800" s="7">
        <f>IFERROR(__xludf.DUMMYFUNCTION("""COMPUTED_VALUE"""),3.0846039E7)</f>
        <v>30846039</v>
      </c>
      <c r="I800" s="7">
        <f>IFERROR(__xludf.DUMMYFUNCTION("""COMPUTED_VALUE"""),3.513974867E9)</f>
        <v>3513974867</v>
      </c>
      <c r="J800" s="7" t="str">
        <f>IFERROR(__xludf.DUMMYFUNCTION("""COMPUTED_VALUE"""),"Ya me había rehabilitado anteriormente")</f>
        <v>Ya me había rehabilitado anteriormente</v>
      </c>
      <c r="K800" s="7" t="str">
        <f>IFERROR(__xludf.DUMMYFUNCTION("""COMPUTED_VALUE"""),"Obra social")</f>
        <v>Obra social</v>
      </c>
      <c r="L800" s="7"/>
      <c r="M800" s="7" t="str">
        <f>IFERROR(__xludf.DUMMYFUNCTION("""COMPUTED_VALUE"""),"Si")</f>
        <v>Si</v>
      </c>
      <c r="N800" s="7" t="str">
        <f>IFERROR(__xludf.DUMMYFUNCTION("""COMPUTED_VALUE"""),"Gimnasio")</f>
        <v>Gimnasio</v>
      </c>
      <c r="O800" s="7" t="str">
        <f>IFERROR(__xludf.DUMMYFUNCTION("""COMPUTED_VALUE"""),"3 a 5 veces por semana")</f>
        <v>3 a 5 veces por semana</v>
      </c>
      <c r="P800" s="7"/>
      <c r="Q800" s="7" t="str">
        <f>IFERROR(__xludf.DUMMYFUNCTION("""COMPUTED_VALUE"""),"SWISS")</f>
        <v>SWISS</v>
      </c>
      <c r="R800" s="7"/>
      <c r="S800" s="7"/>
    </row>
    <row r="801">
      <c r="A801" s="7" t="str">
        <f t="shared" si="1"/>
        <v>Ortiz, Mateo</v>
      </c>
      <c r="B801" s="7">
        <f>SUMIFS('bd caja'!$K$1:$K$1012,'bd caja'!$D$1:$D$1012,A801)</f>
        <v>0</v>
      </c>
      <c r="C801" s="19">
        <f>IFERROR(__xludf.DUMMYFUNCTION("""COMPUTED_VALUE"""),45636.467267685184)</f>
        <v>45636.46727</v>
      </c>
      <c r="D801" s="7" t="str">
        <f>IFERROR(__xludf.DUMMYFUNCTION("""COMPUTED_VALUE"""),"Ortiz")</f>
        <v>Ortiz</v>
      </c>
      <c r="E801" s="7" t="str">
        <f>IFERROR(__xludf.DUMMYFUNCTION("""COMPUTED_VALUE"""),"Mateo")</f>
        <v>Mateo</v>
      </c>
      <c r="F801" s="7" t="str">
        <f>IFERROR(__xludf.DUMMYFUNCTION("""COMPUTED_VALUE"""),"jmoberto2019@gmail.com")</f>
        <v>jmoberto2019@gmail.com</v>
      </c>
      <c r="G801" s="20">
        <f>IFERROR(__xludf.DUMMYFUNCTION("""COMPUTED_VALUE"""),35783.0)</f>
        <v>35783</v>
      </c>
      <c r="H801" s="7">
        <f>IFERROR(__xludf.DUMMYFUNCTION("""COMPUTED_VALUE"""),4.075069E7)</f>
        <v>40750690</v>
      </c>
      <c r="I801" s="7">
        <f>IFERROR(__xludf.DUMMYFUNCTION("""COMPUTED_VALUE"""),3.515317299E9)</f>
        <v>3515317299</v>
      </c>
      <c r="J801" s="7" t="str">
        <f>IFERROR(__xludf.DUMMYFUNCTION("""COMPUTED_VALUE"""),"Recomendación")</f>
        <v>Recomendación</v>
      </c>
      <c r="K801" s="7" t="str">
        <f>IFERROR(__xludf.DUMMYFUNCTION("""COMPUTED_VALUE"""),"Particular")</f>
        <v>Particular</v>
      </c>
      <c r="L801" s="7"/>
      <c r="M801" s="7" t="str">
        <f>IFERROR(__xludf.DUMMYFUNCTION("""COMPUTED_VALUE"""),"Si")</f>
        <v>Si</v>
      </c>
      <c r="N801" s="7" t="str">
        <f>IFERROR(__xludf.DUMMYFUNCTION("""COMPUTED_VALUE"""),"Fútbol")</f>
        <v>Fútbol</v>
      </c>
      <c r="O801" s="7" t="str">
        <f>IFERROR(__xludf.DUMMYFUNCTION("""COMPUTED_VALUE"""),"3 a 5 veces por semana")</f>
        <v>3 a 5 veces por semana</v>
      </c>
      <c r="P801" s="7"/>
      <c r="Q801" s="7"/>
      <c r="R801" s="7"/>
      <c r="S801" s="7"/>
    </row>
    <row r="802">
      <c r="A802" s="7" t="str">
        <f t="shared" si="1"/>
        <v>Delgado, Matias</v>
      </c>
      <c r="B802" s="7">
        <f>SUMIFS('bd caja'!$K$1:$K$1012,'bd caja'!$D$1:$D$1012,A802)</f>
        <v>0</v>
      </c>
      <c r="C802" s="19">
        <f>IFERROR(__xludf.DUMMYFUNCTION("""COMPUTED_VALUE"""),45638.64498646991)</f>
        <v>45638.64499</v>
      </c>
      <c r="D802" s="7" t="str">
        <f>IFERROR(__xludf.DUMMYFUNCTION("""COMPUTED_VALUE"""),"Delgado")</f>
        <v>Delgado</v>
      </c>
      <c r="E802" s="7" t="str">
        <f>IFERROR(__xludf.DUMMYFUNCTION("""COMPUTED_VALUE"""),"Matias")</f>
        <v>Matias</v>
      </c>
      <c r="F802" s="7" t="str">
        <f>IFERROR(__xludf.DUMMYFUNCTION("""COMPUTED_VALUE"""),"matiasdelgado98@hotmail.com")</f>
        <v>matiasdelgado98@hotmail.com</v>
      </c>
      <c r="G802" s="20">
        <f>IFERROR(__xludf.DUMMYFUNCTION("""COMPUTED_VALUE"""),35829.0)</f>
        <v>35829</v>
      </c>
      <c r="H802" s="7">
        <f>IFERROR(__xludf.DUMMYFUNCTION("""COMPUTED_VALUE"""),4.0940539E7)</f>
        <v>40940539</v>
      </c>
      <c r="I802" s="7">
        <f>IFERROR(__xludf.DUMMYFUNCTION("""COMPUTED_VALUE"""),2.645155548E9)</f>
        <v>2645155548</v>
      </c>
      <c r="J802" s="7" t="str">
        <f>IFERROR(__xludf.DUMMYFUNCTION("""COMPUTED_VALUE"""),"Google")</f>
        <v>Google</v>
      </c>
      <c r="K802" s="7" t="str">
        <f>IFERROR(__xludf.DUMMYFUNCTION("""COMPUTED_VALUE"""),"Obra social")</f>
        <v>Obra social</v>
      </c>
      <c r="L802" s="7"/>
      <c r="M802" s="7" t="str">
        <f>IFERROR(__xludf.DUMMYFUNCTION("""COMPUTED_VALUE"""),"Si")</f>
        <v>Si</v>
      </c>
      <c r="N802" s="7" t="str">
        <f>IFERROR(__xludf.DUMMYFUNCTION("""COMPUTED_VALUE"""),"Natacion + Ejercicios de pesas en casa")</f>
        <v>Natacion + Ejercicios de pesas en casa</v>
      </c>
      <c r="O802" s="7" t="str">
        <f>IFERROR(__xludf.DUMMYFUNCTION("""COMPUTED_VALUE"""),"3 a 5 veces por semana")</f>
        <v>3 a 5 veces por semana</v>
      </c>
      <c r="P802" s="7"/>
      <c r="Q802" s="7" t="str">
        <f>IFERROR(__xludf.DUMMYFUNCTION("""COMPUTED_VALUE"""),"Medife")</f>
        <v>Medife</v>
      </c>
      <c r="R802" s="7"/>
      <c r="S802" s="7"/>
    </row>
    <row r="803">
      <c r="A803" s="7" t="str">
        <f t="shared" si="1"/>
        <v>Parcher, Ileana</v>
      </c>
      <c r="B803" s="7">
        <f>SUMIFS('bd caja'!$K$1:$K$1012,'bd caja'!$D$1:$D$1012,A803)</f>
        <v>0</v>
      </c>
      <c r="C803" s="19">
        <f>IFERROR(__xludf.DUMMYFUNCTION("""COMPUTED_VALUE"""),45642.82413304398)</f>
        <v>45642.82413</v>
      </c>
      <c r="D803" s="7" t="str">
        <f>IFERROR(__xludf.DUMMYFUNCTION("""COMPUTED_VALUE"""),"Parcher")</f>
        <v>Parcher</v>
      </c>
      <c r="E803" s="7" t="str">
        <f>IFERROR(__xludf.DUMMYFUNCTION("""COMPUTED_VALUE"""),"Ileana")</f>
        <v>Ileana</v>
      </c>
      <c r="F803" s="7" t="str">
        <f>IFERROR(__xludf.DUMMYFUNCTION("""COMPUTED_VALUE"""),"ileanaparcher@yahoo.com.ar")</f>
        <v>ileanaparcher@yahoo.com.ar</v>
      </c>
      <c r="G803" s="20">
        <f>IFERROR(__xludf.DUMMYFUNCTION("""COMPUTED_VALUE"""),26151.0)</f>
        <v>26151</v>
      </c>
      <c r="H803" s="7">
        <f>IFERROR(__xludf.DUMMYFUNCTION("""COMPUTED_VALUE"""),2.191291E7)</f>
        <v>21912910</v>
      </c>
      <c r="I803" s="7">
        <f>IFERROR(__xludf.DUMMYFUNCTION("""COMPUTED_VALUE"""),3.515281211E9)</f>
        <v>3515281211</v>
      </c>
      <c r="J803" s="7" t="str">
        <f>IFERROR(__xludf.DUMMYFUNCTION("""COMPUTED_VALUE"""),"Recomendación")</f>
        <v>Recomendación</v>
      </c>
      <c r="K803" s="7" t="str">
        <f>IFERROR(__xludf.DUMMYFUNCTION("""COMPUTED_VALUE"""),"Obra social")</f>
        <v>Obra social</v>
      </c>
      <c r="L803" s="7"/>
      <c r="M803" s="7" t="str">
        <f>IFERROR(__xludf.DUMMYFUNCTION("""COMPUTED_VALUE"""),"No")</f>
        <v>No</v>
      </c>
      <c r="N803" s="7"/>
      <c r="O803" s="7"/>
      <c r="P803" s="7"/>
      <c r="Q803" s="7" t="str">
        <f>IFERROR(__xludf.DUMMYFUNCTION("""COMPUTED_VALUE"""),"DASPU")</f>
        <v>DASPU</v>
      </c>
      <c r="R803" s="7"/>
      <c r="S803" s="7"/>
    </row>
    <row r="804">
      <c r="A804" s="7" t="str">
        <f t="shared" si="1"/>
        <v>Fernandez, Gaston</v>
      </c>
      <c r="B804" s="7">
        <f>SUMIFS('bd caja'!$K$1:$K$1012,'bd caja'!$D$1:$D$1012,A804)</f>
        <v>0</v>
      </c>
      <c r="C804" s="19">
        <f>IFERROR(__xludf.DUMMYFUNCTION("""COMPUTED_VALUE"""),45643.76677138889)</f>
        <v>45643.76677</v>
      </c>
      <c r="D804" s="7" t="str">
        <f>IFERROR(__xludf.DUMMYFUNCTION("""COMPUTED_VALUE"""),"Fernandez")</f>
        <v>Fernandez</v>
      </c>
      <c r="E804" s="7" t="str">
        <f>IFERROR(__xludf.DUMMYFUNCTION("""COMPUTED_VALUE"""),"Gaston")</f>
        <v>Gaston</v>
      </c>
      <c r="F804" s="7"/>
      <c r="G804" s="20">
        <f>IFERROR(__xludf.DUMMYFUNCTION("""COMPUTED_VALUE"""),30520.0)</f>
        <v>30520</v>
      </c>
      <c r="H804" s="7">
        <f>IFERROR(__xludf.DUMMYFUNCTION("""COMPUTED_VALUE"""),3.0272221E7)</f>
        <v>30272221</v>
      </c>
      <c r="I804" s="7">
        <f>IFERROR(__xludf.DUMMYFUNCTION("""COMPUTED_VALUE"""),3.51510907E9)</f>
        <v>3515109070</v>
      </c>
      <c r="J804" s="7" t="str">
        <f>IFERROR(__xludf.DUMMYFUNCTION("""COMPUTED_VALUE"""),"Recomendación")</f>
        <v>Recomendación</v>
      </c>
      <c r="K804" s="7" t="str">
        <f>IFERROR(__xludf.DUMMYFUNCTION("""COMPUTED_VALUE"""),"Particular")</f>
        <v>Particular</v>
      </c>
      <c r="L804" s="7"/>
      <c r="M804" s="7" t="str">
        <f>IFERROR(__xludf.DUMMYFUNCTION("""COMPUTED_VALUE"""),"Si")</f>
        <v>Si</v>
      </c>
      <c r="N804" s="7" t="str">
        <f>IFERROR(__xludf.DUMMYFUNCTION("""COMPUTED_VALUE"""),"Gimnasio")</f>
        <v>Gimnasio</v>
      </c>
      <c r="O804" s="7" t="str">
        <f>IFERROR(__xludf.DUMMYFUNCTION("""COMPUTED_VALUE"""),"3 a 5 veces por semana")</f>
        <v>3 a 5 veces por semana</v>
      </c>
      <c r="P804" s="7"/>
      <c r="Q804" s="7"/>
      <c r="R804" s="7"/>
      <c r="S804" s="7"/>
    </row>
    <row r="805">
      <c r="A805" s="7" t="str">
        <f t="shared" si="1"/>
        <v>Rossi, Horacio</v>
      </c>
      <c r="B805" s="7">
        <f>SUMIFS('bd caja'!$K$1:$K$1012,'bd caja'!$D$1:$D$1012,A805)</f>
        <v>0</v>
      </c>
      <c r="C805" s="19">
        <f>IFERROR(__xludf.DUMMYFUNCTION("""COMPUTED_VALUE"""),45644.51095445602)</f>
        <v>45644.51095</v>
      </c>
      <c r="D805" s="7" t="str">
        <f>IFERROR(__xludf.DUMMYFUNCTION("""COMPUTED_VALUE"""),"Rossi")</f>
        <v>Rossi</v>
      </c>
      <c r="E805" s="7" t="str">
        <f>IFERROR(__xludf.DUMMYFUNCTION("""COMPUTED_VALUE"""),"Horacio")</f>
        <v>Horacio</v>
      </c>
      <c r="F805" s="7"/>
      <c r="G805" s="20">
        <f>IFERROR(__xludf.DUMMYFUNCTION("""COMPUTED_VALUE"""),27950.0)</f>
        <v>27950</v>
      </c>
      <c r="H805" s="7">
        <f>IFERROR(__xludf.DUMMYFUNCTION("""COMPUTED_VALUE"""),2.5170473E7)</f>
        <v>25170473</v>
      </c>
      <c r="I805" s="7">
        <f>IFERROR(__xludf.DUMMYFUNCTION("""COMPUTED_VALUE"""),3.472438312E9)</f>
        <v>3472438312</v>
      </c>
      <c r="J805" s="7" t="str">
        <f>IFERROR(__xludf.DUMMYFUNCTION("""COMPUTED_VALUE"""),"Recomendación")</f>
        <v>Recomendación</v>
      </c>
      <c r="K805" s="7" t="str">
        <f>IFERROR(__xludf.DUMMYFUNCTION("""COMPUTED_VALUE"""),"Obra social")</f>
        <v>Obra social</v>
      </c>
      <c r="L805" s="7"/>
      <c r="M805" s="7" t="str">
        <f>IFERROR(__xludf.DUMMYFUNCTION("""COMPUTED_VALUE"""),"Si")</f>
        <v>Si</v>
      </c>
      <c r="N805" s="7"/>
      <c r="O805" s="7" t="str">
        <f>IFERROR(__xludf.DUMMYFUNCTION("""COMPUTED_VALUE"""),"1 a 2 veces por semana")</f>
        <v>1 a 2 veces por semana</v>
      </c>
      <c r="P805" s="7"/>
      <c r="Q805" s="7" t="str">
        <f>IFERROR(__xludf.DUMMYFUNCTION("""COMPUTED_VALUE"""),"PREVENCIÓN")</f>
        <v>PREVENCIÓN</v>
      </c>
      <c r="R805" s="7"/>
      <c r="S805" s="7"/>
    </row>
    <row r="806">
      <c r="A806" s="7" t="str">
        <f t="shared" si="1"/>
        <v>Orso, Estela</v>
      </c>
      <c r="B806" s="7">
        <f>SUMIFS('bd caja'!$K$1:$K$1012,'bd caja'!$D$1:$D$1012,A806)</f>
        <v>0</v>
      </c>
      <c r="C806" s="19">
        <f>IFERROR(__xludf.DUMMYFUNCTION("""COMPUTED_VALUE"""),45644.69060074074)</f>
        <v>45644.6906</v>
      </c>
      <c r="D806" s="7" t="str">
        <f>IFERROR(__xludf.DUMMYFUNCTION("""COMPUTED_VALUE"""),"Orso")</f>
        <v>Orso</v>
      </c>
      <c r="E806" s="7" t="str">
        <f>IFERROR(__xludf.DUMMYFUNCTION("""COMPUTED_VALUE"""),"Estela")</f>
        <v>Estela</v>
      </c>
      <c r="F806" s="7" t="str">
        <f>IFERROR(__xludf.DUMMYFUNCTION("""COMPUTED_VALUE"""),"Estela_orso@hotmail.com")</f>
        <v>Estela_orso@hotmail.com</v>
      </c>
      <c r="G806" s="20">
        <f>IFERROR(__xludf.DUMMYFUNCTION("""COMPUTED_VALUE"""),15935.0)</f>
        <v>15935</v>
      </c>
      <c r="H806" s="7">
        <f>IFERROR(__xludf.DUMMYFUNCTION("""COMPUTED_VALUE"""),4788714.0)</f>
        <v>4788714</v>
      </c>
      <c r="I806" s="7">
        <f>IFERROR(__xludf.DUMMYFUNCTION("""COMPUTED_VALUE"""),3.517020966E9)</f>
        <v>3517020966</v>
      </c>
      <c r="J806" s="7" t="str">
        <f>IFERROR(__xludf.DUMMYFUNCTION("""COMPUTED_VALUE"""),"Recomendación")</f>
        <v>Recomendación</v>
      </c>
      <c r="K806" s="7" t="str">
        <f>IFERROR(__xludf.DUMMYFUNCTION("""COMPUTED_VALUE"""),"Particular")</f>
        <v>Particular</v>
      </c>
      <c r="L806" s="7"/>
      <c r="M806" s="7" t="str">
        <f>IFERROR(__xludf.DUMMYFUNCTION("""COMPUTED_VALUE"""),"Si")</f>
        <v>Si</v>
      </c>
      <c r="N806" s="7" t="str">
        <f>IFERROR(__xludf.DUMMYFUNCTION("""COMPUTED_VALUE"""),"Yoga")</f>
        <v>Yoga</v>
      </c>
      <c r="O806" s="7" t="str">
        <f>IFERROR(__xludf.DUMMYFUNCTION("""COMPUTED_VALUE"""),"1 a 2 veces por semana")</f>
        <v>1 a 2 veces por semana</v>
      </c>
      <c r="P806" s="7"/>
      <c r="Q806" s="7"/>
      <c r="R806" s="7"/>
      <c r="S806" s="7"/>
    </row>
    <row r="807">
      <c r="A807" s="7" t="str">
        <f t="shared" si="1"/>
        <v>Benetti, Andres</v>
      </c>
      <c r="B807" s="7">
        <f>SUMIFS('bd caja'!$K$1:$K$1012,'bd caja'!$D$1:$D$1012,A807)</f>
        <v>0</v>
      </c>
      <c r="C807" s="19">
        <f>IFERROR(__xludf.DUMMYFUNCTION("""COMPUTED_VALUE"""),45644.741267881946)</f>
        <v>45644.74127</v>
      </c>
      <c r="D807" s="7" t="str">
        <f>IFERROR(__xludf.DUMMYFUNCTION("""COMPUTED_VALUE"""),"Benetti")</f>
        <v>Benetti</v>
      </c>
      <c r="E807" s="7" t="str">
        <f>IFERROR(__xludf.DUMMYFUNCTION("""COMPUTED_VALUE"""),"Andres")</f>
        <v>Andres</v>
      </c>
      <c r="F807" s="7" t="str">
        <f>IFERROR(__xludf.DUMMYFUNCTION("""COMPUTED_VALUE"""),"-")</f>
        <v>-</v>
      </c>
      <c r="G807" s="20">
        <f>IFERROR(__xludf.DUMMYFUNCTION("""COMPUTED_VALUE"""),29361.0)</f>
        <v>29361</v>
      </c>
      <c r="H807" s="7">
        <f>IFERROR(__xludf.DUMMYFUNCTION("""COMPUTED_VALUE"""),2.8112846E7)</f>
        <v>28112846</v>
      </c>
      <c r="I807" s="7">
        <f>IFERROR(__xludf.DUMMYFUNCTION("""COMPUTED_VALUE"""),3.516617833E9)</f>
        <v>3516617833</v>
      </c>
      <c r="J807" s="7" t="str">
        <f>IFERROR(__xludf.DUMMYFUNCTION("""COMPUTED_VALUE"""),"Voy al gym Manantial")</f>
        <v>Voy al gym Manantial</v>
      </c>
      <c r="K807" s="7" t="str">
        <f>IFERROR(__xludf.DUMMYFUNCTION("""COMPUTED_VALUE"""),"Particular")</f>
        <v>Particular</v>
      </c>
      <c r="L807" s="7"/>
      <c r="M807" s="7" t="str">
        <f>IFERROR(__xludf.DUMMYFUNCTION("""COMPUTED_VALUE"""),"Si")</f>
        <v>Si</v>
      </c>
      <c r="N807" s="7" t="str">
        <f>IFERROR(__xludf.DUMMYFUNCTION("""COMPUTED_VALUE"""),"Tennis y Gim")</f>
        <v>Tennis y Gim</v>
      </c>
      <c r="O807" s="7" t="str">
        <f>IFERROR(__xludf.DUMMYFUNCTION("""COMPUTED_VALUE"""),"3 a 5 veces por semana")</f>
        <v>3 a 5 veces por semana</v>
      </c>
      <c r="P807" s="7"/>
      <c r="Q807" s="7"/>
      <c r="R807" s="7"/>
      <c r="S807" s="7"/>
    </row>
    <row r="808">
      <c r="A808" s="7" t="str">
        <f t="shared" si="1"/>
        <v>GOLDBERG, Ivo</v>
      </c>
      <c r="B808" s="7">
        <f>SUMIFS('bd caja'!$K$1:$K$1012,'bd caja'!$D$1:$D$1012,A808)</f>
        <v>0</v>
      </c>
      <c r="C808" s="19">
        <f>IFERROR(__xludf.DUMMYFUNCTION("""COMPUTED_VALUE"""),45644.75151511574)</f>
        <v>45644.75152</v>
      </c>
      <c r="D808" s="7" t="str">
        <f>IFERROR(__xludf.DUMMYFUNCTION("""COMPUTED_VALUE"""),"GOLDBERG")</f>
        <v>GOLDBERG</v>
      </c>
      <c r="E808" s="7" t="str">
        <f>IFERROR(__xludf.DUMMYFUNCTION("""COMPUTED_VALUE"""),"Ivo")</f>
        <v>Ivo</v>
      </c>
      <c r="F808" s="7" t="str">
        <f>IFERROR(__xludf.DUMMYFUNCTION("""COMPUTED_VALUE"""),"-")</f>
        <v>-</v>
      </c>
      <c r="G808" s="20">
        <f>IFERROR(__xludf.DUMMYFUNCTION("""COMPUTED_VALUE"""),34366.0)</f>
        <v>34366</v>
      </c>
      <c r="H808" s="7">
        <f>IFERROR(__xludf.DUMMYFUNCTION("""COMPUTED_VALUE"""),3.8003515E7)</f>
        <v>38003515</v>
      </c>
      <c r="I808" s="7">
        <f>IFERROR(__xludf.DUMMYFUNCTION("""COMPUTED_VALUE"""),3.517714341E9)</f>
        <v>3517714341</v>
      </c>
      <c r="J808" s="7" t="str">
        <f>IFERROR(__xludf.DUMMYFUNCTION("""COMPUTED_VALUE"""),"Voy al gym Manantial")</f>
        <v>Voy al gym Manantial</v>
      </c>
      <c r="K808" s="7" t="str">
        <f>IFERROR(__xludf.DUMMYFUNCTION("""COMPUTED_VALUE"""),"Particular")</f>
        <v>Particular</v>
      </c>
      <c r="L808" s="7"/>
      <c r="M808" s="7" t="str">
        <f>IFERROR(__xludf.DUMMYFUNCTION("""COMPUTED_VALUE"""),"Si")</f>
        <v>Si</v>
      </c>
      <c r="N808" s="7" t="str">
        <f>IFERROR(__xludf.DUMMYFUNCTION("""COMPUTED_VALUE"""),"Gimnasio")</f>
        <v>Gimnasio</v>
      </c>
      <c r="O808" s="7" t="str">
        <f>IFERROR(__xludf.DUMMYFUNCTION("""COMPUTED_VALUE"""),"3 a 5 veces por semana")</f>
        <v>3 a 5 veces por semana</v>
      </c>
      <c r="P808" s="7"/>
      <c r="Q808" s="7"/>
      <c r="R808" s="7"/>
      <c r="S808" s="7"/>
    </row>
    <row r="809">
      <c r="A809" s="7" t="str">
        <f t="shared" si="1"/>
        <v>Agudelo, Diana carolina</v>
      </c>
      <c r="B809" s="7">
        <f>SUMIFS('bd caja'!$K$1:$K$1012,'bd caja'!$D$1:$D$1012,A809)</f>
        <v>0</v>
      </c>
      <c r="C809" s="19">
        <f>IFERROR(__xludf.DUMMYFUNCTION("""COMPUTED_VALUE"""),45644.80594841435)</f>
        <v>45644.80595</v>
      </c>
      <c r="D809" s="7" t="str">
        <f>IFERROR(__xludf.DUMMYFUNCTION("""COMPUTED_VALUE"""),"Agudelo")</f>
        <v>Agudelo</v>
      </c>
      <c r="E809" s="7" t="str">
        <f>IFERROR(__xludf.DUMMYFUNCTION("""COMPUTED_VALUE"""),"Diana carolina")</f>
        <v>Diana carolina</v>
      </c>
      <c r="F809" s="7" t="str">
        <f>IFERROR(__xludf.DUMMYFUNCTION("""COMPUTED_VALUE"""),"Caro.piedrahita@outlook.com")</f>
        <v>Caro.piedrahita@outlook.com</v>
      </c>
      <c r="G809" s="20">
        <f>IFERROR(__xludf.DUMMYFUNCTION("""COMPUTED_VALUE"""),32746.0)</f>
        <v>32746</v>
      </c>
      <c r="H809" s="7">
        <f>IFERROR(__xludf.DUMMYFUNCTION("""COMPUTED_VALUE"""),9.6015767E7)</f>
        <v>96015767</v>
      </c>
      <c r="I809" s="7">
        <f>IFERROR(__xludf.DUMMYFUNCTION("""COMPUTED_VALUE"""),3.513638954E9)</f>
        <v>3513638954</v>
      </c>
      <c r="J809" s="7" t="str">
        <f>IFERROR(__xludf.DUMMYFUNCTION("""COMPUTED_VALUE"""),"Recomendación")</f>
        <v>Recomendación</v>
      </c>
      <c r="K809" s="7" t="str">
        <f>IFERROR(__xludf.DUMMYFUNCTION("""COMPUTED_VALUE"""),"Particular")</f>
        <v>Particular</v>
      </c>
      <c r="L809" s="7"/>
      <c r="M809" s="7" t="str">
        <f>IFERROR(__xludf.DUMMYFUNCTION("""COMPUTED_VALUE"""),"Si")</f>
        <v>Si</v>
      </c>
      <c r="N809" s="7" t="str">
        <f>IFERROR(__xludf.DUMMYFUNCTION("""COMPUTED_VALUE"""),"Gimnasio")</f>
        <v>Gimnasio</v>
      </c>
      <c r="O809" s="7" t="str">
        <f>IFERROR(__xludf.DUMMYFUNCTION("""COMPUTED_VALUE"""),"1 a 2 veces por semana")</f>
        <v>1 a 2 veces por semana</v>
      </c>
      <c r="P809" s="7"/>
      <c r="Q809" s="7"/>
      <c r="R809" s="7"/>
      <c r="S809" s="7"/>
    </row>
    <row r="810">
      <c r="A810" s="7" t="str">
        <f t="shared" si="1"/>
        <v>Montañez Sandoz , Agustína </v>
      </c>
      <c r="B810" s="7">
        <f>SUMIFS('bd caja'!$K$1:$K$1012,'bd caja'!$D$1:$D$1012,A810)</f>
        <v>0</v>
      </c>
      <c r="C810" s="19">
        <f>IFERROR(__xludf.DUMMYFUNCTION("""COMPUTED_VALUE"""),45646.44194418981)</f>
        <v>45646.44194</v>
      </c>
      <c r="D810" s="7" t="str">
        <f>IFERROR(__xludf.DUMMYFUNCTION("""COMPUTED_VALUE"""),"Montañez Sandoz ")</f>
        <v>Montañez Sandoz </v>
      </c>
      <c r="E810" s="7" t="str">
        <f>IFERROR(__xludf.DUMMYFUNCTION("""COMPUTED_VALUE"""),"Agustína ")</f>
        <v>Agustína </v>
      </c>
      <c r="F810" s="7" t="str">
        <f>IFERROR(__xludf.DUMMYFUNCTION("""COMPUTED_VALUE"""),"agusmsandoz@gmail.com")</f>
        <v>agusmsandoz@gmail.com</v>
      </c>
      <c r="G810" s="20">
        <f>IFERROR(__xludf.DUMMYFUNCTION("""COMPUTED_VALUE"""),45703.0)</f>
        <v>45703</v>
      </c>
      <c r="H810" s="7">
        <f>IFERROR(__xludf.DUMMYFUNCTION("""COMPUTED_VALUE"""),3.8106676E7)</f>
        <v>38106676</v>
      </c>
      <c r="I810" s="7">
        <f>IFERROR(__xludf.DUMMYFUNCTION("""COMPUTED_VALUE"""),3.515177037E9)</f>
        <v>3515177037</v>
      </c>
      <c r="J810" s="7" t="str">
        <f>IFERROR(__xludf.DUMMYFUNCTION("""COMPUTED_VALUE"""),"Google")</f>
        <v>Google</v>
      </c>
      <c r="K810" s="7" t="str">
        <f>IFERROR(__xludf.DUMMYFUNCTION("""COMPUTED_VALUE"""),"Obra social")</f>
        <v>Obra social</v>
      </c>
      <c r="L810" s="7"/>
      <c r="M810" s="7" t="str">
        <f>IFERROR(__xludf.DUMMYFUNCTION("""COMPUTED_VALUE"""),"Si")</f>
        <v>Si</v>
      </c>
      <c r="N810" s="7" t="str">
        <f>IFERROR(__xludf.DUMMYFUNCTION("""COMPUTED_VALUE"""),"Gimnasio")</f>
        <v>Gimnasio</v>
      </c>
      <c r="O810" s="7" t="str">
        <f>IFERROR(__xludf.DUMMYFUNCTION("""COMPUTED_VALUE"""),"3 a 5 veces por semana")</f>
        <v>3 a 5 veces por semana</v>
      </c>
      <c r="P810" s="7"/>
      <c r="Q810" s="7" t="str">
        <f>IFERROR(__xludf.DUMMYFUNCTION("""COMPUTED_VALUE"""),"DASPU")</f>
        <v>DASPU</v>
      </c>
      <c r="R810" s="7"/>
      <c r="S810" s="7"/>
    </row>
    <row r="811">
      <c r="A811" s="7" t="str">
        <f t="shared" si="1"/>
        <v>Baravalle, Catalina</v>
      </c>
      <c r="B811" s="7">
        <f>SUMIFS('bd caja'!$K$1:$K$1012,'bd caja'!$D$1:$D$1012,A811)</f>
        <v>0</v>
      </c>
      <c r="C811" s="19">
        <f>IFERROR(__xludf.DUMMYFUNCTION("""COMPUTED_VALUE"""),45652.455319699075)</f>
        <v>45652.45532</v>
      </c>
      <c r="D811" s="7" t="str">
        <f>IFERROR(__xludf.DUMMYFUNCTION("""COMPUTED_VALUE"""),"Baravalle")</f>
        <v>Baravalle</v>
      </c>
      <c r="E811" s="7" t="str">
        <f>IFERROR(__xludf.DUMMYFUNCTION("""COMPUTED_VALUE"""),"Catalina")</f>
        <v>Catalina</v>
      </c>
      <c r="F811" s="7" t="str">
        <f>IFERROR(__xludf.DUMMYFUNCTION("""COMPUTED_VALUE"""),"baravallecatalina@gmail.com")</f>
        <v>baravallecatalina@gmail.com</v>
      </c>
      <c r="G811" s="20">
        <f>IFERROR(__xludf.DUMMYFUNCTION("""COMPUTED_VALUE"""),38615.0)</f>
        <v>38615</v>
      </c>
      <c r="H811" s="7">
        <f>IFERROR(__xludf.DUMMYFUNCTION("""COMPUTED_VALUE"""),4.6223461E7)</f>
        <v>46223461</v>
      </c>
      <c r="I811" s="7">
        <f>IFERROR(__xludf.DUMMYFUNCTION("""COMPUTED_VALUE"""),3.518153199E9)</f>
        <v>3518153199</v>
      </c>
      <c r="J811" s="7" t="str">
        <f>IFERROR(__xludf.DUMMYFUNCTION("""COMPUTED_VALUE"""),"Recomendación")</f>
        <v>Recomendación</v>
      </c>
      <c r="K811" s="7" t="str">
        <f>IFERROR(__xludf.DUMMYFUNCTION("""COMPUTED_VALUE"""),"Obra social")</f>
        <v>Obra social</v>
      </c>
      <c r="L811" s="7"/>
      <c r="M811" s="7" t="str">
        <f>IFERROR(__xludf.DUMMYFUNCTION("""COMPUTED_VALUE"""),"Si")</f>
        <v>Si</v>
      </c>
      <c r="N811" s="7" t="str">
        <f>IFERROR(__xludf.DUMMYFUNCTION("""COMPUTED_VALUE"""),"Baile")</f>
        <v>Baile</v>
      </c>
      <c r="O811" s="7" t="str">
        <f>IFERROR(__xludf.DUMMYFUNCTION("""COMPUTED_VALUE"""),"1 a 2 veces por semana")</f>
        <v>1 a 2 veces por semana</v>
      </c>
      <c r="P811" s="7"/>
      <c r="Q811" s="7" t="str">
        <f>IFERROR(__xludf.DUMMYFUNCTION("""COMPUTED_VALUE"""),"DASPU")</f>
        <v>DASPU</v>
      </c>
      <c r="R811" s="7"/>
      <c r="S811" s="7"/>
    </row>
    <row r="812">
      <c r="A812" s="7" t="str">
        <f t="shared" si="1"/>
        <v>Rundie , Rafael alejandro</v>
      </c>
      <c r="B812" s="7">
        <f>SUMIFS('bd caja'!$K$1:$K$1012,'bd caja'!$D$1:$D$1012,A812)</f>
        <v>0</v>
      </c>
      <c r="C812" s="19">
        <f>IFERROR(__xludf.DUMMYFUNCTION("""COMPUTED_VALUE"""),45652.69289827546)</f>
        <v>45652.6929</v>
      </c>
      <c r="D812" s="7" t="str">
        <f>IFERROR(__xludf.DUMMYFUNCTION("""COMPUTED_VALUE"""),"Rundie ")</f>
        <v>Rundie </v>
      </c>
      <c r="E812" s="7" t="str">
        <f>IFERROR(__xludf.DUMMYFUNCTION("""COMPUTED_VALUE"""),"Rafael alejandro")</f>
        <v>Rafael alejandro</v>
      </c>
      <c r="F812" s="7" t="str">
        <f>IFERROR(__xludf.DUMMYFUNCTION("""COMPUTED_VALUE"""),"Alejandrorundie@gmail.com")</f>
        <v>Alejandrorundie@gmail.com</v>
      </c>
      <c r="G812" s="20">
        <f>IFERROR(__xludf.DUMMYFUNCTION("""COMPUTED_VALUE"""),28994.0)</f>
        <v>28994</v>
      </c>
      <c r="H812" s="7">
        <f>IFERROR(__xludf.DUMMYFUNCTION("""COMPUTED_VALUE"""),2.7360627E7)</f>
        <v>27360627</v>
      </c>
      <c r="I812" s="7">
        <f>IFERROR(__xludf.DUMMYFUNCTION("""COMPUTED_VALUE"""),3.516530441E9)</f>
        <v>3516530441</v>
      </c>
      <c r="J812" s="7" t="str">
        <f>IFERROR(__xludf.DUMMYFUNCTION("""COMPUTED_VALUE"""),"Recomendación")</f>
        <v>Recomendación</v>
      </c>
      <c r="K812" s="7" t="str">
        <f>IFERROR(__xludf.DUMMYFUNCTION("""COMPUTED_VALUE"""),"Particular")</f>
        <v>Particular</v>
      </c>
      <c r="L812" s="7"/>
      <c r="M812" s="7" t="str">
        <f>IFERROR(__xludf.DUMMYFUNCTION("""COMPUTED_VALUE"""),"No")</f>
        <v>No</v>
      </c>
      <c r="N812" s="7"/>
      <c r="O812" s="7"/>
      <c r="P812" s="7"/>
      <c r="Q812" s="7"/>
      <c r="R812" s="7"/>
      <c r="S812" s="7"/>
    </row>
    <row r="813">
      <c r="A813" s="7" t="str">
        <f t="shared" si="1"/>
        <v>Novillo, Cristobal</v>
      </c>
      <c r="B813" s="7">
        <f>SUMIFS('bd caja'!$K$1:$K$1012,'bd caja'!$D$1:$D$1012,A813)</f>
        <v>0</v>
      </c>
      <c r="C813" s="19">
        <f>IFERROR(__xludf.DUMMYFUNCTION("""COMPUTED_VALUE"""),45652.777062430556)</f>
        <v>45652.77706</v>
      </c>
      <c r="D813" s="7" t="str">
        <f>IFERROR(__xludf.DUMMYFUNCTION("""COMPUTED_VALUE"""),"Novillo")</f>
        <v>Novillo</v>
      </c>
      <c r="E813" s="7" t="str">
        <f>IFERROR(__xludf.DUMMYFUNCTION("""COMPUTED_VALUE"""),"Cristobal")</f>
        <v>Cristobal</v>
      </c>
      <c r="F813" s="7" t="str">
        <f>IFERROR(__xludf.DUMMYFUNCTION("""COMPUTED_VALUE"""),"Cristobalnov@hotmial.com")</f>
        <v>Cristobalnov@hotmial.com</v>
      </c>
      <c r="G813" s="20">
        <f>IFERROR(__xludf.DUMMYFUNCTION("""COMPUTED_VALUE"""),36992.0)</f>
        <v>36992</v>
      </c>
      <c r="H813" s="7">
        <f>IFERROR(__xludf.DUMMYFUNCTION("""COMPUTED_VALUE"""),4.336961E7)</f>
        <v>43369610</v>
      </c>
      <c r="I813" s="7">
        <f>IFERROR(__xludf.DUMMYFUNCTION("""COMPUTED_VALUE"""),3.512543464E9)</f>
        <v>3512543464</v>
      </c>
      <c r="J813" s="7" t="str">
        <f>IFERROR(__xludf.DUMMYFUNCTION("""COMPUTED_VALUE"""),"Voy al gym Manantial")</f>
        <v>Voy al gym Manantial</v>
      </c>
      <c r="K813" s="7" t="str">
        <f>IFERROR(__xludf.DUMMYFUNCTION("""COMPUTED_VALUE"""),"Particular")</f>
        <v>Particular</v>
      </c>
      <c r="L813" s="7"/>
      <c r="M813" s="7" t="str">
        <f>IFERROR(__xludf.DUMMYFUNCTION("""COMPUTED_VALUE"""),"Si")</f>
        <v>Si</v>
      </c>
      <c r="N813" s="7" t="str">
        <f>IFERROR(__xludf.DUMMYFUNCTION("""COMPUTED_VALUE"""),"Gimnasio+padel+correr+bici")</f>
        <v>Gimnasio+padel+correr+bici</v>
      </c>
      <c r="O813" s="7" t="str">
        <f>IFERROR(__xludf.DUMMYFUNCTION("""COMPUTED_VALUE"""),"3 a 5 veces por semana")</f>
        <v>3 a 5 veces por semana</v>
      </c>
      <c r="P813" s="7"/>
      <c r="Q813" s="7"/>
      <c r="R813" s="7"/>
      <c r="S813" s="7"/>
    </row>
    <row r="814">
      <c r="A814" s="7" t="str">
        <f t="shared" si="1"/>
        <v>Lobaiza, Diego</v>
      </c>
      <c r="B814" s="7">
        <f>SUMIFS('bd caja'!$K$1:$K$1012,'bd caja'!$D$1:$D$1012,A814)</f>
        <v>0</v>
      </c>
      <c r="C814" s="19">
        <f>IFERROR(__xludf.DUMMYFUNCTION("""COMPUTED_VALUE"""),45653.571283819445)</f>
        <v>45653.57128</v>
      </c>
      <c r="D814" s="7" t="str">
        <f>IFERROR(__xludf.DUMMYFUNCTION("""COMPUTED_VALUE"""),"Lobaiza")</f>
        <v>Lobaiza</v>
      </c>
      <c r="E814" s="7" t="str">
        <f>IFERROR(__xludf.DUMMYFUNCTION("""COMPUTED_VALUE"""),"Diego")</f>
        <v>Diego</v>
      </c>
      <c r="F814" s="7"/>
      <c r="G814" s="20">
        <f>IFERROR(__xludf.DUMMYFUNCTION("""COMPUTED_VALUE"""),28320.0)</f>
        <v>28320</v>
      </c>
      <c r="H814" s="7">
        <f>IFERROR(__xludf.DUMMYFUNCTION("""COMPUTED_VALUE"""),2.6208212E7)</f>
        <v>26208212</v>
      </c>
      <c r="I814" s="7">
        <f>IFERROR(__xludf.DUMMYFUNCTION("""COMPUTED_VALUE"""),3.51767605E9)</f>
        <v>3517676050</v>
      </c>
      <c r="J814" s="7" t="str">
        <f>IFERROR(__xludf.DUMMYFUNCTION("""COMPUTED_VALUE"""),"Google")</f>
        <v>Google</v>
      </c>
      <c r="K814" s="7" t="str">
        <f>IFERROR(__xludf.DUMMYFUNCTION("""COMPUTED_VALUE"""),"Obra social")</f>
        <v>Obra social</v>
      </c>
      <c r="L814" s="7"/>
      <c r="M814" s="7" t="str">
        <f>IFERROR(__xludf.DUMMYFUNCTION("""COMPUTED_VALUE"""),"No")</f>
        <v>No</v>
      </c>
      <c r="N814" s="7"/>
      <c r="O814" s="7"/>
      <c r="P814" s="7"/>
      <c r="Q814" s="7" t="str">
        <f>IFERROR(__xludf.DUMMYFUNCTION("""COMPUTED_VALUE"""),"Boreal")</f>
        <v>Boreal</v>
      </c>
      <c r="R814" s="7"/>
      <c r="S814" s="7"/>
    </row>
    <row r="815">
      <c r="A815" s="7" t="str">
        <f t="shared" si="1"/>
        <v>Morán de la Vega, Guillermo</v>
      </c>
      <c r="B815" s="7">
        <f>SUMIFS('bd caja'!$K$1:$K$1012,'bd caja'!$D$1:$D$1012,A815)</f>
        <v>0</v>
      </c>
      <c r="C815" s="19">
        <f>IFERROR(__xludf.DUMMYFUNCTION("""COMPUTED_VALUE"""),45653.7346127662)</f>
        <v>45653.73461</v>
      </c>
      <c r="D815" s="7" t="str">
        <f>IFERROR(__xludf.DUMMYFUNCTION("""COMPUTED_VALUE"""),"Morán de la Vega")</f>
        <v>Morán de la Vega</v>
      </c>
      <c r="E815" s="7" t="str">
        <f>IFERROR(__xludf.DUMMYFUNCTION("""COMPUTED_VALUE"""),"Guillermo")</f>
        <v>Guillermo</v>
      </c>
      <c r="F815" s="7" t="str">
        <f>IFERROR(__xludf.DUMMYFUNCTION("""COMPUTED_VALUE"""),"gmorandela ega@hotmail.com")</f>
        <v>gmorandela ega@hotmail.com</v>
      </c>
      <c r="G815" s="20">
        <f>IFERROR(__xludf.DUMMYFUNCTION("""COMPUTED_VALUE"""),21714.0)</f>
        <v>21714</v>
      </c>
      <c r="H815" s="21">
        <f>IFERROR(__xludf.DUMMYFUNCTION("""COMPUTED_VALUE"""),1.3290752E7)</f>
        <v>13290752</v>
      </c>
      <c r="I815" s="7">
        <f>IFERROR(__xludf.DUMMYFUNCTION("""COMPUTED_VALUE"""),3.513304219E9)</f>
        <v>3513304219</v>
      </c>
      <c r="J815" s="7" t="str">
        <f>IFERROR(__xludf.DUMMYFUNCTION("""COMPUTED_VALUE"""),"Voy al gym Manantial")</f>
        <v>Voy al gym Manantial</v>
      </c>
      <c r="K815" s="7" t="str">
        <f>IFERROR(__xludf.DUMMYFUNCTION("""COMPUTED_VALUE"""),"Obra social")</f>
        <v>Obra social</v>
      </c>
      <c r="L815" s="7"/>
      <c r="M815" s="7" t="str">
        <f>IFERROR(__xludf.DUMMYFUNCTION("""COMPUTED_VALUE"""),"Si")</f>
        <v>Si</v>
      </c>
      <c r="N815" s="7" t="str">
        <f>IFERROR(__xludf.DUMMYFUNCTION("""COMPUTED_VALUE"""),"Gimnasio")</f>
        <v>Gimnasio</v>
      </c>
      <c r="O815" s="7" t="str">
        <f>IFERROR(__xludf.DUMMYFUNCTION("""COMPUTED_VALUE"""),"3 a 5 veces por semana")</f>
        <v>3 a 5 veces por semana</v>
      </c>
      <c r="P815" s="7"/>
      <c r="Q815" s="7" t="str">
        <f>IFERROR(__xludf.DUMMYFUNCTION("""COMPUTED_VALUE"""),"APROSS")</f>
        <v>APROSS</v>
      </c>
      <c r="R815" s="7"/>
      <c r="S815" s="7"/>
    </row>
    <row r="816">
      <c r="A816" s="7" t="str">
        <f t="shared" si="1"/>
        <v>Pucheta , Uriel</v>
      </c>
      <c r="B816" s="7">
        <f>SUMIFS('bd caja'!$K$1:$K$1012,'bd caja'!$D$1:$D$1012,A816)</f>
        <v>0</v>
      </c>
      <c r="C816" s="19">
        <f>IFERROR(__xludf.DUMMYFUNCTION("""COMPUTED_VALUE"""),45653.77849111111)</f>
        <v>45653.77849</v>
      </c>
      <c r="D816" s="7" t="str">
        <f>IFERROR(__xludf.DUMMYFUNCTION("""COMPUTED_VALUE"""),"Pucheta ")</f>
        <v>Pucheta </v>
      </c>
      <c r="E816" s="7" t="str">
        <f>IFERROR(__xludf.DUMMYFUNCTION("""COMPUTED_VALUE"""),"Uriel")</f>
        <v>Uriel</v>
      </c>
      <c r="F816" s="7" t="str">
        <f>IFERROR(__xludf.DUMMYFUNCTION("""COMPUTED_VALUE"""),"Puchetauriel123@gmail.com")</f>
        <v>Puchetauriel123@gmail.com</v>
      </c>
      <c r="G816" s="20">
        <f>IFERROR(__xludf.DUMMYFUNCTION("""COMPUTED_VALUE"""),37027.0)</f>
        <v>37027</v>
      </c>
      <c r="H816" s="7">
        <f>IFERROR(__xludf.DUMMYFUNCTION("""COMPUTED_VALUE"""),4.3369461E7)</f>
        <v>43369461</v>
      </c>
      <c r="I816" s="7">
        <f>IFERROR(__xludf.DUMMYFUNCTION("""COMPUTED_VALUE"""),3.516620229E9)</f>
        <v>3516620229</v>
      </c>
      <c r="J816" s="7" t="str">
        <f>IFERROR(__xludf.DUMMYFUNCTION("""COMPUTED_VALUE"""),"Recomendación")</f>
        <v>Recomendación</v>
      </c>
      <c r="K816" s="7" t="str">
        <f>IFERROR(__xludf.DUMMYFUNCTION("""COMPUTED_VALUE"""),"Particular")</f>
        <v>Particular</v>
      </c>
      <c r="L816" s="7"/>
      <c r="M816" s="7" t="str">
        <f>IFERROR(__xludf.DUMMYFUNCTION("""COMPUTED_VALUE"""),"Si")</f>
        <v>Si</v>
      </c>
      <c r="N816" s="7" t="str">
        <f>IFERROR(__xludf.DUMMYFUNCTION("""COMPUTED_VALUE"""),"Fútbol")</f>
        <v>Fútbol</v>
      </c>
      <c r="O816" s="7" t="str">
        <f>IFERROR(__xludf.DUMMYFUNCTION("""COMPUTED_VALUE"""),"6 a 7 veces por semana")</f>
        <v>6 a 7 veces por semana</v>
      </c>
      <c r="P816" s="7"/>
      <c r="Q816" s="7"/>
      <c r="R816" s="7"/>
      <c r="S816" s="7"/>
    </row>
    <row r="817">
      <c r="A817" s="7" t="str">
        <f t="shared" si="1"/>
        <v>Ramos, Ulises</v>
      </c>
      <c r="B817" s="7">
        <f>SUMIFS('bd caja'!$K$1:$K$1012,'bd caja'!$D$1:$D$1012,A817)</f>
        <v>0</v>
      </c>
      <c r="C817" s="19">
        <f>IFERROR(__xludf.DUMMYFUNCTION("""COMPUTED_VALUE"""),45656.65747954861)</f>
        <v>45656.65748</v>
      </c>
      <c r="D817" s="7" t="str">
        <f>IFERROR(__xludf.DUMMYFUNCTION("""COMPUTED_VALUE"""),"Ramos")</f>
        <v>Ramos</v>
      </c>
      <c r="E817" s="7" t="str">
        <f>IFERROR(__xludf.DUMMYFUNCTION("""COMPUTED_VALUE"""),"Ulises")</f>
        <v>Ulises</v>
      </c>
      <c r="F817" s="7" t="str">
        <f>IFERROR(__xludf.DUMMYFUNCTION("""COMPUTED_VALUE"""),"uliramos99@gmail.com")</f>
        <v>uliramos99@gmail.com</v>
      </c>
      <c r="G817" s="20">
        <f>IFERROR(__xludf.DUMMYFUNCTION("""COMPUTED_VALUE"""),36194.0)</f>
        <v>36194</v>
      </c>
      <c r="H817" s="7">
        <f>IFERROR(__xludf.DUMMYFUNCTION("""COMPUTED_VALUE"""),4.1735739E7)</f>
        <v>41735739</v>
      </c>
      <c r="I817" s="7">
        <f>IFERROR(__xludf.DUMMYFUNCTION("""COMPUTED_VALUE"""),3.51253801E9)</f>
        <v>3512538010</v>
      </c>
      <c r="J817" s="7" t="str">
        <f>IFERROR(__xludf.DUMMYFUNCTION("""COMPUTED_VALUE"""),"Voy al gym Manantial")</f>
        <v>Voy al gym Manantial</v>
      </c>
      <c r="K817" s="7" t="str">
        <f>IFERROR(__xludf.DUMMYFUNCTION("""COMPUTED_VALUE"""),"Obra social")</f>
        <v>Obra social</v>
      </c>
      <c r="L817" s="7"/>
      <c r="M817" s="7" t="str">
        <f>IFERROR(__xludf.DUMMYFUNCTION("""COMPUTED_VALUE"""),"Si")</f>
        <v>Si</v>
      </c>
      <c r="N817" s="7" t="str">
        <f>IFERROR(__xludf.DUMMYFUNCTION("""COMPUTED_VALUE"""),"Gimnasio")</f>
        <v>Gimnasio</v>
      </c>
      <c r="O817" s="7" t="str">
        <f>IFERROR(__xludf.DUMMYFUNCTION("""COMPUTED_VALUE"""),"3 a 5 veces por semana")</f>
        <v>3 a 5 veces por semana</v>
      </c>
      <c r="P817" s="7"/>
      <c r="Q817" s="7" t="str">
        <f>IFERROR(__xludf.DUMMYFUNCTION("""COMPUTED_VALUE"""),"Osunra")</f>
        <v>Osunra</v>
      </c>
      <c r="R817" s="7"/>
      <c r="S817" s="7"/>
    </row>
    <row r="818">
      <c r="A818" s="7" t="str">
        <f t="shared" si="1"/>
        <v>Pereyra , Enzo Valentín </v>
      </c>
      <c r="B818" s="7">
        <f>SUMIFS('bd caja'!$K$1:$K$1012,'bd caja'!$D$1:$D$1012,A818)</f>
        <v>0</v>
      </c>
      <c r="C818" s="19">
        <f>IFERROR(__xludf.DUMMYFUNCTION("""COMPUTED_VALUE"""),45656.90083894676)</f>
        <v>45656.90084</v>
      </c>
      <c r="D818" s="7" t="str">
        <f>IFERROR(__xludf.DUMMYFUNCTION("""COMPUTED_VALUE"""),"Pereyra ")</f>
        <v>Pereyra </v>
      </c>
      <c r="E818" s="7" t="str">
        <f>IFERROR(__xludf.DUMMYFUNCTION("""COMPUTED_VALUE"""),"Enzo Valentín ")</f>
        <v>Enzo Valentín </v>
      </c>
      <c r="F818" s="7" t="str">
        <f>IFERROR(__xludf.DUMMYFUNCTION("""COMPUTED_VALUE"""),"Valee_723@hotmail.com")</f>
        <v>Valee_723@hotmail.com</v>
      </c>
      <c r="G818" s="20">
        <f>IFERROR(__xludf.DUMMYFUNCTION("""COMPUTED_VALUE"""),42482.0)</f>
        <v>42482</v>
      </c>
      <c r="H818" s="7">
        <f>IFERROR(__xludf.DUMMYFUNCTION("""COMPUTED_VALUE"""),5.5290634E7)</f>
        <v>55290634</v>
      </c>
      <c r="I818" s="7">
        <f>IFERROR(__xludf.DUMMYFUNCTION("""COMPUTED_VALUE"""),3.512480723E9)</f>
        <v>3512480723</v>
      </c>
      <c r="J818" s="7" t="str">
        <f>IFERROR(__xludf.DUMMYFUNCTION("""COMPUTED_VALUE"""),"Recomendación de otro paciente ")</f>
        <v>Recomendación de otro paciente </v>
      </c>
      <c r="K818" s="7" t="str">
        <f>IFERROR(__xludf.DUMMYFUNCTION("""COMPUTED_VALUE"""),"Particular")</f>
        <v>Particular</v>
      </c>
      <c r="L818" s="7"/>
      <c r="M818" s="7" t="str">
        <f>IFERROR(__xludf.DUMMYFUNCTION("""COMPUTED_VALUE"""),"No")</f>
        <v>No</v>
      </c>
      <c r="N818" s="7"/>
      <c r="O818" s="7"/>
      <c r="P818" s="7"/>
      <c r="Q818" s="7"/>
      <c r="R818" s="7"/>
      <c r="S818" s="7"/>
    </row>
    <row r="819">
      <c r="A819" s="7" t="str">
        <f t="shared" si="1"/>
        <v>BLASCO, ALFREDO</v>
      </c>
      <c r="B819" s="7">
        <f>SUMIFS('bd caja'!$K$1:$K$1012,'bd caja'!$D$1:$D$1012,A819)</f>
        <v>0</v>
      </c>
      <c r="C819" s="19">
        <f>IFERROR(__xludf.DUMMYFUNCTION("""COMPUTED_VALUE"""),45659.85073327547)</f>
        <v>45659.85073</v>
      </c>
      <c r="D819" s="7" t="str">
        <f>IFERROR(__xludf.DUMMYFUNCTION("""COMPUTED_VALUE"""),"BLASCO")</f>
        <v>BLASCO</v>
      </c>
      <c r="E819" s="7" t="str">
        <f>IFERROR(__xludf.DUMMYFUNCTION("""COMPUTED_VALUE"""),"ALFREDO")</f>
        <v>ALFREDO</v>
      </c>
      <c r="F819" s="7" t="str">
        <f>IFERROR(__xludf.DUMMYFUNCTION("""COMPUTED_VALUE"""),"alfredofblasco@gmail.com")</f>
        <v>alfredofblasco@gmail.com</v>
      </c>
      <c r="G819" s="20">
        <f>IFERROR(__xludf.DUMMYFUNCTION("""COMPUTED_VALUE"""),25493.0)</f>
        <v>25493</v>
      </c>
      <c r="H819" s="7">
        <f>IFERROR(__xludf.DUMMYFUNCTION("""COMPUTED_VALUE"""),2.0873977E7)</f>
        <v>20873977</v>
      </c>
      <c r="I819" s="7">
        <f>IFERROR(__xludf.DUMMYFUNCTION("""COMPUTED_VALUE"""),3.515477382E9)</f>
        <v>3515477382</v>
      </c>
      <c r="J819" s="7" t="str">
        <f>IFERROR(__xludf.DUMMYFUNCTION("""COMPUTED_VALUE"""),"Google")</f>
        <v>Google</v>
      </c>
      <c r="K819" s="7" t="str">
        <f>IFERROR(__xludf.DUMMYFUNCTION("""COMPUTED_VALUE"""),"Obra social")</f>
        <v>Obra social</v>
      </c>
      <c r="L819" s="7"/>
      <c r="M819" s="7" t="str">
        <f>IFERROR(__xludf.DUMMYFUNCTION("""COMPUTED_VALUE"""),"Si")</f>
        <v>Si</v>
      </c>
      <c r="N819" s="7" t="str">
        <f>IFERROR(__xludf.DUMMYFUNCTION("""COMPUTED_VALUE"""),"Gimnasio")</f>
        <v>Gimnasio</v>
      </c>
      <c r="O819" s="7" t="str">
        <f>IFERROR(__xludf.DUMMYFUNCTION("""COMPUTED_VALUE"""),"1 a 2 veces por semana")</f>
        <v>1 a 2 veces por semana</v>
      </c>
      <c r="P819" s="7"/>
      <c r="Q819" s="7" t="str">
        <f>IFERROR(__xludf.DUMMYFUNCTION("""COMPUTED_VALUE"""),"MEDICUS")</f>
        <v>MEDICUS</v>
      </c>
      <c r="R819" s="7"/>
      <c r="S819" s="7"/>
    </row>
    <row r="820">
      <c r="A820" s="7" t="str">
        <f t="shared" si="1"/>
        <v>Vassia, Karina</v>
      </c>
      <c r="B820" s="7">
        <f>SUMIFS('bd caja'!$K$1:$K$1012,'bd caja'!$D$1:$D$1012,A820)</f>
        <v>0</v>
      </c>
      <c r="C820" s="19">
        <f>IFERROR(__xludf.DUMMYFUNCTION("""COMPUTED_VALUE"""),45660.57484016204)</f>
        <v>45660.57484</v>
      </c>
      <c r="D820" s="7" t="str">
        <f>IFERROR(__xludf.DUMMYFUNCTION("""COMPUTED_VALUE"""),"Vassia")</f>
        <v>Vassia</v>
      </c>
      <c r="E820" s="7" t="str">
        <f>IFERROR(__xludf.DUMMYFUNCTION("""COMPUTED_VALUE"""),"Karina")</f>
        <v>Karina</v>
      </c>
      <c r="F820" s="7" t="str">
        <f>IFERROR(__xludf.DUMMYFUNCTION("""COMPUTED_VALUE"""),"karinavassia2@gmail.com")</f>
        <v>karinavassia2@gmail.com</v>
      </c>
      <c r="G820" s="20">
        <f>IFERROR(__xludf.DUMMYFUNCTION("""COMPUTED_VALUE"""),26240.0)</f>
        <v>26240</v>
      </c>
      <c r="H820" s="7">
        <f>IFERROR(__xludf.DUMMYFUNCTION("""COMPUTED_VALUE"""),2.2373715E7)</f>
        <v>22373715</v>
      </c>
      <c r="I820" s="7">
        <f>IFERROR(__xludf.DUMMYFUNCTION("""COMPUTED_VALUE"""),3.517063267E9)</f>
        <v>3517063267</v>
      </c>
      <c r="J820" s="7" t="str">
        <f>IFERROR(__xludf.DUMMYFUNCTION("""COMPUTED_VALUE"""),"Recomendación")</f>
        <v>Recomendación</v>
      </c>
      <c r="K820" s="7" t="str">
        <f>IFERROR(__xludf.DUMMYFUNCTION("""COMPUTED_VALUE"""),"Particular")</f>
        <v>Particular</v>
      </c>
      <c r="L820" s="7"/>
      <c r="M820" s="7" t="str">
        <f>IFERROR(__xludf.DUMMYFUNCTION("""COMPUTED_VALUE"""),"No")</f>
        <v>No</v>
      </c>
      <c r="N820" s="7"/>
      <c r="O820" s="7"/>
      <c r="P820" s="7"/>
      <c r="Q820" s="7"/>
      <c r="R820" s="7"/>
      <c r="S820" s="7"/>
    </row>
    <row r="821">
      <c r="A821" s="7" t="str">
        <f t="shared" si="1"/>
        <v>Capretta, Gaston</v>
      </c>
      <c r="B821" s="7">
        <f>SUMIFS('bd caja'!$K$1:$K$1012,'bd caja'!$D$1:$D$1012,A821)</f>
        <v>0</v>
      </c>
      <c r="C821" s="19">
        <f>IFERROR(__xludf.DUMMYFUNCTION("""COMPUTED_VALUE"""),45660.741034756946)</f>
        <v>45660.74103</v>
      </c>
      <c r="D821" s="7" t="str">
        <f>IFERROR(__xludf.DUMMYFUNCTION("""COMPUTED_VALUE"""),"Capretta")</f>
        <v>Capretta</v>
      </c>
      <c r="E821" s="7" t="str">
        <f>IFERROR(__xludf.DUMMYFUNCTION("""COMPUTED_VALUE"""),"Gaston")</f>
        <v>Gaston</v>
      </c>
      <c r="F821" s="7" t="str">
        <f>IFERROR(__xludf.DUMMYFUNCTION("""COMPUTED_VALUE"""),"gastoncapretta@hotmail.com")</f>
        <v>gastoncapretta@hotmail.com</v>
      </c>
      <c r="G821" s="20">
        <f>IFERROR(__xludf.DUMMYFUNCTION("""COMPUTED_VALUE"""),27344.0)</f>
        <v>27344</v>
      </c>
      <c r="H821" s="7">
        <f>IFERROR(__xludf.DUMMYFUNCTION("""COMPUTED_VALUE"""),2.4281041E7)</f>
        <v>24281041</v>
      </c>
      <c r="I821" s="7">
        <f>IFERROR(__xludf.DUMMYFUNCTION("""COMPUTED_VALUE"""),3.515638146E9)</f>
        <v>3515638146</v>
      </c>
      <c r="J821" s="7" t="str">
        <f>IFERROR(__xludf.DUMMYFUNCTION("""COMPUTED_VALUE"""),"Recomendación")</f>
        <v>Recomendación</v>
      </c>
      <c r="K821" s="7" t="str">
        <f>IFERROR(__xludf.DUMMYFUNCTION("""COMPUTED_VALUE"""),"Obra social")</f>
        <v>Obra social</v>
      </c>
      <c r="L821" s="7"/>
      <c r="M821" s="7" t="str">
        <f>IFERROR(__xludf.DUMMYFUNCTION("""COMPUTED_VALUE"""),"Si")</f>
        <v>Si</v>
      </c>
      <c r="N821" s="7" t="str">
        <f>IFERROR(__xludf.DUMMYFUNCTION("""COMPUTED_VALUE"""),"Bicicleta+spinning")</f>
        <v>Bicicleta+spinning</v>
      </c>
      <c r="O821" s="7" t="str">
        <f>IFERROR(__xludf.DUMMYFUNCTION("""COMPUTED_VALUE"""),"3 a 5 veces por semana")</f>
        <v>3 a 5 veces por semana</v>
      </c>
      <c r="P821" s="7"/>
      <c r="Q821" s="7" t="str">
        <f>IFERROR(__xludf.DUMMYFUNCTION("""COMPUTED_VALUE"""),"Osptv")</f>
        <v>Osptv</v>
      </c>
      <c r="R821" s="7"/>
      <c r="S821" s="7"/>
    </row>
    <row r="822">
      <c r="A822" s="7" t="str">
        <f t="shared" si="1"/>
        <v>Biava, Mariana</v>
      </c>
      <c r="B822" s="7">
        <f>SUMIFS('bd caja'!$K$1:$K$1012,'bd caja'!$D$1:$D$1012,A822)</f>
        <v>0</v>
      </c>
      <c r="C822" s="19">
        <f>IFERROR(__xludf.DUMMYFUNCTION("""COMPUTED_VALUE"""),45663.384735706015)</f>
        <v>45663.38474</v>
      </c>
      <c r="D822" s="7" t="str">
        <f>IFERROR(__xludf.DUMMYFUNCTION("""COMPUTED_VALUE"""),"Biava")</f>
        <v>Biava</v>
      </c>
      <c r="E822" s="7" t="str">
        <f>IFERROR(__xludf.DUMMYFUNCTION("""COMPUTED_VALUE"""),"Mariana")</f>
        <v>Mariana</v>
      </c>
      <c r="F822" s="7" t="str">
        <f>IFERROR(__xludf.DUMMYFUNCTION("""COMPUTED_VALUE"""),"marianabiava2505@gmail.com")</f>
        <v>marianabiava2505@gmail.com</v>
      </c>
      <c r="G822" s="20">
        <f>IFERROR(__xludf.DUMMYFUNCTION("""COMPUTED_VALUE"""),28635.0)</f>
        <v>28635</v>
      </c>
      <c r="H822" s="7">
        <f>IFERROR(__xludf.DUMMYFUNCTION("""COMPUTED_VALUE"""),2.6544418E7)</f>
        <v>26544418</v>
      </c>
      <c r="I822" s="7">
        <f>IFERROR(__xludf.DUMMYFUNCTION("""COMPUTED_VALUE"""),2.6544418E7)</f>
        <v>26544418</v>
      </c>
      <c r="J822" s="7" t="str">
        <f>IFERROR(__xludf.DUMMYFUNCTION("""COMPUTED_VALUE"""),"Recomendación")</f>
        <v>Recomendación</v>
      </c>
      <c r="K822" s="7" t="str">
        <f>IFERROR(__xludf.DUMMYFUNCTION("""COMPUTED_VALUE"""),"Obra social")</f>
        <v>Obra social</v>
      </c>
      <c r="L822" s="7"/>
      <c r="M822" s="7" t="str">
        <f>IFERROR(__xludf.DUMMYFUNCTION("""COMPUTED_VALUE"""),"No")</f>
        <v>No</v>
      </c>
      <c r="N822" s="7"/>
      <c r="O822" s="7"/>
      <c r="P822" s="7"/>
      <c r="Q822" s="7" t="str">
        <f>IFERROR(__xludf.DUMMYFUNCTION("""COMPUTED_VALUE"""),"Jerarquicos Salud")</f>
        <v>Jerarquicos Salud</v>
      </c>
      <c r="R822" s="7"/>
      <c r="S822" s="7"/>
    </row>
    <row r="823">
      <c r="A823" s="7" t="str">
        <f t="shared" si="1"/>
        <v>Baravalle, Exequiel</v>
      </c>
      <c r="B823" s="7">
        <f>SUMIFS('bd caja'!$K$1:$K$1012,'bd caja'!$D$1:$D$1012,A823)</f>
        <v>0</v>
      </c>
      <c r="C823" s="19">
        <f>IFERROR(__xludf.DUMMYFUNCTION("""COMPUTED_VALUE"""),45663.45171263889)</f>
        <v>45663.45171</v>
      </c>
      <c r="D823" s="7" t="str">
        <f>IFERROR(__xludf.DUMMYFUNCTION("""COMPUTED_VALUE"""),"Baravalle")</f>
        <v>Baravalle</v>
      </c>
      <c r="E823" s="7" t="str">
        <f>IFERROR(__xludf.DUMMYFUNCTION("""COMPUTED_VALUE"""),"Exequiel")</f>
        <v>Exequiel</v>
      </c>
      <c r="F823" s="7" t="str">
        <f>IFERROR(__xludf.DUMMYFUNCTION("""COMPUTED_VALUE"""),"baravallee@gmail.com")</f>
        <v>baravallee@gmail.com</v>
      </c>
      <c r="G823" s="20">
        <f>IFERROR(__xludf.DUMMYFUNCTION("""COMPUTED_VALUE"""),27956.0)</f>
        <v>27956</v>
      </c>
      <c r="H823" s="7">
        <f>IFERROR(__xludf.DUMMYFUNCTION("""COMPUTED_VALUE"""),2.51577E7)</f>
        <v>25157700</v>
      </c>
      <c r="I823" s="7">
        <f>IFERROR(__xludf.DUMMYFUNCTION("""COMPUTED_VALUE"""),3.516830022E9)</f>
        <v>3516830022</v>
      </c>
      <c r="J823" s="7" t="str">
        <f>IFERROR(__xludf.DUMMYFUNCTION("""COMPUTED_VALUE"""),"Recomendación")</f>
        <v>Recomendación</v>
      </c>
      <c r="K823" s="7" t="str">
        <f>IFERROR(__xludf.DUMMYFUNCTION("""COMPUTED_VALUE"""),"Obra social")</f>
        <v>Obra social</v>
      </c>
      <c r="L823" s="7"/>
      <c r="M823" s="7" t="str">
        <f>IFERROR(__xludf.DUMMYFUNCTION("""COMPUTED_VALUE"""),"Si")</f>
        <v>Si</v>
      </c>
      <c r="N823" s="7" t="str">
        <f>IFERROR(__xludf.DUMMYFUNCTION("""COMPUTED_VALUE"""),"Natacion y Gimnasio")</f>
        <v>Natacion y Gimnasio</v>
      </c>
      <c r="O823" s="7" t="str">
        <f>IFERROR(__xludf.DUMMYFUNCTION("""COMPUTED_VALUE"""),"3 a 5 veces por semana")</f>
        <v>3 a 5 veces por semana</v>
      </c>
      <c r="P823" s="7"/>
      <c r="Q823" s="7" t="str">
        <f>IFERROR(__xludf.DUMMYFUNCTION("""COMPUTED_VALUE"""),"DASPU")</f>
        <v>DASPU</v>
      </c>
      <c r="R823" s="7"/>
      <c r="S823" s="7"/>
    </row>
    <row r="824">
      <c r="A824" s="7" t="str">
        <f t="shared" si="1"/>
        <v>Rossotto, Daniel</v>
      </c>
      <c r="B824" s="7">
        <f>SUMIFS('bd caja'!$K$1:$K$1012,'bd caja'!$D$1:$D$1012,A824)</f>
        <v>0</v>
      </c>
      <c r="C824" s="19">
        <f>IFERROR(__xludf.DUMMYFUNCTION("""COMPUTED_VALUE"""),45663.516022407406)</f>
        <v>45663.51602</v>
      </c>
      <c r="D824" s="7" t="str">
        <f>IFERROR(__xludf.DUMMYFUNCTION("""COMPUTED_VALUE"""),"Rossotto")</f>
        <v>Rossotto</v>
      </c>
      <c r="E824" s="7" t="str">
        <f>IFERROR(__xludf.DUMMYFUNCTION("""COMPUTED_VALUE"""),"Daniel")</f>
        <v>Daniel</v>
      </c>
      <c r="F824" s="7" t="str">
        <f>IFERROR(__xludf.DUMMYFUNCTION("""COMPUTED_VALUE"""),"drossotto@hotmail.com")</f>
        <v>drossotto@hotmail.com</v>
      </c>
      <c r="G824" s="20">
        <f>IFERROR(__xludf.DUMMYFUNCTION("""COMPUTED_VALUE"""),20511.0)</f>
        <v>20511</v>
      </c>
      <c r="H824" s="7">
        <f>IFERROR(__xludf.DUMMYFUNCTION("""COMPUTED_VALUE"""),1.1974876E7)</f>
        <v>11974876</v>
      </c>
      <c r="I824" s="7">
        <f>IFERROR(__xludf.DUMMYFUNCTION("""COMPUTED_VALUE"""),3.512398477E9)</f>
        <v>3512398477</v>
      </c>
      <c r="J824" s="7" t="str">
        <f>IFERROR(__xludf.DUMMYFUNCTION("""COMPUTED_VALUE"""),"Recomendación")</f>
        <v>Recomendación</v>
      </c>
      <c r="K824" s="7" t="str">
        <f>IFERROR(__xludf.DUMMYFUNCTION("""COMPUTED_VALUE"""),"Obra social")</f>
        <v>Obra social</v>
      </c>
      <c r="L824" s="7"/>
      <c r="M824" s="7" t="str">
        <f>IFERROR(__xludf.DUMMYFUNCTION("""COMPUTED_VALUE"""),"No")</f>
        <v>No</v>
      </c>
      <c r="N824" s="7"/>
      <c r="O824" s="7"/>
      <c r="P824" s="7"/>
      <c r="Q824" s="7" t="str">
        <f>IFERROR(__xludf.DUMMYFUNCTION("""COMPUTED_VALUE"""),"APROSS")</f>
        <v>APROSS</v>
      </c>
      <c r="R824" s="7"/>
      <c r="S824" s="7"/>
    </row>
    <row r="825">
      <c r="A825" s="7" t="str">
        <f t="shared" si="1"/>
        <v>Garlot, Nicolas</v>
      </c>
      <c r="B825" s="7">
        <f>SUMIFS('bd caja'!$K$1:$K$1012,'bd caja'!$D$1:$D$1012,A825)</f>
        <v>0</v>
      </c>
      <c r="C825" s="19">
        <f>IFERROR(__xludf.DUMMYFUNCTION("""COMPUTED_VALUE"""),45663.68587243056)</f>
        <v>45663.68587</v>
      </c>
      <c r="D825" s="7" t="str">
        <f>IFERROR(__xludf.DUMMYFUNCTION("""COMPUTED_VALUE"""),"Garlot")</f>
        <v>Garlot</v>
      </c>
      <c r="E825" s="7" t="str">
        <f>IFERROR(__xludf.DUMMYFUNCTION("""COMPUTED_VALUE"""),"Nicolas")</f>
        <v>Nicolas</v>
      </c>
      <c r="F825" s="7" t="str">
        <f>IFERROR(__xludf.DUMMYFUNCTION("""COMPUTED_VALUE"""),"nicogarlot@hotmail.com")</f>
        <v>nicogarlot@hotmail.com</v>
      </c>
      <c r="G825" s="20">
        <f>IFERROR(__xludf.DUMMYFUNCTION("""COMPUTED_VALUE"""),32046.0)</f>
        <v>32046</v>
      </c>
      <c r="H825" s="7">
        <f>IFERROR(__xludf.DUMMYFUNCTION("""COMPUTED_VALUE"""),3.3303647E7)</f>
        <v>33303647</v>
      </c>
      <c r="I825" s="7">
        <f>IFERROR(__xludf.DUMMYFUNCTION("""COMPUTED_VALUE"""),3.513191252E9)</f>
        <v>3513191252</v>
      </c>
      <c r="J825" s="7" t="str">
        <f>IFERROR(__xludf.DUMMYFUNCTION("""COMPUTED_VALUE"""),"Voy al gym Manantial")</f>
        <v>Voy al gym Manantial</v>
      </c>
      <c r="K825" s="7" t="str">
        <f>IFERROR(__xludf.DUMMYFUNCTION("""COMPUTED_VALUE"""),"Particular")</f>
        <v>Particular</v>
      </c>
      <c r="L825" s="7"/>
      <c r="M825" s="7" t="str">
        <f>IFERROR(__xludf.DUMMYFUNCTION("""COMPUTED_VALUE"""),"Si")</f>
        <v>Si</v>
      </c>
      <c r="N825" s="7" t="str">
        <f>IFERROR(__xludf.DUMMYFUNCTION("""COMPUTED_VALUE"""),"Gimnasio")</f>
        <v>Gimnasio</v>
      </c>
      <c r="O825" s="7" t="str">
        <f>IFERROR(__xludf.DUMMYFUNCTION("""COMPUTED_VALUE"""),"3 a 5 veces por semana")</f>
        <v>3 a 5 veces por semana</v>
      </c>
      <c r="P825" s="7"/>
      <c r="Q825" s="7"/>
      <c r="R825" s="7"/>
      <c r="S825" s="7"/>
    </row>
    <row r="826">
      <c r="A826" s="7" t="str">
        <f t="shared" si="1"/>
        <v>Almagro , Teresita Beatriz </v>
      </c>
      <c r="B826" s="7">
        <f>SUMIFS('bd caja'!$K$1:$K$1012,'bd caja'!$D$1:$D$1012,A826)</f>
        <v>0</v>
      </c>
      <c r="C826" s="19">
        <f>IFERROR(__xludf.DUMMYFUNCTION("""COMPUTED_VALUE"""),45663.76821534723)</f>
        <v>45663.76822</v>
      </c>
      <c r="D826" s="7" t="str">
        <f>IFERROR(__xludf.DUMMYFUNCTION("""COMPUTED_VALUE"""),"Almagro ")</f>
        <v>Almagro </v>
      </c>
      <c r="E826" s="7" t="str">
        <f>IFERROR(__xludf.DUMMYFUNCTION("""COMPUTED_VALUE"""),"Teresita Beatriz ")</f>
        <v>Teresita Beatriz </v>
      </c>
      <c r="F826" s="7" t="str">
        <f>IFERROR(__xludf.DUMMYFUNCTION("""COMPUTED_VALUE"""),"Bettyalmagro14@gmail.com")</f>
        <v>Bettyalmagro14@gmail.com</v>
      </c>
      <c r="G826" s="20">
        <f>IFERROR(__xludf.DUMMYFUNCTION("""COMPUTED_VALUE"""),20849.0)</f>
        <v>20849</v>
      </c>
      <c r="H826" s="7">
        <f>IFERROR(__xludf.DUMMYFUNCTION("""COMPUTED_VALUE"""),1.295107E7)</f>
        <v>12951070</v>
      </c>
      <c r="I826" s="7">
        <f>IFERROR(__xludf.DUMMYFUNCTION("""COMPUTED_VALUE"""),3.51319421E9)</f>
        <v>3513194210</v>
      </c>
      <c r="J826" s="7" t="str">
        <f>IFERROR(__xludf.DUMMYFUNCTION("""COMPUTED_VALUE"""),"Recomendación")</f>
        <v>Recomendación</v>
      </c>
      <c r="K826" s="7" t="str">
        <f>IFERROR(__xludf.DUMMYFUNCTION("""COMPUTED_VALUE"""),"Obra social")</f>
        <v>Obra social</v>
      </c>
      <c r="L826" s="7"/>
      <c r="M826" s="7" t="str">
        <f>IFERROR(__xludf.DUMMYFUNCTION("""COMPUTED_VALUE"""),"No")</f>
        <v>No</v>
      </c>
      <c r="N826" s="7"/>
      <c r="O826" s="7"/>
      <c r="P826" s="7"/>
      <c r="Q826" s="7" t="str">
        <f>IFERROR(__xludf.DUMMYFUNCTION("""COMPUTED_VALUE"""),"APROSS")</f>
        <v>APROSS</v>
      </c>
      <c r="R826" s="7"/>
      <c r="S826" s="7"/>
    </row>
    <row r="827">
      <c r="A827" s="7" t="str">
        <f t="shared" si="1"/>
        <v>Soto, Paula</v>
      </c>
      <c r="B827" s="7">
        <f>SUMIFS('bd caja'!$K$1:$K$1012,'bd caja'!$D$1:$D$1012,A827)</f>
        <v>0</v>
      </c>
      <c r="C827" s="19">
        <f>IFERROR(__xludf.DUMMYFUNCTION("""COMPUTED_VALUE"""),45664.57523673611)</f>
        <v>45664.57524</v>
      </c>
      <c r="D827" s="7" t="str">
        <f>IFERROR(__xludf.DUMMYFUNCTION("""COMPUTED_VALUE"""),"Soto")</f>
        <v>Soto</v>
      </c>
      <c r="E827" s="7" t="str">
        <f>IFERROR(__xludf.DUMMYFUNCTION("""COMPUTED_VALUE"""),"Paula")</f>
        <v>Paula</v>
      </c>
      <c r="F827" s="7" t="str">
        <f>IFERROR(__xludf.DUMMYFUNCTION("""COMPUTED_VALUE"""),"paulajulietasoto@gmail.com")</f>
        <v>paulajulietasoto@gmail.com</v>
      </c>
      <c r="G827" s="20">
        <f>IFERROR(__xludf.DUMMYFUNCTION("""COMPUTED_VALUE"""),34854.0)</f>
        <v>34854</v>
      </c>
      <c r="H827" s="7">
        <f>IFERROR(__xludf.DUMMYFUNCTION("""COMPUTED_VALUE"""),4.3110762E7)</f>
        <v>43110762</v>
      </c>
      <c r="I827" s="7">
        <f>IFERROR(__xludf.DUMMYFUNCTION("""COMPUTED_VALUE"""),3.516378095E9)</f>
        <v>3516378095</v>
      </c>
      <c r="J827" s="7" t="str">
        <f>IFERROR(__xludf.DUMMYFUNCTION("""COMPUTED_VALUE"""),"Google")</f>
        <v>Google</v>
      </c>
      <c r="K827" s="7" t="str">
        <f>IFERROR(__xludf.DUMMYFUNCTION("""COMPUTED_VALUE"""),"Obra social")</f>
        <v>Obra social</v>
      </c>
      <c r="L827" s="7"/>
      <c r="M827" s="7" t="str">
        <f>IFERROR(__xludf.DUMMYFUNCTION("""COMPUTED_VALUE"""),"No")</f>
        <v>No</v>
      </c>
      <c r="N827" s="7"/>
      <c r="O827" s="7"/>
      <c r="P827" s="7"/>
      <c r="Q827" s="7" t="str">
        <f>IFERROR(__xludf.DUMMYFUNCTION("""COMPUTED_VALUE"""),"avalian")</f>
        <v>avalian</v>
      </c>
      <c r="R827" s="7"/>
      <c r="S827" s="7"/>
    </row>
    <row r="828">
      <c r="A828" s="7" t="str">
        <f t="shared" si="1"/>
        <v>Antoniaci, Rocio</v>
      </c>
      <c r="B828" s="7">
        <f>SUMIFS('bd caja'!$K$1:$K$1012,'bd caja'!$D$1:$D$1012,A828)</f>
        <v>0</v>
      </c>
      <c r="C828" s="19">
        <f>IFERROR(__xludf.DUMMYFUNCTION("""COMPUTED_VALUE"""),45665.764251354165)</f>
        <v>45665.76425</v>
      </c>
      <c r="D828" s="7" t="str">
        <f>IFERROR(__xludf.DUMMYFUNCTION("""COMPUTED_VALUE"""),"Antoniaci")</f>
        <v>Antoniaci</v>
      </c>
      <c r="E828" s="7" t="str">
        <f>IFERROR(__xludf.DUMMYFUNCTION("""COMPUTED_VALUE"""),"Rocio")</f>
        <v>Rocio</v>
      </c>
      <c r="F828" s="7" t="str">
        <f>IFERROR(__xludf.DUMMYFUNCTION("""COMPUTED_VALUE"""),"rocioantoniaci64@gmail.com")</f>
        <v>rocioantoniaci64@gmail.com</v>
      </c>
      <c r="G828" s="20">
        <f>IFERROR(__xludf.DUMMYFUNCTION("""COMPUTED_VALUE"""),36707.0)</f>
        <v>36707</v>
      </c>
      <c r="H828" s="7">
        <f>IFERROR(__xludf.DUMMYFUNCTION("""COMPUTED_VALUE"""),4.277338E7)</f>
        <v>42773380</v>
      </c>
      <c r="I828" s="7">
        <f>IFERROR(__xludf.DUMMYFUNCTION("""COMPUTED_VALUE"""),3.51211819E9)</f>
        <v>3512118190</v>
      </c>
      <c r="J828" s="7" t="str">
        <f>IFERROR(__xludf.DUMMYFUNCTION("""COMPUTED_VALUE"""),"Voy al gym Manantial")</f>
        <v>Voy al gym Manantial</v>
      </c>
      <c r="K828" s="7" t="str">
        <f>IFERROR(__xludf.DUMMYFUNCTION("""COMPUTED_VALUE"""),"Particular")</f>
        <v>Particular</v>
      </c>
      <c r="L828" s="7"/>
      <c r="M828" s="7" t="str">
        <f>IFERROR(__xludf.DUMMYFUNCTION("""COMPUTED_VALUE"""),"Si")</f>
        <v>Si</v>
      </c>
      <c r="N828" s="7" t="str">
        <f>IFERROR(__xludf.DUMMYFUNCTION("""COMPUTED_VALUE"""),"Zumba+Ritmo")</f>
        <v>Zumba+Ritmo</v>
      </c>
      <c r="O828" s="7" t="str">
        <f>IFERROR(__xludf.DUMMYFUNCTION("""COMPUTED_VALUE"""),"3 a 5 veces por semana")</f>
        <v>3 a 5 veces por semana</v>
      </c>
      <c r="P828" s="7"/>
      <c r="Q828" s="7"/>
      <c r="R828" s="7"/>
      <c r="S828" s="7"/>
    </row>
    <row r="829">
      <c r="A829" s="7" t="str">
        <f t="shared" si="1"/>
        <v>Marimon, Andrea Fabiana</v>
      </c>
      <c r="B829" s="7">
        <f>SUMIFS('bd caja'!$K$1:$K$1012,'bd caja'!$D$1:$D$1012,A829)</f>
        <v>0</v>
      </c>
      <c r="C829" s="19">
        <f>IFERROR(__xludf.DUMMYFUNCTION("""COMPUTED_VALUE"""),45665.7963475463)</f>
        <v>45665.79635</v>
      </c>
      <c r="D829" s="7" t="str">
        <f>IFERROR(__xludf.DUMMYFUNCTION("""COMPUTED_VALUE"""),"Marimon")</f>
        <v>Marimon</v>
      </c>
      <c r="E829" s="7" t="str">
        <f>IFERROR(__xludf.DUMMYFUNCTION("""COMPUTED_VALUE"""),"Andrea Fabiana")</f>
        <v>Andrea Fabiana</v>
      </c>
      <c r="F829" s="7" t="str">
        <f>IFERROR(__xludf.DUMMYFUNCTION("""COMPUTED_VALUE"""),"andreamarimon2405@gmail.com")</f>
        <v>andreamarimon2405@gmail.com</v>
      </c>
      <c r="G829" s="20">
        <f>IFERROR(__xludf.DUMMYFUNCTION("""COMPUTED_VALUE"""),24982.0)</f>
        <v>24982</v>
      </c>
      <c r="H829" s="7">
        <f>IFERROR(__xludf.DUMMYFUNCTION("""COMPUTED_VALUE"""),2.0439302E7)</f>
        <v>20439302</v>
      </c>
      <c r="I829" s="7">
        <f>IFERROR(__xludf.DUMMYFUNCTION("""COMPUTED_VALUE"""),3.515197178E9)</f>
        <v>3515197178</v>
      </c>
      <c r="J829" s="7" t="str">
        <f>IFERROR(__xludf.DUMMYFUNCTION("""COMPUTED_VALUE"""),"Recomendación")</f>
        <v>Recomendación</v>
      </c>
      <c r="K829" s="7" t="str">
        <f>IFERROR(__xludf.DUMMYFUNCTION("""COMPUTED_VALUE"""),"Particular")</f>
        <v>Particular</v>
      </c>
      <c r="L829" s="7"/>
      <c r="M829" s="7" t="str">
        <f>IFERROR(__xludf.DUMMYFUNCTION("""COMPUTED_VALUE"""),"Si")</f>
        <v>Si</v>
      </c>
      <c r="N829" s="7" t="str">
        <f>IFERROR(__xludf.DUMMYFUNCTION("""COMPUTED_VALUE"""),"Running")</f>
        <v>Running</v>
      </c>
      <c r="O829" s="7" t="str">
        <f>IFERROR(__xludf.DUMMYFUNCTION("""COMPUTED_VALUE"""),"3 a 5 veces por semana")</f>
        <v>3 a 5 veces por semana</v>
      </c>
      <c r="P829" s="7"/>
      <c r="Q829" s="7"/>
      <c r="R829" s="7"/>
      <c r="S829" s="7"/>
    </row>
    <row r="830">
      <c r="A830" s="7" t="str">
        <f t="shared" si="1"/>
        <v>Dahbar, Silvina Susana </v>
      </c>
      <c r="B830" s="7">
        <f>SUMIFS('bd caja'!$K$1:$K$1012,'bd caja'!$D$1:$D$1012,A830)</f>
        <v>0</v>
      </c>
      <c r="C830" s="19">
        <f>IFERROR(__xludf.DUMMYFUNCTION("""COMPUTED_VALUE"""),45666.85024260417)</f>
        <v>45666.85024</v>
      </c>
      <c r="D830" s="7" t="str">
        <f>IFERROR(__xludf.DUMMYFUNCTION("""COMPUTED_VALUE"""),"Dahbar")</f>
        <v>Dahbar</v>
      </c>
      <c r="E830" s="7" t="str">
        <f>IFERROR(__xludf.DUMMYFUNCTION("""COMPUTED_VALUE"""),"Silvina Susana ")</f>
        <v>Silvina Susana </v>
      </c>
      <c r="F830" s="7" t="str">
        <f>IFERROR(__xludf.DUMMYFUNCTION("""COMPUTED_VALUE"""),"dahbarsilvina@gmail.com ")</f>
        <v>dahbarsilvina@gmail.com </v>
      </c>
      <c r="G830" s="20">
        <f>IFERROR(__xludf.DUMMYFUNCTION("""COMPUTED_VALUE"""),25126.0)</f>
        <v>25126</v>
      </c>
      <c r="H830" s="21">
        <f>IFERROR(__xludf.DUMMYFUNCTION("""COMPUTED_VALUE"""),2.0531066E7)</f>
        <v>20531066</v>
      </c>
      <c r="I830" s="7">
        <f>IFERROR(__xludf.DUMMYFUNCTION("""COMPUTED_VALUE"""),3.515121314E9)</f>
        <v>3515121314</v>
      </c>
      <c r="J830" s="7" t="str">
        <f>IFERROR(__xludf.DUMMYFUNCTION("""COMPUTED_VALUE"""),"Recomendación")</f>
        <v>Recomendación</v>
      </c>
      <c r="K830" s="7" t="str">
        <f>IFERROR(__xludf.DUMMYFUNCTION("""COMPUTED_VALUE"""),"Obra social")</f>
        <v>Obra social</v>
      </c>
      <c r="L830" s="7"/>
      <c r="M830" s="7" t="str">
        <f>IFERROR(__xludf.DUMMYFUNCTION("""COMPUTED_VALUE"""),"Si")</f>
        <v>Si</v>
      </c>
      <c r="N830" s="7" t="str">
        <f>IFERROR(__xludf.DUMMYFUNCTION("""COMPUTED_VALUE"""),"Pilates funcional")</f>
        <v>Pilates funcional</v>
      </c>
      <c r="O830" s="7" t="str">
        <f>IFERROR(__xludf.DUMMYFUNCTION("""COMPUTED_VALUE"""),"1 a 2 veces por semana")</f>
        <v>1 a 2 veces por semana</v>
      </c>
      <c r="P830" s="7"/>
      <c r="Q830" s="7" t="str">
        <f>IFERROR(__xludf.DUMMYFUNCTION("""COMPUTED_VALUE"""),"APROSS")</f>
        <v>APROSS</v>
      </c>
      <c r="R830" s="7"/>
      <c r="S830" s="7"/>
    </row>
    <row r="831">
      <c r="A831" s="7" t="str">
        <f t="shared" si="1"/>
        <v>Peralta, Magdalena A</v>
      </c>
      <c r="B831" s="7">
        <f>SUMIFS('bd caja'!$K$1:$K$1012,'bd caja'!$D$1:$D$1012,A831)</f>
        <v>0</v>
      </c>
      <c r="C831" s="19">
        <f>IFERROR(__xludf.DUMMYFUNCTION("""COMPUTED_VALUE"""),45667.5769353588)</f>
        <v>45667.57694</v>
      </c>
      <c r="D831" s="7" t="str">
        <f>IFERROR(__xludf.DUMMYFUNCTION("""COMPUTED_VALUE"""),"Peralta")</f>
        <v>Peralta</v>
      </c>
      <c r="E831" s="7" t="str">
        <f>IFERROR(__xludf.DUMMYFUNCTION("""COMPUTED_VALUE"""),"Magdalena A")</f>
        <v>Magdalena A</v>
      </c>
      <c r="F831" s="7" t="str">
        <f>IFERROR(__xludf.DUMMYFUNCTION("""COMPUTED_VALUE"""),"magdalenaarmindape@gmail.com")</f>
        <v>magdalenaarmindape@gmail.com</v>
      </c>
      <c r="G831" s="20">
        <f>IFERROR(__xludf.DUMMYFUNCTION("""COMPUTED_VALUE"""),15359.0)</f>
        <v>15359</v>
      </c>
      <c r="H831" s="7">
        <f>IFERROR(__xludf.DUMMYFUNCTION("""COMPUTED_VALUE"""),4278863.0)</f>
        <v>4278863</v>
      </c>
      <c r="I831" s="7">
        <f>IFERROR(__xludf.DUMMYFUNCTION("""COMPUTED_VALUE"""),3.516362189E9)</f>
        <v>3516362189</v>
      </c>
      <c r="J831" s="7" t="str">
        <f>IFERROR(__xludf.DUMMYFUNCTION("""COMPUTED_VALUE"""),"Cartilla Obra Social")</f>
        <v>Cartilla Obra Social</v>
      </c>
      <c r="K831" s="7" t="str">
        <f>IFERROR(__xludf.DUMMYFUNCTION("""COMPUTED_VALUE"""),"Obra social")</f>
        <v>Obra social</v>
      </c>
      <c r="L831" s="7"/>
      <c r="M831" s="7" t="str">
        <f>IFERROR(__xludf.DUMMYFUNCTION("""COMPUTED_VALUE"""),"Si")</f>
        <v>Si</v>
      </c>
      <c r="N831" s="7"/>
      <c r="O831" s="7" t="str">
        <f>IFERROR(__xludf.DUMMYFUNCTION("""COMPUTED_VALUE"""),"1 a 2 veces por semana")</f>
        <v>1 a 2 veces por semana</v>
      </c>
      <c r="P831" s="7"/>
      <c r="Q831" s="7" t="str">
        <f>IFERROR(__xludf.DUMMYFUNCTION("""COMPUTED_VALUE"""),"APROSS")</f>
        <v>APROSS</v>
      </c>
      <c r="R831" s="7"/>
      <c r="S831" s="7"/>
    </row>
    <row r="832">
      <c r="A832" s="7" t="str">
        <f t="shared" si="1"/>
        <v>Grandi, Maria Eugenia</v>
      </c>
      <c r="B832" s="7">
        <f>SUMIFS('bd caja'!$K$1:$K$1012,'bd caja'!$D$1:$D$1012,A832)</f>
        <v>0</v>
      </c>
      <c r="C832" s="19">
        <f>IFERROR(__xludf.DUMMYFUNCTION("""COMPUTED_VALUE"""),45671.62603438657)</f>
        <v>45671.62603</v>
      </c>
      <c r="D832" s="7" t="str">
        <f>IFERROR(__xludf.DUMMYFUNCTION("""COMPUTED_VALUE"""),"Grandi")</f>
        <v>Grandi</v>
      </c>
      <c r="E832" s="7" t="str">
        <f>IFERROR(__xludf.DUMMYFUNCTION("""COMPUTED_VALUE"""),"Maria Eugenia")</f>
        <v>Maria Eugenia</v>
      </c>
      <c r="F832" s="7"/>
      <c r="G832" s="20">
        <f>IFERROR(__xludf.DUMMYFUNCTION("""COMPUTED_VALUE"""),17117.0)</f>
        <v>17117</v>
      </c>
      <c r="H832" s="7">
        <f>IFERROR(__xludf.DUMMYFUNCTION("""COMPUTED_VALUE"""),5489599.0)</f>
        <v>5489599</v>
      </c>
      <c r="I832" s="7">
        <f>IFERROR(__xludf.DUMMYFUNCTION("""COMPUTED_VALUE"""),3.516144212E9)</f>
        <v>3516144212</v>
      </c>
      <c r="J832" s="7" t="str">
        <f>IFERROR(__xludf.DUMMYFUNCTION("""COMPUTED_VALUE"""),"Recomendación")</f>
        <v>Recomendación</v>
      </c>
      <c r="K832" s="7" t="str">
        <f>IFERROR(__xludf.DUMMYFUNCTION("""COMPUTED_VALUE"""),"Obra social")</f>
        <v>Obra social</v>
      </c>
      <c r="L832" s="7"/>
      <c r="M832" s="7" t="str">
        <f>IFERROR(__xludf.DUMMYFUNCTION("""COMPUTED_VALUE"""),"No")</f>
        <v>No</v>
      </c>
      <c r="N832" s="7"/>
      <c r="O832" s="7"/>
      <c r="P832" s="7"/>
      <c r="Q832" s="7" t="str">
        <f>IFERROR(__xludf.DUMMYFUNCTION("""COMPUTED_VALUE"""),"APROSS")</f>
        <v>APROSS</v>
      </c>
      <c r="R832" s="7"/>
      <c r="S832" s="7"/>
    </row>
    <row r="833">
      <c r="A833" s="7" t="str">
        <f t="shared" si="1"/>
        <v>Ramos, Laura</v>
      </c>
      <c r="B833" s="7">
        <f>SUMIFS('bd caja'!$K$1:$K$1012,'bd caja'!$D$1:$D$1012,A833)</f>
        <v>0</v>
      </c>
      <c r="C833" s="19">
        <f>IFERROR(__xludf.DUMMYFUNCTION("""COMPUTED_VALUE"""),45671.67576701389)</f>
        <v>45671.67577</v>
      </c>
      <c r="D833" s="7" t="str">
        <f>IFERROR(__xludf.DUMMYFUNCTION("""COMPUTED_VALUE"""),"Ramos")</f>
        <v>Ramos</v>
      </c>
      <c r="E833" s="7" t="str">
        <f>IFERROR(__xludf.DUMMYFUNCTION("""COMPUTED_VALUE"""),"Laura")</f>
        <v>Laura</v>
      </c>
      <c r="F833" s="7"/>
      <c r="G833" s="20">
        <f>IFERROR(__xludf.DUMMYFUNCTION("""COMPUTED_VALUE"""),22537.0)</f>
        <v>22537</v>
      </c>
      <c r="H833" s="7">
        <f>IFERROR(__xludf.DUMMYFUNCTION("""COMPUTED_VALUE"""),1.3951769E7)</f>
        <v>13951769</v>
      </c>
      <c r="I833" s="7">
        <f>IFERROR(__xludf.DUMMYFUNCTION("""COMPUTED_VALUE"""),3.513019701E9)</f>
        <v>3513019701</v>
      </c>
      <c r="J833" s="7" t="str">
        <f>IFERROR(__xludf.DUMMYFUNCTION("""COMPUTED_VALUE"""),"Google")</f>
        <v>Google</v>
      </c>
      <c r="K833" s="7" t="str">
        <f>IFERROR(__xludf.DUMMYFUNCTION("""COMPUTED_VALUE"""),"Obra social")</f>
        <v>Obra social</v>
      </c>
      <c r="L833" s="7"/>
      <c r="M833" s="7" t="str">
        <f>IFERROR(__xludf.DUMMYFUNCTION("""COMPUTED_VALUE"""),"Si")</f>
        <v>Si</v>
      </c>
      <c r="N833" s="7"/>
      <c r="O833" s="7" t="str">
        <f>IFERROR(__xludf.DUMMYFUNCTION("""COMPUTED_VALUE"""),"3 a 5 veces por semana")</f>
        <v>3 a 5 veces por semana</v>
      </c>
      <c r="P833" s="7"/>
      <c r="Q833" s="7" t="str">
        <f>IFERROR(__xludf.DUMMYFUNCTION("""COMPUTED_VALUE"""),"APROSS")</f>
        <v>APROSS</v>
      </c>
      <c r="R833" s="7"/>
      <c r="S833" s="7"/>
    </row>
    <row r="834">
      <c r="A834" s="7" t="str">
        <f t="shared" si="1"/>
        <v>Novgorodtsev, Nikita</v>
      </c>
      <c r="B834" s="7">
        <f>SUMIFS('bd caja'!$K$1:$K$1012,'bd caja'!$D$1:$D$1012,A834)</f>
        <v>0</v>
      </c>
      <c r="C834" s="19">
        <f>IFERROR(__xludf.DUMMYFUNCTION("""COMPUTED_VALUE"""),45672.80083879629)</f>
        <v>45672.80084</v>
      </c>
      <c r="D834" s="7" t="str">
        <f>IFERROR(__xludf.DUMMYFUNCTION("""COMPUTED_VALUE"""),"Novgorodtsev")</f>
        <v>Novgorodtsev</v>
      </c>
      <c r="E834" s="7" t="str">
        <f>IFERROR(__xludf.DUMMYFUNCTION("""COMPUTED_VALUE"""),"Nikita")</f>
        <v>Nikita</v>
      </c>
      <c r="F834" s="7" t="str">
        <f>IFERROR(__xludf.DUMMYFUNCTION("""COMPUTED_VALUE"""),"cooltank01@gmail.com")</f>
        <v>cooltank01@gmail.com</v>
      </c>
      <c r="G834" s="20">
        <f>IFERROR(__xludf.DUMMYFUNCTION("""COMPUTED_VALUE"""),33092.0)</f>
        <v>33092</v>
      </c>
      <c r="H834" s="7">
        <f>IFERROR(__xludf.DUMMYFUNCTION("""COMPUTED_VALUE"""),9.6360039E7)</f>
        <v>96360039</v>
      </c>
      <c r="I834" s="7">
        <f>IFERROR(__xludf.DUMMYFUNCTION("""COMPUTED_VALUE"""),1.171164849E9)</f>
        <v>1171164849</v>
      </c>
      <c r="J834" s="7" t="str">
        <f>IFERROR(__xludf.DUMMYFUNCTION("""COMPUTED_VALUE"""),"Google")</f>
        <v>Google</v>
      </c>
      <c r="K834" s="7" t="str">
        <f>IFERROR(__xludf.DUMMYFUNCTION("""COMPUTED_VALUE"""),"Particular")</f>
        <v>Particular</v>
      </c>
      <c r="L834" s="7"/>
      <c r="M834" s="7" t="str">
        <f>IFERROR(__xludf.DUMMYFUNCTION("""COMPUTED_VALUE"""),"Si")</f>
        <v>Si</v>
      </c>
      <c r="N834" s="7" t="str">
        <f>IFERROR(__xludf.DUMMYFUNCTION("""COMPUTED_VALUE"""),"Gimnasio")</f>
        <v>Gimnasio</v>
      </c>
      <c r="O834" s="7" t="str">
        <f>IFERROR(__xludf.DUMMYFUNCTION("""COMPUTED_VALUE"""),"1 a 2 veces por semana")</f>
        <v>1 a 2 veces por semana</v>
      </c>
      <c r="P834" s="7"/>
      <c r="Q834" s="7"/>
      <c r="R834" s="7"/>
      <c r="S834" s="7"/>
    </row>
    <row r="835">
      <c r="A835" s="7" t="str">
        <f t="shared" si="1"/>
        <v>Segovia, Guillermo</v>
      </c>
      <c r="B835" s="7">
        <f>SUMIFS('bd caja'!$K$1:$K$1012,'bd caja'!$D$1:$D$1012,A835)</f>
        <v>0</v>
      </c>
      <c r="C835" s="19">
        <f>IFERROR(__xludf.DUMMYFUNCTION("""COMPUTED_VALUE"""),45673.36994939815)</f>
        <v>45673.36995</v>
      </c>
      <c r="D835" s="7" t="str">
        <f>IFERROR(__xludf.DUMMYFUNCTION("""COMPUTED_VALUE"""),"Segovia")</f>
        <v>Segovia</v>
      </c>
      <c r="E835" s="7" t="str">
        <f>IFERROR(__xludf.DUMMYFUNCTION("""COMPUTED_VALUE"""),"Guillermo")</f>
        <v>Guillermo</v>
      </c>
      <c r="F835" s="7"/>
      <c r="G835" s="20">
        <f>IFERROR(__xludf.DUMMYFUNCTION("""COMPUTED_VALUE"""),25180.0)</f>
        <v>25180</v>
      </c>
      <c r="H835" s="7">
        <f>IFERROR(__xludf.DUMMYFUNCTION("""COMPUTED_VALUE"""),2.0543106E7)</f>
        <v>20543106</v>
      </c>
      <c r="I835" s="7">
        <f>IFERROR(__xludf.DUMMYFUNCTION("""COMPUTED_VALUE"""),3.516797692E9)</f>
        <v>3516797692</v>
      </c>
      <c r="J835" s="7" t="str">
        <f>IFERROR(__xludf.DUMMYFUNCTION("""COMPUTED_VALUE"""),"Recomendación")</f>
        <v>Recomendación</v>
      </c>
      <c r="K835" s="7" t="str">
        <f>IFERROR(__xludf.DUMMYFUNCTION("""COMPUTED_VALUE"""),"Obra social")</f>
        <v>Obra social</v>
      </c>
      <c r="L835" s="7"/>
      <c r="M835" s="7" t="str">
        <f>IFERROR(__xludf.DUMMYFUNCTION("""COMPUTED_VALUE"""),"No")</f>
        <v>No</v>
      </c>
      <c r="N835" s="7"/>
      <c r="O835" s="7"/>
      <c r="P835" s="7"/>
      <c r="Q835" s="7" t="str">
        <f>IFERROR(__xludf.DUMMYFUNCTION("""COMPUTED_VALUE"""),"PREVENCIÓN")</f>
        <v>PREVENCIÓN</v>
      </c>
      <c r="R835" s="7"/>
      <c r="S835" s="7"/>
    </row>
    <row r="836">
      <c r="A836" s="7" t="str">
        <f t="shared" si="1"/>
        <v>Pérez , Maria ines</v>
      </c>
      <c r="B836" s="7">
        <f>SUMIFS('bd caja'!$K$1:$K$1012,'bd caja'!$D$1:$D$1012,A836)</f>
        <v>0</v>
      </c>
      <c r="C836" s="19">
        <f>IFERROR(__xludf.DUMMYFUNCTION("""COMPUTED_VALUE"""),45673.479054537034)</f>
        <v>45673.47905</v>
      </c>
      <c r="D836" s="7" t="str">
        <f>IFERROR(__xludf.DUMMYFUNCTION("""COMPUTED_VALUE"""),"Pérez ")</f>
        <v>Pérez </v>
      </c>
      <c r="E836" s="7" t="str">
        <f>IFERROR(__xludf.DUMMYFUNCTION("""COMPUTED_VALUE"""),"Maria ines")</f>
        <v>Maria ines</v>
      </c>
      <c r="F836" s="7" t="str">
        <f>IFERROR(__xludf.DUMMYFUNCTION("""COMPUTED_VALUE"""),"inesperezema@gmail.com")</f>
        <v>inesperezema@gmail.com</v>
      </c>
      <c r="G836" s="20">
        <f>IFERROR(__xludf.DUMMYFUNCTION("""COMPUTED_VALUE"""),33196.0)</f>
        <v>33196</v>
      </c>
      <c r="H836" s="7">
        <f>IFERROR(__xludf.DUMMYFUNCTION("""COMPUTED_VALUE"""),3.5531617E7)</f>
        <v>35531617</v>
      </c>
      <c r="I836" s="7">
        <f>IFERROR(__xludf.DUMMYFUNCTION("""COMPUTED_VALUE"""),3.512327857E9)</f>
        <v>3512327857</v>
      </c>
      <c r="J836" s="7" t="str">
        <f>IFERROR(__xludf.DUMMYFUNCTION("""COMPUTED_VALUE"""),"Google")</f>
        <v>Google</v>
      </c>
      <c r="K836" s="7" t="str">
        <f>IFERROR(__xludf.DUMMYFUNCTION("""COMPUTED_VALUE"""),"Obra social")</f>
        <v>Obra social</v>
      </c>
      <c r="L836" s="7"/>
      <c r="M836" s="7" t="str">
        <f>IFERROR(__xludf.DUMMYFUNCTION("""COMPUTED_VALUE"""),"No")</f>
        <v>No</v>
      </c>
      <c r="N836" s="7"/>
      <c r="O836" s="7"/>
      <c r="P836" s="7"/>
      <c r="Q836" s="7" t="str">
        <f>IFERROR(__xludf.DUMMYFUNCTION("""COMPUTED_VALUE"""),"Ossoelsac")</f>
        <v>Ossoelsac</v>
      </c>
      <c r="R836" s="7"/>
      <c r="S836" s="7"/>
    </row>
    <row r="837">
      <c r="A837" s="7" t="str">
        <f t="shared" si="1"/>
        <v>Perez, Maria Inés </v>
      </c>
      <c r="B837" s="7">
        <f>SUMIFS('bd caja'!$K$1:$K$1012,'bd caja'!$D$1:$D$1012,A837)</f>
        <v>0</v>
      </c>
      <c r="C837" s="19">
        <f>IFERROR(__xludf.DUMMYFUNCTION("""COMPUTED_VALUE"""),45673.48066210648)</f>
        <v>45673.48066</v>
      </c>
      <c r="D837" s="7" t="str">
        <f>IFERROR(__xludf.DUMMYFUNCTION("""COMPUTED_VALUE"""),"Perez")</f>
        <v>Perez</v>
      </c>
      <c r="E837" s="7" t="str">
        <f>IFERROR(__xludf.DUMMYFUNCTION("""COMPUTED_VALUE"""),"Maria Inés ")</f>
        <v>Maria Inés </v>
      </c>
      <c r="F837" s="7" t="str">
        <f>IFERROR(__xludf.DUMMYFUNCTION("""COMPUTED_VALUE"""),"inesperezema@gmail.com")</f>
        <v>inesperezema@gmail.com</v>
      </c>
      <c r="G837" s="20">
        <f>IFERROR(__xludf.DUMMYFUNCTION("""COMPUTED_VALUE"""),33196.0)</f>
        <v>33196</v>
      </c>
      <c r="H837" s="7">
        <f>IFERROR(__xludf.DUMMYFUNCTION("""COMPUTED_VALUE"""),3.5531617E7)</f>
        <v>35531617</v>
      </c>
      <c r="I837" s="7">
        <f>IFERROR(__xludf.DUMMYFUNCTION("""COMPUTED_VALUE"""),3.512327857E9)</f>
        <v>3512327857</v>
      </c>
      <c r="J837" s="7" t="str">
        <f>IFERROR(__xludf.DUMMYFUNCTION("""COMPUTED_VALUE"""),"Google")</f>
        <v>Google</v>
      </c>
      <c r="K837" s="7" t="str">
        <f>IFERROR(__xludf.DUMMYFUNCTION("""COMPUTED_VALUE"""),"Obra social")</f>
        <v>Obra social</v>
      </c>
      <c r="L837" s="7"/>
      <c r="M837" s="7" t="str">
        <f>IFERROR(__xludf.DUMMYFUNCTION("""COMPUTED_VALUE"""),"No")</f>
        <v>No</v>
      </c>
      <c r="N837" s="7"/>
      <c r="O837" s="7"/>
      <c r="P837" s="7"/>
      <c r="Q837" s="7" t="str">
        <f>IFERROR(__xludf.DUMMYFUNCTION("""COMPUTED_VALUE"""),"Osoelsac ")</f>
        <v>Osoelsac </v>
      </c>
      <c r="R837" s="7"/>
      <c r="S837" s="7"/>
    </row>
    <row r="838">
      <c r="A838" s="7" t="str">
        <f t="shared" si="1"/>
        <v>Maturano, Clarisa</v>
      </c>
      <c r="B838" s="7">
        <f>SUMIFS('bd caja'!$K$1:$K$1012,'bd caja'!$D$1:$D$1012,A838)</f>
        <v>0</v>
      </c>
      <c r="C838" s="19">
        <f>IFERROR(__xludf.DUMMYFUNCTION("""COMPUTED_VALUE"""),45673.62498638889)</f>
        <v>45673.62499</v>
      </c>
      <c r="D838" s="7" t="str">
        <f>IFERROR(__xludf.DUMMYFUNCTION("""COMPUTED_VALUE"""),"Maturano")</f>
        <v>Maturano</v>
      </c>
      <c r="E838" s="7" t="str">
        <f>IFERROR(__xludf.DUMMYFUNCTION("""COMPUTED_VALUE"""),"Clarisa")</f>
        <v>Clarisa</v>
      </c>
      <c r="F838" s="7"/>
      <c r="G838" s="20">
        <f>IFERROR(__xludf.DUMMYFUNCTION("""COMPUTED_VALUE"""),27606.0)</f>
        <v>27606</v>
      </c>
      <c r="H838" s="7">
        <f>IFERROR(__xludf.DUMMYFUNCTION("""COMPUTED_VALUE"""),2.4629326E7)</f>
        <v>24629326</v>
      </c>
      <c r="I838" s="7">
        <f>IFERROR(__xludf.DUMMYFUNCTION("""COMPUTED_VALUE"""),3.512273529E9)</f>
        <v>3512273529</v>
      </c>
      <c r="J838" s="7" t="str">
        <f>IFERROR(__xludf.DUMMYFUNCTION("""COMPUTED_VALUE"""),"Recomendación")</f>
        <v>Recomendación</v>
      </c>
      <c r="K838" s="7" t="str">
        <f>IFERROR(__xludf.DUMMYFUNCTION("""COMPUTED_VALUE"""),"Particular")</f>
        <v>Particular</v>
      </c>
      <c r="L838" s="7"/>
      <c r="M838" s="7" t="str">
        <f>IFERROR(__xludf.DUMMYFUNCTION("""COMPUTED_VALUE"""),"No")</f>
        <v>No</v>
      </c>
      <c r="N838" s="7"/>
      <c r="O838" s="7"/>
      <c r="P838" s="7"/>
      <c r="Q838" s="7"/>
      <c r="R838" s="7"/>
      <c r="S838" s="7"/>
    </row>
    <row r="839">
      <c r="A839" s="7" t="str">
        <f t="shared" si="1"/>
        <v>Varela , Daniel Alejandro </v>
      </c>
      <c r="B839" s="7">
        <f>SUMIFS('bd caja'!$K$1:$K$1012,'bd caja'!$D$1:$D$1012,A839)</f>
        <v>0</v>
      </c>
      <c r="C839" s="19">
        <f>IFERROR(__xludf.DUMMYFUNCTION("""COMPUTED_VALUE"""),45674.632035613424)</f>
        <v>45674.63204</v>
      </c>
      <c r="D839" s="7" t="str">
        <f>IFERROR(__xludf.DUMMYFUNCTION("""COMPUTED_VALUE"""),"Varela ")</f>
        <v>Varela </v>
      </c>
      <c r="E839" s="7" t="str">
        <f>IFERROR(__xludf.DUMMYFUNCTION("""COMPUTED_VALUE"""),"Daniel Alejandro ")</f>
        <v>Daniel Alejandro </v>
      </c>
      <c r="F839" s="7" t="str">
        <f>IFERROR(__xludf.DUMMYFUNCTION("""COMPUTED_VALUE"""),"danielalevarela1973@gmail.com ")</f>
        <v>danielalevarela1973@gmail.com </v>
      </c>
      <c r="G839" s="20">
        <f>IFERROR(__xludf.DUMMYFUNCTION("""COMPUTED_VALUE"""),26672.0)</f>
        <v>26672</v>
      </c>
      <c r="H839" s="7">
        <f>IFERROR(__xludf.DUMMYFUNCTION("""COMPUTED_VALUE"""),2.3194124E7)</f>
        <v>23194124</v>
      </c>
      <c r="I839" s="7">
        <f>IFERROR(__xludf.DUMMYFUNCTION("""COMPUTED_VALUE"""),3.516220388E9)</f>
        <v>3516220388</v>
      </c>
      <c r="J839" s="7" t="str">
        <f>IFERROR(__xludf.DUMMYFUNCTION("""COMPUTED_VALUE"""),"Cartilla Obra Social")</f>
        <v>Cartilla Obra Social</v>
      </c>
      <c r="K839" s="7" t="str">
        <f>IFERROR(__xludf.DUMMYFUNCTION("""COMPUTED_VALUE"""),"Obra social")</f>
        <v>Obra social</v>
      </c>
      <c r="L839" s="7"/>
      <c r="M839" s="7" t="str">
        <f>IFERROR(__xludf.DUMMYFUNCTION("""COMPUTED_VALUE"""),"No")</f>
        <v>No</v>
      </c>
      <c r="N839" s="7"/>
      <c r="O839" s="7"/>
      <c r="P839" s="7"/>
      <c r="Q839" s="7" t="str">
        <f>IFERROR(__xludf.DUMMYFUNCTION("""COMPUTED_VALUE"""),"Boreal ")</f>
        <v>Boreal </v>
      </c>
      <c r="R839" s="7"/>
      <c r="S839" s="7"/>
    </row>
    <row r="840">
      <c r="A840" s="7" t="str">
        <f t="shared" si="1"/>
        <v>Tello, Veronica</v>
      </c>
      <c r="B840" s="7">
        <f>SUMIFS('bd caja'!$K$1:$K$1012,'bd caja'!$D$1:$D$1012,A840)</f>
        <v>0</v>
      </c>
      <c r="C840" s="19">
        <f>IFERROR(__xludf.DUMMYFUNCTION("""COMPUTED_VALUE"""),45674.668786793976)</f>
        <v>45674.66879</v>
      </c>
      <c r="D840" s="7" t="str">
        <f>IFERROR(__xludf.DUMMYFUNCTION("""COMPUTED_VALUE"""),"Tello")</f>
        <v>Tello</v>
      </c>
      <c r="E840" s="7" t="str">
        <f>IFERROR(__xludf.DUMMYFUNCTION("""COMPUTED_VALUE"""),"Veronica")</f>
        <v>Veronica</v>
      </c>
      <c r="F840" s="7" t="str">
        <f>IFERROR(__xludf.DUMMYFUNCTION("""COMPUTED_VALUE"""),"verotello81@hotmail.com")</f>
        <v>verotello81@hotmail.com</v>
      </c>
      <c r="G840" s="20">
        <f>IFERROR(__xludf.DUMMYFUNCTION("""COMPUTED_VALUE"""),29947.0)</f>
        <v>29947</v>
      </c>
      <c r="H840" s="7">
        <f>IFERROR(__xludf.DUMMYFUNCTION("""COMPUTED_VALUE"""),2.920698E7)</f>
        <v>29206980</v>
      </c>
      <c r="I840" s="7">
        <f>IFERROR(__xludf.DUMMYFUNCTION("""COMPUTED_VALUE"""),3.515116806E9)</f>
        <v>3515116806</v>
      </c>
      <c r="J840" s="7" t="str">
        <f>IFERROR(__xludf.DUMMYFUNCTION("""COMPUTED_VALUE"""),"Voy al gym Manantial")</f>
        <v>Voy al gym Manantial</v>
      </c>
      <c r="K840" s="7" t="str">
        <f>IFERROR(__xludf.DUMMYFUNCTION("""COMPUTED_VALUE"""),"Obra social")</f>
        <v>Obra social</v>
      </c>
      <c r="L840" s="7"/>
      <c r="M840" s="7" t="str">
        <f>IFERROR(__xludf.DUMMYFUNCTION("""COMPUTED_VALUE"""),"Si")</f>
        <v>Si</v>
      </c>
      <c r="N840" s="7" t="str">
        <f>IFERROR(__xludf.DUMMYFUNCTION("""COMPUTED_VALUE"""),"Gimnasio")</f>
        <v>Gimnasio</v>
      </c>
      <c r="O840" s="7" t="str">
        <f>IFERROR(__xludf.DUMMYFUNCTION("""COMPUTED_VALUE"""),"1 a 2 veces por semana")</f>
        <v>1 a 2 veces por semana</v>
      </c>
      <c r="P840" s="7"/>
      <c r="Q840" s="7" t="str">
        <f>IFERROR(__xludf.DUMMYFUNCTION("""COMPUTED_VALUE"""),"APROSS")</f>
        <v>APROSS</v>
      </c>
      <c r="R840" s="7"/>
      <c r="S840" s="7"/>
    </row>
    <row r="841">
      <c r="A841" s="7" t="str">
        <f t="shared" si="1"/>
        <v>Ortiz, Lucio</v>
      </c>
      <c r="B841" s="7">
        <f>SUMIFS('bd caja'!$K$1:$K$1012,'bd caja'!$D$1:$D$1012,A841)</f>
        <v>0</v>
      </c>
      <c r="C841" s="19">
        <f>IFERROR(__xludf.DUMMYFUNCTION("""COMPUTED_VALUE"""),45677.403479953704)</f>
        <v>45677.40348</v>
      </c>
      <c r="D841" s="7" t="str">
        <f>IFERROR(__xludf.DUMMYFUNCTION("""COMPUTED_VALUE"""),"Ortiz")</f>
        <v>Ortiz</v>
      </c>
      <c r="E841" s="7" t="str">
        <f>IFERROR(__xludf.DUMMYFUNCTION("""COMPUTED_VALUE"""),"Lucio")</f>
        <v>Lucio</v>
      </c>
      <c r="F841" s="7" t="str">
        <f>IFERROR(__xludf.DUMMYFUNCTION("""COMPUTED_VALUE"""),"-")</f>
        <v>-</v>
      </c>
      <c r="G841" s="20">
        <f>IFERROR(__xludf.DUMMYFUNCTION("""COMPUTED_VALUE"""),15278.0)</f>
        <v>15278</v>
      </c>
      <c r="H841" s="7">
        <f>IFERROR(__xludf.DUMMYFUNCTION("""COMPUTED_VALUE"""),7965847.0)</f>
        <v>7965847</v>
      </c>
      <c r="I841" s="7">
        <f>IFERROR(__xludf.DUMMYFUNCTION("""COMPUTED_VALUE"""),3.512007914E9)</f>
        <v>3512007914</v>
      </c>
      <c r="J841" s="7" t="str">
        <f>IFERROR(__xludf.DUMMYFUNCTION("""COMPUTED_VALUE"""),"Google")</f>
        <v>Google</v>
      </c>
      <c r="K841" s="7" t="str">
        <f>IFERROR(__xludf.DUMMYFUNCTION("""COMPUTED_VALUE"""),"Obra social")</f>
        <v>Obra social</v>
      </c>
      <c r="L841" s="7"/>
      <c r="M841" s="7" t="str">
        <f>IFERROR(__xludf.DUMMYFUNCTION("""COMPUTED_VALUE"""),"Si")</f>
        <v>Si</v>
      </c>
      <c r="N841" s="7" t="str">
        <f>IFERROR(__xludf.DUMMYFUNCTION("""COMPUTED_VALUE"""),"Caminata")</f>
        <v>Caminata</v>
      </c>
      <c r="O841" s="7" t="str">
        <f>IFERROR(__xludf.DUMMYFUNCTION("""COMPUTED_VALUE"""),"6 a 7 veces por semana")</f>
        <v>6 a 7 veces por semana</v>
      </c>
      <c r="P841" s="7"/>
      <c r="Q841" s="7" t="str">
        <f>IFERROR(__xludf.DUMMYFUNCTION("""COMPUTED_VALUE"""),"APROSS")</f>
        <v>APROSS</v>
      </c>
      <c r="R841" s="7"/>
      <c r="S841" s="7"/>
    </row>
    <row r="842">
      <c r="A842" s="7" t="str">
        <f t="shared" si="1"/>
        <v>Malcolm, Elsa</v>
      </c>
      <c r="B842" s="7">
        <f>SUMIFS('bd caja'!$K$1:$K$1012,'bd caja'!$D$1:$D$1012,A842)</f>
        <v>0</v>
      </c>
      <c r="C842" s="19">
        <f>IFERROR(__xludf.DUMMYFUNCTION("""COMPUTED_VALUE"""),45677.65395695602)</f>
        <v>45677.65396</v>
      </c>
      <c r="D842" s="7" t="str">
        <f>IFERROR(__xludf.DUMMYFUNCTION("""COMPUTED_VALUE"""),"Malcolm")</f>
        <v>Malcolm</v>
      </c>
      <c r="E842" s="7" t="str">
        <f>IFERROR(__xludf.DUMMYFUNCTION("""COMPUTED_VALUE"""),"Elsa")</f>
        <v>Elsa</v>
      </c>
      <c r="F842" s="7" t="str">
        <f>IFERROR(__xludf.DUMMYFUNCTION("""COMPUTED_VALUE"""),"emp-39@hotmail.com")</f>
        <v>emp-39@hotmail.com</v>
      </c>
      <c r="G842" s="20">
        <f>IFERROR(__xludf.DUMMYFUNCTION("""COMPUTED_VALUE"""),18451.0)</f>
        <v>18451</v>
      </c>
      <c r="H842" s="7">
        <f>IFERROR(__xludf.DUMMYFUNCTION("""COMPUTED_VALUE"""),6401938.0)</f>
        <v>6401938</v>
      </c>
      <c r="I842" s="7">
        <f>IFERROR(__xludf.DUMMYFUNCTION("""COMPUTED_VALUE"""),3.51663535E9)</f>
        <v>3516635350</v>
      </c>
      <c r="J842" s="7" t="str">
        <f>IFERROR(__xludf.DUMMYFUNCTION("""COMPUTED_VALUE"""),"Recomendación")</f>
        <v>Recomendación</v>
      </c>
      <c r="K842" s="7" t="str">
        <f>IFERROR(__xludf.DUMMYFUNCTION("""COMPUTED_VALUE"""),"Obra social")</f>
        <v>Obra social</v>
      </c>
      <c r="L842" s="7"/>
      <c r="M842" s="7" t="str">
        <f>IFERROR(__xludf.DUMMYFUNCTION("""COMPUTED_VALUE"""),"Si")</f>
        <v>Si</v>
      </c>
      <c r="N842" s="7" t="str">
        <f>IFERROR(__xludf.DUMMYFUNCTION("""COMPUTED_VALUE"""),"Gimnasio")</f>
        <v>Gimnasio</v>
      </c>
      <c r="O842" s="7" t="str">
        <f>IFERROR(__xludf.DUMMYFUNCTION("""COMPUTED_VALUE"""),"1 a 2 veces por semana")</f>
        <v>1 a 2 veces por semana</v>
      </c>
      <c r="P842" s="7"/>
      <c r="Q842" s="7" t="str">
        <f>IFERROR(__xludf.DUMMYFUNCTION("""COMPUTED_VALUE"""),"CPCE")</f>
        <v>CPCE</v>
      </c>
      <c r="R842" s="7"/>
      <c r="S842" s="7"/>
    </row>
    <row r="843">
      <c r="A843" s="7" t="str">
        <f t="shared" si="1"/>
        <v>Juan, Martín alberto</v>
      </c>
      <c r="B843" s="7">
        <f>SUMIFS('bd caja'!$K$1:$K$1012,'bd caja'!$D$1:$D$1012,A843)</f>
        <v>0</v>
      </c>
      <c r="C843" s="19">
        <f>IFERROR(__xludf.DUMMYFUNCTION("""COMPUTED_VALUE"""),45677.807818657406)</f>
        <v>45677.80782</v>
      </c>
      <c r="D843" s="7" t="str">
        <f>IFERROR(__xludf.DUMMYFUNCTION("""COMPUTED_VALUE"""),"Juan")</f>
        <v>Juan</v>
      </c>
      <c r="E843" s="7" t="str">
        <f>IFERROR(__xludf.DUMMYFUNCTION("""COMPUTED_VALUE"""),"Martín alberto")</f>
        <v>Martín alberto</v>
      </c>
      <c r="F843" s="7"/>
      <c r="G843" s="20">
        <f>IFERROR(__xludf.DUMMYFUNCTION("""COMPUTED_VALUE"""),32171.0)</f>
        <v>32171</v>
      </c>
      <c r="H843" s="7">
        <f>IFERROR(__xludf.DUMMYFUNCTION("""COMPUTED_VALUE"""),3.3535439E7)</f>
        <v>33535439</v>
      </c>
      <c r="I843" s="7">
        <f>IFERROR(__xludf.DUMMYFUNCTION("""COMPUTED_VALUE"""),3.517393466E9)</f>
        <v>3517393466</v>
      </c>
      <c r="J843" s="7" t="str">
        <f>IFERROR(__xludf.DUMMYFUNCTION("""COMPUTED_VALUE"""),"Voy al gym Manantial")</f>
        <v>Voy al gym Manantial</v>
      </c>
      <c r="K843" s="7" t="str">
        <f>IFERROR(__xludf.DUMMYFUNCTION("""COMPUTED_VALUE"""),"Obra social")</f>
        <v>Obra social</v>
      </c>
      <c r="L843" s="7"/>
      <c r="M843" s="7" t="str">
        <f>IFERROR(__xludf.DUMMYFUNCTION("""COMPUTED_VALUE"""),"Si")</f>
        <v>Si</v>
      </c>
      <c r="N843" s="7" t="str">
        <f>IFERROR(__xludf.DUMMYFUNCTION("""COMPUTED_VALUE"""),"Surf")</f>
        <v>Surf</v>
      </c>
      <c r="O843" s="7" t="str">
        <f>IFERROR(__xludf.DUMMYFUNCTION("""COMPUTED_VALUE"""),"3 a 5 veces por semana")</f>
        <v>3 a 5 veces por semana</v>
      </c>
      <c r="P843" s="7"/>
      <c r="Q843" s="7" t="str">
        <f>IFERROR(__xludf.DUMMYFUNCTION("""COMPUTED_VALUE"""),"SANCOR")</f>
        <v>SANCOR</v>
      </c>
      <c r="R843" s="7"/>
      <c r="S843" s="7"/>
    </row>
    <row r="844">
      <c r="A844" s="7" t="str">
        <f t="shared" si="1"/>
        <v>EGUILUZ , Alfredo</v>
      </c>
      <c r="B844" s="7">
        <f>SUMIFS('bd caja'!$K$1:$K$1012,'bd caja'!$D$1:$D$1012,A844)</f>
        <v>0</v>
      </c>
      <c r="C844" s="19">
        <f>IFERROR(__xludf.DUMMYFUNCTION("""COMPUTED_VALUE"""),45677.81876486111)</f>
        <v>45677.81876</v>
      </c>
      <c r="D844" s="7" t="str">
        <f>IFERROR(__xludf.DUMMYFUNCTION("""COMPUTED_VALUE"""),"EGUILUZ ")</f>
        <v>EGUILUZ </v>
      </c>
      <c r="E844" s="7" t="str">
        <f>IFERROR(__xludf.DUMMYFUNCTION("""COMPUTED_VALUE"""),"Alfredo")</f>
        <v>Alfredo</v>
      </c>
      <c r="F844" s="7" t="str">
        <f>IFERROR(__xludf.DUMMYFUNCTION("""COMPUTED_VALUE"""),"eguiluzalfredo@gmail.com")</f>
        <v>eguiluzalfredo@gmail.com</v>
      </c>
      <c r="G844" s="20">
        <f>IFERROR(__xludf.DUMMYFUNCTION("""COMPUTED_VALUE"""),20360.0)</f>
        <v>20360</v>
      </c>
      <c r="H844" s="21">
        <f>IFERROR(__xludf.DUMMYFUNCTION("""COMPUTED_VALUE"""),1.1785895E7)</f>
        <v>11785895</v>
      </c>
      <c r="I844" s="7">
        <f>IFERROR(__xludf.DUMMYFUNCTION("""COMPUTED_VALUE"""),3.515295932E9)</f>
        <v>3515295932</v>
      </c>
      <c r="J844" s="7" t="str">
        <f>IFERROR(__xludf.DUMMYFUNCTION("""COMPUTED_VALUE"""),"Recomendación")</f>
        <v>Recomendación</v>
      </c>
      <c r="K844" s="7" t="str">
        <f>IFERROR(__xludf.DUMMYFUNCTION("""COMPUTED_VALUE"""),"Particular")</f>
        <v>Particular</v>
      </c>
      <c r="L844" s="7"/>
      <c r="M844" s="7" t="str">
        <f>IFERROR(__xludf.DUMMYFUNCTION("""COMPUTED_VALUE"""),"No")</f>
        <v>No</v>
      </c>
      <c r="N844" s="7"/>
      <c r="O844" s="7"/>
      <c r="P844" s="7"/>
      <c r="Q844" s="7"/>
      <c r="R844" s="7"/>
      <c r="S844" s="7"/>
    </row>
    <row r="845">
      <c r="A845" s="7" t="str">
        <f t="shared" si="1"/>
        <v>Raimondi, Letizia Lucila</v>
      </c>
      <c r="B845" s="7">
        <f>SUMIFS('bd caja'!$K$1:$K$1012,'bd caja'!$D$1:$D$1012,A845)</f>
        <v>0</v>
      </c>
      <c r="C845" s="19">
        <f>IFERROR(__xludf.DUMMYFUNCTION("""COMPUTED_VALUE"""),45677.81958365741)</f>
        <v>45677.81958</v>
      </c>
      <c r="D845" s="7" t="str">
        <f>IFERROR(__xludf.DUMMYFUNCTION("""COMPUTED_VALUE"""),"Raimondi")</f>
        <v>Raimondi</v>
      </c>
      <c r="E845" s="7" t="str">
        <f>IFERROR(__xludf.DUMMYFUNCTION("""COMPUTED_VALUE"""),"Letizia Lucila")</f>
        <v>Letizia Lucila</v>
      </c>
      <c r="F845" s="7" t="str">
        <f>IFERROR(__xludf.DUMMYFUNCTION("""COMPUTED_VALUE"""),"letiraimondi@gmail.com")</f>
        <v>letiraimondi@gmail.com</v>
      </c>
      <c r="G845" s="20">
        <f>IFERROR(__xludf.DUMMYFUNCTION("""COMPUTED_VALUE"""),20759.0)</f>
        <v>20759</v>
      </c>
      <c r="H845" s="7">
        <f>IFERROR(__xludf.DUMMYFUNCTION("""COMPUTED_VALUE"""),1.2672465E7)</f>
        <v>12672465</v>
      </c>
      <c r="I845" s="7">
        <f>IFERROR(__xludf.DUMMYFUNCTION("""COMPUTED_VALUE"""),3.51241184E9)</f>
        <v>3512411840</v>
      </c>
      <c r="J845" s="7" t="str">
        <f>IFERROR(__xludf.DUMMYFUNCTION("""COMPUTED_VALUE"""),"Recomendación")</f>
        <v>Recomendación</v>
      </c>
      <c r="K845" s="7" t="str">
        <f>IFERROR(__xludf.DUMMYFUNCTION("""COMPUTED_VALUE"""),"Particular")</f>
        <v>Particular</v>
      </c>
      <c r="L845" s="7"/>
      <c r="M845" s="7" t="str">
        <f>IFERROR(__xludf.DUMMYFUNCTION("""COMPUTED_VALUE"""),"Si")</f>
        <v>Si</v>
      </c>
      <c r="N845" s="7" t="str">
        <f>IFERROR(__xludf.DUMMYFUNCTION("""COMPUTED_VALUE"""),"Danza -Salsa")</f>
        <v>Danza -Salsa</v>
      </c>
      <c r="O845" s="7" t="str">
        <f>IFERROR(__xludf.DUMMYFUNCTION("""COMPUTED_VALUE"""),"3 a 5 veces por semana")</f>
        <v>3 a 5 veces por semana</v>
      </c>
      <c r="P845" s="7"/>
      <c r="Q845" s="7"/>
      <c r="R845" s="7"/>
      <c r="S845" s="7"/>
    </row>
    <row r="846">
      <c r="A846" s="7" t="str">
        <f t="shared" si="1"/>
        <v>Toloza, Mario</v>
      </c>
      <c r="B846" s="7">
        <f>SUMIFS('bd caja'!$K$1:$K$1012,'bd caja'!$D$1:$D$1012,A846)</f>
        <v>0</v>
      </c>
      <c r="C846" s="19">
        <f>IFERROR(__xludf.DUMMYFUNCTION("""COMPUTED_VALUE"""),45678.74356986111)</f>
        <v>45678.74357</v>
      </c>
      <c r="D846" s="7" t="str">
        <f>IFERROR(__xludf.DUMMYFUNCTION("""COMPUTED_VALUE"""),"Toloza")</f>
        <v>Toloza</v>
      </c>
      <c r="E846" s="7" t="str">
        <f>IFERROR(__xludf.DUMMYFUNCTION("""COMPUTED_VALUE"""),"Mario")</f>
        <v>Mario</v>
      </c>
      <c r="F846" s="7" t="str">
        <f>IFERROR(__xludf.DUMMYFUNCTION("""COMPUTED_VALUE"""),"mario.toloza3472@hotmail.com")</f>
        <v>mario.toloza3472@hotmail.com</v>
      </c>
      <c r="G846" s="20">
        <f>IFERROR(__xludf.DUMMYFUNCTION("""COMPUTED_VALUE"""),31891.0)</f>
        <v>31891</v>
      </c>
      <c r="H846" s="7">
        <f>IFERROR(__xludf.DUMMYFUNCTION("""COMPUTED_VALUE"""),3.3029301E7)</f>
        <v>33029301</v>
      </c>
      <c r="I846" s="7">
        <f>IFERROR(__xludf.DUMMYFUNCTION("""COMPUTED_VALUE"""),3.513359751E9)</f>
        <v>3513359751</v>
      </c>
      <c r="J846" s="7" t="str">
        <f>IFERROR(__xludf.DUMMYFUNCTION("""COMPUTED_VALUE"""),"Google")</f>
        <v>Google</v>
      </c>
      <c r="K846" s="7" t="str">
        <f>IFERROR(__xludf.DUMMYFUNCTION("""COMPUTED_VALUE"""),"Obra social")</f>
        <v>Obra social</v>
      </c>
      <c r="L846" s="7"/>
      <c r="M846" s="7" t="str">
        <f>IFERROR(__xludf.DUMMYFUNCTION("""COMPUTED_VALUE"""),"Si")</f>
        <v>Si</v>
      </c>
      <c r="N846" s="7" t="str">
        <f>IFERROR(__xludf.DUMMYFUNCTION("""COMPUTED_VALUE"""),"Running")</f>
        <v>Running</v>
      </c>
      <c r="O846" s="7" t="str">
        <f>IFERROR(__xludf.DUMMYFUNCTION("""COMPUTED_VALUE"""),"1 a 2 veces por semana")</f>
        <v>1 a 2 veces por semana</v>
      </c>
      <c r="P846" s="7"/>
      <c r="Q846" s="7" t="str">
        <f>IFERROR(__xludf.DUMMYFUNCTION("""COMPUTED_VALUE"""),"Unimed")</f>
        <v>Unimed</v>
      </c>
      <c r="R846" s="7"/>
      <c r="S846" s="7"/>
    </row>
    <row r="847">
      <c r="A847" s="7" t="str">
        <f t="shared" si="1"/>
        <v>Mine, Mario</v>
      </c>
      <c r="B847" s="7">
        <f>SUMIFS('bd caja'!$K$1:$K$1012,'bd caja'!$D$1:$D$1012,A847)</f>
        <v>0</v>
      </c>
      <c r="C847" s="19">
        <f>IFERROR(__xludf.DUMMYFUNCTION("""COMPUTED_VALUE"""),45678.763893020834)</f>
        <v>45678.76389</v>
      </c>
      <c r="D847" s="7" t="str">
        <f>IFERROR(__xludf.DUMMYFUNCTION("""COMPUTED_VALUE"""),"Mine")</f>
        <v>Mine</v>
      </c>
      <c r="E847" s="7" t="str">
        <f>IFERROR(__xludf.DUMMYFUNCTION("""COMPUTED_VALUE"""),"Mario")</f>
        <v>Mario</v>
      </c>
      <c r="F847" s="7"/>
      <c r="G847" s="20">
        <f>IFERROR(__xludf.DUMMYFUNCTION("""COMPUTED_VALUE"""),15934.0)</f>
        <v>15934</v>
      </c>
      <c r="H847" s="7">
        <f>IFERROR(__xludf.DUMMYFUNCTION("""COMPUTED_VALUE"""),7973986.0)</f>
        <v>7973986</v>
      </c>
      <c r="I847" s="7">
        <f>IFERROR(__xludf.DUMMYFUNCTION("""COMPUTED_VALUE"""),3.512608885E9)</f>
        <v>3512608885</v>
      </c>
      <c r="J847" s="7" t="str">
        <f>IFERROR(__xludf.DUMMYFUNCTION("""COMPUTED_VALUE"""),"Recomendación")</f>
        <v>Recomendación</v>
      </c>
      <c r="K847" s="7" t="str">
        <f>IFERROR(__xludf.DUMMYFUNCTION("""COMPUTED_VALUE"""),"Obra social")</f>
        <v>Obra social</v>
      </c>
      <c r="L847" s="7"/>
      <c r="M847" s="7" t="str">
        <f>IFERROR(__xludf.DUMMYFUNCTION("""COMPUTED_VALUE"""),"Si")</f>
        <v>Si</v>
      </c>
      <c r="N847" s="7" t="str">
        <f>IFERROR(__xludf.DUMMYFUNCTION("""COMPUTED_VALUE"""),"Natacion")</f>
        <v>Natacion</v>
      </c>
      <c r="O847" s="7" t="str">
        <f>IFERROR(__xludf.DUMMYFUNCTION("""COMPUTED_VALUE"""),"1 a 2 veces por semana")</f>
        <v>1 a 2 veces por semana</v>
      </c>
      <c r="P847" s="7"/>
      <c r="Q847" s="7" t="str">
        <f>IFERROR(__xludf.DUMMYFUNCTION("""COMPUTED_VALUE"""),"Poder Judicial")</f>
        <v>Poder Judicial</v>
      </c>
      <c r="R847" s="7"/>
      <c r="S847" s="7"/>
    </row>
    <row r="848">
      <c r="A848" s="7" t="str">
        <f t="shared" si="1"/>
        <v>Viglietti, Jorge</v>
      </c>
      <c r="B848" s="7">
        <f>SUMIFS('bd caja'!$K$1:$K$1012,'bd caja'!$D$1:$D$1012,A848)</f>
        <v>0</v>
      </c>
      <c r="C848" s="19">
        <f>IFERROR(__xludf.DUMMYFUNCTION("""COMPUTED_VALUE"""),45678.77533506944)</f>
        <v>45678.77534</v>
      </c>
      <c r="D848" s="7" t="str">
        <f>IFERROR(__xludf.DUMMYFUNCTION("""COMPUTED_VALUE"""),"Viglietti")</f>
        <v>Viglietti</v>
      </c>
      <c r="E848" s="7" t="str">
        <f>IFERROR(__xludf.DUMMYFUNCTION("""COMPUTED_VALUE"""),"Jorge")</f>
        <v>Jorge</v>
      </c>
      <c r="F848" s="7"/>
      <c r="G848" s="20">
        <f>IFERROR(__xludf.DUMMYFUNCTION("""COMPUTED_VALUE"""),18897.0)</f>
        <v>18897</v>
      </c>
      <c r="H848" s="7">
        <f>IFERROR(__xludf.DUMMYFUNCTION("""COMPUTED_VALUE"""),8629165.0)</f>
        <v>8629165</v>
      </c>
      <c r="I848" s="7">
        <f>IFERROR(__xludf.DUMMYFUNCTION("""COMPUTED_VALUE"""),3.515724754E9)</f>
        <v>3515724754</v>
      </c>
      <c r="J848" s="7" t="str">
        <f>IFERROR(__xludf.DUMMYFUNCTION("""COMPUTED_VALUE"""),"Recomendación")</f>
        <v>Recomendación</v>
      </c>
      <c r="K848" s="7" t="str">
        <f>IFERROR(__xludf.DUMMYFUNCTION("""COMPUTED_VALUE"""),"Obra social")</f>
        <v>Obra social</v>
      </c>
      <c r="L848" s="7"/>
      <c r="M848" s="7" t="str">
        <f>IFERROR(__xludf.DUMMYFUNCTION("""COMPUTED_VALUE"""),"No")</f>
        <v>No</v>
      </c>
      <c r="N848" s="7"/>
      <c r="O848" s="7"/>
      <c r="P848" s="7"/>
      <c r="Q848" s="7" t="str">
        <f>IFERROR(__xludf.DUMMYFUNCTION("""COMPUTED_VALUE"""),"SANCOR")</f>
        <v>SANCOR</v>
      </c>
      <c r="R848" s="7"/>
      <c r="S848" s="7"/>
    </row>
    <row r="849">
      <c r="A849" s="7" t="str">
        <f t="shared" si="1"/>
        <v>Juan, Martin </v>
      </c>
      <c r="B849" s="7">
        <f>SUMIFS('bd caja'!$K$1:$K$1012,'bd caja'!$D$1:$D$1012,A849)</f>
        <v>0</v>
      </c>
      <c r="C849" s="19">
        <f>IFERROR(__xludf.DUMMYFUNCTION("""COMPUTED_VALUE"""),45679.488735949075)</f>
        <v>45679.48874</v>
      </c>
      <c r="D849" s="7" t="str">
        <f>IFERROR(__xludf.DUMMYFUNCTION("""COMPUTED_VALUE"""),"Juan")</f>
        <v>Juan</v>
      </c>
      <c r="E849" s="7" t="str">
        <f>IFERROR(__xludf.DUMMYFUNCTION("""COMPUTED_VALUE"""),"Martin ")</f>
        <v>Martin </v>
      </c>
      <c r="F849" s="7" t="str">
        <f>IFERROR(__xludf.DUMMYFUNCTION("""COMPUTED_VALUE"""),"-")</f>
        <v>-</v>
      </c>
      <c r="G849" s="20">
        <f>IFERROR(__xludf.DUMMYFUNCTION("""COMPUTED_VALUE"""),32171.0)</f>
        <v>32171</v>
      </c>
      <c r="H849" s="7">
        <f>IFERROR(__xludf.DUMMYFUNCTION("""COMPUTED_VALUE"""),3.3535439E7)</f>
        <v>33535439</v>
      </c>
      <c r="I849" s="7">
        <f>IFERROR(__xludf.DUMMYFUNCTION("""COMPUTED_VALUE"""),3.517393466E9)</f>
        <v>3517393466</v>
      </c>
      <c r="J849" s="7" t="str">
        <f>IFERROR(__xludf.DUMMYFUNCTION("""COMPUTED_VALUE"""),"Google")</f>
        <v>Google</v>
      </c>
      <c r="K849" s="7" t="str">
        <f>IFERROR(__xludf.DUMMYFUNCTION("""COMPUTED_VALUE"""),"Obra social")</f>
        <v>Obra social</v>
      </c>
      <c r="L849" s="7"/>
      <c r="M849" s="7" t="str">
        <f>IFERROR(__xludf.DUMMYFUNCTION("""COMPUTED_VALUE"""),"No")</f>
        <v>No</v>
      </c>
      <c r="N849" s="7"/>
      <c r="O849" s="7"/>
      <c r="P849" s="7"/>
      <c r="Q849" s="7" t="str">
        <f>IFERROR(__xludf.DUMMYFUNCTION("""COMPUTED_VALUE"""),"SANCOR")</f>
        <v>SANCOR</v>
      </c>
      <c r="R849" s="7"/>
      <c r="S849" s="7"/>
    </row>
    <row r="850">
      <c r="A850" s="7" t="str">
        <f t="shared" si="1"/>
        <v>Ceballos, Mauro</v>
      </c>
      <c r="B850" s="7">
        <f>SUMIFS('bd caja'!$K$1:$K$1012,'bd caja'!$D$1:$D$1012,A850)</f>
        <v>0</v>
      </c>
      <c r="C850" s="19">
        <f>IFERROR(__xludf.DUMMYFUNCTION("""COMPUTED_VALUE"""),45680.70384688658)</f>
        <v>45680.70385</v>
      </c>
      <c r="D850" s="7" t="str">
        <f>IFERROR(__xludf.DUMMYFUNCTION("""COMPUTED_VALUE"""),"Ceballos")</f>
        <v>Ceballos</v>
      </c>
      <c r="E850" s="7" t="str">
        <f>IFERROR(__xludf.DUMMYFUNCTION("""COMPUTED_VALUE"""),"Mauro")</f>
        <v>Mauro</v>
      </c>
      <c r="F850" s="7" t="str">
        <f>IFERROR(__xludf.DUMMYFUNCTION("""COMPUTED_VALUE"""),"psicologomauroceballos@gmail.com")</f>
        <v>psicologomauroceballos@gmail.com</v>
      </c>
      <c r="G850" s="20">
        <f>IFERROR(__xludf.DUMMYFUNCTION("""COMPUTED_VALUE"""),28846.0)</f>
        <v>28846</v>
      </c>
      <c r="H850" s="7">
        <f>IFERROR(__xludf.DUMMYFUNCTION("""COMPUTED_VALUE"""),2.7014925E7)</f>
        <v>27014925</v>
      </c>
      <c r="I850" s="7">
        <f>IFERROR(__xludf.DUMMYFUNCTION("""COMPUTED_VALUE"""),3.516208041E9)</f>
        <v>3516208041</v>
      </c>
      <c r="J850" s="7" t="str">
        <f>IFERROR(__xludf.DUMMYFUNCTION("""COMPUTED_VALUE"""),"Voy al gym Manantial")</f>
        <v>Voy al gym Manantial</v>
      </c>
      <c r="K850" s="7" t="str">
        <f>IFERROR(__xludf.DUMMYFUNCTION("""COMPUTED_VALUE"""),"Obra social")</f>
        <v>Obra social</v>
      </c>
      <c r="L850" s="7"/>
      <c r="M850" s="7" t="str">
        <f>IFERROR(__xludf.DUMMYFUNCTION("""COMPUTED_VALUE"""),"Si")</f>
        <v>Si</v>
      </c>
      <c r="N850" s="7" t="str">
        <f>IFERROR(__xludf.DUMMYFUNCTION("""COMPUTED_VALUE"""),"Gimnasio")</f>
        <v>Gimnasio</v>
      </c>
      <c r="O850" s="7" t="str">
        <f>IFERROR(__xludf.DUMMYFUNCTION("""COMPUTED_VALUE"""),"3 a 5 veces por semana")</f>
        <v>3 a 5 veces por semana</v>
      </c>
      <c r="P850" s="7"/>
      <c r="Q850" s="7" t="str">
        <f>IFERROR(__xludf.DUMMYFUNCTION("""COMPUTED_VALUE"""),"CPCE")</f>
        <v>CPCE</v>
      </c>
      <c r="R850" s="7"/>
      <c r="S850" s="7"/>
    </row>
    <row r="851">
      <c r="A851" s="7" t="str">
        <f t="shared" si="1"/>
        <v>Lucero Bringas , Enrique Rafael </v>
      </c>
      <c r="B851" s="7">
        <f>SUMIFS('bd caja'!$K$1:$K$1012,'bd caja'!$D$1:$D$1012,A851)</f>
        <v>0</v>
      </c>
      <c r="C851" s="19">
        <f>IFERROR(__xludf.DUMMYFUNCTION("""COMPUTED_VALUE"""),45680.746874502314)</f>
        <v>45680.74687</v>
      </c>
      <c r="D851" s="7" t="str">
        <f>IFERROR(__xludf.DUMMYFUNCTION("""COMPUTED_VALUE"""),"Lucero Bringas ")</f>
        <v>Lucero Bringas </v>
      </c>
      <c r="E851" s="7" t="str">
        <f>IFERROR(__xludf.DUMMYFUNCTION("""COMPUTED_VALUE"""),"Enrique Rafael ")</f>
        <v>Enrique Rafael </v>
      </c>
      <c r="F851" s="7" t="str">
        <f>IFERROR(__xludf.DUMMYFUNCTION("""COMPUTED_VALUE"""),"enriquelucerobringas@gmail.com")</f>
        <v>enriquelucerobringas@gmail.com</v>
      </c>
      <c r="G851" s="20">
        <f>IFERROR(__xludf.DUMMYFUNCTION("""COMPUTED_VALUE"""),29993.0)</f>
        <v>29993</v>
      </c>
      <c r="H851" s="7">
        <f>IFERROR(__xludf.DUMMYFUNCTION("""COMPUTED_VALUE"""),2.9253017E7)</f>
        <v>29253017</v>
      </c>
      <c r="I851" s="7">
        <f>IFERROR(__xludf.DUMMYFUNCTION("""COMPUTED_VALUE"""),3.518164135E9)</f>
        <v>3518164135</v>
      </c>
      <c r="J851" s="7" t="str">
        <f>IFERROR(__xludf.DUMMYFUNCTION("""COMPUTED_VALUE"""),"Voy al gym Manantial")</f>
        <v>Voy al gym Manantial</v>
      </c>
      <c r="K851" s="7" t="str">
        <f>IFERROR(__xludf.DUMMYFUNCTION("""COMPUTED_VALUE"""),"Particular")</f>
        <v>Particular</v>
      </c>
      <c r="L851" s="7"/>
      <c r="M851" s="7" t="str">
        <f>IFERROR(__xludf.DUMMYFUNCTION("""COMPUTED_VALUE"""),"Si")</f>
        <v>Si</v>
      </c>
      <c r="N851" s="7" t="str">
        <f>IFERROR(__xludf.DUMMYFUNCTION("""COMPUTED_VALUE"""),"Calistenia")</f>
        <v>Calistenia</v>
      </c>
      <c r="O851" s="7" t="str">
        <f>IFERROR(__xludf.DUMMYFUNCTION("""COMPUTED_VALUE"""),"3 a 5 veces por semana")</f>
        <v>3 a 5 veces por semana</v>
      </c>
      <c r="P851" s="7"/>
      <c r="Q851" s="7"/>
      <c r="R851" s="7"/>
      <c r="S851" s="7"/>
    </row>
    <row r="852">
      <c r="A852" s="7" t="str">
        <f t="shared" si="1"/>
        <v>Aguirre , Carlos Javier </v>
      </c>
      <c r="B852" s="7">
        <f>SUMIFS('bd caja'!$K$1:$K$1012,'bd caja'!$D$1:$D$1012,A852)</f>
        <v>0</v>
      </c>
      <c r="C852" s="19">
        <f>IFERROR(__xludf.DUMMYFUNCTION("""COMPUTED_VALUE"""),45680.86111503472)</f>
        <v>45680.86112</v>
      </c>
      <c r="D852" s="7" t="str">
        <f>IFERROR(__xludf.DUMMYFUNCTION("""COMPUTED_VALUE"""),"Aguirre ")</f>
        <v>Aguirre </v>
      </c>
      <c r="E852" s="7" t="str">
        <f>IFERROR(__xludf.DUMMYFUNCTION("""COMPUTED_VALUE"""),"Carlos Javier ")</f>
        <v>Carlos Javier </v>
      </c>
      <c r="F852" s="7" t="str">
        <f>IFERROR(__xludf.DUMMYFUNCTION("""COMPUTED_VALUE"""),"Deejayhouserekete@hotmail.com.ar")</f>
        <v>Deejayhouserekete@hotmail.com.ar</v>
      </c>
      <c r="G852" s="20">
        <f>IFERROR(__xludf.DUMMYFUNCTION("""COMPUTED_VALUE"""),29906.0)</f>
        <v>29906</v>
      </c>
      <c r="H852" s="7">
        <f>IFERROR(__xludf.DUMMYFUNCTION("""COMPUTED_VALUE"""),2.9089999E7)</f>
        <v>29089999</v>
      </c>
      <c r="I852" s="7">
        <f>IFERROR(__xludf.DUMMYFUNCTION("""COMPUTED_VALUE"""),3.794347758E9)</f>
        <v>3794347758</v>
      </c>
      <c r="J852" s="7" t="str">
        <f>IFERROR(__xludf.DUMMYFUNCTION("""COMPUTED_VALUE"""),"Google")</f>
        <v>Google</v>
      </c>
      <c r="K852" s="7" t="str">
        <f>IFERROR(__xludf.DUMMYFUNCTION("""COMPUTED_VALUE"""),"Particular")</f>
        <v>Particular</v>
      </c>
      <c r="L852" s="7"/>
      <c r="M852" s="7" t="str">
        <f>IFERROR(__xludf.DUMMYFUNCTION("""COMPUTED_VALUE"""),"No")</f>
        <v>No</v>
      </c>
      <c r="N852" s="7"/>
      <c r="O852" s="7"/>
      <c r="P852" s="7"/>
      <c r="Q852" s="7"/>
      <c r="R852" s="7"/>
      <c r="S852" s="7"/>
    </row>
    <row r="853">
      <c r="A853" s="7" t="str">
        <f t="shared" si="1"/>
        <v>Torta, Mirian</v>
      </c>
      <c r="B853" s="7">
        <f>SUMIFS('bd caja'!$K$1:$K$1012,'bd caja'!$D$1:$D$1012,A853)</f>
        <v>0</v>
      </c>
      <c r="C853" s="19">
        <f>IFERROR(__xludf.DUMMYFUNCTION("""COMPUTED_VALUE"""),45681.439019375)</f>
        <v>45681.43902</v>
      </c>
      <c r="D853" s="7" t="str">
        <f>IFERROR(__xludf.DUMMYFUNCTION("""COMPUTED_VALUE"""),"Torta")</f>
        <v>Torta</v>
      </c>
      <c r="E853" s="7" t="str">
        <f>IFERROR(__xludf.DUMMYFUNCTION("""COMPUTED_VALUE"""),"Mirian")</f>
        <v>Mirian</v>
      </c>
      <c r="F853" s="7" t="str">
        <f>IFERROR(__xludf.DUMMYFUNCTION("""COMPUTED_VALUE"""),"tortamirian@gmail.com")</f>
        <v>tortamirian@gmail.com</v>
      </c>
      <c r="G853" s="20">
        <f>IFERROR(__xludf.DUMMYFUNCTION("""COMPUTED_VALUE"""),21122.0)</f>
        <v>21122</v>
      </c>
      <c r="H853" s="7">
        <f>IFERROR(__xludf.DUMMYFUNCTION("""COMPUTED_VALUE"""),1.3042938E7)</f>
        <v>13042938</v>
      </c>
      <c r="I853" s="7">
        <f>IFERROR(__xludf.DUMMYFUNCTION("""COMPUTED_VALUE"""),3.513155903E9)</f>
        <v>3513155903</v>
      </c>
      <c r="J853" s="7" t="str">
        <f>IFERROR(__xludf.DUMMYFUNCTION("""COMPUTED_VALUE"""),"Google")</f>
        <v>Google</v>
      </c>
      <c r="K853" s="7" t="str">
        <f>IFERROR(__xludf.DUMMYFUNCTION("""COMPUTED_VALUE"""),"Particular")</f>
        <v>Particular</v>
      </c>
      <c r="L853" s="7"/>
      <c r="M853" s="7" t="str">
        <f>IFERROR(__xludf.DUMMYFUNCTION("""COMPUTED_VALUE"""),"No")</f>
        <v>No</v>
      </c>
      <c r="N853" s="7"/>
      <c r="O853" s="7"/>
      <c r="P853" s="7"/>
      <c r="Q853" s="7"/>
      <c r="R853" s="7"/>
      <c r="S853" s="7"/>
    </row>
    <row r="854">
      <c r="A854" s="7" t="str">
        <f t="shared" si="1"/>
        <v>Di Lascio, Fabricio</v>
      </c>
      <c r="B854" s="7">
        <f>SUMIFS('bd caja'!$K$1:$K$1012,'bd caja'!$D$1:$D$1012,A854)</f>
        <v>0</v>
      </c>
      <c r="C854" s="19">
        <f>IFERROR(__xludf.DUMMYFUNCTION("""COMPUTED_VALUE"""),45684.42542424769)</f>
        <v>45684.42542</v>
      </c>
      <c r="D854" s="7" t="str">
        <f>IFERROR(__xludf.DUMMYFUNCTION("""COMPUTED_VALUE"""),"Di Lascio")</f>
        <v>Di Lascio</v>
      </c>
      <c r="E854" s="7" t="str">
        <f>IFERROR(__xludf.DUMMYFUNCTION("""COMPUTED_VALUE"""),"Fabricio")</f>
        <v>Fabricio</v>
      </c>
      <c r="F854" s="7" t="str">
        <f>IFERROR(__xludf.DUMMYFUNCTION("""COMPUTED_VALUE"""),"fabriciodl41@gmail.com")</f>
        <v>fabriciodl41@gmail.com</v>
      </c>
      <c r="G854" s="20">
        <f>IFERROR(__xludf.DUMMYFUNCTION("""COMPUTED_VALUE"""),38173.0)</f>
        <v>38173</v>
      </c>
      <c r="H854" s="7">
        <f>IFERROR(__xludf.DUMMYFUNCTION("""COMPUTED_VALUE"""),4.55957E7)</f>
        <v>45595700</v>
      </c>
      <c r="I854" s="7">
        <f>IFERROR(__xludf.DUMMYFUNCTION("""COMPUTED_VALUE"""),3.512307123E9)</f>
        <v>3512307123</v>
      </c>
      <c r="J854" s="7" t="str">
        <f>IFERROR(__xludf.DUMMYFUNCTION("""COMPUTED_VALUE"""),"Recomendación")</f>
        <v>Recomendación</v>
      </c>
      <c r="K854" s="7" t="str">
        <f>IFERROR(__xludf.DUMMYFUNCTION("""COMPUTED_VALUE"""),"Particular")</f>
        <v>Particular</v>
      </c>
      <c r="L854" s="7"/>
      <c r="M854" s="7" t="str">
        <f>IFERROR(__xludf.DUMMYFUNCTION("""COMPUTED_VALUE"""),"Si")</f>
        <v>Si</v>
      </c>
      <c r="N854" s="7" t="str">
        <f>IFERROR(__xludf.DUMMYFUNCTION("""COMPUTED_VALUE"""),"Gimnasio")</f>
        <v>Gimnasio</v>
      </c>
      <c r="O854" s="7" t="str">
        <f>IFERROR(__xludf.DUMMYFUNCTION("""COMPUTED_VALUE"""),"3 a 5 veces por semana")</f>
        <v>3 a 5 veces por semana</v>
      </c>
      <c r="P854" s="7"/>
      <c r="Q854" s="7"/>
      <c r="R854" s="7"/>
      <c r="S854" s="7"/>
    </row>
    <row r="855">
      <c r="A855" s="7" t="str">
        <f t="shared" si="1"/>
        <v>Etchemendy , M. Cristina </v>
      </c>
      <c r="B855" s="7">
        <f>SUMIFS('bd caja'!$K$1:$K$1012,'bd caja'!$D$1:$D$1012,A855)</f>
        <v>0</v>
      </c>
      <c r="C855" s="19">
        <f>IFERROR(__xludf.DUMMYFUNCTION("""COMPUTED_VALUE"""),45684.87358546296)</f>
        <v>45684.87359</v>
      </c>
      <c r="D855" s="7" t="str">
        <f>IFERROR(__xludf.DUMMYFUNCTION("""COMPUTED_VALUE"""),"Etchemendy ")</f>
        <v>Etchemendy </v>
      </c>
      <c r="E855" s="7" t="str">
        <f>IFERROR(__xludf.DUMMYFUNCTION("""COMPUTED_VALUE"""),"M. Cristina ")</f>
        <v>M. Cristina </v>
      </c>
      <c r="F855" s="7" t="str">
        <f>IFERROR(__xludf.DUMMYFUNCTION("""COMPUTED_VALUE"""),"criset26@hotmail.com")</f>
        <v>criset26@hotmail.com</v>
      </c>
      <c r="G855" s="20">
        <f>IFERROR(__xludf.DUMMYFUNCTION("""COMPUTED_VALUE"""),22915.0)</f>
        <v>22915</v>
      </c>
      <c r="H855" s="7">
        <f>IFERROR(__xludf.DUMMYFUNCTION("""COMPUTED_VALUE"""),1.6083436E7)</f>
        <v>16083436</v>
      </c>
      <c r="I855" s="7">
        <f>IFERROR(__xludf.DUMMYFUNCTION("""COMPUTED_VALUE"""),3.512086028E9)</f>
        <v>3512086028</v>
      </c>
      <c r="J855" s="7" t="str">
        <f>IFERROR(__xludf.DUMMYFUNCTION("""COMPUTED_VALUE"""),"Recomendación")</f>
        <v>Recomendación</v>
      </c>
      <c r="K855" s="7" t="str">
        <f>IFERROR(__xludf.DUMMYFUNCTION("""COMPUTED_VALUE"""),"Obra social")</f>
        <v>Obra social</v>
      </c>
      <c r="L855" s="7"/>
      <c r="M855" s="7" t="str">
        <f>IFERROR(__xludf.DUMMYFUNCTION("""COMPUTED_VALUE"""),"No")</f>
        <v>No</v>
      </c>
      <c r="N855" s="7"/>
      <c r="O855" s="7"/>
      <c r="P855" s="7"/>
      <c r="Q855" s="7" t="str">
        <f>IFERROR(__xludf.DUMMYFUNCTION("""COMPUTED_VALUE"""),"SANCOR")</f>
        <v>SANCOR</v>
      </c>
      <c r="R855" s="7"/>
      <c r="S855" s="7"/>
    </row>
    <row r="856">
      <c r="A856" s="7" t="str">
        <f t="shared" si="1"/>
        <v>Etchemendy , M. Cristina </v>
      </c>
      <c r="B856" s="7">
        <f>SUMIFS('bd caja'!$K$1:$K$1012,'bd caja'!$D$1:$D$1012,A856)</f>
        <v>0</v>
      </c>
      <c r="C856" s="19">
        <f>IFERROR(__xludf.DUMMYFUNCTION("""COMPUTED_VALUE"""),45684.876923495365)</f>
        <v>45684.87692</v>
      </c>
      <c r="D856" s="7" t="str">
        <f>IFERROR(__xludf.DUMMYFUNCTION("""COMPUTED_VALUE"""),"Etchemendy ")</f>
        <v>Etchemendy </v>
      </c>
      <c r="E856" s="7" t="str">
        <f>IFERROR(__xludf.DUMMYFUNCTION("""COMPUTED_VALUE"""),"M. Cristina ")</f>
        <v>M. Cristina </v>
      </c>
      <c r="F856" s="7" t="str">
        <f>IFERROR(__xludf.DUMMYFUNCTION("""COMPUTED_VALUE"""),"criset26@hotmail.com")</f>
        <v>criset26@hotmail.com</v>
      </c>
      <c r="G856" s="20">
        <f>IFERROR(__xludf.DUMMYFUNCTION("""COMPUTED_VALUE"""),22915.0)</f>
        <v>22915</v>
      </c>
      <c r="H856" s="7">
        <f>IFERROR(__xludf.DUMMYFUNCTION("""COMPUTED_VALUE"""),1.6086028E7)</f>
        <v>16086028</v>
      </c>
      <c r="I856" s="7">
        <f>IFERROR(__xludf.DUMMYFUNCTION("""COMPUTED_VALUE"""),3.512086028E9)</f>
        <v>3512086028</v>
      </c>
      <c r="J856" s="7" t="str">
        <f>IFERROR(__xludf.DUMMYFUNCTION("""COMPUTED_VALUE"""),"Recomendación")</f>
        <v>Recomendación</v>
      </c>
      <c r="K856" s="7" t="str">
        <f>IFERROR(__xludf.DUMMYFUNCTION("""COMPUTED_VALUE"""),"Obra social")</f>
        <v>Obra social</v>
      </c>
      <c r="L856" s="7"/>
      <c r="M856" s="7" t="str">
        <f>IFERROR(__xludf.DUMMYFUNCTION("""COMPUTED_VALUE"""),"No")</f>
        <v>No</v>
      </c>
      <c r="N856" s="7"/>
      <c r="O856" s="7"/>
      <c r="P856" s="7"/>
      <c r="Q856" s="7" t="str">
        <f>IFERROR(__xludf.DUMMYFUNCTION("""COMPUTED_VALUE"""),"SANCOR")</f>
        <v>SANCOR</v>
      </c>
      <c r="R856" s="7"/>
      <c r="S856" s="7"/>
    </row>
    <row r="857">
      <c r="A857" s="7" t="str">
        <f t="shared" si="1"/>
        <v>GONZALEZ, PATRICIA</v>
      </c>
      <c r="B857" s="7">
        <f>SUMIFS('bd caja'!$K$1:$K$1012,'bd caja'!$D$1:$D$1012,A857)</f>
        <v>0</v>
      </c>
      <c r="C857" s="19">
        <f>IFERROR(__xludf.DUMMYFUNCTION("""COMPUTED_VALUE"""),45685.43719541667)</f>
        <v>45685.4372</v>
      </c>
      <c r="D857" s="7" t="str">
        <f>IFERROR(__xludf.DUMMYFUNCTION("""COMPUTED_VALUE"""),"GONZALEZ")</f>
        <v>GONZALEZ</v>
      </c>
      <c r="E857" s="7" t="str">
        <f>IFERROR(__xludf.DUMMYFUNCTION("""COMPUTED_VALUE"""),"PATRICIA")</f>
        <v>PATRICIA</v>
      </c>
      <c r="F857" s="7" t="str">
        <f>IFERROR(__xludf.DUMMYFUNCTION("""COMPUTED_VALUE"""),"patogonzalez_@hotmail.com")</f>
        <v>patogonzalez_@hotmail.com</v>
      </c>
      <c r="G857" s="20">
        <f>IFERROR(__xludf.DUMMYFUNCTION("""COMPUTED_VALUE"""),30118.0)</f>
        <v>30118</v>
      </c>
      <c r="H857" s="7">
        <f>IFERROR(__xludf.DUMMYFUNCTION("""COMPUTED_VALUE"""),2.9606847E7)</f>
        <v>29606847</v>
      </c>
      <c r="I857" s="7">
        <f>IFERROR(__xludf.DUMMYFUNCTION("""COMPUTED_VALUE"""),3.516360085E9)</f>
        <v>3516360085</v>
      </c>
      <c r="J857" s="7" t="str">
        <f>IFERROR(__xludf.DUMMYFUNCTION("""COMPUTED_VALUE"""),"Google")</f>
        <v>Google</v>
      </c>
      <c r="K857" s="7" t="str">
        <f>IFERROR(__xludf.DUMMYFUNCTION("""COMPUTED_VALUE"""),"Obra social")</f>
        <v>Obra social</v>
      </c>
      <c r="L857" s="7"/>
      <c r="M857" s="7" t="str">
        <f>IFERROR(__xludf.DUMMYFUNCTION("""COMPUTED_VALUE"""),"Si")</f>
        <v>Si</v>
      </c>
      <c r="N857" s="7" t="str">
        <f>IFERROR(__xludf.DUMMYFUNCTION("""COMPUTED_VALUE"""),"aeroyoga")</f>
        <v>aeroyoga</v>
      </c>
      <c r="O857" s="7" t="str">
        <f>IFERROR(__xludf.DUMMYFUNCTION("""COMPUTED_VALUE"""),"1 a 2 veces por semana")</f>
        <v>1 a 2 veces por semana</v>
      </c>
      <c r="P857" s="7"/>
      <c r="Q857" s="7" t="str">
        <f>IFERROR(__xludf.DUMMYFUNCTION("""COMPUTED_VALUE"""),"SWISS MEDICAL POR REINTEGRO")</f>
        <v>SWISS MEDICAL POR REINTEGRO</v>
      </c>
      <c r="R857" s="7"/>
      <c r="S857" s="7"/>
    </row>
    <row r="858">
      <c r="A858" s="7" t="str">
        <f t="shared" si="1"/>
        <v>Garzón Funes , Tomás Enrique </v>
      </c>
      <c r="B858" s="7">
        <f>SUMIFS('bd caja'!$K$1:$K$1012,'bd caja'!$D$1:$D$1012,A858)</f>
        <v>0</v>
      </c>
      <c r="C858" s="19">
        <f>IFERROR(__xludf.DUMMYFUNCTION("""COMPUTED_VALUE"""),45685.72976318287)</f>
        <v>45685.72976</v>
      </c>
      <c r="D858" s="7" t="str">
        <f>IFERROR(__xludf.DUMMYFUNCTION("""COMPUTED_VALUE"""),"Garzón Funes ")</f>
        <v>Garzón Funes </v>
      </c>
      <c r="E858" s="7" t="str">
        <f>IFERROR(__xludf.DUMMYFUNCTION("""COMPUTED_VALUE"""),"Tomás Enrique ")</f>
        <v>Tomás Enrique </v>
      </c>
      <c r="F858" s="7" t="str">
        <f>IFERROR(__xludf.DUMMYFUNCTION("""COMPUTED_VALUE"""),"tegf14@gmail.com")</f>
        <v>tegf14@gmail.com</v>
      </c>
      <c r="G858" s="20">
        <f>IFERROR(__xludf.DUMMYFUNCTION("""COMPUTED_VALUE"""),35024.0)</f>
        <v>35024</v>
      </c>
      <c r="H858" s="7">
        <f>IFERROR(__xludf.DUMMYFUNCTION("""COMPUTED_VALUE"""),3.8301848E7)</f>
        <v>38301848</v>
      </c>
      <c r="I858" s="7">
        <f>IFERROR(__xludf.DUMMYFUNCTION("""COMPUTED_VALUE"""),3.517897449E9)</f>
        <v>3517897449</v>
      </c>
      <c r="J858" s="7" t="str">
        <f>IFERROR(__xludf.DUMMYFUNCTION("""COMPUTED_VALUE"""),"Instagram")</f>
        <v>Instagram</v>
      </c>
      <c r="K858" s="7" t="str">
        <f>IFERROR(__xludf.DUMMYFUNCTION("""COMPUTED_VALUE"""),"Obra social")</f>
        <v>Obra social</v>
      </c>
      <c r="L858" s="7"/>
      <c r="M858" s="7" t="str">
        <f>IFERROR(__xludf.DUMMYFUNCTION("""COMPUTED_VALUE"""),"Si")</f>
        <v>Si</v>
      </c>
      <c r="N858" s="7" t="str">
        <f>IFERROR(__xludf.DUMMYFUNCTION("""COMPUTED_VALUE"""),"Tenis")</f>
        <v>Tenis</v>
      </c>
      <c r="O858" s="7" t="str">
        <f>IFERROR(__xludf.DUMMYFUNCTION("""COMPUTED_VALUE"""),"1 a 2 veces por semana")</f>
        <v>1 a 2 veces por semana</v>
      </c>
      <c r="P858" s="7"/>
      <c r="Q858" s="7" t="str">
        <f>IFERROR(__xludf.DUMMYFUNCTION("""COMPUTED_VALUE"""),"Medife")</f>
        <v>Medife</v>
      </c>
      <c r="R858" s="7"/>
      <c r="S858" s="7"/>
    </row>
    <row r="859">
      <c r="A859" s="7" t="str">
        <f t="shared" si="1"/>
        <v>Caporaletti , Juan</v>
      </c>
      <c r="B859" s="7">
        <f>SUMIFS('bd caja'!$K$1:$K$1012,'bd caja'!$D$1:$D$1012,A859)</f>
        <v>0</v>
      </c>
      <c r="C859" s="19">
        <f>IFERROR(__xludf.DUMMYFUNCTION("""COMPUTED_VALUE"""),45685.74581790509)</f>
        <v>45685.74582</v>
      </c>
      <c r="D859" s="7" t="str">
        <f>IFERROR(__xludf.DUMMYFUNCTION("""COMPUTED_VALUE"""),"Caporaletti ")</f>
        <v>Caporaletti </v>
      </c>
      <c r="E859" s="7" t="str">
        <f>IFERROR(__xludf.DUMMYFUNCTION("""COMPUTED_VALUE"""),"Juan")</f>
        <v>Juan</v>
      </c>
      <c r="F859" s="7" t="str">
        <f>IFERROR(__xludf.DUMMYFUNCTION("""COMPUTED_VALUE"""),"juancaporaletti@yahoo.com.ar")</f>
        <v>juancaporaletti@yahoo.com.ar</v>
      </c>
      <c r="G859" s="20">
        <f>IFERROR(__xludf.DUMMYFUNCTION("""COMPUTED_VALUE"""),28799.0)</f>
        <v>28799</v>
      </c>
      <c r="H859" s="7">
        <f>IFERROR(__xludf.DUMMYFUNCTION("""COMPUTED_VALUE"""),2.6313462E7)</f>
        <v>26313462</v>
      </c>
      <c r="I859" s="7">
        <f>IFERROR(__xludf.DUMMYFUNCTION("""COMPUTED_VALUE"""),3.517527532E9)</f>
        <v>3517527532</v>
      </c>
      <c r="J859" s="7" t="str">
        <f>IFERROR(__xludf.DUMMYFUNCTION("""COMPUTED_VALUE"""),"Voy al gym Manantial")</f>
        <v>Voy al gym Manantial</v>
      </c>
      <c r="K859" s="7" t="str">
        <f>IFERROR(__xludf.DUMMYFUNCTION("""COMPUTED_VALUE"""),"Particular")</f>
        <v>Particular</v>
      </c>
      <c r="L859" s="7"/>
      <c r="M859" s="7" t="str">
        <f>IFERROR(__xludf.DUMMYFUNCTION("""COMPUTED_VALUE"""),"Si")</f>
        <v>Si</v>
      </c>
      <c r="N859" s="7" t="str">
        <f>IFERROR(__xludf.DUMMYFUNCTION("""COMPUTED_VALUE"""),"Running mas Gimnasio")</f>
        <v>Running mas Gimnasio</v>
      </c>
      <c r="O859" s="7" t="str">
        <f>IFERROR(__xludf.DUMMYFUNCTION("""COMPUTED_VALUE"""),"6 a 7 veces por semana")</f>
        <v>6 a 7 veces por semana</v>
      </c>
      <c r="P859" s="7"/>
      <c r="Q859" s="7"/>
      <c r="R859" s="7"/>
      <c r="S859" s="7"/>
    </row>
    <row r="860">
      <c r="A860" s="7" t="str">
        <f t="shared" si="1"/>
        <v>Delgado, Maximiliano</v>
      </c>
      <c r="B860" s="7">
        <f>SUMIFS('bd caja'!$K$1:$K$1012,'bd caja'!$D$1:$D$1012,A860)</f>
        <v>0</v>
      </c>
      <c r="C860" s="19">
        <f>IFERROR(__xludf.DUMMYFUNCTION("""COMPUTED_VALUE"""),45686.450112164355)</f>
        <v>45686.45011</v>
      </c>
      <c r="D860" s="7" t="str">
        <f>IFERROR(__xludf.DUMMYFUNCTION("""COMPUTED_VALUE"""),"Delgado")</f>
        <v>Delgado</v>
      </c>
      <c r="E860" s="7" t="str">
        <f>IFERROR(__xludf.DUMMYFUNCTION("""COMPUTED_VALUE"""),"Maximiliano")</f>
        <v>Maximiliano</v>
      </c>
      <c r="F860" s="7" t="str">
        <f>IFERROR(__xludf.DUMMYFUNCTION("""COMPUTED_VALUE"""),"delgado_mx@hotmail.com")</f>
        <v>delgado_mx@hotmail.com</v>
      </c>
      <c r="G860" s="20">
        <f>IFERROR(__xludf.DUMMYFUNCTION("""COMPUTED_VALUE"""),25748.0)</f>
        <v>25748</v>
      </c>
      <c r="H860" s="7">
        <f>IFERROR(__xludf.DUMMYFUNCTION("""COMPUTED_VALUE"""),2.1610301E7)</f>
        <v>21610301</v>
      </c>
      <c r="I860" s="7">
        <f>IFERROR(__xludf.DUMMYFUNCTION("""COMPUTED_VALUE"""),2.645010314E9)</f>
        <v>2645010314</v>
      </c>
      <c r="J860" s="7" t="str">
        <f>IFERROR(__xludf.DUMMYFUNCTION("""COMPUTED_VALUE"""),"Recomendación")</f>
        <v>Recomendación</v>
      </c>
      <c r="K860" s="7" t="str">
        <f>IFERROR(__xludf.DUMMYFUNCTION("""COMPUTED_VALUE"""),"Obra social")</f>
        <v>Obra social</v>
      </c>
      <c r="L860" s="7"/>
      <c r="M860" s="7" t="str">
        <f>IFERROR(__xludf.DUMMYFUNCTION("""COMPUTED_VALUE"""),"Si")</f>
        <v>Si</v>
      </c>
      <c r="N860" s="7" t="str">
        <f>IFERROR(__xludf.DUMMYFUNCTION("""COMPUTED_VALUE"""),"Gimnasio")</f>
        <v>Gimnasio</v>
      </c>
      <c r="O860" s="7" t="str">
        <f>IFERROR(__xludf.DUMMYFUNCTION("""COMPUTED_VALUE"""),"3 a 5 veces por semana")</f>
        <v>3 a 5 veces por semana</v>
      </c>
      <c r="P860" s="7"/>
      <c r="Q860" s="7" t="str">
        <f>IFERROR(__xludf.DUMMYFUNCTION("""COMPUTED_VALUE"""),"Medife")</f>
        <v>Medife</v>
      </c>
      <c r="R860" s="7"/>
      <c r="S860" s="7"/>
    </row>
    <row r="861">
      <c r="A861" s="7" t="str">
        <f t="shared" si="1"/>
        <v>Vilchez, Pricila</v>
      </c>
      <c r="B861" s="7">
        <f>SUMIFS('bd caja'!$K$1:$K$1012,'bd caja'!$D$1:$D$1012,A861)</f>
        <v>0</v>
      </c>
      <c r="C861" s="19">
        <f>IFERROR(__xludf.DUMMYFUNCTION("""COMPUTED_VALUE"""),45686.726683009256)</f>
        <v>45686.72668</v>
      </c>
      <c r="D861" s="7" t="str">
        <f>IFERROR(__xludf.DUMMYFUNCTION("""COMPUTED_VALUE"""),"Vilchez")</f>
        <v>Vilchez</v>
      </c>
      <c r="E861" s="7" t="str">
        <f>IFERROR(__xludf.DUMMYFUNCTION("""COMPUTED_VALUE"""),"Pricila")</f>
        <v>Pricila</v>
      </c>
      <c r="F861" s="7" t="str">
        <f>IFERROR(__xludf.DUMMYFUNCTION("""COMPUTED_VALUE"""),"prici1543@gmail.com")</f>
        <v>prici1543@gmail.com</v>
      </c>
      <c r="G861" s="20">
        <f>IFERROR(__xludf.DUMMYFUNCTION("""COMPUTED_VALUE"""),33100.0)</f>
        <v>33100</v>
      </c>
      <c r="H861" s="7">
        <f>IFERROR(__xludf.DUMMYFUNCTION("""COMPUTED_VALUE"""),4.1815006E7)</f>
        <v>41815006</v>
      </c>
      <c r="I861" s="7">
        <f>IFERROR(__xludf.DUMMYFUNCTION("""COMPUTED_VALUE"""),3.517526765E9)</f>
        <v>3517526765</v>
      </c>
      <c r="J861" s="7" t="str">
        <f>IFERROR(__xludf.DUMMYFUNCTION("""COMPUTED_VALUE"""),"Instagram")</f>
        <v>Instagram</v>
      </c>
      <c r="K861" s="7" t="str">
        <f>IFERROR(__xludf.DUMMYFUNCTION("""COMPUTED_VALUE"""),"Particular")</f>
        <v>Particular</v>
      </c>
      <c r="L861" s="7"/>
      <c r="M861" s="7" t="str">
        <f>IFERROR(__xludf.DUMMYFUNCTION("""COMPUTED_VALUE"""),"Si")</f>
        <v>Si</v>
      </c>
      <c r="N861" s="7" t="str">
        <f>IFERROR(__xludf.DUMMYFUNCTION("""COMPUTED_VALUE"""),"Fútbol")</f>
        <v>Fútbol</v>
      </c>
      <c r="O861" s="7" t="str">
        <f>IFERROR(__xludf.DUMMYFUNCTION("""COMPUTED_VALUE"""),"3 a 5 veces por semana")</f>
        <v>3 a 5 veces por semana</v>
      </c>
      <c r="P861" s="7"/>
      <c r="Q861" s="7"/>
      <c r="R861" s="7"/>
      <c r="S861" s="7"/>
    </row>
    <row r="862">
      <c r="A862" s="7" t="str">
        <f t="shared" si="1"/>
        <v>Almada, Gustavo </v>
      </c>
      <c r="B862" s="7">
        <f>SUMIFS('bd caja'!$K$1:$K$1012,'bd caja'!$D$1:$D$1012,A862)</f>
        <v>0</v>
      </c>
      <c r="C862" s="19">
        <f>IFERROR(__xludf.DUMMYFUNCTION("""COMPUTED_VALUE"""),45686.75207028935)</f>
        <v>45686.75207</v>
      </c>
      <c r="D862" s="7" t="str">
        <f>IFERROR(__xludf.DUMMYFUNCTION("""COMPUTED_VALUE"""),"Almada")</f>
        <v>Almada</v>
      </c>
      <c r="E862" s="7" t="str">
        <f>IFERROR(__xludf.DUMMYFUNCTION("""COMPUTED_VALUE"""),"Gustavo ")</f>
        <v>Gustavo </v>
      </c>
      <c r="F862" s="7" t="str">
        <f>IFERROR(__xludf.DUMMYFUNCTION("""COMPUTED_VALUE"""),"gustavoalmada67@gmail.com")</f>
        <v>gustavoalmada67@gmail.com</v>
      </c>
      <c r="G862" s="20">
        <f>IFERROR(__xludf.DUMMYFUNCTION("""COMPUTED_VALUE"""),24567.0)</f>
        <v>24567</v>
      </c>
      <c r="H862" s="7">
        <f>IFERROR(__xludf.DUMMYFUNCTION("""COMPUTED_VALUE"""),1.8302572E7)</f>
        <v>18302572</v>
      </c>
      <c r="I862" s="7">
        <f>IFERROR(__xludf.DUMMYFUNCTION("""COMPUTED_VALUE"""),3.515157379E9)</f>
        <v>3515157379</v>
      </c>
      <c r="J862" s="7" t="str">
        <f>IFERROR(__xludf.DUMMYFUNCTION("""COMPUTED_VALUE"""),"Recomendación")</f>
        <v>Recomendación</v>
      </c>
      <c r="K862" s="7" t="str">
        <f>IFERROR(__xludf.DUMMYFUNCTION("""COMPUTED_VALUE"""),"Obra social")</f>
        <v>Obra social</v>
      </c>
      <c r="L862" s="7"/>
      <c r="M862" s="7" t="str">
        <f>IFERROR(__xludf.DUMMYFUNCTION("""COMPUTED_VALUE"""),"Si")</f>
        <v>Si</v>
      </c>
      <c r="N862" s="7" t="str">
        <f>IFERROR(__xludf.DUMMYFUNCTION("""COMPUTED_VALUE"""),"Gimnasio")</f>
        <v>Gimnasio</v>
      </c>
      <c r="O862" s="7" t="str">
        <f>IFERROR(__xludf.DUMMYFUNCTION("""COMPUTED_VALUE"""),"1 a 2 veces por semana")</f>
        <v>1 a 2 veces por semana</v>
      </c>
      <c r="P862" s="7"/>
      <c r="Q862" s="7" t="str">
        <f>IFERROR(__xludf.DUMMYFUNCTION("""COMPUTED_VALUE"""),"SANCOR")</f>
        <v>SANCOR</v>
      </c>
      <c r="R862" s="7"/>
      <c r="S862" s="7"/>
    </row>
    <row r="863">
      <c r="A863" s="7" t="str">
        <f t="shared" si="1"/>
        <v>Mondino, Nancy liliana</v>
      </c>
      <c r="B863" s="7">
        <f>SUMIFS('bd caja'!$K$1:$K$1012,'bd caja'!$D$1:$D$1012,A863)</f>
        <v>0</v>
      </c>
      <c r="C863" s="19">
        <f>IFERROR(__xludf.DUMMYFUNCTION("""COMPUTED_VALUE"""),45687.66891158565)</f>
        <v>45687.66891</v>
      </c>
      <c r="D863" s="7" t="str">
        <f>IFERROR(__xludf.DUMMYFUNCTION("""COMPUTED_VALUE"""),"Mondino")</f>
        <v>Mondino</v>
      </c>
      <c r="E863" s="7" t="str">
        <f>IFERROR(__xludf.DUMMYFUNCTION("""COMPUTED_VALUE"""),"Nancy liliana")</f>
        <v>Nancy liliana</v>
      </c>
      <c r="F863" s="7"/>
      <c r="G863" s="20">
        <f>IFERROR(__xludf.DUMMYFUNCTION("""COMPUTED_VALUE"""),23353.0)</f>
        <v>23353</v>
      </c>
      <c r="H863" s="7">
        <f>IFERROR(__xludf.DUMMYFUNCTION("""COMPUTED_VALUE"""),1.6740824E7)</f>
        <v>16740824</v>
      </c>
      <c r="I863" s="7">
        <f>IFERROR(__xludf.DUMMYFUNCTION("""COMPUTED_VALUE"""),3.512680068E9)</f>
        <v>3512680068</v>
      </c>
      <c r="J863" s="7" t="str">
        <f>IFERROR(__xludf.DUMMYFUNCTION("""COMPUTED_VALUE"""),"Recomendación")</f>
        <v>Recomendación</v>
      </c>
      <c r="K863" s="7" t="str">
        <f>IFERROR(__xludf.DUMMYFUNCTION("""COMPUTED_VALUE"""),"Obra social")</f>
        <v>Obra social</v>
      </c>
      <c r="L863" s="7"/>
      <c r="M863" s="7" t="str">
        <f>IFERROR(__xludf.DUMMYFUNCTION("""COMPUTED_VALUE"""),"No")</f>
        <v>No</v>
      </c>
      <c r="N863" s="7"/>
      <c r="O863" s="7"/>
      <c r="P863" s="7"/>
      <c r="Q863" s="7"/>
      <c r="R863" s="7"/>
      <c r="S863" s="7"/>
    </row>
    <row r="864">
      <c r="A864" s="7" t="str">
        <f t="shared" si="1"/>
        <v>Moyano, Maximiliano</v>
      </c>
      <c r="B864" s="7">
        <f>SUMIFS('bd caja'!$K$1:$K$1012,'bd caja'!$D$1:$D$1012,A864)</f>
        <v>0</v>
      </c>
      <c r="C864" s="19">
        <f>IFERROR(__xludf.DUMMYFUNCTION("""COMPUTED_VALUE"""),45688.448191944444)</f>
        <v>45688.44819</v>
      </c>
      <c r="D864" s="7" t="str">
        <f>IFERROR(__xludf.DUMMYFUNCTION("""COMPUTED_VALUE"""),"Moyano")</f>
        <v>Moyano</v>
      </c>
      <c r="E864" s="7" t="str">
        <f>IFERROR(__xludf.DUMMYFUNCTION("""COMPUTED_VALUE"""),"Maximiliano")</f>
        <v>Maximiliano</v>
      </c>
      <c r="F864" s="7" t="str">
        <f>IFERROR(__xludf.DUMMYFUNCTION("""COMPUTED_VALUE"""),"maximoyano95@gmail.com")</f>
        <v>maximoyano95@gmail.com</v>
      </c>
      <c r="G864" s="20">
        <f>IFERROR(__xludf.DUMMYFUNCTION("""COMPUTED_VALUE"""),34727.0)</f>
        <v>34727</v>
      </c>
      <c r="H864" s="7">
        <f>IFERROR(__xludf.DUMMYFUNCTION("""COMPUTED_VALUE"""),3.8647952E7)</f>
        <v>38647952</v>
      </c>
      <c r="I864" s="7">
        <f>IFERROR(__xludf.DUMMYFUNCTION("""COMPUTED_VALUE"""),3.518022205E9)</f>
        <v>3518022205</v>
      </c>
      <c r="J864" s="7" t="str">
        <f>IFERROR(__xludf.DUMMYFUNCTION("""COMPUTED_VALUE"""),"Voy al gym Manantial")</f>
        <v>Voy al gym Manantial</v>
      </c>
      <c r="K864" s="7" t="str">
        <f>IFERROR(__xludf.DUMMYFUNCTION("""COMPUTED_VALUE"""),"Particular")</f>
        <v>Particular</v>
      </c>
      <c r="L864" s="7"/>
      <c r="M864" s="7" t="str">
        <f>IFERROR(__xludf.DUMMYFUNCTION("""COMPUTED_VALUE"""),"Si")</f>
        <v>Si</v>
      </c>
      <c r="N864" s="7" t="str">
        <f>IFERROR(__xludf.DUMMYFUNCTION("""COMPUTED_VALUE"""),"gimnasio")</f>
        <v>gimnasio</v>
      </c>
      <c r="O864" s="7" t="str">
        <f>IFERROR(__xludf.DUMMYFUNCTION("""COMPUTED_VALUE"""),"3 a 5 veces por semana")</f>
        <v>3 a 5 veces por semana</v>
      </c>
      <c r="P864" s="7"/>
      <c r="Q864" s="7"/>
      <c r="R864" s="7"/>
      <c r="S864" s="7"/>
    </row>
    <row r="865">
      <c r="A865" s="7" t="str">
        <f t="shared" si="1"/>
        <v>Miretti, Zulema</v>
      </c>
      <c r="B865" s="7">
        <f>SUMIFS('bd caja'!$K$1:$K$1012,'bd caja'!$D$1:$D$1012,A865)</f>
        <v>0</v>
      </c>
      <c r="C865" s="19">
        <f>IFERROR(__xludf.DUMMYFUNCTION("""COMPUTED_VALUE"""),45692.67886609954)</f>
        <v>45692.67887</v>
      </c>
      <c r="D865" s="7" t="str">
        <f>IFERROR(__xludf.DUMMYFUNCTION("""COMPUTED_VALUE"""),"Miretti")</f>
        <v>Miretti</v>
      </c>
      <c r="E865" s="7" t="str">
        <f>IFERROR(__xludf.DUMMYFUNCTION("""COMPUTED_VALUE"""),"Zulema")</f>
        <v>Zulema</v>
      </c>
      <c r="F865" s="7"/>
      <c r="G865" s="20">
        <f>IFERROR(__xludf.DUMMYFUNCTION("""COMPUTED_VALUE"""),19926.0)</f>
        <v>19926</v>
      </c>
      <c r="H865" s="7">
        <f>IFERROR(__xludf.DUMMYFUNCTION("""COMPUTED_VALUE"""),1.1244221E7)</f>
        <v>11244221</v>
      </c>
      <c r="I865" s="7">
        <f>IFERROR(__xludf.DUMMYFUNCTION("""COMPUTED_VALUE"""),3.516724587E9)</f>
        <v>3516724587</v>
      </c>
      <c r="J865" s="7" t="str">
        <f>IFERROR(__xludf.DUMMYFUNCTION("""COMPUTED_VALUE"""),"Recomendación")</f>
        <v>Recomendación</v>
      </c>
      <c r="K865" s="7" t="str">
        <f>IFERROR(__xludf.DUMMYFUNCTION("""COMPUTED_VALUE"""),"Obra social")</f>
        <v>Obra social</v>
      </c>
      <c r="L865" s="7"/>
      <c r="M865" s="7" t="str">
        <f>IFERROR(__xludf.DUMMYFUNCTION("""COMPUTED_VALUE"""),"Si")</f>
        <v>Si</v>
      </c>
      <c r="N865" s="7" t="str">
        <f>IFERROR(__xludf.DUMMYFUNCTION("""COMPUTED_VALUE"""),"Gimnasio")</f>
        <v>Gimnasio</v>
      </c>
      <c r="O865" s="7" t="str">
        <f>IFERROR(__xludf.DUMMYFUNCTION("""COMPUTED_VALUE"""),"1 a 2 veces por semana")</f>
        <v>1 a 2 veces por semana</v>
      </c>
      <c r="P865" s="7"/>
      <c r="Q865" s="7" t="str">
        <f>IFERROR(__xludf.DUMMYFUNCTION("""COMPUTED_VALUE"""),"APROSS")</f>
        <v>APROSS</v>
      </c>
      <c r="R865" s="7"/>
      <c r="S865" s="7"/>
    </row>
    <row r="866">
      <c r="A866" s="7" t="str">
        <f t="shared" si="1"/>
        <v>rivero, sabrina fernanda</v>
      </c>
      <c r="B866" s="7">
        <f>SUMIFS('bd caja'!$K$1:$K$1012,'bd caja'!$D$1:$D$1012,A866)</f>
        <v>0</v>
      </c>
      <c r="C866" s="19">
        <f>IFERROR(__xludf.DUMMYFUNCTION("""COMPUTED_VALUE"""),45692.956764097224)</f>
        <v>45692.95676</v>
      </c>
      <c r="D866" s="7" t="str">
        <f>IFERROR(__xludf.DUMMYFUNCTION("""COMPUTED_VALUE"""),"rivero")</f>
        <v>rivero</v>
      </c>
      <c r="E866" s="7" t="str">
        <f>IFERROR(__xludf.DUMMYFUNCTION("""COMPUTED_VALUE"""),"sabrina fernanda")</f>
        <v>sabrina fernanda</v>
      </c>
      <c r="F866" s="7" t="str">
        <f>IFERROR(__xludf.DUMMYFUNCTION("""COMPUTED_VALUE"""),"sabri.rivero@hotmail.com.ar")</f>
        <v>sabri.rivero@hotmail.com.ar</v>
      </c>
      <c r="G866" s="20">
        <f>IFERROR(__xludf.DUMMYFUNCTION("""COMPUTED_VALUE"""),31362.0)</f>
        <v>31362</v>
      </c>
      <c r="H866" s="7">
        <f>IFERROR(__xludf.DUMMYFUNCTION("""COMPUTED_VALUE"""),3.1890251E7)</f>
        <v>31890251</v>
      </c>
      <c r="I866" s="7">
        <f>IFERROR(__xludf.DUMMYFUNCTION("""COMPUTED_VALUE"""),3.41350852E9)</f>
        <v>3413508520</v>
      </c>
      <c r="J866" s="7" t="str">
        <f>IFERROR(__xludf.DUMMYFUNCTION("""COMPUTED_VALUE"""),"Recomendación")</f>
        <v>Recomendación</v>
      </c>
      <c r="K866" s="7" t="str">
        <f>IFERROR(__xludf.DUMMYFUNCTION("""COMPUTED_VALUE"""),"Obra social")</f>
        <v>Obra social</v>
      </c>
      <c r="L866" s="7"/>
      <c r="M866" s="7" t="str">
        <f>IFERROR(__xludf.DUMMYFUNCTION("""COMPUTED_VALUE"""),"No")</f>
        <v>No</v>
      </c>
      <c r="N866" s="7"/>
      <c r="O866" s="7"/>
      <c r="P866" s="7"/>
      <c r="Q866" s="7" t="str">
        <f>IFERROR(__xludf.DUMMYFUNCTION("""COMPUTED_VALUE"""),"PREVENCIÓN")</f>
        <v>PREVENCIÓN</v>
      </c>
      <c r="R866" s="7"/>
      <c r="S866" s="7"/>
    </row>
    <row r="867">
      <c r="A867" s="7" t="str">
        <f t="shared" si="1"/>
        <v>Castagno, Emanuel </v>
      </c>
      <c r="B867" s="7">
        <f>SUMIFS('bd caja'!$K$1:$K$1012,'bd caja'!$D$1:$D$1012,A867)</f>
        <v>0</v>
      </c>
      <c r="C867" s="19">
        <f>IFERROR(__xludf.DUMMYFUNCTION("""COMPUTED_VALUE"""),45693.436704039355)</f>
        <v>45693.4367</v>
      </c>
      <c r="D867" s="7" t="str">
        <f>IFERROR(__xludf.DUMMYFUNCTION("""COMPUTED_VALUE"""),"Castagno")</f>
        <v>Castagno</v>
      </c>
      <c r="E867" s="7" t="str">
        <f>IFERROR(__xludf.DUMMYFUNCTION("""COMPUTED_VALUE"""),"Emanuel ")</f>
        <v>Emanuel </v>
      </c>
      <c r="F867" s="7" t="str">
        <f>IFERROR(__xludf.DUMMYFUNCTION("""COMPUTED_VALUE"""),"Ema005@hotmail.com")</f>
        <v>Ema005@hotmail.com</v>
      </c>
      <c r="G867" s="20">
        <f>IFERROR(__xludf.DUMMYFUNCTION("""COMPUTED_VALUE"""),33157.0)</f>
        <v>33157</v>
      </c>
      <c r="H867" s="7">
        <f>IFERROR(__xludf.DUMMYFUNCTION("""COMPUTED_VALUE"""),3.5282113E7)</f>
        <v>35282113</v>
      </c>
      <c r="I867" s="7">
        <f>IFERROR(__xludf.DUMMYFUNCTION("""COMPUTED_VALUE"""),3.515162829E9)</f>
        <v>3515162829</v>
      </c>
      <c r="J867" s="7" t="str">
        <f>IFERROR(__xludf.DUMMYFUNCTION("""COMPUTED_VALUE"""),"Recomendación")</f>
        <v>Recomendación</v>
      </c>
      <c r="K867" s="7" t="str">
        <f>IFERROR(__xludf.DUMMYFUNCTION("""COMPUTED_VALUE"""),"Particular")</f>
        <v>Particular</v>
      </c>
      <c r="L867" s="7"/>
      <c r="M867" s="7" t="str">
        <f>IFERROR(__xludf.DUMMYFUNCTION("""COMPUTED_VALUE"""),"Si")</f>
        <v>Si</v>
      </c>
      <c r="N867" s="7" t="str">
        <f>IFERROR(__xludf.DUMMYFUNCTION("""COMPUTED_VALUE"""),"Fútbol")</f>
        <v>Fútbol</v>
      </c>
      <c r="O867" s="7" t="str">
        <f>IFERROR(__xludf.DUMMYFUNCTION("""COMPUTED_VALUE"""),"3 a 5 veces por semana")</f>
        <v>3 a 5 veces por semana</v>
      </c>
      <c r="P867" s="7"/>
      <c r="Q867" s="7"/>
      <c r="R867" s="7"/>
      <c r="S867" s="7"/>
    </row>
    <row r="868">
      <c r="A868" s="7" t="str">
        <f t="shared" si="1"/>
        <v>Virginio , Sebastián </v>
      </c>
      <c r="B868" s="7">
        <f>SUMIFS('bd caja'!$K$1:$K$1012,'bd caja'!$D$1:$D$1012,A868)</f>
        <v>0</v>
      </c>
      <c r="C868" s="19">
        <f>IFERROR(__xludf.DUMMYFUNCTION("""COMPUTED_VALUE"""),45693.524811655094)</f>
        <v>45693.52481</v>
      </c>
      <c r="D868" s="7" t="str">
        <f>IFERROR(__xludf.DUMMYFUNCTION("""COMPUTED_VALUE"""),"Virginio ")</f>
        <v>Virginio </v>
      </c>
      <c r="E868" s="7" t="str">
        <f>IFERROR(__xludf.DUMMYFUNCTION("""COMPUTED_VALUE"""),"Sebastián ")</f>
        <v>Sebastián </v>
      </c>
      <c r="F868" s="7" t="str">
        <f>IFERROR(__xludf.DUMMYFUNCTION("""COMPUTED_VALUE"""),"svirginio@gmail.com")</f>
        <v>svirginio@gmail.com</v>
      </c>
      <c r="G868" s="20">
        <f>IFERROR(__xludf.DUMMYFUNCTION("""COMPUTED_VALUE"""),29182.0)</f>
        <v>29182</v>
      </c>
      <c r="H868" s="7">
        <f>IFERROR(__xludf.DUMMYFUNCTION("""COMPUTED_VALUE"""),2.7656971E7)</f>
        <v>27656971</v>
      </c>
      <c r="I868" s="7">
        <f>IFERROR(__xludf.DUMMYFUNCTION("""COMPUTED_VALUE"""),3.516754851E9)</f>
        <v>3516754851</v>
      </c>
      <c r="J868" s="7" t="str">
        <f>IFERROR(__xludf.DUMMYFUNCTION("""COMPUTED_VALUE"""),"Recomendación")</f>
        <v>Recomendación</v>
      </c>
      <c r="K868" s="7" t="str">
        <f>IFERROR(__xludf.DUMMYFUNCTION("""COMPUTED_VALUE"""),"Obra social")</f>
        <v>Obra social</v>
      </c>
      <c r="L868" s="7"/>
      <c r="M868" s="7" t="str">
        <f>IFERROR(__xludf.DUMMYFUNCTION("""COMPUTED_VALUE"""),"Si")</f>
        <v>Si</v>
      </c>
      <c r="N868" s="7" t="str">
        <f>IFERROR(__xludf.DUMMYFUNCTION("""COMPUTED_VALUE"""),"Escalada/montañismo")</f>
        <v>Escalada/montañismo</v>
      </c>
      <c r="O868" s="7" t="str">
        <f>IFERROR(__xludf.DUMMYFUNCTION("""COMPUTED_VALUE"""),"3 a 5 veces por semana")</f>
        <v>3 a 5 veces por semana</v>
      </c>
      <c r="P868" s="7"/>
      <c r="Q868" s="7" t="str">
        <f>IFERROR(__xludf.DUMMYFUNCTION("""COMPUTED_VALUE"""),"APROSS")</f>
        <v>APROSS</v>
      </c>
      <c r="R868" s="7"/>
      <c r="S868" s="7"/>
    </row>
    <row r="869">
      <c r="A869" s="7" t="str">
        <f t="shared" si="1"/>
        <v>Cara, María Luisa </v>
      </c>
      <c r="B869" s="7">
        <f>SUMIFS('bd caja'!$K$1:$K$1012,'bd caja'!$D$1:$D$1012,A869)</f>
        <v>0</v>
      </c>
      <c r="C869" s="19">
        <f>IFERROR(__xludf.DUMMYFUNCTION("""COMPUTED_VALUE"""),45693.86325304398)</f>
        <v>45693.86325</v>
      </c>
      <c r="D869" s="7" t="str">
        <f>IFERROR(__xludf.DUMMYFUNCTION("""COMPUTED_VALUE"""),"Cara")</f>
        <v>Cara</v>
      </c>
      <c r="E869" s="7" t="str">
        <f>IFERROR(__xludf.DUMMYFUNCTION("""COMPUTED_VALUE"""),"María Luisa ")</f>
        <v>María Luisa </v>
      </c>
      <c r="F869" s="7" t="str">
        <f>IFERROR(__xludf.DUMMYFUNCTION("""COMPUTED_VALUE"""),"lulucara48@gmail.com")</f>
        <v>lulucara48@gmail.com</v>
      </c>
      <c r="G869" s="20">
        <f>IFERROR(__xludf.DUMMYFUNCTION("""COMPUTED_VALUE"""),36685.0)</f>
        <v>36685</v>
      </c>
      <c r="H869" s="7">
        <f>IFERROR(__xludf.DUMMYFUNCTION("""COMPUTED_VALUE"""),4.2513817E7)</f>
        <v>42513817</v>
      </c>
      <c r="I869" s="7">
        <f>IFERROR(__xludf.DUMMYFUNCTION("""COMPUTED_VALUE"""),3.516453248E9)</f>
        <v>3516453248</v>
      </c>
      <c r="J869" s="7" t="str">
        <f>IFERROR(__xludf.DUMMYFUNCTION("""COMPUTED_VALUE"""),"Recomendación")</f>
        <v>Recomendación</v>
      </c>
      <c r="K869" s="7" t="str">
        <f>IFERROR(__xludf.DUMMYFUNCTION("""COMPUTED_VALUE"""),"Particular")</f>
        <v>Particular</v>
      </c>
      <c r="L869" s="7"/>
      <c r="M869" s="7" t="str">
        <f>IFERROR(__xludf.DUMMYFUNCTION("""COMPUTED_VALUE"""),"No")</f>
        <v>No</v>
      </c>
      <c r="N869" s="7"/>
      <c r="O869" s="7"/>
      <c r="P869" s="7"/>
      <c r="Q869" s="7"/>
      <c r="R869" s="7"/>
      <c r="S869" s="7"/>
    </row>
    <row r="870">
      <c r="A870" s="7" t="str">
        <f t="shared" si="1"/>
        <v>Brandi , Hector</v>
      </c>
      <c r="B870" s="7">
        <f>SUMIFS('bd caja'!$K$1:$K$1012,'bd caja'!$D$1:$D$1012,A870)</f>
        <v>0</v>
      </c>
      <c r="C870" s="19">
        <f>IFERROR(__xludf.DUMMYFUNCTION("""COMPUTED_VALUE"""),45694.477552916665)</f>
        <v>45694.47755</v>
      </c>
      <c r="D870" s="7" t="str">
        <f>IFERROR(__xludf.DUMMYFUNCTION("""COMPUTED_VALUE"""),"Brandi ")</f>
        <v>Brandi </v>
      </c>
      <c r="E870" s="7" t="str">
        <f>IFERROR(__xludf.DUMMYFUNCTION("""COMPUTED_VALUE"""),"Hector")</f>
        <v>Hector</v>
      </c>
      <c r="F870" s="23" t="str">
        <f>IFERROR(__xludf.DUMMYFUNCTION("""COMPUTED_VALUE"""),"milagros1361qgmail.com")</f>
        <v>milagros1361qgmail.com</v>
      </c>
      <c r="G870" s="20">
        <f>IFERROR(__xludf.DUMMYFUNCTION("""COMPUTED_VALUE"""),17371.0)</f>
        <v>17371</v>
      </c>
      <c r="H870" s="7">
        <f>IFERROR(__xludf.DUMMYFUNCTION("""COMPUTED_VALUE"""),7997880.0)</f>
        <v>7997880</v>
      </c>
      <c r="I870" s="7">
        <f>IFERROR(__xludf.DUMMYFUNCTION("""COMPUTED_VALUE"""),3.513464188E9)</f>
        <v>3513464188</v>
      </c>
      <c r="J870" s="7" t="str">
        <f>IFERROR(__xludf.DUMMYFUNCTION("""COMPUTED_VALUE"""),"Recomendación")</f>
        <v>Recomendación</v>
      </c>
      <c r="K870" s="7" t="str">
        <f>IFERROR(__xludf.DUMMYFUNCTION("""COMPUTED_VALUE"""),"Particular")</f>
        <v>Particular</v>
      </c>
      <c r="L870" s="7"/>
      <c r="M870" s="7" t="str">
        <f>IFERROR(__xludf.DUMMYFUNCTION("""COMPUTED_VALUE"""),"No")</f>
        <v>No</v>
      </c>
      <c r="N870" s="7"/>
      <c r="O870" s="7"/>
      <c r="P870" s="7"/>
      <c r="Q870" s="7"/>
      <c r="R870" s="7"/>
      <c r="S870" s="7"/>
    </row>
    <row r="871">
      <c r="A871" s="7" t="str">
        <f t="shared" si="1"/>
        <v>Grecco, Daniel</v>
      </c>
      <c r="B871" s="7">
        <f>SUMIFS('bd caja'!$K$1:$K$1012,'bd caja'!$D$1:$D$1012,A871)</f>
        <v>0</v>
      </c>
      <c r="C871" s="19">
        <f>IFERROR(__xludf.DUMMYFUNCTION("""COMPUTED_VALUE"""),45698.46359453704)</f>
        <v>45698.46359</v>
      </c>
      <c r="D871" s="7" t="str">
        <f>IFERROR(__xludf.DUMMYFUNCTION("""COMPUTED_VALUE"""),"Grecco")</f>
        <v>Grecco</v>
      </c>
      <c r="E871" s="7" t="str">
        <f>IFERROR(__xludf.DUMMYFUNCTION("""COMPUTED_VALUE"""),"Daniel")</f>
        <v>Daniel</v>
      </c>
      <c r="F871" s="7" t="str">
        <f>IFERROR(__xludf.DUMMYFUNCTION("""COMPUTED_VALUE"""),"danielalbertogrecco@gmail.com")</f>
        <v>danielalbertogrecco@gmail.com</v>
      </c>
      <c r="G871" s="20">
        <f>IFERROR(__xludf.DUMMYFUNCTION("""COMPUTED_VALUE"""),32511.0)</f>
        <v>32511</v>
      </c>
      <c r="H871" s="7">
        <f>IFERROR(__xludf.DUMMYFUNCTION("""COMPUTED_VALUE"""),3.4131648E7)</f>
        <v>34131648</v>
      </c>
      <c r="I871" s="7">
        <f>IFERROR(__xludf.DUMMYFUNCTION("""COMPUTED_VALUE"""),3.51399996E9)</f>
        <v>3513999960</v>
      </c>
      <c r="J871" s="7" t="str">
        <f>IFERROR(__xludf.DUMMYFUNCTION("""COMPUTED_VALUE"""),"Google")</f>
        <v>Google</v>
      </c>
      <c r="K871" s="7" t="str">
        <f>IFERROR(__xludf.DUMMYFUNCTION("""COMPUTED_VALUE"""),"Particular")</f>
        <v>Particular</v>
      </c>
      <c r="L871" s="7"/>
      <c r="M871" s="7" t="str">
        <f>IFERROR(__xludf.DUMMYFUNCTION("""COMPUTED_VALUE"""),"Si")</f>
        <v>Si</v>
      </c>
      <c r="N871" s="7" t="str">
        <f>IFERROR(__xludf.DUMMYFUNCTION("""COMPUTED_VALUE"""),"Gimnasio")</f>
        <v>Gimnasio</v>
      </c>
      <c r="O871" s="7" t="str">
        <f>IFERROR(__xludf.DUMMYFUNCTION("""COMPUTED_VALUE"""),"3 a 5 veces por semana")</f>
        <v>3 a 5 veces por semana</v>
      </c>
      <c r="P871" s="7"/>
      <c r="Q871" s="7"/>
      <c r="R871" s="7"/>
      <c r="S871" s="7"/>
    </row>
    <row r="872">
      <c r="A872" s="7" t="str">
        <f t="shared" si="1"/>
        <v>Moretto, Milagros</v>
      </c>
      <c r="B872" s="7">
        <f>SUMIFS('bd caja'!$K$1:$K$1012,'bd caja'!$D$1:$D$1012,A872)</f>
        <v>0</v>
      </c>
      <c r="C872" s="19">
        <f>IFERROR(__xludf.DUMMYFUNCTION("""COMPUTED_VALUE"""),45699.798671481476)</f>
        <v>45699.79867</v>
      </c>
      <c r="D872" s="7" t="str">
        <f>IFERROR(__xludf.DUMMYFUNCTION("""COMPUTED_VALUE"""),"Moretto")</f>
        <v>Moretto</v>
      </c>
      <c r="E872" s="7" t="str">
        <f>IFERROR(__xludf.DUMMYFUNCTION("""COMPUTED_VALUE"""),"Milagros")</f>
        <v>Milagros</v>
      </c>
      <c r="F872" s="7" t="str">
        <f>IFERROR(__xludf.DUMMYFUNCTION("""COMPUTED_VALUE"""),"milimoretto@hotmail.com")</f>
        <v>milimoretto@hotmail.com</v>
      </c>
      <c r="G872" s="20">
        <f>IFERROR(__xludf.DUMMYFUNCTION("""COMPUTED_VALUE"""),36353.0)</f>
        <v>36353</v>
      </c>
      <c r="H872" s="7">
        <f>IFERROR(__xludf.DUMMYFUNCTION("""COMPUTED_VALUE"""),4.1963156E7)</f>
        <v>41963156</v>
      </c>
      <c r="I872" s="7">
        <f>IFERROR(__xludf.DUMMYFUNCTION("""COMPUTED_VALUE"""),3.515060402E9)</f>
        <v>3515060402</v>
      </c>
      <c r="J872" s="7" t="str">
        <f>IFERROR(__xludf.DUMMYFUNCTION("""COMPUTED_VALUE"""),"Recomendación")</f>
        <v>Recomendación</v>
      </c>
      <c r="K872" s="7" t="str">
        <f>IFERROR(__xludf.DUMMYFUNCTION("""COMPUTED_VALUE"""),"Obra social")</f>
        <v>Obra social</v>
      </c>
      <c r="L872" s="7"/>
      <c r="M872" s="7" t="str">
        <f>IFERROR(__xludf.DUMMYFUNCTION("""COMPUTED_VALUE"""),"Si")</f>
        <v>Si</v>
      </c>
      <c r="N872" s="7" t="str">
        <f>IFERROR(__xludf.DUMMYFUNCTION("""COMPUTED_VALUE"""),"Pilates ")</f>
        <v>Pilates </v>
      </c>
      <c r="O872" s="7" t="str">
        <f>IFERROR(__xludf.DUMMYFUNCTION("""COMPUTED_VALUE"""),"6 a 7 veces por semana")</f>
        <v>6 a 7 veces por semana</v>
      </c>
      <c r="P872" s="7"/>
      <c r="Q872" s="7" t="str">
        <f>IFERROR(__xludf.DUMMYFUNCTION("""COMPUTED_VALUE"""),"PREVENCIÓN")</f>
        <v>PREVENCIÓN</v>
      </c>
      <c r="R872" s="7"/>
      <c r="S872" s="7"/>
    </row>
    <row r="873">
      <c r="A873" s="7" t="str">
        <f t="shared" si="1"/>
        <v>Cornejo, Maria josefina</v>
      </c>
      <c r="B873" s="7">
        <f>SUMIFS('bd caja'!$K$1:$K$1012,'bd caja'!$D$1:$D$1012,A873)</f>
        <v>0</v>
      </c>
      <c r="C873" s="19">
        <f>IFERROR(__xludf.DUMMYFUNCTION("""COMPUTED_VALUE"""),45700.81271989583)</f>
        <v>45700.81272</v>
      </c>
      <c r="D873" s="7" t="str">
        <f>IFERROR(__xludf.DUMMYFUNCTION("""COMPUTED_VALUE"""),"Cornejo")</f>
        <v>Cornejo</v>
      </c>
      <c r="E873" s="7" t="str">
        <f>IFERROR(__xludf.DUMMYFUNCTION("""COMPUTED_VALUE"""),"Maria josefina")</f>
        <v>Maria josefina</v>
      </c>
      <c r="F873" s="7" t="str">
        <f>IFERROR(__xludf.DUMMYFUNCTION("""COMPUTED_VALUE"""),"giselasr28@gmail.com")</f>
        <v>giselasr28@gmail.com</v>
      </c>
      <c r="G873" s="20">
        <f>IFERROR(__xludf.DUMMYFUNCTION("""COMPUTED_VALUE"""),15417.0)</f>
        <v>15417</v>
      </c>
      <c r="H873" s="7">
        <f>IFERROR(__xludf.DUMMYFUNCTION("""COMPUTED_VALUE"""),4424142.0)</f>
        <v>4424142</v>
      </c>
      <c r="I873" s="7">
        <f>IFERROR(__xludf.DUMMYFUNCTION("""COMPUTED_VALUE"""),3.512261824E9)</f>
        <v>3512261824</v>
      </c>
      <c r="J873" s="7" t="str">
        <f>IFERROR(__xludf.DUMMYFUNCTION("""COMPUTED_VALUE"""),"Recomendación")</f>
        <v>Recomendación</v>
      </c>
      <c r="K873" s="7" t="str">
        <f>IFERROR(__xludf.DUMMYFUNCTION("""COMPUTED_VALUE"""),"Obra social")</f>
        <v>Obra social</v>
      </c>
      <c r="L873" s="7"/>
      <c r="M873" s="7" t="str">
        <f>IFERROR(__xludf.DUMMYFUNCTION("""COMPUTED_VALUE"""),"No")</f>
        <v>No</v>
      </c>
      <c r="N873" s="7"/>
      <c r="O873" s="7"/>
      <c r="P873" s="7"/>
      <c r="Q873" s="7" t="str">
        <f>IFERROR(__xludf.DUMMYFUNCTION("""COMPUTED_VALUE"""),"APROSS")</f>
        <v>APROSS</v>
      </c>
      <c r="R873" s="7"/>
      <c r="S873" s="7"/>
    </row>
    <row r="874">
      <c r="A874" s="7" t="str">
        <f t="shared" si="1"/>
        <v>Oviedo, Manuel</v>
      </c>
      <c r="B874" s="7">
        <f>SUMIFS('bd caja'!$K$1:$K$1012,'bd caja'!$D$1:$D$1012,A874)</f>
        <v>0</v>
      </c>
      <c r="C874" s="19">
        <f>IFERROR(__xludf.DUMMYFUNCTION("""COMPUTED_VALUE"""),45701.36085081019)</f>
        <v>45701.36085</v>
      </c>
      <c r="D874" s="7" t="str">
        <f>IFERROR(__xludf.DUMMYFUNCTION("""COMPUTED_VALUE"""),"Oviedo")</f>
        <v>Oviedo</v>
      </c>
      <c r="E874" s="7" t="str">
        <f>IFERROR(__xludf.DUMMYFUNCTION("""COMPUTED_VALUE"""),"Manuel")</f>
        <v>Manuel</v>
      </c>
      <c r="F874" s="7" t="str">
        <f>IFERROR(__xludf.DUMMYFUNCTION("""COMPUTED_VALUE"""),"juanmanuel.oviedo14@gmail.com")</f>
        <v>juanmanuel.oviedo14@gmail.com</v>
      </c>
      <c r="G874" s="20">
        <f>IFERROR(__xludf.DUMMYFUNCTION("""COMPUTED_VALUE"""),32216.0)</f>
        <v>32216</v>
      </c>
      <c r="H874" s="7">
        <f>IFERROR(__xludf.DUMMYFUNCTION("""COMPUTED_VALUE"""),3.3712713E7)</f>
        <v>33712713</v>
      </c>
      <c r="I874" s="7">
        <f>IFERROR(__xludf.DUMMYFUNCTION("""COMPUTED_VALUE"""),3.512369338E9)</f>
        <v>3512369338</v>
      </c>
      <c r="J874" s="7" t="str">
        <f>IFERROR(__xludf.DUMMYFUNCTION("""COMPUTED_VALUE"""),"Recomendación")</f>
        <v>Recomendación</v>
      </c>
      <c r="K874" s="7" t="str">
        <f>IFERROR(__xludf.DUMMYFUNCTION("""COMPUTED_VALUE"""),"Particular")</f>
        <v>Particular</v>
      </c>
      <c r="L874" s="7"/>
      <c r="M874" s="7" t="str">
        <f>IFERROR(__xludf.DUMMYFUNCTION("""COMPUTED_VALUE"""),"Si")</f>
        <v>Si</v>
      </c>
      <c r="N874" s="7" t="str">
        <f>IFERROR(__xludf.DUMMYFUNCTION("""COMPUTED_VALUE"""),"tenis y gym")</f>
        <v>tenis y gym</v>
      </c>
      <c r="O874" s="7" t="str">
        <f>IFERROR(__xludf.DUMMYFUNCTION("""COMPUTED_VALUE"""),"3 a 5 veces por semana")</f>
        <v>3 a 5 veces por semana</v>
      </c>
      <c r="P874" s="7"/>
      <c r="Q874" s="7"/>
      <c r="R874" s="7"/>
      <c r="S874" s="7"/>
    </row>
    <row r="875">
      <c r="A875" s="7" t="str">
        <f t="shared" si="1"/>
        <v>Chanampa, Marcela</v>
      </c>
      <c r="B875" s="7">
        <f>SUMIFS('bd caja'!$K$1:$K$1012,'bd caja'!$D$1:$D$1012,A875)</f>
        <v>0</v>
      </c>
      <c r="C875" s="19">
        <f>IFERROR(__xludf.DUMMYFUNCTION("""COMPUTED_VALUE"""),45701.49758167824)</f>
        <v>45701.49758</v>
      </c>
      <c r="D875" s="7" t="str">
        <f>IFERROR(__xludf.DUMMYFUNCTION("""COMPUTED_VALUE"""),"Chanampa")</f>
        <v>Chanampa</v>
      </c>
      <c r="E875" s="7" t="str">
        <f>IFERROR(__xludf.DUMMYFUNCTION("""COMPUTED_VALUE"""),"Marcela")</f>
        <v>Marcela</v>
      </c>
      <c r="F875" s="7" t="str">
        <f>IFERROR(__xludf.DUMMYFUNCTION("""COMPUTED_VALUE"""),"marcela.chanampa@gmail.com")</f>
        <v>marcela.chanampa@gmail.com</v>
      </c>
      <c r="G875" s="20">
        <f>IFERROR(__xludf.DUMMYFUNCTION("""COMPUTED_VALUE"""),25950.0)</f>
        <v>25950</v>
      </c>
      <c r="H875" s="7">
        <f>IFERROR(__xludf.DUMMYFUNCTION("""COMPUTED_VALUE"""),2.2033078E7)</f>
        <v>22033078</v>
      </c>
      <c r="I875" s="7">
        <f>IFERROR(__xludf.DUMMYFUNCTION("""COMPUTED_VALUE"""),3.513189192E9)</f>
        <v>3513189192</v>
      </c>
      <c r="J875" s="7" t="str">
        <f>IFERROR(__xludf.DUMMYFUNCTION("""COMPUTED_VALUE"""),"Recomendación")</f>
        <v>Recomendación</v>
      </c>
      <c r="K875" s="7" t="str">
        <f>IFERROR(__xludf.DUMMYFUNCTION("""COMPUTED_VALUE"""),"Particular")</f>
        <v>Particular</v>
      </c>
      <c r="L875" s="7"/>
      <c r="M875" s="7" t="str">
        <f>IFERROR(__xludf.DUMMYFUNCTION("""COMPUTED_VALUE"""),"Si")</f>
        <v>Si</v>
      </c>
      <c r="N875" s="7" t="str">
        <f>IFERROR(__xludf.DUMMYFUNCTION("""COMPUTED_VALUE"""),"Padel")</f>
        <v>Padel</v>
      </c>
      <c r="O875" s="7" t="str">
        <f>IFERROR(__xludf.DUMMYFUNCTION("""COMPUTED_VALUE"""),"1 a 2 veces por semana")</f>
        <v>1 a 2 veces por semana</v>
      </c>
      <c r="P875" s="7"/>
      <c r="Q875" s="7"/>
      <c r="R875" s="7"/>
      <c r="S875" s="7"/>
    </row>
    <row r="876">
      <c r="A876" s="7" t="str">
        <f t="shared" si="1"/>
        <v>cornejo, maria josefina17</v>
      </c>
      <c r="B876" s="7">
        <f>SUMIFS('bd caja'!$K$1:$K$1012,'bd caja'!$D$1:$D$1012,A876)</f>
        <v>0</v>
      </c>
      <c r="C876" s="19">
        <f>IFERROR(__xludf.DUMMYFUNCTION("""COMPUTED_VALUE"""),45701.51936939815)</f>
        <v>45701.51937</v>
      </c>
      <c r="D876" s="7" t="str">
        <f>IFERROR(__xludf.DUMMYFUNCTION("""COMPUTED_VALUE"""),"cornejo")</f>
        <v>cornejo</v>
      </c>
      <c r="E876" s="7" t="str">
        <f>IFERROR(__xludf.DUMMYFUNCTION("""COMPUTED_VALUE"""),"maria josefina17")</f>
        <v>maria josefina17</v>
      </c>
      <c r="F876" s="7" t="str">
        <f>IFERROR(__xludf.DUMMYFUNCTION("""COMPUTED_VALUE"""),"mjcornejo142@gmail.com")</f>
        <v>mjcornejo142@gmail.com</v>
      </c>
      <c r="G876" s="20">
        <f>IFERROR(__xludf.DUMMYFUNCTION("""COMPUTED_VALUE"""),15417.0)</f>
        <v>15417</v>
      </c>
      <c r="H876" s="7">
        <f>IFERROR(__xludf.DUMMYFUNCTION("""COMPUTED_VALUE"""),4424142.0)</f>
        <v>4424142</v>
      </c>
      <c r="I876" s="7">
        <f>IFERROR(__xludf.DUMMYFUNCTION("""COMPUTED_VALUE"""),3.512261824E9)</f>
        <v>3512261824</v>
      </c>
      <c r="J876" s="7" t="str">
        <f>IFERROR(__xludf.DUMMYFUNCTION("""COMPUTED_VALUE"""),"Recomendación")</f>
        <v>Recomendación</v>
      </c>
      <c r="K876" s="7" t="str">
        <f>IFERROR(__xludf.DUMMYFUNCTION("""COMPUTED_VALUE"""),"Obra social")</f>
        <v>Obra social</v>
      </c>
      <c r="L876" s="7"/>
      <c r="M876" s="7" t="str">
        <f>IFERROR(__xludf.DUMMYFUNCTION("""COMPUTED_VALUE"""),"No")</f>
        <v>No</v>
      </c>
      <c r="N876" s="7"/>
      <c r="O876" s="7"/>
      <c r="P876" s="7"/>
      <c r="Q876" s="7" t="str">
        <f>IFERROR(__xludf.DUMMYFUNCTION("""COMPUTED_VALUE"""),"APROSS")</f>
        <v>APROSS</v>
      </c>
      <c r="R876" s="7"/>
      <c r="S876" s="7"/>
    </row>
    <row r="877">
      <c r="A877" s="7" t="str">
        <f t="shared" si="1"/>
        <v>Morán de la Vega, Francisco </v>
      </c>
      <c r="B877" s="7">
        <f>SUMIFS('bd caja'!$K$1:$K$1012,'bd caja'!$D$1:$D$1012,A877)</f>
        <v>0</v>
      </c>
      <c r="C877" s="19">
        <f>IFERROR(__xludf.DUMMYFUNCTION("""COMPUTED_VALUE"""),45701.55396711806)</f>
        <v>45701.55397</v>
      </c>
      <c r="D877" s="7" t="str">
        <f>IFERROR(__xludf.DUMMYFUNCTION("""COMPUTED_VALUE"""),"Morán de la Vega")</f>
        <v>Morán de la Vega</v>
      </c>
      <c r="E877" s="7" t="str">
        <f>IFERROR(__xludf.DUMMYFUNCTION("""COMPUTED_VALUE"""),"Francisco ")</f>
        <v>Francisco </v>
      </c>
      <c r="F877" s="7" t="str">
        <f>IFERROR(__xludf.DUMMYFUNCTION("""COMPUTED_VALUE"""),"franmorandelavega@gmail.com")</f>
        <v>franmorandelavega@gmail.com</v>
      </c>
      <c r="G877" s="20">
        <f>IFERROR(__xludf.DUMMYFUNCTION("""COMPUTED_VALUE"""),37895.0)</f>
        <v>37895</v>
      </c>
      <c r="H877" s="7">
        <f>IFERROR(__xludf.DUMMYFUNCTION("""COMPUTED_VALUE"""),4.497021E7)</f>
        <v>44970210</v>
      </c>
      <c r="I877" s="7">
        <f>IFERROR(__xludf.DUMMYFUNCTION("""COMPUTED_VALUE"""),3.51205225E9)</f>
        <v>3512052250</v>
      </c>
      <c r="J877" s="7" t="str">
        <f>IFERROR(__xludf.DUMMYFUNCTION("""COMPUTED_VALUE"""),"Recomendación")</f>
        <v>Recomendación</v>
      </c>
      <c r="K877" s="7" t="str">
        <f>IFERROR(__xludf.DUMMYFUNCTION("""COMPUTED_VALUE"""),"Obra social")</f>
        <v>Obra social</v>
      </c>
      <c r="L877" s="7"/>
      <c r="M877" s="7" t="str">
        <f>IFERROR(__xludf.DUMMYFUNCTION("""COMPUTED_VALUE"""),"Si")</f>
        <v>Si</v>
      </c>
      <c r="N877" s="7" t="str">
        <f>IFERROR(__xludf.DUMMYFUNCTION("""COMPUTED_VALUE"""),"Fútbol")</f>
        <v>Fútbol</v>
      </c>
      <c r="O877" s="7" t="str">
        <f>IFERROR(__xludf.DUMMYFUNCTION("""COMPUTED_VALUE"""),"3 a 5 veces por semana")</f>
        <v>3 a 5 veces por semana</v>
      </c>
      <c r="P877" s="7"/>
      <c r="Q877" s="7" t="str">
        <f>IFERROR(__xludf.DUMMYFUNCTION("""COMPUTED_VALUE"""),"APROSS")</f>
        <v>APROSS</v>
      </c>
      <c r="R877" s="7"/>
      <c r="S877" s="7"/>
    </row>
    <row r="878">
      <c r="A878" s="7" t="str">
        <f t="shared" si="1"/>
        <v>Ocaño, Esteban Guillermo</v>
      </c>
      <c r="B878" s="7">
        <f>SUMIFS('bd caja'!$K$1:$K$1012,'bd caja'!$D$1:$D$1012,A878)</f>
        <v>0</v>
      </c>
      <c r="C878" s="19">
        <f>IFERROR(__xludf.DUMMYFUNCTION("""COMPUTED_VALUE"""),45701.66398020834)</f>
        <v>45701.66398</v>
      </c>
      <c r="D878" s="7" t="str">
        <f>IFERROR(__xludf.DUMMYFUNCTION("""COMPUTED_VALUE"""),"Ocaño")</f>
        <v>Ocaño</v>
      </c>
      <c r="E878" s="7" t="str">
        <f>IFERROR(__xludf.DUMMYFUNCTION("""COMPUTED_VALUE"""),"Esteban Guillermo")</f>
        <v>Esteban Guillermo</v>
      </c>
      <c r="F878" s="7"/>
      <c r="G878" s="20">
        <f>IFERROR(__xludf.DUMMYFUNCTION("""COMPUTED_VALUE"""),33434.0)</f>
        <v>33434</v>
      </c>
      <c r="H878" s="7">
        <f>IFERROR(__xludf.DUMMYFUNCTION("""COMPUTED_VALUE"""),3.6239241E7)</f>
        <v>36239241</v>
      </c>
      <c r="I878" s="7">
        <f>IFERROR(__xludf.DUMMYFUNCTION("""COMPUTED_VALUE"""),3.51312215E9)</f>
        <v>3513122150</v>
      </c>
      <c r="J878" s="7" t="str">
        <f>IFERROR(__xludf.DUMMYFUNCTION("""COMPUTED_VALUE"""),"Voy al gym Manantial")</f>
        <v>Voy al gym Manantial</v>
      </c>
      <c r="K878" s="7" t="str">
        <f>IFERROR(__xludf.DUMMYFUNCTION("""COMPUTED_VALUE"""),"Particular")</f>
        <v>Particular</v>
      </c>
      <c r="L878" s="7"/>
      <c r="M878" s="7" t="str">
        <f>IFERROR(__xludf.DUMMYFUNCTION("""COMPUTED_VALUE"""),"Si")</f>
        <v>Si</v>
      </c>
      <c r="N878" s="7" t="str">
        <f>IFERROR(__xludf.DUMMYFUNCTION("""COMPUTED_VALUE"""),"Gimnasio")</f>
        <v>Gimnasio</v>
      </c>
      <c r="O878" s="7" t="str">
        <f>IFERROR(__xludf.DUMMYFUNCTION("""COMPUTED_VALUE"""),"3 a 5 veces por semana")</f>
        <v>3 a 5 veces por semana</v>
      </c>
      <c r="P878" s="7"/>
      <c r="Q878" s="7"/>
      <c r="R878" s="7"/>
      <c r="S878" s="7"/>
    </row>
    <row r="879">
      <c r="A879" s="7" t="str">
        <f t="shared" si="1"/>
        <v>Salman, Ana Maria</v>
      </c>
      <c r="B879" s="7">
        <f>SUMIFS('bd caja'!$K$1:$K$1012,'bd caja'!$D$1:$D$1012,A879)</f>
        <v>0</v>
      </c>
      <c r="C879" s="19">
        <f>IFERROR(__xludf.DUMMYFUNCTION("""COMPUTED_VALUE"""),45702.75850506945)</f>
        <v>45702.75851</v>
      </c>
      <c r="D879" s="7" t="str">
        <f>IFERROR(__xludf.DUMMYFUNCTION("""COMPUTED_VALUE"""),"Salman")</f>
        <v>Salman</v>
      </c>
      <c r="E879" s="7" t="str">
        <f>IFERROR(__xludf.DUMMYFUNCTION("""COMPUTED_VALUE"""),"Ana Maria")</f>
        <v>Ana Maria</v>
      </c>
      <c r="F879" s="7"/>
      <c r="G879" s="20">
        <f>IFERROR(__xludf.DUMMYFUNCTION("""COMPUTED_VALUE"""),19363.0)</f>
        <v>19363</v>
      </c>
      <c r="H879" s="7">
        <f>IFERROR(__xludf.DUMMYFUNCTION("""COMPUTED_VALUE"""),1.0333579E7)</f>
        <v>10333579</v>
      </c>
      <c r="I879" s="7">
        <f>IFERROR(__xludf.DUMMYFUNCTION("""COMPUTED_VALUE"""),3.513022014E9)</f>
        <v>3513022014</v>
      </c>
      <c r="J879" s="7" t="str">
        <f>IFERROR(__xludf.DUMMYFUNCTION("""COMPUTED_VALUE"""),"Voy al gym Manantial")</f>
        <v>Voy al gym Manantial</v>
      </c>
      <c r="K879" s="7" t="str">
        <f>IFERROR(__xludf.DUMMYFUNCTION("""COMPUTED_VALUE"""),"Particular")</f>
        <v>Particular</v>
      </c>
      <c r="L879" s="7"/>
      <c r="M879" s="7" t="str">
        <f>IFERROR(__xludf.DUMMYFUNCTION("""COMPUTED_VALUE"""),"Si")</f>
        <v>Si</v>
      </c>
      <c r="N879" s="7" t="str">
        <f>IFERROR(__xludf.DUMMYFUNCTION("""COMPUTED_VALUE"""),"Gimnasio")</f>
        <v>Gimnasio</v>
      </c>
      <c r="O879" s="7" t="str">
        <f>IFERROR(__xludf.DUMMYFUNCTION("""COMPUTED_VALUE"""),"1 a 2 veces por semana")</f>
        <v>1 a 2 veces por semana</v>
      </c>
      <c r="P879" s="7"/>
      <c r="Q879" s="7"/>
      <c r="R879" s="7"/>
      <c r="S879" s="7"/>
    </row>
    <row r="880">
      <c r="A880" s="7" t="str">
        <f t="shared" si="1"/>
        <v>DELLAROCCA, CELESTE</v>
      </c>
      <c r="B880" s="7">
        <f>SUMIFS('bd caja'!$K$1:$K$1012,'bd caja'!$D$1:$D$1012,A880)</f>
        <v>0</v>
      </c>
      <c r="C880" s="19">
        <f>IFERROR(__xludf.DUMMYFUNCTION("""COMPUTED_VALUE"""),45702.820223310184)</f>
        <v>45702.82022</v>
      </c>
      <c r="D880" s="7" t="str">
        <f>IFERROR(__xludf.DUMMYFUNCTION("""COMPUTED_VALUE"""),"DELLAROCCA")</f>
        <v>DELLAROCCA</v>
      </c>
      <c r="E880" s="7" t="str">
        <f>IFERROR(__xludf.DUMMYFUNCTION("""COMPUTED_VALUE"""),"CELESTE")</f>
        <v>CELESTE</v>
      </c>
      <c r="F880" s="7" t="str">
        <f>IFERROR(__xludf.DUMMYFUNCTION("""COMPUTED_VALUE"""),"dellaroccaceleste@gmail.com")</f>
        <v>dellaroccaceleste@gmail.com</v>
      </c>
      <c r="G880" s="20">
        <f>IFERROR(__xludf.DUMMYFUNCTION("""COMPUTED_VALUE"""),28606.0)</f>
        <v>28606</v>
      </c>
      <c r="H880" s="7">
        <f>IFERROR(__xludf.DUMMYFUNCTION("""COMPUTED_VALUE"""),2.5561899E7)</f>
        <v>25561899</v>
      </c>
      <c r="I880" s="7">
        <f>IFERROR(__xludf.DUMMYFUNCTION("""COMPUTED_VALUE"""),3.51701939E9)</f>
        <v>3517019390</v>
      </c>
      <c r="J880" s="7" t="str">
        <f>IFERROR(__xludf.DUMMYFUNCTION("""COMPUTED_VALUE"""),"la conoci a anto en la pileta ")</f>
        <v>la conoci a anto en la pileta </v>
      </c>
      <c r="K880" s="7" t="str">
        <f>IFERROR(__xludf.DUMMYFUNCTION("""COMPUTED_VALUE"""),"Obra social")</f>
        <v>Obra social</v>
      </c>
      <c r="L880" s="7"/>
      <c r="M880" s="7" t="str">
        <f>IFERROR(__xludf.DUMMYFUNCTION("""COMPUTED_VALUE"""),"Si")</f>
        <v>Si</v>
      </c>
      <c r="N880" s="7" t="str">
        <f>IFERROR(__xludf.DUMMYFUNCTION("""COMPUTED_VALUE"""),"nataciòn y gimnasio")</f>
        <v>nataciòn y gimnasio</v>
      </c>
      <c r="O880" s="7" t="str">
        <f>IFERROR(__xludf.DUMMYFUNCTION("""COMPUTED_VALUE"""),"3 a 5 veces por semana")</f>
        <v>3 a 5 veces por semana</v>
      </c>
      <c r="P880" s="7"/>
      <c r="Q880" s="7" t="str">
        <f>IFERROR(__xludf.DUMMYFUNCTION("""COMPUTED_VALUE"""),"swiss medical")</f>
        <v>swiss medical</v>
      </c>
      <c r="R880" s="7"/>
      <c r="S880" s="7"/>
    </row>
    <row r="881">
      <c r="A881" s="7" t="str">
        <f t="shared" si="1"/>
        <v>Moyano Bustos, Matias Joaquin </v>
      </c>
      <c r="B881" s="7">
        <f>SUMIFS('bd caja'!$K$1:$K$1012,'bd caja'!$D$1:$D$1012,A881)</f>
        <v>0</v>
      </c>
      <c r="C881" s="19">
        <f>IFERROR(__xludf.DUMMYFUNCTION("""COMPUTED_VALUE"""),45705.44299895833)</f>
        <v>45705.443</v>
      </c>
      <c r="D881" s="7" t="str">
        <f>IFERROR(__xludf.DUMMYFUNCTION("""COMPUTED_VALUE"""),"Moyano Bustos")</f>
        <v>Moyano Bustos</v>
      </c>
      <c r="E881" s="7" t="str">
        <f>IFERROR(__xludf.DUMMYFUNCTION("""COMPUTED_VALUE"""),"Matias Joaquin ")</f>
        <v>Matias Joaquin </v>
      </c>
      <c r="F881" s="7" t="str">
        <f>IFERROR(__xludf.DUMMYFUNCTION("""COMPUTED_VALUE"""),"matiasmoyanobustos")</f>
        <v>matiasmoyanobustos</v>
      </c>
      <c r="G881" s="20">
        <f>IFERROR(__xludf.DUMMYFUNCTION("""COMPUTED_VALUE"""),38948.0)</f>
        <v>38948</v>
      </c>
      <c r="H881" s="7">
        <f>IFERROR(__xludf.DUMMYFUNCTION("""COMPUTED_VALUE"""),4.7350672E7)</f>
        <v>47350672</v>
      </c>
      <c r="I881" s="7">
        <f>IFERROR(__xludf.DUMMYFUNCTION("""COMPUTED_VALUE"""),3.515449219E9)</f>
        <v>3515449219</v>
      </c>
      <c r="J881" s="7" t="str">
        <f>IFERROR(__xludf.DUMMYFUNCTION("""COMPUTED_VALUE"""),"Cartilla Obra Social")</f>
        <v>Cartilla Obra Social</v>
      </c>
      <c r="K881" s="7" t="str">
        <f>IFERROR(__xludf.DUMMYFUNCTION("""COMPUTED_VALUE"""),"Obra social")</f>
        <v>Obra social</v>
      </c>
      <c r="L881" s="7"/>
      <c r="M881" s="7" t="str">
        <f>IFERROR(__xludf.DUMMYFUNCTION("""COMPUTED_VALUE"""),"Si")</f>
        <v>Si</v>
      </c>
      <c r="N881" s="7" t="str">
        <f>IFERROR(__xludf.DUMMYFUNCTION("""COMPUTED_VALUE"""),"Gimnasio")</f>
        <v>Gimnasio</v>
      </c>
      <c r="O881" s="7" t="str">
        <f>IFERROR(__xludf.DUMMYFUNCTION("""COMPUTED_VALUE"""),"3 a 5 veces por semana")</f>
        <v>3 a 5 veces por semana</v>
      </c>
      <c r="P881" s="7"/>
      <c r="Q881" s="7" t="str">
        <f>IFERROR(__xludf.DUMMYFUNCTION("""COMPUTED_VALUE"""),"APROSS")</f>
        <v>APROSS</v>
      </c>
      <c r="R881" s="7"/>
      <c r="S881" s="7"/>
    </row>
    <row r="882">
      <c r="A882" s="7" t="str">
        <f t="shared" si="1"/>
        <v>Torres, Gonzalo</v>
      </c>
      <c r="B882" s="7">
        <f>SUMIFS('bd caja'!$K$1:$K$1012,'bd caja'!$D$1:$D$1012,A882)</f>
        <v>0</v>
      </c>
      <c r="C882" s="19">
        <f>IFERROR(__xludf.DUMMYFUNCTION("""COMPUTED_VALUE"""),45705.82572033565)</f>
        <v>45705.82572</v>
      </c>
      <c r="D882" s="7" t="str">
        <f>IFERROR(__xludf.DUMMYFUNCTION("""COMPUTED_VALUE"""),"Torres")</f>
        <v>Torres</v>
      </c>
      <c r="E882" s="7" t="str">
        <f>IFERROR(__xludf.DUMMYFUNCTION("""COMPUTED_VALUE"""),"Gonzalo")</f>
        <v>Gonzalo</v>
      </c>
      <c r="F882" s="7" t="str">
        <f>IFERROR(__xludf.DUMMYFUNCTION("""COMPUTED_VALUE"""),"gonzaloarieltorres05@gmail.com")</f>
        <v>gonzaloarieltorres05@gmail.com</v>
      </c>
      <c r="G882" s="20">
        <f>IFERROR(__xludf.DUMMYFUNCTION("""COMPUTED_VALUE"""),35844.0)</f>
        <v>35844</v>
      </c>
      <c r="H882" s="7">
        <f>IFERROR(__xludf.DUMMYFUNCTION("""COMPUTED_VALUE"""),4.0963503E7)</f>
        <v>40963503</v>
      </c>
      <c r="I882" s="7">
        <f>IFERROR(__xludf.DUMMYFUNCTION("""COMPUTED_VALUE"""),3.512069785E9)</f>
        <v>3512069785</v>
      </c>
      <c r="J882" s="7" t="str">
        <f>IFERROR(__xludf.DUMMYFUNCTION("""COMPUTED_VALUE"""),"Voy al gym Manantial")</f>
        <v>Voy al gym Manantial</v>
      </c>
      <c r="K882" s="7" t="str">
        <f>IFERROR(__xludf.DUMMYFUNCTION("""COMPUTED_VALUE"""),"Particular")</f>
        <v>Particular</v>
      </c>
      <c r="L882" s="7"/>
      <c r="M882" s="7" t="str">
        <f>IFERROR(__xludf.DUMMYFUNCTION("""COMPUTED_VALUE"""),"Si")</f>
        <v>Si</v>
      </c>
      <c r="N882" s="7" t="str">
        <f>IFERROR(__xludf.DUMMYFUNCTION("""COMPUTED_VALUE"""),"Gimnasio+Futbol")</f>
        <v>Gimnasio+Futbol</v>
      </c>
      <c r="O882" s="7" t="str">
        <f>IFERROR(__xludf.DUMMYFUNCTION("""COMPUTED_VALUE"""),"6 a 7 veces por semana")</f>
        <v>6 a 7 veces por semana</v>
      </c>
      <c r="P882" s="7"/>
      <c r="Q882" s="7"/>
      <c r="R882" s="7"/>
      <c r="S882" s="7"/>
    </row>
    <row r="883">
      <c r="A883" s="7" t="str">
        <f t="shared" si="1"/>
        <v>Chocobar, Gonzalo</v>
      </c>
      <c r="B883" s="7">
        <f>SUMIFS('bd caja'!$K$1:$K$1012,'bd caja'!$D$1:$D$1012,A883)</f>
        <v>0</v>
      </c>
      <c r="C883" s="19">
        <f>IFERROR(__xludf.DUMMYFUNCTION("""COMPUTED_VALUE"""),45706.80956405093)</f>
        <v>45706.80956</v>
      </c>
      <c r="D883" s="7" t="str">
        <f>IFERROR(__xludf.DUMMYFUNCTION("""COMPUTED_VALUE"""),"Chocobar")</f>
        <v>Chocobar</v>
      </c>
      <c r="E883" s="7" t="str">
        <f>IFERROR(__xludf.DUMMYFUNCTION("""COMPUTED_VALUE"""),"Gonzalo")</f>
        <v>Gonzalo</v>
      </c>
      <c r="F883" s="7" t="str">
        <f>IFERROR(__xludf.DUMMYFUNCTION("""COMPUTED_VALUE"""),"gonzalocbes@hotmail.com")</f>
        <v>gonzalocbes@hotmail.com</v>
      </c>
      <c r="G883" s="20">
        <f>IFERROR(__xludf.DUMMYFUNCTION("""COMPUTED_VALUE"""),31400.0)</f>
        <v>31400</v>
      </c>
      <c r="H883" s="7">
        <f>IFERROR(__xludf.DUMMYFUNCTION("""COMPUTED_VALUE"""),3.1922296E7)</f>
        <v>31922296</v>
      </c>
      <c r="I883" s="7">
        <f>IFERROR(__xludf.DUMMYFUNCTION("""COMPUTED_VALUE"""),3.513467935E9)</f>
        <v>3513467935</v>
      </c>
      <c r="J883" s="7" t="str">
        <f>IFERROR(__xludf.DUMMYFUNCTION("""COMPUTED_VALUE"""),"Recomendación")</f>
        <v>Recomendación</v>
      </c>
      <c r="K883" s="7" t="str">
        <f>IFERROR(__xludf.DUMMYFUNCTION("""COMPUTED_VALUE"""),"Obra social")</f>
        <v>Obra social</v>
      </c>
      <c r="L883" s="7"/>
      <c r="M883" s="7" t="str">
        <f>IFERROR(__xludf.DUMMYFUNCTION("""COMPUTED_VALUE"""),"No")</f>
        <v>No</v>
      </c>
      <c r="N883" s="7"/>
      <c r="O883" s="7"/>
      <c r="P883" s="7"/>
      <c r="Q883" s="7" t="str">
        <f>IFERROR(__xludf.DUMMYFUNCTION("""COMPUTED_VALUE"""),"SANCOR")</f>
        <v>SANCOR</v>
      </c>
      <c r="R883" s="7"/>
      <c r="S883" s="7"/>
    </row>
    <row r="884">
      <c r="A884" s="7" t="str">
        <f t="shared" si="1"/>
        <v>Sánchez , Alejandro </v>
      </c>
      <c r="B884" s="7">
        <f>SUMIFS('bd caja'!$K$1:$K$1012,'bd caja'!$D$1:$D$1012,A884)</f>
        <v>0</v>
      </c>
      <c r="C884" s="19">
        <f>IFERROR(__xludf.DUMMYFUNCTION("""COMPUTED_VALUE"""),45706.897710879624)</f>
        <v>45706.89771</v>
      </c>
      <c r="D884" s="7" t="str">
        <f>IFERROR(__xludf.DUMMYFUNCTION("""COMPUTED_VALUE"""),"Sánchez ")</f>
        <v>Sánchez </v>
      </c>
      <c r="E884" s="7" t="str">
        <f>IFERROR(__xludf.DUMMYFUNCTION("""COMPUTED_VALUE"""),"Alejandro ")</f>
        <v>Alejandro </v>
      </c>
      <c r="F884" s="7" t="str">
        <f>IFERROR(__xludf.DUMMYFUNCTION("""COMPUTED_VALUE"""),"alejandrocsanchez@hotmail.com")</f>
        <v>alejandrocsanchez@hotmail.com</v>
      </c>
      <c r="G884" s="20">
        <f>IFERROR(__xludf.DUMMYFUNCTION("""COMPUTED_VALUE"""),25900.0)</f>
        <v>25900</v>
      </c>
      <c r="H884" s="7">
        <f>IFERROR(__xludf.DUMMYFUNCTION("""COMPUTED_VALUE"""),2.196624E7)</f>
        <v>21966240</v>
      </c>
      <c r="I884" s="7">
        <f>IFERROR(__xludf.DUMMYFUNCTION("""COMPUTED_VALUE"""),3.513392976E9)</f>
        <v>3513392976</v>
      </c>
      <c r="J884" s="7" t="str">
        <f>IFERROR(__xludf.DUMMYFUNCTION("""COMPUTED_VALUE"""),"Voy al gym Manantial")</f>
        <v>Voy al gym Manantial</v>
      </c>
      <c r="K884" s="7" t="str">
        <f>IFERROR(__xludf.DUMMYFUNCTION("""COMPUTED_VALUE"""),"Obra social")</f>
        <v>Obra social</v>
      </c>
      <c r="L884" s="7"/>
      <c r="M884" s="7" t="str">
        <f>IFERROR(__xludf.DUMMYFUNCTION("""COMPUTED_VALUE"""),"Si")</f>
        <v>Si</v>
      </c>
      <c r="N884" s="7"/>
      <c r="O884" s="7" t="str">
        <f>IFERROR(__xludf.DUMMYFUNCTION("""COMPUTED_VALUE"""),"1 a 2 veces por semana")</f>
        <v>1 a 2 veces por semana</v>
      </c>
      <c r="P884" s="7"/>
      <c r="Q884" s="7" t="str">
        <f>IFERROR(__xludf.DUMMYFUNCTION("""COMPUTED_VALUE"""),"APROSS")</f>
        <v>APROSS</v>
      </c>
      <c r="R884" s="7"/>
      <c r="S884" s="7"/>
    </row>
    <row r="885">
      <c r="A885" s="7" t="str">
        <f t="shared" si="1"/>
        <v>Velasco , Viviana </v>
      </c>
      <c r="B885" s="7">
        <f>SUMIFS('bd caja'!$K$1:$K$1012,'bd caja'!$D$1:$D$1012,A885)</f>
        <v>0</v>
      </c>
      <c r="C885" s="19">
        <f>IFERROR(__xludf.DUMMYFUNCTION("""COMPUTED_VALUE"""),45706.93709575231)</f>
        <v>45706.9371</v>
      </c>
      <c r="D885" s="7" t="str">
        <f>IFERROR(__xludf.DUMMYFUNCTION("""COMPUTED_VALUE"""),"Velasco ")</f>
        <v>Velasco </v>
      </c>
      <c r="E885" s="7" t="str">
        <f>IFERROR(__xludf.DUMMYFUNCTION("""COMPUTED_VALUE"""),"Viviana ")</f>
        <v>Viviana </v>
      </c>
      <c r="F885" s="7" t="str">
        <f>IFERROR(__xludf.DUMMYFUNCTION("""COMPUTED_VALUE"""),"Vivianavelasco5862@gmail.com")</f>
        <v>Vivianavelasco5862@gmail.com</v>
      </c>
      <c r="G885" s="20">
        <f>IFERROR(__xludf.DUMMYFUNCTION("""COMPUTED_VALUE"""),22863.0)</f>
        <v>22863</v>
      </c>
      <c r="H885" s="7">
        <f>IFERROR(__xludf.DUMMYFUNCTION("""COMPUTED_VALUE"""),1.4969369E7)</f>
        <v>14969369</v>
      </c>
      <c r="I885" s="7">
        <f>IFERROR(__xludf.DUMMYFUNCTION("""COMPUTED_VALUE"""),3.517052627E9)</f>
        <v>3517052627</v>
      </c>
      <c r="J885" s="7" t="str">
        <f>IFERROR(__xludf.DUMMYFUNCTION("""COMPUTED_VALUE"""),"Recomendación")</f>
        <v>Recomendación</v>
      </c>
      <c r="K885" s="7" t="str">
        <f>IFERROR(__xludf.DUMMYFUNCTION("""COMPUTED_VALUE"""),"Particular")</f>
        <v>Particular</v>
      </c>
      <c r="L885" s="7"/>
      <c r="M885" s="7" t="str">
        <f>IFERROR(__xludf.DUMMYFUNCTION("""COMPUTED_VALUE"""),"Si")</f>
        <v>Si</v>
      </c>
      <c r="N885" s="7" t="str">
        <f>IFERROR(__xludf.DUMMYFUNCTION("""COMPUTED_VALUE"""),"Gimnasio")</f>
        <v>Gimnasio</v>
      </c>
      <c r="O885" s="7" t="str">
        <f>IFERROR(__xludf.DUMMYFUNCTION("""COMPUTED_VALUE"""),"1 a 2 veces por semana")</f>
        <v>1 a 2 veces por semana</v>
      </c>
      <c r="P885" s="7"/>
      <c r="Q885" s="7"/>
      <c r="R885" s="7"/>
      <c r="S885" s="7"/>
    </row>
    <row r="886">
      <c r="A886" s="7" t="str">
        <f t="shared" si="1"/>
        <v>gomez, adriana</v>
      </c>
      <c r="B886" s="7">
        <f>SUMIFS('bd caja'!$K$1:$K$1012,'bd caja'!$D$1:$D$1012,A886)</f>
        <v>0</v>
      </c>
      <c r="C886" s="19">
        <f>IFERROR(__xludf.DUMMYFUNCTION("""COMPUTED_VALUE"""),45707.438011886574)</f>
        <v>45707.43801</v>
      </c>
      <c r="D886" s="7" t="str">
        <f>IFERROR(__xludf.DUMMYFUNCTION("""COMPUTED_VALUE"""),"gomez")</f>
        <v>gomez</v>
      </c>
      <c r="E886" s="7" t="str">
        <f>IFERROR(__xludf.DUMMYFUNCTION("""COMPUTED_VALUE"""),"adriana")</f>
        <v>adriana</v>
      </c>
      <c r="F886" s="7" t="str">
        <f>IFERROR(__xludf.DUMMYFUNCTION("""COMPUTED_VALUE"""),"giulianoromero0@gmail.com")</f>
        <v>giulianoromero0@gmail.com</v>
      </c>
      <c r="G886" s="20">
        <f>IFERROR(__xludf.DUMMYFUNCTION("""COMPUTED_VALUE"""),30365.0)</f>
        <v>30365</v>
      </c>
      <c r="H886" s="7">
        <f>IFERROR(__xludf.DUMMYFUNCTION("""COMPUTED_VALUE"""),2.9968887E7)</f>
        <v>29968887</v>
      </c>
      <c r="I886" s="7">
        <f>IFERROR(__xludf.DUMMYFUNCTION("""COMPUTED_VALUE"""),3.513165995E9)</f>
        <v>3513165995</v>
      </c>
      <c r="J886" s="7" t="str">
        <f>IFERROR(__xludf.DUMMYFUNCTION("""COMPUTED_VALUE"""),"Recomendación")</f>
        <v>Recomendación</v>
      </c>
      <c r="K886" s="7" t="str">
        <f>IFERROR(__xludf.DUMMYFUNCTION("""COMPUTED_VALUE"""),"Obra social")</f>
        <v>Obra social</v>
      </c>
      <c r="L886" s="7"/>
      <c r="M886" s="7" t="str">
        <f>IFERROR(__xludf.DUMMYFUNCTION("""COMPUTED_VALUE"""),"No")</f>
        <v>No</v>
      </c>
      <c r="N886" s="7"/>
      <c r="O886" s="7"/>
      <c r="P886" s="7"/>
      <c r="Q886" s="7" t="str">
        <f>IFERROR(__xludf.DUMMYFUNCTION("""COMPUTED_VALUE"""),"APROSS")</f>
        <v>APROSS</v>
      </c>
      <c r="R886" s="7"/>
      <c r="S886" s="7"/>
    </row>
    <row r="887">
      <c r="A887" s="7" t="str">
        <f t="shared" si="1"/>
        <v>SOCIAS ALTAMIRANO , Federico </v>
      </c>
      <c r="B887" s="7">
        <f>SUMIFS('bd caja'!$K$1:$K$1012,'bd caja'!$D$1:$D$1012,A887)</f>
        <v>0</v>
      </c>
      <c r="C887" s="19">
        <f>IFERROR(__xludf.DUMMYFUNCTION("""COMPUTED_VALUE"""),45707.56767857639)</f>
        <v>45707.56768</v>
      </c>
      <c r="D887" s="7" t="str">
        <f>IFERROR(__xludf.DUMMYFUNCTION("""COMPUTED_VALUE"""),"SOCIAS ALTAMIRANO ")</f>
        <v>SOCIAS ALTAMIRANO </v>
      </c>
      <c r="E887" s="7" t="str">
        <f>IFERROR(__xludf.DUMMYFUNCTION("""COMPUTED_VALUE"""),"Federico ")</f>
        <v>Federico </v>
      </c>
      <c r="F887" s="7" t="str">
        <f>IFERROR(__xludf.DUMMYFUNCTION("""COMPUTED_VALUE"""),"Cordobamma@gmail.com")</f>
        <v>Cordobamma@gmail.com</v>
      </c>
      <c r="G887" s="20">
        <f>IFERROR(__xludf.DUMMYFUNCTION("""COMPUTED_VALUE"""),30338.0)</f>
        <v>30338</v>
      </c>
      <c r="H887" s="7">
        <f>IFERROR(__xludf.DUMMYFUNCTION("""COMPUTED_VALUE"""),2.9966564E7)</f>
        <v>29966564</v>
      </c>
      <c r="I887" s="7">
        <f>IFERROR(__xludf.DUMMYFUNCTION("""COMPUTED_VALUE"""),3.515182172E9)</f>
        <v>3515182172</v>
      </c>
      <c r="J887" s="7" t="str">
        <f>IFERROR(__xludf.DUMMYFUNCTION("""COMPUTED_VALUE"""),"Recomendación")</f>
        <v>Recomendación</v>
      </c>
      <c r="K887" s="7" t="str">
        <f>IFERROR(__xludf.DUMMYFUNCTION("""COMPUTED_VALUE"""),"Particular")</f>
        <v>Particular</v>
      </c>
      <c r="L887" s="7"/>
      <c r="M887" s="7" t="str">
        <f>IFERROR(__xludf.DUMMYFUNCTION("""COMPUTED_VALUE"""),"Si")</f>
        <v>Si</v>
      </c>
      <c r="N887" s="7" t="str">
        <f>IFERROR(__xludf.DUMMYFUNCTION("""COMPUTED_VALUE"""),"Ciclismo de montaña")</f>
        <v>Ciclismo de montaña</v>
      </c>
      <c r="O887" s="7" t="str">
        <f>IFERROR(__xludf.DUMMYFUNCTION("""COMPUTED_VALUE"""),"3 a 5 veces por semana")</f>
        <v>3 a 5 veces por semana</v>
      </c>
      <c r="P887" s="7"/>
      <c r="Q887" s="7"/>
      <c r="R887" s="7"/>
      <c r="S887" s="7"/>
    </row>
    <row r="888">
      <c r="A888" s="7" t="str">
        <f t="shared" si="1"/>
        <v>Oviedo, Jose</v>
      </c>
      <c r="B888" s="7">
        <f>SUMIFS('bd caja'!$K$1:$K$1012,'bd caja'!$D$1:$D$1012,A888)</f>
        <v>0</v>
      </c>
      <c r="C888" s="19">
        <f>IFERROR(__xludf.DUMMYFUNCTION("""COMPUTED_VALUE"""),45707.796260821764)</f>
        <v>45707.79626</v>
      </c>
      <c r="D888" s="7" t="str">
        <f>IFERROR(__xludf.DUMMYFUNCTION("""COMPUTED_VALUE"""),"Oviedo")</f>
        <v>Oviedo</v>
      </c>
      <c r="E888" s="7" t="str">
        <f>IFERROR(__xludf.DUMMYFUNCTION("""COMPUTED_VALUE"""),"Jose")</f>
        <v>Jose</v>
      </c>
      <c r="F888" s="7" t="str">
        <f>IFERROR(__xludf.DUMMYFUNCTION("""COMPUTED_VALUE"""),"jose22_oviedo@hotmail.com")</f>
        <v>jose22_oviedo@hotmail.com</v>
      </c>
      <c r="G888" s="20">
        <f>IFERROR(__xludf.DUMMYFUNCTION("""COMPUTED_VALUE"""),29667.0)</f>
        <v>29667</v>
      </c>
      <c r="H888" s="7">
        <f>IFERROR(__xludf.DUMMYFUNCTION("""COMPUTED_VALUE"""),2.8653571E7)</f>
        <v>28653571</v>
      </c>
      <c r="I888" s="7">
        <f>IFERROR(__xludf.DUMMYFUNCTION("""COMPUTED_VALUE"""),3.517421823E9)</f>
        <v>3517421823</v>
      </c>
      <c r="J888" s="7" t="str">
        <f>IFERROR(__xludf.DUMMYFUNCTION("""COMPUTED_VALUE"""),"Voy al gym Manantial")</f>
        <v>Voy al gym Manantial</v>
      </c>
      <c r="K888" s="7" t="str">
        <f>IFERROR(__xludf.DUMMYFUNCTION("""COMPUTED_VALUE"""),"Obra social")</f>
        <v>Obra social</v>
      </c>
      <c r="L888" s="7"/>
      <c r="M888" s="7" t="str">
        <f>IFERROR(__xludf.DUMMYFUNCTION("""COMPUTED_VALUE"""),"Si")</f>
        <v>Si</v>
      </c>
      <c r="N888" s="7" t="str">
        <f>IFERROR(__xludf.DUMMYFUNCTION("""COMPUTED_VALUE"""),"Gimnasio")</f>
        <v>Gimnasio</v>
      </c>
      <c r="O888" s="7" t="str">
        <f>IFERROR(__xludf.DUMMYFUNCTION("""COMPUTED_VALUE"""),"3 a 5 veces por semana")</f>
        <v>3 a 5 veces por semana</v>
      </c>
      <c r="P888" s="7"/>
      <c r="Q888" s="7" t="str">
        <f>IFERROR(__xludf.DUMMYFUNCTION("""COMPUTED_VALUE"""),"APROSS")</f>
        <v>APROSS</v>
      </c>
      <c r="R888" s="7"/>
      <c r="S888" s="7"/>
    </row>
    <row r="889">
      <c r="A889" s="7" t="str">
        <f t="shared" si="1"/>
        <v>Rainero , Carlos </v>
      </c>
      <c r="B889" s="7">
        <f>SUMIFS('bd caja'!$K$1:$K$1012,'bd caja'!$D$1:$D$1012,A889)</f>
        <v>0</v>
      </c>
      <c r="C889" s="19">
        <f>IFERROR(__xludf.DUMMYFUNCTION("""COMPUTED_VALUE"""),45707.80227774306)</f>
        <v>45707.80228</v>
      </c>
      <c r="D889" s="7" t="str">
        <f>IFERROR(__xludf.DUMMYFUNCTION("""COMPUTED_VALUE"""),"Rainero ")</f>
        <v>Rainero </v>
      </c>
      <c r="E889" s="7" t="str">
        <f>IFERROR(__xludf.DUMMYFUNCTION("""COMPUTED_VALUE"""),"Carlos ")</f>
        <v>Carlos </v>
      </c>
      <c r="F889" s="7" t="str">
        <f>IFERROR(__xludf.DUMMYFUNCTION("""COMPUTED_VALUE"""),"Perfocor@hotmail.com")</f>
        <v>Perfocor@hotmail.com</v>
      </c>
      <c r="G889" s="20">
        <f>IFERROR(__xludf.DUMMYFUNCTION("""COMPUTED_VALUE"""),45733.0)</f>
        <v>45733</v>
      </c>
      <c r="H889" s="7">
        <f>IFERROR(__xludf.DUMMYFUNCTION("""COMPUTED_VALUE"""),1.8175697E7)</f>
        <v>18175697</v>
      </c>
      <c r="I889" s="7">
        <f>IFERROR(__xludf.DUMMYFUNCTION("""COMPUTED_VALUE"""),3.514590389E9)</f>
        <v>3514590389</v>
      </c>
      <c r="J889" s="7" t="str">
        <f>IFERROR(__xludf.DUMMYFUNCTION("""COMPUTED_VALUE"""),"Google")</f>
        <v>Google</v>
      </c>
      <c r="K889" s="7" t="str">
        <f>IFERROR(__xludf.DUMMYFUNCTION("""COMPUTED_VALUE"""),"Obra social")</f>
        <v>Obra social</v>
      </c>
      <c r="L889" s="7"/>
      <c r="M889" s="7" t="str">
        <f>IFERROR(__xludf.DUMMYFUNCTION("""COMPUTED_VALUE"""),"No")</f>
        <v>No</v>
      </c>
      <c r="N889" s="7"/>
      <c r="O889" s="7"/>
      <c r="P889" s="7"/>
      <c r="Q889" s="7" t="str">
        <f>IFERROR(__xludf.DUMMYFUNCTION("""COMPUTED_VALUE"""),"APROSS")</f>
        <v>APROSS</v>
      </c>
      <c r="R889" s="7"/>
      <c r="S889" s="7"/>
    </row>
    <row r="890">
      <c r="A890" s="7" t="str">
        <f t="shared" si="1"/>
        <v>Bustos , Julieta </v>
      </c>
      <c r="B890" s="7">
        <f>SUMIFS('bd caja'!$K$1:$K$1012,'bd caja'!$D$1:$D$1012,A890)</f>
        <v>0</v>
      </c>
      <c r="C890" s="19">
        <f>IFERROR(__xludf.DUMMYFUNCTION("""COMPUTED_VALUE"""),45708.69763740741)</f>
        <v>45708.69764</v>
      </c>
      <c r="D890" s="7" t="str">
        <f>IFERROR(__xludf.DUMMYFUNCTION("""COMPUTED_VALUE"""),"Bustos ")</f>
        <v>Bustos </v>
      </c>
      <c r="E890" s="7" t="str">
        <f>IFERROR(__xludf.DUMMYFUNCTION("""COMPUTED_VALUE"""),"Julieta ")</f>
        <v>Julieta </v>
      </c>
      <c r="F890" s="7" t="str">
        <f>IFERROR(__xludf.DUMMYFUNCTION("""COMPUTED_VALUE"""),"Julietabustos_7@hotmail.com")</f>
        <v>Julietabustos_7@hotmail.com</v>
      </c>
      <c r="G890" s="20">
        <f>IFERROR(__xludf.DUMMYFUNCTION("""COMPUTED_VALUE"""),32363.0)</f>
        <v>32363</v>
      </c>
      <c r="H890" s="7">
        <f>IFERROR(__xludf.DUMMYFUNCTION("""COMPUTED_VALUE"""),3.4357894E7)</f>
        <v>34357894</v>
      </c>
      <c r="I890" s="7">
        <f>IFERROR(__xludf.DUMMYFUNCTION("""COMPUTED_VALUE"""),3.517541928E9)</f>
        <v>3517541928</v>
      </c>
      <c r="J890" s="7" t="str">
        <f>IFERROR(__xludf.DUMMYFUNCTION("""COMPUTED_VALUE"""),"Conozco el profesional ")</f>
        <v>Conozco el profesional </v>
      </c>
      <c r="K890" s="7" t="str">
        <f>IFERROR(__xludf.DUMMYFUNCTION("""COMPUTED_VALUE"""),"Obra social")</f>
        <v>Obra social</v>
      </c>
      <c r="L890" s="7"/>
      <c r="M890" s="7" t="str">
        <f>IFERROR(__xludf.DUMMYFUNCTION("""COMPUTED_VALUE"""),"Si")</f>
        <v>Si</v>
      </c>
      <c r="N890" s="7" t="str">
        <f>IFERROR(__xludf.DUMMYFUNCTION("""COMPUTED_VALUE"""),"Fútbol")</f>
        <v>Fútbol</v>
      </c>
      <c r="O890" s="7" t="str">
        <f>IFERROR(__xludf.DUMMYFUNCTION("""COMPUTED_VALUE"""),"1 a 2 veces por semana")</f>
        <v>1 a 2 veces por semana</v>
      </c>
      <c r="P890" s="7"/>
      <c r="Q890" s="7" t="str">
        <f>IFERROR(__xludf.DUMMYFUNCTION("""COMPUTED_VALUE"""),"PREVENCIÓN")</f>
        <v>PREVENCIÓN</v>
      </c>
      <c r="R890" s="7"/>
      <c r="S890" s="7"/>
    </row>
    <row r="891">
      <c r="A891" s="7" t="str">
        <f t="shared" si="1"/>
        <v>Micieli, Christian Martin</v>
      </c>
      <c r="B891" s="7">
        <f>SUMIFS('bd caja'!$K$1:$K$1012,'bd caja'!$D$1:$D$1012,A891)</f>
        <v>0</v>
      </c>
      <c r="C891" s="19">
        <f>IFERROR(__xludf.DUMMYFUNCTION("""COMPUTED_VALUE"""),45708.75147903935)</f>
        <v>45708.75148</v>
      </c>
      <c r="D891" s="7" t="str">
        <f>IFERROR(__xludf.DUMMYFUNCTION("""COMPUTED_VALUE"""),"Micieli")</f>
        <v>Micieli</v>
      </c>
      <c r="E891" s="7" t="str">
        <f>IFERROR(__xludf.DUMMYFUNCTION("""COMPUTED_VALUE"""),"Christian Martin")</f>
        <v>Christian Martin</v>
      </c>
      <c r="F891" s="7" t="str">
        <f>IFERROR(__xludf.DUMMYFUNCTION("""COMPUTED_VALUE"""),"christianmicieli@gmail.com")</f>
        <v>christianmicieli@gmail.com</v>
      </c>
      <c r="G891" s="20">
        <f>IFERROR(__xludf.DUMMYFUNCTION("""COMPUTED_VALUE"""),26654.0)</f>
        <v>26654</v>
      </c>
      <c r="H891" s="7">
        <f>IFERROR(__xludf.DUMMYFUNCTION("""COMPUTED_VALUE"""),2.27952E7)</f>
        <v>22795200</v>
      </c>
      <c r="I891" s="7">
        <f>IFERROR(__xludf.DUMMYFUNCTION("""COMPUTED_VALUE"""),3.513578152E9)</f>
        <v>3513578152</v>
      </c>
      <c r="J891" s="7" t="str">
        <f>IFERROR(__xludf.DUMMYFUNCTION("""COMPUTED_VALUE"""),"Cartilla Obra Social")</f>
        <v>Cartilla Obra Social</v>
      </c>
      <c r="K891" s="7" t="str">
        <f>IFERROR(__xludf.DUMMYFUNCTION("""COMPUTED_VALUE"""),"Obra social")</f>
        <v>Obra social</v>
      </c>
      <c r="L891" s="7"/>
      <c r="M891" s="7" t="str">
        <f>IFERROR(__xludf.DUMMYFUNCTION("""COMPUTED_VALUE"""),"Si")</f>
        <v>Si</v>
      </c>
      <c r="N891" s="7" t="str">
        <f>IFERROR(__xludf.DUMMYFUNCTION("""COMPUTED_VALUE"""),"Caminata")</f>
        <v>Caminata</v>
      </c>
      <c r="O891" s="7" t="str">
        <f>IFERROR(__xludf.DUMMYFUNCTION("""COMPUTED_VALUE"""),"3 a 5 veces por semana")</f>
        <v>3 a 5 veces por semana</v>
      </c>
      <c r="P891" s="7"/>
      <c r="Q891" s="7" t="str">
        <f>IFERROR(__xludf.DUMMYFUNCTION("""COMPUTED_VALUE"""),"Medife")</f>
        <v>Medife</v>
      </c>
      <c r="R891" s="7"/>
      <c r="S891" s="7"/>
    </row>
    <row r="892">
      <c r="A892" s="7" t="str">
        <f t="shared" si="1"/>
        <v>DELCASTILLO , GUSTAVO </v>
      </c>
      <c r="B892" s="7">
        <f>SUMIFS('bd caja'!$K$1:$K$1012,'bd caja'!$D$1:$D$1012,A892)</f>
        <v>0</v>
      </c>
      <c r="C892" s="19">
        <f>IFERROR(__xludf.DUMMYFUNCTION("""COMPUTED_VALUE"""),45709.78920611111)</f>
        <v>45709.78921</v>
      </c>
      <c r="D892" s="7" t="str">
        <f>IFERROR(__xludf.DUMMYFUNCTION("""COMPUTED_VALUE"""),"DELCASTILLO ")</f>
        <v>DELCASTILLO </v>
      </c>
      <c r="E892" s="7" t="str">
        <f>IFERROR(__xludf.DUMMYFUNCTION("""COMPUTED_VALUE"""),"GUSTAVO ")</f>
        <v>GUSTAVO </v>
      </c>
      <c r="F892" s="7" t="str">
        <f>IFERROR(__xludf.DUMMYFUNCTION("""COMPUTED_VALUE"""),"gustavodelcastillo515@hotmail.com")</f>
        <v>gustavodelcastillo515@hotmail.com</v>
      </c>
      <c r="G892" s="20">
        <f>IFERROR(__xludf.DUMMYFUNCTION("""COMPUTED_VALUE"""),33414.0)</f>
        <v>33414</v>
      </c>
      <c r="H892" s="7">
        <f>IFERROR(__xludf.DUMMYFUNCTION("""COMPUTED_VALUE"""),9.4102164E7)</f>
        <v>94102164</v>
      </c>
      <c r="I892" s="7">
        <f>IFERROR(__xludf.DUMMYFUNCTION("""COMPUTED_VALUE"""),3.512674033E9)</f>
        <v>3512674033</v>
      </c>
      <c r="J892" s="7" t="str">
        <f>IFERROR(__xludf.DUMMYFUNCTION("""COMPUTED_VALUE"""),"Voy al gym Manantial")</f>
        <v>Voy al gym Manantial</v>
      </c>
      <c r="K892" s="7" t="str">
        <f>IFERROR(__xludf.DUMMYFUNCTION("""COMPUTED_VALUE"""),"Particular")</f>
        <v>Particular</v>
      </c>
      <c r="L892" s="7"/>
      <c r="M892" s="7" t="str">
        <f>IFERROR(__xludf.DUMMYFUNCTION("""COMPUTED_VALUE"""),"Si")</f>
        <v>Si</v>
      </c>
      <c r="N892" s="7" t="str">
        <f>IFERROR(__xludf.DUMMYFUNCTION("""COMPUTED_VALUE"""),"gimnasio, calistenia, trek")</f>
        <v>gimnasio, calistenia, trek</v>
      </c>
      <c r="O892" s="7" t="str">
        <f>IFERROR(__xludf.DUMMYFUNCTION("""COMPUTED_VALUE"""),"6 a 7 veces por semana")</f>
        <v>6 a 7 veces por semana</v>
      </c>
      <c r="P892" s="7"/>
      <c r="Q892" s="7"/>
      <c r="R892" s="7"/>
      <c r="S892" s="7"/>
    </row>
    <row r="893">
      <c r="A893" s="7" t="str">
        <f t="shared" si="1"/>
        <v>Baez, Anibal</v>
      </c>
      <c r="B893" s="7">
        <f>SUMIFS('bd caja'!$K$1:$K$1012,'bd caja'!$D$1:$D$1012,A893)</f>
        <v>0</v>
      </c>
      <c r="C893" s="19">
        <f>IFERROR(__xludf.DUMMYFUNCTION("""COMPUTED_VALUE"""),45712.64340475695)</f>
        <v>45712.6434</v>
      </c>
      <c r="D893" s="7" t="str">
        <f>IFERROR(__xludf.DUMMYFUNCTION("""COMPUTED_VALUE"""),"Baez")</f>
        <v>Baez</v>
      </c>
      <c r="E893" s="7" t="str">
        <f>IFERROR(__xludf.DUMMYFUNCTION("""COMPUTED_VALUE"""),"Anibal")</f>
        <v>Anibal</v>
      </c>
      <c r="F893" s="7"/>
      <c r="G893" s="20">
        <f>IFERROR(__xludf.DUMMYFUNCTION("""COMPUTED_VALUE"""),27951.0)</f>
        <v>27951</v>
      </c>
      <c r="H893" s="7">
        <f>IFERROR(__xludf.DUMMYFUNCTION("""COMPUTED_VALUE"""),2.5441468E7)</f>
        <v>25441468</v>
      </c>
      <c r="I893" s="7">
        <f>IFERROR(__xludf.DUMMYFUNCTION("""COMPUTED_VALUE"""),3.515904563E9)</f>
        <v>3515904563</v>
      </c>
      <c r="J893" s="7" t="str">
        <f>IFERROR(__xludf.DUMMYFUNCTION("""COMPUTED_VALUE"""),"Voy al gym Manantial")</f>
        <v>Voy al gym Manantial</v>
      </c>
      <c r="K893" s="7" t="str">
        <f>IFERROR(__xludf.DUMMYFUNCTION("""COMPUTED_VALUE"""),"Particular")</f>
        <v>Particular</v>
      </c>
      <c r="L893" s="7"/>
      <c r="M893" s="7" t="str">
        <f>IFERROR(__xludf.DUMMYFUNCTION("""COMPUTED_VALUE"""),"Si")</f>
        <v>Si</v>
      </c>
      <c r="N893" s="7" t="str">
        <f>IFERROR(__xludf.DUMMYFUNCTION("""COMPUTED_VALUE"""),"tenis")</f>
        <v>tenis</v>
      </c>
      <c r="O893" s="7" t="str">
        <f>IFERROR(__xludf.DUMMYFUNCTION("""COMPUTED_VALUE"""),"3 a 5 veces por semana")</f>
        <v>3 a 5 veces por semana</v>
      </c>
      <c r="P893" s="7"/>
      <c r="Q893" s="7"/>
      <c r="R893" s="7"/>
      <c r="S893" s="7"/>
    </row>
    <row r="894">
      <c r="A894" s="7" t="str">
        <f t="shared" si="1"/>
        <v>Altamirano , Joana</v>
      </c>
      <c r="B894" s="7">
        <f>SUMIFS('bd caja'!$K$1:$K$1012,'bd caja'!$D$1:$D$1012,A894)</f>
        <v>0</v>
      </c>
      <c r="C894" s="19">
        <f>IFERROR(__xludf.DUMMYFUNCTION("""COMPUTED_VALUE"""),45713.74902092593)</f>
        <v>45713.74902</v>
      </c>
      <c r="D894" s="7" t="str">
        <f>IFERROR(__xludf.DUMMYFUNCTION("""COMPUTED_VALUE"""),"Altamirano ")</f>
        <v>Altamirano </v>
      </c>
      <c r="E894" s="7" t="str">
        <f>IFERROR(__xludf.DUMMYFUNCTION("""COMPUTED_VALUE"""),"Joana")</f>
        <v>Joana</v>
      </c>
      <c r="F894" s="7" t="str">
        <f>IFERROR(__xludf.DUMMYFUNCTION("""COMPUTED_VALUE"""),"Altamirano 33")</f>
        <v>Altamirano 33</v>
      </c>
      <c r="G894" s="20">
        <f>IFERROR(__xludf.DUMMYFUNCTION("""COMPUTED_VALUE"""),45708.0)</f>
        <v>45708</v>
      </c>
      <c r="H894" s="7">
        <f>IFERROR(__xludf.DUMMYFUNCTION("""COMPUTED_VALUE"""),3.5522051E7)</f>
        <v>35522051</v>
      </c>
      <c r="I894" s="7">
        <f>IFERROR(__xludf.DUMMYFUNCTION("""COMPUTED_VALUE"""),3.518637856E9)</f>
        <v>3518637856</v>
      </c>
      <c r="J894" s="7" t="str">
        <f>IFERROR(__xludf.DUMMYFUNCTION("""COMPUTED_VALUE"""),"Recomendación")</f>
        <v>Recomendación</v>
      </c>
      <c r="K894" s="7" t="str">
        <f>IFERROR(__xludf.DUMMYFUNCTION("""COMPUTED_VALUE"""),"Particular")</f>
        <v>Particular</v>
      </c>
      <c r="L894" s="7"/>
      <c r="M894" s="7" t="str">
        <f>IFERROR(__xludf.DUMMYFUNCTION("""COMPUTED_VALUE"""),"No")</f>
        <v>No</v>
      </c>
      <c r="N894" s="7"/>
      <c r="O894" s="7"/>
      <c r="P894" s="7"/>
      <c r="Q894" s="7"/>
      <c r="R894" s="7"/>
      <c r="S894" s="7"/>
    </row>
    <row r="895">
      <c r="A895" s="7" t="str">
        <f t="shared" si="1"/>
        <v>Ponce, Victoria </v>
      </c>
      <c r="B895" s="7">
        <f>SUMIFS('bd caja'!$K$1:$K$1012,'bd caja'!$D$1:$D$1012,A895)</f>
        <v>0</v>
      </c>
      <c r="C895" s="19">
        <f>IFERROR(__xludf.DUMMYFUNCTION("""COMPUTED_VALUE"""),45713.756624664355)</f>
        <v>45713.75662</v>
      </c>
      <c r="D895" s="7" t="str">
        <f>IFERROR(__xludf.DUMMYFUNCTION("""COMPUTED_VALUE"""),"Ponce")</f>
        <v>Ponce</v>
      </c>
      <c r="E895" s="7" t="str">
        <f>IFERROR(__xludf.DUMMYFUNCTION("""COMPUTED_VALUE"""),"Victoria ")</f>
        <v>Victoria </v>
      </c>
      <c r="F895" s="7" t="str">
        <f>IFERROR(__xludf.DUMMYFUNCTION("""COMPUTED_VALUE"""),"altamiranojoana28@gmail.com")</f>
        <v>altamiranojoana28@gmail.com</v>
      </c>
      <c r="G895" s="20">
        <f>IFERROR(__xludf.DUMMYFUNCTION("""COMPUTED_VALUE"""),41172.0)</f>
        <v>41172</v>
      </c>
      <c r="H895" s="7">
        <f>IFERROR(__xludf.DUMMYFUNCTION("""COMPUTED_VALUE"""),5.2743733E7)</f>
        <v>52743733</v>
      </c>
      <c r="I895" s="7">
        <f>IFERROR(__xludf.DUMMYFUNCTION("""COMPUTED_VALUE"""),3.518637856E9)</f>
        <v>3518637856</v>
      </c>
      <c r="J895" s="7" t="str">
        <f>IFERROR(__xludf.DUMMYFUNCTION("""COMPUTED_VALUE"""),"Recomendación")</f>
        <v>Recomendación</v>
      </c>
      <c r="K895" s="7" t="str">
        <f>IFERROR(__xludf.DUMMYFUNCTION("""COMPUTED_VALUE"""),"Particular")</f>
        <v>Particular</v>
      </c>
      <c r="L895" s="7"/>
      <c r="M895" s="7" t="str">
        <f>IFERROR(__xludf.DUMMYFUNCTION("""COMPUTED_VALUE"""),"No")</f>
        <v>No</v>
      </c>
      <c r="N895" s="7"/>
      <c r="O895" s="7"/>
      <c r="P895" s="7"/>
      <c r="Q895" s="7"/>
      <c r="R895" s="7"/>
      <c r="S895" s="7"/>
    </row>
    <row r="896">
      <c r="A896" s="7" t="str">
        <f t="shared" si="1"/>
        <v>NIETO, Claudio</v>
      </c>
      <c r="B896" s="7">
        <f>SUMIFS('bd caja'!$K$1:$K$1012,'bd caja'!$D$1:$D$1012,A896)</f>
        <v>0</v>
      </c>
      <c r="C896" s="19">
        <f>IFERROR(__xludf.DUMMYFUNCTION("""COMPUTED_VALUE"""),45713.78687951389)</f>
        <v>45713.78688</v>
      </c>
      <c r="D896" s="7" t="str">
        <f>IFERROR(__xludf.DUMMYFUNCTION("""COMPUTED_VALUE"""),"NIETO")</f>
        <v>NIETO</v>
      </c>
      <c r="E896" s="7" t="str">
        <f>IFERROR(__xludf.DUMMYFUNCTION("""COMPUTED_VALUE"""),"Claudio")</f>
        <v>Claudio</v>
      </c>
      <c r="F896" s="7"/>
      <c r="G896" s="20">
        <f>IFERROR(__xludf.DUMMYFUNCTION("""COMPUTED_VALUE"""),25596.0)</f>
        <v>25596</v>
      </c>
      <c r="H896" s="7">
        <f>IFERROR(__xludf.DUMMYFUNCTION("""COMPUTED_VALUE"""),2.1408295E7)</f>
        <v>21408295</v>
      </c>
      <c r="I896" s="7">
        <f>IFERROR(__xludf.DUMMYFUNCTION("""COMPUTED_VALUE"""),3.515104601E9)</f>
        <v>3515104601</v>
      </c>
      <c r="J896" s="7" t="str">
        <f>IFERROR(__xludf.DUMMYFUNCTION("""COMPUTED_VALUE"""),"Voy al gym Manantial")</f>
        <v>Voy al gym Manantial</v>
      </c>
      <c r="K896" s="7" t="str">
        <f>IFERROR(__xludf.DUMMYFUNCTION("""COMPUTED_VALUE"""),"Obra social")</f>
        <v>Obra social</v>
      </c>
      <c r="L896" s="7"/>
      <c r="M896" s="7" t="str">
        <f>IFERROR(__xludf.DUMMYFUNCTION("""COMPUTED_VALUE"""),"Si")</f>
        <v>Si</v>
      </c>
      <c r="N896" s="7" t="str">
        <f>IFERROR(__xludf.DUMMYFUNCTION("""COMPUTED_VALUE"""),"Gimnasio")</f>
        <v>Gimnasio</v>
      </c>
      <c r="O896" s="7" t="str">
        <f>IFERROR(__xludf.DUMMYFUNCTION("""COMPUTED_VALUE"""),"3 a 5 veces por semana")</f>
        <v>3 a 5 veces por semana</v>
      </c>
      <c r="P896" s="7"/>
      <c r="Q896" s="7"/>
      <c r="R896" s="7"/>
      <c r="S896" s="7"/>
    </row>
    <row r="897">
      <c r="A897" s="7" t="str">
        <f t="shared" si="1"/>
        <v>Maccio, Andres</v>
      </c>
      <c r="B897" s="7">
        <f>SUMIFS('bd caja'!$K$1:$K$1012,'bd caja'!$D$1:$D$1012,A897)</f>
        <v>0</v>
      </c>
      <c r="C897" s="19">
        <f>IFERROR(__xludf.DUMMYFUNCTION("""COMPUTED_VALUE"""),45714.481890717594)</f>
        <v>45714.48189</v>
      </c>
      <c r="D897" s="7" t="str">
        <f>IFERROR(__xludf.DUMMYFUNCTION("""COMPUTED_VALUE"""),"Maccio")</f>
        <v>Maccio</v>
      </c>
      <c r="E897" s="7" t="str">
        <f>IFERROR(__xludf.DUMMYFUNCTION("""COMPUTED_VALUE"""),"Andres")</f>
        <v>Andres</v>
      </c>
      <c r="F897" s="7" t="str">
        <f>IFERROR(__xludf.DUMMYFUNCTION("""COMPUTED_VALUE"""),"maccio.andres@gmail.com")</f>
        <v>maccio.andres@gmail.com</v>
      </c>
      <c r="G897" s="20">
        <f>IFERROR(__xludf.DUMMYFUNCTION("""COMPUTED_VALUE"""),33547.0)</f>
        <v>33547</v>
      </c>
      <c r="H897" s="7">
        <f>IFERROR(__xludf.DUMMYFUNCTION("""COMPUTED_VALUE"""),3.6141891E7)</f>
        <v>36141891</v>
      </c>
      <c r="I897" s="7">
        <f>IFERROR(__xludf.DUMMYFUNCTION("""COMPUTED_VALUE"""),3.516561192E9)</f>
        <v>3516561192</v>
      </c>
      <c r="J897" s="7" t="str">
        <f>IFERROR(__xludf.DUMMYFUNCTION("""COMPUTED_VALUE"""),"Recomendación")</f>
        <v>Recomendación</v>
      </c>
      <c r="K897" s="7" t="str">
        <f>IFERROR(__xludf.DUMMYFUNCTION("""COMPUTED_VALUE"""),"Particular")</f>
        <v>Particular</v>
      </c>
      <c r="L897" s="7"/>
      <c r="M897" s="7" t="str">
        <f>IFERROR(__xludf.DUMMYFUNCTION("""COMPUTED_VALUE"""),"Si")</f>
        <v>Si</v>
      </c>
      <c r="N897" s="7" t="str">
        <f>IFERROR(__xludf.DUMMYFUNCTION("""COMPUTED_VALUE"""),"Escalada")</f>
        <v>Escalada</v>
      </c>
      <c r="O897" s="7" t="str">
        <f>IFERROR(__xludf.DUMMYFUNCTION("""COMPUTED_VALUE"""),"1 a 2 veces por semana")</f>
        <v>1 a 2 veces por semana</v>
      </c>
      <c r="P897" s="7"/>
      <c r="Q897" s="7"/>
      <c r="R897" s="7"/>
      <c r="S897" s="7"/>
    </row>
    <row r="898">
      <c r="A898" s="7" t="str">
        <f t="shared" si="1"/>
        <v>Pagola, Lila</v>
      </c>
      <c r="B898" s="7">
        <f>SUMIFS('bd caja'!$K$1:$K$1012,'bd caja'!$D$1:$D$1012,A898)</f>
        <v>0</v>
      </c>
      <c r="C898" s="19">
        <f>IFERROR(__xludf.DUMMYFUNCTION("""COMPUTED_VALUE"""),45714.632510509255)</f>
        <v>45714.63251</v>
      </c>
      <c r="D898" s="7" t="str">
        <f>IFERROR(__xludf.DUMMYFUNCTION("""COMPUTED_VALUE"""),"Pagola")</f>
        <v>Pagola</v>
      </c>
      <c r="E898" s="7" t="str">
        <f>IFERROR(__xludf.DUMMYFUNCTION("""COMPUTED_VALUE"""),"Lila")</f>
        <v>Lila</v>
      </c>
      <c r="F898" s="7" t="str">
        <f>IFERROR(__xludf.DUMMYFUNCTION("""COMPUTED_VALUE"""),"lilapagola@gmail.com")</f>
        <v>lilapagola@gmail.com</v>
      </c>
      <c r="G898" s="20">
        <f>IFERROR(__xludf.DUMMYFUNCTION("""COMPUTED_VALUE"""),26530.0)</f>
        <v>26530</v>
      </c>
      <c r="H898" s="7">
        <f>IFERROR(__xludf.DUMMYFUNCTION("""COMPUTED_VALUE"""),2.27933E7)</f>
        <v>22793300</v>
      </c>
      <c r="I898" s="7">
        <f>IFERROR(__xludf.DUMMYFUNCTION("""COMPUTED_VALUE"""),3.516666933E9)</f>
        <v>3516666933</v>
      </c>
      <c r="J898" s="7" t="str">
        <f>IFERROR(__xludf.DUMMYFUNCTION("""COMPUTED_VALUE"""),"Recomendación")</f>
        <v>Recomendación</v>
      </c>
      <c r="K898" s="7" t="str">
        <f>IFERROR(__xludf.DUMMYFUNCTION("""COMPUTED_VALUE"""),"Obra social")</f>
        <v>Obra social</v>
      </c>
      <c r="L898" s="7"/>
      <c r="M898" s="7" t="str">
        <f>IFERROR(__xludf.DUMMYFUNCTION("""COMPUTED_VALUE"""),"Si")</f>
        <v>Si</v>
      </c>
      <c r="N898" s="7" t="str">
        <f>IFERROR(__xludf.DUMMYFUNCTION("""COMPUTED_VALUE"""),"pilates")</f>
        <v>pilates</v>
      </c>
      <c r="O898" s="7" t="str">
        <f>IFERROR(__xludf.DUMMYFUNCTION("""COMPUTED_VALUE"""),"1 a 2 veces por semana")</f>
        <v>1 a 2 veces por semana</v>
      </c>
      <c r="P898" s="7"/>
      <c r="Q898" s="7" t="str">
        <f>IFERROR(__xludf.DUMMYFUNCTION("""COMPUTED_VALUE"""),"APROSS")</f>
        <v>APROSS</v>
      </c>
      <c r="R898" s="7"/>
      <c r="S898" s="7"/>
    </row>
    <row r="899">
      <c r="A899" s="7" t="str">
        <f t="shared" si="1"/>
        <v>Cantos, Lautaro</v>
      </c>
      <c r="B899" s="7">
        <f>SUMIFS('bd caja'!$K$1:$K$1012,'bd caja'!$D$1:$D$1012,A899)</f>
        <v>0</v>
      </c>
      <c r="C899" s="19">
        <f>IFERROR(__xludf.DUMMYFUNCTION("""COMPUTED_VALUE"""),45715.45204497685)</f>
        <v>45715.45204</v>
      </c>
      <c r="D899" s="7" t="str">
        <f>IFERROR(__xludf.DUMMYFUNCTION("""COMPUTED_VALUE"""),"Cantos")</f>
        <v>Cantos</v>
      </c>
      <c r="E899" s="7" t="str">
        <f>IFERROR(__xludf.DUMMYFUNCTION("""COMPUTED_VALUE"""),"Lautaro")</f>
        <v>Lautaro</v>
      </c>
      <c r="F899" s="7" t="str">
        <f>IFERROR(__xludf.DUMMYFUNCTION("""COMPUTED_VALUE"""),"Cantosmiguel1973@gmail.com")</f>
        <v>Cantosmiguel1973@gmail.com</v>
      </c>
      <c r="G899" s="20">
        <f>IFERROR(__xludf.DUMMYFUNCTION("""COMPUTED_VALUE"""),26734.0)</f>
        <v>26734</v>
      </c>
      <c r="H899" s="7">
        <f>IFERROR(__xludf.DUMMYFUNCTION("""COMPUTED_VALUE"""),2.2968383E7)</f>
        <v>22968383</v>
      </c>
      <c r="I899" s="7">
        <f>IFERROR(__xludf.DUMMYFUNCTION("""COMPUTED_VALUE"""),3.513421912E9)</f>
        <v>3513421912</v>
      </c>
      <c r="J899" s="7" t="str">
        <f>IFERROR(__xludf.DUMMYFUNCTION("""COMPUTED_VALUE"""),"Google")</f>
        <v>Google</v>
      </c>
      <c r="K899" s="7" t="str">
        <f>IFERROR(__xludf.DUMMYFUNCTION("""COMPUTED_VALUE"""),"Particular")</f>
        <v>Particular</v>
      </c>
      <c r="L899" s="7"/>
      <c r="M899" s="7" t="str">
        <f>IFERROR(__xludf.DUMMYFUNCTION("""COMPUTED_VALUE"""),"No")</f>
        <v>No</v>
      </c>
      <c r="N899" s="7"/>
      <c r="O899" s="7"/>
      <c r="P899" s="7"/>
      <c r="Q899" s="7"/>
      <c r="R899" s="7"/>
      <c r="S899" s="7"/>
    </row>
    <row r="900">
      <c r="A900" s="7" t="str">
        <f t="shared" si="1"/>
        <v>ALBARRACIN, ALBERTO </v>
      </c>
      <c r="B900" s="7">
        <f>SUMIFS('bd caja'!$K$1:$K$1012,'bd caja'!$D$1:$D$1012,A900)</f>
        <v>0</v>
      </c>
      <c r="C900" s="19">
        <f>IFERROR(__xludf.DUMMYFUNCTION("""COMPUTED_VALUE"""),45721.49354988426)</f>
        <v>45721.49355</v>
      </c>
      <c r="D900" s="7" t="str">
        <f>IFERROR(__xludf.DUMMYFUNCTION("""COMPUTED_VALUE"""),"ALBARRACIN")</f>
        <v>ALBARRACIN</v>
      </c>
      <c r="E900" s="7" t="str">
        <f>IFERROR(__xludf.DUMMYFUNCTION("""COMPUTED_VALUE"""),"ALBERTO ")</f>
        <v>ALBERTO </v>
      </c>
      <c r="F900" s="7" t="str">
        <f>IFERROR(__xludf.DUMMYFUNCTION("""COMPUTED_VALUE"""),"albarracin.1387@gmail.com")</f>
        <v>albarracin.1387@gmail.com</v>
      </c>
      <c r="G900" s="20">
        <f>IFERROR(__xludf.DUMMYFUNCTION("""COMPUTED_VALUE"""),31941.0)</f>
        <v>31941</v>
      </c>
      <c r="H900" s="7">
        <f>IFERROR(__xludf.DUMMYFUNCTION("""COMPUTED_VALUE"""),3.3101207E7)</f>
        <v>33101207</v>
      </c>
      <c r="I900" s="7">
        <f>IFERROR(__xludf.DUMMYFUNCTION("""COMPUTED_VALUE"""),3.513165406E9)</f>
        <v>3513165406</v>
      </c>
      <c r="J900" s="7" t="str">
        <f>IFERROR(__xludf.DUMMYFUNCTION("""COMPUTED_VALUE"""),"Recomendación")</f>
        <v>Recomendación</v>
      </c>
      <c r="K900" s="7" t="str">
        <f>IFERROR(__xludf.DUMMYFUNCTION("""COMPUTED_VALUE"""),"Particular")</f>
        <v>Particular</v>
      </c>
      <c r="L900" s="7"/>
      <c r="M900" s="7" t="str">
        <f>IFERROR(__xludf.DUMMYFUNCTION("""COMPUTED_VALUE"""),"Si")</f>
        <v>Si</v>
      </c>
      <c r="N900" s="7" t="str">
        <f>IFERROR(__xludf.DUMMYFUNCTION("""COMPUTED_VALUE"""),"Gimnasio")</f>
        <v>Gimnasio</v>
      </c>
      <c r="O900" s="7" t="str">
        <f>IFERROR(__xludf.DUMMYFUNCTION("""COMPUTED_VALUE"""),"3 a 5 veces por semana")</f>
        <v>3 a 5 veces por semana</v>
      </c>
      <c r="P900" s="7"/>
      <c r="Q900" s="7"/>
      <c r="R900" s="7"/>
      <c r="S900" s="7"/>
    </row>
    <row r="901">
      <c r="A901" s="7" t="str">
        <f t="shared" si="1"/>
        <v>Zacarias , Claudio Alejandro </v>
      </c>
      <c r="B901" s="7">
        <f>SUMIFS('bd caja'!$K$1:$K$1012,'bd caja'!$D$1:$D$1012,A901)</f>
        <v>0</v>
      </c>
      <c r="C901" s="19">
        <f>IFERROR(__xludf.DUMMYFUNCTION("""COMPUTED_VALUE"""),45721.5370496875)</f>
        <v>45721.53705</v>
      </c>
      <c r="D901" s="7" t="str">
        <f>IFERROR(__xludf.DUMMYFUNCTION("""COMPUTED_VALUE"""),"Zacarias ")</f>
        <v>Zacarias </v>
      </c>
      <c r="E901" s="7" t="str">
        <f>IFERROR(__xludf.DUMMYFUNCTION("""COMPUTED_VALUE"""),"Claudio Alejandro ")</f>
        <v>Claudio Alejandro </v>
      </c>
      <c r="F901" s="7" t="str">
        <f>IFERROR(__xludf.DUMMYFUNCTION("""COMPUTED_VALUE"""),"claugomezcoiffeur@gmail.com")</f>
        <v>claugomezcoiffeur@gmail.com</v>
      </c>
      <c r="G901" s="20">
        <f>IFERROR(__xludf.DUMMYFUNCTION("""COMPUTED_VALUE"""),33275.0)</f>
        <v>33275</v>
      </c>
      <c r="H901" s="7">
        <f>IFERROR(__xludf.DUMMYFUNCTION("""COMPUTED_VALUE"""),3.5673726E7)</f>
        <v>35673726</v>
      </c>
      <c r="I901" s="7">
        <f>IFERROR(__xludf.DUMMYFUNCTION("""COMPUTED_VALUE"""),3.543552547E9)</f>
        <v>3543552547</v>
      </c>
      <c r="J901" s="7" t="str">
        <f>IFERROR(__xludf.DUMMYFUNCTION("""COMPUTED_VALUE"""),"Cartilla Obra Social")</f>
        <v>Cartilla Obra Social</v>
      </c>
      <c r="K901" s="7" t="str">
        <f>IFERROR(__xludf.DUMMYFUNCTION("""COMPUTED_VALUE"""),"Obra social")</f>
        <v>Obra social</v>
      </c>
      <c r="L901" s="7"/>
      <c r="M901" s="7" t="str">
        <f>IFERROR(__xludf.DUMMYFUNCTION("""COMPUTED_VALUE"""),"No")</f>
        <v>No</v>
      </c>
      <c r="N901" s="7"/>
      <c r="O901" s="7"/>
      <c r="P901" s="7"/>
      <c r="Q901" s="7" t="str">
        <f>IFERROR(__xludf.DUMMYFUNCTION("""COMPUTED_VALUE"""),"Boreal")</f>
        <v>Boreal</v>
      </c>
      <c r="R901" s="7"/>
      <c r="S901" s="7"/>
    </row>
    <row r="902">
      <c r="A902" s="7" t="str">
        <f t="shared" si="1"/>
        <v>Biolato, Romina paola</v>
      </c>
      <c r="B902" s="7">
        <f>SUMIFS('bd caja'!$K$1:$K$1012,'bd caja'!$D$1:$D$1012,A902)</f>
        <v>0</v>
      </c>
      <c r="C902" s="19">
        <f>IFERROR(__xludf.DUMMYFUNCTION("""COMPUTED_VALUE"""),45722.78220707176)</f>
        <v>45722.78221</v>
      </c>
      <c r="D902" s="7" t="str">
        <f>IFERROR(__xludf.DUMMYFUNCTION("""COMPUTED_VALUE"""),"Biolato")</f>
        <v>Biolato</v>
      </c>
      <c r="E902" s="7" t="str">
        <f>IFERROR(__xludf.DUMMYFUNCTION("""COMPUTED_VALUE"""),"Romina paola")</f>
        <v>Romina paola</v>
      </c>
      <c r="F902" s="7" t="str">
        <f>IFERROR(__xludf.DUMMYFUNCTION("""COMPUTED_VALUE"""),"romibiolato@gmail.com")</f>
        <v>romibiolato@gmail.com</v>
      </c>
      <c r="G902" s="20">
        <f>IFERROR(__xludf.DUMMYFUNCTION("""COMPUTED_VALUE"""),30856.0)</f>
        <v>30856</v>
      </c>
      <c r="H902" s="7">
        <f>IFERROR(__xludf.DUMMYFUNCTION("""COMPUTED_VALUE"""),3.1023452E7)</f>
        <v>31023452</v>
      </c>
      <c r="I902" s="7">
        <f>IFERROR(__xludf.DUMMYFUNCTION("""COMPUTED_VALUE"""),3.512268557E9)</f>
        <v>3512268557</v>
      </c>
      <c r="J902" s="7" t="str">
        <f>IFERROR(__xludf.DUMMYFUNCTION("""COMPUTED_VALUE"""),"Recomendación")</f>
        <v>Recomendación</v>
      </c>
      <c r="K902" s="7" t="str">
        <f>IFERROR(__xludf.DUMMYFUNCTION("""COMPUTED_VALUE"""),"Obra social")</f>
        <v>Obra social</v>
      </c>
      <c r="L902" s="7"/>
      <c r="M902" s="7" t="str">
        <f>IFERROR(__xludf.DUMMYFUNCTION("""COMPUTED_VALUE"""),"Si")</f>
        <v>Si</v>
      </c>
      <c r="N902" s="7" t="str">
        <f>IFERROR(__xludf.DUMMYFUNCTION("""COMPUTED_VALUE"""),"Gimnasio")</f>
        <v>Gimnasio</v>
      </c>
      <c r="O902" s="7" t="str">
        <f>IFERROR(__xludf.DUMMYFUNCTION("""COMPUTED_VALUE"""),"3 a 5 veces por semana")</f>
        <v>3 a 5 veces por semana</v>
      </c>
      <c r="P902" s="7"/>
      <c r="Q902" s="7" t="str">
        <f>IFERROR(__xludf.DUMMYFUNCTION("""COMPUTED_VALUE"""),"Swiss nedical reintegro")</f>
        <v>Swiss nedical reintegro</v>
      </c>
      <c r="R902" s="7"/>
      <c r="S902" s="7"/>
    </row>
    <row r="903">
      <c r="A903" s="7" t="str">
        <f t="shared" si="1"/>
        <v>Echenique , Patricio</v>
      </c>
      <c r="B903" s="7">
        <f>SUMIFS('bd caja'!$K$1:$K$1012,'bd caja'!$D$1:$D$1012,A903)</f>
        <v>0</v>
      </c>
      <c r="C903" s="19">
        <f>IFERROR(__xludf.DUMMYFUNCTION("""COMPUTED_VALUE"""),45722.79258850694)</f>
        <v>45722.79259</v>
      </c>
      <c r="D903" s="7" t="str">
        <f>IFERROR(__xludf.DUMMYFUNCTION("""COMPUTED_VALUE"""),"Echenique ")</f>
        <v>Echenique </v>
      </c>
      <c r="E903" s="7" t="str">
        <f>IFERROR(__xludf.DUMMYFUNCTION("""COMPUTED_VALUE"""),"Patricio")</f>
        <v>Patricio</v>
      </c>
      <c r="F903" s="7" t="str">
        <f>IFERROR(__xludf.DUMMYFUNCTION("""COMPUTED_VALUE"""),"patoechenique@hotmail.com")</f>
        <v>patoechenique@hotmail.com</v>
      </c>
      <c r="G903" s="20">
        <f>IFERROR(__xludf.DUMMYFUNCTION("""COMPUTED_VALUE"""),29187.0)</f>
        <v>29187</v>
      </c>
      <c r="H903" s="7">
        <f>IFERROR(__xludf.DUMMYFUNCTION("""COMPUTED_VALUE"""),2.7670467E7)</f>
        <v>27670467</v>
      </c>
      <c r="I903" s="7">
        <f>IFERROR(__xludf.DUMMYFUNCTION("""COMPUTED_VALUE"""),3.51318562E9)</f>
        <v>3513185620</v>
      </c>
      <c r="J903" s="7" t="str">
        <f>IFERROR(__xludf.DUMMYFUNCTION("""COMPUTED_VALUE"""),"Recomendación")</f>
        <v>Recomendación</v>
      </c>
      <c r="K903" s="7" t="str">
        <f>IFERROR(__xludf.DUMMYFUNCTION("""COMPUTED_VALUE"""),"Obra social")</f>
        <v>Obra social</v>
      </c>
      <c r="L903" s="7"/>
      <c r="M903" s="7" t="str">
        <f>IFERROR(__xludf.DUMMYFUNCTION("""COMPUTED_VALUE"""),"Si")</f>
        <v>Si</v>
      </c>
      <c r="N903" s="7" t="str">
        <f>IFERROR(__xludf.DUMMYFUNCTION("""COMPUTED_VALUE"""),"Fútbol")</f>
        <v>Fútbol</v>
      </c>
      <c r="O903" s="7" t="str">
        <f>IFERROR(__xludf.DUMMYFUNCTION("""COMPUTED_VALUE"""),"1 a 2 veces por semana")</f>
        <v>1 a 2 veces por semana</v>
      </c>
      <c r="P903" s="7"/>
      <c r="Q903" s="7" t="str">
        <f>IFERROR(__xludf.DUMMYFUNCTION("""COMPUTED_VALUE"""),"APROSS")</f>
        <v>APROSS</v>
      </c>
      <c r="R903" s="7"/>
      <c r="S903" s="7"/>
    </row>
    <row r="904">
      <c r="A904" s="7" t="str">
        <f t="shared" si="1"/>
        <v>VENTRE, GUSTAVO</v>
      </c>
      <c r="B904" s="7">
        <f>SUMIFS('bd caja'!$K$1:$K$1012,'bd caja'!$D$1:$D$1012,A904)</f>
        <v>0</v>
      </c>
      <c r="C904" s="19">
        <f>IFERROR(__xludf.DUMMYFUNCTION("""COMPUTED_VALUE"""),45723.45699152778)</f>
        <v>45723.45699</v>
      </c>
      <c r="D904" s="7" t="str">
        <f>IFERROR(__xludf.DUMMYFUNCTION("""COMPUTED_VALUE"""),"VENTRE")</f>
        <v>VENTRE</v>
      </c>
      <c r="E904" s="7" t="str">
        <f>IFERROR(__xludf.DUMMYFUNCTION("""COMPUTED_VALUE"""),"GUSTAVO")</f>
        <v>GUSTAVO</v>
      </c>
      <c r="F904" s="7" t="str">
        <f>IFERROR(__xludf.DUMMYFUNCTION("""COMPUTED_VALUE"""),"gustavo_ventre@hotmail.com")</f>
        <v>gustavo_ventre@hotmail.com</v>
      </c>
      <c r="G904" s="20">
        <f>IFERROR(__xludf.DUMMYFUNCTION("""COMPUTED_VALUE"""),26566.0)</f>
        <v>26566</v>
      </c>
      <c r="H904" s="7">
        <f>IFERROR(__xludf.DUMMYFUNCTION("""COMPUTED_VALUE"""),2.2794801E7)</f>
        <v>22794801</v>
      </c>
      <c r="I904" s="7">
        <f>IFERROR(__xludf.DUMMYFUNCTION("""COMPUTED_VALUE"""),3.517403686E9)</f>
        <v>3517403686</v>
      </c>
      <c r="J904" s="7" t="str">
        <f>IFERROR(__xludf.DUMMYFUNCTION("""COMPUTED_VALUE"""),"Google")</f>
        <v>Google</v>
      </c>
      <c r="K904" s="7" t="str">
        <f>IFERROR(__xludf.DUMMYFUNCTION("""COMPUTED_VALUE"""),"Obra social")</f>
        <v>Obra social</v>
      </c>
      <c r="L904" s="7"/>
      <c r="M904" s="7" t="str">
        <f>IFERROR(__xludf.DUMMYFUNCTION("""COMPUTED_VALUE"""),"No")</f>
        <v>No</v>
      </c>
      <c r="N904" s="7"/>
      <c r="O904" s="7"/>
      <c r="P904" s="7"/>
      <c r="Q904" s="7" t="str">
        <f>IFERROR(__xludf.DUMMYFUNCTION("""COMPUTED_VALUE"""),"MEDIFE")</f>
        <v>MEDIFE</v>
      </c>
      <c r="R904" s="7"/>
      <c r="S904" s="7"/>
    </row>
    <row r="905">
      <c r="A905" s="7" t="str">
        <f t="shared" si="1"/>
        <v>Figueroa, Jorge agustin</v>
      </c>
      <c r="B905" s="7">
        <f>SUMIFS('bd caja'!$K$1:$K$1012,'bd caja'!$D$1:$D$1012,A905)</f>
        <v>0</v>
      </c>
      <c r="C905" s="19">
        <f>IFERROR(__xludf.DUMMYFUNCTION("""COMPUTED_VALUE"""),45723.58305020833)</f>
        <v>45723.58305</v>
      </c>
      <c r="D905" s="7" t="str">
        <f>IFERROR(__xludf.DUMMYFUNCTION("""COMPUTED_VALUE"""),"Figueroa")</f>
        <v>Figueroa</v>
      </c>
      <c r="E905" s="7" t="str">
        <f>IFERROR(__xludf.DUMMYFUNCTION("""COMPUTED_VALUE"""),"Jorge agustin")</f>
        <v>Jorge agustin</v>
      </c>
      <c r="F905" s="7" t="str">
        <f>IFERROR(__xludf.DUMMYFUNCTION("""COMPUTED_VALUE"""),"agusfiguer@gmail.com")</f>
        <v>agusfiguer@gmail.com</v>
      </c>
      <c r="G905" s="20">
        <f>IFERROR(__xludf.DUMMYFUNCTION("""COMPUTED_VALUE"""),32760.0)</f>
        <v>32760</v>
      </c>
      <c r="H905" s="7">
        <f>IFERROR(__xludf.DUMMYFUNCTION("""COMPUTED_VALUE"""),3.4768618E7)</f>
        <v>34768618</v>
      </c>
      <c r="I905" s="7">
        <f>IFERROR(__xludf.DUMMYFUNCTION("""COMPUTED_VALUE"""),3.517162513E9)</f>
        <v>3517162513</v>
      </c>
      <c r="J905" s="7" t="str">
        <f>IFERROR(__xludf.DUMMYFUNCTION("""COMPUTED_VALUE"""),"Recomendación")</f>
        <v>Recomendación</v>
      </c>
      <c r="K905" s="7" t="str">
        <f>IFERROR(__xludf.DUMMYFUNCTION("""COMPUTED_VALUE"""),"Particular")</f>
        <v>Particular</v>
      </c>
      <c r="L905" s="7"/>
      <c r="M905" s="7" t="str">
        <f>IFERROR(__xludf.DUMMYFUNCTION("""COMPUTED_VALUE"""),"Si")</f>
        <v>Si</v>
      </c>
      <c r="N905" s="7" t="str">
        <f>IFERROR(__xludf.DUMMYFUNCTION("""COMPUTED_VALUE"""),"Gimnasio")</f>
        <v>Gimnasio</v>
      </c>
      <c r="O905" s="7" t="str">
        <f>IFERROR(__xludf.DUMMYFUNCTION("""COMPUTED_VALUE"""),"3 a 5 veces por semana")</f>
        <v>3 a 5 veces por semana</v>
      </c>
      <c r="P905" s="7"/>
      <c r="Q905" s="7"/>
      <c r="R905" s="7"/>
      <c r="S905" s="7"/>
    </row>
    <row r="906">
      <c r="A906" s="7" t="str">
        <f t="shared" si="1"/>
        <v>Mujica, Ramon</v>
      </c>
      <c r="B906" s="7">
        <f>SUMIFS('bd caja'!$K$1:$K$1012,'bd caja'!$D$1:$D$1012,A906)</f>
        <v>0</v>
      </c>
      <c r="C906" s="19">
        <f>IFERROR(__xludf.DUMMYFUNCTION("""COMPUTED_VALUE"""),45727.452509131945)</f>
        <v>45727.45251</v>
      </c>
      <c r="D906" s="7" t="str">
        <f>IFERROR(__xludf.DUMMYFUNCTION("""COMPUTED_VALUE"""),"Mujica")</f>
        <v>Mujica</v>
      </c>
      <c r="E906" s="7" t="str">
        <f>IFERROR(__xludf.DUMMYFUNCTION("""COMPUTED_VALUE"""),"Ramon")</f>
        <v>Ramon</v>
      </c>
      <c r="F906" s="7" t="str">
        <f>IFERROR(__xludf.DUMMYFUNCTION("""COMPUTED_VALUE"""),"ram.mujicad@gmail.com")</f>
        <v>ram.mujicad@gmail.com</v>
      </c>
      <c r="G906" s="20">
        <f>IFERROR(__xludf.DUMMYFUNCTION("""COMPUTED_VALUE"""),33053.0)</f>
        <v>33053</v>
      </c>
      <c r="H906" s="7">
        <f>IFERROR(__xludf.DUMMYFUNCTION("""COMPUTED_VALUE"""),1.9124844E7)</f>
        <v>19124844</v>
      </c>
      <c r="I906" s="7">
        <f>IFERROR(__xludf.DUMMYFUNCTION("""COMPUTED_VALUE"""),3.51678289E9)</f>
        <v>3516782890</v>
      </c>
      <c r="J906" s="7" t="str">
        <f>IFERROR(__xludf.DUMMYFUNCTION("""COMPUTED_VALUE"""),"Recomendación")</f>
        <v>Recomendación</v>
      </c>
      <c r="K906" s="7" t="str">
        <f>IFERROR(__xludf.DUMMYFUNCTION("""COMPUTED_VALUE"""),"Obra social")</f>
        <v>Obra social</v>
      </c>
      <c r="L906" s="7"/>
      <c r="M906" s="7" t="str">
        <f>IFERROR(__xludf.DUMMYFUNCTION("""COMPUTED_VALUE"""),"No")</f>
        <v>No</v>
      </c>
      <c r="N906" s="7"/>
      <c r="O906" s="7"/>
      <c r="P906" s="7"/>
      <c r="Q906" s="7" t="str">
        <f>IFERROR(__xludf.DUMMYFUNCTION("""COMPUTED_VALUE"""),"MEDIFE - PLAN PLATA")</f>
        <v>MEDIFE - PLAN PLATA</v>
      </c>
      <c r="R906" s="7"/>
      <c r="S906" s="7"/>
    </row>
    <row r="907">
      <c r="A907" s="7" t="str">
        <f t="shared" si="1"/>
        <v>Gonzalez Mazzoni , Santiago </v>
      </c>
      <c r="B907" s="7">
        <f>SUMIFS('bd caja'!$K$1:$K$1012,'bd caja'!$D$1:$D$1012,A907)</f>
        <v>0</v>
      </c>
      <c r="C907" s="19">
        <f>IFERROR(__xludf.DUMMYFUNCTION("""COMPUTED_VALUE"""),45727.81561172454)</f>
        <v>45727.81561</v>
      </c>
      <c r="D907" s="7" t="str">
        <f>IFERROR(__xludf.DUMMYFUNCTION("""COMPUTED_VALUE"""),"Gonzalez Mazzoni ")</f>
        <v>Gonzalez Mazzoni </v>
      </c>
      <c r="E907" s="7" t="str">
        <f>IFERROR(__xludf.DUMMYFUNCTION("""COMPUTED_VALUE"""),"Santiago ")</f>
        <v>Santiago </v>
      </c>
      <c r="F907" s="7" t="str">
        <f>IFERROR(__xludf.DUMMYFUNCTION("""COMPUTED_VALUE"""),"Santigonma@gmail.com")</f>
        <v>Santigonma@gmail.com</v>
      </c>
      <c r="G907" s="20">
        <f>IFERROR(__xludf.DUMMYFUNCTION("""COMPUTED_VALUE"""),37715.0)</f>
        <v>37715</v>
      </c>
      <c r="H907" s="7">
        <f>IFERROR(__xludf.DUMMYFUNCTION("""COMPUTED_VALUE"""),4.4739124E7)</f>
        <v>44739124</v>
      </c>
      <c r="I907" s="7">
        <f>IFERROR(__xludf.DUMMYFUNCTION("""COMPUTED_VALUE"""),3.513885676E9)</f>
        <v>3513885676</v>
      </c>
      <c r="J907" s="7" t="str">
        <f>IFERROR(__xludf.DUMMYFUNCTION("""COMPUTED_VALUE"""),"Recomendación")</f>
        <v>Recomendación</v>
      </c>
      <c r="K907" s="7" t="str">
        <f>IFERROR(__xludf.DUMMYFUNCTION("""COMPUTED_VALUE"""),"Obra social")</f>
        <v>Obra social</v>
      </c>
      <c r="L907" s="7"/>
      <c r="M907" s="7" t="str">
        <f>IFERROR(__xludf.DUMMYFUNCTION("""COMPUTED_VALUE"""),"Si")</f>
        <v>Si</v>
      </c>
      <c r="N907" s="7" t="str">
        <f>IFERROR(__xludf.DUMMYFUNCTION("""COMPUTED_VALUE"""),"Fútbol")</f>
        <v>Fútbol</v>
      </c>
      <c r="O907" s="7" t="str">
        <f>IFERROR(__xludf.DUMMYFUNCTION("""COMPUTED_VALUE"""),"3 a 5 veces por semana")</f>
        <v>3 a 5 veces por semana</v>
      </c>
      <c r="P907" s="7"/>
      <c r="Q907" s="7" t="str">
        <f>IFERROR(__xludf.DUMMYFUNCTION("""COMPUTED_VALUE"""),"Ospia")</f>
        <v>Ospia</v>
      </c>
      <c r="R907" s="7"/>
      <c r="S907" s="7"/>
    </row>
    <row r="908">
      <c r="A908" s="7" t="str">
        <f t="shared" si="1"/>
        <v>Ramirez , Javier</v>
      </c>
      <c r="B908" s="7">
        <f>SUMIFS('bd caja'!$K$1:$K$1012,'bd caja'!$D$1:$D$1012,A908)</f>
        <v>0</v>
      </c>
      <c r="C908" s="19">
        <f>IFERROR(__xludf.DUMMYFUNCTION("""COMPUTED_VALUE"""),45727.901133356485)</f>
        <v>45727.90113</v>
      </c>
      <c r="D908" s="7" t="str">
        <f>IFERROR(__xludf.DUMMYFUNCTION("""COMPUTED_VALUE"""),"Ramirez ")</f>
        <v>Ramirez </v>
      </c>
      <c r="E908" s="7" t="str">
        <f>IFERROR(__xludf.DUMMYFUNCTION("""COMPUTED_VALUE"""),"Javier")</f>
        <v>Javier</v>
      </c>
      <c r="F908" s="7" t="str">
        <f>IFERROR(__xludf.DUMMYFUNCTION("""COMPUTED_VALUE"""),"javicat79@gmail.com ")</f>
        <v>javicat79@gmail.com </v>
      </c>
      <c r="G908" s="20">
        <f>IFERROR(__xludf.DUMMYFUNCTION("""COMPUTED_VALUE"""),29126.0)</f>
        <v>29126</v>
      </c>
      <c r="H908" s="7">
        <f>IFERROR(__xludf.DUMMYFUNCTION("""COMPUTED_VALUE"""),2.7653652E7)</f>
        <v>27653652</v>
      </c>
      <c r="I908" s="7">
        <f>IFERROR(__xludf.DUMMYFUNCTION("""COMPUTED_VALUE"""),3.515638014E9)</f>
        <v>3515638014</v>
      </c>
      <c r="J908" s="7" t="str">
        <f>IFERROR(__xludf.DUMMYFUNCTION("""COMPUTED_VALUE"""),"Recomendación")</f>
        <v>Recomendación</v>
      </c>
      <c r="K908" s="7" t="str">
        <f>IFERROR(__xludf.DUMMYFUNCTION("""COMPUTED_VALUE"""),"Particular")</f>
        <v>Particular</v>
      </c>
      <c r="L908" s="7"/>
      <c r="M908" s="7" t="str">
        <f>IFERROR(__xludf.DUMMYFUNCTION("""COMPUTED_VALUE"""),"Si")</f>
        <v>Si</v>
      </c>
      <c r="N908" s="7" t="str">
        <f>IFERROR(__xludf.DUMMYFUNCTION("""COMPUTED_VALUE"""),"Bici")</f>
        <v>Bici</v>
      </c>
      <c r="O908" s="7" t="str">
        <f>IFERROR(__xludf.DUMMYFUNCTION("""COMPUTED_VALUE"""),"1 a 2 veces por semana")</f>
        <v>1 a 2 veces por semana</v>
      </c>
      <c r="P908" s="7"/>
      <c r="Q908" s="7"/>
      <c r="R908" s="7"/>
      <c r="S908" s="7"/>
    </row>
    <row r="909">
      <c r="A909" s="7" t="str">
        <f t="shared" si="1"/>
        <v>Sánchez Salamanca , Laura</v>
      </c>
      <c r="B909" s="7">
        <f>SUMIFS('bd caja'!$K$1:$K$1012,'bd caja'!$D$1:$D$1012,A909)</f>
        <v>0</v>
      </c>
      <c r="C909" s="19">
        <f>IFERROR(__xludf.DUMMYFUNCTION("""COMPUTED_VALUE"""),45728.43449672454)</f>
        <v>45728.4345</v>
      </c>
      <c r="D909" s="7" t="str">
        <f>IFERROR(__xludf.DUMMYFUNCTION("""COMPUTED_VALUE"""),"Sánchez Salamanca ")</f>
        <v>Sánchez Salamanca </v>
      </c>
      <c r="E909" s="7" t="str">
        <f>IFERROR(__xludf.DUMMYFUNCTION("""COMPUTED_VALUE"""),"Laura")</f>
        <v>Laura</v>
      </c>
      <c r="F909" s="7" t="str">
        <f>IFERROR(__xludf.DUMMYFUNCTION("""COMPUTED_VALUE"""),"laurasanchezsalamanca@gmail.com")</f>
        <v>laurasanchezsalamanca@gmail.com</v>
      </c>
      <c r="G909" s="20">
        <f>IFERROR(__xludf.DUMMYFUNCTION("""COMPUTED_VALUE"""),33282.0)</f>
        <v>33282</v>
      </c>
      <c r="H909" s="7">
        <f>IFERROR(__xludf.DUMMYFUNCTION("""COMPUTED_VALUE"""),3.550037E7)</f>
        <v>35500370</v>
      </c>
      <c r="I909" s="7">
        <f>IFERROR(__xludf.DUMMYFUNCTION("""COMPUTED_VALUE"""),3.834246569E9)</f>
        <v>3834246569</v>
      </c>
      <c r="J909" s="7" t="str">
        <f>IFERROR(__xludf.DUMMYFUNCTION("""COMPUTED_VALUE"""),"Google")</f>
        <v>Google</v>
      </c>
      <c r="K909" s="7" t="str">
        <f>IFERROR(__xludf.DUMMYFUNCTION("""COMPUTED_VALUE"""),"Obra social")</f>
        <v>Obra social</v>
      </c>
      <c r="L909" s="7"/>
      <c r="M909" s="7" t="str">
        <f>IFERROR(__xludf.DUMMYFUNCTION("""COMPUTED_VALUE"""),"Si")</f>
        <v>Si</v>
      </c>
      <c r="N909" s="7" t="str">
        <f>IFERROR(__xludf.DUMMYFUNCTION("""COMPUTED_VALUE"""),"Entrenamiento funcional")</f>
        <v>Entrenamiento funcional</v>
      </c>
      <c r="O909" s="7" t="str">
        <f>IFERROR(__xludf.DUMMYFUNCTION("""COMPUTED_VALUE"""),"3 a 5 veces por semana")</f>
        <v>3 a 5 veces por semana</v>
      </c>
      <c r="P909" s="7"/>
      <c r="Q909" s="7" t="str">
        <f>IFERROR(__xludf.DUMMYFUNCTION("""COMPUTED_VALUE"""),"SANCOR")</f>
        <v>SANCOR</v>
      </c>
      <c r="R909" s="7"/>
      <c r="S909" s="7"/>
    </row>
    <row r="910">
      <c r="A910" s="7" t="str">
        <f t="shared" si="1"/>
        <v>MARTINEZ, ANA MARIA</v>
      </c>
      <c r="B910" s="7">
        <f>SUMIFS('bd caja'!$K$1:$K$1012,'bd caja'!$D$1:$D$1012,A910)</f>
        <v>0</v>
      </c>
      <c r="C910" s="19">
        <f>IFERROR(__xludf.DUMMYFUNCTION("""COMPUTED_VALUE"""),45730.60929847222)</f>
        <v>45730.6093</v>
      </c>
      <c r="D910" s="7" t="str">
        <f>IFERROR(__xludf.DUMMYFUNCTION("""COMPUTED_VALUE"""),"MARTINEZ")</f>
        <v>MARTINEZ</v>
      </c>
      <c r="E910" s="7" t="str">
        <f>IFERROR(__xludf.DUMMYFUNCTION("""COMPUTED_VALUE"""),"ANA MARIA")</f>
        <v>ANA MARIA</v>
      </c>
      <c r="F910" s="7" t="str">
        <f>IFERROR(__xludf.DUMMYFUNCTION("""COMPUTED_VALUE"""),"anitabosio@hotmail.com")</f>
        <v>anitabosio@hotmail.com</v>
      </c>
      <c r="G910" s="20">
        <f>IFERROR(__xludf.DUMMYFUNCTION("""COMPUTED_VALUE"""),15179.0)</f>
        <v>15179</v>
      </c>
      <c r="H910" s="7" t="str">
        <f>IFERROR(__xludf.DUMMYFUNCTION("""COMPUTED_VALUE"""),"anitabosio@hotmail.com")</f>
        <v>anitabosio@hotmail.com</v>
      </c>
      <c r="I910" s="7">
        <f>IFERROR(__xludf.DUMMYFUNCTION("""COMPUTED_VALUE"""),3.514598255E9)</f>
        <v>3514598255</v>
      </c>
      <c r="J910" s="7" t="str">
        <f>IFERROR(__xludf.DUMMYFUNCTION("""COMPUTED_VALUE"""),"Recomendación")</f>
        <v>Recomendación</v>
      </c>
      <c r="K910" s="7" t="str">
        <f>IFERROR(__xludf.DUMMYFUNCTION("""COMPUTED_VALUE"""),"Obra social")</f>
        <v>Obra social</v>
      </c>
      <c r="L910" s="7"/>
      <c r="M910" s="7" t="str">
        <f>IFERROR(__xludf.DUMMYFUNCTION("""COMPUTED_VALUE"""),"Si")</f>
        <v>Si</v>
      </c>
      <c r="N910" s="7" t="str">
        <f>IFERROR(__xludf.DUMMYFUNCTION("""COMPUTED_VALUE"""),"Pilates")</f>
        <v>Pilates</v>
      </c>
      <c r="O910" s="7" t="str">
        <f>IFERROR(__xludf.DUMMYFUNCTION("""COMPUTED_VALUE"""),"1 a 2 veces por semana")</f>
        <v>1 a 2 veces por semana</v>
      </c>
      <c r="P910" s="7"/>
      <c r="Q910" s="7" t="str">
        <f>IFERROR(__xludf.DUMMYFUNCTION("""COMPUTED_VALUE"""),"CPCE")</f>
        <v>CPCE</v>
      </c>
      <c r="R910" s="7"/>
      <c r="S910" s="7"/>
    </row>
    <row r="911">
      <c r="A911" s="7" t="str">
        <f t="shared" si="1"/>
        <v>Cordoba, Franco</v>
      </c>
      <c r="B911" s="7">
        <f>SUMIFS('bd caja'!$K$1:$K$1012,'bd caja'!$D$1:$D$1012,A911)</f>
        <v>0</v>
      </c>
      <c r="C911" s="19">
        <f>IFERROR(__xludf.DUMMYFUNCTION("""COMPUTED_VALUE"""),45730.793938125)</f>
        <v>45730.79394</v>
      </c>
      <c r="D911" s="7" t="str">
        <f>IFERROR(__xludf.DUMMYFUNCTION("""COMPUTED_VALUE"""),"Cordoba")</f>
        <v>Cordoba</v>
      </c>
      <c r="E911" s="7" t="str">
        <f>IFERROR(__xludf.DUMMYFUNCTION("""COMPUTED_VALUE"""),"Franco")</f>
        <v>Franco</v>
      </c>
      <c r="F911" s="7" t="str">
        <f>IFERROR(__xludf.DUMMYFUNCTION("""COMPUTED_VALUE"""),"francocba999@gmail.com")</f>
        <v>francocba999@gmail.com</v>
      </c>
      <c r="G911" s="20">
        <f>IFERROR(__xludf.DUMMYFUNCTION("""COMPUTED_VALUE"""),36462.0)</f>
        <v>36462</v>
      </c>
      <c r="H911" s="7">
        <f>IFERROR(__xludf.DUMMYFUNCTION("""COMPUTED_VALUE"""),4.2217942E7)</f>
        <v>42217942</v>
      </c>
      <c r="I911" s="7">
        <f>IFERROR(__xludf.DUMMYFUNCTION("""COMPUTED_VALUE"""),3.513145178E9)</f>
        <v>3513145178</v>
      </c>
      <c r="J911" s="7" t="str">
        <f>IFERROR(__xludf.DUMMYFUNCTION("""COMPUTED_VALUE"""),"Google")</f>
        <v>Google</v>
      </c>
      <c r="K911" s="7" t="str">
        <f>IFERROR(__xludf.DUMMYFUNCTION("""COMPUTED_VALUE"""),"Obra social")</f>
        <v>Obra social</v>
      </c>
      <c r="L911" s="7"/>
      <c r="M911" s="7" t="str">
        <f>IFERROR(__xludf.DUMMYFUNCTION("""COMPUTED_VALUE"""),"Si")</f>
        <v>Si</v>
      </c>
      <c r="N911" s="7" t="str">
        <f>IFERROR(__xludf.DUMMYFUNCTION("""COMPUTED_VALUE"""),"Fútbol")</f>
        <v>Fútbol</v>
      </c>
      <c r="O911" s="7" t="str">
        <f>IFERROR(__xludf.DUMMYFUNCTION("""COMPUTED_VALUE"""),"1 a 2 veces por semana")</f>
        <v>1 a 2 veces por semana</v>
      </c>
      <c r="P911" s="7"/>
      <c r="Q911" s="7" t="str">
        <f>IFERROR(__xludf.DUMMYFUNCTION("""COMPUTED_VALUE"""),"SANCOR")</f>
        <v>SANCOR</v>
      </c>
      <c r="R911" s="7"/>
      <c r="S911" s="7"/>
    </row>
    <row r="912">
      <c r="A912" s="7" t="str">
        <f t="shared" si="1"/>
        <v>Avaca, Nicolas</v>
      </c>
      <c r="B912" s="7">
        <f>SUMIFS('bd caja'!$K$1:$K$1012,'bd caja'!$D$1:$D$1012,A912)</f>
        <v>0</v>
      </c>
      <c r="C912" s="19">
        <f>IFERROR(__xludf.DUMMYFUNCTION("""COMPUTED_VALUE"""),45733.4831975)</f>
        <v>45733.4832</v>
      </c>
      <c r="D912" s="7" t="str">
        <f>IFERROR(__xludf.DUMMYFUNCTION("""COMPUTED_VALUE"""),"Avaca")</f>
        <v>Avaca</v>
      </c>
      <c r="E912" s="7" t="str">
        <f>IFERROR(__xludf.DUMMYFUNCTION("""COMPUTED_VALUE"""),"Nicolas")</f>
        <v>Nicolas</v>
      </c>
      <c r="F912" s="7" t="str">
        <f>IFERROR(__xludf.DUMMYFUNCTION("""COMPUTED_VALUE"""),"karensantucho29@gmail.com")</f>
        <v>karensantucho29@gmail.com</v>
      </c>
      <c r="G912" s="20">
        <f>IFERROR(__xludf.DUMMYFUNCTION("""COMPUTED_VALUE"""),42767.0)</f>
        <v>42767</v>
      </c>
      <c r="H912" s="7">
        <f>IFERROR(__xludf.DUMMYFUNCTION("""COMPUTED_VALUE"""),5.6059212E7)</f>
        <v>56059212</v>
      </c>
      <c r="I912" s="7">
        <f>IFERROR(__xludf.DUMMYFUNCTION("""COMPUTED_VALUE"""),3.51205499E9)</f>
        <v>3512054990</v>
      </c>
      <c r="J912" s="7" t="str">
        <f>IFERROR(__xludf.DUMMYFUNCTION("""COMPUTED_VALUE"""),"Google")</f>
        <v>Google</v>
      </c>
      <c r="K912" s="7" t="str">
        <f>IFERROR(__xludf.DUMMYFUNCTION("""COMPUTED_VALUE"""),"Particular")</f>
        <v>Particular</v>
      </c>
      <c r="L912" s="7"/>
      <c r="M912" s="7" t="str">
        <f>IFERROR(__xludf.DUMMYFUNCTION("""COMPUTED_VALUE"""),"No")</f>
        <v>No</v>
      </c>
      <c r="N912" s="7"/>
      <c r="O912" s="7"/>
      <c r="P912" s="7"/>
      <c r="Q912" s="7"/>
      <c r="R912" s="7"/>
      <c r="S912" s="7"/>
    </row>
    <row r="913">
      <c r="A913" s="7" t="str">
        <f t="shared" si="1"/>
        <v>Abalos, Nahuel</v>
      </c>
      <c r="B913" s="7">
        <f>SUMIFS('bd caja'!$K$1:$K$1012,'bd caja'!$D$1:$D$1012,A913)</f>
        <v>0</v>
      </c>
      <c r="C913" s="19">
        <f>IFERROR(__xludf.DUMMYFUNCTION("""COMPUTED_VALUE"""),45733.84956858796)</f>
        <v>45733.84957</v>
      </c>
      <c r="D913" s="7" t="str">
        <f>IFERROR(__xludf.DUMMYFUNCTION("""COMPUTED_VALUE"""),"Abalos")</f>
        <v>Abalos</v>
      </c>
      <c r="E913" s="7" t="str">
        <f>IFERROR(__xludf.DUMMYFUNCTION("""COMPUTED_VALUE"""),"Nahuel")</f>
        <v>Nahuel</v>
      </c>
      <c r="F913" s="7" t="str">
        <f>IFERROR(__xludf.DUMMYFUNCTION("""COMPUTED_VALUE"""),"Nahuelandresabalos@hotmail.com")</f>
        <v>Nahuelandresabalos@hotmail.com</v>
      </c>
      <c r="G913" s="20">
        <f>IFERROR(__xludf.DUMMYFUNCTION("""COMPUTED_VALUE"""),35188.0)</f>
        <v>35188</v>
      </c>
      <c r="H913" s="7">
        <f>IFERROR(__xludf.DUMMYFUNCTION("""COMPUTED_VALUE"""),3.949859E7)</f>
        <v>39498590</v>
      </c>
      <c r="I913" s="7">
        <f>IFERROR(__xludf.DUMMYFUNCTION("""COMPUTED_VALUE"""),3.513908643E9)</f>
        <v>3513908643</v>
      </c>
      <c r="J913" s="7" t="str">
        <f>IFERROR(__xludf.DUMMYFUNCTION("""COMPUTED_VALUE"""),"Recomendación")</f>
        <v>Recomendación</v>
      </c>
      <c r="K913" s="7" t="str">
        <f>IFERROR(__xludf.DUMMYFUNCTION("""COMPUTED_VALUE"""),"Obra social")</f>
        <v>Obra social</v>
      </c>
      <c r="L913" s="7"/>
      <c r="M913" s="7" t="str">
        <f>IFERROR(__xludf.DUMMYFUNCTION("""COMPUTED_VALUE"""),"Si")</f>
        <v>Si</v>
      </c>
      <c r="N913" s="7" t="str">
        <f>IFERROR(__xludf.DUMMYFUNCTION("""COMPUTED_VALUE"""),"Fútbol")</f>
        <v>Fútbol</v>
      </c>
      <c r="O913" s="7" t="str">
        <f>IFERROR(__xludf.DUMMYFUNCTION("""COMPUTED_VALUE"""),"1 a 2 veces por semana")</f>
        <v>1 a 2 veces por semana</v>
      </c>
      <c r="P913" s="7"/>
      <c r="Q913" s="7" t="str">
        <f>IFERROR(__xludf.DUMMYFUNCTION("""COMPUTED_VALUE"""),"APROSS")</f>
        <v>APROSS</v>
      </c>
      <c r="R913" s="7"/>
      <c r="S913" s="7"/>
    </row>
    <row r="914">
      <c r="A914" s="7" t="str">
        <f t="shared" si="1"/>
        <v>Lutteral, Christian </v>
      </c>
      <c r="B914" s="7">
        <f>SUMIFS('bd caja'!$K$1:$K$1012,'bd caja'!$D$1:$D$1012,A914)</f>
        <v>0</v>
      </c>
      <c r="C914" s="19">
        <f>IFERROR(__xludf.DUMMYFUNCTION("""COMPUTED_VALUE"""),45734.47815804398)</f>
        <v>45734.47816</v>
      </c>
      <c r="D914" s="7" t="str">
        <f>IFERROR(__xludf.DUMMYFUNCTION("""COMPUTED_VALUE"""),"Lutteral")</f>
        <v>Lutteral</v>
      </c>
      <c r="E914" s="7" t="str">
        <f>IFERROR(__xludf.DUMMYFUNCTION("""COMPUTED_VALUE"""),"Christian ")</f>
        <v>Christian </v>
      </c>
      <c r="F914" s="7" t="str">
        <f>IFERROR(__xludf.DUMMYFUNCTION("""COMPUTED_VALUE"""),"c.lutteral@live.com")</f>
        <v>c.lutteral@live.com</v>
      </c>
      <c r="G914" s="20">
        <f>IFERROR(__xludf.DUMMYFUNCTION("""COMPUTED_VALUE"""),45983.0)</f>
        <v>45983</v>
      </c>
      <c r="H914" s="7">
        <f>IFERROR(__xludf.DUMMYFUNCTION("""COMPUTED_VALUE"""),3.4840949E7)</f>
        <v>34840949</v>
      </c>
      <c r="I914" s="7">
        <f>IFERROR(__xludf.DUMMYFUNCTION("""COMPUTED_VALUE"""),3.518583214E9)</f>
        <v>3518583214</v>
      </c>
      <c r="J914" s="7" t="str">
        <f>IFERROR(__xludf.DUMMYFUNCTION("""COMPUTED_VALUE"""),"Recomendación")</f>
        <v>Recomendación</v>
      </c>
      <c r="K914" s="7" t="str">
        <f>IFERROR(__xludf.DUMMYFUNCTION("""COMPUTED_VALUE"""),"Particular")</f>
        <v>Particular</v>
      </c>
      <c r="L914" s="7"/>
      <c r="M914" s="7" t="str">
        <f>IFERROR(__xludf.DUMMYFUNCTION("""COMPUTED_VALUE"""),"Si")</f>
        <v>Si</v>
      </c>
      <c r="N914" s="7"/>
      <c r="O914" s="7" t="str">
        <f>IFERROR(__xludf.DUMMYFUNCTION("""COMPUTED_VALUE"""),"3 a 5 veces por semana")</f>
        <v>3 a 5 veces por semana</v>
      </c>
      <c r="P914" s="7"/>
      <c r="Q914" s="7"/>
      <c r="R914" s="7"/>
      <c r="S914" s="7"/>
    </row>
    <row r="915">
      <c r="A915" s="7" t="str">
        <f t="shared" si="1"/>
        <v>Prados , Yolanda </v>
      </c>
      <c r="B915" s="7">
        <f>SUMIFS('bd caja'!$K$1:$K$1012,'bd caja'!$D$1:$D$1012,A915)</f>
        <v>0</v>
      </c>
      <c r="C915" s="19">
        <f>IFERROR(__xludf.DUMMYFUNCTION("""COMPUTED_VALUE"""),45734.7887815625)</f>
        <v>45734.78878</v>
      </c>
      <c r="D915" s="7" t="str">
        <f>IFERROR(__xludf.DUMMYFUNCTION("""COMPUTED_VALUE"""),"Prados ")</f>
        <v>Prados </v>
      </c>
      <c r="E915" s="7" t="str">
        <f>IFERROR(__xludf.DUMMYFUNCTION("""COMPUTED_VALUE"""),"Yolanda ")</f>
        <v>Yolanda </v>
      </c>
      <c r="F915" s="7" t="str">
        <f>IFERROR(__xludf.DUMMYFUNCTION("""COMPUTED_VALUE"""),"yoly-p-prados@hotmail.com")</f>
        <v>yoly-p-prados@hotmail.com</v>
      </c>
      <c r="G915" s="20">
        <f>IFERROR(__xludf.DUMMYFUNCTION("""COMPUTED_VALUE"""),22077.0)</f>
        <v>22077</v>
      </c>
      <c r="H915" s="7">
        <f>IFERROR(__xludf.DUMMYFUNCTION("""COMPUTED_VALUE"""),1.3984281E7)</f>
        <v>13984281</v>
      </c>
      <c r="I915" s="7">
        <f>IFERROR(__xludf.DUMMYFUNCTION("""COMPUTED_VALUE"""),3.515597474E9)</f>
        <v>3515597474</v>
      </c>
      <c r="J915" s="7" t="str">
        <f>IFERROR(__xludf.DUMMYFUNCTION("""COMPUTED_VALUE"""),"Recomendación")</f>
        <v>Recomendación</v>
      </c>
      <c r="K915" s="7" t="str">
        <f>IFERROR(__xludf.DUMMYFUNCTION("""COMPUTED_VALUE"""),"Particular")</f>
        <v>Particular</v>
      </c>
      <c r="L915" s="7"/>
      <c r="M915" s="7" t="str">
        <f>IFERROR(__xludf.DUMMYFUNCTION("""COMPUTED_VALUE"""),"No")</f>
        <v>No</v>
      </c>
      <c r="N915" s="7"/>
      <c r="O915" s="7"/>
      <c r="P915" s="7"/>
      <c r="Q915" s="7"/>
      <c r="R915" s="7"/>
      <c r="S915" s="7"/>
    </row>
    <row r="916">
      <c r="A916" s="7" t="str">
        <f t="shared" si="1"/>
        <v>Montes , Sergio</v>
      </c>
      <c r="B916" s="7">
        <f>SUMIFS('bd caja'!$K$1:$K$1012,'bd caja'!$D$1:$D$1012,A916)</f>
        <v>0</v>
      </c>
      <c r="C916" s="19">
        <f>IFERROR(__xludf.DUMMYFUNCTION("""COMPUTED_VALUE"""),45735.44763260416)</f>
        <v>45735.44763</v>
      </c>
      <c r="D916" s="7" t="str">
        <f>IFERROR(__xludf.DUMMYFUNCTION("""COMPUTED_VALUE"""),"Montes ")</f>
        <v>Montes </v>
      </c>
      <c r="E916" s="7" t="str">
        <f>IFERROR(__xludf.DUMMYFUNCTION("""COMPUTED_VALUE"""),"Sergio")</f>
        <v>Sergio</v>
      </c>
      <c r="F916" s="7" t="str">
        <f>IFERROR(__xludf.DUMMYFUNCTION("""COMPUTED_VALUE"""),"orlandomontis33@gmail.com")</f>
        <v>orlandomontis33@gmail.com</v>
      </c>
      <c r="G916" s="20">
        <f>IFERROR(__xludf.DUMMYFUNCTION("""COMPUTED_VALUE"""),24163.0)</f>
        <v>24163</v>
      </c>
      <c r="H916" s="7">
        <f>IFERROR(__xludf.DUMMYFUNCTION("""COMPUTED_VALUE"""),1.7628061E7)</f>
        <v>17628061</v>
      </c>
      <c r="I916" s="7">
        <f>IFERROR(__xludf.DUMMYFUNCTION("""COMPUTED_VALUE"""),3.512299573E9)</f>
        <v>3512299573</v>
      </c>
      <c r="J916" s="7" t="str">
        <f>IFERROR(__xludf.DUMMYFUNCTION("""COMPUTED_VALUE"""),"Cartilla Obra Social")</f>
        <v>Cartilla Obra Social</v>
      </c>
      <c r="K916" s="7" t="str">
        <f>IFERROR(__xludf.DUMMYFUNCTION("""COMPUTED_VALUE"""),"Obra social")</f>
        <v>Obra social</v>
      </c>
      <c r="L916" s="7"/>
      <c r="M916" s="7" t="str">
        <f>IFERROR(__xludf.DUMMYFUNCTION("""COMPUTED_VALUE"""),"No")</f>
        <v>No</v>
      </c>
      <c r="N916" s="7"/>
      <c r="O916" s="7"/>
      <c r="P916" s="7"/>
      <c r="Q916" s="7" t="str">
        <f>IFERROR(__xludf.DUMMYFUNCTION("""COMPUTED_VALUE"""),"Boreal ")</f>
        <v>Boreal </v>
      </c>
      <c r="R916" s="7"/>
      <c r="S916" s="7"/>
    </row>
    <row r="917">
      <c r="A917" s="7" t="str">
        <f t="shared" si="1"/>
        <v>cordero, veronica</v>
      </c>
      <c r="B917" s="7">
        <f>SUMIFS('bd caja'!$K$1:$K$1012,'bd caja'!$D$1:$D$1012,A917)</f>
        <v>0</v>
      </c>
      <c r="C917" s="19">
        <f>IFERROR(__xludf.DUMMYFUNCTION("""COMPUTED_VALUE"""),45736.41248003472)</f>
        <v>45736.41248</v>
      </c>
      <c r="D917" s="7" t="str">
        <f>IFERROR(__xludf.DUMMYFUNCTION("""COMPUTED_VALUE"""),"cordero")</f>
        <v>cordero</v>
      </c>
      <c r="E917" s="7" t="str">
        <f>IFERROR(__xludf.DUMMYFUNCTION("""COMPUTED_VALUE"""),"veronica")</f>
        <v>veronica</v>
      </c>
      <c r="F917" s="7" t="str">
        <f>IFERROR(__xludf.DUMMYFUNCTION("""COMPUTED_VALUE"""),"vmariacordero@gmail.com")</f>
        <v>vmariacordero@gmail.com</v>
      </c>
      <c r="G917" s="20">
        <f>IFERROR(__xludf.DUMMYFUNCTION("""COMPUTED_VALUE"""),32131.0)</f>
        <v>32131</v>
      </c>
      <c r="H917" s="7">
        <f>IFERROR(__xludf.DUMMYFUNCTION("""COMPUTED_VALUE"""),3.331014E7)</f>
        <v>33310140</v>
      </c>
      <c r="I917" s="7">
        <f>IFERROR(__xludf.DUMMYFUNCTION("""COMPUTED_VALUE"""),3.518046056E9)</f>
        <v>3518046056</v>
      </c>
      <c r="J917" s="7" t="str">
        <f>IFERROR(__xludf.DUMMYFUNCTION("""COMPUTED_VALUE"""),"Recomendación")</f>
        <v>Recomendación</v>
      </c>
      <c r="K917" s="7" t="str">
        <f>IFERROR(__xludf.DUMMYFUNCTION("""COMPUTED_VALUE"""),"Obra social")</f>
        <v>Obra social</v>
      </c>
      <c r="L917" s="7"/>
      <c r="M917" s="7" t="str">
        <f>IFERROR(__xludf.DUMMYFUNCTION("""COMPUTED_VALUE"""),"Si")</f>
        <v>Si</v>
      </c>
      <c r="N917" s="7" t="str">
        <f>IFERROR(__xludf.DUMMYFUNCTION("""COMPUTED_VALUE"""),"Fútbol")</f>
        <v>Fútbol</v>
      </c>
      <c r="O917" s="7" t="str">
        <f>IFERROR(__xludf.DUMMYFUNCTION("""COMPUTED_VALUE"""),"1 a 2 veces por semana")</f>
        <v>1 a 2 veces por semana</v>
      </c>
      <c r="P917" s="7"/>
      <c r="Q917" s="7" t="str">
        <f>IFERROR(__xludf.DUMMYFUNCTION("""COMPUTED_VALUE"""),"APROSS")</f>
        <v>APROSS</v>
      </c>
      <c r="R917" s="7"/>
      <c r="S917" s="7"/>
    </row>
    <row r="918">
      <c r="A918" s="7" t="str">
        <f t="shared" si="1"/>
        <v>Bizzera, Franco Ariel</v>
      </c>
      <c r="B918" s="7">
        <f>SUMIFS('bd caja'!$K$1:$K$1012,'bd caja'!$D$1:$D$1012,A918)</f>
        <v>0</v>
      </c>
      <c r="C918" s="19">
        <f>IFERROR(__xludf.DUMMYFUNCTION("""COMPUTED_VALUE"""),45736.41645981482)</f>
        <v>45736.41646</v>
      </c>
      <c r="D918" s="7" t="str">
        <f>IFERROR(__xludf.DUMMYFUNCTION("""COMPUTED_VALUE"""),"Bizzera")</f>
        <v>Bizzera</v>
      </c>
      <c r="E918" s="7" t="str">
        <f>IFERROR(__xludf.DUMMYFUNCTION("""COMPUTED_VALUE"""),"Franco Ariel")</f>
        <v>Franco Ariel</v>
      </c>
      <c r="F918" s="7" t="str">
        <f>IFERROR(__xludf.DUMMYFUNCTION("""COMPUTED_VALUE"""),"francobizzera@gmail.com")</f>
        <v>francobizzera@gmail.com</v>
      </c>
      <c r="G918" s="20">
        <f>IFERROR(__xludf.DUMMYFUNCTION("""COMPUTED_VALUE"""),34677.0)</f>
        <v>34677</v>
      </c>
      <c r="H918" s="7">
        <f>IFERROR(__xludf.DUMMYFUNCTION("""COMPUTED_VALUE"""),3.8500592E7)</f>
        <v>38500592</v>
      </c>
      <c r="I918" s="7">
        <f>IFERROR(__xludf.DUMMYFUNCTION("""COMPUTED_VALUE"""),3.512571777E9)</f>
        <v>3512571777</v>
      </c>
      <c r="J918" s="7" t="str">
        <f>IFERROR(__xludf.DUMMYFUNCTION("""COMPUTED_VALUE"""),"Recomendación")</f>
        <v>Recomendación</v>
      </c>
      <c r="K918" s="7" t="str">
        <f>IFERROR(__xludf.DUMMYFUNCTION("""COMPUTED_VALUE"""),"Particular")</f>
        <v>Particular</v>
      </c>
      <c r="L918" s="7"/>
      <c r="M918" s="7" t="str">
        <f>IFERROR(__xludf.DUMMYFUNCTION("""COMPUTED_VALUE"""),"Si")</f>
        <v>Si</v>
      </c>
      <c r="N918" s="7" t="str">
        <f>IFERROR(__xludf.DUMMYFUNCTION("""COMPUTED_VALUE"""),"Running")</f>
        <v>Running</v>
      </c>
      <c r="O918" s="7" t="str">
        <f>IFERROR(__xludf.DUMMYFUNCTION("""COMPUTED_VALUE"""),"3 a 5 veces por semana")</f>
        <v>3 a 5 veces por semana</v>
      </c>
      <c r="P918" s="7"/>
      <c r="Q918" s="7"/>
      <c r="R918" s="7"/>
      <c r="S918" s="7"/>
    </row>
    <row r="919">
      <c r="A919" s="7" t="str">
        <f t="shared" si="1"/>
        <v>STRICKLER , Osvaldo Carlos </v>
      </c>
      <c r="B919" s="7">
        <f>SUMIFS('bd caja'!$K$1:$K$1012,'bd caja'!$D$1:$D$1012,A919)</f>
        <v>0</v>
      </c>
      <c r="C919" s="19">
        <f>IFERROR(__xludf.DUMMYFUNCTION("""COMPUTED_VALUE"""),45736.44875451388)</f>
        <v>45736.44875</v>
      </c>
      <c r="D919" s="7" t="str">
        <f>IFERROR(__xludf.DUMMYFUNCTION("""COMPUTED_VALUE"""),"STRICKLER ")</f>
        <v>STRICKLER </v>
      </c>
      <c r="E919" s="7" t="str">
        <f>IFERROR(__xludf.DUMMYFUNCTION("""COMPUTED_VALUE"""),"Osvaldo Carlos ")</f>
        <v>Osvaldo Carlos </v>
      </c>
      <c r="F919" s="7" t="str">
        <f>IFERROR(__xludf.DUMMYFUNCTION("""COMPUTED_VALUE"""),"Milanohelados@hotmail.com")</f>
        <v>Milanohelados@hotmail.com</v>
      </c>
      <c r="G919" s="20">
        <f>IFERROR(__xludf.DUMMYFUNCTION("""COMPUTED_VALUE"""),22701.0)</f>
        <v>22701</v>
      </c>
      <c r="H919" s="7">
        <f>IFERROR(__xludf.DUMMYFUNCTION("""COMPUTED_VALUE"""),1.4894338E7)</f>
        <v>14894338</v>
      </c>
      <c r="I919" s="7">
        <f>IFERROR(__xludf.DUMMYFUNCTION("""COMPUTED_VALUE"""),3.513344901E9)</f>
        <v>3513344901</v>
      </c>
      <c r="J919" s="7" t="str">
        <f>IFERROR(__xludf.DUMMYFUNCTION("""COMPUTED_VALUE"""),"Recomendación")</f>
        <v>Recomendación</v>
      </c>
      <c r="K919" s="7" t="str">
        <f>IFERROR(__xludf.DUMMYFUNCTION("""COMPUTED_VALUE"""),"Obra social")</f>
        <v>Obra social</v>
      </c>
      <c r="L919" s="7"/>
      <c r="M919" s="7" t="str">
        <f>IFERROR(__xludf.DUMMYFUNCTION("""COMPUTED_VALUE"""),"No")</f>
        <v>No</v>
      </c>
      <c r="N919" s="7"/>
      <c r="O919" s="7"/>
      <c r="P919" s="7"/>
      <c r="Q919" s="7" t="str">
        <f>IFERROR(__xludf.DUMMYFUNCTION("""COMPUTED_VALUE"""),"APM")</f>
        <v>APM</v>
      </c>
      <c r="R919" s="7"/>
      <c r="S919" s="7"/>
    </row>
    <row r="920">
      <c r="A920" s="7" t="str">
        <f t="shared" si="1"/>
        <v>ABAD , Dante</v>
      </c>
      <c r="B920" s="7">
        <f>SUMIFS('bd caja'!$K$1:$K$1012,'bd caja'!$D$1:$D$1012,A920)</f>
        <v>0</v>
      </c>
      <c r="C920" s="19">
        <f>IFERROR(__xludf.DUMMYFUNCTION("""COMPUTED_VALUE"""),45736.82920335648)</f>
        <v>45736.8292</v>
      </c>
      <c r="D920" s="7" t="str">
        <f>IFERROR(__xludf.DUMMYFUNCTION("""COMPUTED_VALUE"""),"ABAD ")</f>
        <v>ABAD </v>
      </c>
      <c r="E920" s="7" t="str">
        <f>IFERROR(__xludf.DUMMYFUNCTION("""COMPUTED_VALUE"""),"Dante")</f>
        <v>Dante</v>
      </c>
      <c r="F920" s="7" t="str">
        <f>IFERROR(__xludf.DUMMYFUNCTION("""COMPUTED_VALUE"""),"abaddm@gmail.com")</f>
        <v>abaddm@gmail.com</v>
      </c>
      <c r="G920" s="20">
        <f>IFERROR(__xludf.DUMMYFUNCTION("""COMPUTED_VALUE"""),22820.0)</f>
        <v>22820</v>
      </c>
      <c r="H920" s="7">
        <f>IFERROR(__xludf.DUMMYFUNCTION("""COMPUTED_VALUE"""),1.4920445E7)</f>
        <v>14920445</v>
      </c>
      <c r="I920" s="7">
        <f>IFERROR(__xludf.DUMMYFUNCTION("""COMPUTED_VALUE"""),3.516504616E9)</f>
        <v>3516504616</v>
      </c>
      <c r="J920" s="7" t="str">
        <f>IFERROR(__xludf.DUMMYFUNCTION("""COMPUTED_VALUE"""),"Voy al gym Manantial")</f>
        <v>Voy al gym Manantial</v>
      </c>
      <c r="K920" s="7" t="str">
        <f>IFERROR(__xludf.DUMMYFUNCTION("""COMPUTED_VALUE"""),"Obra social")</f>
        <v>Obra social</v>
      </c>
      <c r="L920" s="7"/>
      <c r="M920" s="7" t="str">
        <f>IFERROR(__xludf.DUMMYFUNCTION("""COMPUTED_VALUE"""),"Si")</f>
        <v>Si</v>
      </c>
      <c r="N920" s="7" t="str">
        <f>IFERROR(__xludf.DUMMYFUNCTION("""COMPUTED_VALUE"""),"motociclismo recreativo ")</f>
        <v>motociclismo recreativo </v>
      </c>
      <c r="O920" s="7" t="str">
        <f>IFERROR(__xludf.DUMMYFUNCTION("""COMPUTED_VALUE"""),"3 a 5 veces por semana")</f>
        <v>3 a 5 veces por semana</v>
      </c>
      <c r="P920" s="7"/>
      <c r="Q920" s="7" t="str">
        <f>IFERROR(__xludf.DUMMYFUNCTION("""COMPUTED_VALUE"""),"APROSS")</f>
        <v>APROSS</v>
      </c>
      <c r="R920" s="7"/>
      <c r="S920" s="7"/>
    </row>
    <row r="921">
      <c r="A921" s="7" t="str">
        <f t="shared" si="1"/>
        <v>Ybarra, Andrea viviana</v>
      </c>
      <c r="B921" s="7">
        <f>SUMIFS('bd caja'!$K$1:$K$1012,'bd caja'!$D$1:$D$1012,A921)</f>
        <v>0</v>
      </c>
      <c r="C921" s="19">
        <f>IFERROR(__xludf.DUMMYFUNCTION("""COMPUTED_VALUE"""),45736.84049986111)</f>
        <v>45736.8405</v>
      </c>
      <c r="D921" s="7" t="str">
        <f>IFERROR(__xludf.DUMMYFUNCTION("""COMPUTED_VALUE"""),"Ybarra")</f>
        <v>Ybarra</v>
      </c>
      <c r="E921" s="7" t="str">
        <f>IFERROR(__xludf.DUMMYFUNCTION("""COMPUTED_VALUE"""),"Andrea viviana")</f>
        <v>Andrea viviana</v>
      </c>
      <c r="F921" s="7" t="str">
        <f>IFERROR(__xludf.DUMMYFUNCTION("""COMPUTED_VALUE"""),"Sybarra26@gmail.com")</f>
        <v>Sybarra26@gmail.com</v>
      </c>
      <c r="G921" s="20">
        <f>IFERROR(__xludf.DUMMYFUNCTION("""COMPUTED_VALUE"""),27048.0)</f>
        <v>27048</v>
      </c>
      <c r="H921" s="7">
        <f>IFERROR(__xludf.DUMMYFUNCTION("""COMPUTED_VALUE"""),2.4147633E7)</f>
        <v>24147633</v>
      </c>
      <c r="I921" s="7">
        <f>IFERROR(__xludf.DUMMYFUNCTION("""COMPUTED_VALUE"""),3.513066792E9)</f>
        <v>3513066792</v>
      </c>
      <c r="J921" s="7" t="str">
        <f>IFERROR(__xludf.DUMMYFUNCTION("""COMPUTED_VALUE"""),"Voy al gym Manantial")</f>
        <v>Voy al gym Manantial</v>
      </c>
      <c r="K921" s="7" t="str">
        <f>IFERROR(__xludf.DUMMYFUNCTION("""COMPUTED_VALUE"""),"Particular")</f>
        <v>Particular</v>
      </c>
      <c r="L921" s="7"/>
      <c r="M921" s="7" t="str">
        <f>IFERROR(__xludf.DUMMYFUNCTION("""COMPUTED_VALUE"""),"Si")</f>
        <v>Si</v>
      </c>
      <c r="N921" s="7" t="str">
        <f>IFERROR(__xludf.DUMMYFUNCTION("""COMPUTED_VALUE"""),"Gimnasio")</f>
        <v>Gimnasio</v>
      </c>
      <c r="O921" s="7" t="str">
        <f>IFERROR(__xludf.DUMMYFUNCTION("""COMPUTED_VALUE"""),"3 a 5 veces por semana")</f>
        <v>3 a 5 veces por semana</v>
      </c>
      <c r="P921" s="7"/>
      <c r="Q921" s="7"/>
      <c r="R921" s="7"/>
      <c r="S921" s="7"/>
    </row>
    <row r="922">
      <c r="A922" s="7" t="str">
        <f t="shared" si="1"/>
        <v>APESTEGUIA, Rodrigo</v>
      </c>
      <c r="B922" s="7">
        <f>SUMIFS('bd caja'!$K$1:$K$1012,'bd caja'!$D$1:$D$1012,A922)</f>
        <v>0</v>
      </c>
      <c r="C922" s="19">
        <f>IFERROR(__xludf.DUMMYFUNCTION("""COMPUTED_VALUE"""),45741.37234076389)</f>
        <v>45741.37234</v>
      </c>
      <c r="D922" s="7" t="str">
        <f>IFERROR(__xludf.DUMMYFUNCTION("""COMPUTED_VALUE"""),"APESTEGUIA")</f>
        <v>APESTEGUIA</v>
      </c>
      <c r="E922" s="7" t="str">
        <f>IFERROR(__xludf.DUMMYFUNCTION("""COMPUTED_VALUE"""),"Rodrigo")</f>
        <v>Rodrigo</v>
      </c>
      <c r="F922" s="7"/>
      <c r="G922" s="20">
        <f>IFERROR(__xludf.DUMMYFUNCTION("""COMPUTED_VALUE"""),28164.0)</f>
        <v>28164</v>
      </c>
      <c r="H922" s="7">
        <f>IFERROR(__xludf.DUMMYFUNCTION("""COMPUTED_VALUE"""),2.5710265E7)</f>
        <v>25710265</v>
      </c>
      <c r="I922" s="7">
        <f>IFERROR(__xludf.DUMMYFUNCTION("""COMPUTED_VALUE"""),3.515942369E9)</f>
        <v>3515942369</v>
      </c>
      <c r="J922" s="7" t="str">
        <f>IFERROR(__xludf.DUMMYFUNCTION("""COMPUTED_VALUE"""),"Voy al gym Manantial")</f>
        <v>Voy al gym Manantial</v>
      </c>
      <c r="K922" s="7" t="str">
        <f>IFERROR(__xludf.DUMMYFUNCTION("""COMPUTED_VALUE"""),"Particular")</f>
        <v>Particular</v>
      </c>
      <c r="L922" s="7"/>
      <c r="M922" s="7" t="str">
        <f>IFERROR(__xludf.DUMMYFUNCTION("""COMPUTED_VALUE"""),"Si")</f>
        <v>Si</v>
      </c>
      <c r="N922" s="7" t="str">
        <f>IFERROR(__xludf.DUMMYFUNCTION("""COMPUTED_VALUE"""),"Fútbol")</f>
        <v>Fútbol</v>
      </c>
      <c r="O922" s="7" t="str">
        <f>IFERROR(__xludf.DUMMYFUNCTION("""COMPUTED_VALUE"""),"1 a 2 veces por semana")</f>
        <v>1 a 2 veces por semana</v>
      </c>
      <c r="P922" s="7"/>
      <c r="Q922" s="7"/>
      <c r="R922" s="7"/>
      <c r="S922" s="7"/>
    </row>
    <row r="923">
      <c r="A923" s="7" t="str">
        <f t="shared" si="1"/>
        <v>Quinteros, Rodrigo Nicolás </v>
      </c>
      <c r="B923" s="7">
        <f>SUMIFS('bd caja'!$K$1:$K$1012,'bd caja'!$D$1:$D$1012,A923)</f>
        <v>0</v>
      </c>
      <c r="C923" s="19">
        <f>IFERROR(__xludf.DUMMYFUNCTION("""COMPUTED_VALUE"""),45742.519784143515)</f>
        <v>45742.51978</v>
      </c>
      <c r="D923" s="7" t="str">
        <f>IFERROR(__xludf.DUMMYFUNCTION("""COMPUTED_VALUE"""),"Quinteros")</f>
        <v>Quinteros</v>
      </c>
      <c r="E923" s="7" t="str">
        <f>IFERROR(__xludf.DUMMYFUNCTION("""COMPUTED_VALUE"""),"Rodrigo Nicolás ")</f>
        <v>Rodrigo Nicolás </v>
      </c>
      <c r="F923" s="7" t="str">
        <f>IFERROR(__xludf.DUMMYFUNCTION("""COMPUTED_VALUE"""),"rodrigoquinteros170@gmail.com")</f>
        <v>rodrigoquinteros170@gmail.com</v>
      </c>
      <c r="G923" s="20">
        <f>IFERROR(__xludf.DUMMYFUNCTION("""COMPUTED_VALUE"""),36578.0)</f>
        <v>36578</v>
      </c>
      <c r="H923" s="7">
        <f>IFERROR(__xludf.DUMMYFUNCTION("""COMPUTED_VALUE"""),4.2387202E7)</f>
        <v>42387202</v>
      </c>
      <c r="I923" s="7">
        <f>IFERROR(__xludf.DUMMYFUNCTION("""COMPUTED_VALUE"""),3.513506283E9)</f>
        <v>3513506283</v>
      </c>
      <c r="J923" s="7" t="str">
        <f>IFERROR(__xludf.DUMMYFUNCTION("""COMPUTED_VALUE"""),"Recomendación")</f>
        <v>Recomendación</v>
      </c>
      <c r="K923" s="7" t="str">
        <f>IFERROR(__xludf.DUMMYFUNCTION("""COMPUTED_VALUE"""),"Particular")</f>
        <v>Particular</v>
      </c>
      <c r="L923" s="7"/>
      <c r="M923" s="7" t="str">
        <f>IFERROR(__xludf.DUMMYFUNCTION("""COMPUTED_VALUE"""),"Si")</f>
        <v>Si</v>
      </c>
      <c r="N923" s="7" t="str">
        <f>IFERROR(__xludf.DUMMYFUNCTION("""COMPUTED_VALUE"""),"Fútbol")</f>
        <v>Fútbol</v>
      </c>
      <c r="O923" s="7" t="str">
        <f>IFERROR(__xludf.DUMMYFUNCTION("""COMPUTED_VALUE"""),"1 a 2 veces por semana")</f>
        <v>1 a 2 veces por semana</v>
      </c>
      <c r="P923" s="7"/>
      <c r="Q923" s="7"/>
      <c r="R923" s="7"/>
      <c r="S923" s="7"/>
    </row>
    <row r="924">
      <c r="A924" s="7" t="str">
        <f t="shared" si="1"/>
        <v>Giaccaglia, Sandra</v>
      </c>
      <c r="B924" s="7">
        <f>SUMIFS('bd caja'!$K$1:$K$1012,'bd caja'!$D$1:$D$1012,A924)</f>
        <v>0</v>
      </c>
      <c r="C924" s="19">
        <f>IFERROR(__xludf.DUMMYFUNCTION("""COMPUTED_VALUE"""),45742.794072523146)</f>
        <v>45742.79407</v>
      </c>
      <c r="D924" s="7" t="str">
        <f>IFERROR(__xludf.DUMMYFUNCTION("""COMPUTED_VALUE"""),"Giaccaglia")</f>
        <v>Giaccaglia</v>
      </c>
      <c r="E924" s="7" t="str">
        <f>IFERROR(__xludf.DUMMYFUNCTION("""COMPUTED_VALUE"""),"Sandra")</f>
        <v>Sandra</v>
      </c>
      <c r="F924" s="7" t="str">
        <f>IFERROR(__xludf.DUMMYFUNCTION("""COMPUTED_VALUE"""),"S_giaccaglia@hotmail.com")</f>
        <v>S_giaccaglia@hotmail.com</v>
      </c>
      <c r="G924" s="20">
        <f>IFERROR(__xludf.DUMMYFUNCTION("""COMPUTED_VALUE"""),24243.0)</f>
        <v>24243</v>
      </c>
      <c r="H924" s="7">
        <f>IFERROR(__xludf.DUMMYFUNCTION("""COMPUTED_VALUE"""),1.762949E7)</f>
        <v>17629490</v>
      </c>
      <c r="I924" s="7">
        <f>IFERROR(__xludf.DUMMYFUNCTION("""COMPUTED_VALUE"""),3.515149476E9)</f>
        <v>3515149476</v>
      </c>
      <c r="J924" s="7" t="str">
        <f>IFERROR(__xludf.DUMMYFUNCTION("""COMPUTED_VALUE"""),"Voy al gym Manantial")</f>
        <v>Voy al gym Manantial</v>
      </c>
      <c r="K924" s="7" t="str">
        <f>IFERROR(__xludf.DUMMYFUNCTION("""COMPUTED_VALUE"""),"Obra social")</f>
        <v>Obra social</v>
      </c>
      <c r="L924" s="7"/>
      <c r="M924" s="7" t="str">
        <f>IFERROR(__xludf.DUMMYFUNCTION("""COMPUTED_VALUE"""),"Si")</f>
        <v>Si</v>
      </c>
      <c r="N924" s="7" t="str">
        <f>IFERROR(__xludf.DUMMYFUNCTION("""COMPUTED_VALUE"""),"Gimnasio")</f>
        <v>Gimnasio</v>
      </c>
      <c r="O924" s="7" t="str">
        <f>IFERROR(__xludf.DUMMYFUNCTION("""COMPUTED_VALUE"""),"3 a 5 veces por semana")</f>
        <v>3 a 5 veces por semana</v>
      </c>
      <c r="P924" s="7"/>
      <c r="Q924" s="7" t="str">
        <f>IFERROR(__xludf.DUMMYFUNCTION("""COMPUTED_VALUE"""),"SANCOR")</f>
        <v>SANCOR</v>
      </c>
      <c r="R924" s="7"/>
      <c r="S924" s="7"/>
    </row>
    <row r="925">
      <c r="A925" s="7" t="str">
        <f t="shared" si="1"/>
        <v>Granada, Roberta</v>
      </c>
      <c r="B925" s="7">
        <f>SUMIFS('bd caja'!$K$1:$K$1012,'bd caja'!$D$1:$D$1012,A925)</f>
        <v>0</v>
      </c>
      <c r="C925" s="19">
        <f>IFERROR(__xludf.DUMMYFUNCTION("""COMPUTED_VALUE"""),45742.89236075232)</f>
        <v>45742.89236</v>
      </c>
      <c r="D925" s="7" t="str">
        <f>IFERROR(__xludf.DUMMYFUNCTION("""COMPUTED_VALUE"""),"Granada")</f>
        <v>Granada</v>
      </c>
      <c r="E925" s="7" t="str">
        <f>IFERROR(__xludf.DUMMYFUNCTION("""COMPUTED_VALUE"""),"Roberta")</f>
        <v>Roberta</v>
      </c>
      <c r="F925" s="7" t="str">
        <f>IFERROR(__xludf.DUMMYFUNCTION("""COMPUTED_VALUE"""),"yaninamonier@gmail.com")</f>
        <v>yaninamonier@gmail.com</v>
      </c>
      <c r="G925" s="20">
        <f>IFERROR(__xludf.DUMMYFUNCTION("""COMPUTED_VALUE"""),16190.0)</f>
        <v>16190</v>
      </c>
      <c r="H925" s="7">
        <f>IFERROR(__xludf.DUMMYFUNCTION("""COMPUTED_VALUE"""),4500089.0)</f>
        <v>4500089</v>
      </c>
      <c r="I925" s="7">
        <f>IFERROR(__xludf.DUMMYFUNCTION("""COMPUTED_VALUE"""),3.515476871E9)</f>
        <v>3515476871</v>
      </c>
      <c r="J925" s="7" t="str">
        <f>IFERROR(__xludf.DUMMYFUNCTION("""COMPUTED_VALUE"""),"Google")</f>
        <v>Google</v>
      </c>
      <c r="K925" s="7" t="str">
        <f>IFERROR(__xludf.DUMMYFUNCTION("""COMPUTED_VALUE"""),"Obra social")</f>
        <v>Obra social</v>
      </c>
      <c r="L925" s="7"/>
      <c r="M925" s="7" t="str">
        <f>IFERROR(__xludf.DUMMYFUNCTION("""COMPUTED_VALUE"""),"No")</f>
        <v>No</v>
      </c>
      <c r="N925" s="7"/>
      <c r="O925" s="7"/>
      <c r="P925" s="7"/>
      <c r="Q925" s="7" t="str">
        <f>IFERROR(__xludf.DUMMYFUNCTION("""COMPUTED_VALUE"""),"APROSS")</f>
        <v>APROSS</v>
      </c>
      <c r="R925" s="7"/>
      <c r="S925" s="7"/>
    </row>
    <row r="926">
      <c r="A926" s="7" t="str">
        <f t="shared" si="1"/>
        <v>GONZALES, Francisco </v>
      </c>
      <c r="B926" s="7">
        <f>SUMIFS('bd caja'!$K$1:$K$1012,'bd caja'!$D$1:$D$1012,A926)</f>
        <v>0</v>
      </c>
      <c r="C926" s="19">
        <f>IFERROR(__xludf.DUMMYFUNCTION("""COMPUTED_VALUE"""),45743.64768903935)</f>
        <v>45743.64769</v>
      </c>
      <c r="D926" s="7" t="str">
        <f>IFERROR(__xludf.DUMMYFUNCTION("""COMPUTED_VALUE"""),"GONZALES")</f>
        <v>GONZALES</v>
      </c>
      <c r="E926" s="7" t="str">
        <f>IFERROR(__xludf.DUMMYFUNCTION("""COMPUTED_VALUE"""),"Francisco ")</f>
        <v>Francisco </v>
      </c>
      <c r="F926" s="7" t="str">
        <f>IFERROR(__xludf.DUMMYFUNCTION("""COMPUTED_VALUE"""),"fotocabinascrash@gmail.com")</f>
        <v>fotocabinascrash@gmail.com</v>
      </c>
      <c r="G926" s="20">
        <f>IFERROR(__xludf.DUMMYFUNCTION("""COMPUTED_VALUE"""),33543.0)</f>
        <v>33543</v>
      </c>
      <c r="H926" s="7">
        <f>IFERROR(__xludf.DUMMYFUNCTION("""COMPUTED_VALUE"""),3.6141852E7)</f>
        <v>36141852</v>
      </c>
      <c r="I926" s="7">
        <f>IFERROR(__xludf.DUMMYFUNCTION("""COMPUTED_VALUE"""),3.513698015E9)</f>
        <v>3513698015</v>
      </c>
      <c r="J926" s="7" t="str">
        <f>IFERROR(__xludf.DUMMYFUNCTION("""COMPUTED_VALUE"""),"Google")</f>
        <v>Google</v>
      </c>
      <c r="K926" s="7" t="str">
        <f>IFERROR(__xludf.DUMMYFUNCTION("""COMPUTED_VALUE"""),"Obra social")</f>
        <v>Obra social</v>
      </c>
      <c r="L926" s="7"/>
      <c r="M926" s="7" t="str">
        <f>IFERROR(__xludf.DUMMYFUNCTION("""COMPUTED_VALUE"""),"Si")</f>
        <v>Si</v>
      </c>
      <c r="N926" s="7" t="str">
        <f>IFERROR(__xludf.DUMMYFUNCTION("""COMPUTED_VALUE"""),"Gimnasio")</f>
        <v>Gimnasio</v>
      </c>
      <c r="O926" s="7" t="str">
        <f>IFERROR(__xludf.DUMMYFUNCTION("""COMPUTED_VALUE"""),"3 a 5 veces por semana")</f>
        <v>3 a 5 veces por semana</v>
      </c>
      <c r="P926" s="7"/>
      <c r="Q926" s="7" t="str">
        <f>IFERROR(__xludf.DUMMYFUNCTION("""COMPUTED_VALUE"""),"DASPU")</f>
        <v>DASPU</v>
      </c>
      <c r="R926" s="7"/>
      <c r="S926" s="7"/>
    </row>
    <row r="927">
      <c r="A927" s="7" t="str">
        <f t="shared" si="1"/>
        <v>Gonzalez, Margarita Irene</v>
      </c>
      <c r="B927" s="7">
        <f>SUMIFS('bd caja'!$K$1:$K$1012,'bd caja'!$D$1:$D$1012,A927)</f>
        <v>0</v>
      </c>
      <c r="C927" s="19">
        <f>IFERROR(__xludf.DUMMYFUNCTION("""COMPUTED_VALUE"""),45743.65180695602)</f>
        <v>45743.65181</v>
      </c>
      <c r="D927" s="7" t="str">
        <f>IFERROR(__xludf.DUMMYFUNCTION("""COMPUTED_VALUE"""),"Gonzalez")</f>
        <v>Gonzalez</v>
      </c>
      <c r="E927" s="7" t="str">
        <f>IFERROR(__xludf.DUMMYFUNCTION("""COMPUTED_VALUE"""),"Margarita Irene")</f>
        <v>Margarita Irene</v>
      </c>
      <c r="F927" s="7"/>
      <c r="G927" s="20">
        <f>IFERROR(__xludf.DUMMYFUNCTION("""COMPUTED_VALUE"""),21933.0)</f>
        <v>21933</v>
      </c>
      <c r="H927" s="7">
        <f>IFERROR(__xludf.DUMMYFUNCTION("""COMPUTED_VALUE"""),1.3961377E7)</f>
        <v>13961377</v>
      </c>
      <c r="I927" s="7">
        <f>IFERROR(__xludf.DUMMYFUNCTION("""COMPUTED_VALUE"""),3.513792843E9)</f>
        <v>3513792843</v>
      </c>
      <c r="J927" s="7" t="str">
        <f>IFERROR(__xludf.DUMMYFUNCTION("""COMPUTED_VALUE"""),"Google")</f>
        <v>Google</v>
      </c>
      <c r="K927" s="7" t="str">
        <f>IFERROR(__xludf.DUMMYFUNCTION("""COMPUTED_VALUE"""),"Obra social")</f>
        <v>Obra social</v>
      </c>
      <c r="L927" s="7"/>
      <c r="M927" s="7" t="str">
        <f>IFERROR(__xludf.DUMMYFUNCTION("""COMPUTED_VALUE"""),"No")</f>
        <v>No</v>
      </c>
      <c r="N927" s="7"/>
      <c r="O927" s="7"/>
      <c r="P927" s="7"/>
      <c r="Q927" s="7" t="str">
        <f>IFERROR(__xludf.DUMMYFUNCTION("""COMPUTED_VALUE"""),"APROSS")</f>
        <v>APROSS</v>
      </c>
      <c r="R927" s="7"/>
      <c r="S927" s="7"/>
    </row>
    <row r="928">
      <c r="A928" s="7" t="str">
        <f t="shared" si="1"/>
        <v>GONZALES, Margarita Irene</v>
      </c>
      <c r="B928" s="7">
        <f>SUMIFS('bd caja'!$K$1:$K$1012,'bd caja'!$D$1:$D$1012,A928)</f>
        <v>0</v>
      </c>
      <c r="C928" s="19">
        <f>IFERROR(__xludf.DUMMYFUNCTION("""COMPUTED_VALUE"""),45744.488644930556)</f>
        <v>45744.48864</v>
      </c>
      <c r="D928" s="7" t="str">
        <f>IFERROR(__xludf.DUMMYFUNCTION("""COMPUTED_VALUE"""),"GONZALES")</f>
        <v>GONZALES</v>
      </c>
      <c r="E928" s="7" t="str">
        <f>IFERROR(__xludf.DUMMYFUNCTION("""COMPUTED_VALUE"""),"Margarita Irene")</f>
        <v>Margarita Irene</v>
      </c>
      <c r="F928" s="7" t="str">
        <f>IFERROR(__xludf.DUMMYFUNCTION("""COMPUTED_VALUE"""),"maru-irene10@hotmail.com")</f>
        <v>maru-irene10@hotmail.com</v>
      </c>
      <c r="G928" s="20">
        <f>IFERROR(__xludf.DUMMYFUNCTION("""COMPUTED_VALUE"""),21933.0)</f>
        <v>21933</v>
      </c>
      <c r="H928" s="7">
        <f>IFERROR(__xludf.DUMMYFUNCTION("""COMPUTED_VALUE"""),1.3961377E7)</f>
        <v>13961377</v>
      </c>
      <c r="I928" s="7">
        <f>IFERROR(__xludf.DUMMYFUNCTION("""COMPUTED_VALUE"""),3.513792843E9)</f>
        <v>3513792843</v>
      </c>
      <c r="J928" s="7" t="str">
        <f>IFERROR(__xludf.DUMMYFUNCTION("""COMPUTED_VALUE"""),"Recomendación")</f>
        <v>Recomendación</v>
      </c>
      <c r="K928" s="7" t="str">
        <f>IFERROR(__xludf.DUMMYFUNCTION("""COMPUTED_VALUE"""),"Obra social")</f>
        <v>Obra social</v>
      </c>
      <c r="L928" s="7"/>
      <c r="M928" s="7" t="str">
        <f>IFERROR(__xludf.DUMMYFUNCTION("""COMPUTED_VALUE"""),"No")</f>
        <v>No</v>
      </c>
      <c r="N928" s="7"/>
      <c r="O928" s="7"/>
      <c r="P928" s="7"/>
      <c r="Q928" s="7" t="str">
        <f>IFERROR(__xludf.DUMMYFUNCTION("""COMPUTED_VALUE"""),"APROSS")</f>
        <v>APROSS</v>
      </c>
      <c r="R928" s="7"/>
      <c r="S928" s="7"/>
    </row>
    <row r="929">
      <c r="A929" s="7" t="str">
        <f t="shared" si="1"/>
        <v>Horovitz , Benjamin</v>
      </c>
      <c r="B929" s="7">
        <f>SUMIFS('bd caja'!$K$1:$K$1012,'bd caja'!$D$1:$D$1012,A929)</f>
        <v>0</v>
      </c>
      <c r="C929" s="19">
        <f>IFERROR(__xludf.DUMMYFUNCTION("""COMPUTED_VALUE"""),45744.7392558912)</f>
        <v>45744.73926</v>
      </c>
      <c r="D929" s="7" t="str">
        <f>IFERROR(__xludf.DUMMYFUNCTION("""COMPUTED_VALUE"""),"Horovitz ")</f>
        <v>Horovitz </v>
      </c>
      <c r="E929" s="7" t="str">
        <f>IFERROR(__xludf.DUMMYFUNCTION("""COMPUTED_VALUE"""),"Benjamin")</f>
        <v>Benjamin</v>
      </c>
      <c r="F929" s="7" t="str">
        <f>IFERROR(__xludf.DUMMYFUNCTION("""COMPUTED_VALUE"""),"benjahorovitz2@gmail.com")</f>
        <v>benjahorovitz2@gmail.com</v>
      </c>
      <c r="G929" s="20">
        <f>IFERROR(__xludf.DUMMYFUNCTION("""COMPUTED_VALUE"""),37713.0)</f>
        <v>37713</v>
      </c>
      <c r="H929" s="7">
        <f>IFERROR(__xludf.DUMMYFUNCTION("""COMPUTED_VALUE"""),4.4739634E7)</f>
        <v>44739634</v>
      </c>
      <c r="I929" s="7">
        <f>IFERROR(__xludf.DUMMYFUNCTION("""COMPUTED_VALUE"""),3.51759408E9)</f>
        <v>3517594080</v>
      </c>
      <c r="J929" s="7" t="str">
        <f>IFERROR(__xludf.DUMMYFUNCTION("""COMPUTED_VALUE"""),"Recomendación")</f>
        <v>Recomendación</v>
      </c>
      <c r="K929" s="7" t="str">
        <f>IFERROR(__xludf.DUMMYFUNCTION("""COMPUTED_VALUE"""),"Particular")</f>
        <v>Particular</v>
      </c>
      <c r="L929" s="7"/>
      <c r="M929" s="7" t="str">
        <f>IFERROR(__xludf.DUMMYFUNCTION("""COMPUTED_VALUE"""),"Si")</f>
        <v>Si</v>
      </c>
      <c r="N929" s="7" t="str">
        <f>IFERROR(__xludf.DUMMYFUNCTION("""COMPUTED_VALUE"""),"Básquet")</f>
        <v>Básquet</v>
      </c>
      <c r="O929" s="7" t="str">
        <f>IFERROR(__xludf.DUMMYFUNCTION("""COMPUTED_VALUE"""),"3 a 5 veces por semana")</f>
        <v>3 a 5 veces por semana</v>
      </c>
      <c r="P929" s="7"/>
      <c r="Q929" s="7"/>
      <c r="R929" s="7"/>
      <c r="S929" s="7"/>
    </row>
    <row r="930">
      <c r="A930" s="7" t="str">
        <f t="shared" si="1"/>
        <v>Oliva Ceballos , Giselle Elizabet </v>
      </c>
      <c r="B930" s="7">
        <f>SUMIFS('bd caja'!$K$1:$K$1012,'bd caja'!$D$1:$D$1012,A930)</f>
        <v>0</v>
      </c>
      <c r="C930" s="19">
        <f>IFERROR(__xludf.DUMMYFUNCTION("""COMPUTED_VALUE"""),45747.4006920949)</f>
        <v>45747.40069</v>
      </c>
      <c r="D930" s="7" t="str">
        <f>IFERROR(__xludf.DUMMYFUNCTION("""COMPUTED_VALUE"""),"Oliva Ceballos ")</f>
        <v>Oliva Ceballos </v>
      </c>
      <c r="E930" s="7" t="str">
        <f>IFERROR(__xludf.DUMMYFUNCTION("""COMPUTED_VALUE"""),"Giselle Elizabet ")</f>
        <v>Giselle Elizabet </v>
      </c>
      <c r="F930" s="7" t="str">
        <f>IFERROR(__xludf.DUMMYFUNCTION("""COMPUTED_VALUE"""),"tiiti.ac@gmail.com")</f>
        <v>tiiti.ac@gmail.com</v>
      </c>
      <c r="G930" s="20">
        <f>IFERROR(__xludf.DUMMYFUNCTION("""COMPUTED_VALUE"""),34670.0)</f>
        <v>34670</v>
      </c>
      <c r="H930" s="7">
        <f>IFERROR(__xludf.DUMMYFUNCTION("""COMPUTED_VALUE"""),3.8349628E7)</f>
        <v>38349628</v>
      </c>
      <c r="I930" s="7">
        <f>IFERROR(__xludf.DUMMYFUNCTION("""COMPUTED_VALUE"""),3.512383506E9)</f>
        <v>3512383506</v>
      </c>
      <c r="J930" s="7" t="str">
        <f>IFERROR(__xludf.DUMMYFUNCTION("""COMPUTED_VALUE"""),"Google")</f>
        <v>Google</v>
      </c>
      <c r="K930" s="7" t="str">
        <f>IFERROR(__xludf.DUMMYFUNCTION("""COMPUTED_VALUE"""),"Particular")</f>
        <v>Particular</v>
      </c>
      <c r="L930" s="7"/>
      <c r="M930" s="7" t="str">
        <f>IFERROR(__xludf.DUMMYFUNCTION("""COMPUTED_VALUE"""),"Si")</f>
        <v>Si</v>
      </c>
      <c r="N930" s="7" t="str">
        <f>IFERROR(__xludf.DUMMYFUNCTION("""COMPUTED_VALUE"""),"Acroyoga")</f>
        <v>Acroyoga</v>
      </c>
      <c r="O930" s="7" t="str">
        <f>IFERROR(__xludf.DUMMYFUNCTION("""COMPUTED_VALUE"""),"1 a 2 veces por semana")</f>
        <v>1 a 2 veces por semana</v>
      </c>
      <c r="P930" s="7"/>
      <c r="Q930" s="7"/>
      <c r="R930" s="7"/>
      <c r="S930" s="7"/>
    </row>
    <row r="931">
      <c r="A931" s="7" t="str">
        <f t="shared" si="1"/>
        <v>Yorio, Carolina</v>
      </c>
      <c r="B931" s="7">
        <f>SUMIFS('bd caja'!$K$1:$K$1012,'bd caja'!$D$1:$D$1012,A931)</f>
        <v>0</v>
      </c>
      <c r="C931" s="19">
        <f>IFERROR(__xludf.DUMMYFUNCTION("""COMPUTED_VALUE"""),45747.43003791667)</f>
        <v>45747.43004</v>
      </c>
      <c r="D931" s="7" t="str">
        <f>IFERROR(__xludf.DUMMYFUNCTION("""COMPUTED_VALUE"""),"Yorio")</f>
        <v>Yorio</v>
      </c>
      <c r="E931" s="7" t="str">
        <f>IFERROR(__xludf.DUMMYFUNCTION("""COMPUTED_VALUE"""),"Carolina")</f>
        <v>Carolina</v>
      </c>
      <c r="F931" s="7" t="str">
        <f>IFERROR(__xludf.DUMMYFUNCTION("""COMPUTED_VALUE"""),"caroyorio92@gmail.com")</f>
        <v>caroyorio92@gmail.com</v>
      </c>
      <c r="G931" s="20">
        <f>IFERROR(__xludf.DUMMYFUNCTION("""COMPUTED_VALUE"""),33892.0)</f>
        <v>33892</v>
      </c>
      <c r="H931" s="7">
        <f>IFERROR(__xludf.DUMMYFUNCTION("""COMPUTED_VALUE"""),3.6428952E7)</f>
        <v>36428952</v>
      </c>
      <c r="I931" s="7">
        <f>IFERROR(__xludf.DUMMYFUNCTION("""COMPUTED_VALUE"""),3.515932712E9)</f>
        <v>3515932712</v>
      </c>
      <c r="J931" s="7" t="str">
        <f>IFERROR(__xludf.DUMMYFUNCTION("""COMPUTED_VALUE"""),"Recomendación")</f>
        <v>Recomendación</v>
      </c>
      <c r="K931" s="7" t="str">
        <f>IFERROR(__xludf.DUMMYFUNCTION("""COMPUTED_VALUE"""),"Obra social")</f>
        <v>Obra social</v>
      </c>
      <c r="L931" s="7"/>
      <c r="M931" s="7" t="str">
        <f>IFERROR(__xludf.DUMMYFUNCTION("""COMPUTED_VALUE"""),"Si")</f>
        <v>Si</v>
      </c>
      <c r="N931" s="7" t="str">
        <f>IFERROR(__xludf.DUMMYFUNCTION("""COMPUTED_VALUE"""),"Gimnasio")</f>
        <v>Gimnasio</v>
      </c>
      <c r="O931" s="7" t="str">
        <f>IFERROR(__xludf.DUMMYFUNCTION("""COMPUTED_VALUE"""),"1 a 2 veces por semana")</f>
        <v>1 a 2 veces por semana</v>
      </c>
      <c r="P931" s="7"/>
      <c r="Q931" s="7" t="str">
        <f>IFERROR(__xludf.DUMMYFUNCTION("""COMPUTED_VALUE"""),"medife")</f>
        <v>medife</v>
      </c>
      <c r="R931" s="7"/>
      <c r="S931" s="7"/>
    </row>
    <row r="932">
      <c r="A932" s="7" t="str">
        <f t="shared" si="1"/>
        <v>Coraglio, Georgina</v>
      </c>
      <c r="B932" s="7">
        <f>SUMIFS('bd caja'!$K$1:$K$1012,'bd caja'!$D$1:$D$1012,A932)</f>
        <v>0</v>
      </c>
      <c r="C932" s="19">
        <f>IFERROR(__xludf.DUMMYFUNCTION("""COMPUTED_VALUE"""),45751.37683952546)</f>
        <v>45751.37684</v>
      </c>
      <c r="D932" s="7" t="str">
        <f>IFERROR(__xludf.DUMMYFUNCTION("""COMPUTED_VALUE"""),"Coraglio")</f>
        <v>Coraglio</v>
      </c>
      <c r="E932" s="7" t="str">
        <f>IFERROR(__xludf.DUMMYFUNCTION("""COMPUTED_VALUE"""),"Georgina")</f>
        <v>Georgina</v>
      </c>
      <c r="F932" s="7" t="str">
        <f>IFERROR(__xludf.DUMMYFUNCTION("""COMPUTED_VALUE"""),"geocoraglio@gmail.com")</f>
        <v>geocoraglio@gmail.com</v>
      </c>
      <c r="G932" s="20">
        <f>IFERROR(__xludf.DUMMYFUNCTION("""COMPUTED_VALUE"""),27897.0)</f>
        <v>27897</v>
      </c>
      <c r="H932" s="7">
        <f>IFERROR(__xludf.DUMMYFUNCTION("""COMPUTED_VALUE"""),2.5038955E7)</f>
        <v>25038955</v>
      </c>
      <c r="I932" s="7">
        <f>IFERROR(__xludf.DUMMYFUNCTION("""COMPUTED_VALUE"""),3.51510233E9)</f>
        <v>3515102330</v>
      </c>
      <c r="J932" s="7" t="str">
        <f>IFERROR(__xludf.DUMMYFUNCTION("""COMPUTED_VALUE"""),"Voy al gym Manantial")</f>
        <v>Voy al gym Manantial</v>
      </c>
      <c r="K932" s="7" t="str">
        <f>IFERROR(__xludf.DUMMYFUNCTION("""COMPUTED_VALUE"""),"Obra social")</f>
        <v>Obra social</v>
      </c>
      <c r="L932" s="7"/>
      <c r="M932" s="7" t="str">
        <f>IFERROR(__xludf.DUMMYFUNCTION("""COMPUTED_VALUE"""),"Si")</f>
        <v>Si</v>
      </c>
      <c r="N932" s="7" t="str">
        <f>IFERROR(__xludf.DUMMYFUNCTION("""COMPUTED_VALUE"""),"a veces running y bici")</f>
        <v>a veces running y bici</v>
      </c>
      <c r="O932" s="7" t="str">
        <f>IFERROR(__xludf.DUMMYFUNCTION("""COMPUTED_VALUE"""),"3 a 5 veces por semana")</f>
        <v>3 a 5 veces por semana</v>
      </c>
      <c r="P932" s="7"/>
      <c r="Q932" s="7" t="str">
        <f>IFERROR(__xludf.DUMMYFUNCTION("""COMPUTED_VALUE"""),"DASPU")</f>
        <v>DASPU</v>
      </c>
      <c r="R932" s="7"/>
      <c r="S932" s="7"/>
    </row>
    <row r="933">
      <c r="A933" s="7" t="str">
        <f t="shared" si="1"/>
        <v>Acosta, Marcos</v>
      </c>
      <c r="B933" s="7">
        <f>SUMIFS('bd caja'!$K$1:$K$1012,'bd caja'!$D$1:$D$1012,A933)</f>
        <v>0</v>
      </c>
      <c r="C933" s="19">
        <f>IFERROR(__xludf.DUMMYFUNCTION("""COMPUTED_VALUE"""),45751.649273125004)</f>
        <v>45751.64927</v>
      </c>
      <c r="D933" s="7" t="str">
        <f>IFERROR(__xludf.DUMMYFUNCTION("""COMPUTED_VALUE"""),"Acosta")</f>
        <v>Acosta</v>
      </c>
      <c r="E933" s="7" t="str">
        <f>IFERROR(__xludf.DUMMYFUNCTION("""COMPUTED_VALUE"""),"Marcos")</f>
        <v>Marcos</v>
      </c>
      <c r="F933" s="7" t="str">
        <f>IFERROR(__xludf.DUMMYFUNCTION("""COMPUTED_VALUE"""),"marcacho_07@hotmail.com")</f>
        <v>marcacho_07@hotmail.com</v>
      </c>
      <c r="G933" s="20">
        <f>IFERROR(__xludf.DUMMYFUNCTION("""COMPUTED_VALUE"""),33339.0)</f>
        <v>33339</v>
      </c>
      <c r="H933" s="7">
        <f>IFERROR(__xludf.DUMMYFUNCTION("""COMPUTED_VALUE"""),3.5580116E7)</f>
        <v>35580116</v>
      </c>
      <c r="I933" s="7">
        <f>IFERROR(__xludf.DUMMYFUNCTION("""COMPUTED_VALUE"""),3.512194215E9)</f>
        <v>3512194215</v>
      </c>
      <c r="J933" s="7" t="str">
        <f>IFERROR(__xludf.DUMMYFUNCTION("""COMPUTED_VALUE"""),"Recomendación")</f>
        <v>Recomendación</v>
      </c>
      <c r="K933" s="7" t="str">
        <f>IFERROR(__xludf.DUMMYFUNCTION("""COMPUTED_VALUE"""),"Obra social")</f>
        <v>Obra social</v>
      </c>
      <c r="L933" s="7"/>
      <c r="M933" s="7" t="str">
        <f>IFERROR(__xludf.DUMMYFUNCTION("""COMPUTED_VALUE"""),"Si")</f>
        <v>Si</v>
      </c>
      <c r="N933" s="7" t="str">
        <f>IFERROR(__xludf.DUMMYFUNCTION("""COMPUTED_VALUE"""),"Gimnasio")</f>
        <v>Gimnasio</v>
      </c>
      <c r="O933" s="7" t="str">
        <f>IFERROR(__xludf.DUMMYFUNCTION("""COMPUTED_VALUE"""),"1 a 2 veces por semana")</f>
        <v>1 a 2 veces por semana</v>
      </c>
      <c r="P933" s="7"/>
      <c r="Q933" s="7" t="str">
        <f>IFERROR(__xludf.DUMMYFUNCTION("""COMPUTED_VALUE"""),"PREVENCIÓN")</f>
        <v>PREVENCIÓN</v>
      </c>
      <c r="R933" s="7"/>
      <c r="S933" s="7"/>
    </row>
    <row r="934">
      <c r="A934" s="7" t="str">
        <f t="shared" si="1"/>
        <v>Notararigo , Patricia </v>
      </c>
      <c r="B934" s="7">
        <f>SUMIFS('bd caja'!$K$1:$K$1012,'bd caja'!$D$1:$D$1012,A934)</f>
        <v>0</v>
      </c>
      <c r="C934" s="19">
        <f>IFERROR(__xludf.DUMMYFUNCTION("""COMPUTED_VALUE"""),45751.71008171296)</f>
        <v>45751.71008</v>
      </c>
      <c r="D934" s="7" t="str">
        <f>IFERROR(__xludf.DUMMYFUNCTION("""COMPUTED_VALUE"""),"Notararigo ")</f>
        <v>Notararigo </v>
      </c>
      <c r="E934" s="7" t="str">
        <f>IFERROR(__xludf.DUMMYFUNCTION("""COMPUTED_VALUE"""),"Patricia ")</f>
        <v>Patricia </v>
      </c>
      <c r="F934" s="7"/>
      <c r="G934" s="20">
        <f>IFERROR(__xludf.DUMMYFUNCTION("""COMPUTED_VALUE"""),23798.0)</f>
        <v>23798</v>
      </c>
      <c r="H934" s="7">
        <f>IFERROR(__xludf.DUMMYFUNCTION("""COMPUTED_VALUE"""),1.715892E7)</f>
        <v>17158920</v>
      </c>
      <c r="I934" s="7">
        <f>IFERROR(__xludf.DUMMYFUNCTION("""COMPUTED_VALUE"""),3.513300817E9)</f>
        <v>3513300817</v>
      </c>
      <c r="J934" s="7" t="str">
        <f>IFERROR(__xludf.DUMMYFUNCTION("""COMPUTED_VALUE"""),"Recomendación")</f>
        <v>Recomendación</v>
      </c>
      <c r="K934" s="7" t="str">
        <f>IFERROR(__xludf.DUMMYFUNCTION("""COMPUTED_VALUE"""),"Obra social")</f>
        <v>Obra social</v>
      </c>
      <c r="L934" s="7"/>
      <c r="M934" s="7" t="str">
        <f>IFERROR(__xludf.DUMMYFUNCTION("""COMPUTED_VALUE"""),"No")</f>
        <v>No</v>
      </c>
      <c r="N934" s="7"/>
      <c r="O934" s="7"/>
      <c r="P934" s="7"/>
      <c r="Q934" s="7" t="str">
        <f>IFERROR(__xludf.DUMMYFUNCTION("""COMPUTED_VALUE"""),"APROSS")</f>
        <v>APROSS</v>
      </c>
      <c r="R934" s="7"/>
      <c r="S934" s="7"/>
    </row>
    <row r="935">
      <c r="A935" s="7" t="str">
        <f t="shared" si="1"/>
        <v>Carreño, Nicolas </v>
      </c>
      <c r="B935" s="7">
        <f>SUMIFS('bd caja'!$K$1:$K$1012,'bd caja'!$D$1:$D$1012,A935)</f>
        <v>0</v>
      </c>
      <c r="C935" s="19">
        <f>IFERROR(__xludf.DUMMYFUNCTION("""COMPUTED_VALUE"""),45751.77140586806)</f>
        <v>45751.77141</v>
      </c>
      <c r="D935" s="7" t="str">
        <f>IFERROR(__xludf.DUMMYFUNCTION("""COMPUTED_VALUE"""),"Carreño")</f>
        <v>Carreño</v>
      </c>
      <c r="E935" s="7" t="str">
        <f>IFERROR(__xludf.DUMMYFUNCTION("""COMPUTED_VALUE"""),"Nicolas ")</f>
        <v>Nicolas </v>
      </c>
      <c r="F935" s="7" t="str">
        <f>IFERROR(__xludf.DUMMYFUNCTION("""COMPUTED_VALUE"""),"nico911@live.com.ar")</f>
        <v>nico911@live.com.ar</v>
      </c>
      <c r="G935" s="20">
        <f>IFERROR(__xludf.DUMMYFUNCTION("""COMPUTED_VALUE"""),30264.0)</f>
        <v>30264</v>
      </c>
      <c r="H935" s="7">
        <f>IFERROR(__xludf.DUMMYFUNCTION("""COMPUTED_VALUE"""),2.9715277E7)</f>
        <v>29715277</v>
      </c>
      <c r="I935" s="7">
        <f>IFERROR(__xludf.DUMMYFUNCTION("""COMPUTED_VALUE"""),3.51215531E9)</f>
        <v>3512155310</v>
      </c>
      <c r="J935" s="7" t="str">
        <f>IFERROR(__xludf.DUMMYFUNCTION("""COMPUTED_VALUE"""),"Google")</f>
        <v>Google</v>
      </c>
      <c r="K935" s="7" t="str">
        <f>IFERROR(__xludf.DUMMYFUNCTION("""COMPUTED_VALUE"""),"Obra social")</f>
        <v>Obra social</v>
      </c>
      <c r="L935" s="7"/>
      <c r="M935" s="7" t="str">
        <f>IFERROR(__xludf.DUMMYFUNCTION("""COMPUTED_VALUE"""),"No")</f>
        <v>No</v>
      </c>
      <c r="N935" s="7"/>
      <c r="O935" s="7"/>
      <c r="P935" s="7"/>
      <c r="Q935" s="7" t="str">
        <f>IFERROR(__xludf.DUMMYFUNCTION("""COMPUTED_VALUE"""),"APROSS")</f>
        <v>APROSS</v>
      </c>
      <c r="R935" s="7"/>
      <c r="S935" s="7"/>
    </row>
    <row r="936">
      <c r="A936" s="7" t="str">
        <f t="shared" si="1"/>
        <v>Viale, Agustina</v>
      </c>
      <c r="B936" s="7">
        <f>SUMIFS('bd caja'!$K$1:$K$1012,'bd caja'!$D$1:$D$1012,A936)</f>
        <v>0</v>
      </c>
      <c r="C936" s="19">
        <f>IFERROR(__xludf.DUMMYFUNCTION("""COMPUTED_VALUE"""),45751.805666631946)</f>
        <v>45751.80567</v>
      </c>
      <c r="D936" s="7" t="str">
        <f>IFERROR(__xludf.DUMMYFUNCTION("""COMPUTED_VALUE"""),"Viale")</f>
        <v>Viale</v>
      </c>
      <c r="E936" s="7" t="str">
        <f>IFERROR(__xludf.DUMMYFUNCTION("""COMPUTED_VALUE"""),"Agustina")</f>
        <v>Agustina</v>
      </c>
      <c r="F936" s="7"/>
      <c r="G936" s="20">
        <f>IFERROR(__xludf.DUMMYFUNCTION("""COMPUTED_VALUE"""),30890.0)</f>
        <v>30890</v>
      </c>
      <c r="H936" s="7">
        <f>IFERROR(__xludf.DUMMYFUNCTION("""COMPUTED_VALUE"""),3.10536E7)</f>
        <v>31053600</v>
      </c>
      <c r="I936" s="7">
        <f>IFERROR(__xludf.DUMMYFUNCTION("""COMPUTED_VALUE"""),3.513853405E9)</f>
        <v>3513853405</v>
      </c>
      <c r="J936" s="7" t="str">
        <f>IFERROR(__xludf.DUMMYFUNCTION("""COMPUTED_VALUE"""),"Recomendación")</f>
        <v>Recomendación</v>
      </c>
      <c r="K936" s="7" t="str">
        <f>IFERROR(__xludf.DUMMYFUNCTION("""COMPUTED_VALUE"""),"Obra social")</f>
        <v>Obra social</v>
      </c>
      <c r="L936" s="7"/>
      <c r="M936" s="7" t="str">
        <f>IFERROR(__xludf.DUMMYFUNCTION("""COMPUTED_VALUE"""),"No")</f>
        <v>No</v>
      </c>
      <c r="N936" s="7"/>
      <c r="O936" s="7"/>
      <c r="P936" s="7"/>
      <c r="Q936" s="7" t="str">
        <f>IFERROR(__xludf.DUMMYFUNCTION("""COMPUTED_VALUE"""),"PREVENCIÓN")</f>
        <v>PREVENCIÓN</v>
      </c>
      <c r="R936" s="7"/>
      <c r="S936" s="7"/>
    </row>
    <row r="937">
      <c r="A937" s="7" t="str">
        <f t="shared" si="1"/>
        <v>MUÑOZ, EMERY OMAR</v>
      </c>
      <c r="B937" s="7">
        <f>SUMIFS('bd caja'!$K$1:$K$1012,'bd caja'!$D$1:$D$1012,A937)</f>
        <v>0</v>
      </c>
      <c r="C937" s="19">
        <f>IFERROR(__xludf.DUMMYFUNCTION("""COMPUTED_VALUE"""),45754.48509353009)</f>
        <v>45754.48509</v>
      </c>
      <c r="D937" s="7" t="str">
        <f>IFERROR(__xludf.DUMMYFUNCTION("""COMPUTED_VALUE"""),"MUÑOZ")</f>
        <v>MUÑOZ</v>
      </c>
      <c r="E937" s="7" t="str">
        <f>IFERROR(__xludf.DUMMYFUNCTION("""COMPUTED_VALUE"""),"EMERY OMAR")</f>
        <v>EMERY OMAR</v>
      </c>
      <c r="F937" s="7" t="str">
        <f>IFERROR(__xludf.DUMMYFUNCTION("""COMPUTED_VALUE"""),"emeryomunoz@gmail.com")</f>
        <v>emeryomunoz@gmail.com</v>
      </c>
      <c r="G937" s="20">
        <f>IFERROR(__xludf.DUMMYFUNCTION("""COMPUTED_VALUE"""),28950.0)</f>
        <v>28950</v>
      </c>
      <c r="H937" s="7">
        <f>IFERROR(__xludf.DUMMYFUNCTION("""COMPUTED_VALUE"""),2.7303587E7)</f>
        <v>27303587</v>
      </c>
      <c r="I937" s="7">
        <f>IFERROR(__xludf.DUMMYFUNCTION("""COMPUTED_VALUE"""),3.513493623E9)</f>
        <v>3513493623</v>
      </c>
      <c r="J937" s="7" t="str">
        <f>IFERROR(__xludf.DUMMYFUNCTION("""COMPUTED_VALUE"""),"Voy al gym Manantial")</f>
        <v>Voy al gym Manantial</v>
      </c>
      <c r="K937" s="7" t="str">
        <f>IFERROR(__xludf.DUMMYFUNCTION("""COMPUTED_VALUE"""),"Obra social")</f>
        <v>Obra social</v>
      </c>
      <c r="L937" s="7"/>
      <c r="M937" s="7" t="str">
        <f>IFERROR(__xludf.DUMMYFUNCTION("""COMPUTED_VALUE"""),"Si")</f>
        <v>Si</v>
      </c>
      <c r="N937" s="7" t="str">
        <f>IFERROR(__xludf.DUMMYFUNCTION("""COMPUTED_VALUE"""),"boxeo y gim")</f>
        <v>boxeo y gim</v>
      </c>
      <c r="O937" s="7" t="str">
        <f>IFERROR(__xludf.DUMMYFUNCTION("""COMPUTED_VALUE"""),"3 a 5 veces por semana")</f>
        <v>3 a 5 veces por semana</v>
      </c>
      <c r="P937" s="7"/>
      <c r="Q937" s="7" t="str">
        <f>IFERROR(__xludf.DUMMYFUNCTION("""COMPUTED_VALUE"""),"caja notarial")</f>
        <v>caja notarial</v>
      </c>
      <c r="R937" s="7"/>
      <c r="S937" s="7"/>
    </row>
    <row r="938">
      <c r="A938" s="7" t="str">
        <f t="shared" si="1"/>
        <v>Barrionuevo , Maximiliano </v>
      </c>
      <c r="B938" s="7">
        <f>SUMIFS('bd caja'!$K$1:$K$1012,'bd caja'!$D$1:$D$1012,A938)</f>
        <v>0</v>
      </c>
      <c r="C938" s="19">
        <f>IFERROR(__xludf.DUMMYFUNCTION("""COMPUTED_VALUE"""),45754.66104709491)</f>
        <v>45754.66105</v>
      </c>
      <c r="D938" s="7" t="str">
        <f>IFERROR(__xludf.DUMMYFUNCTION("""COMPUTED_VALUE"""),"Barrionuevo ")</f>
        <v>Barrionuevo </v>
      </c>
      <c r="E938" s="7" t="str">
        <f>IFERROR(__xludf.DUMMYFUNCTION("""COMPUTED_VALUE"""),"Maximiliano ")</f>
        <v>Maximiliano </v>
      </c>
      <c r="F938" s="7" t="str">
        <f>IFERROR(__xludf.DUMMYFUNCTION("""COMPUTED_VALUE"""),"maxeze232@gmail.com")</f>
        <v>maxeze232@gmail.com</v>
      </c>
      <c r="G938" s="20">
        <f>IFERROR(__xludf.DUMMYFUNCTION("""COMPUTED_VALUE"""),32512.0)</f>
        <v>32512</v>
      </c>
      <c r="H938" s="7">
        <f>IFERROR(__xludf.DUMMYFUNCTION("""COMPUTED_VALUE"""),3.4188496E7)</f>
        <v>34188496</v>
      </c>
      <c r="I938" s="7">
        <f>IFERROR(__xludf.DUMMYFUNCTION("""COMPUTED_VALUE"""),3.512895706E9)</f>
        <v>3512895706</v>
      </c>
      <c r="J938" s="7" t="str">
        <f>IFERROR(__xludf.DUMMYFUNCTION("""COMPUTED_VALUE"""),"Google")</f>
        <v>Google</v>
      </c>
      <c r="K938" s="7" t="str">
        <f>IFERROR(__xludf.DUMMYFUNCTION("""COMPUTED_VALUE"""),"Obra social")</f>
        <v>Obra social</v>
      </c>
      <c r="L938" s="7"/>
      <c r="M938" s="7" t="str">
        <f>IFERROR(__xludf.DUMMYFUNCTION("""COMPUTED_VALUE"""),"Si")</f>
        <v>Si</v>
      </c>
      <c r="N938" s="7" t="str">
        <f>IFERROR(__xludf.DUMMYFUNCTION("""COMPUTED_VALUE"""),"Running")</f>
        <v>Running</v>
      </c>
      <c r="O938" s="7" t="str">
        <f>IFERROR(__xludf.DUMMYFUNCTION("""COMPUTED_VALUE"""),"1 a 2 veces por semana")</f>
        <v>1 a 2 veces por semana</v>
      </c>
      <c r="P938" s="7"/>
      <c r="Q938" s="7" t="str">
        <f>IFERROR(__xludf.DUMMYFUNCTION("""COMPUTED_VALUE"""),"APROSS")</f>
        <v>APROSS</v>
      </c>
      <c r="R938" s="7"/>
      <c r="S938" s="7"/>
    </row>
    <row r="939">
      <c r="A939" s="7" t="str">
        <f t="shared" si="1"/>
        <v>Liotta, Oscar Alberto </v>
      </c>
      <c r="B939" s="7">
        <f>SUMIFS('bd caja'!$K$1:$K$1012,'bd caja'!$D$1:$D$1012,A939)</f>
        <v>0</v>
      </c>
      <c r="C939" s="19">
        <f>IFERROR(__xludf.DUMMYFUNCTION("""COMPUTED_VALUE"""),45754.886074016205)</f>
        <v>45754.88607</v>
      </c>
      <c r="D939" s="7" t="str">
        <f>IFERROR(__xludf.DUMMYFUNCTION("""COMPUTED_VALUE"""),"Liotta")</f>
        <v>Liotta</v>
      </c>
      <c r="E939" s="7" t="str">
        <f>IFERROR(__xludf.DUMMYFUNCTION("""COMPUTED_VALUE"""),"Oscar Alberto ")</f>
        <v>Oscar Alberto </v>
      </c>
      <c r="F939" s="7" t="str">
        <f>IFERROR(__xludf.DUMMYFUNCTION("""COMPUTED_VALUE"""),"oscarliotta@hotmail.com")</f>
        <v>oscarliotta@hotmail.com</v>
      </c>
      <c r="G939" s="20">
        <f>IFERROR(__xludf.DUMMYFUNCTION("""COMPUTED_VALUE"""),20175.0)</f>
        <v>20175</v>
      </c>
      <c r="H939" s="7">
        <f>IFERROR(__xludf.DUMMYFUNCTION("""COMPUTED_VALUE"""),1.1744055E7)</f>
        <v>11744055</v>
      </c>
      <c r="I939" s="7">
        <f>IFERROR(__xludf.DUMMYFUNCTION("""COMPUTED_VALUE"""),3.515168697E9)</f>
        <v>3515168697</v>
      </c>
      <c r="J939" s="7" t="str">
        <f>IFERROR(__xludf.DUMMYFUNCTION("""COMPUTED_VALUE"""),"Recomendación")</f>
        <v>Recomendación</v>
      </c>
      <c r="K939" s="7" t="str">
        <f>IFERROR(__xludf.DUMMYFUNCTION("""COMPUTED_VALUE"""),"Particular")</f>
        <v>Particular</v>
      </c>
      <c r="L939" s="7"/>
      <c r="M939" s="7" t="str">
        <f>IFERROR(__xludf.DUMMYFUNCTION("""COMPUTED_VALUE"""),"No")</f>
        <v>No</v>
      </c>
      <c r="N939" s="7"/>
      <c r="O939" s="7"/>
      <c r="P939" s="7"/>
      <c r="Q939" s="7"/>
      <c r="R939" s="7"/>
      <c r="S939" s="7"/>
    </row>
    <row r="940">
      <c r="A940" s="7" t="str">
        <f t="shared" si="1"/>
        <v>Castro Tomé , Ramón </v>
      </c>
      <c r="B940" s="7">
        <f>SUMIFS('bd caja'!$K$1:$K$1012,'bd caja'!$D$1:$D$1012,A940)</f>
        <v>0</v>
      </c>
      <c r="C940" s="19">
        <f>IFERROR(__xludf.DUMMYFUNCTION("""COMPUTED_VALUE"""),45755.458628900466)</f>
        <v>45755.45863</v>
      </c>
      <c r="D940" s="7" t="str">
        <f>IFERROR(__xludf.DUMMYFUNCTION("""COMPUTED_VALUE"""),"Castro Tomé ")</f>
        <v>Castro Tomé </v>
      </c>
      <c r="E940" s="7" t="str">
        <f>IFERROR(__xludf.DUMMYFUNCTION("""COMPUTED_VALUE"""),"Ramón ")</f>
        <v>Ramón </v>
      </c>
      <c r="F940" s="7" t="str">
        <f>IFERROR(__xludf.DUMMYFUNCTION("""COMPUTED_VALUE"""),"vraffin002@gmail.com")</f>
        <v>vraffin002@gmail.com</v>
      </c>
      <c r="G940" s="20">
        <f>IFERROR(__xludf.DUMMYFUNCTION("""COMPUTED_VALUE"""),11714.0)</f>
        <v>11714</v>
      </c>
      <c r="H940" s="7">
        <f>IFERROR(__xludf.DUMMYFUNCTION("""COMPUTED_VALUE"""),9.3938916E7)</f>
        <v>93938916</v>
      </c>
      <c r="I940" s="7">
        <f>IFERROR(__xludf.DUMMYFUNCTION("""COMPUTED_VALUE"""),3.515389887E9)</f>
        <v>3515389887</v>
      </c>
      <c r="J940" s="7" t="str">
        <f>IFERROR(__xludf.DUMMYFUNCTION("""COMPUTED_VALUE"""),"Recomendación")</f>
        <v>Recomendación</v>
      </c>
      <c r="K940" s="7" t="str">
        <f>IFERROR(__xludf.DUMMYFUNCTION("""COMPUTED_VALUE"""),"Particular")</f>
        <v>Particular</v>
      </c>
      <c r="L940" s="7"/>
      <c r="M940" s="7" t="str">
        <f>IFERROR(__xludf.DUMMYFUNCTION("""COMPUTED_VALUE"""),"No")</f>
        <v>No</v>
      </c>
      <c r="N940" s="7"/>
      <c r="O940" s="7"/>
      <c r="P940" s="7"/>
      <c r="Q940" s="7"/>
      <c r="R940" s="7"/>
      <c r="S940" s="7"/>
    </row>
    <row r="941">
      <c r="A941" s="7" t="str">
        <f t="shared" si="1"/>
        <v>Panero, Marite</v>
      </c>
      <c r="B941" s="7">
        <f>SUMIFS('bd caja'!$K$1:$K$1012,'bd caja'!$D$1:$D$1012,A941)</f>
        <v>0</v>
      </c>
      <c r="C941" s="19">
        <f>IFERROR(__xludf.DUMMYFUNCTION("""COMPUTED_VALUE"""),45755.491956365746)</f>
        <v>45755.49196</v>
      </c>
      <c r="D941" s="7" t="str">
        <f>IFERROR(__xludf.DUMMYFUNCTION("""COMPUTED_VALUE"""),"Panero")</f>
        <v>Panero</v>
      </c>
      <c r="E941" s="7" t="str">
        <f>IFERROR(__xludf.DUMMYFUNCTION("""COMPUTED_VALUE"""),"Marite")</f>
        <v>Marite</v>
      </c>
      <c r="F941" s="7" t="str">
        <f>IFERROR(__xludf.DUMMYFUNCTION("""COMPUTED_VALUE"""),"maritepanero@gmail.com")</f>
        <v>maritepanero@gmail.com</v>
      </c>
      <c r="G941" s="20">
        <f>IFERROR(__xludf.DUMMYFUNCTION("""COMPUTED_VALUE"""),21443.0)</f>
        <v>21443</v>
      </c>
      <c r="H941" s="7">
        <f>IFERROR(__xludf.DUMMYFUNCTION("""COMPUTED_VALUE"""),1.2670232E7)</f>
        <v>12670232</v>
      </c>
      <c r="I941" s="7">
        <f>IFERROR(__xludf.DUMMYFUNCTION("""COMPUTED_VALUE"""),3.512417002E9)</f>
        <v>3512417002</v>
      </c>
      <c r="J941" s="7" t="str">
        <f>IFERROR(__xludf.DUMMYFUNCTION("""COMPUTED_VALUE"""),"Google")</f>
        <v>Google</v>
      </c>
      <c r="K941" s="7" t="str">
        <f>IFERROR(__xludf.DUMMYFUNCTION("""COMPUTED_VALUE"""),"Particular")</f>
        <v>Particular</v>
      </c>
      <c r="L941" s="7"/>
      <c r="M941" s="7" t="str">
        <f>IFERROR(__xludf.DUMMYFUNCTION("""COMPUTED_VALUE"""),"No")</f>
        <v>No</v>
      </c>
      <c r="N941" s="7"/>
      <c r="O941" s="7"/>
      <c r="P941" s="7"/>
      <c r="Q941" s="7"/>
      <c r="R941" s="7"/>
      <c r="S941" s="7"/>
    </row>
    <row r="942">
      <c r="A942" s="7" t="str">
        <f t="shared" si="1"/>
        <v>Gallara, Daniel G</v>
      </c>
      <c r="B942" s="7">
        <f>SUMIFS('bd caja'!$K$1:$K$1012,'bd caja'!$D$1:$D$1012,A942)</f>
        <v>0</v>
      </c>
      <c r="C942" s="19">
        <f>IFERROR(__xludf.DUMMYFUNCTION("""COMPUTED_VALUE"""),45755.49442474537)</f>
        <v>45755.49442</v>
      </c>
      <c r="D942" s="7" t="str">
        <f>IFERROR(__xludf.DUMMYFUNCTION("""COMPUTED_VALUE"""),"Gallara")</f>
        <v>Gallara</v>
      </c>
      <c r="E942" s="7" t="str">
        <f>IFERROR(__xludf.DUMMYFUNCTION("""COMPUTED_VALUE"""),"Daniel G")</f>
        <v>Daniel G</v>
      </c>
      <c r="F942" s="7" t="str">
        <f>IFERROR(__xludf.DUMMYFUNCTION("""COMPUTED_VALUE"""),"danielgallara13@gmail.com")</f>
        <v>danielgallara13@gmail.com</v>
      </c>
      <c r="G942" s="20">
        <f>IFERROR(__xludf.DUMMYFUNCTION("""COMPUTED_VALUE"""),19833.0)</f>
        <v>19833</v>
      </c>
      <c r="H942" s="7">
        <f>IFERROR(__xludf.DUMMYFUNCTION("""COMPUTED_VALUE"""),1.1190688E7)</f>
        <v>11190688</v>
      </c>
      <c r="I942" s="7">
        <f>IFERROR(__xludf.DUMMYFUNCTION("""COMPUTED_VALUE"""),3.512417001E9)</f>
        <v>3512417001</v>
      </c>
      <c r="J942" s="7" t="str">
        <f>IFERROR(__xludf.DUMMYFUNCTION("""COMPUTED_VALUE"""),"Google")</f>
        <v>Google</v>
      </c>
      <c r="K942" s="7" t="str">
        <f>IFERROR(__xludf.DUMMYFUNCTION("""COMPUTED_VALUE"""),"Particular")</f>
        <v>Particular</v>
      </c>
      <c r="L942" s="7"/>
      <c r="M942" s="7" t="str">
        <f>IFERROR(__xludf.DUMMYFUNCTION("""COMPUTED_VALUE"""),"Si")</f>
        <v>Si</v>
      </c>
      <c r="N942" s="7" t="str">
        <f>IFERROR(__xludf.DUMMYFUNCTION("""COMPUTED_VALUE"""),"Baile")</f>
        <v>Baile</v>
      </c>
      <c r="O942" s="7" t="str">
        <f>IFERROR(__xludf.DUMMYFUNCTION("""COMPUTED_VALUE"""),"1 a 2 veces por semana")</f>
        <v>1 a 2 veces por semana</v>
      </c>
      <c r="P942" s="7"/>
      <c r="Q942" s="7"/>
      <c r="R942" s="7"/>
      <c r="S942" s="7"/>
    </row>
    <row r="943">
      <c r="A943" s="7" t="str">
        <f t="shared" si="1"/>
        <v>Ayerbe, Alejandro</v>
      </c>
      <c r="B943" s="7">
        <f>SUMIFS('bd caja'!$K$1:$K$1012,'bd caja'!$D$1:$D$1012,A943)</f>
        <v>0</v>
      </c>
      <c r="C943" s="19">
        <f>IFERROR(__xludf.DUMMYFUNCTION("""COMPUTED_VALUE"""),45755.510292962965)</f>
        <v>45755.51029</v>
      </c>
      <c r="D943" s="7" t="str">
        <f>IFERROR(__xludf.DUMMYFUNCTION("""COMPUTED_VALUE"""),"Ayerbe")</f>
        <v>Ayerbe</v>
      </c>
      <c r="E943" s="7" t="str">
        <f>IFERROR(__xludf.DUMMYFUNCTION("""COMPUTED_VALUE"""),"Alejandro")</f>
        <v>Alejandro</v>
      </c>
      <c r="F943" s="7" t="str">
        <f>IFERROR(__xludf.DUMMYFUNCTION("""COMPUTED_VALUE"""),"ayerbea@gmail.com")</f>
        <v>ayerbea@gmail.com</v>
      </c>
      <c r="G943" s="20">
        <f>IFERROR(__xludf.DUMMYFUNCTION("""COMPUTED_VALUE"""),20058.0)</f>
        <v>20058</v>
      </c>
      <c r="H943" s="7">
        <f>IFERROR(__xludf.DUMMYFUNCTION("""COMPUTED_VALUE"""),1.1257813E7)</f>
        <v>11257813</v>
      </c>
      <c r="I943" s="7">
        <f>IFERROR(__xludf.DUMMYFUNCTION("""COMPUTED_VALUE"""),3.51318159E9)</f>
        <v>3513181590</v>
      </c>
      <c r="J943" s="7" t="str">
        <f>IFERROR(__xludf.DUMMYFUNCTION("""COMPUTED_VALUE"""),"Voy al gym Manantial")</f>
        <v>Voy al gym Manantial</v>
      </c>
      <c r="K943" s="7" t="str">
        <f>IFERROR(__xludf.DUMMYFUNCTION("""COMPUTED_VALUE"""),"Obra social")</f>
        <v>Obra social</v>
      </c>
      <c r="L943" s="7"/>
      <c r="M943" s="7" t="str">
        <f>IFERROR(__xludf.DUMMYFUNCTION("""COMPUTED_VALUE"""),"Si")</f>
        <v>Si</v>
      </c>
      <c r="N943" s="7" t="str">
        <f>IFERROR(__xludf.DUMMYFUNCTION("""COMPUTED_VALUE"""),"Newcom")</f>
        <v>Newcom</v>
      </c>
      <c r="O943" s="7" t="str">
        <f>IFERROR(__xludf.DUMMYFUNCTION("""COMPUTED_VALUE"""),"3 a 5 veces por semana")</f>
        <v>3 a 5 veces por semana</v>
      </c>
      <c r="P943" s="7"/>
      <c r="Q943" s="7" t="str">
        <f>IFERROR(__xludf.DUMMYFUNCTION("""COMPUTED_VALUE"""),"DASPU")</f>
        <v>DASPU</v>
      </c>
      <c r="R943" s="7"/>
      <c r="S943" s="7"/>
    </row>
    <row r="944">
      <c r="A944" s="7" t="str">
        <f t="shared" si="1"/>
        <v>YERIO, Josefina </v>
      </c>
      <c r="B944" s="7">
        <f>SUMIFS('bd caja'!$K$1:$K$1012,'bd caja'!$D$1:$D$1012,A944)</f>
        <v>0</v>
      </c>
      <c r="C944" s="19">
        <f>IFERROR(__xludf.DUMMYFUNCTION("""COMPUTED_VALUE"""),45755.91770446759)</f>
        <v>45755.9177</v>
      </c>
      <c r="D944" s="7" t="str">
        <f>IFERROR(__xludf.DUMMYFUNCTION("""COMPUTED_VALUE"""),"YERIO")</f>
        <v>YERIO</v>
      </c>
      <c r="E944" s="7" t="str">
        <f>IFERROR(__xludf.DUMMYFUNCTION("""COMPUTED_VALUE"""),"Josefina ")</f>
        <v>Josefina </v>
      </c>
      <c r="F944" s="7" t="str">
        <f>IFERROR(__xludf.DUMMYFUNCTION("""COMPUTED_VALUE"""),"yeriojosefina19@gmail.com")</f>
        <v>yeriojosefina19@gmail.com</v>
      </c>
      <c r="G944" s="20">
        <f>IFERROR(__xludf.DUMMYFUNCTION("""COMPUTED_VALUE"""),38491.0)</f>
        <v>38491</v>
      </c>
      <c r="H944" s="21">
        <f>IFERROR(__xludf.DUMMYFUNCTION("""COMPUTED_VALUE"""),4.6671046E7)</f>
        <v>46671046</v>
      </c>
      <c r="I944" s="7">
        <f>IFERROR(__xludf.DUMMYFUNCTION("""COMPUTED_VALUE"""),2.994115646E9)</f>
        <v>2994115646</v>
      </c>
      <c r="J944" s="7" t="str">
        <f>IFERROR(__xludf.DUMMYFUNCTION("""COMPUTED_VALUE"""),"Google")</f>
        <v>Google</v>
      </c>
      <c r="K944" s="7" t="str">
        <f>IFERROR(__xludf.DUMMYFUNCTION("""COMPUTED_VALUE"""),"Particular")</f>
        <v>Particular</v>
      </c>
      <c r="L944" s="7"/>
      <c r="M944" s="7" t="str">
        <f>IFERROR(__xludf.DUMMYFUNCTION("""COMPUTED_VALUE"""),"No")</f>
        <v>No</v>
      </c>
      <c r="N944" s="7"/>
      <c r="O944" s="7"/>
      <c r="P944" s="7"/>
      <c r="Q944" s="7"/>
      <c r="R944" s="7"/>
      <c r="S944" s="7"/>
    </row>
    <row r="945">
      <c r="A945" s="7" t="str">
        <f t="shared" si="1"/>
        <v>Peralta , Marisel</v>
      </c>
      <c r="B945" s="7">
        <f>SUMIFS('bd caja'!$K$1:$K$1012,'bd caja'!$D$1:$D$1012,A945)</f>
        <v>0</v>
      </c>
      <c r="C945" s="19">
        <f>IFERROR(__xludf.DUMMYFUNCTION("""COMPUTED_VALUE"""),45756.62818060185)</f>
        <v>45756.62818</v>
      </c>
      <c r="D945" s="7" t="str">
        <f>IFERROR(__xludf.DUMMYFUNCTION("""COMPUTED_VALUE"""),"Peralta ")</f>
        <v>Peralta </v>
      </c>
      <c r="E945" s="7" t="str">
        <f>IFERROR(__xludf.DUMMYFUNCTION("""COMPUTED_VALUE"""),"Marisel")</f>
        <v>Marisel</v>
      </c>
      <c r="F945" s="7" t="str">
        <f>IFERROR(__xludf.DUMMYFUNCTION("""COMPUTED_VALUE"""),"mariselmnp@gmail.com")</f>
        <v>mariselmnp@gmail.com</v>
      </c>
      <c r="G945" s="20">
        <f>IFERROR(__xludf.DUMMYFUNCTION("""COMPUTED_VALUE"""),30279.0)</f>
        <v>30279</v>
      </c>
      <c r="H945" s="7">
        <f>IFERROR(__xludf.DUMMYFUNCTION("""COMPUTED_VALUE"""),2.9512477E7)</f>
        <v>29512477</v>
      </c>
      <c r="I945" s="7">
        <f>IFERROR(__xludf.DUMMYFUNCTION("""COMPUTED_VALUE"""),3.517537748E9)</f>
        <v>3517537748</v>
      </c>
      <c r="J945" s="7" t="str">
        <f>IFERROR(__xludf.DUMMYFUNCTION("""COMPUTED_VALUE"""),"Recomendación")</f>
        <v>Recomendación</v>
      </c>
      <c r="K945" s="7" t="str">
        <f>IFERROR(__xludf.DUMMYFUNCTION("""COMPUTED_VALUE"""),"Obra social")</f>
        <v>Obra social</v>
      </c>
      <c r="L945" s="7"/>
      <c r="M945" s="7" t="str">
        <f>IFERROR(__xludf.DUMMYFUNCTION("""COMPUTED_VALUE"""),"Si")</f>
        <v>Si</v>
      </c>
      <c r="N945" s="7" t="str">
        <f>IFERROR(__xludf.DUMMYFUNCTION("""COMPUTED_VALUE"""),"Natación ")</f>
        <v>Natación </v>
      </c>
      <c r="O945" s="7" t="str">
        <f>IFERROR(__xludf.DUMMYFUNCTION("""COMPUTED_VALUE"""),"1 a 2 veces por semana")</f>
        <v>1 a 2 veces por semana</v>
      </c>
      <c r="P945" s="7"/>
      <c r="Q945" s="7" t="str">
        <f>IFERROR(__xludf.DUMMYFUNCTION("""COMPUTED_VALUE"""),"APROSS")</f>
        <v>APROSS</v>
      </c>
      <c r="R945" s="7"/>
      <c r="S945" s="7"/>
    </row>
    <row r="946">
      <c r="A946" s="7" t="str">
        <f t="shared" si="1"/>
        <v>SILVA, Mary</v>
      </c>
      <c r="B946" s="7">
        <f>SUMIFS('bd caja'!$K$1:$K$1012,'bd caja'!$D$1:$D$1012,A946)</f>
        <v>0</v>
      </c>
      <c r="C946" s="19">
        <f>IFERROR(__xludf.DUMMYFUNCTION("""COMPUTED_VALUE"""),45756.692130254625)</f>
        <v>45756.69213</v>
      </c>
      <c r="D946" s="7" t="str">
        <f>IFERROR(__xludf.DUMMYFUNCTION("""COMPUTED_VALUE"""),"SILVA")</f>
        <v>SILVA</v>
      </c>
      <c r="E946" s="7" t="str">
        <f>IFERROR(__xludf.DUMMYFUNCTION("""COMPUTED_VALUE"""),"Mary")</f>
        <v>Mary</v>
      </c>
      <c r="F946" s="7"/>
      <c r="G946" s="20">
        <f>IFERROR(__xludf.DUMMYFUNCTION("""COMPUTED_VALUE"""),25476.0)</f>
        <v>25476</v>
      </c>
      <c r="H946" s="7">
        <f>IFERROR(__xludf.DUMMYFUNCTION("""COMPUTED_VALUE"""),2.0966836E7)</f>
        <v>20966836</v>
      </c>
      <c r="I946" s="7">
        <f>IFERROR(__xludf.DUMMYFUNCTION("""COMPUTED_VALUE"""),3.518018923E9)</f>
        <v>3518018923</v>
      </c>
      <c r="J946" s="7" t="str">
        <f>IFERROR(__xludf.DUMMYFUNCTION("""COMPUTED_VALUE"""),"Voy al gym Manantial")</f>
        <v>Voy al gym Manantial</v>
      </c>
      <c r="K946" s="7" t="str">
        <f>IFERROR(__xludf.DUMMYFUNCTION("""COMPUTED_VALUE"""),"Particular")</f>
        <v>Particular</v>
      </c>
      <c r="L946" s="7"/>
      <c r="M946" s="7" t="str">
        <f>IFERROR(__xludf.DUMMYFUNCTION("""COMPUTED_VALUE"""),"Si")</f>
        <v>Si</v>
      </c>
      <c r="N946" s="7" t="str">
        <f>IFERROR(__xludf.DUMMYFUNCTION("""COMPUTED_VALUE"""),"Gimnasio")</f>
        <v>Gimnasio</v>
      </c>
      <c r="O946" s="7" t="str">
        <f>IFERROR(__xludf.DUMMYFUNCTION("""COMPUTED_VALUE"""),"3 a 5 veces por semana")</f>
        <v>3 a 5 veces por semana</v>
      </c>
      <c r="P946" s="7"/>
      <c r="Q946" s="7"/>
      <c r="R946" s="7"/>
      <c r="S946" s="7"/>
    </row>
    <row r="947">
      <c r="A947" s="7" t="str">
        <f t="shared" si="1"/>
        <v>Alvarez, Osvaldo</v>
      </c>
      <c r="B947" s="7">
        <f>SUMIFS('bd caja'!$K$1:$K$1012,'bd caja'!$D$1:$D$1012,A947)</f>
        <v>0</v>
      </c>
      <c r="C947" s="19">
        <f>IFERROR(__xludf.DUMMYFUNCTION("""COMPUTED_VALUE"""),45756.758505555554)</f>
        <v>45756.75851</v>
      </c>
      <c r="D947" s="7" t="str">
        <f>IFERROR(__xludf.DUMMYFUNCTION("""COMPUTED_VALUE"""),"Alvarez")</f>
        <v>Alvarez</v>
      </c>
      <c r="E947" s="7" t="str">
        <f>IFERROR(__xludf.DUMMYFUNCTION("""COMPUTED_VALUE"""),"Osvaldo")</f>
        <v>Osvaldo</v>
      </c>
      <c r="F947" s="7" t="str">
        <f>IFERROR(__xludf.DUMMYFUNCTION("""COMPUTED_VALUE"""),"egialvarez@hotmail.com")</f>
        <v>egialvarez@hotmail.com</v>
      </c>
      <c r="G947" s="20">
        <f>IFERROR(__xludf.DUMMYFUNCTION("""COMPUTED_VALUE"""),19714.0)</f>
        <v>19714</v>
      </c>
      <c r="H947" s="7">
        <f>IFERROR(__xludf.DUMMYFUNCTION("""COMPUTED_VALUE"""),1.0920204E7)</f>
        <v>10920204</v>
      </c>
      <c r="I947" s="7">
        <f>IFERROR(__xludf.DUMMYFUNCTION("""COMPUTED_VALUE"""),3.516761063E9)</f>
        <v>3516761063</v>
      </c>
      <c r="J947" s="7" t="str">
        <f>IFERROR(__xludf.DUMMYFUNCTION("""COMPUTED_VALUE"""),"Recomendación")</f>
        <v>Recomendación</v>
      </c>
      <c r="K947" s="7" t="str">
        <f>IFERROR(__xludf.DUMMYFUNCTION("""COMPUTED_VALUE"""),"Obra social")</f>
        <v>Obra social</v>
      </c>
      <c r="L947" s="7"/>
      <c r="M947" s="7" t="str">
        <f>IFERROR(__xludf.DUMMYFUNCTION("""COMPUTED_VALUE"""),"Si")</f>
        <v>Si</v>
      </c>
      <c r="N947" s="7" t="str">
        <f>IFERROR(__xludf.DUMMYFUNCTION("""COMPUTED_VALUE"""),"Caminata")</f>
        <v>Caminata</v>
      </c>
      <c r="O947" s="7" t="str">
        <f>IFERROR(__xludf.DUMMYFUNCTION("""COMPUTED_VALUE"""),"3 a 5 veces por semana")</f>
        <v>3 a 5 veces por semana</v>
      </c>
      <c r="P947" s="7"/>
      <c r="Q947" s="7" t="str">
        <f>IFERROR(__xludf.DUMMYFUNCTION("""COMPUTED_VALUE"""),"DASPU")</f>
        <v>DASPU</v>
      </c>
      <c r="R947" s="7"/>
      <c r="S947" s="7"/>
    </row>
    <row r="948">
      <c r="A948" s="7" t="str">
        <f t="shared" si="1"/>
        <v>Pereyra, Daniel</v>
      </c>
      <c r="B948" s="7">
        <f>SUMIFS('bd caja'!$K$1:$K$1012,'bd caja'!$D$1:$D$1012,A948)</f>
        <v>0</v>
      </c>
      <c r="C948" s="19">
        <f>IFERROR(__xludf.DUMMYFUNCTION("""COMPUTED_VALUE"""),45758.723944756945)</f>
        <v>45758.72394</v>
      </c>
      <c r="D948" s="7" t="str">
        <f>IFERROR(__xludf.DUMMYFUNCTION("""COMPUTED_VALUE"""),"Pereyra")</f>
        <v>Pereyra</v>
      </c>
      <c r="E948" s="7" t="str">
        <f>IFERROR(__xludf.DUMMYFUNCTION("""COMPUTED_VALUE"""),"Daniel")</f>
        <v>Daniel</v>
      </c>
      <c r="F948" s="7" t="str">
        <f>IFERROR(__xludf.DUMMYFUNCTION("""COMPUTED_VALUE"""),"danii2017.dap@gmail.com")</f>
        <v>danii2017.dap@gmail.com</v>
      </c>
      <c r="G948" s="20">
        <f>IFERROR(__xludf.DUMMYFUNCTION("""COMPUTED_VALUE"""),34275.0)</f>
        <v>34275</v>
      </c>
      <c r="H948" s="7">
        <f>IFERROR(__xludf.DUMMYFUNCTION("""COMPUTED_VALUE"""),3.8500844E7)</f>
        <v>38500844</v>
      </c>
      <c r="I948" s="7">
        <f>IFERROR(__xludf.DUMMYFUNCTION("""COMPUTED_VALUE"""),3.516365446E9)</f>
        <v>3516365446</v>
      </c>
      <c r="J948" s="7" t="str">
        <f>IFERROR(__xludf.DUMMYFUNCTION("""COMPUTED_VALUE"""),"Instagram")</f>
        <v>Instagram</v>
      </c>
      <c r="K948" s="7" t="str">
        <f>IFERROR(__xludf.DUMMYFUNCTION("""COMPUTED_VALUE"""),"Obra social")</f>
        <v>Obra social</v>
      </c>
      <c r="L948" s="7"/>
      <c r="M948" s="7" t="str">
        <f>IFERROR(__xludf.DUMMYFUNCTION("""COMPUTED_VALUE"""),"Si")</f>
        <v>Si</v>
      </c>
      <c r="N948" s="7" t="str">
        <f>IFERROR(__xludf.DUMMYFUNCTION("""COMPUTED_VALUE"""),"Futbol+Correr")</f>
        <v>Futbol+Correr</v>
      </c>
      <c r="O948" s="7" t="str">
        <f>IFERROR(__xludf.DUMMYFUNCTION("""COMPUTED_VALUE"""),"3 a 5 veces por semana")</f>
        <v>3 a 5 veces por semana</v>
      </c>
      <c r="P948" s="7"/>
      <c r="Q948" s="7" t="str">
        <f>IFERROR(__xludf.DUMMYFUNCTION("""COMPUTED_VALUE"""),"APROSS")</f>
        <v>APROSS</v>
      </c>
      <c r="R948" s="7"/>
      <c r="S948" s="7"/>
    </row>
    <row r="949">
      <c r="A949" s="7" t="str">
        <f t="shared" si="1"/>
        <v>Werner, Victoria</v>
      </c>
      <c r="B949" s="7">
        <f>SUMIFS('bd caja'!$K$1:$K$1012,'bd caja'!$D$1:$D$1012,A949)</f>
        <v>0</v>
      </c>
      <c r="C949" s="19">
        <f>IFERROR(__xludf.DUMMYFUNCTION("""COMPUTED_VALUE"""),45758.79492318287)</f>
        <v>45758.79492</v>
      </c>
      <c r="D949" s="7" t="str">
        <f>IFERROR(__xludf.DUMMYFUNCTION("""COMPUTED_VALUE"""),"Werner")</f>
        <v>Werner</v>
      </c>
      <c r="E949" s="7" t="str">
        <f>IFERROR(__xludf.DUMMYFUNCTION("""COMPUTED_VALUE"""),"Victoria")</f>
        <v>Victoria</v>
      </c>
      <c r="F949" s="7" t="str">
        <f>IFERROR(__xludf.DUMMYFUNCTION("""COMPUTED_VALUE"""),"Marielamazzoni@gmail.com")</f>
        <v>Marielamazzoni@gmail.com</v>
      </c>
      <c r="G949" s="20">
        <f>IFERROR(__xludf.DUMMYFUNCTION("""COMPUTED_VALUE"""),37324.0)</f>
        <v>37324</v>
      </c>
      <c r="H949" s="7">
        <f>IFERROR(__xludf.DUMMYFUNCTION("""COMPUTED_VALUE"""),5.2154931E7)</f>
        <v>52154931</v>
      </c>
      <c r="I949" s="7">
        <f>IFERROR(__xludf.DUMMYFUNCTION("""COMPUTED_VALUE"""),3.518002086E9)</f>
        <v>3518002086</v>
      </c>
      <c r="J949" s="7" t="str">
        <f>IFERROR(__xludf.DUMMYFUNCTION("""COMPUTED_VALUE"""),"Recomendación")</f>
        <v>Recomendación</v>
      </c>
      <c r="K949" s="7" t="str">
        <f>IFERROR(__xludf.DUMMYFUNCTION("""COMPUTED_VALUE"""),"Obra social")</f>
        <v>Obra social</v>
      </c>
      <c r="L949" s="7"/>
      <c r="M949" s="7" t="str">
        <f>IFERROR(__xludf.DUMMYFUNCTION("""COMPUTED_VALUE"""),"Si")</f>
        <v>Si</v>
      </c>
      <c r="N949" s="7" t="str">
        <f>IFERROR(__xludf.DUMMYFUNCTION("""COMPUTED_VALUE"""),"Voley")</f>
        <v>Voley</v>
      </c>
      <c r="O949" s="7" t="str">
        <f>IFERROR(__xludf.DUMMYFUNCTION("""COMPUTED_VALUE"""),"6 a 7 veces por semana")</f>
        <v>6 a 7 veces por semana</v>
      </c>
      <c r="P949" s="7"/>
      <c r="Q949" s="7" t="str">
        <f>IFERROR(__xludf.DUMMYFUNCTION("""COMPUTED_VALUE"""),"PREVENCIÓN")</f>
        <v>PREVENCIÓN</v>
      </c>
      <c r="R949" s="7"/>
      <c r="S949" s="7"/>
    </row>
    <row r="950">
      <c r="A950" s="7" t="str">
        <f t="shared" si="1"/>
        <v>Marchisone, Lucas</v>
      </c>
      <c r="B950" s="7">
        <f>SUMIFS('bd caja'!$K$1:$K$1012,'bd caja'!$D$1:$D$1012,A950)</f>
        <v>0</v>
      </c>
      <c r="C950" s="19">
        <f>IFERROR(__xludf.DUMMYFUNCTION("""COMPUTED_VALUE"""),45758.82089584491)</f>
        <v>45758.8209</v>
      </c>
      <c r="D950" s="7" t="str">
        <f>IFERROR(__xludf.DUMMYFUNCTION("""COMPUTED_VALUE"""),"Marchisone")</f>
        <v>Marchisone</v>
      </c>
      <c r="E950" s="7" t="str">
        <f>IFERROR(__xludf.DUMMYFUNCTION("""COMPUTED_VALUE"""),"Lucas")</f>
        <v>Lucas</v>
      </c>
      <c r="F950" s="7" t="str">
        <f>IFERROR(__xludf.DUMMYFUNCTION("""COMPUTED_VALUE"""),"marchisonel@gmail.com")</f>
        <v>marchisonel@gmail.com</v>
      </c>
      <c r="G950" s="20">
        <f>IFERROR(__xludf.DUMMYFUNCTION("""COMPUTED_VALUE"""),33435.0)</f>
        <v>33435</v>
      </c>
      <c r="H950" s="7">
        <f>IFERROR(__xludf.DUMMYFUNCTION("""COMPUTED_VALUE"""),3.5965476E7)</f>
        <v>35965476</v>
      </c>
      <c r="I950" s="7">
        <f>IFERROR(__xludf.DUMMYFUNCTION("""COMPUTED_VALUE"""),3.517734188E9)</f>
        <v>3517734188</v>
      </c>
      <c r="J950" s="7" t="str">
        <f>IFERROR(__xludf.DUMMYFUNCTION("""COMPUTED_VALUE"""),"Recomendación")</f>
        <v>Recomendación</v>
      </c>
      <c r="K950" s="7" t="str">
        <f>IFERROR(__xludf.DUMMYFUNCTION("""COMPUTED_VALUE"""),"Particular")</f>
        <v>Particular</v>
      </c>
      <c r="L950" s="7"/>
      <c r="M950" s="7" t="str">
        <f>IFERROR(__xludf.DUMMYFUNCTION("""COMPUTED_VALUE"""),"Si")</f>
        <v>Si</v>
      </c>
      <c r="N950" s="7" t="str">
        <f>IFERROR(__xludf.DUMMYFUNCTION("""COMPUTED_VALUE"""),"Fútbol")</f>
        <v>Fútbol</v>
      </c>
      <c r="O950" s="7" t="str">
        <f>IFERROR(__xludf.DUMMYFUNCTION("""COMPUTED_VALUE"""),"3 a 5 veces por semana")</f>
        <v>3 a 5 veces por semana</v>
      </c>
      <c r="P950" s="7"/>
      <c r="Q950" s="7"/>
      <c r="R950" s="7"/>
      <c r="S950" s="7"/>
    </row>
    <row r="951">
      <c r="A951" s="7" t="str">
        <f t="shared" si="1"/>
        <v>Martini, Valentina</v>
      </c>
      <c r="B951" s="7">
        <f>SUMIFS('bd caja'!$K$1:$K$1012,'bd caja'!$D$1:$D$1012,A951)</f>
        <v>0</v>
      </c>
      <c r="C951" s="19">
        <f>IFERROR(__xludf.DUMMYFUNCTION("""COMPUTED_VALUE"""),45758.882095567125)</f>
        <v>45758.8821</v>
      </c>
      <c r="D951" s="7" t="str">
        <f>IFERROR(__xludf.DUMMYFUNCTION("""COMPUTED_VALUE"""),"Martini")</f>
        <v>Martini</v>
      </c>
      <c r="E951" s="7" t="str">
        <f>IFERROR(__xludf.DUMMYFUNCTION("""COMPUTED_VALUE"""),"Valentina")</f>
        <v>Valentina</v>
      </c>
      <c r="F951" s="7" t="str">
        <f>IFERROR(__xludf.DUMMYFUNCTION("""COMPUTED_VALUE"""),"valenmartini2002@gmail.com")</f>
        <v>valenmartini2002@gmail.com</v>
      </c>
      <c r="G951" s="20">
        <f>IFERROR(__xludf.DUMMYFUNCTION("""COMPUTED_VALUE"""),19466.0)</f>
        <v>19466</v>
      </c>
      <c r="H951" s="7">
        <f>IFERROR(__xludf.DUMMYFUNCTION("""COMPUTED_VALUE"""),1.0774385E7)</f>
        <v>10774385</v>
      </c>
      <c r="I951" s="7">
        <f>IFERROR(__xludf.DUMMYFUNCTION("""COMPUTED_VALUE"""),3.513107075E9)</f>
        <v>3513107075</v>
      </c>
      <c r="J951" s="7" t="str">
        <f>IFERROR(__xludf.DUMMYFUNCTION("""COMPUTED_VALUE"""),"Voy al gym Manantial")</f>
        <v>Voy al gym Manantial</v>
      </c>
      <c r="K951" s="7" t="str">
        <f>IFERROR(__xludf.DUMMYFUNCTION("""COMPUTED_VALUE"""),"Obra social")</f>
        <v>Obra social</v>
      </c>
      <c r="L951" s="7"/>
      <c r="M951" s="7" t="str">
        <f>IFERROR(__xludf.DUMMYFUNCTION("""COMPUTED_VALUE"""),"No")</f>
        <v>No</v>
      </c>
      <c r="N951" s="7"/>
      <c r="O951" s="7"/>
      <c r="P951" s="7"/>
      <c r="Q951" s="7" t="str">
        <f>IFERROR(__xludf.DUMMYFUNCTION("""COMPUTED_VALUE"""),"APROSS")</f>
        <v>APROSS</v>
      </c>
      <c r="R951" s="7"/>
      <c r="S951" s="7"/>
    </row>
    <row r="952">
      <c r="A952" s="7" t="str">
        <f t="shared" si="1"/>
        <v>Palacios , Luciano </v>
      </c>
      <c r="B952" s="7">
        <f>SUMIFS('bd caja'!$K$1:$K$1012,'bd caja'!$D$1:$D$1012,A952)</f>
        <v>0</v>
      </c>
      <c r="C952" s="19">
        <f>IFERROR(__xludf.DUMMYFUNCTION("""COMPUTED_VALUE"""),45761.429118622684)</f>
        <v>45761.42912</v>
      </c>
      <c r="D952" s="7" t="str">
        <f>IFERROR(__xludf.DUMMYFUNCTION("""COMPUTED_VALUE"""),"Palacios ")</f>
        <v>Palacios </v>
      </c>
      <c r="E952" s="7" t="str">
        <f>IFERROR(__xludf.DUMMYFUNCTION("""COMPUTED_VALUE"""),"Luciano ")</f>
        <v>Luciano </v>
      </c>
      <c r="F952" s="7" t="str">
        <f>IFERROR(__xludf.DUMMYFUNCTION("""COMPUTED_VALUE"""),"lucianopalacios48@gmail.com")</f>
        <v>lucianopalacios48@gmail.com</v>
      </c>
      <c r="G952" s="20">
        <f>IFERROR(__xludf.DUMMYFUNCTION("""COMPUTED_VALUE"""),36279.0)</f>
        <v>36279</v>
      </c>
      <c r="H952" s="21">
        <f>IFERROR(__xludf.DUMMYFUNCTION("""COMPUTED_VALUE"""),4.1887291E7)</f>
        <v>41887291</v>
      </c>
      <c r="I952" s="7">
        <f>IFERROR(__xludf.DUMMYFUNCTION("""COMPUTED_VALUE"""),3.516890302E9)</f>
        <v>3516890302</v>
      </c>
      <c r="J952" s="7" t="str">
        <f>IFERROR(__xludf.DUMMYFUNCTION("""COMPUTED_VALUE"""),"Voy al gym Manantial")</f>
        <v>Voy al gym Manantial</v>
      </c>
      <c r="K952" s="7" t="str">
        <f>IFERROR(__xludf.DUMMYFUNCTION("""COMPUTED_VALUE"""),"Obra social")</f>
        <v>Obra social</v>
      </c>
      <c r="L952" s="7"/>
      <c r="M952" s="7" t="str">
        <f>IFERROR(__xludf.DUMMYFUNCTION("""COMPUTED_VALUE"""),"Si")</f>
        <v>Si</v>
      </c>
      <c r="N952" s="7" t="str">
        <f>IFERROR(__xludf.DUMMYFUNCTION("""COMPUTED_VALUE"""),"Fútbol")</f>
        <v>Fútbol</v>
      </c>
      <c r="O952" s="7" t="str">
        <f>IFERROR(__xludf.DUMMYFUNCTION("""COMPUTED_VALUE"""),"3 a 5 veces por semana")</f>
        <v>3 a 5 veces por semana</v>
      </c>
      <c r="P952" s="7"/>
      <c r="Q952" s="7" t="str">
        <f>IFERROR(__xludf.DUMMYFUNCTION("""COMPUTED_VALUE"""),"PREVENCIÓN")</f>
        <v>PREVENCIÓN</v>
      </c>
      <c r="R952" s="7"/>
      <c r="S952" s="7"/>
    </row>
    <row r="953">
      <c r="A953" s="7" t="str">
        <f t="shared" si="1"/>
        <v>Palacios , Vanina </v>
      </c>
      <c r="B953" s="7">
        <f>SUMIFS('bd caja'!$K$1:$K$1012,'bd caja'!$D$1:$D$1012,A953)</f>
        <v>0</v>
      </c>
      <c r="C953" s="19">
        <f>IFERROR(__xludf.DUMMYFUNCTION("""COMPUTED_VALUE"""),45761.79345474537)</f>
        <v>45761.79345</v>
      </c>
      <c r="D953" s="7" t="str">
        <f>IFERROR(__xludf.DUMMYFUNCTION("""COMPUTED_VALUE"""),"Palacios ")</f>
        <v>Palacios </v>
      </c>
      <c r="E953" s="7" t="str">
        <f>IFERROR(__xludf.DUMMYFUNCTION("""COMPUTED_VALUE"""),"Vanina ")</f>
        <v>Vanina </v>
      </c>
      <c r="F953" s="7" t="str">
        <f>IFERROR(__xludf.DUMMYFUNCTION("""COMPUTED_VALUE"""),"palaciosvanina39@gmail.com")</f>
        <v>palaciosvanina39@gmail.com</v>
      </c>
      <c r="G953" s="20">
        <f>IFERROR(__xludf.DUMMYFUNCTION("""COMPUTED_VALUE"""),38516.0)</f>
        <v>38516</v>
      </c>
      <c r="H953" s="7">
        <f>IFERROR(__xludf.DUMMYFUNCTION("""COMPUTED_VALUE"""),4.6034082E7)</f>
        <v>46034082</v>
      </c>
      <c r="I953" s="7" t="str">
        <f>IFERROR(__xludf.DUMMYFUNCTION("""COMPUTED_VALUE"""),"3516771341 / 3515901845")</f>
        <v>3516771341 / 3515901845</v>
      </c>
      <c r="J953" s="7" t="str">
        <f>IFERROR(__xludf.DUMMYFUNCTION("""COMPUTED_VALUE"""),"Recomendación")</f>
        <v>Recomendación</v>
      </c>
      <c r="K953" s="7" t="str">
        <f>IFERROR(__xludf.DUMMYFUNCTION("""COMPUTED_VALUE"""),"Obra social")</f>
        <v>Obra social</v>
      </c>
      <c r="L953" s="7"/>
      <c r="M953" s="7" t="str">
        <f>IFERROR(__xludf.DUMMYFUNCTION("""COMPUTED_VALUE"""),"Si")</f>
        <v>Si</v>
      </c>
      <c r="N953" s="7" t="str">
        <f>IFERROR(__xludf.DUMMYFUNCTION("""COMPUTED_VALUE"""),"Running")</f>
        <v>Running</v>
      </c>
      <c r="O953" s="7" t="str">
        <f>IFERROR(__xludf.DUMMYFUNCTION("""COMPUTED_VALUE"""),"3 a 5 veces por semana")</f>
        <v>3 a 5 veces por semana</v>
      </c>
      <c r="P953" s="7"/>
      <c r="Q953" s="7" t="str">
        <f>IFERROR(__xludf.DUMMYFUNCTION("""COMPUTED_VALUE"""),"APROSS")</f>
        <v>APROSS</v>
      </c>
      <c r="R953" s="7"/>
      <c r="S953" s="7"/>
    </row>
    <row r="954">
      <c r="A954" s="7" t="str">
        <f t="shared" si="1"/>
        <v>Morales, Facundo</v>
      </c>
      <c r="B954" s="7">
        <f>SUMIFS('bd caja'!$K$1:$K$1012,'bd caja'!$D$1:$D$1012,A954)</f>
        <v>0</v>
      </c>
      <c r="C954" s="19">
        <f>IFERROR(__xludf.DUMMYFUNCTION("""COMPUTED_VALUE"""),45762.462131203705)</f>
        <v>45762.46213</v>
      </c>
      <c r="D954" s="7" t="str">
        <f>IFERROR(__xludf.DUMMYFUNCTION("""COMPUTED_VALUE"""),"Morales")</f>
        <v>Morales</v>
      </c>
      <c r="E954" s="7" t="str">
        <f>IFERROR(__xludf.DUMMYFUNCTION("""COMPUTED_VALUE"""),"Facundo")</f>
        <v>Facundo</v>
      </c>
      <c r="F954" s="7" t="str">
        <f>IFERROR(__xludf.DUMMYFUNCTION("""COMPUTED_VALUE"""),"juanfamorales@gmail.com")</f>
        <v>juanfamorales@gmail.com</v>
      </c>
      <c r="G954" s="20">
        <f>IFERROR(__xludf.DUMMYFUNCTION("""COMPUTED_VALUE"""),30839.0)</f>
        <v>30839</v>
      </c>
      <c r="H954" s="7">
        <f>IFERROR(__xludf.DUMMYFUNCTION("""COMPUTED_VALUE"""),3.0772775E7)</f>
        <v>30772775</v>
      </c>
      <c r="I954" s="7">
        <f>IFERROR(__xludf.DUMMYFUNCTION("""COMPUTED_VALUE"""),3.516313815E9)</f>
        <v>3516313815</v>
      </c>
      <c r="J954" s="7" t="str">
        <f>IFERROR(__xludf.DUMMYFUNCTION("""COMPUTED_VALUE"""),"Ya los conocía ")</f>
        <v>Ya los conocía </v>
      </c>
      <c r="K954" s="7" t="str">
        <f>IFERROR(__xludf.DUMMYFUNCTION("""COMPUTED_VALUE"""),"Particular")</f>
        <v>Particular</v>
      </c>
      <c r="L954" s="7"/>
      <c r="M954" s="7" t="str">
        <f>IFERROR(__xludf.DUMMYFUNCTION("""COMPUTED_VALUE"""),"Si")</f>
        <v>Si</v>
      </c>
      <c r="N954" s="7" t="str">
        <f>IFERROR(__xludf.DUMMYFUNCTION("""COMPUTED_VALUE"""),"Caminatas y gym")</f>
        <v>Caminatas y gym</v>
      </c>
      <c r="O954" s="7" t="str">
        <f>IFERROR(__xludf.DUMMYFUNCTION("""COMPUTED_VALUE"""),"3 a 5 veces por semana")</f>
        <v>3 a 5 veces por semana</v>
      </c>
      <c r="P954" s="7"/>
      <c r="Q954" s="7"/>
      <c r="R954" s="7"/>
      <c r="S954" s="7"/>
    </row>
    <row r="955">
      <c r="A955" s="7" t="str">
        <f t="shared" si="1"/>
        <v>Menseguez, Juan Cruz</v>
      </c>
      <c r="B955" s="7">
        <f>SUMIFS('bd caja'!$K$1:$K$1012,'bd caja'!$D$1:$D$1012,A955)</f>
        <v>0</v>
      </c>
      <c r="C955" s="19">
        <f>IFERROR(__xludf.DUMMYFUNCTION("""COMPUTED_VALUE"""),45762.72465402778)</f>
        <v>45762.72465</v>
      </c>
      <c r="D955" s="7" t="str">
        <f>IFERROR(__xludf.DUMMYFUNCTION("""COMPUTED_VALUE"""),"Menseguez")</f>
        <v>Menseguez</v>
      </c>
      <c r="E955" s="7" t="str">
        <f>IFERROR(__xludf.DUMMYFUNCTION("""COMPUTED_VALUE"""),"Juan Cruz")</f>
        <v>Juan Cruz</v>
      </c>
      <c r="F955" s="7"/>
      <c r="G955" s="20">
        <f>IFERROR(__xludf.DUMMYFUNCTION("""COMPUTED_VALUE"""),32401.0)</f>
        <v>32401</v>
      </c>
      <c r="H955" s="7">
        <f>IFERROR(__xludf.DUMMYFUNCTION("""COMPUTED_VALUE"""),3.3893221E7)</f>
        <v>33893221</v>
      </c>
      <c r="I955" s="7">
        <f>IFERROR(__xludf.DUMMYFUNCTION("""COMPUTED_VALUE"""),3.513346346E9)</f>
        <v>3513346346</v>
      </c>
      <c r="J955" s="7" t="str">
        <f>IFERROR(__xludf.DUMMYFUNCTION("""COMPUTED_VALUE"""),"Voy al gym Manantial")</f>
        <v>Voy al gym Manantial</v>
      </c>
      <c r="K955" s="7" t="str">
        <f>IFERROR(__xludf.DUMMYFUNCTION("""COMPUTED_VALUE"""),"Particular")</f>
        <v>Particular</v>
      </c>
      <c r="L955" s="7"/>
      <c r="M955" s="7" t="str">
        <f>IFERROR(__xludf.DUMMYFUNCTION("""COMPUTED_VALUE"""),"Si")</f>
        <v>Si</v>
      </c>
      <c r="N955" s="7" t="str">
        <f>IFERROR(__xludf.DUMMYFUNCTION("""COMPUTED_VALUE"""),"Fútbol")</f>
        <v>Fútbol</v>
      </c>
      <c r="O955" s="7" t="str">
        <f>IFERROR(__xludf.DUMMYFUNCTION("""COMPUTED_VALUE"""),"3 a 5 veces por semana")</f>
        <v>3 a 5 veces por semana</v>
      </c>
      <c r="P955" s="7"/>
      <c r="Q955" s="7"/>
      <c r="R955" s="7"/>
      <c r="S955" s="7"/>
    </row>
    <row r="956">
      <c r="A956" s="7" t="str">
        <f t="shared" si="1"/>
        <v>Pont, María Angélica </v>
      </c>
      <c r="B956" s="7">
        <f>SUMIFS('bd caja'!$K$1:$K$1012,'bd caja'!$D$1:$D$1012,A956)</f>
        <v>0</v>
      </c>
      <c r="C956" s="19">
        <f>IFERROR(__xludf.DUMMYFUNCTION("""COMPUTED_VALUE"""),45762.823821631944)</f>
        <v>45762.82382</v>
      </c>
      <c r="D956" s="7" t="str">
        <f>IFERROR(__xludf.DUMMYFUNCTION("""COMPUTED_VALUE"""),"Pont")</f>
        <v>Pont</v>
      </c>
      <c r="E956" s="7" t="str">
        <f>IFERROR(__xludf.DUMMYFUNCTION("""COMPUTED_VALUE"""),"María Angélica ")</f>
        <v>María Angélica </v>
      </c>
      <c r="F956" s="7" t="str">
        <f>IFERROR(__xludf.DUMMYFUNCTION("""COMPUTED_VALUE"""),"gabrielazurlo@gmail,com")</f>
        <v>gabrielazurlo@gmail,com</v>
      </c>
      <c r="G956" s="20">
        <f>IFERROR(__xludf.DUMMYFUNCTION("""COMPUTED_VALUE"""),16501.0)</f>
        <v>16501</v>
      </c>
      <c r="H956" s="7">
        <f>IFERROR(__xludf.DUMMYFUNCTION("""COMPUTED_VALUE"""),5098861.0)</f>
        <v>5098861</v>
      </c>
      <c r="I956" s="7">
        <f>IFERROR(__xludf.DUMMYFUNCTION("""COMPUTED_VALUE"""),3.513746299E9)</f>
        <v>3513746299</v>
      </c>
      <c r="J956" s="7" t="str">
        <f>IFERROR(__xludf.DUMMYFUNCTION("""COMPUTED_VALUE"""),"Recomendación")</f>
        <v>Recomendación</v>
      </c>
      <c r="K956" s="7" t="str">
        <f>IFERROR(__xludf.DUMMYFUNCTION("""COMPUTED_VALUE"""),"Obra social")</f>
        <v>Obra social</v>
      </c>
      <c r="L956" s="7"/>
      <c r="M956" s="7" t="str">
        <f>IFERROR(__xludf.DUMMYFUNCTION("""COMPUTED_VALUE"""),"No")</f>
        <v>No</v>
      </c>
      <c r="N956" s="7"/>
      <c r="O956" s="7"/>
      <c r="P956" s="7"/>
      <c r="Q956" s="7" t="str">
        <f>IFERROR(__xludf.DUMMYFUNCTION("""COMPUTED_VALUE"""),"APROSS")</f>
        <v>APROSS</v>
      </c>
      <c r="R956" s="7"/>
      <c r="S956" s="7"/>
    </row>
    <row r="957">
      <c r="A957" s="7" t="str">
        <f t="shared" si="1"/>
        <v>Scordo, Claudia</v>
      </c>
      <c r="B957" s="7">
        <f>SUMIFS('bd caja'!$K$1:$K$1012,'bd caja'!$D$1:$D$1012,A957)</f>
        <v>0</v>
      </c>
      <c r="C957" s="19">
        <f>IFERROR(__xludf.DUMMYFUNCTION("""COMPUTED_VALUE"""),45763.77793542824)</f>
        <v>45763.77794</v>
      </c>
      <c r="D957" s="7" t="str">
        <f>IFERROR(__xludf.DUMMYFUNCTION("""COMPUTED_VALUE"""),"Scordo")</f>
        <v>Scordo</v>
      </c>
      <c r="E957" s="7" t="str">
        <f>IFERROR(__xludf.DUMMYFUNCTION("""COMPUTED_VALUE"""),"Claudia")</f>
        <v>Claudia</v>
      </c>
      <c r="F957" s="7" t="str">
        <f>IFERROR(__xludf.DUMMYFUNCTION("""COMPUTED_VALUE"""),"Claudiascordo16@gmail.com")</f>
        <v>Claudiascordo16@gmail.com</v>
      </c>
      <c r="G957" s="20">
        <f>IFERROR(__xludf.DUMMYFUNCTION("""COMPUTED_VALUE"""),25155.0)</f>
        <v>25155</v>
      </c>
      <c r="H957" s="7">
        <f>IFERROR(__xludf.DUMMYFUNCTION("""COMPUTED_VALUE"""),2.0532674E7)</f>
        <v>20532674</v>
      </c>
      <c r="I957" s="7">
        <f>IFERROR(__xludf.DUMMYFUNCTION("""COMPUTED_VALUE"""),3.515109541E9)</f>
        <v>3515109541</v>
      </c>
      <c r="J957" s="7" t="str">
        <f>IFERROR(__xludf.DUMMYFUNCTION("""COMPUTED_VALUE"""),"Recomendación")</f>
        <v>Recomendación</v>
      </c>
      <c r="K957" s="7" t="str">
        <f>IFERROR(__xludf.DUMMYFUNCTION("""COMPUTED_VALUE"""),"Particular")</f>
        <v>Particular</v>
      </c>
      <c r="L957" s="7"/>
      <c r="M957" s="7" t="str">
        <f>IFERROR(__xludf.DUMMYFUNCTION("""COMPUTED_VALUE"""),"Si")</f>
        <v>Si</v>
      </c>
      <c r="N957" s="7" t="str">
        <f>IFERROR(__xludf.DUMMYFUNCTION("""COMPUTED_VALUE"""),"Flamenco")</f>
        <v>Flamenco</v>
      </c>
      <c r="O957" s="7" t="str">
        <f>IFERROR(__xludf.DUMMYFUNCTION("""COMPUTED_VALUE"""),"1 a 2 veces por semana")</f>
        <v>1 a 2 veces por semana</v>
      </c>
      <c r="P957" s="7"/>
      <c r="Q957" s="7"/>
      <c r="R957" s="7"/>
      <c r="S957" s="7"/>
    </row>
    <row r="958">
      <c r="A958" s="7" t="str">
        <f t="shared" si="1"/>
        <v>Dolard, Agustin</v>
      </c>
      <c r="B958" s="7">
        <f>SUMIFS('bd caja'!$K$1:$K$1012,'bd caja'!$D$1:$D$1012,A958)</f>
        <v>0</v>
      </c>
      <c r="C958" s="19">
        <f>IFERROR(__xludf.DUMMYFUNCTION("""COMPUTED_VALUE"""),45764.64462274306)</f>
        <v>45764.64462</v>
      </c>
      <c r="D958" s="7" t="str">
        <f>IFERROR(__xludf.DUMMYFUNCTION("""COMPUTED_VALUE"""),"Dolard")</f>
        <v>Dolard</v>
      </c>
      <c r="E958" s="7" t="str">
        <f>IFERROR(__xludf.DUMMYFUNCTION("""COMPUTED_VALUE"""),"Agustin")</f>
        <v>Agustin</v>
      </c>
      <c r="F958" s="7"/>
      <c r="G958" s="20">
        <f>IFERROR(__xludf.DUMMYFUNCTION("""COMPUTED_VALUE"""),36090.0)</f>
        <v>36090</v>
      </c>
      <c r="H958" s="7">
        <f>IFERROR(__xludf.DUMMYFUNCTION("""COMPUTED_VALUE"""),4.1600143E7)</f>
        <v>41600143</v>
      </c>
      <c r="I958" s="7">
        <f>IFERROR(__xludf.DUMMYFUNCTION("""COMPUTED_VALUE"""),3.513484526E9)</f>
        <v>3513484526</v>
      </c>
      <c r="J958" s="7" t="str">
        <f>IFERROR(__xludf.DUMMYFUNCTION("""COMPUTED_VALUE"""),"Recomendación")</f>
        <v>Recomendación</v>
      </c>
      <c r="K958" s="7" t="str">
        <f>IFERROR(__xludf.DUMMYFUNCTION("""COMPUTED_VALUE"""),"Obra social")</f>
        <v>Obra social</v>
      </c>
      <c r="L958" s="7"/>
      <c r="M958" s="7" t="str">
        <f>IFERROR(__xludf.DUMMYFUNCTION("""COMPUTED_VALUE"""),"No")</f>
        <v>No</v>
      </c>
      <c r="N958" s="7"/>
      <c r="O958" s="7"/>
      <c r="P958" s="7"/>
      <c r="Q958" s="7"/>
      <c r="R958" s="7"/>
      <c r="S958" s="7"/>
    </row>
    <row r="959">
      <c r="A959" s="7" t="str">
        <f t="shared" si="1"/>
        <v>Dorflinger, Walter</v>
      </c>
      <c r="B959" s="7">
        <f>SUMIFS('bd caja'!$K$1:$K$1012,'bd caja'!$D$1:$D$1012,A959)</f>
        <v>0</v>
      </c>
      <c r="C959" s="19">
        <f>IFERROR(__xludf.DUMMYFUNCTION("""COMPUTED_VALUE"""),45764.75444334491)</f>
        <v>45764.75444</v>
      </c>
      <c r="D959" s="7" t="str">
        <f>IFERROR(__xludf.DUMMYFUNCTION("""COMPUTED_VALUE"""),"Dorflinger")</f>
        <v>Dorflinger</v>
      </c>
      <c r="E959" s="7" t="str">
        <f>IFERROR(__xludf.DUMMYFUNCTION("""COMPUTED_VALUE"""),"Walter")</f>
        <v>Walter</v>
      </c>
      <c r="F959" s="7" t="str">
        <f>IFERROR(__xludf.DUMMYFUNCTION("""COMPUTED_VALUE"""),"1059walter@gmail.com")</f>
        <v>1059walter@gmail.com</v>
      </c>
      <c r="G959" s="20">
        <f>IFERROR(__xludf.DUMMYFUNCTION("""COMPUTED_VALUE"""),21680.0)</f>
        <v>21680</v>
      </c>
      <c r="H959" s="7">
        <f>IFERROR(__xludf.DUMMYFUNCTION("""COMPUTED_VALUE"""),1.2998499E7)</f>
        <v>12998499</v>
      </c>
      <c r="I959" s="7">
        <f>IFERROR(__xludf.DUMMYFUNCTION("""COMPUTED_VALUE"""),3.516880117E9)</f>
        <v>3516880117</v>
      </c>
      <c r="J959" s="7" t="str">
        <f>IFERROR(__xludf.DUMMYFUNCTION("""COMPUTED_VALUE"""),"Recomendación")</f>
        <v>Recomendación</v>
      </c>
      <c r="K959" s="7" t="str">
        <f>IFERROR(__xludf.DUMMYFUNCTION("""COMPUTED_VALUE"""),"Particular")</f>
        <v>Particular</v>
      </c>
      <c r="L959" s="7"/>
      <c r="M959" s="7" t="str">
        <f>IFERROR(__xludf.DUMMYFUNCTION("""COMPUTED_VALUE"""),"Si")</f>
        <v>Si</v>
      </c>
      <c r="N959" s="7" t="str">
        <f>IFERROR(__xludf.DUMMYFUNCTION("""COMPUTED_VALUE"""),"Fronto")</f>
        <v>Fronto</v>
      </c>
      <c r="O959" s="7" t="str">
        <f>IFERROR(__xludf.DUMMYFUNCTION("""COMPUTED_VALUE"""),"1 a 2 veces por semana")</f>
        <v>1 a 2 veces por semana</v>
      </c>
      <c r="P959" s="7"/>
      <c r="Q959" s="7"/>
      <c r="R959" s="7"/>
      <c r="S959" s="7"/>
    </row>
    <row r="960">
      <c r="A960" s="7" t="str">
        <f t="shared" si="1"/>
        <v>Aguirre Messina, Paloma</v>
      </c>
      <c r="B960" s="7">
        <f>SUMIFS('bd caja'!$K$1:$K$1012,'bd caja'!$D$1:$D$1012,A960)</f>
        <v>0</v>
      </c>
      <c r="C960" s="19">
        <f>IFERROR(__xludf.DUMMYFUNCTION("""COMPUTED_VALUE"""),45764.78974784722)</f>
        <v>45764.78975</v>
      </c>
      <c r="D960" s="7" t="str">
        <f>IFERROR(__xludf.DUMMYFUNCTION("""COMPUTED_VALUE"""),"Aguirre Messina")</f>
        <v>Aguirre Messina</v>
      </c>
      <c r="E960" s="7" t="str">
        <f>IFERROR(__xludf.DUMMYFUNCTION("""COMPUTED_VALUE"""),"Paloma")</f>
        <v>Paloma</v>
      </c>
      <c r="F960" s="7" t="str">
        <f>IFERROR(__xludf.DUMMYFUNCTION("""COMPUTED_VALUE"""),"palomamessina10@gmail.com")</f>
        <v>palomamessina10@gmail.com</v>
      </c>
      <c r="G960" s="20">
        <f>IFERROR(__xludf.DUMMYFUNCTION("""COMPUTED_VALUE"""),38654.0)</f>
        <v>38654</v>
      </c>
      <c r="H960" s="7">
        <f>IFERROR(__xludf.DUMMYFUNCTION("""COMPUTED_VALUE"""),4.6849942E7)</f>
        <v>46849942</v>
      </c>
      <c r="I960" s="7">
        <f>IFERROR(__xludf.DUMMYFUNCTION("""COMPUTED_VALUE"""),3.518026715E9)</f>
        <v>3518026715</v>
      </c>
      <c r="J960" s="7" t="str">
        <f>IFERROR(__xludf.DUMMYFUNCTION("""COMPUTED_VALUE"""),"Voy al gym Manantial")</f>
        <v>Voy al gym Manantial</v>
      </c>
      <c r="K960" s="7" t="str">
        <f>IFERROR(__xludf.DUMMYFUNCTION("""COMPUTED_VALUE"""),"Obra social")</f>
        <v>Obra social</v>
      </c>
      <c r="L960" s="7"/>
      <c r="M960" s="7" t="str">
        <f>IFERROR(__xludf.DUMMYFUNCTION("""COMPUTED_VALUE"""),"Si")</f>
        <v>Si</v>
      </c>
      <c r="N960" s="7" t="str">
        <f>IFERROR(__xludf.DUMMYFUNCTION("""COMPUTED_VALUE"""),"Fútbol")</f>
        <v>Fútbol</v>
      </c>
      <c r="O960" s="7" t="str">
        <f>IFERROR(__xludf.DUMMYFUNCTION("""COMPUTED_VALUE"""),"3 a 5 veces por semana")</f>
        <v>3 a 5 veces por semana</v>
      </c>
      <c r="P960" s="7"/>
      <c r="Q960" s="7" t="str">
        <f>IFERROR(__xludf.DUMMYFUNCTION("""COMPUTED_VALUE"""),"APROSS")</f>
        <v>APROSS</v>
      </c>
      <c r="R960" s="7"/>
      <c r="S960" s="7"/>
    </row>
    <row r="961">
      <c r="A961" s="7" t="str">
        <f t="shared" si="1"/>
        <v>Ponce, Mailen</v>
      </c>
      <c r="B961" s="7">
        <f>SUMIFS('bd caja'!$K$1:$K$1012,'bd caja'!$D$1:$D$1012,A961)</f>
        <v>0</v>
      </c>
      <c r="C961" s="19">
        <f>IFERROR(__xludf.DUMMYFUNCTION("""COMPUTED_VALUE"""),45768.4181088426)</f>
        <v>45768.41811</v>
      </c>
      <c r="D961" s="7" t="str">
        <f>IFERROR(__xludf.DUMMYFUNCTION("""COMPUTED_VALUE"""),"Ponce")</f>
        <v>Ponce</v>
      </c>
      <c r="E961" s="7" t="str">
        <f>IFERROR(__xludf.DUMMYFUNCTION("""COMPUTED_VALUE"""),"Mailen")</f>
        <v>Mailen</v>
      </c>
      <c r="F961" s="7" t="str">
        <f>IFERROR(__xludf.DUMMYFUNCTION("""COMPUTED_VALUE"""),"cele_1504@hotmail.com")</f>
        <v>cele_1504@hotmail.com</v>
      </c>
      <c r="G961" s="20">
        <f>IFERROR(__xludf.DUMMYFUNCTION("""COMPUTED_VALUE"""),40592.0)</f>
        <v>40592</v>
      </c>
      <c r="H961" s="7">
        <f>IFERROR(__xludf.DUMMYFUNCTION("""COMPUTED_VALUE"""),5.0854409E7)</f>
        <v>50854409</v>
      </c>
      <c r="I961" s="7">
        <f>IFERROR(__xludf.DUMMYFUNCTION("""COMPUTED_VALUE"""),3.51258676E9)</f>
        <v>3512586760</v>
      </c>
      <c r="J961" s="7" t="str">
        <f>IFERROR(__xludf.DUMMYFUNCTION("""COMPUTED_VALUE"""),"Instagram")</f>
        <v>Instagram</v>
      </c>
      <c r="K961" s="7" t="str">
        <f>IFERROR(__xludf.DUMMYFUNCTION("""COMPUTED_VALUE"""),"Obra social")</f>
        <v>Obra social</v>
      </c>
      <c r="L961" s="7"/>
      <c r="M961" s="7" t="str">
        <f>IFERROR(__xludf.DUMMYFUNCTION("""COMPUTED_VALUE"""),"Si")</f>
        <v>Si</v>
      </c>
      <c r="N961" s="7" t="str">
        <f>IFERROR(__xludf.DUMMYFUNCTION("""COMPUTED_VALUE"""),"Básquet")</f>
        <v>Básquet</v>
      </c>
      <c r="O961" s="7" t="str">
        <f>IFERROR(__xludf.DUMMYFUNCTION("""COMPUTED_VALUE"""),"3 a 5 veces por semana")</f>
        <v>3 a 5 veces por semana</v>
      </c>
      <c r="P961" s="7"/>
      <c r="Q961" s="7" t="str">
        <f>IFERROR(__xludf.DUMMYFUNCTION("""COMPUTED_VALUE"""),"PREVENCIÓN")</f>
        <v>PREVENCIÓN</v>
      </c>
      <c r="R961" s="7"/>
      <c r="S961" s="7"/>
    </row>
    <row r="962">
      <c r="A962" s="7" t="str">
        <f t="shared" si="1"/>
        <v>Cavallero Figueroa , Alma</v>
      </c>
      <c r="B962" s="7">
        <f>SUMIFS('bd caja'!$K$1:$K$1012,'bd caja'!$D$1:$D$1012,A962)</f>
        <v>0</v>
      </c>
      <c r="C962" s="19">
        <f>IFERROR(__xludf.DUMMYFUNCTION("""COMPUTED_VALUE"""),45768.41987266204)</f>
        <v>45768.41987</v>
      </c>
      <c r="D962" s="7" t="str">
        <f>IFERROR(__xludf.DUMMYFUNCTION("""COMPUTED_VALUE"""),"Cavallero Figueroa ")</f>
        <v>Cavallero Figueroa </v>
      </c>
      <c r="E962" s="7" t="str">
        <f>IFERROR(__xludf.DUMMYFUNCTION("""COMPUTED_VALUE"""),"Alma")</f>
        <v>Alma</v>
      </c>
      <c r="F962" s="7" t="str">
        <f>IFERROR(__xludf.DUMMYFUNCTION("""COMPUTED_VALUE"""),"ingaramo.ma@gmail.com")</f>
        <v>ingaramo.ma@gmail.com</v>
      </c>
      <c r="G962" s="20">
        <f>IFERROR(__xludf.DUMMYFUNCTION("""COMPUTED_VALUE"""),40270.0)</f>
        <v>40270</v>
      </c>
      <c r="H962" s="7">
        <f>IFERROR(__xludf.DUMMYFUNCTION("""COMPUTED_VALUE"""),5.286756E7)</f>
        <v>52867560</v>
      </c>
      <c r="I962" s="7">
        <f>IFERROR(__xludf.DUMMYFUNCTION("""COMPUTED_VALUE"""),3.512383506E9)</f>
        <v>3512383506</v>
      </c>
      <c r="J962" s="7" t="str">
        <f>IFERROR(__xludf.DUMMYFUNCTION("""COMPUTED_VALUE"""),"Recomendación")</f>
        <v>Recomendación</v>
      </c>
      <c r="K962" s="7" t="str">
        <f>IFERROR(__xludf.DUMMYFUNCTION("""COMPUTED_VALUE"""),"Particular")</f>
        <v>Particular</v>
      </c>
      <c r="L962" s="7"/>
      <c r="M962" s="7" t="str">
        <f>IFERROR(__xludf.DUMMYFUNCTION("""COMPUTED_VALUE"""),"Si")</f>
        <v>Si</v>
      </c>
      <c r="N962" s="7" t="str">
        <f>IFERROR(__xludf.DUMMYFUNCTION("""COMPUTED_VALUE"""),"Fútbol")</f>
        <v>Fútbol</v>
      </c>
      <c r="O962" s="7" t="str">
        <f>IFERROR(__xludf.DUMMYFUNCTION("""COMPUTED_VALUE"""),"3 a 5 veces por semana")</f>
        <v>3 a 5 veces por semana</v>
      </c>
      <c r="P962" s="7"/>
      <c r="Q962" s="7"/>
      <c r="R962" s="7"/>
      <c r="S962" s="7"/>
    </row>
    <row r="963">
      <c r="A963" s="7" t="str">
        <f t="shared" si="1"/>
        <v>Gallardo, Alejandro</v>
      </c>
      <c r="B963" s="7">
        <f>SUMIFS('bd caja'!$K$1:$K$1012,'bd caja'!$D$1:$D$1012,A963)</f>
        <v>0</v>
      </c>
      <c r="C963" s="19">
        <f>IFERROR(__xludf.DUMMYFUNCTION("""COMPUTED_VALUE"""),45768.44489866898)</f>
        <v>45768.4449</v>
      </c>
      <c r="D963" s="7" t="str">
        <f>IFERROR(__xludf.DUMMYFUNCTION("""COMPUTED_VALUE"""),"Gallardo")</f>
        <v>Gallardo</v>
      </c>
      <c r="E963" s="7" t="str">
        <f>IFERROR(__xludf.DUMMYFUNCTION("""COMPUTED_VALUE"""),"Alejandro")</f>
        <v>Alejandro</v>
      </c>
      <c r="F963" s="7" t="str">
        <f>IFERROR(__xludf.DUMMYFUNCTION("""COMPUTED_VALUE"""),"Ale47gallardo@gmail.com")</f>
        <v>Ale47gallardo@gmail.com</v>
      </c>
      <c r="G963" s="20">
        <f>IFERROR(__xludf.DUMMYFUNCTION("""COMPUTED_VALUE"""),32028.0)</f>
        <v>32028</v>
      </c>
      <c r="H963" s="7">
        <f>IFERROR(__xludf.DUMMYFUNCTION("""COMPUTED_VALUE"""),3.3227169E7)</f>
        <v>33227169</v>
      </c>
      <c r="I963" s="7">
        <f>IFERROR(__xludf.DUMMYFUNCTION("""COMPUTED_VALUE"""),3.517672758E9)</f>
        <v>3517672758</v>
      </c>
      <c r="J963" s="7" t="str">
        <f>IFERROR(__xludf.DUMMYFUNCTION("""COMPUTED_VALUE"""),"Iba al gym manantial")</f>
        <v>Iba al gym manantial</v>
      </c>
      <c r="K963" s="7" t="str">
        <f>IFERROR(__xludf.DUMMYFUNCTION("""COMPUTED_VALUE"""),"Particular")</f>
        <v>Particular</v>
      </c>
      <c r="L963" s="7"/>
      <c r="M963" s="7" t="str">
        <f>IFERROR(__xludf.DUMMYFUNCTION("""COMPUTED_VALUE"""),"No")</f>
        <v>No</v>
      </c>
      <c r="N963" s="7"/>
      <c r="O963" s="7"/>
      <c r="P963" s="7"/>
      <c r="Q963" s="7"/>
      <c r="R963" s="7"/>
      <c r="S963" s="7"/>
    </row>
    <row r="964">
      <c r="A964" s="7" t="str">
        <f t="shared" si="1"/>
        <v>Ludueña, Ignacio</v>
      </c>
      <c r="B964" s="7">
        <f>SUMIFS('bd caja'!$K$1:$K$1012,'bd caja'!$D$1:$D$1012,A964)</f>
        <v>0</v>
      </c>
      <c r="C964" s="19">
        <f>IFERROR(__xludf.DUMMYFUNCTION("""COMPUTED_VALUE"""),45768.47998049769)</f>
        <v>45768.47998</v>
      </c>
      <c r="D964" s="7" t="str">
        <f>IFERROR(__xludf.DUMMYFUNCTION("""COMPUTED_VALUE"""),"Ludueña")</f>
        <v>Ludueña</v>
      </c>
      <c r="E964" s="7" t="str">
        <f>IFERROR(__xludf.DUMMYFUNCTION("""COMPUTED_VALUE"""),"Ignacio")</f>
        <v>Ignacio</v>
      </c>
      <c r="F964" s="7" t="str">
        <f>IFERROR(__xludf.DUMMYFUNCTION("""COMPUTED_VALUE"""),"nachitoiacc@gmail.com")</f>
        <v>nachitoiacc@gmail.com</v>
      </c>
      <c r="G964" s="20">
        <f>IFERROR(__xludf.DUMMYFUNCTION("""COMPUTED_VALUE"""),37432.0)</f>
        <v>37432</v>
      </c>
      <c r="H964" s="7">
        <f>IFERROR(__xludf.DUMMYFUNCTION("""COMPUTED_VALUE"""),4.3811634E7)</f>
        <v>43811634</v>
      </c>
      <c r="I964" s="7">
        <f>IFERROR(__xludf.DUMMYFUNCTION("""COMPUTED_VALUE"""),3.516988111E9)</f>
        <v>3516988111</v>
      </c>
      <c r="J964" s="7" t="str">
        <f>IFERROR(__xludf.DUMMYFUNCTION("""COMPUTED_VALUE"""),"Instagram")</f>
        <v>Instagram</v>
      </c>
      <c r="K964" s="7" t="str">
        <f>IFERROR(__xludf.DUMMYFUNCTION("""COMPUTED_VALUE"""),"Particular")</f>
        <v>Particular</v>
      </c>
      <c r="L964" s="7"/>
      <c r="M964" s="7" t="str">
        <f>IFERROR(__xludf.DUMMYFUNCTION("""COMPUTED_VALUE"""),"Si")</f>
        <v>Si</v>
      </c>
      <c r="N964" s="7" t="str">
        <f>IFERROR(__xludf.DUMMYFUNCTION("""COMPUTED_VALUE"""),"Fútbol")</f>
        <v>Fútbol</v>
      </c>
      <c r="O964" s="7" t="str">
        <f>IFERROR(__xludf.DUMMYFUNCTION("""COMPUTED_VALUE"""),"3 a 5 veces por semana")</f>
        <v>3 a 5 veces por semana</v>
      </c>
      <c r="P964" s="7"/>
      <c r="Q964" s="7"/>
      <c r="R964" s="7"/>
      <c r="S964" s="7"/>
    </row>
    <row r="965">
      <c r="A965" s="7" t="str">
        <f t="shared" si="1"/>
        <v>CERASO , Lucas </v>
      </c>
      <c r="B965" s="7">
        <f>SUMIFS('bd caja'!$K$1:$K$1012,'bd caja'!$D$1:$D$1012,A965)</f>
        <v>0</v>
      </c>
      <c r="C965" s="19">
        <f>IFERROR(__xludf.DUMMYFUNCTION("""COMPUTED_VALUE"""),45768.73816237268)</f>
        <v>45768.73816</v>
      </c>
      <c r="D965" s="7" t="str">
        <f>IFERROR(__xludf.DUMMYFUNCTION("""COMPUTED_VALUE"""),"CERASO ")</f>
        <v>CERASO </v>
      </c>
      <c r="E965" s="7" t="str">
        <f>IFERROR(__xludf.DUMMYFUNCTION("""COMPUTED_VALUE"""),"Lucas ")</f>
        <v>Lucas </v>
      </c>
      <c r="F965" s="7" t="str">
        <f>IFERROR(__xludf.DUMMYFUNCTION("""COMPUTED_VALUE"""),"lucasceraso@hotmail.com")</f>
        <v>lucasceraso@hotmail.com</v>
      </c>
      <c r="G965" s="20">
        <f>IFERROR(__xludf.DUMMYFUNCTION("""COMPUTED_VALUE"""),30621.0)</f>
        <v>30621</v>
      </c>
      <c r="H965" s="7">
        <f>IFERROR(__xludf.DUMMYFUNCTION("""COMPUTED_VALUE"""),3.0389784E7)</f>
        <v>30389784</v>
      </c>
      <c r="I965" s="7">
        <f>IFERROR(__xludf.DUMMYFUNCTION("""COMPUTED_VALUE"""),3.412020195E9)</f>
        <v>3412020195</v>
      </c>
      <c r="J965" s="7" t="str">
        <f>IFERROR(__xludf.DUMMYFUNCTION("""COMPUTED_VALUE"""),"Recomendación")</f>
        <v>Recomendación</v>
      </c>
      <c r="K965" s="7" t="str">
        <f>IFERROR(__xludf.DUMMYFUNCTION("""COMPUTED_VALUE"""),"Particular")</f>
        <v>Particular</v>
      </c>
      <c r="L965" s="7"/>
      <c r="M965" s="7" t="str">
        <f>IFERROR(__xludf.DUMMYFUNCTION("""COMPUTED_VALUE"""),"Si")</f>
        <v>Si</v>
      </c>
      <c r="N965" s="7" t="str">
        <f>IFERROR(__xludf.DUMMYFUNCTION("""COMPUTED_VALUE"""),"Trote, caminata y futbol eventualmente ")</f>
        <v>Trote, caminata y futbol eventualmente </v>
      </c>
      <c r="O965" s="7" t="str">
        <f>IFERROR(__xludf.DUMMYFUNCTION("""COMPUTED_VALUE"""),"3 a 5 veces por semana")</f>
        <v>3 a 5 veces por semana</v>
      </c>
      <c r="P965" s="7"/>
      <c r="Q965" s="7"/>
      <c r="R965" s="7"/>
      <c r="S965" s="7"/>
    </row>
    <row r="966">
      <c r="A966" s="7" t="str">
        <f t="shared" si="1"/>
        <v>Batallan, Raul</v>
      </c>
      <c r="B966" s="7">
        <f>SUMIFS('bd caja'!$K$1:$K$1012,'bd caja'!$D$1:$D$1012,A966)</f>
        <v>0</v>
      </c>
      <c r="C966" s="19">
        <f>IFERROR(__xludf.DUMMYFUNCTION("""COMPUTED_VALUE"""),45768.80587377315)</f>
        <v>45768.80587</v>
      </c>
      <c r="D966" s="7" t="str">
        <f>IFERROR(__xludf.DUMMYFUNCTION("""COMPUTED_VALUE"""),"Batallan")</f>
        <v>Batallan</v>
      </c>
      <c r="E966" s="7" t="str">
        <f>IFERROR(__xludf.DUMMYFUNCTION("""COMPUTED_VALUE"""),"Raul")</f>
        <v>Raul</v>
      </c>
      <c r="F966" s="7" t="str">
        <f>IFERROR(__xludf.DUMMYFUNCTION("""COMPUTED_VALUE"""),"rbatallan@broggio.com.ar")</f>
        <v>rbatallan@broggio.com.ar</v>
      </c>
      <c r="G966" s="20">
        <f>IFERROR(__xludf.DUMMYFUNCTION("""COMPUTED_VALUE"""),20884.0)</f>
        <v>20884</v>
      </c>
      <c r="H966" s="7">
        <f>IFERROR(__xludf.DUMMYFUNCTION("""COMPUTED_VALUE"""),1.2995443E7)</f>
        <v>12995443</v>
      </c>
      <c r="I966" s="7">
        <f>IFERROR(__xludf.DUMMYFUNCTION("""COMPUTED_VALUE"""),3.515214857E9)</f>
        <v>3515214857</v>
      </c>
      <c r="J966" s="7" t="str">
        <f>IFERROR(__xludf.DUMMYFUNCTION("""COMPUTED_VALUE"""),"Voy al gym Manantial")</f>
        <v>Voy al gym Manantial</v>
      </c>
      <c r="K966" s="7" t="str">
        <f>IFERROR(__xludf.DUMMYFUNCTION("""COMPUTED_VALUE"""),"Particular")</f>
        <v>Particular</v>
      </c>
      <c r="L966" s="7"/>
      <c r="M966" s="7" t="str">
        <f>IFERROR(__xludf.DUMMYFUNCTION("""COMPUTED_VALUE"""),"Si")</f>
        <v>Si</v>
      </c>
      <c r="N966" s="7" t="str">
        <f>IFERROR(__xludf.DUMMYFUNCTION("""COMPUTED_VALUE"""),"Gimnasio")</f>
        <v>Gimnasio</v>
      </c>
      <c r="O966" s="7" t="str">
        <f>IFERROR(__xludf.DUMMYFUNCTION("""COMPUTED_VALUE"""),"3 a 5 veces por semana")</f>
        <v>3 a 5 veces por semana</v>
      </c>
      <c r="P966" s="7"/>
      <c r="Q966" s="7"/>
      <c r="R966" s="7"/>
      <c r="S966" s="7"/>
    </row>
    <row r="967">
      <c r="A967" s="7" t="str">
        <f t="shared" si="1"/>
        <v>GIACOMELLI, Franco </v>
      </c>
      <c r="B967" s="7">
        <f>SUMIFS('bd caja'!$K$1:$K$1012,'bd caja'!$D$1:$D$1012,A967)</f>
        <v>0</v>
      </c>
      <c r="C967" s="19">
        <f>IFERROR(__xludf.DUMMYFUNCTION("""COMPUTED_VALUE"""),45768.83373039352)</f>
        <v>45768.83373</v>
      </c>
      <c r="D967" s="7" t="str">
        <f>IFERROR(__xludf.DUMMYFUNCTION("""COMPUTED_VALUE"""),"GIACOMELLI")</f>
        <v>GIACOMELLI</v>
      </c>
      <c r="E967" s="7" t="str">
        <f>IFERROR(__xludf.DUMMYFUNCTION("""COMPUTED_VALUE"""),"Franco ")</f>
        <v>Franco </v>
      </c>
      <c r="F967" s="7" t="str">
        <f>IFERROR(__xludf.DUMMYFUNCTION("""COMPUTED_VALUE"""),"francopgsa@gmail.com")</f>
        <v>francopgsa@gmail.com</v>
      </c>
      <c r="G967" s="20">
        <f>IFERROR(__xludf.DUMMYFUNCTION("""COMPUTED_VALUE"""),34684.0)</f>
        <v>34684</v>
      </c>
      <c r="H967" s="7">
        <f>IFERROR(__xludf.DUMMYFUNCTION("""COMPUTED_VALUE"""),3.8644083E7)</f>
        <v>38644083</v>
      </c>
      <c r="I967" s="7">
        <f>IFERROR(__xludf.DUMMYFUNCTION("""COMPUTED_VALUE"""),3.5131272E9)</f>
        <v>3513127200</v>
      </c>
      <c r="J967" s="7" t="str">
        <f>IFERROR(__xludf.DUMMYFUNCTION("""COMPUTED_VALUE"""),"Voy al gym Manantial")</f>
        <v>Voy al gym Manantial</v>
      </c>
      <c r="K967" s="7" t="str">
        <f>IFERROR(__xludf.DUMMYFUNCTION("""COMPUTED_VALUE"""),"Particular")</f>
        <v>Particular</v>
      </c>
      <c r="L967" s="7"/>
      <c r="M967" s="7" t="str">
        <f>IFERROR(__xludf.DUMMYFUNCTION("""COMPUTED_VALUE"""),"Si")</f>
        <v>Si</v>
      </c>
      <c r="N967" s="7" t="str">
        <f>IFERROR(__xludf.DUMMYFUNCTION("""COMPUTED_VALUE"""),"gimnasio, BMX")</f>
        <v>gimnasio, BMX</v>
      </c>
      <c r="O967" s="7" t="str">
        <f>IFERROR(__xludf.DUMMYFUNCTION("""COMPUTED_VALUE"""),"3 a 5 veces por semana")</f>
        <v>3 a 5 veces por semana</v>
      </c>
      <c r="P967" s="7"/>
      <c r="Q967" s="7"/>
      <c r="R967" s="7"/>
      <c r="S967" s="7"/>
    </row>
    <row r="968">
      <c r="A968" s="7" t="str">
        <f t="shared" si="1"/>
        <v>Acosta, Maylen </v>
      </c>
      <c r="B968" s="7">
        <f>SUMIFS('bd caja'!$K$1:$K$1012,'bd caja'!$D$1:$D$1012,A968)</f>
        <v>0</v>
      </c>
      <c r="C968" s="19">
        <f>IFERROR(__xludf.DUMMYFUNCTION("""COMPUTED_VALUE"""),45769.43528950232)</f>
        <v>45769.43529</v>
      </c>
      <c r="D968" s="7" t="str">
        <f>IFERROR(__xludf.DUMMYFUNCTION("""COMPUTED_VALUE"""),"Acosta")</f>
        <v>Acosta</v>
      </c>
      <c r="E968" s="7" t="str">
        <f>IFERROR(__xludf.DUMMYFUNCTION("""COMPUTED_VALUE"""),"Maylen ")</f>
        <v>Maylen </v>
      </c>
      <c r="F968" s="7" t="str">
        <f>IFERROR(__xludf.DUMMYFUNCTION("""COMPUTED_VALUE"""),"acostamaylen6@gmail.com")</f>
        <v>acostamaylen6@gmail.com</v>
      </c>
      <c r="G968" s="20">
        <f>IFERROR(__xludf.DUMMYFUNCTION("""COMPUTED_VALUE"""),37868.0)</f>
        <v>37868</v>
      </c>
      <c r="H968" s="7">
        <f>IFERROR(__xludf.DUMMYFUNCTION("""COMPUTED_VALUE"""),4.5026146E7)</f>
        <v>45026146</v>
      </c>
      <c r="I968" s="7">
        <f>IFERROR(__xludf.DUMMYFUNCTION("""COMPUTED_VALUE"""),3.513799497E9)</f>
        <v>3513799497</v>
      </c>
      <c r="J968" s="7" t="str">
        <f>IFERROR(__xludf.DUMMYFUNCTION("""COMPUTED_VALUE"""),"Cartilla Obra Social")</f>
        <v>Cartilla Obra Social</v>
      </c>
      <c r="K968" s="7" t="str">
        <f>IFERROR(__xludf.DUMMYFUNCTION("""COMPUTED_VALUE"""),"Obra social")</f>
        <v>Obra social</v>
      </c>
      <c r="L968" s="7"/>
      <c r="M968" s="7" t="str">
        <f>IFERROR(__xludf.DUMMYFUNCTION("""COMPUTED_VALUE"""),"No")</f>
        <v>No</v>
      </c>
      <c r="N968" s="7"/>
      <c r="O968" s="7"/>
      <c r="P968" s="7"/>
      <c r="Q968" s="7" t="str">
        <f>IFERROR(__xludf.DUMMYFUNCTION("""COMPUTED_VALUE"""),"PREVENCIÓN")</f>
        <v>PREVENCIÓN</v>
      </c>
      <c r="R968" s="7"/>
      <c r="S968" s="7"/>
    </row>
    <row r="969">
      <c r="A969" s="7" t="str">
        <f t="shared" si="1"/>
        <v>Cabanillas, Miguel</v>
      </c>
      <c r="B969" s="7">
        <f>SUMIFS('bd caja'!$K$1:$K$1012,'bd caja'!$D$1:$D$1012,A969)</f>
        <v>0</v>
      </c>
      <c r="C969" s="19">
        <f>IFERROR(__xludf.DUMMYFUNCTION("""COMPUTED_VALUE"""),45769.83789949074)</f>
        <v>45769.8379</v>
      </c>
      <c r="D969" s="7" t="str">
        <f>IFERROR(__xludf.DUMMYFUNCTION("""COMPUTED_VALUE"""),"Cabanillas")</f>
        <v>Cabanillas</v>
      </c>
      <c r="E969" s="7" t="str">
        <f>IFERROR(__xludf.DUMMYFUNCTION("""COMPUTED_VALUE"""),"Miguel")</f>
        <v>Miguel</v>
      </c>
      <c r="F969" s="7" t="str">
        <f>IFERROR(__xludf.DUMMYFUNCTION("""COMPUTED_VALUE"""),"miguecabanillas@gmail.com")</f>
        <v>miguecabanillas@gmail.com</v>
      </c>
      <c r="G969" s="20">
        <f>IFERROR(__xludf.DUMMYFUNCTION("""COMPUTED_VALUE"""),32503.0)</f>
        <v>32503</v>
      </c>
      <c r="H969" s="7">
        <f>IFERROR(__xludf.DUMMYFUNCTION("""COMPUTED_VALUE"""),3.431674E7)</f>
        <v>34316740</v>
      </c>
      <c r="I969" s="7">
        <f>IFERROR(__xludf.DUMMYFUNCTION("""COMPUTED_VALUE"""),3.512441054E9)</f>
        <v>3512441054</v>
      </c>
      <c r="J969" s="7" t="str">
        <f>IFERROR(__xludf.DUMMYFUNCTION("""COMPUTED_VALUE"""),"Voy al gym Manantial")</f>
        <v>Voy al gym Manantial</v>
      </c>
      <c r="K969" s="7" t="str">
        <f>IFERROR(__xludf.DUMMYFUNCTION("""COMPUTED_VALUE"""),"Obra social")</f>
        <v>Obra social</v>
      </c>
      <c r="L969" s="7"/>
      <c r="M969" s="7" t="str">
        <f>IFERROR(__xludf.DUMMYFUNCTION("""COMPUTED_VALUE"""),"Si")</f>
        <v>Si</v>
      </c>
      <c r="N969" s="7" t="str">
        <f>IFERROR(__xludf.DUMMYFUNCTION("""COMPUTED_VALUE"""),"Golf")</f>
        <v>Golf</v>
      </c>
      <c r="O969" s="7" t="str">
        <f>IFERROR(__xludf.DUMMYFUNCTION("""COMPUTED_VALUE"""),"1 a 2 veces por semana")</f>
        <v>1 a 2 veces por semana</v>
      </c>
      <c r="P969" s="7"/>
      <c r="Q969" s="7" t="str">
        <f>IFERROR(__xludf.DUMMYFUNCTION("""COMPUTED_VALUE"""),"DASPU")</f>
        <v>DASPU</v>
      </c>
      <c r="R969" s="7"/>
      <c r="S969" s="7"/>
    </row>
    <row r="970">
      <c r="A970" s="7" t="str">
        <f t="shared" si="1"/>
        <v>Cortez, Angelica Nene</v>
      </c>
      <c r="B970" s="7">
        <f>SUMIFS('bd caja'!$K$1:$K$1012,'bd caja'!$D$1:$D$1012,A970)</f>
        <v>0</v>
      </c>
      <c r="C970" s="19">
        <f>IFERROR(__xludf.DUMMYFUNCTION("""COMPUTED_VALUE"""),45770.41000300926)</f>
        <v>45770.41</v>
      </c>
      <c r="D970" s="7" t="str">
        <f>IFERROR(__xludf.DUMMYFUNCTION("""COMPUTED_VALUE"""),"Cortez")</f>
        <v>Cortez</v>
      </c>
      <c r="E970" s="7" t="str">
        <f>IFERROR(__xludf.DUMMYFUNCTION("""COMPUTED_VALUE"""),"Angelica Nene")</f>
        <v>Angelica Nene</v>
      </c>
      <c r="F970" s="7" t="str">
        <f>IFERROR(__xludf.DUMMYFUNCTION("""COMPUTED_VALUE"""),"nenecitapatino0501@gmail.com")</f>
        <v>nenecitapatino0501@gmail.com</v>
      </c>
      <c r="G970" s="20">
        <f>IFERROR(__xludf.DUMMYFUNCTION("""COMPUTED_VALUE"""),18633.0)</f>
        <v>18633</v>
      </c>
      <c r="H970" s="7">
        <f>IFERROR(__xludf.DUMMYFUNCTION("""COMPUTED_VALUE"""),6494708.0)</f>
        <v>6494708</v>
      </c>
      <c r="I970" s="7" t="str">
        <f>IFERROR(__xludf.DUMMYFUNCTION("""COMPUTED_VALUE""")," ")</f>
        <v> </v>
      </c>
      <c r="J970" s="7" t="str">
        <f>IFERROR(__xludf.DUMMYFUNCTION("""COMPUTED_VALUE"""),"Voy al gym Manantial")</f>
        <v>Voy al gym Manantial</v>
      </c>
      <c r="K970" s="7" t="str">
        <f>IFERROR(__xludf.DUMMYFUNCTION("""COMPUTED_VALUE"""),"Obra social")</f>
        <v>Obra social</v>
      </c>
      <c r="L970" s="7"/>
      <c r="M970" s="7" t="str">
        <f>IFERROR(__xludf.DUMMYFUNCTION("""COMPUTED_VALUE"""),"No")</f>
        <v>No</v>
      </c>
      <c r="N970" s="7"/>
      <c r="O970" s="7"/>
      <c r="P970" s="7"/>
      <c r="Q970" s="7" t="str">
        <f>IFERROR(__xludf.DUMMYFUNCTION("""COMPUTED_VALUE"""),"DASPU")</f>
        <v>DASPU</v>
      </c>
      <c r="R970" s="7"/>
      <c r="S970" s="7"/>
    </row>
    <row r="971">
      <c r="A971" s="7" t="str">
        <f t="shared" si="1"/>
        <v>Paulino, Sofia</v>
      </c>
      <c r="B971" s="7">
        <f>SUMIFS('bd caja'!$K$1:$K$1012,'bd caja'!$D$1:$D$1012,A971)</f>
        <v>0</v>
      </c>
      <c r="C971" s="19">
        <f>IFERROR(__xludf.DUMMYFUNCTION("""COMPUTED_VALUE"""),45770.764709062496)</f>
        <v>45770.76471</v>
      </c>
      <c r="D971" s="7" t="str">
        <f>IFERROR(__xludf.DUMMYFUNCTION("""COMPUTED_VALUE"""),"Paulino")</f>
        <v>Paulino</v>
      </c>
      <c r="E971" s="7" t="str">
        <f>IFERROR(__xludf.DUMMYFUNCTION("""COMPUTED_VALUE"""),"Sofia")</f>
        <v>Sofia</v>
      </c>
      <c r="F971" s="7" t="str">
        <f>IFERROR(__xludf.DUMMYFUNCTION("""COMPUTED_VALUE"""),"lic.vatiluschi@gmail.com")</f>
        <v>lic.vatiluschi@gmail.com</v>
      </c>
      <c r="G971" s="20">
        <f>IFERROR(__xludf.DUMMYFUNCTION("""COMPUTED_VALUE"""),40422.0)</f>
        <v>40422</v>
      </c>
      <c r="H971" s="7">
        <f>IFERROR(__xludf.DUMMYFUNCTION("""COMPUTED_VALUE"""),5.0422125E7)</f>
        <v>50422125</v>
      </c>
      <c r="I971" s="7" t="str">
        <f>IFERROR(__xludf.DUMMYFUNCTION("""COMPUTED_VALUE""")," ")</f>
        <v> </v>
      </c>
      <c r="J971" s="7" t="str">
        <f>IFERROR(__xludf.DUMMYFUNCTION("""COMPUTED_VALUE"""),"Voy al gym Manantial")</f>
        <v>Voy al gym Manantial</v>
      </c>
      <c r="K971" s="7" t="str">
        <f>IFERROR(__xludf.DUMMYFUNCTION("""COMPUTED_VALUE"""),"Particular")</f>
        <v>Particular</v>
      </c>
      <c r="L971" s="7"/>
      <c r="M971" s="7" t="str">
        <f>IFERROR(__xludf.DUMMYFUNCTION("""COMPUTED_VALUE"""),"Si")</f>
        <v>Si</v>
      </c>
      <c r="N971" s="7" t="str">
        <f>IFERROR(__xludf.DUMMYFUNCTION("""COMPUTED_VALUE"""),"Handball")</f>
        <v>Handball</v>
      </c>
      <c r="O971" s="7" t="str">
        <f>IFERROR(__xludf.DUMMYFUNCTION("""COMPUTED_VALUE"""),"3 a 5 veces por semana")</f>
        <v>3 a 5 veces por semana</v>
      </c>
      <c r="P971" s="7"/>
      <c r="Q971" s="7"/>
      <c r="R971" s="7"/>
      <c r="S971" s="7"/>
    </row>
    <row r="972">
      <c r="A972" s="7" t="str">
        <f t="shared" si="1"/>
        <v>Tobares, Regina</v>
      </c>
      <c r="B972" s="7">
        <f>SUMIFS('bd caja'!$K$1:$K$1012,'bd caja'!$D$1:$D$1012,A972)</f>
        <v>0</v>
      </c>
      <c r="C972" s="19">
        <f>IFERROR(__xludf.DUMMYFUNCTION("""COMPUTED_VALUE"""),45771.69905420139)</f>
        <v>45771.69905</v>
      </c>
      <c r="D972" s="7" t="str">
        <f>IFERROR(__xludf.DUMMYFUNCTION("""COMPUTED_VALUE"""),"Tobares")</f>
        <v>Tobares</v>
      </c>
      <c r="E972" s="7" t="str">
        <f>IFERROR(__xludf.DUMMYFUNCTION("""COMPUTED_VALUE"""),"Regina")</f>
        <v>Regina</v>
      </c>
      <c r="F972" s="7" t="str">
        <f>IFERROR(__xludf.DUMMYFUNCTION("""COMPUTED_VALUE"""),"regina.tobares@gmail.com")</f>
        <v>regina.tobares@gmail.com</v>
      </c>
      <c r="G972" s="20">
        <f>IFERROR(__xludf.DUMMYFUNCTION("""COMPUTED_VALUE"""),31101.0)</f>
        <v>31101</v>
      </c>
      <c r="H972" s="7">
        <f>IFERROR(__xludf.DUMMYFUNCTION("""COMPUTED_VALUE"""),3.1355985E7)</f>
        <v>31355985</v>
      </c>
      <c r="I972" s="7">
        <f>IFERROR(__xludf.DUMMYFUNCTION("""COMPUTED_VALUE"""),3.512665822E9)</f>
        <v>3512665822</v>
      </c>
      <c r="J972" s="7" t="str">
        <f>IFERROR(__xludf.DUMMYFUNCTION("""COMPUTED_VALUE"""),"Recomendación")</f>
        <v>Recomendación</v>
      </c>
      <c r="K972" s="7" t="str">
        <f>IFERROR(__xludf.DUMMYFUNCTION("""COMPUTED_VALUE"""),"Particular")</f>
        <v>Particular</v>
      </c>
      <c r="L972" s="7"/>
      <c r="M972" s="7" t="str">
        <f>IFERROR(__xludf.DUMMYFUNCTION("""COMPUTED_VALUE"""),"Si")</f>
        <v>Si</v>
      </c>
      <c r="N972" s="7" t="str">
        <f>IFERROR(__xludf.DUMMYFUNCTION("""COMPUTED_VALUE"""),"Patin")</f>
        <v>Patin</v>
      </c>
      <c r="O972" s="7" t="str">
        <f>IFERROR(__xludf.DUMMYFUNCTION("""COMPUTED_VALUE"""),"3 a 5 veces por semana")</f>
        <v>3 a 5 veces por semana</v>
      </c>
      <c r="P972" s="7"/>
      <c r="Q972" s="7"/>
      <c r="R972" s="7"/>
      <c r="S972" s="7"/>
    </row>
    <row r="973">
      <c r="A973" s="7" t="str">
        <f t="shared" si="1"/>
        <v>Davila , Pablo </v>
      </c>
      <c r="B973" s="7">
        <f>SUMIFS('bd caja'!$K$1:$K$1012,'bd caja'!$D$1:$D$1012,A973)</f>
        <v>0</v>
      </c>
      <c r="C973" s="19">
        <f>IFERROR(__xludf.DUMMYFUNCTION("""COMPUTED_VALUE"""),45772.41903621527)</f>
        <v>45772.41904</v>
      </c>
      <c r="D973" s="7" t="str">
        <f>IFERROR(__xludf.DUMMYFUNCTION("""COMPUTED_VALUE"""),"Davila ")</f>
        <v>Davila </v>
      </c>
      <c r="E973" s="7" t="str">
        <f>IFERROR(__xludf.DUMMYFUNCTION("""COMPUTED_VALUE"""),"Pablo ")</f>
        <v>Pablo </v>
      </c>
      <c r="F973" s="7" t="str">
        <f>IFERROR(__xludf.DUMMYFUNCTION("""COMPUTED_VALUE"""),"pablo_davila@hotmail.com")</f>
        <v>pablo_davila@hotmail.com</v>
      </c>
      <c r="G973" s="20">
        <f>IFERROR(__xludf.DUMMYFUNCTION("""COMPUTED_VALUE"""),27580.0)</f>
        <v>27580</v>
      </c>
      <c r="H973" s="7">
        <f>IFERROR(__xludf.DUMMYFUNCTION("""COMPUTED_VALUE"""),2.4687262E7)</f>
        <v>24687262</v>
      </c>
      <c r="I973" s="7">
        <f>IFERROR(__xludf.DUMMYFUNCTION("""COMPUTED_VALUE"""),3.51302288E9)</f>
        <v>3513022880</v>
      </c>
      <c r="J973" s="7" t="str">
        <f>IFERROR(__xludf.DUMMYFUNCTION("""COMPUTED_VALUE"""),"Voy al gym Manantial")</f>
        <v>Voy al gym Manantial</v>
      </c>
      <c r="K973" s="7" t="str">
        <f>IFERROR(__xludf.DUMMYFUNCTION("""COMPUTED_VALUE"""),"Particular")</f>
        <v>Particular</v>
      </c>
      <c r="L973" s="7"/>
      <c r="M973" s="7" t="str">
        <f>IFERROR(__xludf.DUMMYFUNCTION("""COMPUTED_VALUE"""),"Si")</f>
        <v>Si</v>
      </c>
      <c r="N973" s="7" t="str">
        <f>IFERROR(__xludf.DUMMYFUNCTION("""COMPUTED_VALUE"""),"Gimnasio")</f>
        <v>Gimnasio</v>
      </c>
      <c r="O973" s="7" t="str">
        <f>IFERROR(__xludf.DUMMYFUNCTION("""COMPUTED_VALUE"""),"3 a 5 veces por semana")</f>
        <v>3 a 5 veces por semana</v>
      </c>
      <c r="P973" s="7"/>
      <c r="Q973" s="7"/>
      <c r="R973" s="7"/>
      <c r="S973" s="7"/>
    </row>
    <row r="974">
      <c r="A974" s="7" t="str">
        <f t="shared" si="1"/>
        <v>Moretto , Horacio</v>
      </c>
      <c r="B974" s="7">
        <f>SUMIFS('bd caja'!$K$1:$K$1012,'bd caja'!$D$1:$D$1012,A974)</f>
        <v>0</v>
      </c>
      <c r="C974" s="19">
        <f>IFERROR(__xludf.DUMMYFUNCTION("""COMPUTED_VALUE"""),45772.74968954861)</f>
        <v>45772.74969</v>
      </c>
      <c r="D974" s="7" t="str">
        <f>IFERROR(__xludf.DUMMYFUNCTION("""COMPUTED_VALUE"""),"Moretto ")</f>
        <v>Moretto </v>
      </c>
      <c r="E974" s="7" t="str">
        <f>IFERROR(__xludf.DUMMYFUNCTION("""COMPUTED_VALUE"""),"Horacio")</f>
        <v>Horacio</v>
      </c>
      <c r="F974" s="7" t="str">
        <f>IFERROR(__xludf.DUMMYFUNCTION("""COMPUTED_VALUE"""),"h_moretto65*hotmail.com")</f>
        <v>h_moretto65*hotmail.com</v>
      </c>
      <c r="G974" s="20">
        <f>IFERROR(__xludf.DUMMYFUNCTION("""COMPUTED_VALUE"""),23935.0)</f>
        <v>23935</v>
      </c>
      <c r="H974" s="7">
        <f>IFERROR(__xludf.DUMMYFUNCTION("""COMPUTED_VALUE"""),1.6665878E7)</f>
        <v>16665878</v>
      </c>
      <c r="I974" s="7">
        <f>IFERROR(__xludf.DUMMYFUNCTION("""COMPUTED_VALUE"""),3.515505817E9)</f>
        <v>3515505817</v>
      </c>
      <c r="J974" s="7" t="str">
        <f>IFERROR(__xludf.DUMMYFUNCTION("""COMPUTED_VALUE"""),"Recomendación")</f>
        <v>Recomendación</v>
      </c>
      <c r="K974" s="7" t="str">
        <f>IFERROR(__xludf.DUMMYFUNCTION("""COMPUTED_VALUE"""),"Particular")</f>
        <v>Particular</v>
      </c>
      <c r="L974" s="7"/>
      <c r="M974" s="7" t="str">
        <f>IFERROR(__xludf.DUMMYFUNCTION("""COMPUTED_VALUE"""),"Si")</f>
        <v>Si</v>
      </c>
      <c r="N974" s="7" t="str">
        <f>IFERROR(__xludf.DUMMYFUNCTION("""COMPUTED_VALUE"""),"Running")</f>
        <v>Running</v>
      </c>
      <c r="O974" s="7" t="str">
        <f>IFERROR(__xludf.DUMMYFUNCTION("""COMPUTED_VALUE"""),"3 a 5 veces por semana")</f>
        <v>3 a 5 veces por semana</v>
      </c>
      <c r="P974" s="7"/>
      <c r="Q974" s="7"/>
      <c r="R974" s="7"/>
      <c r="S974" s="7"/>
    </row>
    <row r="975">
      <c r="A975" s="7" t="str">
        <f t="shared" si="1"/>
        <v>VIBERTI, Carlos</v>
      </c>
      <c r="B975" s="7">
        <f>SUMIFS('bd caja'!$K$1:$K$1012,'bd caja'!$D$1:$D$1012,A975)</f>
        <v>0</v>
      </c>
      <c r="C975" s="19">
        <f>IFERROR(__xludf.DUMMYFUNCTION("""COMPUTED_VALUE"""),45775.843293541664)</f>
        <v>45775.84329</v>
      </c>
      <c r="D975" s="7" t="str">
        <f>IFERROR(__xludf.DUMMYFUNCTION("""COMPUTED_VALUE"""),"VIBERTI")</f>
        <v>VIBERTI</v>
      </c>
      <c r="E975" s="7" t="str">
        <f>IFERROR(__xludf.DUMMYFUNCTION("""COMPUTED_VALUE"""),"Carlos")</f>
        <v>Carlos</v>
      </c>
      <c r="F975" s="7" t="str">
        <f>IFERROR(__xludf.DUMMYFUNCTION("""COMPUTED_VALUE"""),"carlosvibertipapa@gmail.com")</f>
        <v>carlosvibertipapa@gmail.com</v>
      </c>
      <c r="G975" s="20">
        <f>IFERROR(__xludf.DUMMYFUNCTION("""COMPUTED_VALUE"""),25695.0)</f>
        <v>25695</v>
      </c>
      <c r="H975" s="7">
        <f>IFERROR(__xludf.DUMMYFUNCTION("""COMPUTED_VALUE"""),2.1567648E7)</f>
        <v>21567648</v>
      </c>
      <c r="I975" s="7">
        <f>IFERROR(__xludf.DUMMYFUNCTION("""COMPUTED_VALUE"""),3.514590212E9)</f>
        <v>3514590212</v>
      </c>
      <c r="J975" s="7" t="str">
        <f>IFERROR(__xludf.DUMMYFUNCTION("""COMPUTED_VALUE"""),"Voy al gym Manantial")</f>
        <v>Voy al gym Manantial</v>
      </c>
      <c r="K975" s="7" t="str">
        <f>IFERROR(__xludf.DUMMYFUNCTION("""COMPUTED_VALUE"""),"Particular")</f>
        <v>Particular</v>
      </c>
      <c r="L975" s="7"/>
      <c r="M975" s="7" t="str">
        <f>IFERROR(__xludf.DUMMYFUNCTION("""COMPUTED_VALUE"""),"Si")</f>
        <v>Si</v>
      </c>
      <c r="N975" s="7" t="str">
        <f>IFERROR(__xludf.DUMMYFUNCTION("""COMPUTED_VALUE"""),"Gym y montain")</f>
        <v>Gym y montain</v>
      </c>
      <c r="O975" s="7" t="str">
        <f>IFERROR(__xludf.DUMMYFUNCTION("""COMPUTED_VALUE"""),"3 a 5 veces por semana")</f>
        <v>3 a 5 veces por semana</v>
      </c>
      <c r="P975" s="7"/>
      <c r="Q975" s="7"/>
      <c r="R975" s="7"/>
      <c r="S975" s="7"/>
    </row>
    <row r="976">
      <c r="A976" s="7" t="str">
        <f t="shared" si="1"/>
        <v>Castro, Antonia Matilde</v>
      </c>
      <c r="B976" s="7">
        <f>SUMIFS('bd caja'!$K$1:$K$1012,'bd caja'!$D$1:$D$1012,A976)</f>
        <v>0</v>
      </c>
      <c r="C976" s="19">
        <f>IFERROR(__xludf.DUMMYFUNCTION("""COMPUTED_VALUE"""),45776.738338020834)</f>
        <v>45776.73834</v>
      </c>
      <c r="D976" s="7" t="str">
        <f>IFERROR(__xludf.DUMMYFUNCTION("""COMPUTED_VALUE"""),"Castro")</f>
        <v>Castro</v>
      </c>
      <c r="E976" s="7" t="str">
        <f>IFERROR(__xludf.DUMMYFUNCTION("""COMPUTED_VALUE"""),"Antonia Matilde")</f>
        <v>Antonia Matilde</v>
      </c>
      <c r="F976" s="7" t="str">
        <f>IFERROR(__xludf.DUMMYFUNCTION("""COMPUTED_VALUE"""),"piojin@live.com")</f>
        <v>piojin@live.com</v>
      </c>
      <c r="G976" s="20">
        <f>IFERROR(__xludf.DUMMYFUNCTION("""COMPUTED_VALUE"""),15395.0)</f>
        <v>15395</v>
      </c>
      <c r="H976" s="7">
        <f>IFERROR(__xludf.DUMMYFUNCTION("""COMPUTED_VALUE"""),4129035.0)</f>
        <v>4129035</v>
      </c>
      <c r="I976" s="7">
        <f>IFERROR(__xludf.DUMMYFUNCTION("""COMPUTED_VALUE"""),3.513565063E9)</f>
        <v>3513565063</v>
      </c>
      <c r="J976" s="7" t="str">
        <f>IFERROR(__xludf.DUMMYFUNCTION("""COMPUTED_VALUE"""),"Google")</f>
        <v>Google</v>
      </c>
      <c r="K976" s="7" t="str">
        <f>IFERROR(__xludf.DUMMYFUNCTION("""COMPUTED_VALUE"""),"Particular")</f>
        <v>Particular</v>
      </c>
      <c r="L976" s="7"/>
      <c r="M976" s="7" t="str">
        <f>IFERROR(__xludf.DUMMYFUNCTION("""COMPUTED_VALUE"""),"No")</f>
        <v>No</v>
      </c>
      <c r="N976" s="7"/>
      <c r="O976" s="7"/>
      <c r="P976" s="7"/>
      <c r="Q976" s="7"/>
      <c r="R976" s="7"/>
      <c r="S976" s="7"/>
    </row>
    <row r="977">
      <c r="A977" s="7" t="str">
        <f t="shared" si="1"/>
        <v>Merdidian, Juan Carlos</v>
      </c>
      <c r="B977" s="7">
        <f>SUMIFS('bd caja'!$K$1:$K$1012,'bd caja'!$D$1:$D$1012,A977)</f>
        <v>0</v>
      </c>
      <c r="C977" s="19">
        <f>IFERROR(__xludf.DUMMYFUNCTION("""COMPUTED_VALUE"""),45777.665995393516)</f>
        <v>45777.666</v>
      </c>
      <c r="D977" s="7" t="str">
        <f>IFERROR(__xludf.DUMMYFUNCTION("""COMPUTED_VALUE"""),"Merdidian")</f>
        <v>Merdidian</v>
      </c>
      <c r="E977" s="7" t="str">
        <f>IFERROR(__xludf.DUMMYFUNCTION("""COMPUTED_VALUE"""),"Juan Carlos")</f>
        <v>Juan Carlos</v>
      </c>
      <c r="F977" s="7" t="str">
        <f>IFERROR(__xludf.DUMMYFUNCTION("""COMPUTED_VALUE"""),"jcmer77@gmail.com")</f>
        <v>jcmer77@gmail.com</v>
      </c>
      <c r="G977" s="20">
        <f>IFERROR(__xludf.DUMMYFUNCTION("""COMPUTED_VALUE"""),21082.0)</f>
        <v>21082</v>
      </c>
      <c r="H977" s="7">
        <f>IFERROR(__xludf.DUMMYFUNCTION("""COMPUTED_VALUE"""),1.3373977E7)</f>
        <v>13373977</v>
      </c>
      <c r="I977" s="7">
        <f>IFERROR(__xludf.DUMMYFUNCTION("""COMPUTED_VALUE"""),3.513146903E9)</f>
        <v>3513146903</v>
      </c>
      <c r="J977" s="7" t="str">
        <f>IFERROR(__xludf.DUMMYFUNCTION("""COMPUTED_VALUE"""),"Recomendación")</f>
        <v>Recomendación</v>
      </c>
      <c r="K977" s="7" t="str">
        <f>IFERROR(__xludf.DUMMYFUNCTION("""COMPUTED_VALUE"""),"Particular")</f>
        <v>Particular</v>
      </c>
      <c r="L977" s="7"/>
      <c r="M977" s="7" t="str">
        <f>IFERROR(__xludf.DUMMYFUNCTION("""COMPUTED_VALUE"""),"No")</f>
        <v>No</v>
      </c>
      <c r="N977" s="7"/>
      <c r="O977" s="7"/>
      <c r="P977" s="7"/>
      <c r="Q977" s="7"/>
      <c r="R977" s="7"/>
      <c r="S977" s="7"/>
    </row>
    <row r="978">
      <c r="A978" s="7" t="str">
        <f t="shared" si="1"/>
        <v>Barra González , Tomás </v>
      </c>
      <c r="B978" s="7">
        <f>SUMIFS('bd caja'!$K$1:$K$1012,'bd caja'!$D$1:$D$1012,A978)</f>
        <v>0</v>
      </c>
      <c r="C978" s="19">
        <f>IFERROR(__xludf.DUMMYFUNCTION("""COMPUTED_VALUE"""),45782.546711250005)</f>
        <v>45782.54671</v>
      </c>
      <c r="D978" s="7" t="str">
        <f>IFERROR(__xludf.DUMMYFUNCTION("""COMPUTED_VALUE"""),"Barra González ")</f>
        <v>Barra González </v>
      </c>
      <c r="E978" s="7" t="str">
        <f>IFERROR(__xludf.DUMMYFUNCTION("""COMPUTED_VALUE"""),"Tomás ")</f>
        <v>Tomás </v>
      </c>
      <c r="F978" s="7" t="str">
        <f>IFERROR(__xludf.DUMMYFUNCTION("""COMPUTED_VALUE"""),"alegonzalezra@gmail.com")</f>
        <v>alegonzalezra@gmail.com</v>
      </c>
      <c r="G978" s="20">
        <f>IFERROR(__xludf.DUMMYFUNCTION("""COMPUTED_VALUE"""),40001.0)</f>
        <v>40001</v>
      </c>
      <c r="H978" s="7">
        <f>IFERROR(__xludf.DUMMYFUNCTION("""COMPUTED_VALUE"""),4.9716875E7)</f>
        <v>49716875</v>
      </c>
      <c r="I978" s="7">
        <f>IFERROR(__xludf.DUMMYFUNCTION("""COMPUTED_VALUE"""),3.515329797E9)</f>
        <v>3515329797</v>
      </c>
      <c r="J978" s="7" t="str">
        <f>IFERROR(__xludf.DUMMYFUNCTION("""COMPUTED_VALUE"""),"Google")</f>
        <v>Google</v>
      </c>
      <c r="K978" s="7" t="str">
        <f>IFERROR(__xludf.DUMMYFUNCTION("""COMPUTED_VALUE"""),"Obra social")</f>
        <v>Obra social</v>
      </c>
      <c r="L978" s="7"/>
      <c r="M978" s="7" t="str">
        <f>IFERROR(__xludf.DUMMYFUNCTION("""COMPUTED_VALUE"""),"Si")</f>
        <v>Si</v>
      </c>
      <c r="N978" s="7" t="str">
        <f>IFERROR(__xludf.DUMMYFUNCTION("""COMPUTED_VALUE"""),"Fútbol")</f>
        <v>Fútbol</v>
      </c>
      <c r="O978" s="7" t="str">
        <f>IFERROR(__xludf.DUMMYFUNCTION("""COMPUTED_VALUE"""),"3 a 5 veces por semana")</f>
        <v>3 a 5 veces por semana</v>
      </c>
      <c r="P978" s="7"/>
      <c r="Q978" s="7" t="str">
        <f>IFERROR(__xludf.DUMMYFUNCTION("""COMPUTED_VALUE"""),"APROSS")</f>
        <v>APROSS</v>
      </c>
      <c r="R978" s="7"/>
      <c r="S978" s="7"/>
    </row>
    <row r="979">
      <c r="A979" s="7" t="str">
        <f t="shared" si="1"/>
        <v>Blanco , Luis Manuel </v>
      </c>
      <c r="B979" s="7">
        <f>SUMIFS('bd caja'!$K$1:$K$1012,'bd caja'!$D$1:$D$1012,A979)</f>
        <v>0</v>
      </c>
      <c r="C979" s="19">
        <f>IFERROR(__xludf.DUMMYFUNCTION("""COMPUTED_VALUE"""),45782.64804876158)</f>
        <v>45782.64805</v>
      </c>
      <c r="D979" s="7" t="str">
        <f>IFERROR(__xludf.DUMMYFUNCTION("""COMPUTED_VALUE"""),"Blanco ")</f>
        <v>Blanco </v>
      </c>
      <c r="E979" s="7" t="str">
        <f>IFERROR(__xludf.DUMMYFUNCTION("""COMPUTED_VALUE"""),"Luis Manuel ")</f>
        <v>Luis Manuel </v>
      </c>
      <c r="F979" s="7" t="str">
        <f>IFERROR(__xludf.DUMMYFUNCTION("""COMPUTED_VALUE"""),"luismanuelblanco17@gmail.com")</f>
        <v>luismanuelblanco17@gmail.com</v>
      </c>
      <c r="G979" s="20">
        <f>IFERROR(__xludf.DUMMYFUNCTION("""COMPUTED_VALUE"""),30637.0)</f>
        <v>30637</v>
      </c>
      <c r="H979" s="7">
        <f>IFERROR(__xludf.DUMMYFUNCTION("""COMPUTED_VALUE"""),3.065659E7)</f>
        <v>30656590</v>
      </c>
      <c r="I979" s="7">
        <f>IFERROR(__xludf.DUMMYFUNCTION("""COMPUTED_VALUE"""),3.512008982E9)</f>
        <v>3512008982</v>
      </c>
      <c r="J979" s="7" t="str">
        <f>IFERROR(__xludf.DUMMYFUNCTION("""COMPUTED_VALUE"""),"Recomendación")</f>
        <v>Recomendación</v>
      </c>
      <c r="K979" s="7" t="str">
        <f>IFERROR(__xludf.DUMMYFUNCTION("""COMPUTED_VALUE"""),"Particular")</f>
        <v>Particular</v>
      </c>
      <c r="L979" s="7"/>
      <c r="M979" s="7" t="str">
        <f>IFERROR(__xludf.DUMMYFUNCTION("""COMPUTED_VALUE"""),"No")</f>
        <v>No</v>
      </c>
      <c r="N979" s="7"/>
      <c r="O979" s="7"/>
      <c r="P979" s="7"/>
      <c r="Q979" s="7"/>
      <c r="R979" s="7"/>
      <c r="S979" s="7"/>
    </row>
    <row r="980">
      <c r="A980" s="7" t="str">
        <f t="shared" si="1"/>
        <v>Bassano, Jorge</v>
      </c>
      <c r="B980" s="7">
        <f>SUMIFS('bd caja'!$K$1:$K$1012,'bd caja'!$D$1:$D$1012,A980)</f>
        <v>0</v>
      </c>
      <c r="C980" s="19">
        <f>IFERROR(__xludf.DUMMYFUNCTION("""COMPUTED_VALUE"""),45782.83196939815)</f>
        <v>45782.83197</v>
      </c>
      <c r="D980" s="7" t="str">
        <f>IFERROR(__xludf.DUMMYFUNCTION("""COMPUTED_VALUE"""),"Bassano")</f>
        <v>Bassano</v>
      </c>
      <c r="E980" s="7" t="str">
        <f>IFERROR(__xludf.DUMMYFUNCTION("""COMPUTED_VALUE"""),"Jorge")</f>
        <v>Jorge</v>
      </c>
      <c r="F980" s="7" t="str">
        <f>IFERROR(__xludf.DUMMYFUNCTION("""COMPUTED_VALUE"""),"jorgealbertobassano@gmail.com")</f>
        <v>jorgealbertobassano@gmail.com</v>
      </c>
      <c r="G980" s="20">
        <f>IFERROR(__xludf.DUMMYFUNCTION("""COMPUTED_VALUE"""),30420.0)</f>
        <v>30420</v>
      </c>
      <c r="H980" s="7">
        <f>IFERROR(__xludf.DUMMYFUNCTION("""COMPUTED_VALUE"""),3.0087325E7)</f>
        <v>30087325</v>
      </c>
      <c r="I980" s="7">
        <f>IFERROR(__xludf.DUMMYFUNCTION("""COMPUTED_VALUE"""),3.516817829E9)</f>
        <v>3516817829</v>
      </c>
      <c r="J980" s="7" t="str">
        <f>IFERROR(__xludf.DUMMYFUNCTION("""COMPUTED_VALUE"""),"Voy al gym Manantial")</f>
        <v>Voy al gym Manantial</v>
      </c>
      <c r="K980" s="7" t="str">
        <f>IFERROR(__xludf.DUMMYFUNCTION("""COMPUTED_VALUE"""),"Obra social")</f>
        <v>Obra social</v>
      </c>
      <c r="L980" s="7"/>
      <c r="M980" s="7" t="str">
        <f>IFERROR(__xludf.DUMMYFUNCTION("""COMPUTED_VALUE"""),"Si")</f>
        <v>Si</v>
      </c>
      <c r="N980" s="7" t="str">
        <f>IFERROR(__xludf.DUMMYFUNCTION("""COMPUTED_VALUE"""),"Gimnasio")</f>
        <v>Gimnasio</v>
      </c>
      <c r="O980" s="7" t="str">
        <f>IFERROR(__xludf.DUMMYFUNCTION("""COMPUTED_VALUE"""),"3 a 5 veces por semana")</f>
        <v>3 a 5 veces por semana</v>
      </c>
      <c r="P980" s="7"/>
      <c r="Q980" s="7" t="str">
        <f>IFERROR(__xludf.DUMMYFUNCTION("""COMPUTED_VALUE"""),"SANCOR")</f>
        <v>SANCOR</v>
      </c>
      <c r="R980" s="7"/>
      <c r="S980" s="7"/>
    </row>
    <row r="981">
      <c r="A981" s="7" t="str">
        <f t="shared" si="1"/>
        <v>Navarro, Fabian</v>
      </c>
      <c r="B981" s="7">
        <f>SUMIFS('bd caja'!$K$1:$K$1012,'bd caja'!$D$1:$D$1012,A981)</f>
        <v>0</v>
      </c>
      <c r="C981" s="19">
        <f>IFERROR(__xludf.DUMMYFUNCTION("""COMPUTED_VALUE"""),45784.81758649305)</f>
        <v>45784.81759</v>
      </c>
      <c r="D981" s="7" t="str">
        <f>IFERROR(__xludf.DUMMYFUNCTION("""COMPUTED_VALUE"""),"Navarro")</f>
        <v>Navarro</v>
      </c>
      <c r="E981" s="7" t="str">
        <f>IFERROR(__xludf.DUMMYFUNCTION("""COMPUTED_VALUE"""),"Fabian")</f>
        <v>Fabian</v>
      </c>
      <c r="F981" s="7"/>
      <c r="G981" s="20">
        <f>IFERROR(__xludf.DUMMYFUNCTION("""COMPUTED_VALUE"""),24154.0)</f>
        <v>24154</v>
      </c>
      <c r="H981" s="7">
        <f>IFERROR(__xludf.DUMMYFUNCTION("""COMPUTED_VALUE"""),1.7626908E7)</f>
        <v>17626908</v>
      </c>
      <c r="I981" s="7">
        <f>IFERROR(__xludf.DUMMYFUNCTION("""COMPUTED_VALUE"""),3.515135709E9)</f>
        <v>3515135709</v>
      </c>
      <c r="J981" s="7" t="str">
        <f>IFERROR(__xludf.DUMMYFUNCTION("""COMPUTED_VALUE"""),"Recomendación")</f>
        <v>Recomendación</v>
      </c>
      <c r="K981" s="7" t="str">
        <f>IFERROR(__xludf.DUMMYFUNCTION("""COMPUTED_VALUE"""),"Particular")</f>
        <v>Particular</v>
      </c>
      <c r="L981" s="7"/>
      <c r="M981" s="7" t="str">
        <f>IFERROR(__xludf.DUMMYFUNCTION("""COMPUTED_VALUE"""),"No")</f>
        <v>No</v>
      </c>
      <c r="N981" s="7"/>
      <c r="O981" s="7"/>
      <c r="P981" s="7"/>
      <c r="Q981" s="7"/>
      <c r="R981" s="7"/>
      <c r="S981" s="7"/>
    </row>
    <row r="982">
      <c r="A982" s="7" t="str">
        <f t="shared" si="1"/>
        <v>Gonzalez Mazzoni, Octavio</v>
      </c>
      <c r="B982" s="7">
        <f>SUMIFS('bd caja'!$K$1:$K$1012,'bd caja'!$D$1:$D$1012,A982)</f>
        <v>0</v>
      </c>
      <c r="C982" s="19">
        <f>IFERROR(__xludf.DUMMYFUNCTION("""COMPUTED_VALUE"""),45784.933767002316)</f>
        <v>45784.93377</v>
      </c>
      <c r="D982" s="7" t="str">
        <f>IFERROR(__xludf.DUMMYFUNCTION("""COMPUTED_VALUE"""),"Gonzalez Mazzoni")</f>
        <v>Gonzalez Mazzoni</v>
      </c>
      <c r="E982" s="7" t="str">
        <f>IFERROR(__xludf.DUMMYFUNCTION("""COMPUTED_VALUE"""),"Octavio")</f>
        <v>Octavio</v>
      </c>
      <c r="F982" s="7" t="str">
        <f>IFERROR(__xludf.DUMMYFUNCTION("""COMPUTED_VALUE"""),"octigonma@gmail.com")</f>
        <v>octigonma@gmail.com</v>
      </c>
      <c r="G982" s="20">
        <f>IFERROR(__xludf.DUMMYFUNCTION("""COMPUTED_VALUE"""),36446.0)</f>
        <v>36446</v>
      </c>
      <c r="H982" s="7">
        <f>IFERROR(__xludf.DUMMYFUNCTION("""COMPUTED_VALUE"""),4.2160204E7)</f>
        <v>42160204</v>
      </c>
      <c r="I982" s="7">
        <f>IFERROR(__xludf.DUMMYFUNCTION("""COMPUTED_VALUE"""),3.51234329E9)</f>
        <v>3512343290</v>
      </c>
      <c r="J982" s="7" t="str">
        <f>IFERROR(__xludf.DUMMYFUNCTION("""COMPUTED_VALUE"""),"Recomendación")</f>
        <v>Recomendación</v>
      </c>
      <c r="K982" s="7" t="str">
        <f>IFERROR(__xludf.DUMMYFUNCTION("""COMPUTED_VALUE"""),"Obra social")</f>
        <v>Obra social</v>
      </c>
      <c r="L982" s="7"/>
      <c r="M982" s="7" t="str">
        <f>IFERROR(__xludf.DUMMYFUNCTION("""COMPUTED_VALUE"""),"Si")</f>
        <v>Si</v>
      </c>
      <c r="N982" s="7" t="str">
        <f>IFERROR(__xludf.DUMMYFUNCTION("""COMPUTED_VALUE"""),"De manera ocasional pádel ")</f>
        <v>De manera ocasional pádel </v>
      </c>
      <c r="O982" s="7" t="str">
        <f>IFERROR(__xludf.DUMMYFUNCTION("""COMPUTED_VALUE"""),"3 a 5 veces por semana")</f>
        <v>3 a 5 veces por semana</v>
      </c>
      <c r="P982" s="7"/>
      <c r="Q982" s="7" t="str">
        <f>IFERROR(__xludf.DUMMYFUNCTION("""COMPUTED_VALUE"""),"OSPIA")</f>
        <v>OSPIA</v>
      </c>
      <c r="R982" s="7"/>
      <c r="S982" s="7"/>
    </row>
    <row r="983">
      <c r="A983" s="7" t="str">
        <f t="shared" si="1"/>
        <v>Romero, Sergio</v>
      </c>
      <c r="B983" s="7">
        <f>SUMIFS('bd caja'!$K$1:$K$1012,'bd caja'!$D$1:$D$1012,A983)</f>
        <v>0</v>
      </c>
      <c r="C983" s="19">
        <f>IFERROR(__xludf.DUMMYFUNCTION("""COMPUTED_VALUE"""),45785.55634401621)</f>
        <v>45785.55634</v>
      </c>
      <c r="D983" s="7" t="str">
        <f>IFERROR(__xludf.DUMMYFUNCTION("""COMPUTED_VALUE"""),"Romero")</f>
        <v>Romero</v>
      </c>
      <c r="E983" s="7" t="str">
        <f>IFERROR(__xludf.DUMMYFUNCTION("""COMPUTED_VALUE"""),"Sergio")</f>
        <v>Sergio</v>
      </c>
      <c r="F983" s="7" t="str">
        <f>IFERROR(__xludf.DUMMYFUNCTION("""COMPUTED_VALUE"""),"Imasor62@gmail.com")</f>
        <v>Imasor62@gmail.com</v>
      </c>
      <c r="G983" s="20">
        <f>IFERROR(__xludf.DUMMYFUNCTION("""COMPUTED_VALUE"""),22962.0)</f>
        <v>22962</v>
      </c>
      <c r="H983" s="7">
        <f>IFERROR(__xludf.DUMMYFUNCTION("""COMPUTED_VALUE"""),1.6183623E7)</f>
        <v>16183623</v>
      </c>
      <c r="I983" s="7">
        <f>IFERROR(__xludf.DUMMYFUNCTION("""COMPUTED_VALUE"""),3.513218392E9)</f>
        <v>3513218392</v>
      </c>
      <c r="J983" s="7" t="str">
        <f>IFERROR(__xludf.DUMMYFUNCTION("""COMPUTED_VALUE"""),"Google")</f>
        <v>Google</v>
      </c>
      <c r="K983" s="7" t="str">
        <f>IFERROR(__xludf.DUMMYFUNCTION("""COMPUTED_VALUE"""),"Particular")</f>
        <v>Particular</v>
      </c>
      <c r="L983" s="7"/>
      <c r="M983" s="7" t="str">
        <f>IFERROR(__xludf.DUMMYFUNCTION("""COMPUTED_VALUE"""),"Si")</f>
        <v>Si</v>
      </c>
      <c r="N983" s="7" t="str">
        <f>IFERROR(__xludf.DUMMYFUNCTION("""COMPUTED_VALUE"""),"Gimnasio")</f>
        <v>Gimnasio</v>
      </c>
      <c r="O983" s="7" t="str">
        <f>IFERROR(__xludf.DUMMYFUNCTION("""COMPUTED_VALUE"""),"3 a 5 veces por semana")</f>
        <v>3 a 5 veces por semana</v>
      </c>
      <c r="P983" s="7"/>
      <c r="Q983" s="7"/>
      <c r="R983" s="7"/>
      <c r="S983" s="7"/>
    </row>
    <row r="984">
      <c r="A984" s="7" t="str">
        <f t="shared" si="1"/>
        <v>Pedroza, Gustavo</v>
      </c>
      <c r="B984" s="7">
        <f>SUMIFS('bd caja'!$K$1:$K$1012,'bd caja'!$D$1:$D$1012,A984)</f>
        <v>0</v>
      </c>
      <c r="C984" s="19">
        <f>IFERROR(__xludf.DUMMYFUNCTION("""COMPUTED_VALUE"""),45785.657241747685)</f>
        <v>45785.65724</v>
      </c>
      <c r="D984" s="7" t="str">
        <f>IFERROR(__xludf.DUMMYFUNCTION("""COMPUTED_VALUE"""),"Pedroza")</f>
        <v>Pedroza</v>
      </c>
      <c r="E984" s="7" t="str">
        <f>IFERROR(__xludf.DUMMYFUNCTION("""COMPUTED_VALUE"""),"Gustavo")</f>
        <v>Gustavo</v>
      </c>
      <c r="F984" s="7"/>
      <c r="G984" s="20">
        <f>IFERROR(__xludf.DUMMYFUNCTION("""COMPUTED_VALUE"""),14519.0)</f>
        <v>14519</v>
      </c>
      <c r="H984" s="7">
        <f>IFERROR(__xludf.DUMMYFUNCTION("""COMPUTED_VALUE"""),6509542.0)</f>
        <v>6509542</v>
      </c>
      <c r="I984" s="7">
        <f>IFERROR(__xludf.DUMMYFUNCTION("""COMPUTED_VALUE"""),3.512145133E9)</f>
        <v>3512145133</v>
      </c>
      <c r="J984" s="7" t="str">
        <f>IFERROR(__xludf.DUMMYFUNCTION("""COMPUTED_VALUE"""),"Recomendación")</f>
        <v>Recomendación</v>
      </c>
      <c r="K984" s="7" t="str">
        <f>IFERROR(__xludf.DUMMYFUNCTION("""COMPUTED_VALUE"""),"Obra social")</f>
        <v>Obra social</v>
      </c>
      <c r="L984" s="7"/>
      <c r="M984" s="7" t="str">
        <f>IFERROR(__xludf.DUMMYFUNCTION("""COMPUTED_VALUE"""),"No")</f>
        <v>No</v>
      </c>
      <c r="N984" s="7"/>
      <c r="O984" s="7"/>
      <c r="P984" s="7"/>
      <c r="Q984" s="7" t="str">
        <f>IFERROR(__xludf.DUMMYFUNCTION("""COMPUTED_VALUE"""),"APROSS")</f>
        <v>APROSS</v>
      </c>
      <c r="R984" s="7"/>
      <c r="S984" s="7"/>
    </row>
    <row r="985">
      <c r="A985" s="7" t="str">
        <f t="shared" si="1"/>
        <v>Gervino, Luis</v>
      </c>
      <c r="B985" s="7">
        <f>SUMIFS('bd caja'!$K$1:$K$1012,'bd caja'!$D$1:$D$1012,A985)</f>
        <v>0</v>
      </c>
      <c r="C985" s="19">
        <f>IFERROR(__xludf.DUMMYFUNCTION("""COMPUTED_VALUE"""),45786.674446840276)</f>
        <v>45786.67445</v>
      </c>
      <c r="D985" s="7" t="str">
        <f>IFERROR(__xludf.DUMMYFUNCTION("""COMPUTED_VALUE"""),"Gervino")</f>
        <v>Gervino</v>
      </c>
      <c r="E985" s="7" t="str">
        <f>IFERROR(__xludf.DUMMYFUNCTION("""COMPUTED_VALUE"""),"Luis")</f>
        <v>Luis</v>
      </c>
      <c r="F985" s="7" t="str">
        <f>IFERROR(__xludf.DUMMYFUNCTION("""COMPUTED_VALUE"""),"gervinoluis058@gmail.com")</f>
        <v>gervinoluis058@gmail.com</v>
      </c>
      <c r="G985" s="20">
        <f>IFERROR(__xludf.DUMMYFUNCTION("""COMPUTED_VALUE"""),40237.0)</f>
        <v>40237</v>
      </c>
      <c r="H985" s="7">
        <f>IFERROR(__xludf.DUMMYFUNCTION("""COMPUTED_VALUE"""),5009099.0)</f>
        <v>5009099</v>
      </c>
      <c r="I985" s="7">
        <f>IFERROR(__xludf.DUMMYFUNCTION("""COMPUTED_VALUE"""),3.515605577E9)</f>
        <v>3515605577</v>
      </c>
      <c r="J985" s="7" t="str">
        <f>IFERROR(__xludf.DUMMYFUNCTION("""COMPUTED_VALUE"""),"Voy al gym Manantial")</f>
        <v>Voy al gym Manantial</v>
      </c>
      <c r="K985" s="7" t="str">
        <f>IFERROR(__xludf.DUMMYFUNCTION("""COMPUTED_VALUE"""),"Particular")</f>
        <v>Particular</v>
      </c>
      <c r="L985" s="7"/>
      <c r="M985" s="7" t="str">
        <f>IFERROR(__xludf.DUMMYFUNCTION("""COMPUTED_VALUE"""),"Si")</f>
        <v>Si</v>
      </c>
      <c r="N985" s="7" t="str">
        <f>IFERROR(__xludf.DUMMYFUNCTION("""COMPUTED_VALUE"""),"Rugby")</f>
        <v>Rugby</v>
      </c>
      <c r="O985" s="7" t="str">
        <f>IFERROR(__xludf.DUMMYFUNCTION("""COMPUTED_VALUE"""),"3 a 5 veces por semana")</f>
        <v>3 a 5 veces por semana</v>
      </c>
      <c r="P985" s="7"/>
      <c r="Q985" s="7"/>
      <c r="R985" s="7"/>
      <c r="S985" s="7"/>
    </row>
    <row r="986">
      <c r="A986" s="7" t="str">
        <f t="shared" si="1"/>
        <v>Fernandez, Carlota Mercedes</v>
      </c>
      <c r="B986" s="7">
        <f>SUMIFS('bd caja'!$K$1:$K$1012,'bd caja'!$D$1:$D$1012,A986)</f>
        <v>0</v>
      </c>
      <c r="C986" s="19">
        <f>IFERROR(__xludf.DUMMYFUNCTION("""COMPUTED_VALUE"""),45788.53781407408)</f>
        <v>45788.53781</v>
      </c>
      <c r="D986" s="7" t="str">
        <f>IFERROR(__xludf.DUMMYFUNCTION("""COMPUTED_VALUE"""),"Fernandez")</f>
        <v>Fernandez</v>
      </c>
      <c r="E986" s="7" t="str">
        <f>IFERROR(__xludf.DUMMYFUNCTION("""COMPUTED_VALUE"""),"Carlota Mercedes")</f>
        <v>Carlota Mercedes</v>
      </c>
      <c r="F986" s="7" t="str">
        <f>IFERROR(__xludf.DUMMYFUNCTION("""COMPUTED_VALUE"""),"carlotamf31@gmail.com")</f>
        <v>carlotamf31@gmail.com</v>
      </c>
      <c r="G986" s="20">
        <f>IFERROR(__xludf.DUMMYFUNCTION("""COMPUTED_VALUE"""),23742.0)</f>
        <v>23742</v>
      </c>
      <c r="H986" s="7">
        <f>IFERROR(__xludf.DUMMYFUNCTION("""COMPUTED_VALUE"""),1.7156995E7)</f>
        <v>17156995</v>
      </c>
      <c r="I986" s="7">
        <f>IFERROR(__xludf.DUMMYFUNCTION("""COMPUTED_VALUE"""),3.516622237E9)</f>
        <v>3516622237</v>
      </c>
      <c r="J986" s="7" t="str">
        <f>IFERROR(__xludf.DUMMYFUNCTION("""COMPUTED_VALUE"""),"Recomendación")</f>
        <v>Recomendación</v>
      </c>
      <c r="K986" s="7" t="str">
        <f>IFERROR(__xludf.DUMMYFUNCTION("""COMPUTED_VALUE"""),"Particular")</f>
        <v>Particular</v>
      </c>
      <c r="L986" s="7"/>
      <c r="M986" s="7" t="str">
        <f>IFERROR(__xludf.DUMMYFUNCTION("""COMPUTED_VALUE"""),"No")</f>
        <v>No</v>
      </c>
      <c r="N986" s="7"/>
      <c r="O986" s="7"/>
      <c r="P986" s="7"/>
      <c r="Q986" s="7"/>
      <c r="R986" s="7"/>
      <c r="S986" s="7"/>
    </row>
    <row r="987">
      <c r="A987" s="7" t="str">
        <f t="shared" si="1"/>
        <v>Cardozo , Augusto David </v>
      </c>
      <c r="B987" s="7">
        <f>SUMIFS('bd caja'!$K$1:$K$1012,'bd caja'!$D$1:$D$1012,A987)</f>
        <v>0</v>
      </c>
      <c r="C987" s="19">
        <f>IFERROR(__xludf.DUMMYFUNCTION("""COMPUTED_VALUE"""),45790.5128189699)</f>
        <v>45790.51282</v>
      </c>
      <c r="D987" s="7" t="str">
        <f>IFERROR(__xludf.DUMMYFUNCTION("""COMPUTED_VALUE"""),"Cardozo ")</f>
        <v>Cardozo </v>
      </c>
      <c r="E987" s="7" t="str">
        <f>IFERROR(__xludf.DUMMYFUNCTION("""COMPUTED_VALUE"""),"Augusto David ")</f>
        <v>Augusto David </v>
      </c>
      <c r="F987" s="7" t="str">
        <f>IFERROR(__xludf.DUMMYFUNCTION("""COMPUTED_VALUE"""),"Auguda@hotmail.com")</f>
        <v>Auguda@hotmail.com</v>
      </c>
      <c r="G987" s="20">
        <f>IFERROR(__xludf.DUMMYFUNCTION("""COMPUTED_VALUE"""),31481.0)</f>
        <v>31481</v>
      </c>
      <c r="H987" s="7">
        <f>IFERROR(__xludf.DUMMYFUNCTION("""COMPUTED_VALUE"""),3.2203431E7)</f>
        <v>32203431</v>
      </c>
      <c r="I987" s="7">
        <f>IFERROR(__xludf.DUMMYFUNCTION("""COMPUTED_VALUE"""),3.515106103E9)</f>
        <v>3515106103</v>
      </c>
      <c r="J987" s="7" t="str">
        <f>IFERROR(__xludf.DUMMYFUNCTION("""COMPUTED_VALUE"""),"Voy al gym Manantial")</f>
        <v>Voy al gym Manantial</v>
      </c>
      <c r="K987" s="7" t="str">
        <f>IFERROR(__xludf.DUMMYFUNCTION("""COMPUTED_VALUE"""),"Obra social")</f>
        <v>Obra social</v>
      </c>
      <c r="L987" s="7"/>
      <c r="M987" s="7" t="str">
        <f>IFERROR(__xludf.DUMMYFUNCTION("""COMPUTED_VALUE"""),"Si")</f>
        <v>Si</v>
      </c>
      <c r="N987" s="7" t="str">
        <f>IFERROR(__xludf.DUMMYFUNCTION("""COMPUTED_VALUE"""),"Padel ")</f>
        <v>Padel </v>
      </c>
      <c r="O987" s="7" t="str">
        <f>IFERROR(__xludf.DUMMYFUNCTION("""COMPUTED_VALUE"""),"3 a 5 veces por semana")</f>
        <v>3 a 5 veces por semana</v>
      </c>
      <c r="P987" s="7"/>
      <c r="Q987" s="7" t="str">
        <f>IFERROR(__xludf.DUMMYFUNCTION("""COMPUTED_VALUE"""),"APROSS")</f>
        <v>APROSS</v>
      </c>
      <c r="R987" s="7"/>
      <c r="S987" s="7"/>
    </row>
    <row r="988">
      <c r="A988" s="7" t="str">
        <f t="shared" si="1"/>
        <v>Claure, Isabel</v>
      </c>
      <c r="B988" s="7">
        <f>SUMIFS('bd caja'!$K$1:$K$1012,'bd caja'!$D$1:$D$1012,A988)</f>
        <v>0</v>
      </c>
      <c r="C988" s="19">
        <f>IFERROR(__xludf.DUMMYFUNCTION("""COMPUTED_VALUE"""),45790.87636778935)</f>
        <v>45790.87637</v>
      </c>
      <c r="D988" s="7" t="str">
        <f>IFERROR(__xludf.DUMMYFUNCTION("""COMPUTED_VALUE"""),"Claure")</f>
        <v>Claure</v>
      </c>
      <c r="E988" s="7" t="str">
        <f>IFERROR(__xludf.DUMMYFUNCTION("""COMPUTED_VALUE"""),"Isabel")</f>
        <v>Isabel</v>
      </c>
      <c r="F988" s="7" t="str">
        <f>IFERROR(__xludf.DUMMYFUNCTION("""COMPUTED_VALUE"""),"isamicaela31@gmail.com")</f>
        <v>isamicaela31@gmail.com</v>
      </c>
      <c r="G988" s="20">
        <f>IFERROR(__xludf.DUMMYFUNCTION("""COMPUTED_VALUE"""),37652.0)</f>
        <v>37652</v>
      </c>
      <c r="H988" s="7">
        <f>IFERROR(__xludf.DUMMYFUNCTION("""COMPUTED_VALUE"""),4.9262251E7)</f>
        <v>49262251</v>
      </c>
      <c r="I988" s="7" t="str">
        <f>IFERROR(__xludf.DUMMYFUNCTION("""COMPUTED_VALUE"""),"isamicaela31@gmail.com ")</f>
        <v>isamicaela31@gmail.com </v>
      </c>
      <c r="J988" s="7" t="str">
        <f>IFERROR(__xludf.DUMMYFUNCTION("""COMPUTED_VALUE"""),"Recomendación")</f>
        <v>Recomendación</v>
      </c>
      <c r="K988" s="7" t="str">
        <f>IFERROR(__xludf.DUMMYFUNCTION("""COMPUTED_VALUE"""),"Obra social")</f>
        <v>Obra social</v>
      </c>
      <c r="L988" s="7"/>
      <c r="M988" s="7" t="str">
        <f>IFERROR(__xludf.DUMMYFUNCTION("""COMPUTED_VALUE"""),"Si")</f>
        <v>Si</v>
      </c>
      <c r="N988" s="7" t="str">
        <f>IFERROR(__xludf.DUMMYFUNCTION("""COMPUTED_VALUE"""),"Gimnasio")</f>
        <v>Gimnasio</v>
      </c>
      <c r="O988" s="7" t="str">
        <f>IFERROR(__xludf.DUMMYFUNCTION("""COMPUTED_VALUE"""),"3 a 5 veces por semana")</f>
        <v>3 a 5 veces por semana</v>
      </c>
      <c r="P988" s="7"/>
      <c r="Q988" s="7" t="str">
        <f>IFERROR(__xludf.DUMMYFUNCTION("""COMPUTED_VALUE"""),"Medifé ")</f>
        <v>Medifé </v>
      </c>
      <c r="R988" s="7"/>
      <c r="S988" s="7"/>
    </row>
    <row r="989">
      <c r="A989" s="7" t="str">
        <f t="shared" si="1"/>
        <v>Roulet, Elias</v>
      </c>
      <c r="B989" s="7">
        <f>SUMIFS('bd caja'!$K$1:$K$1012,'bd caja'!$D$1:$D$1012,A989)</f>
        <v>0</v>
      </c>
      <c r="C989" s="19">
        <f>IFERROR(__xludf.DUMMYFUNCTION("""COMPUTED_VALUE"""),45791.49600537037)</f>
        <v>45791.49601</v>
      </c>
      <c r="D989" s="7" t="str">
        <f>IFERROR(__xludf.DUMMYFUNCTION("""COMPUTED_VALUE"""),"Roulet")</f>
        <v>Roulet</v>
      </c>
      <c r="E989" s="7" t="str">
        <f>IFERROR(__xludf.DUMMYFUNCTION("""COMPUTED_VALUE"""),"Elias")</f>
        <v>Elias</v>
      </c>
      <c r="F989" s="7" t="str">
        <f>IFERROR(__xludf.DUMMYFUNCTION("""COMPUTED_VALUE"""),"eliasroulet@gmail.com")</f>
        <v>eliasroulet@gmail.com</v>
      </c>
      <c r="G989" s="20">
        <f>IFERROR(__xludf.DUMMYFUNCTION("""COMPUTED_VALUE"""),36232.0)</f>
        <v>36232</v>
      </c>
      <c r="H989" s="7">
        <f>IFERROR(__xludf.DUMMYFUNCTION("""COMPUTED_VALUE"""),4.1809631E7)</f>
        <v>41809631</v>
      </c>
      <c r="I989" s="7">
        <f>IFERROR(__xludf.DUMMYFUNCTION("""COMPUTED_VALUE"""),3.515953371E9)</f>
        <v>3515953371</v>
      </c>
      <c r="J989" s="7" t="str">
        <f>IFERROR(__xludf.DUMMYFUNCTION("""COMPUTED_VALUE"""),"Recomendación")</f>
        <v>Recomendación</v>
      </c>
      <c r="K989" s="7" t="str">
        <f>IFERROR(__xludf.DUMMYFUNCTION("""COMPUTED_VALUE"""),"Particular")</f>
        <v>Particular</v>
      </c>
      <c r="L989" s="7"/>
      <c r="M989" s="7" t="str">
        <f>IFERROR(__xludf.DUMMYFUNCTION("""COMPUTED_VALUE"""),"Si")</f>
        <v>Si</v>
      </c>
      <c r="N989" s="7" t="str">
        <f>IFERROR(__xludf.DUMMYFUNCTION("""COMPUTED_VALUE"""),"Handball")</f>
        <v>Handball</v>
      </c>
      <c r="O989" s="7" t="str">
        <f>IFERROR(__xludf.DUMMYFUNCTION("""COMPUTED_VALUE"""),"3 a 5 veces por semana")</f>
        <v>3 a 5 veces por semana</v>
      </c>
      <c r="P989" s="7"/>
      <c r="Q989" s="7"/>
      <c r="R989" s="7"/>
      <c r="S989" s="7"/>
    </row>
    <row r="990">
      <c r="A990" s="7" t="str">
        <f t="shared" si="1"/>
        <v>Peltzer , Enrique</v>
      </c>
      <c r="B990" s="7">
        <f>SUMIFS('bd caja'!$K$1:$K$1012,'bd caja'!$D$1:$D$1012,A990)</f>
        <v>0</v>
      </c>
      <c r="C990" s="19">
        <f>IFERROR(__xludf.DUMMYFUNCTION("""COMPUTED_VALUE"""),45791.834147754635)</f>
        <v>45791.83415</v>
      </c>
      <c r="D990" s="7" t="str">
        <f>IFERROR(__xludf.DUMMYFUNCTION("""COMPUTED_VALUE"""),"Peltzer ")</f>
        <v>Peltzer </v>
      </c>
      <c r="E990" s="7" t="str">
        <f>IFERROR(__xludf.DUMMYFUNCTION("""COMPUTED_VALUE"""),"Enrique")</f>
        <v>Enrique</v>
      </c>
      <c r="F990" s="7" t="str">
        <f>IFERROR(__xludf.DUMMYFUNCTION("""COMPUTED_VALUE"""),"peltzer.enrique@gmail.com")</f>
        <v>peltzer.enrique@gmail.com</v>
      </c>
      <c r="G990" s="20">
        <f>IFERROR(__xludf.DUMMYFUNCTION("""COMPUTED_VALUE"""),30907.0)</f>
        <v>30907</v>
      </c>
      <c r="H990" s="7">
        <f>IFERROR(__xludf.DUMMYFUNCTION("""COMPUTED_VALUE"""),3.1085932E7)</f>
        <v>31085932</v>
      </c>
      <c r="I990" s="7">
        <f>IFERROR(__xludf.DUMMYFUNCTION("""COMPUTED_VALUE"""),3.5156005E9)</f>
        <v>3515600500</v>
      </c>
      <c r="J990" s="7" t="str">
        <f>IFERROR(__xludf.DUMMYFUNCTION("""COMPUTED_VALUE"""),"Recomendación")</f>
        <v>Recomendación</v>
      </c>
      <c r="K990" s="7" t="str">
        <f>IFERROR(__xludf.DUMMYFUNCTION("""COMPUTED_VALUE"""),"Particular")</f>
        <v>Particular</v>
      </c>
      <c r="L990" s="7"/>
      <c r="M990" s="7" t="str">
        <f>IFERROR(__xludf.DUMMYFUNCTION("""COMPUTED_VALUE"""),"Si")</f>
        <v>Si</v>
      </c>
      <c r="N990" s="7" t="str">
        <f>IFERROR(__xludf.DUMMYFUNCTION("""COMPUTED_VALUE"""),"Gimnasio")</f>
        <v>Gimnasio</v>
      </c>
      <c r="O990" s="7" t="str">
        <f>IFERROR(__xludf.DUMMYFUNCTION("""COMPUTED_VALUE"""),"3 a 5 veces por semana")</f>
        <v>3 a 5 veces por semana</v>
      </c>
      <c r="P990" s="7"/>
      <c r="Q990" s="7"/>
      <c r="R990" s="7"/>
      <c r="S990" s="7"/>
    </row>
    <row r="991">
      <c r="A991" s="7" t="str">
        <f t="shared" si="1"/>
        <v>Baldoma, Gustavo</v>
      </c>
      <c r="B991" s="7">
        <f>SUMIFS('bd caja'!$K$1:$K$1012,'bd caja'!$D$1:$D$1012,A991)</f>
        <v>0</v>
      </c>
      <c r="C991" s="19">
        <f>IFERROR(__xludf.DUMMYFUNCTION("""COMPUTED_VALUE"""),45792.67014122685)</f>
        <v>45792.67014</v>
      </c>
      <c r="D991" s="7" t="str">
        <f>IFERROR(__xludf.DUMMYFUNCTION("""COMPUTED_VALUE"""),"Baldoma")</f>
        <v>Baldoma</v>
      </c>
      <c r="E991" s="7" t="str">
        <f>IFERROR(__xludf.DUMMYFUNCTION("""COMPUTED_VALUE"""),"Gustavo")</f>
        <v>Gustavo</v>
      </c>
      <c r="F991" s="7" t="str">
        <f>IFERROR(__xludf.DUMMYFUNCTION("""COMPUTED_VALUE"""),"Baldomatatos@hotmail.com")</f>
        <v>Baldomatatos@hotmail.com</v>
      </c>
      <c r="G991" s="20">
        <f>IFERROR(__xludf.DUMMYFUNCTION("""COMPUTED_VALUE"""),28765.0)</f>
        <v>28765</v>
      </c>
      <c r="H991" s="7">
        <f>IFERROR(__xludf.DUMMYFUNCTION("""COMPUTED_VALUE"""),2.6141736E7)</f>
        <v>26141736</v>
      </c>
      <c r="I991" s="7">
        <f>IFERROR(__xludf.DUMMYFUNCTION("""COMPUTED_VALUE"""),3.513464446E9)</f>
        <v>3513464446</v>
      </c>
      <c r="J991" s="7" t="str">
        <f>IFERROR(__xludf.DUMMYFUNCTION("""COMPUTED_VALUE"""),"Google")</f>
        <v>Google</v>
      </c>
      <c r="K991" s="7" t="str">
        <f>IFERROR(__xludf.DUMMYFUNCTION("""COMPUTED_VALUE"""),"Obra social")</f>
        <v>Obra social</v>
      </c>
      <c r="L991" s="7"/>
      <c r="M991" s="7" t="str">
        <f>IFERROR(__xludf.DUMMYFUNCTION("""COMPUTED_VALUE"""),"No")</f>
        <v>No</v>
      </c>
      <c r="N991" s="7"/>
      <c r="O991" s="7"/>
      <c r="P991" s="7"/>
      <c r="Q991" s="7" t="str">
        <f>IFERROR(__xludf.DUMMYFUNCTION("""COMPUTED_VALUE"""),"SANCOR")</f>
        <v>SANCOR</v>
      </c>
      <c r="R991" s="7"/>
      <c r="S991" s="7"/>
    </row>
    <row r="992">
      <c r="A992" s="7" t="str">
        <f t="shared" si="1"/>
        <v>Galvez , Federico </v>
      </c>
      <c r="B992" s="7">
        <f>SUMIFS('bd caja'!$K$1:$K$1012,'bd caja'!$D$1:$D$1012,A992)</f>
        <v>0</v>
      </c>
      <c r="C992" s="19">
        <f>IFERROR(__xludf.DUMMYFUNCTION("""COMPUTED_VALUE"""),45794.04282372685)</f>
        <v>45794.04282</v>
      </c>
      <c r="D992" s="7" t="str">
        <f>IFERROR(__xludf.DUMMYFUNCTION("""COMPUTED_VALUE"""),"Galvez ")</f>
        <v>Galvez </v>
      </c>
      <c r="E992" s="7" t="str">
        <f>IFERROR(__xludf.DUMMYFUNCTION("""COMPUTED_VALUE"""),"Federico ")</f>
        <v>Federico </v>
      </c>
      <c r="F992" s="7" t="str">
        <f>IFERROR(__xludf.DUMMYFUNCTION("""COMPUTED_VALUE"""),"fedegalvez399@gmail.com")</f>
        <v>fedegalvez399@gmail.com</v>
      </c>
      <c r="G992" s="20">
        <f>IFERROR(__xludf.DUMMYFUNCTION("""COMPUTED_VALUE"""),38091.0)</f>
        <v>38091</v>
      </c>
      <c r="H992" s="7">
        <f>IFERROR(__xludf.DUMMYFUNCTION("""COMPUTED_VALUE"""),4.5641433E7)</f>
        <v>45641433</v>
      </c>
      <c r="I992" s="7">
        <f>IFERROR(__xludf.DUMMYFUNCTION("""COMPUTED_VALUE"""),3.516076331E9)</f>
        <v>3516076331</v>
      </c>
      <c r="J992" s="7" t="str">
        <f>IFERROR(__xludf.DUMMYFUNCTION("""COMPUTED_VALUE"""),"Instagram")</f>
        <v>Instagram</v>
      </c>
      <c r="K992" s="7" t="str">
        <f>IFERROR(__xludf.DUMMYFUNCTION("""COMPUTED_VALUE"""),"Obra social")</f>
        <v>Obra social</v>
      </c>
      <c r="L992" s="7"/>
      <c r="M992" s="7" t="str">
        <f>IFERROR(__xludf.DUMMYFUNCTION("""COMPUTED_VALUE"""),"Si")</f>
        <v>Si</v>
      </c>
      <c r="N992" s="7" t="str">
        <f>IFERROR(__xludf.DUMMYFUNCTION("""COMPUTED_VALUE"""),"Gimnasio")</f>
        <v>Gimnasio</v>
      </c>
      <c r="O992" s="7" t="str">
        <f>IFERROR(__xludf.DUMMYFUNCTION("""COMPUTED_VALUE"""),"3 a 5 veces por semana")</f>
        <v>3 a 5 veces por semana</v>
      </c>
      <c r="P992" s="7"/>
      <c r="Q992" s="7" t="str">
        <f>IFERROR(__xludf.DUMMYFUNCTION("""COMPUTED_VALUE"""),"DIBPFA")</f>
        <v>DIBPFA</v>
      </c>
      <c r="R992" s="7"/>
      <c r="S992" s="7"/>
    </row>
    <row r="993">
      <c r="A993" s="7" t="str">
        <f t="shared" si="1"/>
        <v>Perez, Maria Belen</v>
      </c>
      <c r="B993" s="7">
        <f>SUMIFS('bd caja'!$K$1:$K$1012,'bd caja'!$D$1:$D$1012,A993)</f>
        <v>0</v>
      </c>
      <c r="C993" s="19">
        <f>IFERROR(__xludf.DUMMYFUNCTION("""COMPUTED_VALUE"""),45795.833251041666)</f>
        <v>45795.83325</v>
      </c>
      <c r="D993" s="7" t="str">
        <f>IFERROR(__xludf.DUMMYFUNCTION("""COMPUTED_VALUE"""),"Perez")</f>
        <v>Perez</v>
      </c>
      <c r="E993" s="7" t="str">
        <f>IFERROR(__xludf.DUMMYFUNCTION("""COMPUTED_VALUE"""),"Maria Belen")</f>
        <v>Maria Belen</v>
      </c>
      <c r="F993" s="7" t="str">
        <f>IFERROR(__xludf.DUMMYFUNCTION("""COMPUTED_VALUE"""),"mariabelen.perezc@gmail.com")</f>
        <v>mariabelen.perezc@gmail.com</v>
      </c>
      <c r="G993" s="20">
        <f>IFERROR(__xludf.DUMMYFUNCTION("""COMPUTED_VALUE"""),30483.0)</f>
        <v>30483</v>
      </c>
      <c r="H993" s="7">
        <f>IFERROR(__xludf.DUMMYFUNCTION("""COMPUTED_VALUE"""),3.0329641E7)</f>
        <v>30329641</v>
      </c>
      <c r="I993" s="7">
        <f>IFERROR(__xludf.DUMMYFUNCTION("""COMPUTED_VALUE"""),3.513857461E9)</f>
        <v>3513857461</v>
      </c>
      <c r="J993" s="7" t="str">
        <f>IFERROR(__xludf.DUMMYFUNCTION("""COMPUTED_VALUE"""),"Voy al gym Manantial")</f>
        <v>Voy al gym Manantial</v>
      </c>
      <c r="K993" s="7" t="str">
        <f>IFERROR(__xludf.DUMMYFUNCTION("""COMPUTED_VALUE"""),"Particular")</f>
        <v>Particular</v>
      </c>
      <c r="L993" s="7"/>
      <c r="M993" s="7" t="str">
        <f>IFERROR(__xludf.DUMMYFUNCTION("""COMPUTED_VALUE"""),"Si")</f>
        <v>Si</v>
      </c>
      <c r="N993" s="7" t="str">
        <f>IFERROR(__xludf.DUMMYFUNCTION("""COMPUTED_VALUE"""),"Running")</f>
        <v>Running</v>
      </c>
      <c r="O993" s="7" t="str">
        <f>IFERROR(__xludf.DUMMYFUNCTION("""COMPUTED_VALUE"""),"3 a 5 veces por semana")</f>
        <v>3 a 5 veces por semana</v>
      </c>
      <c r="P993" s="7"/>
      <c r="Q993" s="7"/>
      <c r="R993" s="7"/>
      <c r="S993" s="7"/>
    </row>
    <row r="994">
      <c r="A994" s="7" t="str">
        <f t="shared" si="1"/>
        <v>Bordino, Nora Hilda</v>
      </c>
      <c r="B994" s="7">
        <f>SUMIFS('bd caja'!$K$1:$K$1012,'bd caja'!$D$1:$D$1012,A994)</f>
        <v>0</v>
      </c>
      <c r="C994" s="19">
        <f>IFERROR(__xludf.DUMMYFUNCTION("""COMPUTED_VALUE"""),45795.88207143519)</f>
        <v>45795.88207</v>
      </c>
      <c r="D994" s="7" t="str">
        <f>IFERROR(__xludf.DUMMYFUNCTION("""COMPUTED_VALUE"""),"Bordino")</f>
        <v>Bordino</v>
      </c>
      <c r="E994" s="7" t="str">
        <f>IFERROR(__xludf.DUMMYFUNCTION("""COMPUTED_VALUE"""),"Nora Hilda")</f>
        <v>Nora Hilda</v>
      </c>
      <c r="F994" s="7" t="str">
        <f>IFERROR(__xludf.DUMMYFUNCTION("""COMPUTED_VALUE"""),"norabordino8@gmail.com")</f>
        <v>norabordino8@gmail.com</v>
      </c>
      <c r="G994" s="20">
        <f>IFERROR(__xludf.DUMMYFUNCTION("""COMPUTED_VALUE"""),45795.0)</f>
        <v>45795</v>
      </c>
      <c r="H994" s="7">
        <f>IFERROR(__xludf.DUMMYFUNCTION("""COMPUTED_VALUE"""),6234619.0)</f>
        <v>6234619</v>
      </c>
      <c r="I994" s="7">
        <f>IFERROR(__xludf.DUMMYFUNCTION("""COMPUTED_VALUE"""),3.516604695E9)</f>
        <v>3516604695</v>
      </c>
      <c r="J994" s="7" t="str">
        <f>IFERROR(__xludf.DUMMYFUNCTION("""COMPUTED_VALUE"""),"Voy al gym Manantial")</f>
        <v>Voy al gym Manantial</v>
      </c>
      <c r="K994" s="7" t="str">
        <f>IFERROR(__xludf.DUMMYFUNCTION("""COMPUTED_VALUE"""),"Particular")</f>
        <v>Particular</v>
      </c>
      <c r="L994" s="7"/>
      <c r="M994" s="7" t="str">
        <f>IFERROR(__xludf.DUMMYFUNCTION("""COMPUTED_VALUE"""),"No")</f>
        <v>No</v>
      </c>
      <c r="N994" s="7"/>
      <c r="O994" s="7"/>
      <c r="P994" s="7"/>
      <c r="Q994" s="7"/>
      <c r="R994" s="7"/>
      <c r="S994" s="7"/>
    </row>
    <row r="995">
      <c r="A995" s="7" t="str">
        <f t="shared" si="1"/>
        <v>Fontanella, Agostina</v>
      </c>
      <c r="B995" s="7">
        <f>SUMIFS('bd caja'!$K$1:$K$1012,'bd caja'!$D$1:$D$1012,A995)</f>
        <v>0</v>
      </c>
      <c r="C995" s="19">
        <f>IFERROR(__xludf.DUMMYFUNCTION("""COMPUTED_VALUE"""),45796.44129340278)</f>
        <v>45796.44129</v>
      </c>
      <c r="D995" s="7" t="str">
        <f>IFERROR(__xludf.DUMMYFUNCTION("""COMPUTED_VALUE"""),"Fontanella")</f>
        <v>Fontanella</v>
      </c>
      <c r="E995" s="7" t="str">
        <f>IFERROR(__xludf.DUMMYFUNCTION("""COMPUTED_VALUE"""),"Agostina")</f>
        <v>Agostina</v>
      </c>
      <c r="F995" s="7" t="str">
        <f>IFERROR(__xludf.DUMMYFUNCTION("""COMPUTED_VALUE"""),"Agofontanella@gmail.com")</f>
        <v>Agofontanella@gmail.com</v>
      </c>
      <c r="G995" s="20">
        <f>IFERROR(__xludf.DUMMYFUNCTION("""COMPUTED_VALUE"""),34234.0)</f>
        <v>34234</v>
      </c>
      <c r="H995" s="7">
        <f>IFERROR(__xludf.DUMMYFUNCTION("""COMPUTED_VALUE"""),3.752253E7)</f>
        <v>37522530</v>
      </c>
      <c r="I995" s="7">
        <f>IFERROR(__xludf.DUMMYFUNCTION("""COMPUTED_VALUE"""),3.534792451E9)</f>
        <v>3534792451</v>
      </c>
      <c r="J995" s="7" t="str">
        <f>IFERROR(__xludf.DUMMYFUNCTION("""COMPUTED_VALUE"""),"Voy al gym Manantial")</f>
        <v>Voy al gym Manantial</v>
      </c>
      <c r="K995" s="7" t="str">
        <f>IFERROR(__xludf.DUMMYFUNCTION("""COMPUTED_VALUE"""),"Obra social")</f>
        <v>Obra social</v>
      </c>
      <c r="L995" s="7"/>
      <c r="M995" s="7" t="str">
        <f>IFERROR(__xludf.DUMMYFUNCTION("""COMPUTED_VALUE"""),"Si")</f>
        <v>Si</v>
      </c>
      <c r="N995" s="7" t="str">
        <f>IFERROR(__xludf.DUMMYFUNCTION("""COMPUTED_VALUE"""),"Gimnasio")</f>
        <v>Gimnasio</v>
      </c>
      <c r="O995" s="7" t="str">
        <f>IFERROR(__xludf.DUMMYFUNCTION("""COMPUTED_VALUE"""),"3 a 5 veces por semana")</f>
        <v>3 a 5 veces por semana</v>
      </c>
      <c r="P995" s="7"/>
      <c r="Q995" s="7" t="str">
        <f>IFERROR(__xludf.DUMMYFUNCTION("""COMPUTED_VALUE"""),"Medife")</f>
        <v>Medife</v>
      </c>
      <c r="R995" s="7"/>
      <c r="S995" s="7"/>
    </row>
    <row r="996">
      <c r="A996" s="7" t="str">
        <f t="shared" si="1"/>
        <v>GLOWACKI, Walter</v>
      </c>
      <c r="B996" s="7">
        <f>SUMIFS('bd caja'!$K$1:$K$1012,'bd caja'!$D$1:$D$1012,A996)</f>
        <v>0</v>
      </c>
      <c r="C996" s="19">
        <f>IFERROR(__xludf.DUMMYFUNCTION("""COMPUTED_VALUE"""),45796.46774346065)</f>
        <v>45796.46774</v>
      </c>
      <c r="D996" s="7" t="str">
        <f>IFERROR(__xludf.DUMMYFUNCTION("""COMPUTED_VALUE"""),"GLOWACKI")</f>
        <v>GLOWACKI</v>
      </c>
      <c r="E996" s="7" t="str">
        <f>IFERROR(__xludf.DUMMYFUNCTION("""COMPUTED_VALUE"""),"Walter")</f>
        <v>Walter</v>
      </c>
      <c r="F996" s="7"/>
      <c r="G996" s="20">
        <f>IFERROR(__xludf.DUMMYFUNCTION("""COMPUTED_VALUE"""),23291.0)</f>
        <v>23291</v>
      </c>
      <c r="H996" s="7">
        <f>IFERROR(__xludf.DUMMYFUNCTION("""COMPUTED_VALUE"""),1.6507309E7)</f>
        <v>16507309</v>
      </c>
      <c r="I996" s="7">
        <f>IFERROR(__xludf.DUMMYFUNCTION("""COMPUTED_VALUE"""),3.515730256E9)</f>
        <v>3515730256</v>
      </c>
      <c r="J996" s="7" t="str">
        <f>IFERROR(__xludf.DUMMYFUNCTION("""COMPUTED_VALUE"""),"Recomendación")</f>
        <v>Recomendación</v>
      </c>
      <c r="K996" s="7" t="str">
        <f>IFERROR(__xludf.DUMMYFUNCTION("""COMPUTED_VALUE"""),"Particular")</f>
        <v>Particular</v>
      </c>
      <c r="L996" s="7"/>
      <c r="M996" s="7" t="str">
        <f>IFERROR(__xludf.DUMMYFUNCTION("""COMPUTED_VALUE"""),"Si")</f>
        <v>Si</v>
      </c>
      <c r="N996" s="7" t="str">
        <f>IFERROR(__xludf.DUMMYFUNCTION("""COMPUTED_VALUE"""),"Gimnasio")</f>
        <v>Gimnasio</v>
      </c>
      <c r="O996" s="7" t="str">
        <f>IFERROR(__xludf.DUMMYFUNCTION("""COMPUTED_VALUE"""),"3 a 5 veces por semana")</f>
        <v>3 a 5 veces por semana</v>
      </c>
      <c r="P996" s="7"/>
      <c r="Q996" s="7"/>
      <c r="R996" s="7"/>
      <c r="S996" s="7"/>
    </row>
    <row r="997">
      <c r="A997" s="7" t="str">
        <f t="shared" si="1"/>
        <v>Silva, Gregorio</v>
      </c>
      <c r="B997" s="7">
        <f>SUMIFS('bd caja'!$K$1:$K$1012,'bd caja'!$D$1:$D$1012,A997)</f>
        <v>0</v>
      </c>
      <c r="C997" s="19">
        <f>IFERROR(__xludf.DUMMYFUNCTION("""COMPUTED_VALUE"""),45796.50740486111)</f>
        <v>45796.5074</v>
      </c>
      <c r="D997" s="7" t="str">
        <f>IFERROR(__xludf.DUMMYFUNCTION("""COMPUTED_VALUE"""),"Silva")</f>
        <v>Silva</v>
      </c>
      <c r="E997" s="7" t="str">
        <f>IFERROR(__xludf.DUMMYFUNCTION("""COMPUTED_VALUE"""),"Gregorio")</f>
        <v>Gregorio</v>
      </c>
      <c r="F997" s="7"/>
      <c r="G997" s="20">
        <f>IFERROR(__xludf.DUMMYFUNCTION("""COMPUTED_VALUE"""),23771.0)</f>
        <v>23771</v>
      </c>
      <c r="H997" s="7">
        <f>IFERROR(__xludf.DUMMYFUNCTION("""COMPUTED_VALUE"""),1.7591789E7)</f>
        <v>17591789</v>
      </c>
      <c r="I997" s="7">
        <f>IFERROR(__xludf.DUMMYFUNCTION("""COMPUTED_VALUE"""),3.512095193E9)</f>
        <v>3512095193</v>
      </c>
      <c r="J997" s="7" t="str">
        <f>IFERROR(__xludf.DUMMYFUNCTION("""COMPUTED_VALUE"""),"Voy al gym Manantial")</f>
        <v>Voy al gym Manantial</v>
      </c>
      <c r="K997" s="7" t="str">
        <f>IFERROR(__xludf.DUMMYFUNCTION("""COMPUTED_VALUE"""),"Particular")</f>
        <v>Particular</v>
      </c>
      <c r="L997" s="7"/>
      <c r="M997" s="7" t="str">
        <f>IFERROR(__xludf.DUMMYFUNCTION("""COMPUTED_VALUE"""),"No")</f>
        <v>No</v>
      </c>
      <c r="N997" s="7"/>
      <c r="O997" s="7"/>
      <c r="P997" s="7"/>
      <c r="Q997" s="7"/>
      <c r="R997" s="7"/>
      <c r="S997" s="7"/>
    </row>
    <row r="998">
      <c r="A998" s="7" t="str">
        <f t="shared" si="1"/>
        <v>Sanchez , Eva </v>
      </c>
      <c r="B998" s="7">
        <f>SUMIFS('bd caja'!$K$1:$K$1012,'bd caja'!$D$1:$D$1012,A998)</f>
        <v>0</v>
      </c>
      <c r="C998" s="19">
        <f>IFERROR(__xludf.DUMMYFUNCTION("""COMPUTED_VALUE"""),45796.73935325231)</f>
        <v>45796.73935</v>
      </c>
      <c r="D998" s="7" t="str">
        <f>IFERROR(__xludf.DUMMYFUNCTION("""COMPUTED_VALUE"""),"Sanchez ")</f>
        <v>Sanchez </v>
      </c>
      <c r="E998" s="7" t="str">
        <f>IFERROR(__xludf.DUMMYFUNCTION("""COMPUTED_VALUE"""),"Eva ")</f>
        <v>Eva </v>
      </c>
      <c r="F998" s="7" t="str">
        <f>IFERROR(__xludf.DUMMYFUNCTION("""COMPUTED_VALUE"""),"evagesanchez@hotmail.com")</f>
        <v>evagesanchez@hotmail.com</v>
      </c>
      <c r="G998" s="20">
        <f>IFERROR(__xludf.DUMMYFUNCTION("""COMPUTED_VALUE"""),28332.0)</f>
        <v>28332</v>
      </c>
      <c r="H998" s="7">
        <f>IFERROR(__xludf.DUMMYFUNCTION("""COMPUTED_VALUE"""),2.5858494E7)</f>
        <v>25858494</v>
      </c>
      <c r="I998" s="7">
        <f>IFERROR(__xludf.DUMMYFUNCTION("""COMPUTED_VALUE"""),3.516379967E9)</f>
        <v>3516379967</v>
      </c>
      <c r="J998" s="7" t="str">
        <f>IFERROR(__xludf.DUMMYFUNCTION("""COMPUTED_VALUE"""),"Cartilla Obra Social")</f>
        <v>Cartilla Obra Social</v>
      </c>
      <c r="K998" s="7" t="str">
        <f>IFERROR(__xludf.DUMMYFUNCTION("""COMPUTED_VALUE"""),"Obra social")</f>
        <v>Obra social</v>
      </c>
      <c r="L998" s="7"/>
      <c r="M998" s="7" t="str">
        <f>IFERROR(__xludf.DUMMYFUNCTION("""COMPUTED_VALUE"""),"Si")</f>
        <v>Si</v>
      </c>
      <c r="N998" s="7" t="str">
        <f>IFERROR(__xludf.DUMMYFUNCTION("""COMPUTED_VALUE"""),"Funcional")</f>
        <v>Funcional</v>
      </c>
      <c r="O998" s="7" t="str">
        <f>IFERROR(__xludf.DUMMYFUNCTION("""COMPUTED_VALUE"""),"1 a 2 veces por semana")</f>
        <v>1 a 2 veces por semana</v>
      </c>
      <c r="P998" s="7"/>
      <c r="Q998" s="7" t="str">
        <f>IFERROR(__xludf.DUMMYFUNCTION("""COMPUTED_VALUE"""),"APROSS")</f>
        <v>APROSS</v>
      </c>
      <c r="R998" s="7"/>
      <c r="S998" s="7"/>
    </row>
    <row r="999">
      <c r="A999" s="7" t="str">
        <f t="shared" si="1"/>
        <v>OLOCCO, David</v>
      </c>
      <c r="B999" s="7">
        <f>SUMIFS('bd caja'!$K$1:$K$1012,'bd caja'!$D$1:$D$1012,A999)</f>
        <v>0</v>
      </c>
      <c r="C999" s="19">
        <f>IFERROR(__xludf.DUMMYFUNCTION("""COMPUTED_VALUE"""),45797.760530416665)</f>
        <v>45797.76053</v>
      </c>
      <c r="D999" s="7" t="str">
        <f>IFERROR(__xludf.DUMMYFUNCTION("""COMPUTED_VALUE"""),"OLOCCO")</f>
        <v>OLOCCO</v>
      </c>
      <c r="E999" s="7" t="str">
        <f>IFERROR(__xludf.DUMMYFUNCTION("""COMPUTED_VALUE"""),"David")</f>
        <v>David</v>
      </c>
      <c r="F999" s="7" t="str">
        <f>IFERROR(__xludf.DUMMYFUNCTION("""COMPUTED_VALUE"""),"oloccodavid86@gmail.com")</f>
        <v>oloccodavid86@gmail.com</v>
      </c>
      <c r="G999" s="20">
        <f>IFERROR(__xludf.DUMMYFUNCTION("""COMPUTED_VALUE"""),32609.0)</f>
        <v>32609</v>
      </c>
      <c r="H999" s="7">
        <f>IFERROR(__xludf.DUMMYFUNCTION("""COMPUTED_VALUE"""),3.4440403E7)</f>
        <v>34440403</v>
      </c>
      <c r="I999" s="7">
        <f>IFERROR(__xludf.DUMMYFUNCTION("""COMPUTED_VALUE"""),3.516648823E9)</f>
        <v>3516648823</v>
      </c>
      <c r="J999" s="7" t="str">
        <f>IFERROR(__xludf.DUMMYFUNCTION("""COMPUTED_VALUE"""),"ya nos conocia de antes ")</f>
        <v>ya nos conocia de antes </v>
      </c>
      <c r="K999" s="7" t="str">
        <f>IFERROR(__xludf.DUMMYFUNCTION("""COMPUTED_VALUE"""),"Obra social")</f>
        <v>Obra social</v>
      </c>
      <c r="L999" s="7"/>
      <c r="M999" s="7" t="str">
        <f>IFERROR(__xludf.DUMMYFUNCTION("""COMPUTED_VALUE"""),"No")</f>
        <v>No</v>
      </c>
      <c r="N999" s="7"/>
      <c r="O999" s="7"/>
      <c r="P999" s="7"/>
      <c r="Q999" s="7" t="str">
        <f>IFERROR(__xludf.DUMMYFUNCTION("""COMPUTED_VALUE"""),"PREVENCIÓN")</f>
        <v>PREVENCIÓN</v>
      </c>
      <c r="R999" s="7"/>
      <c r="S999" s="7"/>
    </row>
    <row r="1000">
      <c r="A1000" s="7" t="str">
        <f t="shared" si="1"/>
        <v>Costamagna, Susana</v>
      </c>
      <c r="B1000" s="7">
        <f>SUMIFS('bd caja'!$K$1:$K$1012,'bd caja'!$D$1:$D$1012,A1000)</f>
        <v>0</v>
      </c>
      <c r="C1000" s="19">
        <f>IFERROR(__xludf.DUMMYFUNCTION("""COMPUTED_VALUE"""),45798.462872118056)</f>
        <v>45798.46287</v>
      </c>
      <c r="D1000" s="7" t="str">
        <f>IFERROR(__xludf.DUMMYFUNCTION("""COMPUTED_VALUE"""),"Costamagna")</f>
        <v>Costamagna</v>
      </c>
      <c r="E1000" s="7" t="str">
        <f>IFERROR(__xludf.DUMMYFUNCTION("""COMPUTED_VALUE"""),"Susana")</f>
        <v>Susana</v>
      </c>
      <c r="F1000" s="7" t="str">
        <f>IFERROR(__xludf.DUMMYFUNCTION("""COMPUTED_VALUE"""),"susanacostamagna@hotmail.com")</f>
        <v>susanacostamagna@hotmail.com</v>
      </c>
      <c r="G1000" s="20">
        <f>IFERROR(__xludf.DUMMYFUNCTION("""COMPUTED_VALUE"""),17840.0)</f>
        <v>17840</v>
      </c>
      <c r="H1000" s="7">
        <f>IFERROR(__xludf.DUMMYFUNCTION("""COMPUTED_VALUE"""),5869655.0)</f>
        <v>5869655</v>
      </c>
      <c r="I1000" s="7">
        <f>IFERROR(__xludf.DUMMYFUNCTION("""COMPUTED_VALUE"""),3.513239274E9)</f>
        <v>3513239274</v>
      </c>
      <c r="J1000" s="7" t="str">
        <f>IFERROR(__xludf.DUMMYFUNCTION("""COMPUTED_VALUE"""),"Voy al gym Manantial")</f>
        <v>Voy al gym Manantial</v>
      </c>
      <c r="K1000" s="7" t="str">
        <f>IFERROR(__xludf.DUMMYFUNCTION("""COMPUTED_VALUE"""),"Particular")</f>
        <v>Particular</v>
      </c>
      <c r="L1000" s="7"/>
      <c r="M1000" s="7" t="str">
        <f>IFERROR(__xludf.DUMMYFUNCTION("""COMPUTED_VALUE"""),"Si")</f>
        <v>Si</v>
      </c>
      <c r="N1000" s="7" t="str">
        <f>IFERROR(__xludf.DUMMYFUNCTION("""COMPUTED_VALUE"""),"Gimnasio")</f>
        <v>Gimnasio</v>
      </c>
      <c r="O1000" s="7" t="str">
        <f>IFERROR(__xludf.DUMMYFUNCTION("""COMPUTED_VALUE"""),"3 a 5 veces por semana")</f>
        <v>3 a 5 veces por semana</v>
      </c>
      <c r="P1000" s="7"/>
      <c r="Q1000" s="7"/>
      <c r="R1000" s="7"/>
      <c r="S1000" s="7"/>
    </row>
    <row r="1001">
      <c r="C1001" s="19">
        <f>IFERROR(__xludf.DUMMYFUNCTION("""COMPUTED_VALUE"""),45798.74893328703)</f>
        <v>45798.74893</v>
      </c>
      <c r="D1001" s="7" t="str">
        <f>IFERROR(__xludf.DUMMYFUNCTION("""COMPUTED_VALUE"""),"SEGHEZZO")</f>
        <v>SEGHEZZO</v>
      </c>
      <c r="E1001" s="7" t="str">
        <f>IFERROR(__xludf.DUMMYFUNCTION("""COMPUTED_VALUE"""),"Chiara Belen ")</f>
        <v>Chiara Belen </v>
      </c>
      <c r="F1001" s="7" t="str">
        <f>IFERROR(__xludf.DUMMYFUNCTION("""COMPUTED_VALUE"""),"chiaraSEGHEZZO23@gmail.com")</f>
        <v>chiaraSEGHEZZO23@gmail.com</v>
      </c>
      <c r="G1001" s="20">
        <f>IFERROR(__xludf.DUMMYFUNCTION("""COMPUTED_VALUE"""),37613.0)</f>
        <v>37613</v>
      </c>
      <c r="H1001" s="7">
        <f>IFERROR(__xludf.DUMMYFUNCTION("""COMPUTED_VALUE"""),4.4579777E7)</f>
        <v>44579777</v>
      </c>
      <c r="I1001" s="7">
        <f>IFERROR(__xludf.DUMMYFUNCTION("""COMPUTED_VALUE"""),3.416559313E9)</f>
        <v>3416559313</v>
      </c>
      <c r="J1001" s="7" t="str">
        <f>IFERROR(__xludf.DUMMYFUNCTION("""COMPUTED_VALUE"""),"Cartilla Obra Social")</f>
        <v>Cartilla Obra Social</v>
      </c>
      <c r="K1001" s="7" t="str">
        <f>IFERROR(__xludf.DUMMYFUNCTION("""COMPUTED_VALUE"""),"Obra social")</f>
        <v>Obra social</v>
      </c>
      <c r="L1001" s="7"/>
      <c r="M1001" s="7" t="str">
        <f>IFERROR(__xludf.DUMMYFUNCTION("""COMPUTED_VALUE"""),"Si")</f>
        <v>Si</v>
      </c>
      <c r="N1001" s="7" t="str">
        <f>IFERROR(__xludf.DUMMYFUNCTION("""COMPUTED_VALUE"""),"Patin (es profe) y pilates ")</f>
        <v>Patin (es profe) y pilates </v>
      </c>
      <c r="O1001" s="7" t="str">
        <f>IFERROR(__xludf.DUMMYFUNCTION("""COMPUTED_VALUE"""),"1 a 2 veces por semana")</f>
        <v>1 a 2 veces por semana</v>
      </c>
      <c r="P1001" s="7"/>
      <c r="Q1001" s="7" t="str">
        <f>IFERROR(__xludf.DUMMYFUNCTION("""COMPUTED_VALUE"""),"PREVENCIÓN")</f>
        <v>PREVENCIÓN</v>
      </c>
      <c r="R1001" s="7"/>
      <c r="S1001" s="7"/>
    </row>
    <row r="1002">
      <c r="C1002" s="19">
        <f>IFERROR(__xludf.DUMMYFUNCTION("""COMPUTED_VALUE"""),45799.66321222222)</f>
        <v>45799.66321</v>
      </c>
      <c r="D1002" s="7" t="str">
        <f>IFERROR(__xludf.DUMMYFUNCTION("""COMPUTED_VALUE"""),"Medina")</f>
        <v>Medina</v>
      </c>
      <c r="E1002" s="7" t="str">
        <f>IFERROR(__xludf.DUMMYFUNCTION("""COMPUTED_VALUE"""),"Luis")</f>
        <v>Luis</v>
      </c>
      <c r="F1002" s="7" t="str">
        <f>IFERROR(__xludf.DUMMYFUNCTION("""COMPUTED_VALUE"""),"luis_cba.18@hotmai.com")</f>
        <v>luis_cba.18@hotmai.com</v>
      </c>
      <c r="G1002" s="20">
        <f>IFERROR(__xludf.DUMMYFUNCTION("""COMPUTED_VALUE"""),32655.0)</f>
        <v>32655</v>
      </c>
      <c r="H1002" s="7">
        <f>IFERROR(__xludf.DUMMYFUNCTION("""COMPUTED_VALUE"""),3.445505E7)</f>
        <v>34455050</v>
      </c>
      <c r="I1002" s="7">
        <f>IFERROR(__xludf.DUMMYFUNCTION("""COMPUTED_VALUE"""),3.514085635E9)</f>
        <v>3514085635</v>
      </c>
      <c r="J1002" s="7" t="str">
        <f>IFERROR(__xludf.DUMMYFUNCTION("""COMPUTED_VALUE"""),"Voy al gym Manantial")</f>
        <v>Voy al gym Manantial</v>
      </c>
      <c r="K1002" s="7" t="str">
        <f>IFERROR(__xludf.DUMMYFUNCTION("""COMPUTED_VALUE"""),"Particular")</f>
        <v>Particular</v>
      </c>
      <c r="L1002" s="7"/>
      <c r="M1002" s="7" t="str">
        <f>IFERROR(__xludf.DUMMYFUNCTION("""COMPUTED_VALUE"""),"Si")</f>
        <v>Si</v>
      </c>
      <c r="N1002" s="7" t="str">
        <f>IFERROR(__xludf.DUMMYFUNCTION("""COMPUTED_VALUE"""),"Gimnasio+karate")</f>
        <v>Gimnasio+karate</v>
      </c>
      <c r="O1002" s="7" t="str">
        <f>IFERROR(__xludf.DUMMYFUNCTION("""COMPUTED_VALUE"""),"3 a 5 veces por semana")</f>
        <v>3 a 5 veces por semana</v>
      </c>
      <c r="P1002" s="7"/>
      <c r="Q1002" s="7"/>
      <c r="R1002" s="7"/>
      <c r="S1002" s="7"/>
    </row>
    <row r="1003">
      <c r="C1003" s="19">
        <f>IFERROR(__xludf.DUMMYFUNCTION("""COMPUTED_VALUE"""),45800.46521649306)</f>
        <v>45800.46522</v>
      </c>
      <c r="D1003" s="7" t="str">
        <f>IFERROR(__xludf.DUMMYFUNCTION("""COMPUTED_VALUE"""),"Salas ")</f>
        <v>Salas </v>
      </c>
      <c r="E1003" s="7" t="str">
        <f>IFERROR(__xludf.DUMMYFUNCTION("""COMPUTED_VALUE"""),"Fernando ")</f>
        <v>Fernando </v>
      </c>
      <c r="F1003" s="7"/>
      <c r="G1003" s="20">
        <f>IFERROR(__xludf.DUMMYFUNCTION("""COMPUTED_VALUE"""),27488.0)</f>
        <v>27488</v>
      </c>
      <c r="H1003" s="7">
        <f>IFERROR(__xludf.DUMMYFUNCTION("""COMPUTED_VALUE"""),2.4302562E7)</f>
        <v>24302562</v>
      </c>
      <c r="I1003" s="7">
        <f>IFERROR(__xludf.DUMMYFUNCTION("""COMPUTED_VALUE"""),3.516565633E9)</f>
        <v>3516565633</v>
      </c>
      <c r="J1003" s="7" t="str">
        <f>IFERROR(__xludf.DUMMYFUNCTION("""COMPUTED_VALUE"""),"Instagram")</f>
        <v>Instagram</v>
      </c>
      <c r="K1003" s="7" t="str">
        <f>IFERROR(__xludf.DUMMYFUNCTION("""COMPUTED_VALUE"""),"Particular")</f>
        <v>Particular</v>
      </c>
      <c r="L1003" s="7"/>
      <c r="M1003" s="7" t="str">
        <f>IFERROR(__xludf.DUMMYFUNCTION("""COMPUTED_VALUE"""),"No")</f>
        <v>No</v>
      </c>
      <c r="N1003" s="7"/>
      <c r="O1003" s="7"/>
      <c r="P1003" s="7"/>
      <c r="Q1003" s="7"/>
      <c r="R1003" s="7"/>
      <c r="S1003" s="7"/>
    </row>
    <row r="1004">
      <c r="C1004" s="19">
        <f>IFERROR(__xludf.DUMMYFUNCTION("""COMPUTED_VALUE"""),45803.40664515046)</f>
        <v>45803.40665</v>
      </c>
      <c r="D1004" s="7" t="str">
        <f>IFERROR(__xludf.DUMMYFUNCTION("""COMPUTED_VALUE"""),"Hillar")</f>
        <v>Hillar</v>
      </c>
      <c r="E1004" s="7" t="str">
        <f>IFERROR(__xludf.DUMMYFUNCTION("""COMPUTED_VALUE"""),"Alejandro")</f>
        <v>Alejandro</v>
      </c>
      <c r="F1004" s="7" t="str">
        <f>IFERROR(__xludf.DUMMYFUNCTION("""COMPUTED_VALUE"""),"alehillar90@gmail.com")</f>
        <v>alehillar90@gmail.com</v>
      </c>
      <c r="G1004" s="20">
        <f>IFERROR(__xludf.DUMMYFUNCTION("""COMPUTED_VALUE"""),33069.0)</f>
        <v>33069</v>
      </c>
      <c r="H1004" s="7">
        <f>IFERROR(__xludf.DUMMYFUNCTION("""COMPUTED_VALUE"""),3.5283712E7)</f>
        <v>35283712</v>
      </c>
      <c r="I1004" s="7">
        <f>IFERROR(__xludf.DUMMYFUNCTION("""COMPUTED_VALUE"""),3.516427532E9)</f>
        <v>3516427532</v>
      </c>
      <c r="J1004" s="7" t="str">
        <f>IFERROR(__xludf.DUMMYFUNCTION("""COMPUTED_VALUE"""),"Voy al gym Manantial")</f>
        <v>Voy al gym Manantial</v>
      </c>
      <c r="K1004" s="7" t="str">
        <f>IFERROR(__xludf.DUMMYFUNCTION("""COMPUTED_VALUE"""),"Obra social")</f>
        <v>Obra social</v>
      </c>
      <c r="L1004" s="7"/>
      <c r="M1004" s="7" t="str">
        <f>IFERROR(__xludf.DUMMYFUNCTION("""COMPUTED_VALUE"""),"Si")</f>
        <v>Si</v>
      </c>
      <c r="N1004" s="7" t="str">
        <f>IFERROR(__xludf.DUMMYFUNCTION("""COMPUTED_VALUE"""),"Fútbol")</f>
        <v>Fútbol</v>
      </c>
      <c r="O1004" s="7" t="str">
        <f>IFERROR(__xludf.DUMMYFUNCTION("""COMPUTED_VALUE"""),"3 a 5 veces por semana")</f>
        <v>3 a 5 veces por semana</v>
      </c>
      <c r="P1004" s="7"/>
      <c r="Q1004" s="7" t="str">
        <f>IFERROR(__xludf.DUMMYFUNCTION("""COMPUTED_VALUE"""),"Swiss")</f>
        <v>Swiss</v>
      </c>
      <c r="R1004" s="7"/>
      <c r="S1004" s="7"/>
    </row>
    <row r="1005">
      <c r="C1005" s="19">
        <f>IFERROR(__xludf.DUMMYFUNCTION("""COMPUTED_VALUE"""),45803.464873969904)</f>
        <v>45803.46487</v>
      </c>
      <c r="D1005" s="7" t="str">
        <f>IFERROR(__xludf.DUMMYFUNCTION("""COMPUTED_VALUE"""),"Quiroga")</f>
        <v>Quiroga</v>
      </c>
      <c r="E1005" s="7" t="str">
        <f>IFERROR(__xludf.DUMMYFUNCTION("""COMPUTED_VALUE"""),"Ignacio")</f>
        <v>Ignacio</v>
      </c>
      <c r="F1005" s="7" t="str">
        <f>IFERROR(__xludf.DUMMYFUNCTION("""COMPUTED_VALUE"""),"ignacioequiroga@gmail.com")</f>
        <v>ignacioequiroga@gmail.com</v>
      </c>
      <c r="G1005" s="20">
        <f>IFERROR(__xludf.DUMMYFUNCTION("""COMPUTED_VALUE"""),33897.0)</f>
        <v>33897</v>
      </c>
      <c r="H1005" s="7">
        <f>IFERROR(__xludf.DUMMYFUNCTION("""COMPUTED_VALUE"""),3.6925936E7)</f>
        <v>36925936</v>
      </c>
      <c r="I1005" s="7">
        <f>IFERROR(__xludf.DUMMYFUNCTION("""COMPUTED_VALUE"""),3.512472243E9)</f>
        <v>3512472243</v>
      </c>
      <c r="J1005" s="7" t="str">
        <f>IFERROR(__xludf.DUMMYFUNCTION("""COMPUTED_VALUE"""),"Google")</f>
        <v>Google</v>
      </c>
      <c r="K1005" s="7" t="str">
        <f>IFERROR(__xludf.DUMMYFUNCTION("""COMPUTED_VALUE"""),"Obra social")</f>
        <v>Obra social</v>
      </c>
      <c r="L1005" s="7"/>
      <c r="M1005" s="7" t="str">
        <f>IFERROR(__xludf.DUMMYFUNCTION("""COMPUTED_VALUE"""),"Si")</f>
        <v>Si</v>
      </c>
      <c r="N1005" s="7" t="str">
        <f>IFERROR(__xludf.DUMMYFUNCTION("""COMPUTED_VALUE"""),"Running y gimnasio")</f>
        <v>Running y gimnasio</v>
      </c>
      <c r="O1005" s="7" t="str">
        <f>IFERROR(__xludf.DUMMYFUNCTION("""COMPUTED_VALUE"""),"6 a 7 veces por semana")</f>
        <v>6 a 7 veces por semana</v>
      </c>
      <c r="P1005" s="7"/>
      <c r="Q1005" s="7" t="str">
        <f>IFERROR(__xludf.DUMMYFUNCTION("""COMPUTED_VALUE"""),"Swiss Medical")</f>
        <v>Swiss Medical</v>
      </c>
      <c r="R1005" s="7"/>
      <c r="S1005" s="7"/>
    </row>
    <row r="1006">
      <c r="C1006" s="19">
        <f>IFERROR(__xludf.DUMMYFUNCTION("""COMPUTED_VALUE"""),45803.634543506945)</f>
        <v>45803.63454</v>
      </c>
      <c r="D1006" s="7" t="str">
        <f>IFERROR(__xludf.DUMMYFUNCTION("""COMPUTED_VALUE"""),"Macagno")</f>
        <v>Macagno</v>
      </c>
      <c r="E1006" s="7" t="str">
        <f>IFERROR(__xludf.DUMMYFUNCTION("""COMPUTED_VALUE"""),"Diego")</f>
        <v>Diego</v>
      </c>
      <c r="F1006" s="7"/>
      <c r="G1006" s="20">
        <f>IFERROR(__xludf.DUMMYFUNCTION("""COMPUTED_VALUE"""),25486.0)</f>
        <v>25486</v>
      </c>
      <c r="H1006" s="7">
        <f>IFERROR(__xludf.DUMMYFUNCTION("""COMPUTED_VALUE"""),2.0876674E7)</f>
        <v>20876674</v>
      </c>
      <c r="I1006" s="7">
        <f>IFERROR(__xludf.DUMMYFUNCTION("""COMPUTED_VALUE"""),3.513932937E9)</f>
        <v>3513932937</v>
      </c>
      <c r="J1006" s="7" t="str">
        <f>IFERROR(__xludf.DUMMYFUNCTION("""COMPUTED_VALUE"""),"Recomendación")</f>
        <v>Recomendación</v>
      </c>
      <c r="K1006" s="7" t="str">
        <f>IFERROR(__xludf.DUMMYFUNCTION("""COMPUTED_VALUE"""),"Obra social")</f>
        <v>Obra social</v>
      </c>
      <c r="L1006" s="7"/>
      <c r="M1006" s="7" t="str">
        <f>IFERROR(__xludf.DUMMYFUNCTION("""COMPUTED_VALUE"""),"No")</f>
        <v>No</v>
      </c>
      <c r="N1006" s="7"/>
      <c r="O1006" s="7"/>
      <c r="P1006" s="7"/>
      <c r="Q1006" s="7" t="str">
        <f>IFERROR(__xludf.DUMMYFUNCTION("""COMPUTED_VALUE"""),"APROSS")</f>
        <v>APROSS</v>
      </c>
      <c r="R1006" s="7"/>
      <c r="S1006" s="7"/>
    </row>
    <row r="1007">
      <c r="C1007" s="19">
        <f>IFERROR(__xludf.DUMMYFUNCTION("""COMPUTED_VALUE"""),45803.76479877315)</f>
        <v>45803.7648</v>
      </c>
      <c r="D1007" s="7" t="str">
        <f>IFERROR(__xludf.DUMMYFUNCTION("""COMPUTED_VALUE"""),"Gomez barbeito")</f>
        <v>Gomez barbeito</v>
      </c>
      <c r="E1007" s="7" t="str">
        <f>IFERROR(__xludf.DUMMYFUNCTION("""COMPUTED_VALUE"""),"Juan ignacio")</f>
        <v>Juan ignacio</v>
      </c>
      <c r="F1007" s="7" t="str">
        <f>IFERROR(__xludf.DUMMYFUNCTION("""COMPUTED_VALUE"""),"arq.gomezbarbeito@gmail.com")</f>
        <v>arq.gomezbarbeito@gmail.com</v>
      </c>
      <c r="G1007" s="20">
        <f>IFERROR(__xludf.DUMMYFUNCTION("""COMPUTED_VALUE"""),31147.0)</f>
        <v>31147</v>
      </c>
      <c r="H1007" s="7">
        <f>IFERROR(__xludf.DUMMYFUNCTION("""COMPUTED_VALUE"""),3.1471409E7)</f>
        <v>31471409</v>
      </c>
      <c r="I1007" s="7">
        <f>IFERROR(__xludf.DUMMYFUNCTION("""COMPUTED_VALUE"""),3.513483032E9)</f>
        <v>3513483032</v>
      </c>
      <c r="J1007" s="7" t="str">
        <f>IFERROR(__xludf.DUMMYFUNCTION("""COMPUTED_VALUE"""),"Google")</f>
        <v>Google</v>
      </c>
      <c r="K1007" s="7" t="str">
        <f>IFERROR(__xludf.DUMMYFUNCTION("""COMPUTED_VALUE"""),"Particular")</f>
        <v>Particular</v>
      </c>
      <c r="L1007" s="7"/>
      <c r="M1007" s="7" t="str">
        <f>IFERROR(__xludf.DUMMYFUNCTION("""COMPUTED_VALUE"""),"Si")</f>
        <v>Si</v>
      </c>
      <c r="N1007" s="7" t="str">
        <f>IFERROR(__xludf.DUMMYFUNCTION("""COMPUTED_VALUE"""),"Gimnasio")</f>
        <v>Gimnasio</v>
      </c>
      <c r="O1007" s="7" t="str">
        <f>IFERROR(__xludf.DUMMYFUNCTION("""COMPUTED_VALUE"""),"6 a 7 veces por semana")</f>
        <v>6 a 7 veces por semana</v>
      </c>
      <c r="P1007" s="7"/>
      <c r="Q1007" s="7"/>
      <c r="R1007" s="7"/>
      <c r="S1007" s="7"/>
    </row>
    <row r="1008">
      <c r="C1008" s="19">
        <f>IFERROR(__xludf.DUMMYFUNCTION("""COMPUTED_VALUE"""),45803.77058702546)</f>
        <v>45803.77059</v>
      </c>
      <c r="D1008" s="7" t="str">
        <f>IFERROR(__xludf.DUMMYFUNCTION("""COMPUTED_VALUE"""),"Trad")</f>
        <v>Trad</v>
      </c>
      <c r="E1008" s="7" t="str">
        <f>IFERROR(__xludf.DUMMYFUNCTION("""COMPUTED_VALUE"""),"JAiro")</f>
        <v>JAiro</v>
      </c>
      <c r="F1008" s="7" t="str">
        <f>IFERROR(__xludf.DUMMYFUNCTION("""COMPUTED_VALUE"""),"jairotrad@gmail.com")</f>
        <v>jairotrad@gmail.com</v>
      </c>
      <c r="G1008" s="20">
        <f>IFERROR(__xludf.DUMMYFUNCTION("""COMPUTED_VALUE"""),32028.0)</f>
        <v>32028</v>
      </c>
      <c r="H1008" s="7">
        <f>IFERROR(__xludf.DUMMYFUNCTION("""COMPUTED_VALUE"""),3.2979712E7)</f>
        <v>32979712</v>
      </c>
      <c r="I1008" s="7">
        <f>IFERROR(__xludf.DUMMYFUNCTION("""COMPUTED_VALUE"""),3.544599933E9)</f>
        <v>3544599933</v>
      </c>
      <c r="J1008" s="7" t="str">
        <f>IFERROR(__xludf.DUMMYFUNCTION("""COMPUTED_VALUE"""),"Google")</f>
        <v>Google</v>
      </c>
      <c r="K1008" s="7" t="str">
        <f>IFERROR(__xludf.DUMMYFUNCTION("""COMPUTED_VALUE"""),"Particular")</f>
        <v>Particular</v>
      </c>
      <c r="L1008" s="7"/>
      <c r="M1008" s="7" t="str">
        <f>IFERROR(__xludf.DUMMYFUNCTION("""COMPUTED_VALUE"""),"Si")</f>
        <v>Si</v>
      </c>
      <c r="N1008" s="7" t="str">
        <f>IFERROR(__xludf.DUMMYFUNCTION("""COMPUTED_VALUE"""),"Gimnasio")</f>
        <v>Gimnasio</v>
      </c>
      <c r="O1008" s="7" t="str">
        <f>IFERROR(__xludf.DUMMYFUNCTION("""COMPUTED_VALUE"""),"3 a 5 veces por semana")</f>
        <v>3 a 5 veces por semana</v>
      </c>
      <c r="P1008" s="7"/>
      <c r="Q1008" s="7"/>
      <c r="R1008" s="7"/>
      <c r="S1008" s="7"/>
    </row>
    <row r="1009">
      <c r="C1009" s="19">
        <f>IFERROR(__xludf.DUMMYFUNCTION("""COMPUTED_VALUE"""),45804.43975684028)</f>
        <v>45804.43976</v>
      </c>
      <c r="D1009" s="7" t="str">
        <f>IFERROR(__xludf.DUMMYFUNCTION("""COMPUTED_VALUE"""),"Ceballos Ferri")</f>
        <v>Ceballos Ferri</v>
      </c>
      <c r="E1009" s="7" t="str">
        <f>IFERROR(__xludf.DUMMYFUNCTION("""COMPUTED_VALUE"""),"Geronimo")</f>
        <v>Geronimo</v>
      </c>
      <c r="F1009" s="7" t="str">
        <f>IFERROR(__xludf.DUMMYFUNCTION("""COMPUTED_VALUE"""),"psicologomauroceballos@gmail.com")</f>
        <v>psicologomauroceballos@gmail.com</v>
      </c>
      <c r="G1009" s="20">
        <f>IFERROR(__xludf.DUMMYFUNCTION("""COMPUTED_VALUE"""),40773.0)</f>
        <v>40773</v>
      </c>
      <c r="H1009" s="7">
        <f>IFERROR(__xludf.DUMMYFUNCTION("""COMPUTED_VALUE"""),5.1196682E7)</f>
        <v>51196682</v>
      </c>
      <c r="I1009" s="7">
        <f>IFERROR(__xludf.DUMMYFUNCTION("""COMPUTED_VALUE"""),3.516208041E9)</f>
        <v>3516208041</v>
      </c>
      <c r="J1009" s="7" t="str">
        <f>IFERROR(__xludf.DUMMYFUNCTION("""COMPUTED_VALUE"""),"Voy al gym Manantial")</f>
        <v>Voy al gym Manantial</v>
      </c>
      <c r="K1009" s="7" t="str">
        <f>IFERROR(__xludf.DUMMYFUNCTION("""COMPUTED_VALUE"""),"Obra social")</f>
        <v>Obra social</v>
      </c>
      <c r="L1009" s="7"/>
      <c r="M1009" s="7" t="str">
        <f>IFERROR(__xludf.DUMMYFUNCTION("""COMPUTED_VALUE"""),"Si")</f>
        <v>Si</v>
      </c>
      <c r="N1009" s="7" t="str">
        <f>IFERROR(__xludf.DUMMYFUNCTION("""COMPUTED_VALUE"""),"Fútbol")</f>
        <v>Fútbol</v>
      </c>
      <c r="O1009" s="7" t="str">
        <f>IFERROR(__xludf.DUMMYFUNCTION("""COMPUTED_VALUE"""),"3 a 5 veces por semana")</f>
        <v>3 a 5 veces por semana</v>
      </c>
      <c r="P1009" s="7"/>
      <c r="Q1009" s="7" t="str">
        <f>IFERROR(__xludf.DUMMYFUNCTION("""COMPUTED_VALUE"""),"CPCE")</f>
        <v>CPCE</v>
      </c>
      <c r="R1009" s="7"/>
      <c r="S1009" s="7"/>
    </row>
    <row r="1010">
      <c r="C1010" s="19">
        <f>IFERROR(__xludf.DUMMYFUNCTION("""COMPUTED_VALUE"""),45805.69121883102)</f>
        <v>45805.69122</v>
      </c>
      <c r="D1010" s="7" t="str">
        <f>IFERROR(__xludf.DUMMYFUNCTION("""COMPUTED_VALUE"""),"Feito")</f>
        <v>Feito</v>
      </c>
      <c r="E1010" s="7" t="str">
        <f>IFERROR(__xludf.DUMMYFUNCTION("""COMPUTED_VALUE"""),"José")</f>
        <v>José</v>
      </c>
      <c r="F1010" s="7" t="str">
        <f>IFERROR(__xludf.DUMMYFUNCTION("""COMPUTED_VALUE"""),"jrfeitoantilef@gmail.com")</f>
        <v>jrfeitoantilef@gmail.com</v>
      </c>
      <c r="G1010" s="20">
        <f>IFERROR(__xludf.DUMMYFUNCTION("""COMPUTED_VALUE"""),35040.0)</f>
        <v>35040</v>
      </c>
      <c r="H1010" s="7">
        <f>IFERROR(__xludf.DUMMYFUNCTION("""COMPUTED_VALUE"""),3.9374466E7)</f>
        <v>39374466</v>
      </c>
      <c r="I1010" s="7">
        <f>IFERROR(__xludf.DUMMYFUNCTION("""COMPUTED_VALUE"""),1.159899701E9)</f>
        <v>1159899701</v>
      </c>
      <c r="J1010" s="7" t="str">
        <f>IFERROR(__xludf.DUMMYFUNCTION("""COMPUTED_VALUE"""),"Google")</f>
        <v>Google</v>
      </c>
      <c r="K1010" s="7" t="str">
        <f>IFERROR(__xludf.DUMMYFUNCTION("""COMPUTED_VALUE"""),"Particular")</f>
        <v>Particular</v>
      </c>
      <c r="L1010" s="7"/>
      <c r="M1010" s="7" t="str">
        <f>IFERROR(__xludf.DUMMYFUNCTION("""COMPUTED_VALUE"""),"Si")</f>
        <v>Si</v>
      </c>
      <c r="N1010" s="7" t="str">
        <f>IFERROR(__xludf.DUMMYFUNCTION("""COMPUTED_VALUE"""),"Paddle")</f>
        <v>Paddle</v>
      </c>
      <c r="O1010" s="7" t="str">
        <f>IFERROR(__xludf.DUMMYFUNCTION("""COMPUTED_VALUE"""),"3 a 5 veces por semana")</f>
        <v>3 a 5 veces por semana</v>
      </c>
      <c r="P1010" s="7"/>
      <c r="Q1010" s="7"/>
      <c r="R1010" s="7"/>
      <c r="S1010" s="7"/>
    </row>
    <row r="1011">
      <c r="C1011" s="19">
        <f>IFERROR(__xludf.DUMMYFUNCTION("""COMPUTED_VALUE"""),45805.72982987268)</f>
        <v>45805.72983</v>
      </c>
      <c r="D1011" s="7" t="str">
        <f>IFERROR(__xludf.DUMMYFUNCTION("""COMPUTED_VALUE"""),"Altamirano")</f>
        <v>Altamirano</v>
      </c>
      <c r="E1011" s="7" t="str">
        <f>IFERROR(__xludf.DUMMYFUNCTION("""COMPUTED_VALUE"""),"Lucas")</f>
        <v>Lucas</v>
      </c>
      <c r="F1011" s="7" t="str">
        <f>IFERROR(__xludf.DUMMYFUNCTION("""COMPUTED_VALUE"""),"altamirano.lucas21@gmail.com")</f>
        <v>altamirano.lucas21@gmail.com</v>
      </c>
      <c r="G1011" s="20">
        <f>IFERROR(__xludf.DUMMYFUNCTION("""COMPUTED_VALUE"""),35816.0)</f>
        <v>35816</v>
      </c>
      <c r="H1011" s="7">
        <f>IFERROR(__xludf.DUMMYFUNCTION("""COMPUTED_VALUE"""),4.0920257E7)</f>
        <v>40920257</v>
      </c>
      <c r="I1011" s="7">
        <f>IFERROR(__xludf.DUMMYFUNCTION("""COMPUTED_VALUE"""),3.515587324E9)</f>
        <v>3515587324</v>
      </c>
      <c r="J1011" s="7" t="str">
        <f>IFERROR(__xludf.DUMMYFUNCTION("""COMPUTED_VALUE"""),"Google")</f>
        <v>Google</v>
      </c>
      <c r="K1011" s="7" t="str">
        <f>IFERROR(__xludf.DUMMYFUNCTION("""COMPUTED_VALUE"""),"Particular")</f>
        <v>Particular</v>
      </c>
      <c r="L1011" s="7"/>
      <c r="M1011" s="7" t="str">
        <f>IFERROR(__xludf.DUMMYFUNCTION("""COMPUTED_VALUE"""),"Si")</f>
        <v>Si</v>
      </c>
      <c r="N1011" s="7" t="str">
        <f>IFERROR(__xludf.DUMMYFUNCTION("""COMPUTED_VALUE"""),"Gimnasio + Futbol")</f>
        <v>Gimnasio + Futbol</v>
      </c>
      <c r="O1011" s="7" t="str">
        <f>IFERROR(__xludf.DUMMYFUNCTION("""COMPUTED_VALUE"""),"3 a 5 veces por semana")</f>
        <v>3 a 5 veces por semana</v>
      </c>
      <c r="P1011" s="7"/>
      <c r="Q1011" s="7"/>
      <c r="R1011" s="7"/>
      <c r="S1011" s="7"/>
    </row>
    <row r="1012">
      <c r="C1012" s="19">
        <f>IFERROR(__xludf.DUMMYFUNCTION("""COMPUTED_VALUE"""),45805.78810844907)</f>
        <v>45805.78811</v>
      </c>
      <c r="D1012" s="7" t="str">
        <f>IFERROR(__xludf.DUMMYFUNCTION("""COMPUTED_VALUE"""),"Ramos")</f>
        <v>Ramos</v>
      </c>
      <c r="E1012" s="7" t="str">
        <f>IFERROR(__xludf.DUMMYFUNCTION("""COMPUTED_VALUE"""),"Veronica Tamara")</f>
        <v>Veronica Tamara</v>
      </c>
      <c r="F1012" s="7" t="str">
        <f>IFERROR(__xludf.DUMMYFUNCTION("""COMPUTED_VALUE"""),"verooramoos.cat@gmail.com")</f>
        <v>verooramoos.cat@gmail.com</v>
      </c>
      <c r="G1012" s="20">
        <f>IFERROR(__xludf.DUMMYFUNCTION("""COMPUTED_VALUE"""),33101.0)</f>
        <v>33101</v>
      </c>
      <c r="H1012" s="7">
        <f>IFERROR(__xludf.DUMMYFUNCTION("""COMPUTED_VALUE"""),3.5034672E7)</f>
        <v>35034672</v>
      </c>
      <c r="I1012" s="7">
        <f>IFERROR(__xludf.DUMMYFUNCTION("""COMPUTED_VALUE"""),3.516067822E9)</f>
        <v>3516067822</v>
      </c>
      <c r="J1012" s="7" t="str">
        <f>IFERROR(__xludf.DUMMYFUNCTION("""COMPUTED_VALUE"""),"Recomendación")</f>
        <v>Recomendación</v>
      </c>
      <c r="K1012" s="7" t="str">
        <f>IFERROR(__xludf.DUMMYFUNCTION("""COMPUTED_VALUE"""),"Particular")</f>
        <v>Particular</v>
      </c>
      <c r="L1012" s="7"/>
      <c r="M1012" s="7" t="str">
        <f>IFERROR(__xludf.DUMMYFUNCTION("""COMPUTED_VALUE"""),"No")</f>
        <v>No</v>
      </c>
      <c r="N1012" s="7"/>
      <c r="O1012" s="7"/>
      <c r="P1012" s="7"/>
      <c r="Q1012" s="7"/>
      <c r="R1012" s="7"/>
      <c r="S1012" s="7"/>
    </row>
    <row r="1013">
      <c r="C1013" s="19">
        <f>IFERROR(__xludf.DUMMYFUNCTION("""COMPUTED_VALUE"""),45806.44865106481)</f>
        <v>45806.44865</v>
      </c>
      <c r="D1013" s="7" t="str">
        <f>IFERROR(__xludf.DUMMYFUNCTION("""COMPUTED_VALUE"""),"Guevara ")</f>
        <v>Guevara </v>
      </c>
      <c r="E1013" s="7" t="str">
        <f>IFERROR(__xludf.DUMMYFUNCTION("""COMPUTED_VALUE"""),"Enrique")</f>
        <v>Enrique</v>
      </c>
      <c r="F1013" s="7" t="str">
        <f>IFERROR(__xludf.DUMMYFUNCTION("""COMPUTED_VALUE"""),"licenrriqueguevara@hotmail.com")</f>
        <v>licenrriqueguevara@hotmail.com</v>
      </c>
      <c r="G1013" s="20">
        <f>IFERROR(__xludf.DUMMYFUNCTION("""COMPUTED_VALUE"""),21037.0)</f>
        <v>21037</v>
      </c>
      <c r="H1013" s="7">
        <f>IFERROR(__xludf.DUMMYFUNCTION("""COMPUTED_VALUE"""),1.3373656E7)</f>
        <v>13373656</v>
      </c>
      <c r="I1013" s="7">
        <f>IFERROR(__xludf.DUMMYFUNCTION("""COMPUTED_VALUE"""),3.516111984E9)</f>
        <v>3516111984</v>
      </c>
      <c r="J1013" s="7" t="str">
        <f>IFERROR(__xludf.DUMMYFUNCTION("""COMPUTED_VALUE"""),"Voy al gym Manantial")</f>
        <v>Voy al gym Manantial</v>
      </c>
      <c r="K1013" s="7" t="str">
        <f>IFERROR(__xludf.DUMMYFUNCTION("""COMPUTED_VALUE"""),"Obra social")</f>
        <v>Obra social</v>
      </c>
      <c r="L1013" s="7"/>
      <c r="M1013" s="7" t="str">
        <f>IFERROR(__xludf.DUMMYFUNCTION("""COMPUTED_VALUE"""),"Si")</f>
        <v>Si</v>
      </c>
      <c r="N1013" s="7" t="str">
        <f>IFERROR(__xludf.DUMMYFUNCTION("""COMPUTED_VALUE"""),"Gimnasio")</f>
        <v>Gimnasio</v>
      </c>
      <c r="O1013" s="7" t="str">
        <f>IFERROR(__xludf.DUMMYFUNCTION("""COMPUTED_VALUE"""),"3 a 5 veces por semana")</f>
        <v>3 a 5 veces por semana</v>
      </c>
      <c r="P1013" s="7"/>
      <c r="Q1013" s="7" t="str">
        <f>IFERROR(__xludf.DUMMYFUNCTION("""COMPUTED_VALUE"""),"APROSS")</f>
        <v>APROSS</v>
      </c>
      <c r="R1013" s="7"/>
      <c r="S1013" s="7"/>
    </row>
    <row r="1014">
      <c r="C1014" s="19">
        <f>IFERROR(__xludf.DUMMYFUNCTION("""COMPUTED_VALUE"""),45807.4667625)</f>
        <v>45807.46676</v>
      </c>
      <c r="D1014" s="7" t="str">
        <f>IFERROR(__xludf.DUMMYFUNCTION("""COMPUTED_VALUE"""),"Mascarello")</f>
        <v>Mascarello</v>
      </c>
      <c r="E1014" s="7" t="str">
        <f>IFERROR(__xludf.DUMMYFUNCTION("""COMPUTED_VALUE"""),"Eduardo")</f>
        <v>Eduardo</v>
      </c>
      <c r="F1014" s="7"/>
      <c r="G1014" s="20">
        <f>IFERROR(__xludf.DUMMYFUNCTION("""COMPUTED_VALUE"""),24507.0)</f>
        <v>24507</v>
      </c>
      <c r="H1014" s="7">
        <f>IFERROR(__xludf.DUMMYFUNCTION("""COMPUTED_VALUE"""),1.8015534E7)</f>
        <v>18015534</v>
      </c>
      <c r="I1014" s="7">
        <f>IFERROR(__xludf.DUMMYFUNCTION("""COMPUTED_VALUE"""),3.517460479E9)</f>
        <v>3517460479</v>
      </c>
      <c r="J1014" s="7" t="str">
        <f>IFERROR(__xludf.DUMMYFUNCTION("""COMPUTED_VALUE"""),"Recomendación")</f>
        <v>Recomendación</v>
      </c>
      <c r="K1014" s="7" t="str">
        <f>IFERROR(__xludf.DUMMYFUNCTION("""COMPUTED_VALUE"""),"Particular")</f>
        <v>Particular</v>
      </c>
      <c r="L1014" s="7"/>
      <c r="M1014" s="7" t="str">
        <f>IFERROR(__xludf.DUMMYFUNCTION("""COMPUTED_VALUE"""),"Si")</f>
        <v>Si</v>
      </c>
      <c r="N1014" s="7" t="str">
        <f>IFERROR(__xludf.DUMMYFUNCTION("""COMPUTED_VALUE"""),"Fútbol")</f>
        <v>Fútbol</v>
      </c>
      <c r="O1014" s="7" t="str">
        <f>IFERROR(__xludf.DUMMYFUNCTION("""COMPUTED_VALUE"""),"3 a 5 veces por semana")</f>
        <v>3 a 5 veces por semana</v>
      </c>
      <c r="P1014" s="7"/>
      <c r="Q1014" s="7"/>
      <c r="R1014" s="7"/>
      <c r="S1014" s="7"/>
    </row>
    <row r="1015">
      <c r="C1015" s="19">
        <f>IFERROR(__xludf.DUMMYFUNCTION("""COMPUTED_VALUE"""),45807.67951188657)</f>
        <v>45807.67951</v>
      </c>
      <c r="D1015" s="7" t="str">
        <f>IFERROR(__xludf.DUMMYFUNCTION("""COMPUTED_VALUE"""),"MONTOYA")</f>
        <v>MONTOYA</v>
      </c>
      <c r="E1015" s="7" t="str">
        <f>IFERROR(__xludf.DUMMYFUNCTION("""COMPUTED_VALUE"""),"ROQUE")</f>
        <v>ROQUE</v>
      </c>
      <c r="F1015" s="7"/>
      <c r="G1015" s="20">
        <f>IFERROR(__xludf.DUMMYFUNCTION("""COMPUTED_VALUE"""),28381.0)</f>
        <v>28381</v>
      </c>
      <c r="H1015" s="7">
        <f>IFERROR(__xludf.DUMMYFUNCTION("""COMPUTED_VALUE"""),2.6098433E7)</f>
        <v>26098433</v>
      </c>
      <c r="I1015" s="7">
        <f>IFERROR(__xludf.DUMMYFUNCTION("""COMPUTED_VALUE"""),3.515746964E9)</f>
        <v>3515746964</v>
      </c>
      <c r="J1015" s="7" t="str">
        <f>IFERROR(__xludf.DUMMYFUNCTION("""COMPUTED_VALUE"""),"Recomendación")</f>
        <v>Recomendación</v>
      </c>
      <c r="K1015" s="7" t="str">
        <f>IFERROR(__xludf.DUMMYFUNCTION("""COMPUTED_VALUE"""),"Particular")</f>
        <v>Particular</v>
      </c>
      <c r="L1015" s="7"/>
      <c r="M1015" s="7" t="str">
        <f>IFERROR(__xludf.DUMMYFUNCTION("""COMPUTED_VALUE"""),"Si")</f>
        <v>Si</v>
      </c>
      <c r="N1015" s="7" t="str">
        <f>IFERROR(__xludf.DUMMYFUNCTION("""COMPUTED_VALUE"""),"Fútbol")</f>
        <v>Fútbol</v>
      </c>
      <c r="O1015" s="7" t="str">
        <f>IFERROR(__xludf.DUMMYFUNCTION("""COMPUTED_VALUE"""),"1 a 2 veces por semana")</f>
        <v>1 a 2 veces por semana</v>
      </c>
      <c r="P1015" s="7"/>
      <c r="Q1015" s="7"/>
      <c r="R1015" s="7"/>
      <c r="S1015" s="7"/>
    </row>
    <row r="1016">
      <c r="C1016" s="19">
        <f>IFERROR(__xludf.DUMMYFUNCTION("""COMPUTED_VALUE"""),45807.793500659725)</f>
        <v>45807.7935</v>
      </c>
      <c r="D1016" s="7" t="str">
        <f>IFERROR(__xludf.DUMMYFUNCTION("""COMPUTED_VALUE"""),"Fernandez")</f>
        <v>Fernandez</v>
      </c>
      <c r="E1016" s="7" t="str">
        <f>IFERROR(__xludf.DUMMYFUNCTION("""COMPUTED_VALUE"""),"Nahuel")</f>
        <v>Nahuel</v>
      </c>
      <c r="F1016" s="7" t="str">
        <f>IFERROR(__xludf.DUMMYFUNCTION("""COMPUTED_VALUE"""),"nahuel.fernandez@biofarmaweb.com.ar")</f>
        <v>nahuel.fernandez@biofarmaweb.com.ar</v>
      </c>
      <c r="G1016" s="20">
        <f>IFERROR(__xludf.DUMMYFUNCTION("""COMPUTED_VALUE"""),31200.0)</f>
        <v>31200</v>
      </c>
      <c r="H1016" s="7">
        <f>IFERROR(__xludf.DUMMYFUNCTION("""COMPUTED_VALUE"""),3.0779612E7)</f>
        <v>30779612</v>
      </c>
      <c r="I1016" s="7">
        <f>IFERROR(__xludf.DUMMYFUNCTION("""COMPUTED_VALUE"""),3.518087765E9)</f>
        <v>3518087765</v>
      </c>
      <c r="J1016" s="7" t="str">
        <f>IFERROR(__xludf.DUMMYFUNCTION("""COMPUTED_VALUE"""),"Recomendación")</f>
        <v>Recomendación</v>
      </c>
      <c r="K1016" s="7" t="str">
        <f>IFERROR(__xludf.DUMMYFUNCTION("""COMPUTED_VALUE"""),"Particular")</f>
        <v>Particular</v>
      </c>
      <c r="L1016" s="7"/>
      <c r="M1016" s="7" t="str">
        <f>IFERROR(__xludf.DUMMYFUNCTION("""COMPUTED_VALUE"""),"Si")</f>
        <v>Si</v>
      </c>
      <c r="N1016" s="7" t="str">
        <f>IFERROR(__xludf.DUMMYFUNCTION("""COMPUTED_VALUE"""),"Fútbol")</f>
        <v>Fútbol</v>
      </c>
      <c r="O1016" s="7" t="str">
        <f>IFERROR(__xludf.DUMMYFUNCTION("""COMPUTED_VALUE"""),"1 a 2 veces por semana")</f>
        <v>1 a 2 veces por semana</v>
      </c>
      <c r="P1016" s="7"/>
      <c r="Q1016" s="7"/>
      <c r="R1016" s="7"/>
      <c r="S1016" s="7"/>
    </row>
    <row r="1017">
      <c r="C1017" s="19">
        <f>IFERROR(__xludf.DUMMYFUNCTION("""COMPUTED_VALUE"""),45808.663254687504)</f>
        <v>45808.66325</v>
      </c>
      <c r="D1017" s="7" t="str">
        <f>IFERROR(__xludf.DUMMYFUNCTION("""COMPUTED_VALUE"""),"Pinto")</f>
        <v>Pinto</v>
      </c>
      <c r="E1017" s="7" t="str">
        <f>IFERROR(__xludf.DUMMYFUNCTION("""COMPUTED_VALUE"""),"Ignacio")</f>
        <v>Ignacio</v>
      </c>
      <c r="F1017" s="7" t="str">
        <f>IFERROR(__xludf.DUMMYFUNCTION("""COMPUTED_VALUE"""),"Igna11pinto@gmail.com")</f>
        <v>Igna11pinto@gmail.com</v>
      </c>
      <c r="G1017" s="20">
        <f>IFERROR(__xludf.DUMMYFUNCTION("""COMPUTED_VALUE"""),37020.0)</f>
        <v>37020</v>
      </c>
      <c r="H1017" s="7">
        <f>IFERROR(__xludf.DUMMYFUNCTION("""COMPUTED_VALUE"""),4.3273576E7)</f>
        <v>43273576</v>
      </c>
      <c r="I1017" s="7">
        <f>IFERROR(__xludf.DUMMYFUNCTION("""COMPUTED_VALUE"""),3.513299104E9)</f>
        <v>3513299104</v>
      </c>
      <c r="J1017" s="7" t="str">
        <f>IFERROR(__xludf.DUMMYFUNCTION("""COMPUTED_VALUE"""),"Recomendación")</f>
        <v>Recomendación</v>
      </c>
      <c r="K1017" s="7" t="str">
        <f>IFERROR(__xludf.DUMMYFUNCTION("""COMPUTED_VALUE"""),"Obra social")</f>
        <v>Obra social</v>
      </c>
      <c r="L1017" s="7"/>
      <c r="M1017" s="7" t="str">
        <f>IFERROR(__xludf.DUMMYFUNCTION("""COMPUTED_VALUE"""),"Si")</f>
        <v>Si</v>
      </c>
      <c r="N1017" s="7" t="str">
        <f>IFERROR(__xludf.DUMMYFUNCTION("""COMPUTED_VALUE"""),"Gimnasio")</f>
        <v>Gimnasio</v>
      </c>
      <c r="O1017" s="7" t="str">
        <f>IFERROR(__xludf.DUMMYFUNCTION("""COMPUTED_VALUE"""),"3 a 5 veces por semana")</f>
        <v>3 a 5 veces por semana</v>
      </c>
      <c r="P1017" s="7"/>
      <c r="Q1017" s="7" t="str">
        <f>IFERROR(__xludf.DUMMYFUNCTION("""COMPUTED_VALUE"""),"DASPU")</f>
        <v>DASPU</v>
      </c>
      <c r="R1017" s="7"/>
      <c r="S1017" s="7"/>
    </row>
    <row r="1018">
      <c r="C1018" s="19">
        <f>IFERROR(__xludf.DUMMYFUNCTION("""COMPUTED_VALUE"""),45810.48143113426)</f>
        <v>45810.48143</v>
      </c>
      <c r="D1018" s="7" t="str">
        <f>IFERROR(__xludf.DUMMYFUNCTION("""COMPUTED_VALUE"""),"bazan")</f>
        <v>bazan</v>
      </c>
      <c r="E1018" s="7" t="str">
        <f>IFERROR(__xludf.DUMMYFUNCTION("""COMPUTED_VALUE"""),"Alicia Susana")</f>
        <v>Alicia Susana</v>
      </c>
      <c r="F1018" s="7" t="str">
        <f>IFERROR(__xludf.DUMMYFUNCTION("""COMPUTED_VALUE"""),"alibazan@yahoo.com.ar")</f>
        <v>alibazan@yahoo.com.ar</v>
      </c>
      <c r="G1018" s="20">
        <f>IFERROR(__xludf.DUMMYFUNCTION("""COMPUTED_VALUE"""),18489.0)</f>
        <v>18489</v>
      </c>
      <c r="H1018" s="7">
        <f>IFERROR(__xludf.DUMMYFUNCTION("""COMPUTED_VALUE"""),6397633.0)</f>
        <v>6397633</v>
      </c>
      <c r="I1018" s="7">
        <f>IFERROR(__xludf.DUMMYFUNCTION("""COMPUTED_VALUE"""),3.513694169E9)</f>
        <v>3513694169</v>
      </c>
      <c r="J1018" s="7" t="str">
        <f>IFERROR(__xludf.DUMMYFUNCTION("""COMPUTED_VALUE"""),"Recomendación")</f>
        <v>Recomendación</v>
      </c>
      <c r="K1018" s="7" t="str">
        <f>IFERROR(__xludf.DUMMYFUNCTION("""COMPUTED_VALUE"""),"Obra social")</f>
        <v>Obra social</v>
      </c>
      <c r="L1018" s="7"/>
      <c r="M1018" s="7" t="str">
        <f>IFERROR(__xludf.DUMMYFUNCTION("""COMPUTED_VALUE"""),"Si")</f>
        <v>Si</v>
      </c>
      <c r="N1018" s="7" t="str">
        <f>IFERROR(__xludf.DUMMYFUNCTION("""COMPUTED_VALUE"""),"aquagym")</f>
        <v>aquagym</v>
      </c>
      <c r="O1018" s="7" t="str">
        <f>IFERROR(__xludf.DUMMYFUNCTION("""COMPUTED_VALUE"""),"1 a 2 veces por semana")</f>
        <v>1 a 2 veces por semana</v>
      </c>
      <c r="P1018" s="7"/>
      <c r="Q1018" s="7" t="str">
        <f>IFERROR(__xludf.DUMMYFUNCTION("""COMPUTED_VALUE"""),"APROSS")</f>
        <v>APROSS</v>
      </c>
      <c r="R1018" s="7"/>
      <c r="S1018" s="7"/>
    </row>
    <row r="1019">
      <c r="C1019" s="19">
        <f>IFERROR(__xludf.DUMMYFUNCTION("""COMPUTED_VALUE"""),45810.62704047454)</f>
        <v>45810.62704</v>
      </c>
      <c r="D1019" s="7" t="str">
        <f>IFERROR(__xludf.DUMMYFUNCTION("""COMPUTED_VALUE"""),"Urey")</f>
        <v>Urey</v>
      </c>
      <c r="E1019" s="7" t="str">
        <f>IFERROR(__xludf.DUMMYFUNCTION("""COMPUTED_VALUE"""),"Lilian gisela ")</f>
        <v>Lilian gisela </v>
      </c>
      <c r="F1019" s="7" t="str">
        <f>IFERROR(__xludf.DUMMYFUNCTION("""COMPUTED_VALUE"""),"giselaurey@gmail.com")</f>
        <v>giselaurey@gmail.com</v>
      </c>
      <c r="G1019" s="20">
        <f>IFERROR(__xludf.DUMMYFUNCTION("""COMPUTED_VALUE"""),37670.0)</f>
        <v>37670</v>
      </c>
      <c r="H1019" s="7">
        <f>IFERROR(__xludf.DUMMYFUNCTION("""COMPUTED_VALUE"""),3.0843273E7)</f>
        <v>30843273</v>
      </c>
      <c r="I1019" s="7">
        <f>IFERROR(__xludf.DUMMYFUNCTION("""COMPUTED_VALUE"""),3.512234086E9)</f>
        <v>3512234086</v>
      </c>
      <c r="J1019" s="7" t="str">
        <f>IFERROR(__xludf.DUMMYFUNCTION("""COMPUTED_VALUE"""),"Instagram")</f>
        <v>Instagram</v>
      </c>
      <c r="K1019" s="7" t="str">
        <f>IFERROR(__xludf.DUMMYFUNCTION("""COMPUTED_VALUE"""),"Particular")</f>
        <v>Particular</v>
      </c>
      <c r="L1019" s="7"/>
      <c r="M1019" s="7" t="str">
        <f>IFERROR(__xludf.DUMMYFUNCTION("""COMPUTED_VALUE"""),"Si")</f>
        <v>Si</v>
      </c>
      <c r="N1019" s="7" t="str">
        <f>IFERROR(__xludf.DUMMYFUNCTION("""COMPUTED_VALUE"""),"Baile")</f>
        <v>Baile</v>
      </c>
      <c r="O1019" s="7" t="str">
        <f>IFERROR(__xludf.DUMMYFUNCTION("""COMPUTED_VALUE"""),"1 a 2 veces por semana")</f>
        <v>1 a 2 veces por semana</v>
      </c>
      <c r="P1019" s="7"/>
      <c r="Q1019" s="7"/>
      <c r="R1019" s="7"/>
      <c r="S1019" s="7"/>
    </row>
    <row r="1020">
      <c r="C1020" s="19">
        <f>IFERROR(__xludf.DUMMYFUNCTION("""COMPUTED_VALUE"""),45810.79549189815)</f>
        <v>45810.79549</v>
      </c>
      <c r="D1020" s="7" t="str">
        <f>IFERROR(__xludf.DUMMYFUNCTION("""COMPUTED_VALUE"""),"Quiroga Monnier")</f>
        <v>Quiroga Monnier</v>
      </c>
      <c r="E1020" s="7" t="str">
        <f>IFERROR(__xludf.DUMMYFUNCTION("""COMPUTED_VALUE"""),"Gregorio")</f>
        <v>Gregorio</v>
      </c>
      <c r="F1020" s="7" t="str">
        <f>IFERROR(__xludf.DUMMYFUNCTION("""COMPUTED_VALUE"""),"gregoquiroga15@gmail.com")</f>
        <v>gregoquiroga15@gmail.com</v>
      </c>
      <c r="G1020" s="20">
        <f>IFERROR(__xludf.DUMMYFUNCTION("""COMPUTED_VALUE"""),36817.0)</f>
        <v>36817</v>
      </c>
      <c r="H1020" s="7">
        <f>IFERROR(__xludf.DUMMYFUNCTION("""COMPUTED_VALUE"""),4.2855577E7)</f>
        <v>42855577</v>
      </c>
      <c r="I1020" s="7">
        <f>IFERROR(__xludf.DUMMYFUNCTION("""COMPUTED_VALUE"""),3.517425315E9)</f>
        <v>3517425315</v>
      </c>
      <c r="J1020" s="7" t="str">
        <f>IFERROR(__xludf.DUMMYFUNCTION("""COMPUTED_VALUE"""),"Recomendación")</f>
        <v>Recomendación</v>
      </c>
      <c r="K1020" s="7" t="str">
        <f>IFERROR(__xludf.DUMMYFUNCTION("""COMPUTED_VALUE"""),"Obra social")</f>
        <v>Obra social</v>
      </c>
      <c r="L1020" s="7"/>
      <c r="M1020" s="7" t="str">
        <f>IFERROR(__xludf.DUMMYFUNCTION("""COMPUTED_VALUE"""),"Si")</f>
        <v>Si</v>
      </c>
      <c r="N1020" s="7" t="str">
        <f>IFERROR(__xludf.DUMMYFUNCTION("""COMPUTED_VALUE"""),"Fútbol")</f>
        <v>Fútbol</v>
      </c>
      <c r="O1020" s="7" t="str">
        <f>IFERROR(__xludf.DUMMYFUNCTION("""COMPUTED_VALUE"""),"1 a 2 veces por semana")</f>
        <v>1 a 2 veces por semana</v>
      </c>
      <c r="P1020" s="7"/>
      <c r="Q1020" s="7" t="str">
        <f>IFERROR(__xludf.DUMMYFUNCTION("""COMPUTED_VALUE"""),"Medife")</f>
        <v>Medife</v>
      </c>
      <c r="R1020" s="7"/>
      <c r="S1020" s="7"/>
    </row>
    <row r="1021">
      <c r="C1021" s="19">
        <f>IFERROR(__xludf.DUMMYFUNCTION("""COMPUTED_VALUE"""),45811.7824025)</f>
        <v>45811.7824</v>
      </c>
      <c r="D1021" s="7" t="str">
        <f>IFERROR(__xludf.DUMMYFUNCTION("""COMPUTED_VALUE"""),"Andrada")</f>
        <v>Andrada</v>
      </c>
      <c r="E1021" s="7" t="str">
        <f>IFERROR(__xludf.DUMMYFUNCTION("""COMPUTED_VALUE"""),"Gonzalo J")</f>
        <v>Gonzalo J</v>
      </c>
      <c r="F1021" s="7" t="str">
        <f>IFERROR(__xludf.DUMMYFUNCTION("""COMPUTED_VALUE"""),"gonzaloqq@hotmail.com")</f>
        <v>gonzaloqq@hotmail.com</v>
      </c>
      <c r="G1021" s="20">
        <f>IFERROR(__xludf.DUMMYFUNCTION("""COMPUTED_VALUE"""),31448.0)</f>
        <v>31448</v>
      </c>
      <c r="H1021" s="7">
        <f>IFERROR(__xludf.DUMMYFUNCTION("""COMPUTED_VALUE"""),3.2241401E7)</f>
        <v>32241401</v>
      </c>
      <c r="I1021" s="7">
        <f>IFERROR(__xludf.DUMMYFUNCTION("""COMPUTED_VALUE"""),3.517012926E9)</f>
        <v>3517012926</v>
      </c>
      <c r="J1021" s="7" t="str">
        <f>IFERROR(__xludf.DUMMYFUNCTION("""COMPUTED_VALUE"""),"Recomendación")</f>
        <v>Recomendación</v>
      </c>
      <c r="K1021" s="7" t="str">
        <f>IFERROR(__xludf.DUMMYFUNCTION("""COMPUTED_VALUE"""),"Obra social")</f>
        <v>Obra social</v>
      </c>
      <c r="L1021" s="7"/>
      <c r="M1021" s="7" t="str">
        <f>IFERROR(__xludf.DUMMYFUNCTION("""COMPUTED_VALUE"""),"Si")</f>
        <v>Si</v>
      </c>
      <c r="N1021" s="7" t="str">
        <f>IFERROR(__xludf.DUMMYFUNCTION("""COMPUTED_VALUE"""),"Escalada deportiva")</f>
        <v>Escalada deportiva</v>
      </c>
      <c r="O1021" s="7" t="str">
        <f>IFERROR(__xludf.DUMMYFUNCTION("""COMPUTED_VALUE"""),"3 a 5 veces por semana")</f>
        <v>3 a 5 veces por semana</v>
      </c>
      <c r="P1021" s="7"/>
      <c r="Q1021" s="7" t="str">
        <f>IFERROR(__xludf.DUMMYFUNCTION("""COMPUTED_VALUE"""),"osde")</f>
        <v>osde</v>
      </c>
      <c r="R1021" s="7"/>
      <c r="S1021" s="7"/>
    </row>
    <row r="1022">
      <c r="C1022" s="19">
        <f>IFERROR(__xludf.DUMMYFUNCTION("""COMPUTED_VALUE"""),45811.825810462964)</f>
        <v>45811.82581</v>
      </c>
      <c r="D1022" s="7" t="str">
        <f>IFERROR(__xludf.DUMMYFUNCTION("""COMPUTED_VALUE"""),"Spinosa")</f>
        <v>Spinosa</v>
      </c>
      <c r="E1022" s="7" t="str">
        <f>IFERROR(__xludf.DUMMYFUNCTION("""COMPUTED_VALUE"""),"Ana Estefania ")</f>
        <v>Ana Estefania </v>
      </c>
      <c r="F1022" s="7" t="str">
        <f>IFERROR(__xludf.DUMMYFUNCTION("""COMPUTED_VALUE"""),"spinosa.ana.estefania@gmail.com")</f>
        <v>spinosa.ana.estefania@gmail.com</v>
      </c>
      <c r="G1022" s="20">
        <f>IFERROR(__xludf.DUMMYFUNCTION("""COMPUTED_VALUE"""),35298.0)</f>
        <v>35298</v>
      </c>
      <c r="H1022" s="7">
        <f>IFERROR(__xludf.DUMMYFUNCTION("""COMPUTED_VALUE"""),3.9692449E7)</f>
        <v>39692449</v>
      </c>
      <c r="I1022" s="7">
        <f>IFERROR(__xludf.DUMMYFUNCTION("""COMPUTED_VALUE"""),3.518561034E9)</f>
        <v>3518561034</v>
      </c>
      <c r="J1022" s="7" t="str">
        <f>IFERROR(__xludf.DUMMYFUNCTION("""COMPUTED_VALUE"""),"Recomendación")</f>
        <v>Recomendación</v>
      </c>
      <c r="K1022" s="7" t="str">
        <f>IFERROR(__xludf.DUMMYFUNCTION("""COMPUTED_VALUE"""),"Obra social")</f>
        <v>Obra social</v>
      </c>
      <c r="L1022" s="7"/>
      <c r="M1022" s="7" t="str">
        <f>IFERROR(__xludf.DUMMYFUNCTION("""COMPUTED_VALUE"""),"Si")</f>
        <v>Si</v>
      </c>
      <c r="N1022" s="7" t="str">
        <f>IFERROR(__xludf.DUMMYFUNCTION("""COMPUTED_VALUE"""),"Esqui")</f>
        <v>Esqui</v>
      </c>
      <c r="O1022" s="7" t="str">
        <f>IFERROR(__xludf.DUMMYFUNCTION("""COMPUTED_VALUE"""),"1 a 2 veces por semana")</f>
        <v>1 a 2 veces por semana</v>
      </c>
      <c r="P1022" s="7"/>
      <c r="Q1022" s="7" t="str">
        <f>IFERROR(__xludf.DUMMYFUNCTION("""COMPUTED_VALUE"""),"DASPU")</f>
        <v>DASPU</v>
      </c>
      <c r="R1022" s="7"/>
      <c r="S1022" s="7"/>
    </row>
    <row r="1023">
      <c r="C1023" s="19">
        <f>IFERROR(__xludf.DUMMYFUNCTION("""COMPUTED_VALUE"""),45811.8325365625)</f>
        <v>45811.83254</v>
      </c>
      <c r="D1023" s="7" t="str">
        <f>IFERROR(__xludf.DUMMYFUNCTION("""COMPUTED_VALUE"""),"Belisle")</f>
        <v>Belisle</v>
      </c>
      <c r="E1023" s="7" t="str">
        <f>IFERROR(__xludf.DUMMYFUNCTION("""COMPUTED_VALUE"""),"Maria Cecilia")</f>
        <v>Maria Cecilia</v>
      </c>
      <c r="F1023" s="7" t="str">
        <f>IFERROR(__xludf.DUMMYFUNCTION("""COMPUTED_VALUE"""),"ceciliabelisle2@gmail.com")</f>
        <v>ceciliabelisle2@gmail.com</v>
      </c>
      <c r="G1023" s="20">
        <f>IFERROR(__xludf.DUMMYFUNCTION("""COMPUTED_VALUE"""),28663.0)</f>
        <v>28663</v>
      </c>
      <c r="H1023" s="7">
        <f>IFERROR(__xludf.DUMMYFUNCTION("""COMPUTED_VALUE"""),2.681523E7)</f>
        <v>26815230</v>
      </c>
      <c r="I1023" s="7">
        <f>IFERROR(__xludf.DUMMYFUNCTION("""COMPUTED_VALUE"""),3.518009252E9)</f>
        <v>3518009252</v>
      </c>
      <c r="J1023" s="7" t="str">
        <f>IFERROR(__xludf.DUMMYFUNCTION("""COMPUTED_VALUE"""),"Google")</f>
        <v>Google</v>
      </c>
      <c r="K1023" s="7" t="str">
        <f>IFERROR(__xludf.DUMMYFUNCTION("""COMPUTED_VALUE"""),"Obra social")</f>
        <v>Obra social</v>
      </c>
      <c r="L1023" s="7"/>
      <c r="M1023" s="7" t="str">
        <f>IFERROR(__xludf.DUMMYFUNCTION("""COMPUTED_VALUE"""),"No")</f>
        <v>No</v>
      </c>
      <c r="N1023" s="7"/>
      <c r="O1023" s="7"/>
      <c r="P1023" s="7"/>
      <c r="Q1023" s="7" t="str">
        <f>IFERROR(__xludf.DUMMYFUNCTION("""COMPUTED_VALUE"""),"DASPU")</f>
        <v>DASPU</v>
      </c>
      <c r="R1023" s="7"/>
      <c r="S1023" s="7"/>
    </row>
    <row r="1024">
      <c r="C1024" s="19">
        <f>IFERROR(__xludf.DUMMYFUNCTION("""COMPUTED_VALUE"""),45812.63469894676)</f>
        <v>45812.6347</v>
      </c>
      <c r="D1024" s="7" t="str">
        <f>IFERROR(__xludf.DUMMYFUNCTION("""COMPUTED_VALUE"""),"Colautti")</f>
        <v>Colautti</v>
      </c>
      <c r="E1024" s="7" t="str">
        <f>IFERROR(__xludf.DUMMYFUNCTION("""COMPUTED_VALUE"""),"Adele")</f>
        <v>Adele</v>
      </c>
      <c r="F1024" s="7"/>
      <c r="G1024" s="20">
        <f>IFERROR(__xludf.DUMMYFUNCTION("""COMPUTED_VALUE"""),19528.0)</f>
        <v>19528</v>
      </c>
      <c r="H1024" s="7">
        <f>IFERROR(__xludf.DUMMYFUNCTION("""COMPUTED_VALUE"""),1.0902037E7)</f>
        <v>10902037</v>
      </c>
      <c r="I1024" s="7">
        <f>IFERROR(__xludf.DUMMYFUNCTION("""COMPUTED_VALUE"""),3.516884519E9)</f>
        <v>3516884519</v>
      </c>
      <c r="J1024" s="7" t="str">
        <f>IFERROR(__xludf.DUMMYFUNCTION("""COMPUTED_VALUE"""),"Google")</f>
        <v>Google</v>
      </c>
      <c r="K1024" s="7" t="str">
        <f>IFERROR(__xludf.DUMMYFUNCTION("""COMPUTED_VALUE"""),"Obra social")</f>
        <v>Obra social</v>
      </c>
      <c r="L1024" s="7"/>
      <c r="M1024" s="7" t="str">
        <f>IFERROR(__xludf.DUMMYFUNCTION("""COMPUTED_VALUE"""),"Si")</f>
        <v>Si</v>
      </c>
      <c r="N1024" s="7" t="str">
        <f>IFERROR(__xludf.DUMMYFUNCTION("""COMPUTED_VALUE"""),"Caminta+Bici ")</f>
        <v>Caminta+Bici </v>
      </c>
      <c r="O1024" s="7" t="str">
        <f>IFERROR(__xludf.DUMMYFUNCTION("""COMPUTED_VALUE"""),"3 a 5 veces por semana")</f>
        <v>3 a 5 veces por semana</v>
      </c>
      <c r="P1024" s="7"/>
      <c r="Q1024" s="7" t="str">
        <f>IFERROR(__xludf.DUMMYFUNCTION("""COMPUTED_VALUE"""),"APROSS")</f>
        <v>APROSS</v>
      </c>
      <c r="R1024" s="7"/>
      <c r="S1024" s="7"/>
    </row>
    <row r="1025">
      <c r="C1025" s="19">
        <f>IFERROR(__xludf.DUMMYFUNCTION("""COMPUTED_VALUE"""),45812.73321576389)</f>
        <v>45812.73322</v>
      </c>
      <c r="D1025" s="7" t="str">
        <f>IFERROR(__xludf.DUMMYFUNCTION("""COMPUTED_VALUE"""),"Gangarrossa")</f>
        <v>Gangarrossa</v>
      </c>
      <c r="E1025" s="7" t="str">
        <f>IFERROR(__xludf.DUMMYFUNCTION("""COMPUTED_VALUE"""),"Franco Albano")</f>
        <v>Franco Albano</v>
      </c>
      <c r="F1025" s="7" t="str">
        <f>IFERROR(__xludf.DUMMYFUNCTION("""COMPUTED_VALUE"""),"francogangarrossa@gmail.com")</f>
        <v>francogangarrossa@gmail.com</v>
      </c>
      <c r="G1025" s="20">
        <f>IFERROR(__xludf.DUMMYFUNCTION("""COMPUTED_VALUE"""),-664534.0)</f>
        <v>-664534</v>
      </c>
      <c r="H1025" s="7">
        <f>IFERROR(__xludf.DUMMYFUNCTION("""COMPUTED_VALUE"""),2.8270703E7)</f>
        <v>28270703</v>
      </c>
      <c r="I1025" s="7">
        <f>IFERROR(__xludf.DUMMYFUNCTION("""COMPUTED_VALUE"""),3.515937242E9)</f>
        <v>3515937242</v>
      </c>
      <c r="J1025" s="7" t="str">
        <f>IFERROR(__xludf.DUMMYFUNCTION("""COMPUTED_VALUE"""),"Instagram")</f>
        <v>Instagram</v>
      </c>
      <c r="K1025" s="7" t="str">
        <f>IFERROR(__xludf.DUMMYFUNCTION("""COMPUTED_VALUE"""),"Particular")</f>
        <v>Particular</v>
      </c>
      <c r="L1025" s="7"/>
      <c r="M1025" s="7" t="str">
        <f>IFERROR(__xludf.DUMMYFUNCTION("""COMPUTED_VALUE"""),"No")</f>
        <v>No</v>
      </c>
      <c r="N1025" s="7"/>
      <c r="O1025" s="7"/>
      <c r="P1025" s="7"/>
      <c r="Q1025" s="7"/>
      <c r="R1025" s="7"/>
      <c r="S1025" s="7"/>
    </row>
    <row r="1026">
      <c r="C1026" s="19">
        <f>IFERROR(__xludf.DUMMYFUNCTION("""COMPUTED_VALUE"""),45813.440054293984)</f>
        <v>45813.44005</v>
      </c>
      <c r="D1026" s="7" t="str">
        <f>IFERROR(__xludf.DUMMYFUNCTION("""COMPUTED_VALUE"""),"Vittone")</f>
        <v>Vittone</v>
      </c>
      <c r="E1026" s="7" t="str">
        <f>IFERROR(__xludf.DUMMYFUNCTION("""COMPUTED_VALUE"""),"Silvina")</f>
        <v>Silvina</v>
      </c>
      <c r="F1026" s="7" t="str">
        <f>IFERROR(__xludf.DUMMYFUNCTION("""COMPUTED_VALUE"""),"smvittone@hotmail.com")</f>
        <v>smvittone@hotmail.com</v>
      </c>
      <c r="G1026" s="20">
        <f>IFERROR(__xludf.DUMMYFUNCTION("""COMPUTED_VALUE"""),25571.0)</f>
        <v>25571</v>
      </c>
      <c r="H1026" s="7">
        <f>IFERROR(__xludf.DUMMYFUNCTION("""COMPUTED_VALUE"""),2.1402551E7)</f>
        <v>21402551</v>
      </c>
      <c r="I1026" s="7">
        <f>IFERROR(__xludf.DUMMYFUNCTION("""COMPUTED_VALUE"""),3.512360848E9)</f>
        <v>3512360848</v>
      </c>
      <c r="J1026" s="7" t="str">
        <f>IFERROR(__xludf.DUMMYFUNCTION("""COMPUTED_VALUE"""),"Google")</f>
        <v>Google</v>
      </c>
      <c r="K1026" s="7" t="str">
        <f>IFERROR(__xludf.DUMMYFUNCTION("""COMPUTED_VALUE"""),"Obra social")</f>
        <v>Obra social</v>
      </c>
      <c r="L1026" s="7"/>
      <c r="M1026" s="7" t="str">
        <f>IFERROR(__xludf.DUMMYFUNCTION("""COMPUTED_VALUE"""),"Si")</f>
        <v>Si</v>
      </c>
      <c r="N1026" s="7" t="str">
        <f>IFERROR(__xludf.DUMMYFUNCTION("""COMPUTED_VALUE"""),"Fútbol")</f>
        <v>Fútbol</v>
      </c>
      <c r="O1026" s="7" t="str">
        <f>IFERROR(__xludf.DUMMYFUNCTION("""COMPUTED_VALUE"""),"3 a 5 veces por semana")</f>
        <v>3 a 5 veces por semana</v>
      </c>
      <c r="P1026" s="7"/>
      <c r="Q1026" s="7" t="str">
        <f>IFERROR(__xludf.DUMMYFUNCTION("""COMPUTED_VALUE"""),"APROSS")</f>
        <v>APROSS</v>
      </c>
      <c r="R1026" s="7"/>
      <c r="S1026" s="7"/>
    </row>
    <row r="1027">
      <c r="C1027" s="19">
        <f>IFERROR(__xludf.DUMMYFUNCTION("""COMPUTED_VALUE"""),45813.638759525464)</f>
        <v>45813.63876</v>
      </c>
      <c r="D1027" s="7" t="str">
        <f>IFERROR(__xludf.DUMMYFUNCTION("""COMPUTED_VALUE"""),"Strasorier")</f>
        <v>Strasorier</v>
      </c>
      <c r="E1027" s="7" t="str">
        <f>IFERROR(__xludf.DUMMYFUNCTION("""COMPUTED_VALUE"""),"Santiago")</f>
        <v>Santiago</v>
      </c>
      <c r="F1027" s="7" t="str">
        <f>IFERROR(__xludf.DUMMYFUNCTION("""COMPUTED_VALUE"""),"Santistraso123@gmail.com")</f>
        <v>Santistraso123@gmail.com</v>
      </c>
      <c r="G1027" s="20">
        <f>IFERROR(__xludf.DUMMYFUNCTION("""COMPUTED_VALUE"""),36532.0)</f>
        <v>36532</v>
      </c>
      <c r="H1027" s="7">
        <f>IFERROR(__xludf.DUMMYFUNCTION("""COMPUTED_VALUE"""),4.2336654E7)</f>
        <v>42336654</v>
      </c>
      <c r="I1027" s="7">
        <f>IFERROR(__xludf.DUMMYFUNCTION("""COMPUTED_VALUE"""),1.130122089E9)</f>
        <v>1130122089</v>
      </c>
      <c r="J1027" s="7" t="str">
        <f>IFERROR(__xludf.DUMMYFUNCTION("""COMPUTED_VALUE"""),"Recomendación")</f>
        <v>Recomendación</v>
      </c>
      <c r="K1027" s="7" t="str">
        <f>IFERROR(__xludf.DUMMYFUNCTION("""COMPUTED_VALUE"""),"Particular")</f>
        <v>Particular</v>
      </c>
      <c r="L1027" s="7"/>
      <c r="M1027" s="7" t="str">
        <f>IFERROR(__xludf.DUMMYFUNCTION("""COMPUTED_VALUE"""),"Si")</f>
        <v>Si</v>
      </c>
      <c r="N1027" s="7" t="str">
        <f>IFERROR(__xludf.DUMMYFUNCTION("""COMPUTED_VALUE"""),"Fútbol")</f>
        <v>Fútbol</v>
      </c>
      <c r="O1027" s="7" t="str">
        <f>IFERROR(__xludf.DUMMYFUNCTION("""COMPUTED_VALUE"""),"6 a 7 veces por semana")</f>
        <v>6 a 7 veces por semana</v>
      </c>
      <c r="P1027" s="7"/>
      <c r="Q1027" s="7"/>
      <c r="R1027" s="7"/>
      <c r="S1027" s="7"/>
    </row>
    <row r="1028">
      <c r="C1028" s="19">
        <f>IFERROR(__xludf.DUMMYFUNCTION("""COMPUTED_VALUE"""),45814.510579340276)</f>
        <v>45814.51058</v>
      </c>
      <c r="D1028" s="7" t="str">
        <f>IFERROR(__xludf.DUMMYFUNCTION("""COMPUTED_VALUE"""),"Krivoruk")</f>
        <v>Krivoruk</v>
      </c>
      <c r="E1028" s="7" t="str">
        <f>IFERROR(__xludf.DUMMYFUNCTION("""COMPUTED_VALUE"""),"Raul")</f>
        <v>Raul</v>
      </c>
      <c r="F1028" s="7" t="str">
        <f>IFERROR(__xludf.DUMMYFUNCTION("""COMPUTED_VALUE"""),"raulikrivoruk@gmail.com")</f>
        <v>raulikrivoruk@gmail.com</v>
      </c>
      <c r="G1028" s="20">
        <f>IFERROR(__xludf.DUMMYFUNCTION("""COMPUTED_VALUE"""),-348284.0)</f>
        <v>-348284</v>
      </c>
      <c r="H1028" s="7">
        <f>IFERROR(__xludf.DUMMYFUNCTION("""COMPUTED_VALUE"""),7990729.0)</f>
        <v>7990729</v>
      </c>
      <c r="I1028" s="7">
        <f>IFERROR(__xludf.DUMMYFUNCTION("""COMPUTED_VALUE"""),3.512021681E9)</f>
        <v>3512021681</v>
      </c>
      <c r="J1028" s="7" t="str">
        <f>IFERROR(__xludf.DUMMYFUNCTION("""COMPUTED_VALUE"""),"Google")</f>
        <v>Google</v>
      </c>
      <c r="K1028" s="7" t="str">
        <f>IFERROR(__xludf.DUMMYFUNCTION("""COMPUTED_VALUE"""),"Particular")</f>
        <v>Particular</v>
      </c>
      <c r="L1028" s="7"/>
      <c r="M1028" s="7" t="str">
        <f>IFERROR(__xludf.DUMMYFUNCTION("""COMPUTED_VALUE"""),"Si")</f>
        <v>Si</v>
      </c>
      <c r="N1028" s="7" t="str">
        <f>IFERROR(__xludf.DUMMYFUNCTION("""COMPUTED_VALUE"""),"Karate")</f>
        <v>Karate</v>
      </c>
      <c r="O1028" s="7" t="str">
        <f>IFERROR(__xludf.DUMMYFUNCTION("""COMPUTED_VALUE"""),"1 a 2 veces por semana")</f>
        <v>1 a 2 veces por semana</v>
      </c>
      <c r="P1028" s="7"/>
      <c r="Q1028" s="7"/>
      <c r="R1028" s="7"/>
      <c r="S1028" s="7"/>
    </row>
    <row r="1029">
      <c r="C1029" s="19">
        <f>IFERROR(__xludf.DUMMYFUNCTION("""COMPUTED_VALUE"""),45818.53208261574)</f>
        <v>45818.53208</v>
      </c>
      <c r="D1029" s="7" t="str">
        <f>IFERROR(__xludf.DUMMYFUNCTION("""COMPUTED_VALUE"""),"Martinez Tello")</f>
        <v>Martinez Tello</v>
      </c>
      <c r="E1029" s="7" t="str">
        <f>IFERROR(__xludf.DUMMYFUNCTION("""COMPUTED_VALUE"""),"Juliana ")</f>
        <v>Juliana </v>
      </c>
      <c r="F1029" s="7" t="str">
        <f>IFERROR(__xludf.DUMMYFUNCTION("""COMPUTED_VALUE"""),"vat198138@gmail.com")</f>
        <v>vat198138@gmail.com</v>
      </c>
      <c r="G1029" s="20">
        <f>IFERROR(__xludf.DUMMYFUNCTION("""COMPUTED_VALUE"""),41427.0)</f>
        <v>41427</v>
      </c>
      <c r="H1029" s="21">
        <f>IFERROR(__xludf.DUMMYFUNCTION("""COMPUTED_VALUE"""),5.3076154E7)</f>
        <v>53076154</v>
      </c>
      <c r="I1029" s="7">
        <f>IFERROR(__xludf.DUMMYFUNCTION("""COMPUTED_VALUE"""),3.515116806E9)</f>
        <v>3515116806</v>
      </c>
      <c r="J1029" s="7" t="str">
        <f>IFERROR(__xludf.DUMMYFUNCTION("""COMPUTED_VALUE"""),"Voy al gym Manantial")</f>
        <v>Voy al gym Manantial</v>
      </c>
      <c r="K1029" s="7" t="str">
        <f>IFERROR(__xludf.DUMMYFUNCTION("""COMPUTED_VALUE"""),"Particular")</f>
        <v>Particular</v>
      </c>
      <c r="L1029" s="7"/>
      <c r="M1029" s="7" t="str">
        <f>IFERROR(__xludf.DUMMYFUNCTION("""COMPUTED_VALUE"""),"Si")</f>
        <v>Si</v>
      </c>
      <c r="N1029" s="7" t="str">
        <f>IFERROR(__xludf.DUMMYFUNCTION("""COMPUTED_VALUE"""),"Voley")</f>
        <v>Voley</v>
      </c>
      <c r="O1029" s="7" t="str">
        <f>IFERROR(__xludf.DUMMYFUNCTION("""COMPUTED_VALUE"""),"3 a 5 veces por semana")</f>
        <v>3 a 5 veces por semana</v>
      </c>
      <c r="P1029" s="7"/>
      <c r="Q1029" s="7"/>
      <c r="R1029" s="7"/>
      <c r="S1029" s="7"/>
    </row>
    <row r="1030">
      <c r="C1030" s="19">
        <f>IFERROR(__xludf.DUMMYFUNCTION("""COMPUTED_VALUE"""),45818.57043506944)</f>
        <v>45818.57044</v>
      </c>
      <c r="D1030" s="7" t="str">
        <f>IFERROR(__xludf.DUMMYFUNCTION("""COMPUTED_VALUE"""),"JUAN")</f>
        <v>JUAN</v>
      </c>
      <c r="E1030" s="7" t="str">
        <f>IFERROR(__xludf.DUMMYFUNCTION("""COMPUTED_VALUE"""),"Alejandro")</f>
        <v>Alejandro</v>
      </c>
      <c r="F1030" s="7" t="str">
        <f>IFERROR(__xludf.DUMMYFUNCTION("""COMPUTED_VALUE"""),"alejandrojuan@live.com")</f>
        <v>alejandrojuan@live.com</v>
      </c>
      <c r="G1030" s="20">
        <f>IFERROR(__xludf.DUMMYFUNCTION("""COMPUTED_VALUE"""),29999.0)</f>
        <v>29999</v>
      </c>
      <c r="H1030" s="7">
        <f>IFERROR(__xludf.DUMMYFUNCTION("""COMPUTED_VALUE"""),2.9254903E7)</f>
        <v>29254903</v>
      </c>
      <c r="I1030" s="7">
        <f>IFERROR(__xludf.DUMMYFUNCTION("""COMPUTED_VALUE"""),3.5162089E9)</f>
        <v>3516208900</v>
      </c>
      <c r="J1030" s="7" t="str">
        <f>IFERROR(__xludf.DUMMYFUNCTION("""COMPUTED_VALUE"""),"Google")</f>
        <v>Google</v>
      </c>
      <c r="K1030" s="7" t="str">
        <f>IFERROR(__xludf.DUMMYFUNCTION("""COMPUTED_VALUE"""),"Particular")</f>
        <v>Particular</v>
      </c>
      <c r="L1030" s="7"/>
      <c r="M1030" s="7" t="str">
        <f>IFERROR(__xludf.DUMMYFUNCTION("""COMPUTED_VALUE"""),"Si")</f>
        <v>Si</v>
      </c>
      <c r="N1030" s="7" t="str">
        <f>IFERROR(__xludf.DUMMYFUNCTION("""COMPUTED_VALUE"""),"Fútbol")</f>
        <v>Fútbol</v>
      </c>
      <c r="O1030" s="7" t="str">
        <f>IFERROR(__xludf.DUMMYFUNCTION("""COMPUTED_VALUE"""),"1 a 2 veces por semana")</f>
        <v>1 a 2 veces por semana</v>
      </c>
      <c r="P1030" s="7"/>
      <c r="Q1030" s="7"/>
      <c r="R1030" s="7"/>
      <c r="S1030" s="7"/>
    </row>
    <row r="1031">
      <c r="C1031" s="19">
        <f>IFERROR(__xludf.DUMMYFUNCTION("""COMPUTED_VALUE"""),45818.76331892361)</f>
        <v>45818.76332</v>
      </c>
      <c r="D1031" s="7" t="str">
        <f>IFERROR(__xludf.DUMMYFUNCTION("""COMPUTED_VALUE"""),"Juan")</f>
        <v>Juan</v>
      </c>
      <c r="E1031" s="7" t="str">
        <f>IFERROR(__xludf.DUMMYFUNCTION("""COMPUTED_VALUE"""),"Alejandro")</f>
        <v>Alejandro</v>
      </c>
      <c r="F1031" s="7"/>
      <c r="G1031" s="20">
        <f>IFERROR(__xludf.DUMMYFUNCTION("""COMPUTED_VALUE"""),29999.0)</f>
        <v>29999</v>
      </c>
      <c r="H1031" s="7">
        <f>IFERROR(__xludf.DUMMYFUNCTION("""COMPUTED_VALUE"""),2.9254903E7)</f>
        <v>29254903</v>
      </c>
      <c r="I1031" s="7">
        <f>IFERROR(__xludf.DUMMYFUNCTION("""COMPUTED_VALUE"""),3.5162089E9)</f>
        <v>3516208900</v>
      </c>
      <c r="J1031" s="7" t="str">
        <f>IFERROR(__xludf.DUMMYFUNCTION("""COMPUTED_VALUE"""),"Google")</f>
        <v>Google</v>
      </c>
      <c r="K1031" s="7" t="str">
        <f>IFERROR(__xludf.DUMMYFUNCTION("""COMPUTED_VALUE"""),"Particular")</f>
        <v>Particular</v>
      </c>
      <c r="L1031" s="7"/>
      <c r="M1031" s="7" t="str">
        <f>IFERROR(__xludf.DUMMYFUNCTION("""COMPUTED_VALUE"""),"Si")</f>
        <v>Si</v>
      </c>
      <c r="N1031" s="7" t="str">
        <f>IFERROR(__xludf.DUMMYFUNCTION("""COMPUTED_VALUE"""),"Fútbol")</f>
        <v>Fútbol</v>
      </c>
      <c r="O1031" s="7" t="str">
        <f>IFERROR(__xludf.DUMMYFUNCTION("""COMPUTED_VALUE"""),"1 a 2 veces por semana")</f>
        <v>1 a 2 veces por semana</v>
      </c>
      <c r="P1031" s="7"/>
      <c r="Q1031" s="7"/>
      <c r="R1031" s="7"/>
      <c r="S1031" s="7"/>
    </row>
    <row r="1032">
      <c r="C1032" s="19">
        <f>IFERROR(__xludf.DUMMYFUNCTION("""COMPUTED_VALUE"""),45818.79612251157)</f>
        <v>45818.79612</v>
      </c>
      <c r="D1032" s="7" t="str">
        <f>IFERROR(__xludf.DUMMYFUNCTION("""COMPUTED_VALUE"""),"Bondio")</f>
        <v>Bondio</v>
      </c>
      <c r="E1032" s="7" t="str">
        <f>IFERROR(__xludf.DUMMYFUNCTION("""COMPUTED_VALUE"""),"Luis")</f>
        <v>Luis</v>
      </c>
      <c r="F1032" s="7"/>
      <c r="G1032" s="20">
        <f>IFERROR(__xludf.DUMMYFUNCTION("""COMPUTED_VALUE"""),31097.0)</f>
        <v>31097</v>
      </c>
      <c r="H1032" s="7">
        <f>IFERROR(__xludf.DUMMYFUNCTION("""COMPUTED_VALUE"""),3.1357652E7)</f>
        <v>31357652</v>
      </c>
      <c r="I1032" s="7">
        <f>IFERROR(__xludf.DUMMYFUNCTION("""COMPUTED_VALUE"""),3.512374665E9)</f>
        <v>3512374665</v>
      </c>
      <c r="J1032" s="7" t="str">
        <f>IFERROR(__xludf.DUMMYFUNCTION("""COMPUTED_VALUE"""),"Voy al gym Manantial")</f>
        <v>Voy al gym Manantial</v>
      </c>
      <c r="K1032" s="7" t="str">
        <f>IFERROR(__xludf.DUMMYFUNCTION("""COMPUTED_VALUE"""),"Particular")</f>
        <v>Particular</v>
      </c>
      <c r="L1032" s="7"/>
      <c r="M1032" s="7" t="str">
        <f>IFERROR(__xludf.DUMMYFUNCTION("""COMPUTED_VALUE"""),"Si")</f>
        <v>Si</v>
      </c>
      <c r="N1032" s="7" t="str">
        <f>IFERROR(__xludf.DUMMYFUNCTION("""COMPUTED_VALUE"""),"Running")</f>
        <v>Running</v>
      </c>
      <c r="O1032" s="7" t="str">
        <f>IFERROR(__xludf.DUMMYFUNCTION("""COMPUTED_VALUE"""),"3 a 5 veces por semana")</f>
        <v>3 a 5 veces por semana</v>
      </c>
      <c r="P1032" s="7"/>
      <c r="Q1032" s="7"/>
      <c r="R1032" s="7"/>
      <c r="S1032" s="7"/>
    </row>
    <row r="1033">
      <c r="C1033" s="19">
        <f>IFERROR(__xludf.DUMMYFUNCTION("""COMPUTED_VALUE"""),45821.74873668981)</f>
        <v>45821.74874</v>
      </c>
      <c r="D1033" s="7" t="str">
        <f>IFERROR(__xludf.DUMMYFUNCTION("""COMPUTED_VALUE"""),"Guillen")</f>
        <v>Guillen</v>
      </c>
      <c r="E1033" s="7" t="str">
        <f>IFERROR(__xludf.DUMMYFUNCTION("""COMPUTED_VALUE"""),"Francisco")</f>
        <v>Francisco</v>
      </c>
      <c r="F1033" s="7" t="str">
        <f>IFERROR(__xludf.DUMMYFUNCTION("""COMPUTED_VALUE"""),"fgguillen@hotmail.com")</f>
        <v>fgguillen@hotmail.com</v>
      </c>
      <c r="G1033" s="20">
        <f>IFERROR(__xludf.DUMMYFUNCTION("""COMPUTED_VALUE"""),28978.0)</f>
        <v>28978</v>
      </c>
      <c r="H1033" s="7">
        <f>IFERROR(__xludf.DUMMYFUNCTION("""COMPUTED_VALUE"""),2.7248456E7)</f>
        <v>27248456</v>
      </c>
      <c r="I1033" s="7">
        <f>IFERROR(__xludf.DUMMYFUNCTION("""COMPUTED_VALUE"""),3.518377E9)</f>
        <v>3518377000</v>
      </c>
      <c r="J1033" s="7" t="str">
        <f>IFERROR(__xludf.DUMMYFUNCTION("""COMPUTED_VALUE"""),"Google")</f>
        <v>Google</v>
      </c>
      <c r="K1033" s="7" t="str">
        <f>IFERROR(__xludf.DUMMYFUNCTION("""COMPUTED_VALUE"""),"Particular")</f>
        <v>Particular</v>
      </c>
      <c r="L1033" s="7"/>
      <c r="M1033" s="7" t="str">
        <f>IFERROR(__xludf.DUMMYFUNCTION("""COMPUTED_VALUE"""),"Si")</f>
        <v>Si</v>
      </c>
      <c r="N1033" s="7" t="str">
        <f>IFERROR(__xludf.DUMMYFUNCTION("""COMPUTED_VALUE"""),"Fútbol")</f>
        <v>Fútbol</v>
      </c>
      <c r="O1033" s="7" t="str">
        <f>IFERROR(__xludf.DUMMYFUNCTION("""COMPUTED_VALUE"""),"1 a 2 veces por semana")</f>
        <v>1 a 2 veces por semana</v>
      </c>
      <c r="P1033" s="7"/>
      <c r="Q1033" s="7"/>
      <c r="R1033" s="7"/>
      <c r="S1033" s="7"/>
    </row>
    <row r="1034">
      <c r="C1034" s="19">
        <f>IFERROR(__xludf.DUMMYFUNCTION("""COMPUTED_VALUE"""),45821.84758321759)</f>
        <v>45821.84758</v>
      </c>
      <c r="D1034" s="7" t="str">
        <f>IFERROR(__xludf.DUMMYFUNCTION("""COMPUTED_VALUE"""),"Perez Dopazo")</f>
        <v>Perez Dopazo</v>
      </c>
      <c r="E1034" s="7" t="str">
        <f>IFERROR(__xludf.DUMMYFUNCTION("""COMPUTED_VALUE"""),"Martha Viviana")</f>
        <v>Martha Viviana</v>
      </c>
      <c r="F1034" s="7" t="str">
        <f>IFERROR(__xludf.DUMMYFUNCTION("""COMPUTED_VALUE"""),"Mpdopazo@hotmail.com")</f>
        <v>Mpdopazo@hotmail.com</v>
      </c>
      <c r="G1034" s="20">
        <f>IFERROR(__xludf.DUMMYFUNCTION("""COMPUTED_VALUE"""),27010.0)</f>
        <v>27010</v>
      </c>
      <c r="H1034" s="7">
        <f>IFERROR(__xludf.DUMMYFUNCTION("""COMPUTED_VALUE"""),2.3821145E7)</f>
        <v>23821145</v>
      </c>
      <c r="I1034" s="7">
        <f>IFERROR(__xludf.DUMMYFUNCTION("""COMPUTED_VALUE"""),3.513193958E9)</f>
        <v>3513193958</v>
      </c>
      <c r="J1034" s="7" t="str">
        <f>IFERROR(__xludf.DUMMYFUNCTION("""COMPUTED_VALUE"""),"Recomendación")</f>
        <v>Recomendación</v>
      </c>
      <c r="K1034" s="7" t="str">
        <f>IFERROR(__xludf.DUMMYFUNCTION("""COMPUTED_VALUE"""),"Obra social")</f>
        <v>Obra social</v>
      </c>
      <c r="L1034" s="7"/>
      <c r="M1034" s="7" t="str">
        <f>IFERROR(__xludf.DUMMYFUNCTION("""COMPUTED_VALUE"""),"No")</f>
        <v>No</v>
      </c>
      <c r="N1034" s="7"/>
      <c r="O1034" s="7"/>
      <c r="P1034" s="7"/>
      <c r="Q1034" s="7" t="str">
        <f>IFERROR(__xludf.DUMMYFUNCTION("""COMPUTED_VALUE"""),"CPCE")</f>
        <v>CPCE</v>
      </c>
      <c r="R1034" s="7"/>
      <c r="S1034" s="7"/>
    </row>
    <row r="1035">
      <c r="C1035" s="19">
        <f>IFERROR(__xludf.DUMMYFUNCTION("""COMPUTED_VALUE"""),45821.84964935185)</f>
        <v>45821.84965</v>
      </c>
      <c r="D1035" s="7" t="str">
        <f>IFERROR(__xludf.DUMMYFUNCTION("""COMPUTED_VALUE"""),"Perez Dopazo")</f>
        <v>Perez Dopazo</v>
      </c>
      <c r="E1035" s="7" t="str">
        <f>IFERROR(__xludf.DUMMYFUNCTION("""COMPUTED_VALUE"""),"Martha Viviana")</f>
        <v>Martha Viviana</v>
      </c>
      <c r="F1035" s="7" t="str">
        <f>IFERROR(__xludf.DUMMYFUNCTION("""COMPUTED_VALUE"""),"Mpdopazo@hotmail.com")</f>
        <v>Mpdopazo@hotmail.com</v>
      </c>
      <c r="G1035" s="20">
        <f>IFERROR(__xludf.DUMMYFUNCTION("""COMPUTED_VALUE"""),25914.0)</f>
        <v>25914</v>
      </c>
      <c r="H1035" s="7">
        <f>IFERROR(__xludf.DUMMYFUNCTION("""COMPUTED_VALUE"""),2.3821145E7)</f>
        <v>23821145</v>
      </c>
      <c r="I1035" s="7">
        <f>IFERROR(__xludf.DUMMYFUNCTION("""COMPUTED_VALUE"""),3.513193958E9)</f>
        <v>3513193958</v>
      </c>
      <c r="J1035" s="7" t="str">
        <f>IFERROR(__xludf.DUMMYFUNCTION("""COMPUTED_VALUE"""),"Recomendación")</f>
        <v>Recomendación</v>
      </c>
      <c r="K1035" s="7" t="str">
        <f>IFERROR(__xludf.DUMMYFUNCTION("""COMPUTED_VALUE"""),"Obra social")</f>
        <v>Obra social</v>
      </c>
      <c r="L1035" s="7"/>
      <c r="M1035" s="7" t="str">
        <f>IFERROR(__xludf.DUMMYFUNCTION("""COMPUTED_VALUE"""),"No")</f>
        <v>No</v>
      </c>
      <c r="N1035" s="7"/>
      <c r="O1035" s="7"/>
      <c r="P1035" s="7"/>
      <c r="Q1035" s="7" t="str">
        <f>IFERROR(__xludf.DUMMYFUNCTION("""COMPUTED_VALUE"""),"CPCE")</f>
        <v>CPCE</v>
      </c>
      <c r="R1035" s="7"/>
      <c r="S1035" s="7"/>
    </row>
    <row r="1036">
      <c r="C1036" s="19">
        <f>IFERROR(__xludf.DUMMYFUNCTION("""COMPUTED_VALUE"""),45825.76051583333)</f>
        <v>45825.76052</v>
      </c>
      <c r="D1036" s="7" t="str">
        <f>IFERROR(__xludf.DUMMYFUNCTION("""COMPUTED_VALUE"""),"Buffa")</f>
        <v>Buffa</v>
      </c>
      <c r="E1036" s="7" t="str">
        <f>IFERROR(__xludf.DUMMYFUNCTION("""COMPUTED_VALUE"""),"Luis")</f>
        <v>Luis</v>
      </c>
      <c r="F1036" s="7" t="str">
        <f>IFERROR(__xludf.DUMMYFUNCTION("""COMPUTED_VALUE"""),"luisbuffa6@gmail.com ")</f>
        <v>luisbuffa6@gmail.com </v>
      </c>
      <c r="G1036" s="20">
        <f>IFERROR(__xludf.DUMMYFUNCTION("""COMPUTED_VALUE"""),26269.0)</f>
        <v>26269</v>
      </c>
      <c r="H1036" s="7">
        <f>IFERROR(__xludf.DUMMYFUNCTION("""COMPUTED_VALUE"""),2.3440418E7)</f>
        <v>23440418</v>
      </c>
      <c r="I1036" s="7">
        <f>IFERROR(__xludf.DUMMYFUNCTION("""COMPUTED_VALUE"""),3.513718449E9)</f>
        <v>3513718449</v>
      </c>
      <c r="J1036" s="7" t="str">
        <f>IFERROR(__xludf.DUMMYFUNCTION("""COMPUTED_VALUE"""),"Cartilla Obra Social")</f>
        <v>Cartilla Obra Social</v>
      </c>
      <c r="K1036" s="7" t="str">
        <f>IFERROR(__xludf.DUMMYFUNCTION("""COMPUTED_VALUE"""),"Obra social")</f>
        <v>Obra social</v>
      </c>
      <c r="L1036" s="7"/>
      <c r="M1036" s="7" t="str">
        <f>IFERROR(__xludf.DUMMYFUNCTION("""COMPUTED_VALUE"""),"No")</f>
        <v>No</v>
      </c>
      <c r="N1036" s="7"/>
      <c r="O1036" s="7"/>
      <c r="P1036" s="7"/>
      <c r="Q1036" s="7" t="str">
        <f>IFERROR(__xludf.DUMMYFUNCTION("""COMPUTED_VALUE"""),"PREVENCIÓN")</f>
        <v>PREVENCIÓN</v>
      </c>
      <c r="R1036" s="7"/>
      <c r="S1036" s="7"/>
    </row>
    <row r="1037">
      <c r="C1037" s="19">
        <f>IFERROR(__xludf.DUMMYFUNCTION("""COMPUTED_VALUE"""),45825.795511689816)</f>
        <v>45825.79551</v>
      </c>
      <c r="D1037" s="7" t="str">
        <f>IFERROR(__xludf.DUMMYFUNCTION("""COMPUTED_VALUE"""),"Pedacchia")</f>
        <v>Pedacchia</v>
      </c>
      <c r="E1037" s="7" t="str">
        <f>IFERROR(__xludf.DUMMYFUNCTION("""COMPUTED_VALUE"""),"Agustin")</f>
        <v>Agustin</v>
      </c>
      <c r="F1037" s="7" t="str">
        <f>IFERROR(__xludf.DUMMYFUNCTION("""COMPUTED_VALUE"""),"Agustinpedacchia@gmail.com")</f>
        <v>Agustinpedacchia@gmail.com</v>
      </c>
      <c r="G1037" s="20">
        <f>IFERROR(__xludf.DUMMYFUNCTION("""COMPUTED_VALUE"""),30961.0)</f>
        <v>30961</v>
      </c>
      <c r="H1037" s="7">
        <f>IFERROR(__xludf.DUMMYFUNCTION("""COMPUTED_VALUE"""),3.1057241E7)</f>
        <v>31057241</v>
      </c>
      <c r="I1037" s="7">
        <f>IFERROR(__xludf.DUMMYFUNCTION("""COMPUTED_VALUE"""),3.513899462E9)</f>
        <v>3513899462</v>
      </c>
      <c r="J1037" s="7" t="str">
        <f>IFERROR(__xludf.DUMMYFUNCTION("""COMPUTED_VALUE"""),"Recomendación")</f>
        <v>Recomendación</v>
      </c>
      <c r="K1037" s="7" t="str">
        <f>IFERROR(__xludf.DUMMYFUNCTION("""COMPUTED_VALUE"""),"Obra social")</f>
        <v>Obra social</v>
      </c>
      <c r="L1037" s="7"/>
      <c r="M1037" s="7" t="str">
        <f>IFERROR(__xludf.DUMMYFUNCTION("""COMPUTED_VALUE"""),"Si")</f>
        <v>Si</v>
      </c>
      <c r="N1037" s="7" t="str">
        <f>IFERROR(__xludf.DUMMYFUNCTION("""COMPUTED_VALUE"""),"Padel+Gimnasio+Futbol")</f>
        <v>Padel+Gimnasio+Futbol</v>
      </c>
      <c r="O1037" s="7" t="str">
        <f>IFERROR(__xludf.DUMMYFUNCTION("""COMPUTED_VALUE"""),"3 a 5 veces por semana")</f>
        <v>3 a 5 veces por semana</v>
      </c>
      <c r="P1037" s="7"/>
      <c r="Q1037" s="7" t="str">
        <f>IFERROR(__xludf.DUMMYFUNCTION("""COMPUTED_VALUE"""),"APROSS")</f>
        <v>APROSS</v>
      </c>
      <c r="R1037" s="7"/>
      <c r="S1037" s="7"/>
    </row>
    <row r="1038">
      <c r="C1038" s="19">
        <f>IFERROR(__xludf.DUMMYFUNCTION("""COMPUTED_VALUE"""),45825.799007118054)</f>
        <v>45825.79901</v>
      </c>
      <c r="D1038" s="7" t="str">
        <f>IFERROR(__xludf.DUMMYFUNCTION("""COMPUTED_VALUE"""),"Ferrari")</f>
        <v>Ferrari</v>
      </c>
      <c r="E1038" s="7" t="str">
        <f>IFERROR(__xludf.DUMMYFUNCTION("""COMPUTED_VALUE"""),"Nora")</f>
        <v>Nora</v>
      </c>
      <c r="F1038" s="7"/>
      <c r="G1038" s="20">
        <f>IFERROR(__xludf.DUMMYFUNCTION("""COMPUTED_VALUE"""),18917.0)</f>
        <v>18917</v>
      </c>
      <c r="H1038" s="7">
        <f>IFERROR(__xludf.DUMMYFUNCTION("""COMPUTED_VALUE"""),1.0366321E7)</f>
        <v>10366321</v>
      </c>
      <c r="I1038" s="7">
        <f>IFERROR(__xludf.DUMMYFUNCTION("""COMPUTED_VALUE"""),3.513858331E9)</f>
        <v>3513858331</v>
      </c>
      <c r="J1038" s="7" t="str">
        <f>IFERROR(__xludf.DUMMYFUNCTION("""COMPUTED_VALUE"""),"Recomendación")</f>
        <v>Recomendación</v>
      </c>
      <c r="K1038" s="7" t="str">
        <f>IFERROR(__xludf.DUMMYFUNCTION("""COMPUTED_VALUE"""),"Obra social")</f>
        <v>Obra social</v>
      </c>
      <c r="L1038" s="7"/>
      <c r="M1038" s="7" t="str">
        <f>IFERROR(__xludf.DUMMYFUNCTION("""COMPUTED_VALUE"""),"Si")</f>
        <v>Si</v>
      </c>
      <c r="N1038" s="7" t="str">
        <f>IFERROR(__xludf.DUMMYFUNCTION("""COMPUTED_VALUE"""),"Gimnasio")</f>
        <v>Gimnasio</v>
      </c>
      <c r="O1038" s="7" t="str">
        <f>IFERROR(__xludf.DUMMYFUNCTION("""COMPUTED_VALUE"""),"3 a 5 veces por semana")</f>
        <v>3 a 5 veces por semana</v>
      </c>
      <c r="P1038" s="7"/>
      <c r="Q1038" s="7" t="str">
        <f>IFERROR(__xludf.DUMMYFUNCTION("""COMPUTED_VALUE"""),"DASPU")</f>
        <v>DASPU</v>
      </c>
      <c r="R1038" s="7"/>
      <c r="S1038" s="7"/>
    </row>
    <row r="1039">
      <c r="C1039" s="19">
        <f>IFERROR(__xludf.DUMMYFUNCTION("""COMPUTED_VALUE"""),45825.87777274306)</f>
        <v>45825.87777</v>
      </c>
      <c r="D1039" s="7" t="str">
        <f>IFERROR(__xludf.DUMMYFUNCTION("""COMPUTED_VALUE"""),"Ugolino ")</f>
        <v>Ugolino </v>
      </c>
      <c r="E1039" s="7" t="str">
        <f>IFERROR(__xludf.DUMMYFUNCTION("""COMPUTED_VALUE"""),"Matias")</f>
        <v>Matias</v>
      </c>
      <c r="F1039" s="7" t="str">
        <f>IFERROR(__xludf.DUMMYFUNCTION("""COMPUTED_VALUE"""),"pituugolino96@gmail.com")</f>
        <v>pituugolino96@gmail.com</v>
      </c>
      <c r="G1039" s="20">
        <f>IFERROR(__xludf.DUMMYFUNCTION("""COMPUTED_VALUE"""),39552.0)</f>
        <v>39552</v>
      </c>
      <c r="H1039" s="7">
        <f>IFERROR(__xludf.DUMMYFUNCTION("""COMPUTED_VALUE"""),4.8125548E7)</f>
        <v>48125548</v>
      </c>
      <c r="I1039" s="7">
        <f>IFERROR(__xludf.DUMMYFUNCTION("""COMPUTED_VALUE"""),3.518614022E9)</f>
        <v>3518614022</v>
      </c>
      <c r="J1039" s="7" t="str">
        <f>IFERROR(__xludf.DUMMYFUNCTION("""COMPUTED_VALUE"""),"Instagram")</f>
        <v>Instagram</v>
      </c>
      <c r="K1039" s="7" t="str">
        <f>IFERROR(__xludf.DUMMYFUNCTION("""COMPUTED_VALUE"""),"Obra social")</f>
        <v>Obra social</v>
      </c>
      <c r="L1039" s="7"/>
      <c r="M1039" s="7" t="str">
        <f>IFERROR(__xludf.DUMMYFUNCTION("""COMPUTED_VALUE"""),"Si")</f>
        <v>Si</v>
      </c>
      <c r="N1039" s="7" t="str">
        <f>IFERROR(__xludf.DUMMYFUNCTION("""COMPUTED_VALUE"""),"Fútbol")</f>
        <v>Fútbol</v>
      </c>
      <c r="O1039" s="7" t="str">
        <f>IFERROR(__xludf.DUMMYFUNCTION("""COMPUTED_VALUE"""),"3 a 5 veces por semana")</f>
        <v>3 a 5 veces por semana</v>
      </c>
      <c r="P1039" s="7"/>
      <c r="Q1039" s="7" t="str">
        <f>IFERROR(__xludf.DUMMYFUNCTION("""COMPUTED_VALUE"""),"APROSS")</f>
        <v>APROSS</v>
      </c>
      <c r="R1039" s="7"/>
      <c r="S1039" s="7"/>
    </row>
    <row r="1040">
      <c r="C1040" s="19">
        <f>IFERROR(__xludf.DUMMYFUNCTION("""COMPUTED_VALUE"""),45826.7083725463)</f>
        <v>45826.70837</v>
      </c>
      <c r="D1040" s="7" t="str">
        <f>IFERROR(__xludf.DUMMYFUNCTION("""COMPUTED_VALUE"""),"Alvarez")</f>
        <v>Alvarez</v>
      </c>
      <c r="E1040" s="7" t="str">
        <f>IFERROR(__xludf.DUMMYFUNCTION("""COMPUTED_VALUE"""),"Daniel")</f>
        <v>Daniel</v>
      </c>
      <c r="F1040" s="7"/>
      <c r="G1040" s="20">
        <f>IFERROR(__xludf.DUMMYFUNCTION("""COMPUTED_VALUE"""),29849.0)</f>
        <v>29849</v>
      </c>
      <c r="H1040" s="7">
        <f>IFERROR(__xludf.DUMMYFUNCTION("""COMPUTED_VALUE"""),2.9136424E7)</f>
        <v>29136424</v>
      </c>
      <c r="I1040" s="7">
        <f>IFERROR(__xludf.DUMMYFUNCTION("""COMPUTED_VALUE"""),3.513044767E9)</f>
        <v>3513044767</v>
      </c>
      <c r="J1040" s="7" t="str">
        <f>IFERROR(__xludf.DUMMYFUNCTION("""COMPUTED_VALUE"""),"Recomendación")</f>
        <v>Recomendación</v>
      </c>
      <c r="K1040" s="7" t="str">
        <f>IFERROR(__xludf.DUMMYFUNCTION("""COMPUTED_VALUE"""),"Particular")</f>
        <v>Particular</v>
      </c>
      <c r="L1040" s="7"/>
      <c r="M1040" s="7" t="str">
        <f>IFERROR(__xludf.DUMMYFUNCTION("""COMPUTED_VALUE"""),"Si")</f>
        <v>Si</v>
      </c>
      <c r="N1040" s="7" t="str">
        <f>IFERROR(__xludf.DUMMYFUNCTION("""COMPUTED_VALUE"""),"Gimnasio")</f>
        <v>Gimnasio</v>
      </c>
      <c r="O1040" s="7" t="str">
        <f>IFERROR(__xludf.DUMMYFUNCTION("""COMPUTED_VALUE"""),"3 a 5 veces por semana")</f>
        <v>3 a 5 veces por semana</v>
      </c>
      <c r="P1040" s="7"/>
      <c r="Q1040" s="7"/>
      <c r="R1040" s="7"/>
      <c r="S1040" s="7"/>
    </row>
    <row r="1041">
      <c r="C1041" s="19">
        <f>IFERROR(__xludf.DUMMYFUNCTION("""COMPUTED_VALUE"""),45826.72621385417)</f>
        <v>45826.72621</v>
      </c>
      <c r="D1041" s="7" t="str">
        <f>IFERROR(__xludf.DUMMYFUNCTION("""COMPUTED_VALUE"""),"ZAFE")</f>
        <v>ZAFE</v>
      </c>
      <c r="E1041" s="7" t="str">
        <f>IFERROR(__xludf.DUMMYFUNCTION("""COMPUTED_VALUE"""),"Jorge")</f>
        <v>Jorge</v>
      </c>
      <c r="F1041" s="7"/>
      <c r="G1041" s="20">
        <f>IFERROR(__xludf.DUMMYFUNCTION("""COMPUTED_VALUE"""),25124.0)</f>
        <v>25124</v>
      </c>
      <c r="H1041" s="7">
        <f>IFERROR(__xludf.DUMMYFUNCTION("""COMPUTED_VALUE"""),2.0588227E7)</f>
        <v>20588227</v>
      </c>
      <c r="I1041" s="7">
        <f>IFERROR(__xludf.DUMMYFUNCTION("""COMPUTED_VALUE"""),3.512024181E9)</f>
        <v>3512024181</v>
      </c>
      <c r="J1041" s="7" t="str">
        <f>IFERROR(__xludf.DUMMYFUNCTION("""COMPUTED_VALUE"""),"Voy al gym Manantial")</f>
        <v>Voy al gym Manantial</v>
      </c>
      <c r="K1041" s="7" t="str">
        <f>IFERROR(__xludf.DUMMYFUNCTION("""COMPUTED_VALUE"""),"Obra social")</f>
        <v>Obra social</v>
      </c>
      <c r="L1041" s="7"/>
      <c r="M1041" s="7" t="str">
        <f>IFERROR(__xludf.DUMMYFUNCTION("""COMPUTED_VALUE"""),"Si")</f>
        <v>Si</v>
      </c>
      <c r="N1041" s="7" t="str">
        <f>IFERROR(__xludf.DUMMYFUNCTION("""COMPUTED_VALUE"""),"Gimnasio")</f>
        <v>Gimnasio</v>
      </c>
      <c r="O1041" s="7" t="str">
        <f>IFERROR(__xludf.DUMMYFUNCTION("""COMPUTED_VALUE"""),"3 a 5 veces por semana")</f>
        <v>3 a 5 veces por semana</v>
      </c>
      <c r="P1041" s="7"/>
      <c r="Q1041" s="7" t="str">
        <f>IFERROR(__xludf.DUMMYFUNCTION("""COMPUTED_VALUE"""),"APROSS")</f>
        <v>APROSS</v>
      </c>
      <c r="R1041" s="7"/>
      <c r="S1041" s="7"/>
    </row>
    <row r="1042">
      <c r="C1042" s="19">
        <f>IFERROR(__xludf.DUMMYFUNCTION("""COMPUTED_VALUE"""),45826.792961643514)</f>
        <v>45826.79296</v>
      </c>
      <c r="D1042" s="7" t="str">
        <f>IFERROR(__xludf.DUMMYFUNCTION("""COMPUTED_VALUE"""),"Sabor")</f>
        <v>Sabor</v>
      </c>
      <c r="E1042" s="7" t="str">
        <f>IFERROR(__xludf.DUMMYFUNCTION("""COMPUTED_VALUE"""),"Segundo")</f>
        <v>Segundo</v>
      </c>
      <c r="F1042" s="7"/>
      <c r="G1042" s="20">
        <f>IFERROR(__xludf.DUMMYFUNCTION("""COMPUTED_VALUE"""),37679.0)</f>
        <v>37679</v>
      </c>
      <c r="H1042" s="7">
        <f>IFERROR(__xludf.DUMMYFUNCTION("""COMPUTED_VALUE"""),4.4657361E7)</f>
        <v>44657361</v>
      </c>
      <c r="I1042" s="7">
        <f>IFERROR(__xludf.DUMMYFUNCTION("""COMPUTED_VALUE"""),3.512552702E9)</f>
        <v>3512552702</v>
      </c>
      <c r="J1042" s="7" t="str">
        <f>IFERROR(__xludf.DUMMYFUNCTION("""COMPUTED_VALUE"""),"Recomendación")</f>
        <v>Recomendación</v>
      </c>
      <c r="K1042" s="7" t="str">
        <f>IFERROR(__xludf.DUMMYFUNCTION("""COMPUTED_VALUE"""),"Particular")</f>
        <v>Particular</v>
      </c>
      <c r="L1042" s="7"/>
      <c r="M1042" s="7" t="str">
        <f>IFERROR(__xludf.DUMMYFUNCTION("""COMPUTED_VALUE"""),"Si")</f>
        <v>Si</v>
      </c>
      <c r="N1042" s="7" t="str">
        <f>IFERROR(__xludf.DUMMYFUNCTION("""COMPUTED_VALUE"""),"Rugby")</f>
        <v>Rugby</v>
      </c>
      <c r="O1042" s="7" t="str">
        <f>IFERROR(__xludf.DUMMYFUNCTION("""COMPUTED_VALUE"""),"3 a 5 veces por semana")</f>
        <v>3 a 5 veces por semana</v>
      </c>
      <c r="P1042" s="7"/>
      <c r="Q1042" s="7"/>
      <c r="R1042" s="7"/>
      <c r="S1042" s="7"/>
    </row>
    <row r="1043">
      <c r="C1043" s="19">
        <f>IFERROR(__xludf.DUMMYFUNCTION("""COMPUTED_VALUE"""),45826.80817079861)</f>
        <v>45826.80817</v>
      </c>
      <c r="D1043" s="7" t="str">
        <f>IFERROR(__xludf.DUMMYFUNCTION("""COMPUTED_VALUE"""),"Merlo")</f>
        <v>Merlo</v>
      </c>
      <c r="E1043" s="7" t="str">
        <f>IFERROR(__xludf.DUMMYFUNCTION("""COMPUTED_VALUE"""),"David maximiliano ")</f>
        <v>David maximiliano </v>
      </c>
      <c r="F1043" s="7" t="str">
        <f>IFERROR(__xludf.DUMMYFUNCTION("""COMPUTED_VALUE"""),"davidmerlo_1991@hotmail.com")</f>
        <v>davidmerlo_1991@hotmail.com</v>
      </c>
      <c r="G1043" s="20">
        <f>IFERROR(__xludf.DUMMYFUNCTION("""COMPUTED_VALUE"""),33418.0)</f>
        <v>33418</v>
      </c>
      <c r="H1043" s="7">
        <f>IFERROR(__xludf.DUMMYFUNCTION("""COMPUTED_VALUE"""),3.5966293E7)</f>
        <v>35966293</v>
      </c>
      <c r="I1043" s="7">
        <f>IFERROR(__xludf.DUMMYFUNCTION("""COMPUTED_VALUE"""),3.516478748E9)</f>
        <v>3516478748</v>
      </c>
      <c r="J1043" s="7" t="str">
        <f>IFERROR(__xludf.DUMMYFUNCTION("""COMPUTED_VALUE"""),"Recomendación")</f>
        <v>Recomendación</v>
      </c>
      <c r="K1043" s="7" t="str">
        <f>IFERROR(__xludf.DUMMYFUNCTION("""COMPUTED_VALUE"""),"Particular")</f>
        <v>Particular</v>
      </c>
      <c r="L1043" s="7"/>
      <c r="M1043" s="7" t="str">
        <f>IFERROR(__xludf.DUMMYFUNCTION("""COMPUTED_VALUE"""),"Si")</f>
        <v>Si</v>
      </c>
      <c r="N1043" s="7" t="str">
        <f>IFERROR(__xludf.DUMMYFUNCTION("""COMPUTED_VALUE"""),"Fútbol")</f>
        <v>Fútbol</v>
      </c>
      <c r="O1043" s="7" t="str">
        <f>IFERROR(__xludf.DUMMYFUNCTION("""COMPUTED_VALUE"""),"1 a 2 veces por semana")</f>
        <v>1 a 2 veces por semana</v>
      </c>
      <c r="P1043" s="7"/>
      <c r="Q1043" s="7"/>
      <c r="R1043" s="7"/>
      <c r="S1043" s="7"/>
    </row>
    <row r="1044">
      <c r="C1044" s="19">
        <f>IFERROR(__xludf.DUMMYFUNCTION("""COMPUTED_VALUE"""),45826.89521192129)</f>
        <v>45826.89521</v>
      </c>
      <c r="D1044" s="7" t="str">
        <f>IFERROR(__xludf.DUMMYFUNCTION("""COMPUTED_VALUE"""),"Tejeda")</f>
        <v>Tejeda</v>
      </c>
      <c r="E1044" s="7" t="str">
        <f>IFERROR(__xludf.DUMMYFUNCTION("""COMPUTED_VALUE"""),"Mariana Belen")</f>
        <v>Mariana Belen</v>
      </c>
      <c r="F1044" s="7" t="str">
        <f>IFERROR(__xludf.DUMMYFUNCTION("""COMPUTED_VALUE"""),"mar.belen2017@gmail.com")</f>
        <v>mar.belen2017@gmail.com</v>
      </c>
      <c r="G1044" s="20">
        <f>IFERROR(__xludf.DUMMYFUNCTION("""COMPUTED_VALUE"""),28983.0)</f>
        <v>28983</v>
      </c>
      <c r="H1044" s="7">
        <f>IFERROR(__xludf.DUMMYFUNCTION("""COMPUTED_VALUE"""),2.7248614E7)</f>
        <v>27248614</v>
      </c>
      <c r="I1044" s="7">
        <f>IFERROR(__xludf.DUMMYFUNCTION("""COMPUTED_VALUE"""),3.512189365E9)</f>
        <v>3512189365</v>
      </c>
      <c r="J1044" s="7" t="str">
        <f>IFERROR(__xludf.DUMMYFUNCTION("""COMPUTED_VALUE"""),"Recomendación")</f>
        <v>Recomendación</v>
      </c>
      <c r="K1044" s="7" t="str">
        <f>IFERROR(__xludf.DUMMYFUNCTION("""COMPUTED_VALUE"""),"Particular")</f>
        <v>Particular</v>
      </c>
      <c r="L1044" s="7"/>
      <c r="M1044" s="7" t="str">
        <f>IFERROR(__xludf.DUMMYFUNCTION("""COMPUTED_VALUE"""),"No")</f>
        <v>No</v>
      </c>
      <c r="N1044" s="7"/>
      <c r="O1044" s="7"/>
      <c r="P1044" s="7"/>
      <c r="Q1044" s="7"/>
      <c r="R1044" s="7"/>
      <c r="S1044" s="7"/>
    </row>
    <row r="1045">
      <c r="C1045" s="19">
        <f>IFERROR(__xludf.DUMMYFUNCTION("""COMPUTED_VALUE"""),45831.683408125)</f>
        <v>45831.68341</v>
      </c>
      <c r="D1045" s="7" t="str">
        <f>IFERROR(__xludf.DUMMYFUNCTION("""COMPUTED_VALUE"""),"Riego")</f>
        <v>Riego</v>
      </c>
      <c r="E1045" s="7" t="str">
        <f>IFERROR(__xludf.DUMMYFUNCTION("""COMPUTED_VALUE"""),"Gonzalo")</f>
        <v>Gonzalo</v>
      </c>
      <c r="F1045" s="7" t="str">
        <f>IFERROR(__xludf.DUMMYFUNCTION("""COMPUTED_VALUE"""),"riego.gonzalo.a@gmail.com")</f>
        <v>riego.gonzalo.a@gmail.com</v>
      </c>
      <c r="G1045" s="20">
        <f>IFERROR(__xludf.DUMMYFUNCTION("""COMPUTED_VALUE"""),37679.0)</f>
        <v>37679</v>
      </c>
      <c r="H1045" s="7">
        <f>IFERROR(__xludf.DUMMYFUNCTION("""COMPUTED_VALUE"""),4.4694487E7)</f>
        <v>44694487</v>
      </c>
      <c r="I1045" s="7">
        <f>IFERROR(__xludf.DUMMYFUNCTION("""COMPUTED_VALUE"""),3.512167989E9)</f>
        <v>3512167989</v>
      </c>
      <c r="J1045" s="7" t="str">
        <f>IFERROR(__xludf.DUMMYFUNCTION("""COMPUTED_VALUE"""),"Recomendación")</f>
        <v>Recomendación</v>
      </c>
      <c r="K1045" s="7" t="str">
        <f>IFERROR(__xludf.DUMMYFUNCTION("""COMPUTED_VALUE"""),"Particular")</f>
        <v>Particular</v>
      </c>
      <c r="L1045" s="7"/>
      <c r="M1045" s="7" t="str">
        <f>IFERROR(__xludf.DUMMYFUNCTION("""COMPUTED_VALUE"""),"Si")</f>
        <v>Si</v>
      </c>
      <c r="N1045" s="7" t="str">
        <f>IFERROR(__xludf.DUMMYFUNCTION("""COMPUTED_VALUE"""),"Kick boxing y Gimnasio")</f>
        <v>Kick boxing y Gimnasio</v>
      </c>
      <c r="O1045" s="7" t="str">
        <f>IFERROR(__xludf.DUMMYFUNCTION("""COMPUTED_VALUE"""),"3 a 5 veces por semana")</f>
        <v>3 a 5 veces por semana</v>
      </c>
      <c r="P1045" s="7"/>
      <c r="Q1045" s="7"/>
      <c r="R1045" s="7"/>
      <c r="S1045" s="7"/>
    </row>
    <row r="1046">
      <c r="C1046" s="19">
        <f>IFERROR(__xludf.DUMMYFUNCTION("""COMPUTED_VALUE"""),45831.89440422454)</f>
        <v>45831.8944</v>
      </c>
      <c r="D1046" s="7" t="str">
        <f>IFERROR(__xludf.DUMMYFUNCTION("""COMPUTED_VALUE"""),"Cruzado")</f>
        <v>Cruzado</v>
      </c>
      <c r="E1046" s="7" t="str">
        <f>IFERROR(__xludf.DUMMYFUNCTION("""COMPUTED_VALUE"""),"Lucas")</f>
        <v>Lucas</v>
      </c>
      <c r="F1046" s="7" t="str">
        <f>IFERROR(__xludf.DUMMYFUNCTION("""COMPUTED_VALUE"""),"Lucascruzado@hotmail.com")</f>
        <v>Lucascruzado@hotmail.com</v>
      </c>
      <c r="G1046" s="20">
        <f>IFERROR(__xludf.DUMMYFUNCTION("""COMPUTED_VALUE"""),29751.0)</f>
        <v>29751</v>
      </c>
      <c r="H1046" s="7">
        <f>IFERROR(__xludf.DUMMYFUNCTION("""COMPUTED_VALUE"""),2.885037E7)</f>
        <v>28850370</v>
      </c>
      <c r="I1046" s="7">
        <f>IFERROR(__xludf.DUMMYFUNCTION("""COMPUTED_VALUE"""),3.515954286E9)</f>
        <v>3515954286</v>
      </c>
      <c r="J1046" s="7" t="str">
        <f>IFERROR(__xludf.DUMMYFUNCTION("""COMPUTED_VALUE"""),"Voy al gym Manantial")</f>
        <v>Voy al gym Manantial</v>
      </c>
      <c r="K1046" s="7" t="str">
        <f>IFERROR(__xludf.DUMMYFUNCTION("""COMPUTED_VALUE"""),"Particular")</f>
        <v>Particular</v>
      </c>
      <c r="L1046" s="7"/>
      <c r="M1046" s="7" t="str">
        <f>IFERROR(__xludf.DUMMYFUNCTION("""COMPUTED_VALUE"""),"Si")</f>
        <v>Si</v>
      </c>
      <c r="N1046" s="7" t="str">
        <f>IFERROR(__xludf.DUMMYFUNCTION("""COMPUTED_VALUE"""),"Gimnasio")</f>
        <v>Gimnasio</v>
      </c>
      <c r="O1046" s="7" t="str">
        <f>IFERROR(__xludf.DUMMYFUNCTION("""COMPUTED_VALUE"""),"3 a 5 veces por semana")</f>
        <v>3 a 5 veces por semana</v>
      </c>
      <c r="P1046" s="7"/>
      <c r="Q1046" s="7"/>
      <c r="R1046" s="7"/>
      <c r="S1046" s="7"/>
    </row>
    <row r="1047">
      <c r="C1047" s="19">
        <f>IFERROR(__xludf.DUMMYFUNCTION("""COMPUTED_VALUE"""),45832.45291501157)</f>
        <v>45832.45292</v>
      </c>
      <c r="D1047" s="7" t="str">
        <f>IFERROR(__xludf.DUMMYFUNCTION("""COMPUTED_VALUE"""),"Lungaro")</f>
        <v>Lungaro</v>
      </c>
      <c r="E1047" s="7" t="str">
        <f>IFERROR(__xludf.DUMMYFUNCTION("""COMPUTED_VALUE"""),"Maria Elizabeth")</f>
        <v>Maria Elizabeth</v>
      </c>
      <c r="F1047" s="7" t="str">
        <f>IFERROR(__xludf.DUMMYFUNCTION("""COMPUTED_VALUE"""),"marylungaro52@gmail.com")</f>
        <v>marylungaro52@gmail.com</v>
      </c>
      <c r="G1047" s="20">
        <f>IFERROR(__xludf.DUMMYFUNCTION("""COMPUTED_VALUE"""),19028.0)</f>
        <v>19028</v>
      </c>
      <c r="H1047" s="7">
        <f>IFERROR(__xludf.DUMMYFUNCTION("""COMPUTED_VALUE"""),1.0174976E7)</f>
        <v>10174976</v>
      </c>
      <c r="I1047" s="7">
        <f>IFERROR(__xludf.DUMMYFUNCTION("""COMPUTED_VALUE"""),3.516874E9)</f>
        <v>3516874000</v>
      </c>
      <c r="J1047" s="7" t="str">
        <f>IFERROR(__xludf.DUMMYFUNCTION("""COMPUTED_VALUE"""),"Recomendación")</f>
        <v>Recomendación</v>
      </c>
      <c r="K1047" s="7" t="str">
        <f>IFERROR(__xludf.DUMMYFUNCTION("""COMPUTED_VALUE"""),"Particular")</f>
        <v>Particular</v>
      </c>
      <c r="L1047" s="7"/>
      <c r="M1047" s="7" t="str">
        <f>IFERROR(__xludf.DUMMYFUNCTION("""COMPUTED_VALUE"""),"No")</f>
        <v>No</v>
      </c>
      <c r="N1047" s="7"/>
      <c r="O1047" s="7"/>
      <c r="P1047" s="7"/>
      <c r="Q1047" s="7"/>
      <c r="R1047" s="7"/>
      <c r="S1047" s="7"/>
    </row>
    <row r="1048">
      <c r="C1048" s="19">
        <f>IFERROR(__xludf.DUMMYFUNCTION("""COMPUTED_VALUE"""),45832.49292351852)</f>
        <v>45832.49292</v>
      </c>
      <c r="D1048" s="7" t="str">
        <f>IFERROR(__xludf.DUMMYFUNCTION("""COMPUTED_VALUE"""),"LAUENSTEIN")</f>
        <v>LAUENSTEIN</v>
      </c>
      <c r="E1048" s="7" t="str">
        <f>IFERROR(__xludf.DUMMYFUNCTION("""COMPUTED_VALUE"""),"Mariel")</f>
        <v>Mariel</v>
      </c>
      <c r="F1048" s="7"/>
      <c r="G1048" s="20">
        <f>IFERROR(__xludf.DUMMYFUNCTION("""COMPUTED_VALUE"""),16140.0)</f>
        <v>16140</v>
      </c>
      <c r="H1048" s="7">
        <f>IFERROR(__xludf.DUMMYFUNCTION("""COMPUTED_VALUE"""),4855352.0)</f>
        <v>4855352</v>
      </c>
      <c r="I1048" s="7">
        <f>IFERROR(__xludf.DUMMYFUNCTION("""COMPUTED_VALUE"""),3.513549222E9)</f>
        <v>3513549222</v>
      </c>
      <c r="J1048" s="7" t="str">
        <f>IFERROR(__xludf.DUMMYFUNCTION("""COMPUTED_VALUE"""),"Recomendación")</f>
        <v>Recomendación</v>
      </c>
      <c r="K1048" s="7" t="str">
        <f>IFERROR(__xludf.DUMMYFUNCTION("""COMPUTED_VALUE"""),"Obra social")</f>
        <v>Obra social</v>
      </c>
      <c r="L1048" s="7"/>
      <c r="M1048" s="7" t="str">
        <f>IFERROR(__xludf.DUMMYFUNCTION("""COMPUTED_VALUE"""),"No")</f>
        <v>No</v>
      </c>
      <c r="N1048" s="7"/>
      <c r="O1048" s="7"/>
      <c r="P1048" s="7"/>
      <c r="Q1048" s="7" t="str">
        <f>IFERROR(__xludf.DUMMYFUNCTION("""COMPUTED_VALUE"""),"APROSS")</f>
        <v>APROSS</v>
      </c>
      <c r="R1048" s="7"/>
      <c r="S1048" s="7"/>
    </row>
    <row r="1049">
      <c r="C1049" s="19">
        <f>IFERROR(__xludf.DUMMYFUNCTION("""COMPUTED_VALUE"""),45832.780534618054)</f>
        <v>45832.78053</v>
      </c>
      <c r="D1049" s="7" t="str">
        <f>IFERROR(__xludf.DUMMYFUNCTION("""COMPUTED_VALUE"""),"Bas")</f>
        <v>Bas</v>
      </c>
      <c r="E1049" s="7" t="str">
        <f>IFERROR(__xludf.DUMMYFUNCTION("""COMPUTED_VALUE"""),"Maria paula ")</f>
        <v>Maria paula </v>
      </c>
      <c r="F1049" s="7"/>
      <c r="G1049" s="20">
        <f>IFERROR(__xludf.DUMMYFUNCTION("""COMPUTED_VALUE"""),31533.0)</f>
        <v>31533</v>
      </c>
      <c r="H1049" s="7">
        <f>IFERROR(__xludf.DUMMYFUNCTION("""COMPUTED_VALUE"""),3.2313606E7)</f>
        <v>32313606</v>
      </c>
      <c r="I1049" s="7">
        <f>IFERROR(__xludf.DUMMYFUNCTION("""COMPUTED_VALUE"""),3.516537121E9)</f>
        <v>3516537121</v>
      </c>
      <c r="J1049" s="7" t="str">
        <f>IFERROR(__xludf.DUMMYFUNCTION("""COMPUTED_VALUE"""),"Voy al gym Manantial")</f>
        <v>Voy al gym Manantial</v>
      </c>
      <c r="K1049" s="7" t="str">
        <f>IFERROR(__xludf.DUMMYFUNCTION("""COMPUTED_VALUE"""),"Particular")</f>
        <v>Particular</v>
      </c>
      <c r="L1049" s="7"/>
      <c r="M1049" s="7" t="str">
        <f>IFERROR(__xludf.DUMMYFUNCTION("""COMPUTED_VALUE"""),"Si")</f>
        <v>Si</v>
      </c>
      <c r="N1049" s="7" t="str">
        <f>IFERROR(__xludf.DUMMYFUNCTION("""COMPUTED_VALUE"""),"Gimnasio")</f>
        <v>Gimnasio</v>
      </c>
      <c r="O1049" s="7" t="str">
        <f>IFERROR(__xludf.DUMMYFUNCTION("""COMPUTED_VALUE"""),"3 a 5 veces por semana")</f>
        <v>3 a 5 veces por semana</v>
      </c>
      <c r="P1049" s="7"/>
      <c r="Q1049" s="7"/>
      <c r="R1049" s="7"/>
      <c r="S1049" s="7"/>
    </row>
    <row r="1050">
      <c r="C1050" s="19">
        <f>IFERROR(__xludf.DUMMYFUNCTION("""COMPUTED_VALUE"""),45832.79682423611)</f>
        <v>45832.79682</v>
      </c>
      <c r="D1050" s="7" t="str">
        <f>IFERROR(__xludf.DUMMYFUNCTION("""COMPUTED_VALUE"""),"TORRES ")</f>
        <v>TORRES </v>
      </c>
      <c r="E1050" s="7" t="str">
        <f>IFERROR(__xludf.DUMMYFUNCTION("""COMPUTED_VALUE"""),"Facundo ")</f>
        <v>Facundo </v>
      </c>
      <c r="F1050" s="7" t="str">
        <f>IFERROR(__xludf.DUMMYFUNCTION("""COMPUTED_VALUE"""),"facu.cordobalt@gmail.com")</f>
        <v>facu.cordobalt@gmail.com</v>
      </c>
      <c r="G1050" s="20">
        <f>IFERROR(__xludf.DUMMYFUNCTION("""COMPUTED_VALUE"""),37174.0)</f>
        <v>37174</v>
      </c>
      <c r="H1050" s="7">
        <f>IFERROR(__xludf.DUMMYFUNCTION("""COMPUTED_VALUE"""),4.3694644E7)</f>
        <v>43694644</v>
      </c>
      <c r="I1050" s="7">
        <f>IFERROR(__xludf.DUMMYFUNCTION("""COMPUTED_VALUE"""),3.512075558E9)</f>
        <v>3512075558</v>
      </c>
      <c r="J1050" s="7" t="str">
        <f>IFERROR(__xludf.DUMMYFUNCTION("""COMPUTED_VALUE"""),"Voy al gym Manantial")</f>
        <v>Voy al gym Manantial</v>
      </c>
      <c r="K1050" s="7" t="str">
        <f>IFERROR(__xludf.DUMMYFUNCTION("""COMPUTED_VALUE"""),"Obra social")</f>
        <v>Obra social</v>
      </c>
      <c r="L1050" s="7"/>
      <c r="M1050" s="7" t="str">
        <f>IFERROR(__xludf.DUMMYFUNCTION("""COMPUTED_VALUE"""),"Si")</f>
        <v>Si</v>
      </c>
      <c r="N1050" s="7" t="str">
        <f>IFERROR(__xludf.DUMMYFUNCTION("""COMPUTED_VALUE"""),"Básquet")</f>
        <v>Básquet</v>
      </c>
      <c r="O1050" s="7" t="str">
        <f>IFERROR(__xludf.DUMMYFUNCTION("""COMPUTED_VALUE"""),"6 a 7 veces por semana")</f>
        <v>6 a 7 veces por semana</v>
      </c>
      <c r="P1050" s="7"/>
      <c r="Q1050" s="7" t="str">
        <f>IFERROR(__xludf.DUMMYFUNCTION("""COMPUTED_VALUE"""),"PREVENCIÓN")</f>
        <v>PREVENCIÓN</v>
      </c>
      <c r="R1050" s="7"/>
      <c r="S1050" s="7"/>
    </row>
    <row r="1051">
      <c r="C1051" s="19">
        <f>IFERROR(__xludf.DUMMYFUNCTION("""COMPUTED_VALUE"""),45833.585977106486)</f>
        <v>45833.58598</v>
      </c>
      <c r="D1051" s="7" t="str">
        <f>IFERROR(__xludf.DUMMYFUNCTION("""COMPUTED_VALUE"""),"Bruno")</f>
        <v>Bruno</v>
      </c>
      <c r="E1051" s="7" t="str">
        <f>IFERROR(__xludf.DUMMYFUNCTION("""COMPUTED_VALUE"""),"Gerardo ")</f>
        <v>Gerardo </v>
      </c>
      <c r="F1051" s="7" t="str">
        <f>IFERROR(__xludf.DUMMYFUNCTION("""COMPUTED_VALUE"""),"gera620@hotmail.com")</f>
        <v>gera620@hotmail.com</v>
      </c>
      <c r="G1051" s="20">
        <f>IFERROR(__xludf.DUMMYFUNCTION("""COMPUTED_VALUE"""),29402.0)</f>
        <v>29402</v>
      </c>
      <c r="H1051" s="7">
        <f>IFERROR(__xludf.DUMMYFUNCTION("""COMPUTED_VALUE"""),2.7869017E7)</f>
        <v>27869017</v>
      </c>
      <c r="I1051" s="7">
        <f>IFERROR(__xludf.DUMMYFUNCTION("""COMPUTED_VALUE"""),3.517071234E9)</f>
        <v>3517071234</v>
      </c>
      <c r="J1051" s="7" t="str">
        <f>IFERROR(__xludf.DUMMYFUNCTION("""COMPUTED_VALUE"""),"Instagram")</f>
        <v>Instagram</v>
      </c>
      <c r="K1051" s="7" t="str">
        <f>IFERROR(__xludf.DUMMYFUNCTION("""COMPUTED_VALUE"""),"Particular")</f>
        <v>Particular</v>
      </c>
      <c r="L1051" s="7"/>
      <c r="M1051" s="7" t="str">
        <f>IFERROR(__xludf.DUMMYFUNCTION("""COMPUTED_VALUE"""),"Si")</f>
        <v>Si</v>
      </c>
      <c r="N1051" s="7" t="str">
        <f>IFERROR(__xludf.DUMMYFUNCTION("""COMPUTED_VALUE"""),"Funcional ")</f>
        <v>Funcional </v>
      </c>
      <c r="O1051" s="7" t="str">
        <f>IFERROR(__xludf.DUMMYFUNCTION("""COMPUTED_VALUE"""),"1 a 2 veces por semana")</f>
        <v>1 a 2 veces por semana</v>
      </c>
      <c r="P1051" s="7"/>
      <c r="Q1051" s="7"/>
      <c r="R1051" s="7"/>
      <c r="S1051" s="7"/>
    </row>
    <row r="1052">
      <c r="C1052" s="19">
        <f>IFERROR(__xludf.DUMMYFUNCTION("""COMPUTED_VALUE"""),45833.68841803241)</f>
        <v>45833.68842</v>
      </c>
      <c r="D1052" s="7" t="str">
        <f>IFERROR(__xludf.DUMMYFUNCTION("""COMPUTED_VALUE"""),"Romero")</f>
        <v>Romero</v>
      </c>
      <c r="E1052" s="7" t="str">
        <f>IFERROR(__xludf.DUMMYFUNCTION("""COMPUTED_VALUE"""),"Emmanuel")</f>
        <v>Emmanuel</v>
      </c>
      <c r="F1052" s="7" t="str">
        <f>IFERROR(__xludf.DUMMYFUNCTION("""COMPUTED_VALUE"""),"ema_1311@hotmail.com")</f>
        <v>ema_1311@hotmail.com</v>
      </c>
      <c r="G1052" s="20">
        <f>IFERROR(__xludf.DUMMYFUNCTION("""COMPUTED_VALUE"""),33508.0)</f>
        <v>33508</v>
      </c>
      <c r="H1052" s="7">
        <f>IFERROR(__xludf.DUMMYFUNCTION("""COMPUTED_VALUE"""),3.6126517E7)</f>
        <v>36126517</v>
      </c>
      <c r="I1052" s="7">
        <f>IFERROR(__xludf.DUMMYFUNCTION("""COMPUTED_VALUE"""),3.517561771E9)</f>
        <v>3517561771</v>
      </c>
      <c r="J1052" s="7" t="str">
        <f>IFERROR(__xludf.DUMMYFUNCTION("""COMPUTED_VALUE"""),"Voy al gym Manantial")</f>
        <v>Voy al gym Manantial</v>
      </c>
      <c r="K1052" s="7" t="str">
        <f>IFERROR(__xludf.DUMMYFUNCTION("""COMPUTED_VALUE"""),"Obra social")</f>
        <v>Obra social</v>
      </c>
      <c r="L1052" s="7"/>
      <c r="M1052" s="7" t="str">
        <f>IFERROR(__xludf.DUMMYFUNCTION("""COMPUTED_VALUE"""),"Si")</f>
        <v>Si</v>
      </c>
      <c r="N1052" s="7" t="str">
        <f>IFERROR(__xludf.DUMMYFUNCTION("""COMPUTED_VALUE"""),"Gimnasio")</f>
        <v>Gimnasio</v>
      </c>
      <c r="O1052" s="7" t="str">
        <f>IFERROR(__xludf.DUMMYFUNCTION("""COMPUTED_VALUE"""),"3 a 5 veces por semana")</f>
        <v>3 a 5 veces por semana</v>
      </c>
      <c r="P1052" s="7"/>
      <c r="Q1052" s="7" t="str">
        <f>IFERROR(__xludf.DUMMYFUNCTION("""COMPUTED_VALUE"""),"Swiss medical ")</f>
        <v>Swiss medical </v>
      </c>
      <c r="R1052" s="7"/>
      <c r="S1052" s="7"/>
    </row>
    <row r="1053">
      <c r="C1053" s="19">
        <f>IFERROR(__xludf.DUMMYFUNCTION("""COMPUTED_VALUE"""),45834.734182025466)</f>
        <v>45834.73418</v>
      </c>
      <c r="D1053" s="7" t="str">
        <f>IFERROR(__xludf.DUMMYFUNCTION("""COMPUTED_VALUE"""),"Marquez Ochoa")</f>
        <v>Marquez Ochoa</v>
      </c>
      <c r="E1053" s="7" t="str">
        <f>IFERROR(__xludf.DUMMYFUNCTION("""COMPUTED_VALUE"""),"Maria Paz")</f>
        <v>Maria Paz</v>
      </c>
      <c r="F1053" s="7" t="str">
        <f>IFERROR(__xludf.DUMMYFUNCTION("""COMPUTED_VALUE"""),"ceciliaalejandraochoa@gmail.com")</f>
        <v>ceciliaalejandraochoa@gmail.com</v>
      </c>
      <c r="G1053" s="20">
        <f>IFERROR(__xludf.DUMMYFUNCTION("""COMPUTED_VALUE"""),40557.0)</f>
        <v>40557</v>
      </c>
      <c r="H1053" s="7">
        <f>IFERROR(__xludf.DUMMYFUNCTION("""COMPUTED_VALUE"""),5.0696438E7)</f>
        <v>50696438</v>
      </c>
      <c r="I1053" s="7">
        <f>IFERROR(__xludf.DUMMYFUNCTION("""COMPUTED_VALUE"""),3.516590333E9)</f>
        <v>3516590333</v>
      </c>
      <c r="J1053" s="7" t="str">
        <f>IFERROR(__xludf.DUMMYFUNCTION("""COMPUTED_VALUE"""),"Voy al gym Manantial")</f>
        <v>Voy al gym Manantial</v>
      </c>
      <c r="K1053" s="7" t="str">
        <f>IFERROR(__xludf.DUMMYFUNCTION("""COMPUTED_VALUE"""),"Obra social")</f>
        <v>Obra social</v>
      </c>
      <c r="L1053" s="7"/>
      <c r="M1053" s="7" t="str">
        <f>IFERROR(__xludf.DUMMYFUNCTION("""COMPUTED_VALUE"""),"Si")</f>
        <v>Si</v>
      </c>
      <c r="N1053" s="7" t="str">
        <f>IFERROR(__xludf.DUMMYFUNCTION("""COMPUTED_VALUE"""),"Hockey")</f>
        <v>Hockey</v>
      </c>
      <c r="O1053" s="7" t="str">
        <f>IFERROR(__xludf.DUMMYFUNCTION("""COMPUTED_VALUE"""),"3 a 5 veces por semana")</f>
        <v>3 a 5 veces por semana</v>
      </c>
      <c r="P1053" s="7"/>
      <c r="Q1053" s="7" t="str">
        <f>IFERROR(__xludf.DUMMYFUNCTION("""COMPUTED_VALUE"""),"APROSS")</f>
        <v>APROSS</v>
      </c>
      <c r="R1053" s="7"/>
      <c r="S1053" s="7"/>
    </row>
    <row r="1054">
      <c r="C1054" s="19">
        <f>IFERROR(__xludf.DUMMYFUNCTION("""COMPUTED_VALUE"""),45834.84735471065)</f>
        <v>45834.84735</v>
      </c>
      <c r="D1054" s="7" t="str">
        <f>IFERROR(__xludf.DUMMYFUNCTION("""COMPUTED_VALUE"""),"Argañaraz ")</f>
        <v>Argañaraz </v>
      </c>
      <c r="E1054" s="7" t="str">
        <f>IFERROR(__xludf.DUMMYFUNCTION("""COMPUTED_VALUE"""),"Benjamin")</f>
        <v>Benjamin</v>
      </c>
      <c r="F1054" s="7" t="str">
        <f>IFERROR(__xludf.DUMMYFUNCTION("""COMPUTED_VALUE"""),"ccllaauuddiioo1976@gmail.com")</f>
        <v>ccllaauuddiioo1976@gmail.com</v>
      </c>
      <c r="G1054" s="20">
        <f>IFERROR(__xludf.DUMMYFUNCTION("""COMPUTED_VALUE"""),38340.0)</f>
        <v>38340</v>
      </c>
      <c r="H1054" s="7">
        <f>IFERROR(__xludf.DUMMYFUNCTION("""COMPUTED_VALUE"""),4.5695835E7)</f>
        <v>45695835</v>
      </c>
      <c r="I1054" s="7">
        <f>IFERROR(__xludf.DUMMYFUNCTION("""COMPUTED_VALUE"""),3.513439427E9)</f>
        <v>3513439427</v>
      </c>
      <c r="J1054" s="7" t="str">
        <f>IFERROR(__xludf.DUMMYFUNCTION("""COMPUTED_VALUE"""),"Voy al gym sportclub ")</f>
        <v>Voy al gym sportclub </v>
      </c>
      <c r="K1054" s="7" t="str">
        <f>IFERROR(__xludf.DUMMYFUNCTION("""COMPUTED_VALUE"""),"Particular")</f>
        <v>Particular</v>
      </c>
      <c r="L1054" s="7"/>
      <c r="M1054" s="7" t="str">
        <f>IFERROR(__xludf.DUMMYFUNCTION("""COMPUTED_VALUE"""),"Si")</f>
        <v>Si</v>
      </c>
      <c r="N1054" s="7" t="str">
        <f>IFERROR(__xludf.DUMMYFUNCTION("""COMPUTED_VALUE"""),"Gimnasio")</f>
        <v>Gimnasio</v>
      </c>
      <c r="O1054" s="7" t="str">
        <f>IFERROR(__xludf.DUMMYFUNCTION("""COMPUTED_VALUE"""),"3 a 5 veces por semana")</f>
        <v>3 a 5 veces por semana</v>
      </c>
      <c r="P1054" s="7"/>
      <c r="Q1054" s="7"/>
      <c r="R1054" s="7"/>
      <c r="S1054" s="7"/>
    </row>
    <row r="1055">
      <c r="C1055" s="19">
        <f>IFERROR(__xludf.DUMMYFUNCTION("""COMPUTED_VALUE"""),45835.80665041666)</f>
        <v>45835.80665</v>
      </c>
      <c r="D1055" s="7" t="str">
        <f>IFERROR(__xludf.DUMMYFUNCTION("""COMPUTED_VALUE"""),"Argañaraz")</f>
        <v>Argañaraz</v>
      </c>
      <c r="E1055" s="7" t="str">
        <f>IFERROR(__xludf.DUMMYFUNCTION("""COMPUTED_VALUE"""),"Benjamín")</f>
        <v>Benjamín</v>
      </c>
      <c r="F1055" s="7" t="str">
        <f>IFERROR(__xludf.DUMMYFUNCTION("""COMPUTED_VALUE"""),"Ccllaauuddiioo1976@gmail.com")</f>
        <v>Ccllaauuddiioo1976@gmail.com</v>
      </c>
      <c r="G1055" s="20">
        <f>IFERROR(__xludf.DUMMYFUNCTION("""COMPUTED_VALUE"""),38340.0)</f>
        <v>38340</v>
      </c>
      <c r="H1055" s="7">
        <f>IFERROR(__xludf.DUMMYFUNCTION("""COMPUTED_VALUE"""),4.5695835E7)</f>
        <v>45695835</v>
      </c>
      <c r="I1055" s="7">
        <f>IFERROR(__xludf.DUMMYFUNCTION("""COMPUTED_VALUE"""),3.513439427E9)</f>
        <v>3513439427</v>
      </c>
      <c r="J1055" s="7" t="str">
        <f>IFERROR(__xludf.DUMMYFUNCTION("""COMPUTED_VALUE"""),"Google")</f>
        <v>Google</v>
      </c>
      <c r="K1055" s="7" t="str">
        <f>IFERROR(__xludf.DUMMYFUNCTION("""COMPUTED_VALUE"""),"Particular")</f>
        <v>Particular</v>
      </c>
      <c r="L1055" s="7"/>
      <c r="M1055" s="7" t="str">
        <f>IFERROR(__xludf.DUMMYFUNCTION("""COMPUTED_VALUE"""),"Si")</f>
        <v>Si</v>
      </c>
      <c r="N1055" s="7" t="str">
        <f>IFERROR(__xludf.DUMMYFUNCTION("""COMPUTED_VALUE"""),"Gimnasio")</f>
        <v>Gimnasio</v>
      </c>
      <c r="O1055" s="7" t="str">
        <f>IFERROR(__xludf.DUMMYFUNCTION("""COMPUTED_VALUE"""),"3 a 5 veces por semana")</f>
        <v>3 a 5 veces por semana</v>
      </c>
      <c r="P1055" s="7"/>
      <c r="Q1055" s="7"/>
      <c r="R1055" s="7"/>
      <c r="S1055" s="7"/>
    </row>
    <row r="1056">
      <c r="C1056" s="19">
        <f>IFERROR(__xludf.DUMMYFUNCTION("""COMPUTED_VALUE"""),45837.521860451394)</f>
        <v>45837.52186</v>
      </c>
      <c r="D1056" s="7" t="str">
        <f>IFERROR(__xludf.DUMMYFUNCTION("""COMPUTED_VALUE"""),"Tesan")</f>
        <v>Tesan</v>
      </c>
      <c r="E1056" s="7" t="str">
        <f>IFERROR(__xludf.DUMMYFUNCTION("""COMPUTED_VALUE"""),"Leonardo")</f>
        <v>Leonardo</v>
      </c>
      <c r="F1056" s="7" t="str">
        <f>IFERROR(__xludf.DUMMYFUNCTION("""COMPUTED_VALUE"""),"leonardojtesan@hotmail.com")</f>
        <v>leonardojtesan@hotmail.com</v>
      </c>
      <c r="G1056" s="20">
        <f>IFERROR(__xludf.DUMMYFUNCTION("""COMPUTED_VALUE"""),36183.0)</f>
        <v>36183</v>
      </c>
      <c r="H1056" s="7">
        <f>IFERROR(__xludf.DUMMYFUNCTION("""COMPUTED_VALUE"""),4.1736005E7)</f>
        <v>41736005</v>
      </c>
      <c r="I1056" s="7">
        <f>IFERROR(__xludf.DUMMYFUNCTION("""COMPUTED_VALUE"""),3.512106456E9)</f>
        <v>3512106456</v>
      </c>
      <c r="J1056" s="7" t="str">
        <f>IFERROR(__xludf.DUMMYFUNCTION("""COMPUTED_VALUE"""),"Recomendación")</f>
        <v>Recomendación</v>
      </c>
      <c r="K1056" s="7" t="str">
        <f>IFERROR(__xludf.DUMMYFUNCTION("""COMPUTED_VALUE"""),"Particular")</f>
        <v>Particular</v>
      </c>
      <c r="L1056" s="7"/>
      <c r="M1056" s="7" t="str">
        <f>IFERROR(__xludf.DUMMYFUNCTION("""COMPUTED_VALUE"""),"Si")</f>
        <v>Si</v>
      </c>
      <c r="N1056" s="7" t="str">
        <f>IFERROR(__xludf.DUMMYFUNCTION("""COMPUTED_VALUE"""),"Gimnasio")</f>
        <v>Gimnasio</v>
      </c>
      <c r="O1056" s="7" t="str">
        <f>IFERROR(__xludf.DUMMYFUNCTION("""COMPUTED_VALUE"""),"3 a 5 veces por semana")</f>
        <v>3 a 5 veces por semana</v>
      </c>
      <c r="P1056" s="7"/>
      <c r="Q1056" s="7"/>
      <c r="R1056" s="7"/>
      <c r="S1056" s="7"/>
    </row>
    <row r="1057">
      <c r="C1057" s="19">
        <f>IFERROR(__xludf.DUMMYFUNCTION("""COMPUTED_VALUE"""),45838.44533711806)</f>
        <v>45838.44534</v>
      </c>
      <c r="D1057" s="7" t="str">
        <f>IFERROR(__xludf.DUMMYFUNCTION("""COMPUTED_VALUE"""),"Cordoba ")</f>
        <v>Cordoba </v>
      </c>
      <c r="E1057" s="7" t="str">
        <f>IFERROR(__xludf.DUMMYFUNCTION("""COMPUTED_VALUE"""),"Edith Maria ")</f>
        <v>Edith Maria </v>
      </c>
      <c r="F1057" s="7" t="str">
        <f>IFERROR(__xludf.DUMMYFUNCTION("""COMPUTED_VALUE"""),"edithcordobacontadora@hotmail.com")</f>
        <v>edithcordobacontadora@hotmail.com</v>
      </c>
      <c r="G1057" s="20">
        <f>IFERROR(__xludf.DUMMYFUNCTION("""COMPUTED_VALUE"""),21537.0)</f>
        <v>21537</v>
      </c>
      <c r="H1057" s="7">
        <f>IFERROR(__xludf.DUMMYFUNCTION("""COMPUTED_VALUE"""),1.2994392E7)</f>
        <v>12994392</v>
      </c>
      <c r="I1057" s="7">
        <f>IFERROR(__xludf.DUMMYFUNCTION("""COMPUTED_VALUE"""),3.515379208E9)</f>
        <v>3515379208</v>
      </c>
      <c r="J1057" s="7" t="str">
        <f>IFERROR(__xludf.DUMMYFUNCTION("""COMPUTED_VALUE"""),"Google")</f>
        <v>Google</v>
      </c>
      <c r="K1057" s="7" t="str">
        <f>IFERROR(__xludf.DUMMYFUNCTION("""COMPUTED_VALUE"""),"Particular")</f>
        <v>Particular</v>
      </c>
      <c r="L1057" s="7"/>
      <c r="M1057" s="7" t="str">
        <f>IFERROR(__xludf.DUMMYFUNCTION("""COMPUTED_VALUE"""),"Si")</f>
        <v>Si</v>
      </c>
      <c r="N1057" s="7" t="str">
        <f>IFERROR(__xludf.DUMMYFUNCTION("""COMPUTED_VALUE"""),"Gimnasio")</f>
        <v>Gimnasio</v>
      </c>
      <c r="O1057" s="7" t="str">
        <f>IFERROR(__xludf.DUMMYFUNCTION("""COMPUTED_VALUE"""),"1 a 2 veces por semana")</f>
        <v>1 a 2 veces por semana</v>
      </c>
      <c r="P1057" s="7"/>
      <c r="Q1057" s="7"/>
      <c r="R1057" s="7"/>
      <c r="S1057" s="7"/>
    </row>
    <row r="1058">
      <c r="C1058" s="19">
        <f>IFERROR(__xludf.DUMMYFUNCTION("""COMPUTED_VALUE"""),45838.6370571875)</f>
        <v>45838.63706</v>
      </c>
      <c r="D1058" s="7" t="str">
        <f>IFERROR(__xludf.DUMMYFUNCTION("""COMPUTED_VALUE"""),"Ferrari")</f>
        <v>Ferrari</v>
      </c>
      <c r="E1058" s="7" t="str">
        <f>IFERROR(__xludf.DUMMYFUNCTION("""COMPUTED_VALUE"""),"Hector")</f>
        <v>Hector</v>
      </c>
      <c r="F1058" s="7"/>
      <c r="G1058" s="20">
        <f>IFERROR(__xludf.DUMMYFUNCTION("""COMPUTED_VALUE"""),18292.0)</f>
        <v>18292</v>
      </c>
      <c r="H1058" s="7">
        <f>IFERROR(__xludf.DUMMYFUNCTION("""COMPUTED_VALUE"""),8313363.0)</f>
        <v>8313363</v>
      </c>
      <c r="I1058" s="7">
        <f>IFERROR(__xludf.DUMMYFUNCTION("""COMPUTED_VALUE"""),3.515925145E9)</f>
        <v>3515925145</v>
      </c>
      <c r="J1058" s="7" t="str">
        <f>IFERROR(__xludf.DUMMYFUNCTION("""COMPUTED_VALUE"""),"Voy al gym Manantial")</f>
        <v>Voy al gym Manantial</v>
      </c>
      <c r="K1058" s="7" t="str">
        <f>IFERROR(__xludf.DUMMYFUNCTION("""COMPUTED_VALUE"""),"Particular")</f>
        <v>Particular</v>
      </c>
      <c r="L1058" s="7"/>
      <c r="M1058" s="7" t="str">
        <f>IFERROR(__xludf.DUMMYFUNCTION("""COMPUTED_VALUE"""),"No")</f>
        <v>No</v>
      </c>
      <c r="N1058" s="7"/>
      <c r="O1058" s="7"/>
      <c r="P1058" s="7"/>
      <c r="Q1058" s="7"/>
      <c r="R1058" s="7"/>
      <c r="S1058" s="7"/>
    </row>
    <row r="1059">
      <c r="C1059" s="19">
        <f>IFERROR(__xludf.DUMMYFUNCTION("""COMPUTED_VALUE"""),45838.66890284722)</f>
        <v>45838.6689</v>
      </c>
      <c r="D1059" s="7" t="str">
        <f>IFERROR(__xludf.DUMMYFUNCTION("""COMPUTED_VALUE"""),"Buschiazzo Perez ")</f>
        <v>Buschiazzo Perez </v>
      </c>
      <c r="E1059" s="7" t="str">
        <f>IFERROR(__xludf.DUMMYFUNCTION("""COMPUTED_VALUE"""),"Luana")</f>
        <v>Luana</v>
      </c>
      <c r="F1059" s="7" t="str">
        <f>IFERROR(__xludf.DUMMYFUNCTION("""COMPUTED_VALUE"""),"suenoseperez@hotmail.com.ar")</f>
        <v>suenoseperez@hotmail.com.ar</v>
      </c>
      <c r="G1059" s="20">
        <f>IFERROR(__xludf.DUMMYFUNCTION("""COMPUTED_VALUE"""),40560.0)</f>
        <v>40560</v>
      </c>
      <c r="H1059" s="7">
        <f>IFERROR(__xludf.DUMMYFUNCTION("""COMPUTED_VALUE"""),5.0628844E7)</f>
        <v>50628844</v>
      </c>
      <c r="I1059" s="7">
        <f>IFERROR(__xludf.DUMMYFUNCTION("""COMPUTED_VALUE"""),3.51647305E9)</f>
        <v>3516473050</v>
      </c>
      <c r="J1059" s="7" t="str">
        <f>IFERROR(__xludf.DUMMYFUNCTION("""COMPUTED_VALUE"""),"Cartilla Obra Social")</f>
        <v>Cartilla Obra Social</v>
      </c>
      <c r="K1059" s="7" t="str">
        <f>IFERROR(__xludf.DUMMYFUNCTION("""COMPUTED_VALUE"""),"Obra social")</f>
        <v>Obra social</v>
      </c>
      <c r="L1059" s="7"/>
      <c r="M1059" s="7" t="str">
        <f>IFERROR(__xludf.DUMMYFUNCTION("""COMPUTED_VALUE"""),"Si")</f>
        <v>Si</v>
      </c>
      <c r="N1059" s="7" t="str">
        <f>IFERROR(__xludf.DUMMYFUNCTION("""COMPUTED_VALUE"""),"Hockey y danza jazz")</f>
        <v>Hockey y danza jazz</v>
      </c>
      <c r="O1059" s="7" t="str">
        <f>IFERROR(__xludf.DUMMYFUNCTION("""COMPUTED_VALUE"""),"3 a 5 veces por semana")</f>
        <v>3 a 5 veces por semana</v>
      </c>
      <c r="P1059" s="7"/>
      <c r="Q1059" s="7" t="str">
        <f>IFERROR(__xludf.DUMMYFUNCTION("""COMPUTED_VALUE"""),"PREVENCIÓN")</f>
        <v>PREVENCIÓN</v>
      </c>
      <c r="R1059" s="7"/>
      <c r="S1059" s="7"/>
    </row>
    <row r="1060">
      <c r="C1060" s="19">
        <f>IFERROR(__xludf.DUMMYFUNCTION("""COMPUTED_VALUE"""),45838.67086728009)</f>
        <v>45838.67087</v>
      </c>
      <c r="D1060" s="7" t="str">
        <f>IFERROR(__xludf.DUMMYFUNCTION("""COMPUTED_VALUE"""),"Buschiazzo Perez")</f>
        <v>Buschiazzo Perez</v>
      </c>
      <c r="E1060" s="7" t="str">
        <f>IFERROR(__xludf.DUMMYFUNCTION("""COMPUTED_VALUE"""),"Luana")</f>
        <v>Luana</v>
      </c>
      <c r="F1060" s="7" t="str">
        <f>IFERROR(__xludf.DUMMYFUNCTION("""COMPUTED_VALUE"""),"suenoseperez@hotmail.com.ar")</f>
        <v>suenoseperez@hotmail.com.ar</v>
      </c>
      <c r="G1060" s="20">
        <f>IFERROR(__xludf.DUMMYFUNCTION("""COMPUTED_VALUE"""),40560.0)</f>
        <v>40560</v>
      </c>
      <c r="H1060" s="7">
        <f>IFERROR(__xludf.DUMMYFUNCTION("""COMPUTED_VALUE"""),5.0628843E7)</f>
        <v>50628843</v>
      </c>
      <c r="I1060" s="7">
        <f>IFERROR(__xludf.DUMMYFUNCTION("""COMPUTED_VALUE"""),3.51647305E9)</f>
        <v>3516473050</v>
      </c>
      <c r="J1060" s="7" t="str">
        <f>IFERROR(__xludf.DUMMYFUNCTION("""COMPUTED_VALUE"""),"Cartilla Obra Social")</f>
        <v>Cartilla Obra Social</v>
      </c>
      <c r="K1060" s="7" t="str">
        <f>IFERROR(__xludf.DUMMYFUNCTION("""COMPUTED_VALUE"""),"Obra social")</f>
        <v>Obra social</v>
      </c>
      <c r="L1060" s="7"/>
      <c r="M1060" s="7" t="str">
        <f>IFERROR(__xludf.DUMMYFUNCTION("""COMPUTED_VALUE"""),"Si")</f>
        <v>Si</v>
      </c>
      <c r="N1060" s="7" t="str">
        <f>IFERROR(__xludf.DUMMYFUNCTION("""COMPUTED_VALUE"""),"Hockey y danza Jazz")</f>
        <v>Hockey y danza Jazz</v>
      </c>
      <c r="O1060" s="7" t="str">
        <f>IFERROR(__xludf.DUMMYFUNCTION("""COMPUTED_VALUE"""),"3 a 5 veces por semana")</f>
        <v>3 a 5 veces por semana</v>
      </c>
      <c r="P1060" s="7"/>
      <c r="Q1060" s="7" t="str">
        <f>IFERROR(__xludf.DUMMYFUNCTION("""COMPUTED_VALUE"""),"PREVENCIÓN")</f>
        <v>PREVENCIÓN</v>
      </c>
      <c r="R1060" s="7"/>
      <c r="S1060" s="7"/>
    </row>
    <row r="1061">
      <c r="C1061" s="19">
        <f>IFERROR(__xludf.DUMMYFUNCTION("""COMPUTED_VALUE"""),45839.39768383102)</f>
        <v>45839.39768</v>
      </c>
      <c r="D1061" s="7" t="str">
        <f>IFERROR(__xludf.DUMMYFUNCTION("""COMPUTED_VALUE"""),"Paula ")</f>
        <v>Paula </v>
      </c>
      <c r="E1061" s="7" t="str">
        <f>IFERROR(__xludf.DUMMYFUNCTION("""COMPUTED_VALUE"""),"Balian ")</f>
        <v>Balian </v>
      </c>
      <c r="F1061" s="7" t="str">
        <f>IFERROR(__xludf.DUMMYFUNCTION("""COMPUTED_VALUE"""),"Paula_balian@hotmail.com")</f>
        <v>Paula_balian@hotmail.com</v>
      </c>
      <c r="G1061" s="20">
        <f>IFERROR(__xludf.DUMMYFUNCTION("""COMPUTED_VALUE"""),36682.0)</f>
        <v>36682</v>
      </c>
      <c r="H1061" s="7">
        <f>IFERROR(__xludf.DUMMYFUNCTION("""COMPUTED_VALUE"""),4.2476477E7)</f>
        <v>42476477</v>
      </c>
      <c r="I1061" s="7">
        <f>IFERROR(__xludf.DUMMYFUNCTION("""COMPUTED_VALUE"""),3.513865653E9)</f>
        <v>3513865653</v>
      </c>
      <c r="J1061" s="7" t="str">
        <f>IFERROR(__xludf.DUMMYFUNCTION("""COMPUTED_VALUE"""),"Voy al gym Manantial")</f>
        <v>Voy al gym Manantial</v>
      </c>
      <c r="K1061" s="7" t="str">
        <f>IFERROR(__xludf.DUMMYFUNCTION("""COMPUTED_VALUE"""),"Obra social")</f>
        <v>Obra social</v>
      </c>
      <c r="L1061" s="7"/>
      <c r="M1061" s="7" t="str">
        <f>IFERROR(__xludf.DUMMYFUNCTION("""COMPUTED_VALUE"""),"Si")</f>
        <v>Si</v>
      </c>
      <c r="N1061" s="7" t="str">
        <f>IFERROR(__xludf.DUMMYFUNCTION("""COMPUTED_VALUE"""),"Gimnasio")</f>
        <v>Gimnasio</v>
      </c>
      <c r="O1061" s="7" t="str">
        <f>IFERROR(__xludf.DUMMYFUNCTION("""COMPUTED_VALUE"""),"3 a 5 veces por semana")</f>
        <v>3 a 5 veces por semana</v>
      </c>
      <c r="P1061" s="7"/>
      <c r="Q1061" s="7" t="str">
        <f>IFERROR(__xludf.DUMMYFUNCTION("""COMPUTED_VALUE"""),"Reintegro osde ")</f>
        <v>Reintegro osde </v>
      </c>
      <c r="R1061" s="7"/>
      <c r="S1061" s="7"/>
    </row>
    <row r="1062">
      <c r="C1062" s="19">
        <f>IFERROR(__xludf.DUMMYFUNCTION("""COMPUTED_VALUE"""),45840.74174681713)</f>
        <v>45840.74175</v>
      </c>
      <c r="D1062" s="7" t="str">
        <f>IFERROR(__xludf.DUMMYFUNCTION("""COMPUTED_VALUE"""),"Cordoba")</f>
        <v>Cordoba</v>
      </c>
      <c r="E1062" s="7" t="str">
        <f>IFERROR(__xludf.DUMMYFUNCTION("""COMPUTED_VALUE"""),"Edith Maria Laura")</f>
        <v>Edith Maria Laura</v>
      </c>
      <c r="F1062" s="7"/>
      <c r="G1062" s="20">
        <f>IFERROR(__xludf.DUMMYFUNCTION("""COMPUTED_VALUE"""),21537.0)</f>
        <v>21537</v>
      </c>
      <c r="H1062" s="7">
        <f>IFERROR(__xludf.DUMMYFUNCTION("""COMPUTED_VALUE"""),1.2994393E7)</f>
        <v>12994393</v>
      </c>
      <c r="I1062" s="7">
        <f>IFERROR(__xludf.DUMMYFUNCTION("""COMPUTED_VALUE"""),3.515379208E9)</f>
        <v>3515379208</v>
      </c>
      <c r="J1062" s="7" t="str">
        <f>IFERROR(__xludf.DUMMYFUNCTION("""COMPUTED_VALUE"""),"Google")</f>
        <v>Google</v>
      </c>
      <c r="K1062" s="7" t="str">
        <f>IFERROR(__xludf.DUMMYFUNCTION("""COMPUTED_VALUE"""),"Particular")</f>
        <v>Particular</v>
      </c>
      <c r="L1062" s="7"/>
      <c r="M1062" s="7" t="str">
        <f>IFERROR(__xludf.DUMMYFUNCTION("""COMPUTED_VALUE"""),"Si")</f>
        <v>Si</v>
      </c>
      <c r="N1062" s="7" t="str">
        <f>IFERROR(__xludf.DUMMYFUNCTION("""COMPUTED_VALUE"""),"Bicicleta Fija")</f>
        <v>Bicicleta Fija</v>
      </c>
      <c r="O1062" s="7" t="str">
        <f>IFERROR(__xludf.DUMMYFUNCTION("""COMPUTED_VALUE"""),"1 a 2 veces por semana")</f>
        <v>1 a 2 veces por semana</v>
      </c>
      <c r="P1062" s="7"/>
      <c r="Q1062" s="7"/>
      <c r="R1062" s="7"/>
      <c r="S1062" s="7"/>
    </row>
    <row r="1063">
      <c r="C1063" s="19">
        <f>IFERROR(__xludf.DUMMYFUNCTION("""COMPUTED_VALUE"""),45840.75087172454)</f>
        <v>45840.75087</v>
      </c>
      <c r="D1063" s="7" t="str">
        <f>IFERROR(__xludf.DUMMYFUNCTION("""COMPUTED_VALUE"""),"Pardo")</f>
        <v>Pardo</v>
      </c>
      <c r="E1063" s="7" t="str">
        <f>IFERROR(__xludf.DUMMYFUNCTION("""COMPUTED_VALUE"""),"Elias Agustin")</f>
        <v>Elias Agustin</v>
      </c>
      <c r="F1063" s="7" t="str">
        <f>IFERROR(__xludf.DUMMYFUNCTION("""COMPUTED_VALUE"""),"aguspardo@gmail.com")</f>
        <v>aguspardo@gmail.com</v>
      </c>
      <c r="G1063" s="20">
        <f>IFERROR(__xludf.DUMMYFUNCTION("""COMPUTED_VALUE"""),34670.0)</f>
        <v>34670</v>
      </c>
      <c r="H1063" s="7">
        <f>IFERROR(__xludf.DUMMYFUNCTION("""COMPUTED_VALUE"""),3.864451E7)</f>
        <v>38644510</v>
      </c>
      <c r="I1063" s="7">
        <f>IFERROR(__xludf.DUMMYFUNCTION("""COMPUTED_VALUE"""),3.512103737E9)</f>
        <v>3512103737</v>
      </c>
      <c r="J1063" s="7" t="str">
        <f>IFERROR(__xludf.DUMMYFUNCTION("""COMPUTED_VALUE"""),"Recomendación")</f>
        <v>Recomendación</v>
      </c>
      <c r="K1063" s="7" t="str">
        <f>IFERROR(__xludf.DUMMYFUNCTION("""COMPUTED_VALUE"""),"Particular")</f>
        <v>Particular</v>
      </c>
      <c r="L1063" s="7"/>
      <c r="M1063" s="7" t="str">
        <f>IFERROR(__xludf.DUMMYFUNCTION("""COMPUTED_VALUE"""),"Si")</f>
        <v>Si</v>
      </c>
      <c r="N1063" s="7" t="str">
        <f>IFERROR(__xludf.DUMMYFUNCTION("""COMPUTED_VALUE"""),"Fútbol")</f>
        <v>Fútbol</v>
      </c>
      <c r="O1063" s="7" t="str">
        <f>IFERROR(__xludf.DUMMYFUNCTION("""COMPUTED_VALUE"""),"3 a 5 veces por semana")</f>
        <v>3 a 5 veces por semana</v>
      </c>
      <c r="P1063" s="7"/>
      <c r="Q1063" s="7"/>
      <c r="R1063" s="7"/>
      <c r="S1063" s="7"/>
    </row>
    <row r="1064">
      <c r="C1064" s="19">
        <f>IFERROR(__xludf.DUMMYFUNCTION("""COMPUTED_VALUE"""),45841.65581571759)</f>
        <v>45841.65582</v>
      </c>
      <c r="D1064" s="7" t="str">
        <f>IFERROR(__xludf.DUMMYFUNCTION("""COMPUTED_VALUE"""),"Delgado")</f>
        <v>Delgado</v>
      </c>
      <c r="E1064" s="7" t="str">
        <f>IFERROR(__xludf.DUMMYFUNCTION("""COMPUTED_VALUE"""),"Graciela ")</f>
        <v>Graciela </v>
      </c>
      <c r="F1064" s="7" t="str">
        <f>IFERROR(__xludf.DUMMYFUNCTION("""COMPUTED_VALUE"""),"Gracielatdelgado@gmail.com")</f>
        <v>Gracielatdelgado@gmail.com</v>
      </c>
      <c r="G1064" s="20">
        <f>IFERROR(__xludf.DUMMYFUNCTION("""COMPUTED_VALUE"""),17443.0)</f>
        <v>17443</v>
      </c>
      <c r="H1064" s="7">
        <f>IFERROR(__xludf.DUMMYFUNCTION("""COMPUTED_VALUE"""),5636832.0)</f>
        <v>5636832</v>
      </c>
      <c r="I1064" s="7">
        <f>IFERROR(__xludf.DUMMYFUNCTION("""COMPUTED_VALUE"""),3.518684692E9)</f>
        <v>3518684692</v>
      </c>
      <c r="J1064" s="7" t="str">
        <f>IFERROR(__xludf.DUMMYFUNCTION("""COMPUTED_VALUE"""),"Google")</f>
        <v>Google</v>
      </c>
      <c r="K1064" s="7" t="str">
        <f>IFERROR(__xludf.DUMMYFUNCTION("""COMPUTED_VALUE"""),"Particular")</f>
        <v>Particular</v>
      </c>
      <c r="L1064" s="7"/>
      <c r="M1064" s="7" t="str">
        <f>IFERROR(__xludf.DUMMYFUNCTION("""COMPUTED_VALUE"""),"No")</f>
        <v>No</v>
      </c>
      <c r="N1064" s="7"/>
      <c r="O1064" s="7"/>
      <c r="P1064" s="7"/>
      <c r="Q1064" s="7"/>
      <c r="R1064" s="7"/>
      <c r="S1064" s="7"/>
    </row>
    <row r="1065">
      <c r="C1065" s="19">
        <f>IFERROR(__xludf.DUMMYFUNCTION("""COMPUTED_VALUE"""),45841.69984903935)</f>
        <v>45841.69985</v>
      </c>
      <c r="D1065" s="7" t="str">
        <f>IFERROR(__xludf.DUMMYFUNCTION("""COMPUTED_VALUE"""),"Batalla")</f>
        <v>Batalla</v>
      </c>
      <c r="E1065" s="7" t="str">
        <f>IFERROR(__xludf.DUMMYFUNCTION("""COMPUTED_VALUE"""),"Rosa Ramona")</f>
        <v>Rosa Ramona</v>
      </c>
      <c r="F1065" s="7"/>
      <c r="G1065" s="20">
        <f>IFERROR(__xludf.DUMMYFUNCTION("""COMPUTED_VALUE"""),20693.0)</f>
        <v>20693</v>
      </c>
      <c r="H1065" s="7">
        <f>IFERROR(__xludf.DUMMYFUNCTION("""COMPUTED_VALUE"""),1.2653896E7)</f>
        <v>12653896</v>
      </c>
      <c r="I1065" s="7">
        <f>IFERROR(__xludf.DUMMYFUNCTION("""COMPUTED_VALUE"""),3.517055178E9)</f>
        <v>3517055178</v>
      </c>
      <c r="J1065" s="7" t="str">
        <f>IFERROR(__xludf.DUMMYFUNCTION("""COMPUTED_VALUE"""),"Recomendación")</f>
        <v>Recomendación</v>
      </c>
      <c r="K1065" s="7" t="str">
        <f>IFERROR(__xludf.DUMMYFUNCTION("""COMPUTED_VALUE"""),"Particular")</f>
        <v>Particular</v>
      </c>
      <c r="L1065" s="7"/>
      <c r="M1065" s="7" t="str">
        <f>IFERROR(__xludf.DUMMYFUNCTION("""COMPUTED_VALUE"""),"No")</f>
        <v>No</v>
      </c>
      <c r="N1065" s="7"/>
      <c r="O1065" s="7"/>
      <c r="P1065" s="7"/>
      <c r="Q1065" s="7"/>
      <c r="R1065" s="7"/>
      <c r="S1065" s="7"/>
    </row>
    <row r="1066">
      <c r="C1066" s="19">
        <f>IFERROR(__xludf.DUMMYFUNCTION("""COMPUTED_VALUE"""),45842.472472511574)</f>
        <v>45842.47247</v>
      </c>
      <c r="D1066" s="7" t="str">
        <f>IFERROR(__xludf.DUMMYFUNCTION("""COMPUTED_VALUE"""),"Míguez")</f>
        <v>Míguez</v>
      </c>
      <c r="E1066" s="7" t="str">
        <f>IFERROR(__xludf.DUMMYFUNCTION("""COMPUTED_VALUE"""),"Nora Élida")</f>
        <v>Nora Élida</v>
      </c>
      <c r="F1066" s="7" t="str">
        <f>IFERROR(__xludf.DUMMYFUNCTION("""COMPUTED_VALUE"""),"migueznora@gmail.com")</f>
        <v>migueznora@gmail.com</v>
      </c>
      <c r="G1066" s="20">
        <f>IFERROR(__xludf.DUMMYFUNCTION("""COMPUTED_VALUE"""),22300.0)</f>
        <v>22300</v>
      </c>
      <c r="H1066" s="7">
        <f>IFERROR(__xludf.DUMMYFUNCTION("""COMPUTED_VALUE"""),1.4537887E7)</f>
        <v>14537887</v>
      </c>
      <c r="I1066" s="7">
        <f>IFERROR(__xludf.DUMMYFUNCTION("""COMPUTED_VALUE"""),3.517645107E9)</f>
        <v>3517645107</v>
      </c>
      <c r="J1066" s="7" t="str">
        <f>IFERROR(__xludf.DUMMYFUNCTION("""COMPUTED_VALUE"""),"Recomendación")</f>
        <v>Recomendación</v>
      </c>
      <c r="K1066" s="7" t="str">
        <f>IFERROR(__xludf.DUMMYFUNCTION("""COMPUTED_VALUE"""),"Obra social")</f>
        <v>Obra social</v>
      </c>
      <c r="L1066" s="7"/>
      <c r="M1066" s="7" t="str">
        <f>IFERROR(__xludf.DUMMYFUNCTION("""COMPUTED_VALUE"""),"Si")</f>
        <v>Si</v>
      </c>
      <c r="N1066" s="7" t="str">
        <f>IFERROR(__xludf.DUMMYFUNCTION("""COMPUTED_VALUE"""),"Gimnasio")</f>
        <v>Gimnasio</v>
      </c>
      <c r="O1066" s="7" t="str">
        <f>IFERROR(__xludf.DUMMYFUNCTION("""COMPUTED_VALUE"""),"1 a 2 veces por semana")</f>
        <v>1 a 2 veces por semana</v>
      </c>
      <c r="P1066" s="7"/>
      <c r="Q1066" s="7" t="str">
        <f>IFERROR(__xludf.DUMMYFUNCTION("""COMPUTED_VALUE"""),"APROSS")</f>
        <v>APROSS</v>
      </c>
      <c r="R1066" s="7"/>
      <c r="S1066" s="7"/>
    </row>
    <row r="1067">
      <c r="C1067" s="19">
        <f>IFERROR(__xludf.DUMMYFUNCTION("""COMPUTED_VALUE"""),45842.749896168985)</f>
        <v>45842.7499</v>
      </c>
      <c r="D1067" s="7" t="str">
        <f>IFERROR(__xludf.DUMMYFUNCTION("""COMPUTED_VALUE"""),"Walker")</f>
        <v>Walker</v>
      </c>
      <c r="E1067" s="7" t="str">
        <f>IFERROR(__xludf.DUMMYFUNCTION("""COMPUTED_VALUE"""),"Raul")</f>
        <v>Raul</v>
      </c>
      <c r="F1067" s="7" t="str">
        <f>IFERROR(__xludf.DUMMYFUNCTION("""COMPUTED_VALUE"""),"walker_raul@hotmail.com")</f>
        <v>walker_raul@hotmail.com</v>
      </c>
      <c r="G1067" s="20">
        <f>IFERROR(__xludf.DUMMYFUNCTION("""COMPUTED_VALUE"""),22253.0)</f>
        <v>22253</v>
      </c>
      <c r="H1067" s="7">
        <f>IFERROR(__xludf.DUMMYFUNCTION("""COMPUTED_VALUE"""),1.4022167E7)</f>
        <v>14022167</v>
      </c>
      <c r="I1067" s="7">
        <f>IFERROR(__xludf.DUMMYFUNCTION("""COMPUTED_VALUE"""),3.51680956E9)</f>
        <v>3516809560</v>
      </c>
      <c r="J1067" s="7" t="str">
        <f>IFERROR(__xludf.DUMMYFUNCTION("""COMPUTED_VALUE"""),"Google")</f>
        <v>Google</v>
      </c>
      <c r="K1067" s="7" t="str">
        <f>IFERROR(__xludf.DUMMYFUNCTION("""COMPUTED_VALUE"""),"Particular")</f>
        <v>Particular</v>
      </c>
      <c r="L1067" s="7"/>
      <c r="M1067" s="7" t="str">
        <f>IFERROR(__xludf.DUMMYFUNCTION("""COMPUTED_VALUE"""),"No")</f>
        <v>No</v>
      </c>
      <c r="N1067" s="7"/>
      <c r="O1067" s="7"/>
      <c r="P1067" s="7"/>
      <c r="Q1067" s="7"/>
      <c r="R1067" s="7"/>
      <c r="S1067" s="7"/>
    </row>
    <row r="1068">
      <c r="C1068" s="19">
        <f>IFERROR(__xludf.DUMMYFUNCTION("""COMPUTED_VALUE"""),45842.94597577547)</f>
        <v>45842.94598</v>
      </c>
      <c r="D1068" s="7" t="str">
        <f>IFERROR(__xludf.DUMMYFUNCTION("""COMPUTED_VALUE"""),"Pelliza ")</f>
        <v>Pelliza </v>
      </c>
      <c r="E1068" s="7" t="str">
        <f>IFERROR(__xludf.DUMMYFUNCTION("""COMPUTED_VALUE"""),"Romina Paola ")</f>
        <v>Romina Paola </v>
      </c>
      <c r="F1068" s="7" t="str">
        <f>IFERROR(__xludf.DUMMYFUNCTION("""COMPUTED_VALUE"""),"azulpiaciro@gmail.com")</f>
        <v>azulpiaciro@gmail.com</v>
      </c>
      <c r="G1068" s="20">
        <f>IFERROR(__xludf.DUMMYFUNCTION("""COMPUTED_VALUE"""),46019.0)</f>
        <v>46019</v>
      </c>
      <c r="H1068" s="7">
        <f>IFERROR(__xludf.DUMMYFUNCTION("""COMPUTED_VALUE"""),3.1220148E7)</f>
        <v>31220148</v>
      </c>
      <c r="I1068" s="7">
        <f>IFERROR(__xludf.DUMMYFUNCTION("""COMPUTED_VALUE"""),3.518061792E9)</f>
        <v>3518061792</v>
      </c>
      <c r="J1068" s="7" t="str">
        <f>IFERROR(__xludf.DUMMYFUNCTION("""COMPUTED_VALUE"""),"Google")</f>
        <v>Google</v>
      </c>
      <c r="K1068" s="7" t="str">
        <f>IFERROR(__xludf.DUMMYFUNCTION("""COMPUTED_VALUE"""),"Particular")</f>
        <v>Particular</v>
      </c>
      <c r="L1068" s="7"/>
      <c r="M1068" s="7" t="str">
        <f>IFERROR(__xludf.DUMMYFUNCTION("""COMPUTED_VALUE"""),"No")</f>
        <v>No</v>
      </c>
      <c r="N1068" s="7"/>
      <c r="O1068" s="7"/>
      <c r="P1068" s="7"/>
      <c r="Q1068" s="7"/>
      <c r="R1068" s="7"/>
      <c r="S1068" s="7"/>
    </row>
    <row r="1069">
      <c r="C1069" s="19">
        <f>IFERROR(__xludf.DUMMYFUNCTION("""COMPUTED_VALUE"""),45845.46785418982)</f>
        <v>45845.46785</v>
      </c>
      <c r="D1069" s="7" t="str">
        <f>IFERROR(__xludf.DUMMYFUNCTION("""COMPUTED_VALUE"""),"LOPEZ")</f>
        <v>LOPEZ</v>
      </c>
      <c r="E1069" s="7" t="str">
        <f>IFERROR(__xludf.DUMMYFUNCTION("""COMPUTED_VALUE"""),"Facundo")</f>
        <v>Facundo</v>
      </c>
      <c r="F1069" s="7" t="str">
        <f>IFERROR(__xludf.DUMMYFUNCTION("""COMPUTED_VALUE"""),"lsegundo419@gmail.com")</f>
        <v>lsegundo419@gmail.com</v>
      </c>
      <c r="G1069" s="20">
        <f>IFERROR(__xludf.DUMMYFUNCTION("""COMPUTED_VALUE"""),33072.0)</f>
        <v>33072</v>
      </c>
      <c r="H1069" s="7">
        <f>IFERROR(__xludf.DUMMYFUNCTION("""COMPUTED_VALUE"""),3.5260241E7)</f>
        <v>35260241</v>
      </c>
      <c r="I1069" s="7">
        <f>IFERROR(__xludf.DUMMYFUNCTION("""COMPUTED_VALUE"""),3.543604496E9)</f>
        <v>3543604496</v>
      </c>
      <c r="J1069" s="7" t="str">
        <f>IFERROR(__xludf.DUMMYFUNCTION("""COMPUTED_VALUE"""),"Recomendación")</f>
        <v>Recomendación</v>
      </c>
      <c r="K1069" s="7" t="str">
        <f>IFERROR(__xludf.DUMMYFUNCTION("""COMPUTED_VALUE"""),"Particular")</f>
        <v>Particular</v>
      </c>
      <c r="L1069" s="7"/>
      <c r="M1069" s="7" t="str">
        <f>IFERROR(__xludf.DUMMYFUNCTION("""COMPUTED_VALUE"""),"Si")</f>
        <v>Si</v>
      </c>
      <c r="N1069" s="7" t="str">
        <f>IFERROR(__xludf.DUMMYFUNCTION("""COMPUTED_VALUE"""),"Fútbol")</f>
        <v>Fútbol</v>
      </c>
      <c r="O1069" s="7" t="str">
        <f>IFERROR(__xludf.DUMMYFUNCTION("""COMPUTED_VALUE"""),"3 a 5 veces por semana")</f>
        <v>3 a 5 veces por semana</v>
      </c>
      <c r="P1069" s="7"/>
      <c r="Q1069" s="7"/>
      <c r="R1069" s="7"/>
      <c r="S1069" s="7"/>
    </row>
    <row r="1070">
      <c r="C1070" s="19">
        <f>IFERROR(__xludf.DUMMYFUNCTION("""COMPUTED_VALUE"""),45845.73539833333)</f>
        <v>45845.7354</v>
      </c>
      <c r="D1070" s="7" t="str">
        <f>IFERROR(__xludf.DUMMYFUNCTION("""COMPUTED_VALUE"""),"Tapia")</f>
        <v>Tapia</v>
      </c>
      <c r="E1070" s="7" t="str">
        <f>IFERROR(__xludf.DUMMYFUNCTION("""COMPUTED_VALUE"""),"Martin")</f>
        <v>Martin</v>
      </c>
      <c r="F1070" s="7" t="str">
        <f>IFERROR(__xludf.DUMMYFUNCTION("""COMPUTED_VALUE"""),"makwiecien@gmail.com")</f>
        <v>makwiecien@gmail.com</v>
      </c>
      <c r="G1070" s="20">
        <f>IFERROR(__xludf.DUMMYFUNCTION("""COMPUTED_VALUE"""),29669.0)</f>
        <v>29669</v>
      </c>
      <c r="H1070" s="7">
        <f>IFERROR(__xludf.DUMMYFUNCTION("""COMPUTED_VALUE"""),2.8654815E7)</f>
        <v>28654815</v>
      </c>
      <c r="I1070" s="7">
        <f>IFERROR(__xludf.DUMMYFUNCTION("""COMPUTED_VALUE"""),3.512331985E9)</f>
        <v>3512331985</v>
      </c>
      <c r="J1070" s="7" t="str">
        <f>IFERROR(__xludf.DUMMYFUNCTION("""COMPUTED_VALUE"""),"Recomendación")</f>
        <v>Recomendación</v>
      </c>
      <c r="K1070" s="7" t="str">
        <f>IFERROR(__xludf.DUMMYFUNCTION("""COMPUTED_VALUE"""),"Obra social")</f>
        <v>Obra social</v>
      </c>
      <c r="L1070" s="7"/>
      <c r="M1070" s="7" t="str">
        <f>IFERROR(__xludf.DUMMYFUNCTION("""COMPUTED_VALUE"""),"No")</f>
        <v>No</v>
      </c>
      <c r="N1070" s="7"/>
      <c r="O1070" s="7"/>
      <c r="P1070" s="7"/>
      <c r="Q1070" s="7" t="str">
        <f>IFERROR(__xludf.DUMMYFUNCTION("""COMPUTED_VALUE"""),"DASPU")</f>
        <v>DASPU</v>
      </c>
      <c r="R1070" s="7"/>
      <c r="S1070" s="7"/>
    </row>
    <row r="1071">
      <c r="C1071" s="19">
        <f>IFERROR(__xludf.DUMMYFUNCTION("""COMPUTED_VALUE"""),45845.74468137731)</f>
        <v>45845.74468</v>
      </c>
      <c r="D1071" s="7" t="str">
        <f>IFERROR(__xludf.DUMMYFUNCTION("""COMPUTED_VALUE"""),"Lauricella ")</f>
        <v>Lauricella </v>
      </c>
      <c r="E1071" s="7" t="str">
        <f>IFERROR(__xludf.DUMMYFUNCTION("""COMPUTED_VALUE"""),"Nahuel")</f>
        <v>Nahuel</v>
      </c>
      <c r="F1071" s="7" t="str">
        <f>IFERROR(__xludf.DUMMYFUNCTION("""COMPUTED_VALUE"""),"soynahuel95@gmail.com")</f>
        <v>soynahuel95@gmail.com</v>
      </c>
      <c r="G1071" s="20">
        <f>IFERROR(__xludf.DUMMYFUNCTION("""COMPUTED_VALUE"""),35037.0)</f>
        <v>35037</v>
      </c>
      <c r="H1071" s="7">
        <f>IFERROR(__xludf.DUMMYFUNCTION("""COMPUTED_VALUE"""),3.9421781E7)</f>
        <v>39421781</v>
      </c>
      <c r="I1071" s="7">
        <f>IFERROR(__xludf.DUMMYFUNCTION("""COMPUTED_VALUE"""),3.518089176E9)</f>
        <v>3518089176</v>
      </c>
      <c r="J1071" s="7" t="str">
        <f>IFERROR(__xludf.DUMMYFUNCTION("""COMPUTED_VALUE"""),"Yo busqué por google")</f>
        <v>Yo busqué por google</v>
      </c>
      <c r="K1071" s="7" t="str">
        <f>IFERROR(__xludf.DUMMYFUNCTION("""COMPUTED_VALUE"""),"Particular")</f>
        <v>Particular</v>
      </c>
      <c r="L1071" s="7"/>
      <c r="M1071" s="7" t="str">
        <f>IFERROR(__xludf.DUMMYFUNCTION("""COMPUTED_VALUE"""),"Si")</f>
        <v>Si</v>
      </c>
      <c r="N1071" s="7" t="str">
        <f>IFERROR(__xludf.DUMMYFUNCTION("""COMPUTED_VALUE"""),"Fútbol")</f>
        <v>Fútbol</v>
      </c>
      <c r="O1071" s="7" t="str">
        <f>IFERROR(__xludf.DUMMYFUNCTION("""COMPUTED_VALUE"""),"1 a 2 veces por semana")</f>
        <v>1 a 2 veces por semana</v>
      </c>
      <c r="P1071" s="7"/>
      <c r="Q1071" s="7"/>
      <c r="R1071" s="7"/>
      <c r="S1071" s="7"/>
    </row>
    <row r="1072">
      <c r="C1072" s="19">
        <f>IFERROR(__xludf.DUMMYFUNCTION("""COMPUTED_VALUE"""),45845.824670208334)</f>
        <v>45845.82467</v>
      </c>
      <c r="D1072" s="7" t="str">
        <f>IFERROR(__xludf.DUMMYFUNCTION("""COMPUTED_VALUE"""),"CHEJOSKI")</f>
        <v>CHEJOSKI</v>
      </c>
      <c r="E1072" s="7" t="str">
        <f>IFERROR(__xludf.DUMMYFUNCTION("""COMPUTED_VALUE"""),"Marcos")</f>
        <v>Marcos</v>
      </c>
      <c r="F1072" s="7" t="str">
        <f>IFERROR(__xludf.DUMMYFUNCTION("""COMPUTED_VALUE"""),"marcoschejoski99@gmail.com")</f>
        <v>marcoschejoski99@gmail.com</v>
      </c>
      <c r="G1072" s="20">
        <f>IFERROR(__xludf.DUMMYFUNCTION("""COMPUTED_VALUE"""),36330.0)</f>
        <v>36330</v>
      </c>
      <c r="H1072" s="7">
        <f>IFERROR(__xludf.DUMMYFUNCTION("""COMPUTED_VALUE"""),4.1963258E7)</f>
        <v>41963258</v>
      </c>
      <c r="I1072" s="7">
        <f>IFERROR(__xludf.DUMMYFUNCTION("""COMPUTED_VALUE"""),3.512955749E9)</f>
        <v>3512955749</v>
      </c>
      <c r="J1072" s="7" t="str">
        <f>IFERROR(__xludf.DUMMYFUNCTION("""COMPUTED_VALUE"""),"Voy al gym Manantial")</f>
        <v>Voy al gym Manantial</v>
      </c>
      <c r="K1072" s="7" t="str">
        <f>IFERROR(__xludf.DUMMYFUNCTION("""COMPUTED_VALUE"""),"Obra social")</f>
        <v>Obra social</v>
      </c>
      <c r="L1072" s="7"/>
      <c r="M1072" s="7" t="str">
        <f>IFERROR(__xludf.DUMMYFUNCTION("""COMPUTED_VALUE"""),"Si")</f>
        <v>Si</v>
      </c>
      <c r="N1072" s="7" t="str">
        <f>IFERROR(__xludf.DUMMYFUNCTION("""COMPUTED_VALUE"""),"Gimnasio + Futbol")</f>
        <v>Gimnasio + Futbol</v>
      </c>
      <c r="O1072" s="7" t="str">
        <f>IFERROR(__xludf.DUMMYFUNCTION("""COMPUTED_VALUE"""),"3 a 5 veces por semana")</f>
        <v>3 a 5 veces por semana</v>
      </c>
      <c r="P1072" s="7"/>
      <c r="Q1072" s="7" t="str">
        <f>IFERROR(__xludf.DUMMYFUNCTION("""COMPUTED_VALUE"""),"PREVENCIÓN")</f>
        <v>PREVENCIÓN</v>
      </c>
      <c r="R1072" s="7"/>
      <c r="S1072" s="7"/>
    </row>
    <row r="1073">
      <c r="C1073" s="19">
        <f>IFERROR(__xludf.DUMMYFUNCTION("""COMPUTED_VALUE"""),45846.45564738426)</f>
        <v>45846.45565</v>
      </c>
      <c r="D1073" s="7" t="str">
        <f>IFERROR(__xludf.DUMMYFUNCTION("""COMPUTED_VALUE"""),"Richard")</f>
        <v>Richard</v>
      </c>
      <c r="E1073" s="7" t="str">
        <f>IFERROR(__xludf.DUMMYFUNCTION("""COMPUTED_VALUE"""),"Franco")</f>
        <v>Franco</v>
      </c>
      <c r="F1073" s="7" t="str">
        <f>IFERROR(__xludf.DUMMYFUNCTION("""COMPUTED_VALUE"""),"francorichardtt@gmail.com")</f>
        <v>francorichardtt@gmail.com</v>
      </c>
      <c r="G1073" s="20">
        <f>IFERROR(__xludf.DUMMYFUNCTION("""COMPUTED_VALUE"""),37441.0)</f>
        <v>37441</v>
      </c>
      <c r="H1073" s="7">
        <f>IFERROR(__xludf.DUMMYFUNCTION("""COMPUTED_VALUE"""),4.4192782E7)</f>
        <v>44192782</v>
      </c>
      <c r="I1073" s="7">
        <f>IFERROR(__xludf.DUMMYFUNCTION("""COMPUTED_VALUE"""),3.518072002E9)</f>
        <v>3518072002</v>
      </c>
      <c r="J1073" s="7" t="str">
        <f>IFERROR(__xludf.DUMMYFUNCTION("""COMPUTED_VALUE"""),"Recomendación")</f>
        <v>Recomendación</v>
      </c>
      <c r="K1073" s="7" t="str">
        <f>IFERROR(__xludf.DUMMYFUNCTION("""COMPUTED_VALUE"""),"Obra social")</f>
        <v>Obra social</v>
      </c>
      <c r="L1073" s="7"/>
      <c r="M1073" s="7" t="str">
        <f>IFERROR(__xludf.DUMMYFUNCTION("""COMPUTED_VALUE"""),"Si")</f>
        <v>Si</v>
      </c>
      <c r="N1073" s="7" t="str">
        <f>IFERROR(__xludf.DUMMYFUNCTION("""COMPUTED_VALUE"""),"Gimnasio")</f>
        <v>Gimnasio</v>
      </c>
      <c r="O1073" s="7" t="str">
        <f>IFERROR(__xludf.DUMMYFUNCTION("""COMPUTED_VALUE"""),"1 a 2 veces por semana")</f>
        <v>1 a 2 veces por semana</v>
      </c>
      <c r="P1073" s="7"/>
      <c r="Q1073" s="7" t="str">
        <f>IFERROR(__xludf.DUMMYFUNCTION("""COMPUTED_VALUE"""),"Swiss Medical")</f>
        <v>Swiss Medical</v>
      </c>
      <c r="R1073" s="7"/>
      <c r="S1073" s="7"/>
    </row>
    <row r="1074">
      <c r="C1074" s="19">
        <f>IFERROR(__xludf.DUMMYFUNCTION("""COMPUTED_VALUE"""),45846.72664199074)</f>
        <v>45846.72664</v>
      </c>
      <c r="D1074" s="7" t="str">
        <f>IFERROR(__xludf.DUMMYFUNCTION("""COMPUTED_VALUE"""),"Pelaez")</f>
        <v>Pelaez</v>
      </c>
      <c r="E1074" s="7" t="str">
        <f>IFERROR(__xludf.DUMMYFUNCTION("""COMPUTED_VALUE"""),"Jose Luis")</f>
        <v>Jose Luis</v>
      </c>
      <c r="F1074" s="7"/>
      <c r="G1074" s="20">
        <f>IFERROR(__xludf.DUMMYFUNCTION("""COMPUTED_VALUE"""),22379.0)</f>
        <v>22379</v>
      </c>
      <c r="H1074" s="7">
        <f>IFERROR(__xludf.DUMMYFUNCTION("""COMPUTED_VALUE"""),1.4475885E7)</f>
        <v>14475885</v>
      </c>
      <c r="I1074" s="7">
        <f>IFERROR(__xludf.DUMMYFUNCTION("""COMPUTED_VALUE"""),3.515904535E9)</f>
        <v>3515904535</v>
      </c>
      <c r="J1074" s="7" t="str">
        <f>IFERROR(__xludf.DUMMYFUNCTION("""COMPUTED_VALUE"""),"Cartilla Obra Social")</f>
        <v>Cartilla Obra Social</v>
      </c>
      <c r="K1074" s="7" t="str">
        <f>IFERROR(__xludf.DUMMYFUNCTION("""COMPUTED_VALUE"""),"Obra social")</f>
        <v>Obra social</v>
      </c>
      <c r="L1074" s="7"/>
      <c r="M1074" s="7" t="str">
        <f>IFERROR(__xludf.DUMMYFUNCTION("""COMPUTED_VALUE"""),"Si")</f>
        <v>Si</v>
      </c>
      <c r="N1074" s="7"/>
      <c r="O1074" s="7" t="str">
        <f>IFERROR(__xludf.DUMMYFUNCTION("""COMPUTED_VALUE"""),"1 a 2 veces por semana")</f>
        <v>1 a 2 veces por semana</v>
      </c>
      <c r="P1074" s="7"/>
      <c r="Q1074" s="7" t="str">
        <f>IFERROR(__xludf.DUMMYFUNCTION("""COMPUTED_VALUE"""),"APROSS")</f>
        <v>APROSS</v>
      </c>
      <c r="R1074" s="7"/>
      <c r="S1074" s="7"/>
    </row>
    <row r="1075">
      <c r="C1075" s="19">
        <f>IFERROR(__xludf.DUMMYFUNCTION("""COMPUTED_VALUE"""),45848.580382430555)</f>
        <v>45848.58038</v>
      </c>
      <c r="D1075" s="7" t="str">
        <f>IFERROR(__xludf.DUMMYFUNCTION("""COMPUTED_VALUE"""),"Dominguez")</f>
        <v>Dominguez</v>
      </c>
      <c r="E1075" s="7" t="str">
        <f>IFERROR(__xludf.DUMMYFUNCTION("""COMPUTED_VALUE"""),"Rocio")</f>
        <v>Rocio</v>
      </c>
      <c r="F1075" s="7" t="str">
        <f>IFERROR(__xludf.DUMMYFUNCTION("""COMPUTED_VALUE"""),"rociodominguez03@hotmail.com")</f>
        <v>rociodominguez03@hotmail.com</v>
      </c>
      <c r="G1075" s="20">
        <f>IFERROR(__xludf.DUMMYFUNCTION("""COMPUTED_VALUE"""),32660.0)</f>
        <v>32660</v>
      </c>
      <c r="H1075" s="7">
        <f>IFERROR(__xludf.DUMMYFUNCTION("""COMPUTED_VALUE"""),3.3881303E7)</f>
        <v>33881303</v>
      </c>
      <c r="I1075" s="7">
        <f>IFERROR(__xludf.DUMMYFUNCTION("""COMPUTED_VALUE"""),3.518043069E9)</f>
        <v>3518043069</v>
      </c>
      <c r="J1075" s="7" t="str">
        <f>IFERROR(__xludf.DUMMYFUNCTION("""COMPUTED_VALUE"""),"Recomendación")</f>
        <v>Recomendación</v>
      </c>
      <c r="K1075" s="7" t="str">
        <f>IFERROR(__xludf.DUMMYFUNCTION("""COMPUTED_VALUE"""),"Particular")</f>
        <v>Particular</v>
      </c>
      <c r="L1075" s="7"/>
      <c r="M1075" s="7" t="str">
        <f>IFERROR(__xludf.DUMMYFUNCTION("""COMPUTED_VALUE"""),"No")</f>
        <v>No</v>
      </c>
      <c r="N1075" s="7"/>
      <c r="O1075" s="7"/>
      <c r="P1075" s="7"/>
      <c r="Q1075" s="7"/>
      <c r="R1075" s="7"/>
      <c r="S1075" s="7"/>
    </row>
    <row r="1076">
      <c r="C1076" s="19">
        <f>IFERROR(__xludf.DUMMYFUNCTION("""COMPUTED_VALUE"""),45848.76064045139)</f>
        <v>45848.76064</v>
      </c>
      <c r="D1076" s="7" t="str">
        <f>IFERROR(__xludf.DUMMYFUNCTION("""COMPUTED_VALUE"""),"Sanchez")</f>
        <v>Sanchez</v>
      </c>
      <c r="E1076" s="7" t="str">
        <f>IFERROR(__xludf.DUMMYFUNCTION("""COMPUTED_VALUE"""),"Veronica")</f>
        <v>Veronica</v>
      </c>
      <c r="F1076" s="7" t="str">
        <f>IFERROR(__xludf.DUMMYFUNCTION("""COMPUTED_VALUE"""),"vero_sanchez@outlook.com")</f>
        <v>vero_sanchez@outlook.com</v>
      </c>
      <c r="G1076" s="20">
        <f>IFERROR(__xludf.DUMMYFUNCTION("""COMPUTED_VALUE"""),27995.0)</f>
        <v>27995</v>
      </c>
      <c r="H1076" s="7">
        <f>IFERROR(__xludf.DUMMYFUNCTION("""COMPUTED_VALUE"""),2.5246922E7)</f>
        <v>25246922</v>
      </c>
      <c r="I1076" s="7">
        <f>IFERROR(__xludf.DUMMYFUNCTION("""COMPUTED_VALUE"""),3.515995995E9)</f>
        <v>3515995995</v>
      </c>
      <c r="J1076" s="7" t="str">
        <f>IFERROR(__xludf.DUMMYFUNCTION("""COMPUTED_VALUE"""),"Google")</f>
        <v>Google</v>
      </c>
      <c r="K1076" s="7" t="str">
        <f>IFERROR(__xludf.DUMMYFUNCTION("""COMPUTED_VALUE"""),"Particular")</f>
        <v>Particular</v>
      </c>
      <c r="L1076" s="7"/>
      <c r="M1076" s="7" t="str">
        <f>IFERROR(__xludf.DUMMYFUNCTION("""COMPUTED_VALUE"""),"Si")</f>
        <v>Si</v>
      </c>
      <c r="N1076" s="7" t="str">
        <f>IFERROR(__xludf.DUMMYFUNCTION("""COMPUTED_VALUE"""),"Squash")</f>
        <v>Squash</v>
      </c>
      <c r="O1076" s="7" t="str">
        <f>IFERROR(__xludf.DUMMYFUNCTION("""COMPUTED_VALUE"""),"3 a 5 veces por semana")</f>
        <v>3 a 5 veces por semana</v>
      </c>
      <c r="P1076" s="7"/>
      <c r="Q1076" s="7"/>
      <c r="R1076" s="7"/>
      <c r="S1076" s="7"/>
    </row>
    <row r="1077">
      <c r="C1077" s="19">
        <f>IFERROR(__xludf.DUMMYFUNCTION("""COMPUTED_VALUE"""),45849.72503922453)</f>
        <v>45849.72504</v>
      </c>
      <c r="D1077" s="7" t="str">
        <f>IFERROR(__xludf.DUMMYFUNCTION("""COMPUTED_VALUE"""),"Almada")</f>
        <v>Almada</v>
      </c>
      <c r="E1077" s="7" t="str">
        <f>IFERROR(__xludf.DUMMYFUNCTION("""COMPUTED_VALUE"""),"Hugo")</f>
        <v>Hugo</v>
      </c>
      <c r="F1077" s="7" t="str">
        <f>IFERROR(__xludf.DUMMYFUNCTION("""COMPUTED_VALUE"""),"hugo_almada@yahoo.com.ar")</f>
        <v>hugo_almada@yahoo.com.ar</v>
      </c>
      <c r="G1077" s="20">
        <f>IFERROR(__xludf.DUMMYFUNCTION("""COMPUTED_VALUE"""),25864.0)</f>
        <v>25864</v>
      </c>
      <c r="H1077" s="7">
        <f>IFERROR(__xludf.DUMMYFUNCTION("""COMPUTED_VALUE"""),2.1901133E7)</f>
        <v>21901133</v>
      </c>
      <c r="I1077" s="7">
        <f>IFERROR(__xludf.DUMMYFUNCTION("""COMPUTED_VALUE"""),3.515641264E9)</f>
        <v>3515641264</v>
      </c>
      <c r="J1077" s="7" t="str">
        <f>IFERROR(__xludf.DUMMYFUNCTION("""COMPUTED_VALUE"""),"Google")</f>
        <v>Google</v>
      </c>
      <c r="K1077" s="7" t="str">
        <f>IFERROR(__xludf.DUMMYFUNCTION("""COMPUTED_VALUE"""),"Obra social")</f>
        <v>Obra social</v>
      </c>
      <c r="L1077" s="7"/>
      <c r="M1077" s="7" t="str">
        <f>IFERROR(__xludf.DUMMYFUNCTION("""COMPUTED_VALUE"""),"Si")</f>
        <v>Si</v>
      </c>
      <c r="N1077" s="7" t="str">
        <f>IFERROR(__xludf.DUMMYFUNCTION("""COMPUTED_VALUE"""),"Fútbol")</f>
        <v>Fútbol</v>
      </c>
      <c r="O1077" s="7" t="str">
        <f>IFERROR(__xludf.DUMMYFUNCTION("""COMPUTED_VALUE"""),"1 a 2 veces por semana")</f>
        <v>1 a 2 veces por semana</v>
      </c>
      <c r="P1077" s="7"/>
      <c r="Q1077" s="7" t="str">
        <f>IFERROR(__xludf.DUMMYFUNCTION("""COMPUTED_VALUE"""),"APROSS")</f>
        <v>APROSS</v>
      </c>
      <c r="R1077" s="7"/>
      <c r="S1077" s="7"/>
    </row>
    <row r="1078">
      <c r="C1078" s="19">
        <f>IFERROR(__xludf.DUMMYFUNCTION("""COMPUTED_VALUE"""),45852.43264918981)</f>
        <v>45852.43265</v>
      </c>
      <c r="D1078" s="7" t="str">
        <f>IFERROR(__xludf.DUMMYFUNCTION("""COMPUTED_VALUE"""),"Celi")</f>
        <v>Celi</v>
      </c>
      <c r="E1078" s="7" t="str">
        <f>IFERROR(__xludf.DUMMYFUNCTION("""COMPUTED_VALUE"""),"Abril")</f>
        <v>Abril</v>
      </c>
      <c r="F1078" s="7" t="str">
        <f>IFERROR(__xludf.DUMMYFUNCTION("""COMPUTED_VALUE"""),"roxanasilva@live.com")</f>
        <v>roxanasilva@live.com</v>
      </c>
      <c r="G1078" s="20">
        <f>IFERROR(__xludf.DUMMYFUNCTION("""COMPUTED_VALUE"""),40466.0)</f>
        <v>40466</v>
      </c>
      <c r="H1078" s="7">
        <f>IFERROR(__xludf.DUMMYFUNCTION("""COMPUTED_VALUE"""),5.0936127E7)</f>
        <v>50936127</v>
      </c>
      <c r="I1078" s="7">
        <f>IFERROR(__xludf.DUMMYFUNCTION("""COMPUTED_VALUE"""),3.516978553E9)</f>
        <v>3516978553</v>
      </c>
      <c r="J1078" s="7" t="str">
        <f>IFERROR(__xludf.DUMMYFUNCTION("""COMPUTED_VALUE"""),"Google")</f>
        <v>Google</v>
      </c>
      <c r="K1078" s="7" t="str">
        <f>IFERROR(__xludf.DUMMYFUNCTION("""COMPUTED_VALUE"""),"Particular")</f>
        <v>Particular</v>
      </c>
      <c r="L1078" s="7"/>
      <c r="M1078" s="7" t="str">
        <f>IFERROR(__xludf.DUMMYFUNCTION("""COMPUTED_VALUE"""),"Si")</f>
        <v>Si</v>
      </c>
      <c r="N1078" s="7" t="str">
        <f>IFERROR(__xludf.DUMMYFUNCTION("""COMPUTED_VALUE"""),"Acrobacias en telas")</f>
        <v>Acrobacias en telas</v>
      </c>
      <c r="O1078" s="7" t="str">
        <f>IFERROR(__xludf.DUMMYFUNCTION("""COMPUTED_VALUE"""),"3 a 5 veces por semana")</f>
        <v>3 a 5 veces por semana</v>
      </c>
      <c r="P1078" s="7"/>
      <c r="Q1078" s="7"/>
      <c r="R1078" s="7"/>
      <c r="S1078" s="7"/>
    </row>
    <row r="1079">
      <c r="C1079" s="19">
        <f>IFERROR(__xludf.DUMMYFUNCTION("""COMPUTED_VALUE"""),45852.45075591435)</f>
        <v>45852.45076</v>
      </c>
      <c r="D1079" s="7" t="str">
        <f>IFERROR(__xludf.DUMMYFUNCTION("""COMPUTED_VALUE"""),"Mazzola")</f>
        <v>Mazzola</v>
      </c>
      <c r="E1079" s="7" t="str">
        <f>IFERROR(__xludf.DUMMYFUNCTION("""COMPUTED_VALUE"""),"Agustina")</f>
        <v>Agustina</v>
      </c>
      <c r="F1079" s="7" t="str">
        <f>IFERROR(__xludf.DUMMYFUNCTION("""COMPUTED_VALUE"""),"asmazzola@gmail.com")</f>
        <v>asmazzola@gmail.com</v>
      </c>
      <c r="G1079" s="20">
        <f>IFERROR(__xludf.DUMMYFUNCTION("""COMPUTED_VALUE"""),33916.0)</f>
        <v>33916</v>
      </c>
      <c r="H1079" s="7">
        <f>IFERROR(__xludf.DUMMYFUNCTION("""COMPUTED_VALUE"""),3.6621337E7)</f>
        <v>36621337</v>
      </c>
      <c r="I1079" s="7">
        <f>IFERROR(__xludf.DUMMYFUNCTION("""COMPUTED_VALUE"""),3.518014372E9)</f>
        <v>3518014372</v>
      </c>
      <c r="J1079" s="7" t="str">
        <f>IFERROR(__xludf.DUMMYFUNCTION("""COMPUTED_VALUE"""),"Google maps")</f>
        <v>Google maps</v>
      </c>
      <c r="K1079" s="7" t="str">
        <f>IFERROR(__xludf.DUMMYFUNCTION("""COMPUTED_VALUE"""),"Particular")</f>
        <v>Particular</v>
      </c>
      <c r="L1079" s="7"/>
      <c r="M1079" s="7" t="str">
        <f>IFERROR(__xludf.DUMMYFUNCTION("""COMPUTED_VALUE"""),"No")</f>
        <v>No</v>
      </c>
      <c r="N1079" s="7"/>
      <c r="O1079" s="7"/>
      <c r="P1079" s="7"/>
      <c r="Q1079" s="7"/>
      <c r="R1079" s="7"/>
      <c r="S1079" s="7"/>
    </row>
    <row r="1080">
      <c r="C1080" s="19">
        <f>IFERROR(__xludf.DUMMYFUNCTION("""COMPUTED_VALUE"""),45852.72017509259)</f>
        <v>45852.72018</v>
      </c>
      <c r="D1080" s="7" t="str">
        <f>IFERROR(__xludf.DUMMYFUNCTION("""COMPUTED_VALUE"""),"Ledesma")</f>
        <v>Ledesma</v>
      </c>
      <c r="E1080" s="7" t="str">
        <f>IFERROR(__xludf.DUMMYFUNCTION("""COMPUTED_VALUE"""),"Gladys Viviana")</f>
        <v>Gladys Viviana</v>
      </c>
      <c r="F1080" s="7" t="str">
        <f>IFERROR(__xludf.DUMMYFUNCTION("""COMPUTED_VALUE"""),"cesarcastro013@gmail.com")</f>
        <v>cesarcastro013@gmail.com</v>
      </c>
      <c r="G1080" s="20">
        <f>IFERROR(__xludf.DUMMYFUNCTION("""COMPUTED_VALUE"""),21606.0)</f>
        <v>21606</v>
      </c>
      <c r="H1080" s="21">
        <f>IFERROR(__xludf.DUMMYFUNCTION("""COMPUTED_VALUE"""),1.2994536E7)</f>
        <v>12994536</v>
      </c>
      <c r="I1080" s="7">
        <f>IFERROR(__xludf.DUMMYFUNCTION("""COMPUTED_VALUE"""),3.513020827E9)</f>
        <v>3513020827</v>
      </c>
      <c r="J1080" s="7" t="str">
        <f>IFERROR(__xludf.DUMMYFUNCTION("""COMPUTED_VALUE"""),"Recomendación")</f>
        <v>Recomendación</v>
      </c>
      <c r="K1080" s="7" t="str">
        <f>IFERROR(__xludf.DUMMYFUNCTION("""COMPUTED_VALUE"""),"Particular")</f>
        <v>Particular</v>
      </c>
      <c r="L1080" s="7"/>
      <c r="M1080" s="7" t="str">
        <f>IFERROR(__xludf.DUMMYFUNCTION("""COMPUTED_VALUE"""),"No")</f>
        <v>No</v>
      </c>
      <c r="N1080" s="7"/>
      <c r="O1080" s="7"/>
      <c r="P1080" s="7"/>
      <c r="Q1080" s="7"/>
      <c r="R1080" s="7"/>
      <c r="S1080" s="7"/>
    </row>
    <row r="1081">
      <c r="C1081" s="19">
        <f>IFERROR(__xludf.DUMMYFUNCTION("""COMPUTED_VALUE"""),45853.5500428125)</f>
        <v>45853.55004</v>
      </c>
      <c r="D1081" s="7" t="str">
        <f>IFERROR(__xludf.DUMMYFUNCTION("""COMPUTED_VALUE"""),"Cortez")</f>
        <v>Cortez</v>
      </c>
      <c r="E1081" s="7" t="str">
        <f>IFERROR(__xludf.DUMMYFUNCTION("""COMPUTED_VALUE"""),"Eliana Noelia")</f>
        <v>Eliana Noelia</v>
      </c>
      <c r="F1081" s="7" t="str">
        <f>IFERROR(__xludf.DUMMYFUNCTION("""COMPUTED_VALUE"""),"facubritos2015@gmail.com")</f>
        <v>facubritos2015@gmail.com</v>
      </c>
      <c r="G1081" s="20">
        <f>IFERROR(__xludf.DUMMYFUNCTION("""COMPUTED_VALUE"""),34579.0)</f>
        <v>34579</v>
      </c>
      <c r="H1081" s="7">
        <f>IFERROR(__xludf.DUMMYFUNCTION("""COMPUTED_VALUE"""),3.8410499E7)</f>
        <v>38410499</v>
      </c>
      <c r="I1081" s="7">
        <f>IFERROR(__xludf.DUMMYFUNCTION("""COMPUTED_VALUE"""),3.51659357E9)</f>
        <v>3516593570</v>
      </c>
      <c r="J1081" s="7" t="str">
        <f>IFERROR(__xludf.DUMMYFUNCTION("""COMPUTED_VALUE"""),"Cartilla Obra Social")</f>
        <v>Cartilla Obra Social</v>
      </c>
      <c r="K1081" s="7" t="str">
        <f>IFERROR(__xludf.DUMMYFUNCTION("""COMPUTED_VALUE"""),"Obra social")</f>
        <v>Obra social</v>
      </c>
      <c r="L1081" s="7"/>
      <c r="M1081" s="7" t="str">
        <f>IFERROR(__xludf.DUMMYFUNCTION("""COMPUTED_VALUE"""),"No")</f>
        <v>No</v>
      </c>
      <c r="N1081" s="7"/>
      <c r="O1081" s="7"/>
      <c r="P1081" s="7"/>
      <c r="Q1081" s="7" t="str">
        <f>IFERROR(__xludf.DUMMYFUNCTION("""COMPUTED_VALUE"""),"PREVENCIÓN")</f>
        <v>PREVENCIÓN</v>
      </c>
      <c r="R1081" s="7"/>
      <c r="S1081" s="7"/>
    </row>
    <row r="1082">
      <c r="C1082" s="19">
        <f>IFERROR(__xludf.DUMMYFUNCTION("""COMPUTED_VALUE"""),45853.79485600695)</f>
        <v>45853.79486</v>
      </c>
      <c r="D1082" s="7" t="str">
        <f>IFERROR(__xludf.DUMMYFUNCTION("""COMPUTED_VALUE"""),"Huespe ")</f>
        <v>Huespe </v>
      </c>
      <c r="E1082" s="7" t="str">
        <f>IFERROR(__xludf.DUMMYFUNCTION("""COMPUTED_VALUE"""),"Sofia")</f>
        <v>Sofia</v>
      </c>
      <c r="F1082" s="7" t="str">
        <f>IFERROR(__xludf.DUMMYFUNCTION("""COMPUTED_VALUE"""),"Sofihuespe@hotmail.com")</f>
        <v>Sofihuespe@hotmail.com</v>
      </c>
      <c r="G1082" s="20">
        <f>IFERROR(__xludf.DUMMYFUNCTION("""COMPUTED_VALUE"""),33761.0)</f>
        <v>33761</v>
      </c>
      <c r="H1082" s="7">
        <f>IFERROR(__xludf.DUMMYFUNCTION("""COMPUTED_VALUE"""),3.6354585E7)</f>
        <v>36354585</v>
      </c>
      <c r="I1082" s="7">
        <f>IFERROR(__xludf.DUMMYFUNCTION("""COMPUTED_VALUE"""),3.512003727E9)</f>
        <v>3512003727</v>
      </c>
      <c r="J1082" s="7" t="str">
        <f>IFERROR(__xludf.DUMMYFUNCTION("""COMPUTED_VALUE"""),"Recomendación")</f>
        <v>Recomendación</v>
      </c>
      <c r="K1082" s="7" t="str">
        <f>IFERROR(__xludf.DUMMYFUNCTION("""COMPUTED_VALUE"""),"Particular")</f>
        <v>Particular</v>
      </c>
      <c r="L1082" s="7"/>
      <c r="M1082" s="7" t="str">
        <f>IFERROR(__xludf.DUMMYFUNCTION("""COMPUTED_VALUE"""),"Si")</f>
        <v>Si</v>
      </c>
      <c r="N1082" s="7" t="str">
        <f>IFERROR(__xludf.DUMMYFUNCTION("""COMPUTED_VALUE"""),"Pádel / gym")</f>
        <v>Pádel / gym</v>
      </c>
      <c r="O1082" s="7" t="str">
        <f>IFERROR(__xludf.DUMMYFUNCTION("""COMPUTED_VALUE"""),"6 a 7 veces por semana")</f>
        <v>6 a 7 veces por semana</v>
      </c>
      <c r="P1082" s="7"/>
      <c r="Q1082" s="7"/>
      <c r="R1082" s="7"/>
      <c r="S1082" s="7"/>
    </row>
    <row r="1083">
      <c r="C1083" s="19">
        <f>IFERROR(__xludf.DUMMYFUNCTION("""COMPUTED_VALUE"""),45853.81098894676)</f>
        <v>45853.81099</v>
      </c>
      <c r="D1083" s="7" t="str">
        <f>IFERROR(__xludf.DUMMYFUNCTION("""COMPUTED_VALUE"""),"Arrietto")</f>
        <v>Arrietto</v>
      </c>
      <c r="E1083" s="7" t="str">
        <f>IFERROR(__xludf.DUMMYFUNCTION("""COMPUTED_VALUE"""),"Gabriela ")</f>
        <v>Gabriela </v>
      </c>
      <c r="F1083" s="7" t="str">
        <f>IFERROR(__xludf.DUMMYFUNCTION("""COMPUTED_VALUE"""),"gabyarrietto67@gmail.com")</f>
        <v>gabyarrietto67@gmail.com</v>
      </c>
      <c r="G1083" s="20">
        <f>IFERROR(__xludf.DUMMYFUNCTION("""COMPUTED_VALUE"""),-669255.0)</f>
        <v>-669255</v>
      </c>
      <c r="H1083" s="7">
        <f>IFERROR(__xludf.DUMMYFUNCTION("""COMPUTED_VALUE"""),1.8555778E7)</f>
        <v>18555778</v>
      </c>
      <c r="I1083" s="7">
        <f>IFERROR(__xludf.DUMMYFUNCTION("""COMPUTED_VALUE"""),3.513621455E9)</f>
        <v>3513621455</v>
      </c>
      <c r="J1083" s="7" t="str">
        <f>IFERROR(__xludf.DUMMYFUNCTION("""COMPUTED_VALUE"""),"Recomendación")</f>
        <v>Recomendación</v>
      </c>
      <c r="K1083" s="7" t="str">
        <f>IFERROR(__xludf.DUMMYFUNCTION("""COMPUTED_VALUE"""),"Obra social")</f>
        <v>Obra social</v>
      </c>
      <c r="L1083" s="7"/>
      <c r="M1083" s="7" t="str">
        <f>IFERROR(__xludf.DUMMYFUNCTION("""COMPUTED_VALUE"""),"Si")</f>
        <v>Si</v>
      </c>
      <c r="N1083" s="7" t="str">
        <f>IFERROR(__xludf.DUMMYFUNCTION("""COMPUTED_VALUE"""),"Running")</f>
        <v>Running</v>
      </c>
      <c r="O1083" s="7" t="str">
        <f>IFERROR(__xludf.DUMMYFUNCTION("""COMPUTED_VALUE"""),"1 a 2 veces por semana")</f>
        <v>1 a 2 veces por semana</v>
      </c>
      <c r="P1083" s="7"/>
      <c r="Q1083" s="7" t="str">
        <f>IFERROR(__xludf.DUMMYFUNCTION("""COMPUTED_VALUE"""),"APROSS")</f>
        <v>APROSS</v>
      </c>
      <c r="R1083" s="7"/>
      <c r="S1083" s="7"/>
    </row>
    <row r="1084">
      <c r="C1084" s="19">
        <f>IFERROR(__xludf.DUMMYFUNCTION("""COMPUTED_VALUE"""),45853.90240276621)</f>
        <v>45853.9024</v>
      </c>
      <c r="D1084" s="7" t="str">
        <f>IFERROR(__xludf.DUMMYFUNCTION("""COMPUTED_VALUE"""),"Casamayor")</f>
        <v>Casamayor</v>
      </c>
      <c r="E1084" s="7" t="str">
        <f>IFERROR(__xludf.DUMMYFUNCTION("""COMPUTED_VALUE"""),"Matias")</f>
        <v>Matias</v>
      </c>
      <c r="F1084" s="7" t="str">
        <f>IFERROR(__xludf.DUMMYFUNCTION("""COMPUTED_VALUE"""),"Matiascasamayor62@gmail.com")</f>
        <v>Matiascasamayor62@gmail.com</v>
      </c>
      <c r="G1084" s="20">
        <f>IFERROR(__xludf.DUMMYFUNCTION("""COMPUTED_VALUE"""),37005.0)</f>
        <v>37005</v>
      </c>
      <c r="H1084" s="7">
        <f>IFERROR(__xludf.DUMMYFUNCTION("""COMPUTED_VALUE"""),4.3215499E7)</f>
        <v>43215499</v>
      </c>
      <c r="I1084" s="7">
        <f>IFERROR(__xludf.DUMMYFUNCTION("""COMPUTED_VALUE"""),3.512026168E9)</f>
        <v>3512026168</v>
      </c>
      <c r="J1084" s="7" t="str">
        <f>IFERROR(__xludf.DUMMYFUNCTION("""COMPUTED_VALUE"""),"Voy al gym Manantial")</f>
        <v>Voy al gym Manantial</v>
      </c>
      <c r="K1084" s="7" t="str">
        <f>IFERROR(__xludf.DUMMYFUNCTION("""COMPUTED_VALUE"""),"Particular")</f>
        <v>Particular</v>
      </c>
      <c r="L1084" s="7"/>
      <c r="M1084" s="7" t="str">
        <f>IFERROR(__xludf.DUMMYFUNCTION("""COMPUTED_VALUE"""),"Si")</f>
        <v>Si</v>
      </c>
      <c r="N1084" s="7" t="str">
        <f>IFERROR(__xludf.DUMMYFUNCTION("""COMPUTED_VALUE"""),"Gimnasio")</f>
        <v>Gimnasio</v>
      </c>
      <c r="O1084" s="7" t="str">
        <f>IFERROR(__xludf.DUMMYFUNCTION("""COMPUTED_VALUE"""),"3 a 5 veces por semana")</f>
        <v>3 a 5 veces por semana</v>
      </c>
      <c r="P1084" s="7"/>
      <c r="Q1084" s="7"/>
      <c r="R1084" s="7"/>
      <c r="S1084" s="7"/>
    </row>
    <row r="1085">
      <c r="C1085" s="19">
        <f>IFERROR(__xludf.DUMMYFUNCTION("""COMPUTED_VALUE"""),45854.482120960645)</f>
        <v>45854.48212</v>
      </c>
      <c r="D1085" s="7" t="str">
        <f>IFERROR(__xludf.DUMMYFUNCTION("""COMPUTED_VALUE"""),"Iturri")</f>
        <v>Iturri</v>
      </c>
      <c r="E1085" s="7" t="str">
        <f>IFERROR(__xludf.DUMMYFUNCTION("""COMPUTED_VALUE"""),"Juan Pablo ")</f>
        <v>Juan Pablo </v>
      </c>
      <c r="F1085" s="7" t="str">
        <f>IFERROR(__xludf.DUMMYFUNCTION("""COMPUTED_VALUE"""),"jpablo.iturri@gmail.com")</f>
        <v>jpablo.iturri@gmail.com</v>
      </c>
      <c r="G1085" s="20">
        <f>IFERROR(__xludf.DUMMYFUNCTION("""COMPUTED_VALUE"""),33095.0)</f>
        <v>33095</v>
      </c>
      <c r="H1085" s="7">
        <f>IFERROR(__xludf.DUMMYFUNCTION("""COMPUTED_VALUE"""),3.5360179E7)</f>
        <v>35360179</v>
      </c>
      <c r="I1085" s="7">
        <f>IFERROR(__xludf.DUMMYFUNCTION("""COMPUTED_VALUE"""),3.517558813E9)</f>
        <v>3517558813</v>
      </c>
      <c r="J1085" s="7" t="str">
        <f>IFERROR(__xludf.DUMMYFUNCTION("""COMPUTED_VALUE"""),"Recomendación")</f>
        <v>Recomendación</v>
      </c>
      <c r="K1085" s="7" t="str">
        <f>IFERROR(__xludf.DUMMYFUNCTION("""COMPUTED_VALUE"""),"Particular")</f>
        <v>Particular</v>
      </c>
      <c r="L1085" s="7"/>
      <c r="M1085" s="7" t="str">
        <f>IFERROR(__xludf.DUMMYFUNCTION("""COMPUTED_VALUE"""),"No")</f>
        <v>No</v>
      </c>
      <c r="N1085" s="7"/>
      <c r="O1085" s="7"/>
      <c r="P1085" s="7"/>
      <c r="Q1085" s="7"/>
      <c r="R1085" s="7"/>
      <c r="S1085" s="7"/>
    </row>
    <row r="1086">
      <c r="C1086" s="19">
        <f>IFERROR(__xludf.DUMMYFUNCTION("""COMPUTED_VALUE"""),45854.53714858796)</f>
        <v>45854.53715</v>
      </c>
      <c r="D1086" s="7" t="str">
        <f>IFERROR(__xludf.DUMMYFUNCTION("""COMPUTED_VALUE"""),"Montesco")</f>
        <v>Montesco</v>
      </c>
      <c r="E1086" s="7" t="str">
        <f>IFERROR(__xludf.DUMMYFUNCTION("""COMPUTED_VALUE"""),"Pablo bruno")</f>
        <v>Pablo bruno</v>
      </c>
      <c r="F1086" s="7" t="str">
        <f>IFERROR(__xludf.DUMMYFUNCTION("""COMPUTED_VALUE"""),"Pini57@gmail.com")</f>
        <v>Pini57@gmail.com</v>
      </c>
      <c r="G1086" s="20">
        <f>IFERROR(__xludf.DUMMYFUNCTION("""COMPUTED_VALUE"""),31797.0)</f>
        <v>31797</v>
      </c>
      <c r="H1086" s="7">
        <f>IFERROR(__xludf.DUMMYFUNCTION("""COMPUTED_VALUE"""),3.2682667E7)</f>
        <v>32682667</v>
      </c>
      <c r="I1086" s="7">
        <f>IFERROR(__xludf.DUMMYFUNCTION("""COMPUTED_VALUE"""),3.516888999E9)</f>
        <v>3516888999</v>
      </c>
      <c r="J1086" s="7" t="str">
        <f>IFERROR(__xludf.DUMMYFUNCTION("""COMPUTED_VALUE"""),"Instagram")</f>
        <v>Instagram</v>
      </c>
      <c r="K1086" s="7" t="str">
        <f>IFERROR(__xludf.DUMMYFUNCTION("""COMPUTED_VALUE"""),"Obra social")</f>
        <v>Obra social</v>
      </c>
      <c r="L1086" s="7"/>
      <c r="M1086" s="7" t="str">
        <f>IFERROR(__xludf.DUMMYFUNCTION("""COMPUTED_VALUE"""),"Si")</f>
        <v>Si</v>
      </c>
      <c r="N1086" s="7" t="str">
        <f>IFERROR(__xludf.DUMMYFUNCTION("""COMPUTED_VALUE"""),"Fútbol")</f>
        <v>Fútbol</v>
      </c>
      <c r="O1086" s="7" t="str">
        <f>IFERROR(__xludf.DUMMYFUNCTION("""COMPUTED_VALUE"""),"1 a 2 veces por semana")</f>
        <v>1 a 2 veces por semana</v>
      </c>
      <c r="P1086" s="7"/>
      <c r="Q1086" s="7" t="str">
        <f>IFERROR(__xludf.DUMMYFUNCTION("""COMPUTED_VALUE"""),"APROSS")</f>
        <v>APROSS</v>
      </c>
      <c r="R1086" s="7"/>
      <c r="S1086" s="7"/>
    </row>
    <row r="1087">
      <c r="C1087" s="19">
        <f>IFERROR(__xludf.DUMMYFUNCTION("""COMPUTED_VALUE"""),45854.66721313658)</f>
        <v>45854.66721</v>
      </c>
      <c r="D1087" s="7" t="str">
        <f>IFERROR(__xludf.DUMMYFUNCTION("""COMPUTED_VALUE"""),"Balbiano")</f>
        <v>Balbiano</v>
      </c>
      <c r="E1087" s="7" t="str">
        <f>IFERROR(__xludf.DUMMYFUNCTION("""COMPUTED_VALUE"""),"Javier")</f>
        <v>Javier</v>
      </c>
      <c r="F1087" s="7" t="str">
        <f>IFERROR(__xludf.DUMMYFUNCTION("""COMPUTED_VALUE"""),"javibalbiano@gmail.com")</f>
        <v>javibalbiano@gmail.com</v>
      </c>
      <c r="G1087" s="20">
        <f>IFERROR(__xludf.DUMMYFUNCTION("""COMPUTED_VALUE"""),36726.0)</f>
        <v>36726</v>
      </c>
      <c r="H1087" s="7">
        <f>IFERROR(__xludf.DUMMYFUNCTION("""COMPUTED_VALUE"""),5.0331205E7)</f>
        <v>50331205</v>
      </c>
      <c r="I1087" s="7">
        <f>IFERROR(__xludf.DUMMYFUNCTION("""COMPUTED_VALUE"""),3.516884309E9)</f>
        <v>3516884309</v>
      </c>
      <c r="J1087" s="7" t="str">
        <f>IFERROR(__xludf.DUMMYFUNCTION("""COMPUTED_VALUE"""),"Recomendación")</f>
        <v>Recomendación</v>
      </c>
      <c r="K1087" s="7" t="str">
        <f>IFERROR(__xludf.DUMMYFUNCTION("""COMPUTED_VALUE"""),"Particular")</f>
        <v>Particular</v>
      </c>
      <c r="L1087" s="7"/>
      <c r="M1087" s="7" t="str">
        <f>IFERROR(__xludf.DUMMYFUNCTION("""COMPUTED_VALUE"""),"Si")</f>
        <v>Si</v>
      </c>
      <c r="N1087" s="7" t="str">
        <f>IFERROR(__xludf.DUMMYFUNCTION("""COMPUTED_VALUE"""),"Básquet")</f>
        <v>Básquet</v>
      </c>
      <c r="O1087" s="7" t="str">
        <f>IFERROR(__xludf.DUMMYFUNCTION("""COMPUTED_VALUE"""),"3 a 5 veces por semana")</f>
        <v>3 a 5 veces por semana</v>
      </c>
      <c r="P1087" s="7"/>
      <c r="Q1087" s="7"/>
      <c r="R1087" s="7"/>
      <c r="S1087" s="7"/>
    </row>
    <row r="1088">
      <c r="C1088" s="19">
        <f>IFERROR(__xludf.DUMMYFUNCTION("""COMPUTED_VALUE"""),45854.72464729167)</f>
        <v>45854.72465</v>
      </c>
      <c r="D1088" s="7" t="str">
        <f>IFERROR(__xludf.DUMMYFUNCTION("""COMPUTED_VALUE"""),"Diez")</f>
        <v>Diez</v>
      </c>
      <c r="E1088" s="7" t="str">
        <f>IFERROR(__xludf.DUMMYFUNCTION("""COMPUTED_VALUE"""),"Pedro")</f>
        <v>Pedro</v>
      </c>
      <c r="F1088" s="7" t="str">
        <f>IFERROR(__xludf.DUMMYFUNCTION("""COMPUTED_VALUE"""),"pedrodiezcuenca01@gmail.com")</f>
        <v>pedrodiezcuenca01@gmail.com</v>
      </c>
      <c r="G1088" s="20">
        <f>IFERROR(__xludf.DUMMYFUNCTION("""COMPUTED_VALUE"""),45724.0)</f>
        <v>45724</v>
      </c>
      <c r="H1088" s="7">
        <f>IFERROR(__xludf.DUMMYFUNCTION("""COMPUTED_VALUE"""),4.3271033E7)</f>
        <v>43271033</v>
      </c>
      <c r="I1088" s="7">
        <f>IFERROR(__xludf.DUMMYFUNCTION("""COMPUTED_VALUE"""),3.516433132E9)</f>
        <v>3516433132</v>
      </c>
      <c r="J1088" s="7" t="str">
        <f>IFERROR(__xludf.DUMMYFUNCTION("""COMPUTED_VALUE"""),"Recomendación")</f>
        <v>Recomendación</v>
      </c>
      <c r="K1088" s="7" t="str">
        <f>IFERROR(__xludf.DUMMYFUNCTION("""COMPUTED_VALUE"""),"Obra social")</f>
        <v>Obra social</v>
      </c>
      <c r="L1088" s="7"/>
      <c r="M1088" s="7" t="str">
        <f>IFERROR(__xludf.DUMMYFUNCTION("""COMPUTED_VALUE"""),"Si")</f>
        <v>Si</v>
      </c>
      <c r="N1088" s="7" t="str">
        <f>IFERROR(__xludf.DUMMYFUNCTION("""COMPUTED_VALUE"""),"Rugby")</f>
        <v>Rugby</v>
      </c>
      <c r="O1088" s="7" t="str">
        <f>IFERROR(__xludf.DUMMYFUNCTION("""COMPUTED_VALUE"""),"1 a 2 veces por semana")</f>
        <v>1 a 2 veces por semana</v>
      </c>
      <c r="P1088" s="7"/>
      <c r="Q1088" s="7" t="str">
        <f>IFERROR(__xludf.DUMMYFUNCTION("""COMPUTED_VALUE"""),"SWISS MEDICAL")</f>
        <v>SWISS MEDICAL</v>
      </c>
      <c r="R1088" s="7"/>
      <c r="S1088" s="7"/>
    </row>
    <row r="1089">
      <c r="C1089" s="19">
        <f>IFERROR(__xludf.DUMMYFUNCTION("""COMPUTED_VALUE"""),45854.742014375)</f>
        <v>45854.74201</v>
      </c>
      <c r="D1089" s="7" t="str">
        <f>IFERROR(__xludf.DUMMYFUNCTION("""COMPUTED_VALUE"""),"Novillo")</f>
        <v>Novillo</v>
      </c>
      <c r="E1089" s="7" t="str">
        <f>IFERROR(__xludf.DUMMYFUNCTION("""COMPUTED_VALUE"""),"Cristobal")</f>
        <v>Cristobal</v>
      </c>
      <c r="F1089" s="7"/>
      <c r="G1089" s="20">
        <f>IFERROR(__xludf.DUMMYFUNCTION("""COMPUTED_VALUE"""),36992.0)</f>
        <v>36992</v>
      </c>
      <c r="H1089" s="7">
        <f>IFERROR(__xludf.DUMMYFUNCTION("""COMPUTED_VALUE"""),4.336961E7)</f>
        <v>43369610</v>
      </c>
      <c r="I1089" s="7">
        <f>IFERROR(__xludf.DUMMYFUNCTION("""COMPUTED_VALUE"""),3.512543464E9)</f>
        <v>3512543464</v>
      </c>
      <c r="J1089" s="7" t="str">
        <f>IFERROR(__xludf.DUMMYFUNCTION("""COMPUTED_VALUE"""),"Recomendación")</f>
        <v>Recomendación</v>
      </c>
      <c r="K1089" s="7" t="str">
        <f>IFERROR(__xludf.DUMMYFUNCTION("""COMPUTED_VALUE"""),"Particular")</f>
        <v>Particular</v>
      </c>
      <c r="L1089" s="7"/>
      <c r="M1089" s="7" t="str">
        <f>IFERROR(__xludf.DUMMYFUNCTION("""COMPUTED_VALUE"""),"Si")</f>
        <v>Si</v>
      </c>
      <c r="N1089" s="7" t="str">
        <f>IFERROR(__xludf.DUMMYFUNCTION("""COMPUTED_VALUE"""),"Rugby")</f>
        <v>Rugby</v>
      </c>
      <c r="O1089" s="7" t="str">
        <f>IFERROR(__xludf.DUMMYFUNCTION("""COMPUTED_VALUE"""),"3 a 5 veces por semana")</f>
        <v>3 a 5 veces por semana</v>
      </c>
      <c r="P1089" s="7"/>
      <c r="Q1089" s="7"/>
      <c r="R1089" s="7"/>
      <c r="S1089" s="7"/>
    </row>
    <row r="1090">
      <c r="C1090" s="19">
        <f>IFERROR(__xludf.DUMMYFUNCTION("""COMPUTED_VALUE"""),45854.74663819444)</f>
        <v>45854.74664</v>
      </c>
      <c r="D1090" s="7" t="str">
        <f>IFERROR(__xludf.DUMMYFUNCTION("""COMPUTED_VALUE"""),"Huespe")</f>
        <v>Huespe</v>
      </c>
      <c r="E1090" s="7" t="str">
        <f>IFERROR(__xludf.DUMMYFUNCTION("""COMPUTED_VALUE"""),"Sofía")</f>
        <v>Sofía</v>
      </c>
      <c r="F1090" s="7"/>
      <c r="G1090" s="20">
        <f>IFERROR(__xludf.DUMMYFUNCTION("""COMPUTED_VALUE"""),33761.0)</f>
        <v>33761</v>
      </c>
      <c r="H1090" s="7">
        <f>IFERROR(__xludf.DUMMYFUNCTION("""COMPUTED_VALUE"""),3.6354585E7)</f>
        <v>36354585</v>
      </c>
      <c r="I1090" s="7">
        <f>IFERROR(__xludf.DUMMYFUNCTION("""COMPUTED_VALUE"""),3.512003727E9)</f>
        <v>3512003727</v>
      </c>
      <c r="J1090" s="7" t="str">
        <f>IFERROR(__xludf.DUMMYFUNCTION("""COMPUTED_VALUE"""),"Voy al gym Manantial")</f>
        <v>Voy al gym Manantial</v>
      </c>
      <c r="K1090" s="7" t="str">
        <f>IFERROR(__xludf.DUMMYFUNCTION("""COMPUTED_VALUE"""),"Particular")</f>
        <v>Particular</v>
      </c>
      <c r="L1090" s="7"/>
      <c r="M1090" s="7" t="str">
        <f>IFERROR(__xludf.DUMMYFUNCTION("""COMPUTED_VALUE"""),"Si")</f>
        <v>Si</v>
      </c>
      <c r="N1090" s="7" t="str">
        <f>IFERROR(__xludf.DUMMYFUNCTION("""COMPUTED_VALUE"""),"Padel")</f>
        <v>Padel</v>
      </c>
      <c r="O1090" s="7" t="str">
        <f>IFERROR(__xludf.DUMMYFUNCTION("""COMPUTED_VALUE"""),"3 a 5 veces por semana")</f>
        <v>3 a 5 veces por semana</v>
      </c>
      <c r="P1090" s="7"/>
      <c r="Q1090" s="7"/>
      <c r="R1090" s="7"/>
      <c r="S1090" s="7"/>
    </row>
    <row r="1091">
      <c r="C1091" s="19">
        <f>IFERROR(__xludf.DUMMYFUNCTION("""COMPUTED_VALUE"""),45855.58263131944)</f>
        <v>45855.58263</v>
      </c>
      <c r="D1091" s="7" t="str">
        <f>IFERROR(__xludf.DUMMYFUNCTION("""COMPUTED_VALUE"""),"Tissot")</f>
        <v>Tissot</v>
      </c>
      <c r="E1091" s="7" t="str">
        <f>IFERROR(__xludf.DUMMYFUNCTION("""COMPUTED_VALUE"""),"Gaston")</f>
        <v>Gaston</v>
      </c>
      <c r="F1091" s="7" t="str">
        <f>IFERROR(__xludf.DUMMYFUNCTION("""COMPUTED_VALUE"""),"gastontissot1@gmail.com")</f>
        <v>gastontissot1@gmail.com</v>
      </c>
      <c r="G1091" s="20">
        <f>IFERROR(__xludf.DUMMYFUNCTION("""COMPUTED_VALUE"""),28127.0)</f>
        <v>28127</v>
      </c>
      <c r="H1091" s="7">
        <f>IFERROR(__xludf.DUMMYFUNCTION("""COMPUTED_VALUE"""),2.571711E7)</f>
        <v>25717110</v>
      </c>
      <c r="I1091" s="7">
        <f>IFERROR(__xludf.DUMMYFUNCTION("""COMPUTED_VALUE"""),3.513461244E9)</f>
        <v>3513461244</v>
      </c>
      <c r="J1091" s="7" t="str">
        <f>IFERROR(__xludf.DUMMYFUNCTION("""COMPUTED_VALUE"""),"Google")</f>
        <v>Google</v>
      </c>
      <c r="K1091" s="7" t="str">
        <f>IFERROR(__xludf.DUMMYFUNCTION("""COMPUTED_VALUE"""),"Obra social")</f>
        <v>Obra social</v>
      </c>
      <c r="L1091" s="7"/>
      <c r="M1091" s="7" t="str">
        <f>IFERROR(__xludf.DUMMYFUNCTION("""COMPUTED_VALUE"""),"No")</f>
        <v>No</v>
      </c>
      <c r="N1091" s="7"/>
      <c r="O1091" s="7"/>
      <c r="P1091" s="7"/>
      <c r="Q1091" s="7" t="str">
        <f>IFERROR(__xludf.DUMMYFUNCTION("""COMPUTED_VALUE"""),"Avalian")</f>
        <v>Avalian</v>
      </c>
      <c r="R1091" s="7"/>
      <c r="S1091" s="7"/>
    </row>
    <row r="1092">
      <c r="C1092" s="19">
        <f>IFERROR(__xludf.DUMMYFUNCTION("""COMPUTED_VALUE"""),45855.664358634254)</f>
        <v>45855.66436</v>
      </c>
      <c r="D1092" s="7" t="str">
        <f>IFERROR(__xludf.DUMMYFUNCTION("""COMPUTED_VALUE"""),"Perez")</f>
        <v>Perez</v>
      </c>
      <c r="E1092" s="7" t="str">
        <f>IFERROR(__xludf.DUMMYFUNCTION("""COMPUTED_VALUE"""),"Nicolas")</f>
        <v>Nicolas</v>
      </c>
      <c r="F1092" s="7"/>
      <c r="G1092" s="20">
        <f>IFERROR(__xludf.DUMMYFUNCTION("""COMPUTED_VALUE"""),40053.0)</f>
        <v>40053</v>
      </c>
      <c r="H1092" s="7">
        <f>IFERROR(__xludf.DUMMYFUNCTION("""COMPUTED_VALUE"""),4.9497991E7)</f>
        <v>49497991</v>
      </c>
      <c r="I1092" s="7">
        <f>IFERROR(__xludf.DUMMYFUNCTION("""COMPUTED_VALUE"""),3.512434092E9)</f>
        <v>3512434092</v>
      </c>
      <c r="J1092" s="7" t="str">
        <f>IFERROR(__xludf.DUMMYFUNCTION("""COMPUTED_VALUE"""),"Recomendación")</f>
        <v>Recomendación</v>
      </c>
      <c r="K1092" s="7" t="str">
        <f>IFERROR(__xludf.DUMMYFUNCTION("""COMPUTED_VALUE"""),"Particular")</f>
        <v>Particular</v>
      </c>
      <c r="L1092" s="7"/>
      <c r="M1092" s="7" t="str">
        <f>IFERROR(__xludf.DUMMYFUNCTION("""COMPUTED_VALUE"""),"Si")</f>
        <v>Si</v>
      </c>
      <c r="N1092" s="7" t="str">
        <f>IFERROR(__xludf.DUMMYFUNCTION("""COMPUTED_VALUE"""),"Fútbol")</f>
        <v>Fútbol</v>
      </c>
      <c r="O1092" s="7" t="str">
        <f>IFERROR(__xludf.DUMMYFUNCTION("""COMPUTED_VALUE"""),"3 a 5 veces por semana")</f>
        <v>3 a 5 veces por semana</v>
      </c>
      <c r="P1092" s="7"/>
      <c r="Q1092" s="7"/>
      <c r="R1092" s="7"/>
      <c r="S1092" s="7"/>
    </row>
    <row r="1093">
      <c r="C1093" s="19">
        <f>IFERROR(__xludf.DUMMYFUNCTION("""COMPUTED_VALUE"""),45855.78050486111)</f>
        <v>45855.7805</v>
      </c>
      <c r="D1093" s="7" t="str">
        <f>IFERROR(__xludf.DUMMYFUNCTION("""COMPUTED_VALUE"""),"TISSOT")</f>
        <v>TISSOT</v>
      </c>
      <c r="E1093" s="7" t="str">
        <f>IFERROR(__xludf.DUMMYFUNCTION("""COMPUTED_VALUE"""),"GASTON")</f>
        <v>GASTON</v>
      </c>
      <c r="F1093" s="7"/>
      <c r="G1093" s="20">
        <f>IFERROR(__xludf.DUMMYFUNCTION("""COMPUTED_VALUE"""),28127.0)</f>
        <v>28127</v>
      </c>
      <c r="H1093" s="7">
        <f>IFERROR(__xludf.DUMMYFUNCTION("""COMPUTED_VALUE"""),2.571711E7)</f>
        <v>25717110</v>
      </c>
      <c r="I1093" s="7">
        <f>IFERROR(__xludf.DUMMYFUNCTION("""COMPUTED_VALUE"""),3.513461244E9)</f>
        <v>3513461244</v>
      </c>
      <c r="J1093" s="7" t="str">
        <f>IFERROR(__xludf.DUMMYFUNCTION("""COMPUTED_VALUE"""),"Recomendación")</f>
        <v>Recomendación</v>
      </c>
      <c r="K1093" s="7" t="str">
        <f>IFERROR(__xludf.DUMMYFUNCTION("""COMPUTED_VALUE"""),"Obra social")</f>
        <v>Obra social</v>
      </c>
      <c r="L1093" s="7"/>
      <c r="M1093" s="7" t="str">
        <f>IFERROR(__xludf.DUMMYFUNCTION("""COMPUTED_VALUE"""),"Si")</f>
        <v>Si</v>
      </c>
      <c r="N1093" s="7" t="str">
        <f>IFERROR(__xludf.DUMMYFUNCTION("""COMPUTED_VALUE"""),"Padel")</f>
        <v>Padel</v>
      </c>
      <c r="O1093" s="7" t="str">
        <f>IFERROR(__xludf.DUMMYFUNCTION("""COMPUTED_VALUE"""),"3 a 5 veces por semana")</f>
        <v>3 a 5 veces por semana</v>
      </c>
      <c r="P1093" s="7"/>
      <c r="Q1093" s="7" t="str">
        <f>IFERROR(__xludf.DUMMYFUNCTION("""COMPUTED_VALUE"""),"AVALIAN")</f>
        <v>AVALIAN</v>
      </c>
      <c r="R1093" s="7"/>
      <c r="S1093" s="7"/>
    </row>
    <row r="1094">
      <c r="C1094" s="19">
        <f>IFERROR(__xludf.DUMMYFUNCTION("""COMPUTED_VALUE"""),45856.412070439816)</f>
        <v>45856.41207</v>
      </c>
      <c r="D1094" s="7" t="str">
        <f>IFERROR(__xludf.DUMMYFUNCTION("""COMPUTED_VALUE"""),"Lopez")</f>
        <v>Lopez</v>
      </c>
      <c r="E1094" s="7" t="str">
        <f>IFERROR(__xludf.DUMMYFUNCTION("""COMPUTED_VALUE"""),"Fernando")</f>
        <v>Fernando</v>
      </c>
      <c r="F1094" s="7" t="str">
        <f>IFERROR(__xludf.DUMMYFUNCTION("""COMPUTED_VALUE"""),"ferlopeziacc@gmail.com")</f>
        <v>ferlopeziacc@gmail.com</v>
      </c>
      <c r="G1094" s="20">
        <f>IFERROR(__xludf.DUMMYFUNCTION("""COMPUTED_VALUE"""),31010.0)</f>
        <v>31010</v>
      </c>
      <c r="H1094" s="7">
        <f>IFERROR(__xludf.DUMMYFUNCTION("""COMPUTED_VALUE"""),3.1219942E7)</f>
        <v>31219942</v>
      </c>
      <c r="I1094" s="7">
        <f>IFERROR(__xludf.DUMMYFUNCTION("""COMPUTED_VALUE"""),3.512043501E9)</f>
        <v>3512043501</v>
      </c>
      <c r="J1094" s="7" t="str">
        <f>IFERROR(__xludf.DUMMYFUNCTION("""COMPUTED_VALUE"""),"Instagram")</f>
        <v>Instagram</v>
      </c>
      <c r="K1094" s="7" t="str">
        <f>IFERROR(__xludf.DUMMYFUNCTION("""COMPUTED_VALUE"""),"Obra social")</f>
        <v>Obra social</v>
      </c>
      <c r="L1094" s="7"/>
      <c r="M1094" s="7" t="str">
        <f>IFERROR(__xludf.DUMMYFUNCTION("""COMPUTED_VALUE"""),"No")</f>
        <v>No</v>
      </c>
      <c r="N1094" s="7"/>
      <c r="O1094" s="7"/>
      <c r="P1094" s="7"/>
      <c r="Q1094" s="7" t="str">
        <f>IFERROR(__xludf.DUMMYFUNCTION("""COMPUTED_VALUE"""),"PREVENCIÓN")</f>
        <v>PREVENCIÓN</v>
      </c>
      <c r="R1094" s="7"/>
      <c r="S1094" s="7"/>
    </row>
    <row r="1095">
      <c r="C1095" s="19">
        <f>IFERROR(__xludf.DUMMYFUNCTION("""COMPUTED_VALUE"""),45859.756783854165)</f>
        <v>45859.75678</v>
      </c>
      <c r="D1095" s="7" t="str">
        <f>IFERROR(__xludf.DUMMYFUNCTION("""COMPUTED_VALUE"""),"Molina")</f>
        <v>Molina</v>
      </c>
      <c r="E1095" s="7" t="str">
        <f>IFERROR(__xludf.DUMMYFUNCTION("""COMPUTED_VALUE"""),"MATIAS")</f>
        <v>MATIAS</v>
      </c>
      <c r="F1095" s="7" t="str">
        <f>IFERROR(__xludf.DUMMYFUNCTION("""COMPUTED_VALUE"""),"matiasmolina18@hotmail.com")</f>
        <v>matiasmolina18@hotmail.com</v>
      </c>
      <c r="G1095" s="20">
        <f>IFERROR(__xludf.DUMMYFUNCTION("""COMPUTED_VALUE"""),31037.0)</f>
        <v>31037</v>
      </c>
      <c r="H1095" s="7">
        <f>IFERROR(__xludf.DUMMYFUNCTION("""COMPUTED_VALUE"""),3.1248064E7)</f>
        <v>31248064</v>
      </c>
      <c r="I1095" s="7">
        <f>IFERROR(__xludf.DUMMYFUNCTION("""COMPUTED_VALUE"""),3.571561064E9)</f>
        <v>3571561064</v>
      </c>
      <c r="J1095" s="7" t="str">
        <f>IFERROR(__xludf.DUMMYFUNCTION("""COMPUTED_VALUE"""),"Instagram")</f>
        <v>Instagram</v>
      </c>
      <c r="K1095" s="7" t="str">
        <f>IFERROR(__xludf.DUMMYFUNCTION("""COMPUTED_VALUE"""),"Obra social")</f>
        <v>Obra social</v>
      </c>
      <c r="L1095" s="7"/>
      <c r="M1095" s="7" t="str">
        <f>IFERROR(__xludf.DUMMYFUNCTION("""COMPUTED_VALUE"""),"Si")</f>
        <v>Si</v>
      </c>
      <c r="N1095" s="7" t="str">
        <f>IFERROR(__xludf.DUMMYFUNCTION("""COMPUTED_VALUE"""),"Voley")</f>
        <v>Voley</v>
      </c>
      <c r="O1095" s="7" t="str">
        <f>IFERROR(__xludf.DUMMYFUNCTION("""COMPUTED_VALUE"""),"1 a 2 veces por semana")</f>
        <v>1 a 2 veces por semana</v>
      </c>
      <c r="P1095" s="7"/>
      <c r="Q1095" s="7" t="str">
        <f>IFERROR(__xludf.DUMMYFUNCTION("""COMPUTED_VALUE"""),"PREVENCIÓN")</f>
        <v>PREVENCIÓN</v>
      </c>
      <c r="R1095" s="7"/>
      <c r="S1095" s="7"/>
    </row>
    <row r="1096">
      <c r="C1096" s="19">
        <f>IFERROR(__xludf.DUMMYFUNCTION("""COMPUTED_VALUE"""),45859.77779296297)</f>
        <v>45859.77779</v>
      </c>
      <c r="D1096" s="7" t="str">
        <f>IFERROR(__xludf.DUMMYFUNCTION("""COMPUTED_VALUE"""),"Moreno")</f>
        <v>Moreno</v>
      </c>
      <c r="E1096" s="7" t="str">
        <f>IFERROR(__xludf.DUMMYFUNCTION("""COMPUTED_VALUE"""),"Andrea")</f>
        <v>Andrea</v>
      </c>
      <c r="F1096" s="7"/>
      <c r="G1096" s="20">
        <f>IFERROR(__xludf.DUMMYFUNCTION("""COMPUTED_VALUE"""),31173.0)</f>
        <v>31173</v>
      </c>
      <c r="H1096" s="7">
        <f>IFERROR(__xludf.DUMMYFUNCTION("""COMPUTED_VALUE"""),3.4694478E7)</f>
        <v>34694478</v>
      </c>
      <c r="I1096" s="7">
        <f>IFERROR(__xludf.DUMMYFUNCTION("""COMPUTED_VALUE"""),3.543415153E9)</f>
        <v>3543415153</v>
      </c>
      <c r="J1096" s="7" t="str">
        <f>IFERROR(__xludf.DUMMYFUNCTION("""COMPUTED_VALUE"""),"Facebook")</f>
        <v>Facebook</v>
      </c>
      <c r="K1096" s="7" t="str">
        <f>IFERROR(__xludf.DUMMYFUNCTION("""COMPUTED_VALUE"""),"Particular")</f>
        <v>Particular</v>
      </c>
      <c r="L1096" s="7"/>
      <c r="M1096" s="7" t="str">
        <f>IFERROR(__xludf.DUMMYFUNCTION("""COMPUTED_VALUE"""),"No")</f>
        <v>No</v>
      </c>
      <c r="N1096" s="7"/>
      <c r="O1096" s="7"/>
      <c r="P1096" s="7"/>
      <c r="Q1096" s="7"/>
      <c r="R1096" s="7"/>
      <c r="S1096" s="7"/>
    </row>
    <row r="1097">
      <c r="C1097" s="19">
        <f>IFERROR(__xludf.DUMMYFUNCTION("""COMPUTED_VALUE"""),45860.48285612269)</f>
        <v>45860.48286</v>
      </c>
      <c r="D1097" s="7" t="str">
        <f>IFERROR(__xludf.DUMMYFUNCTION("""COMPUTED_VALUE"""),"Segovia")</f>
        <v>Segovia</v>
      </c>
      <c r="E1097" s="7" t="str">
        <f>IFERROR(__xludf.DUMMYFUNCTION("""COMPUTED_VALUE"""),"Ceclilia")</f>
        <v>Ceclilia</v>
      </c>
      <c r="F1097" s="7" t="str">
        <f>IFERROR(__xludf.DUMMYFUNCTION("""COMPUTED_VALUE"""),"Ceci_hahn@hotmail.com")</f>
        <v>Ceci_hahn@hotmail.com</v>
      </c>
      <c r="G1097" s="20">
        <f>IFERROR(__xludf.DUMMYFUNCTION("""COMPUTED_VALUE"""),27998.0)</f>
        <v>27998</v>
      </c>
      <c r="H1097" s="7">
        <f>IFERROR(__xludf.DUMMYFUNCTION("""COMPUTED_VALUE"""),2.545731E7)</f>
        <v>25457310</v>
      </c>
      <c r="I1097" s="7">
        <f>IFERROR(__xludf.DUMMYFUNCTION("""COMPUTED_VALUE"""),3.513934702E9)</f>
        <v>3513934702</v>
      </c>
      <c r="J1097" s="7" t="str">
        <f>IFERROR(__xludf.DUMMYFUNCTION("""COMPUTED_VALUE"""),"Voy al gym Manantial")</f>
        <v>Voy al gym Manantial</v>
      </c>
      <c r="K1097" s="7" t="str">
        <f>IFERROR(__xludf.DUMMYFUNCTION("""COMPUTED_VALUE"""),"Particular")</f>
        <v>Particular</v>
      </c>
      <c r="L1097" s="7"/>
      <c r="M1097" s="7" t="str">
        <f>IFERROR(__xludf.DUMMYFUNCTION("""COMPUTED_VALUE"""),"Si")</f>
        <v>Si</v>
      </c>
      <c r="N1097" s="7" t="str">
        <f>IFERROR(__xludf.DUMMYFUNCTION("""COMPUTED_VALUE"""),"Gimnasio")</f>
        <v>Gimnasio</v>
      </c>
      <c r="O1097" s="7" t="str">
        <f>IFERROR(__xludf.DUMMYFUNCTION("""COMPUTED_VALUE"""),"1 a 2 veces por semana")</f>
        <v>1 a 2 veces por semana</v>
      </c>
      <c r="P1097" s="7"/>
      <c r="Q1097" s="7"/>
      <c r="R1097" s="7"/>
      <c r="S1097" s="7"/>
    </row>
    <row r="1098">
      <c r="C1098" s="19">
        <f>IFERROR(__xludf.DUMMYFUNCTION("""COMPUTED_VALUE"""),45860.66487420139)</f>
        <v>45860.66487</v>
      </c>
      <c r="D1098" s="7" t="str">
        <f>IFERROR(__xludf.DUMMYFUNCTION("""COMPUTED_VALUE"""),"FIGLIOLIA")</f>
        <v>FIGLIOLIA</v>
      </c>
      <c r="E1098" s="7" t="str">
        <f>IFERROR(__xludf.DUMMYFUNCTION("""COMPUTED_VALUE"""),"Alejandro")</f>
        <v>Alejandro</v>
      </c>
      <c r="F1098" s="7" t="str">
        <f>IFERROR(__xludf.DUMMYFUNCTION("""COMPUTED_VALUE"""),"Alejandrolucasfigliolia@gmail.com")</f>
        <v>Alejandrolucasfigliolia@gmail.com</v>
      </c>
      <c r="G1098" s="20">
        <f>IFERROR(__xludf.DUMMYFUNCTION("""COMPUTED_VALUE"""),45846.0)</f>
        <v>45846</v>
      </c>
      <c r="H1098" s="7">
        <f>IFERROR(__xludf.DUMMYFUNCTION("""COMPUTED_VALUE"""),1.7384023E7)</f>
        <v>17384023</v>
      </c>
      <c r="I1098" s="7">
        <f>IFERROR(__xludf.DUMMYFUNCTION("""COMPUTED_VALUE"""),3.513840039E9)</f>
        <v>3513840039</v>
      </c>
      <c r="J1098" s="7" t="str">
        <f>IFERROR(__xludf.DUMMYFUNCTION("""COMPUTED_VALUE"""),"En persona")</f>
        <v>En persona</v>
      </c>
      <c r="K1098" s="7" t="str">
        <f>IFERROR(__xludf.DUMMYFUNCTION("""COMPUTED_VALUE"""),"Obra social")</f>
        <v>Obra social</v>
      </c>
      <c r="L1098" s="7"/>
      <c r="M1098" s="7"/>
      <c r="N1098" s="7" t="str">
        <f>IFERROR(__xludf.DUMMYFUNCTION("""COMPUTED_VALUE"""),"Truco")</f>
        <v>Truco</v>
      </c>
      <c r="O1098" s="7" t="str">
        <f>IFERROR(__xludf.DUMMYFUNCTION("""COMPUTED_VALUE"""),"3 a 5 veces por semana")</f>
        <v>3 a 5 veces por semana</v>
      </c>
      <c r="P1098" s="7"/>
      <c r="Q1098" s="7" t="str">
        <f>IFERROR(__xludf.DUMMYFUNCTION("""COMPUTED_VALUE"""),"Medife")</f>
        <v>Medife</v>
      </c>
      <c r="R1098" s="7"/>
      <c r="S1098" s="7"/>
    </row>
    <row r="1099">
      <c r="C1099" s="19">
        <f>IFERROR(__xludf.DUMMYFUNCTION("""COMPUTED_VALUE"""),45860.79663482639)</f>
        <v>45860.79663</v>
      </c>
      <c r="D1099" s="7" t="str">
        <f>IFERROR(__xludf.DUMMYFUNCTION("""COMPUTED_VALUE"""),"Perea")</f>
        <v>Perea</v>
      </c>
      <c r="E1099" s="7" t="str">
        <f>IFERROR(__xludf.DUMMYFUNCTION("""COMPUTED_VALUE"""),"Gabriela")</f>
        <v>Gabriela</v>
      </c>
      <c r="F1099" s="7"/>
      <c r="G1099" s="20">
        <f>IFERROR(__xludf.DUMMYFUNCTION("""COMPUTED_VALUE"""),24106.0)</f>
        <v>24106</v>
      </c>
      <c r="H1099" s="7">
        <f>IFERROR(__xludf.DUMMYFUNCTION("""COMPUTED_VALUE"""),1.7627422E7)</f>
        <v>17627422</v>
      </c>
      <c r="I1099" s="7">
        <f>IFERROR(__xludf.DUMMYFUNCTION("""COMPUTED_VALUE"""),3.51240092E9)</f>
        <v>3512400920</v>
      </c>
      <c r="J1099" s="7" t="str">
        <f>IFERROR(__xludf.DUMMYFUNCTION("""COMPUTED_VALUE"""),"Recomendación")</f>
        <v>Recomendación</v>
      </c>
      <c r="K1099" s="7" t="str">
        <f>IFERROR(__xludf.DUMMYFUNCTION("""COMPUTED_VALUE"""),"Particular")</f>
        <v>Particular</v>
      </c>
      <c r="L1099" s="7"/>
      <c r="M1099" s="7" t="str">
        <f>IFERROR(__xludf.DUMMYFUNCTION("""COMPUTED_VALUE"""),"Si")</f>
        <v>Si</v>
      </c>
      <c r="N1099" s="7" t="str">
        <f>IFERROR(__xludf.DUMMYFUNCTION("""COMPUTED_VALUE"""),"Básquet")</f>
        <v>Básquet</v>
      </c>
      <c r="O1099" s="7" t="str">
        <f>IFERROR(__xludf.DUMMYFUNCTION("""COMPUTED_VALUE"""),"3 a 5 veces por semana")</f>
        <v>3 a 5 veces por semana</v>
      </c>
      <c r="P1099" s="7"/>
      <c r="Q1099" s="7"/>
      <c r="R1099" s="7"/>
      <c r="S1099" s="7"/>
    </row>
    <row r="1100">
      <c r="C1100" s="19">
        <f>IFERROR(__xludf.DUMMYFUNCTION("""COMPUTED_VALUE"""),45860.804377395834)</f>
        <v>45860.80438</v>
      </c>
      <c r="D1100" s="7" t="str">
        <f>IFERROR(__xludf.DUMMYFUNCTION("""COMPUTED_VALUE"""),"Barrio")</f>
        <v>Barrio</v>
      </c>
      <c r="E1100" s="7" t="str">
        <f>IFERROR(__xludf.DUMMYFUNCTION("""COMPUTED_VALUE"""),"Luis Pablo")</f>
        <v>Luis Pablo</v>
      </c>
      <c r="F1100" s="7" t="str">
        <f>IFERROR(__xludf.DUMMYFUNCTION("""COMPUTED_VALUE"""),"barrio.luispablo@gmail.colm")</f>
        <v>barrio.luispablo@gmail.colm</v>
      </c>
      <c r="G1100" s="20">
        <f>IFERROR(__xludf.DUMMYFUNCTION("""COMPUTED_VALUE"""),29176.0)</f>
        <v>29176</v>
      </c>
      <c r="H1100" s="7">
        <f>IFERROR(__xludf.DUMMYFUNCTION("""COMPUTED_VALUE"""),2.7656189E7)</f>
        <v>27656189</v>
      </c>
      <c r="I1100" s="7">
        <f>IFERROR(__xludf.DUMMYFUNCTION("""COMPUTED_VALUE"""),3.5163218E9)</f>
        <v>3516321800</v>
      </c>
      <c r="J1100" s="7" t="str">
        <f>IFERROR(__xludf.DUMMYFUNCTION("""COMPUTED_VALUE"""),"Google")</f>
        <v>Google</v>
      </c>
      <c r="K1100" s="7" t="str">
        <f>IFERROR(__xludf.DUMMYFUNCTION("""COMPUTED_VALUE"""),"Particular")</f>
        <v>Particular</v>
      </c>
      <c r="L1100" s="7"/>
      <c r="M1100" s="7" t="str">
        <f>IFERROR(__xludf.DUMMYFUNCTION("""COMPUTED_VALUE"""),"Si")</f>
        <v>Si</v>
      </c>
      <c r="N1100" s="7" t="str">
        <f>IFERROR(__xludf.DUMMYFUNCTION("""COMPUTED_VALUE"""),"Fútbol")</f>
        <v>Fútbol</v>
      </c>
      <c r="O1100" s="7" t="str">
        <f>IFERROR(__xludf.DUMMYFUNCTION("""COMPUTED_VALUE"""),"1 a 2 veces por semana")</f>
        <v>1 a 2 veces por semana</v>
      </c>
      <c r="P1100" s="7"/>
      <c r="Q1100" s="7"/>
      <c r="R1100" s="7"/>
      <c r="S1100" s="7"/>
    </row>
    <row r="1101">
      <c r="C1101" s="19">
        <f>IFERROR(__xludf.DUMMYFUNCTION("""COMPUTED_VALUE"""),45861.50443271991)</f>
        <v>45861.50443</v>
      </c>
      <c r="D1101" s="7" t="str">
        <f>IFERROR(__xludf.DUMMYFUNCTION("""COMPUTED_VALUE"""),"Guell")</f>
        <v>Guell</v>
      </c>
      <c r="E1101" s="7" t="str">
        <f>IFERROR(__xludf.DUMMYFUNCTION("""COMPUTED_VALUE"""),"Tomas")</f>
        <v>Tomas</v>
      </c>
      <c r="F1101" s="7"/>
      <c r="G1101" s="20">
        <f>IFERROR(__xludf.DUMMYFUNCTION("""COMPUTED_VALUE"""),38460.0)</f>
        <v>38460</v>
      </c>
      <c r="H1101" s="7">
        <f>IFERROR(__xludf.DUMMYFUNCTION("""COMPUTED_VALUE"""),4.6222431E7)</f>
        <v>46222431</v>
      </c>
      <c r="I1101" s="7">
        <f>IFERROR(__xludf.DUMMYFUNCTION("""COMPUTED_VALUE"""),3.517057308E9)</f>
        <v>3517057308</v>
      </c>
      <c r="J1101" s="7" t="str">
        <f>IFERROR(__xludf.DUMMYFUNCTION("""COMPUTED_VALUE"""),"Recomendación")</f>
        <v>Recomendación</v>
      </c>
      <c r="K1101" s="7" t="str">
        <f>IFERROR(__xludf.DUMMYFUNCTION("""COMPUTED_VALUE"""),"Particular")</f>
        <v>Particular</v>
      </c>
      <c r="L1101" s="7"/>
      <c r="M1101" s="7" t="str">
        <f>IFERROR(__xludf.DUMMYFUNCTION("""COMPUTED_VALUE"""),"Si")</f>
        <v>Si</v>
      </c>
      <c r="N1101" s="7" t="str">
        <f>IFERROR(__xludf.DUMMYFUNCTION("""COMPUTED_VALUE"""),"Gimnasio")</f>
        <v>Gimnasio</v>
      </c>
      <c r="O1101" s="7" t="str">
        <f>IFERROR(__xludf.DUMMYFUNCTION("""COMPUTED_VALUE"""),"1 a 2 veces por semana")</f>
        <v>1 a 2 veces por semana</v>
      </c>
      <c r="P1101" s="7"/>
      <c r="Q1101" s="7"/>
      <c r="R1101" s="7"/>
      <c r="S1101" s="7"/>
    </row>
    <row r="1102">
      <c r="C1102" s="19">
        <f>IFERROR(__xludf.DUMMYFUNCTION("""COMPUTED_VALUE"""),45861.509317881944)</f>
        <v>45861.50932</v>
      </c>
      <c r="D1102" s="7" t="str">
        <f>IFERROR(__xludf.DUMMYFUNCTION("""COMPUTED_VALUE"""),"Reyes ")</f>
        <v>Reyes </v>
      </c>
      <c r="E1102" s="7" t="str">
        <f>IFERROR(__xludf.DUMMYFUNCTION("""COMPUTED_VALUE"""),"Juan Jorge")</f>
        <v>Juan Jorge</v>
      </c>
      <c r="F1102" s="7"/>
      <c r="G1102" s="20">
        <f>IFERROR(__xludf.DUMMYFUNCTION("""COMPUTED_VALUE"""),18989.0)</f>
        <v>18989</v>
      </c>
      <c r="H1102" s="7">
        <f>IFERROR(__xludf.DUMMYFUNCTION("""COMPUTED_VALUE"""),1.0204252E7)</f>
        <v>10204252</v>
      </c>
      <c r="I1102" s="7">
        <f>IFERROR(__xludf.DUMMYFUNCTION("""COMPUTED_VALUE"""),3.512521684E9)</f>
        <v>3512521684</v>
      </c>
      <c r="J1102" s="7" t="str">
        <f>IFERROR(__xludf.DUMMYFUNCTION("""COMPUTED_VALUE"""),"Google")</f>
        <v>Google</v>
      </c>
      <c r="K1102" s="7" t="str">
        <f>IFERROR(__xludf.DUMMYFUNCTION("""COMPUTED_VALUE"""),"Particular")</f>
        <v>Particular</v>
      </c>
      <c r="L1102" s="7"/>
      <c r="M1102" s="7" t="str">
        <f>IFERROR(__xludf.DUMMYFUNCTION("""COMPUTED_VALUE"""),"Si")</f>
        <v>Si</v>
      </c>
      <c r="N1102" s="7" t="str">
        <f>IFERROR(__xludf.DUMMYFUNCTION("""COMPUTED_VALUE"""),"caminata")</f>
        <v>caminata</v>
      </c>
      <c r="O1102" s="7" t="str">
        <f>IFERROR(__xludf.DUMMYFUNCTION("""COMPUTED_VALUE"""),"3 a 5 veces por semana")</f>
        <v>3 a 5 veces por semana</v>
      </c>
      <c r="P1102" s="7"/>
      <c r="Q1102" s="7"/>
      <c r="R1102" s="7"/>
      <c r="S1102" s="7"/>
    </row>
    <row r="1103">
      <c r="C1103" s="19">
        <f>IFERROR(__xludf.DUMMYFUNCTION("""COMPUTED_VALUE"""),45861.80217946759)</f>
        <v>45861.80218</v>
      </c>
      <c r="D1103" s="7" t="str">
        <f>IFERROR(__xludf.DUMMYFUNCTION("""COMPUTED_VALUE"""),"Lanfranchi")</f>
        <v>Lanfranchi</v>
      </c>
      <c r="E1103" s="7" t="str">
        <f>IFERROR(__xludf.DUMMYFUNCTION("""COMPUTED_VALUE"""),"Micaela Gisel")</f>
        <v>Micaela Gisel</v>
      </c>
      <c r="F1103" s="7" t="str">
        <f>IFERROR(__xludf.DUMMYFUNCTION("""COMPUTED_VALUE"""),"micalanfranchi@gmail.com")</f>
        <v>micalanfranchi@gmail.com</v>
      </c>
      <c r="G1103" s="20">
        <f>IFERROR(__xludf.DUMMYFUNCTION("""COMPUTED_VALUE"""),34360.0)</f>
        <v>34360</v>
      </c>
      <c r="H1103" s="7">
        <f>IFERROR(__xludf.DUMMYFUNCTION("""COMPUTED_VALUE"""),3.8002106E7)</f>
        <v>38002106</v>
      </c>
      <c r="I1103" s="7">
        <f>IFERROR(__xludf.DUMMYFUNCTION("""COMPUTED_VALUE"""),3.517645188E9)</f>
        <v>3517645188</v>
      </c>
      <c r="J1103" s="7" t="str">
        <f>IFERROR(__xludf.DUMMYFUNCTION("""COMPUTED_VALUE"""),"Recomendación")</f>
        <v>Recomendación</v>
      </c>
      <c r="K1103" s="7" t="str">
        <f>IFERROR(__xludf.DUMMYFUNCTION("""COMPUTED_VALUE"""),"Particular")</f>
        <v>Particular</v>
      </c>
      <c r="L1103" s="7"/>
      <c r="M1103" s="7" t="str">
        <f>IFERROR(__xludf.DUMMYFUNCTION("""COMPUTED_VALUE"""),"Si")</f>
        <v>Si</v>
      </c>
      <c r="N1103" s="7" t="str">
        <f>IFERROR(__xludf.DUMMYFUNCTION("""COMPUTED_VALUE"""),"Fútbol")</f>
        <v>Fútbol</v>
      </c>
      <c r="O1103" s="7" t="str">
        <f>IFERROR(__xludf.DUMMYFUNCTION("""COMPUTED_VALUE"""),"1 a 2 veces por semana")</f>
        <v>1 a 2 veces por semana</v>
      </c>
      <c r="P1103" s="7"/>
      <c r="Q1103" s="7"/>
      <c r="R1103" s="7"/>
      <c r="S1103" s="7"/>
    </row>
    <row r="1104">
      <c r="C1104" s="19">
        <f>IFERROR(__xludf.DUMMYFUNCTION("""COMPUTED_VALUE"""),45861.830342326386)</f>
        <v>45861.83034</v>
      </c>
      <c r="D1104" s="7" t="str">
        <f>IFERROR(__xludf.DUMMYFUNCTION("""COMPUTED_VALUE"""),"Nuccetelli Nieto ")</f>
        <v>Nuccetelli Nieto </v>
      </c>
      <c r="E1104" s="7" t="str">
        <f>IFERROR(__xludf.DUMMYFUNCTION("""COMPUTED_VALUE"""),"Simón ")</f>
        <v>Simón </v>
      </c>
      <c r="F1104" s="7" t="str">
        <f>IFERROR(__xludf.DUMMYFUNCTION("""COMPUTED_VALUE"""),"fedenuche@gmail.com")</f>
        <v>fedenuche@gmail.com</v>
      </c>
      <c r="G1104" s="20">
        <f>IFERROR(__xludf.DUMMYFUNCTION("""COMPUTED_VALUE"""),42229.0)</f>
        <v>42229</v>
      </c>
      <c r="H1104" s="7">
        <f>IFERROR(__xludf.DUMMYFUNCTION("""COMPUTED_VALUE"""),5.3735763E7)</f>
        <v>53735763</v>
      </c>
      <c r="I1104" s="7">
        <f>IFERROR(__xludf.DUMMYFUNCTION("""COMPUTED_VALUE"""),3.512378483E9)</f>
        <v>3512378483</v>
      </c>
      <c r="J1104" s="7" t="str">
        <f>IFERROR(__xludf.DUMMYFUNCTION("""COMPUTED_VALUE"""),"Recomendación")</f>
        <v>Recomendación</v>
      </c>
      <c r="K1104" s="7" t="str">
        <f>IFERROR(__xludf.DUMMYFUNCTION("""COMPUTED_VALUE"""),"Obra social")</f>
        <v>Obra social</v>
      </c>
      <c r="L1104" s="7"/>
      <c r="M1104" s="7" t="str">
        <f>IFERROR(__xludf.DUMMYFUNCTION("""COMPUTED_VALUE"""),"Si")</f>
        <v>Si</v>
      </c>
      <c r="N1104" s="7" t="str">
        <f>IFERROR(__xludf.DUMMYFUNCTION("""COMPUTED_VALUE"""),"Fútbol")</f>
        <v>Fútbol</v>
      </c>
      <c r="O1104" s="7" t="str">
        <f>IFERROR(__xludf.DUMMYFUNCTION("""COMPUTED_VALUE"""),"3 a 5 veces por semana")</f>
        <v>3 a 5 veces por semana</v>
      </c>
      <c r="P1104" s="7"/>
      <c r="Q1104" s="7" t="str">
        <f>IFERROR(__xludf.DUMMYFUNCTION("""COMPUTED_VALUE"""),"DASPU")</f>
        <v>DASPU</v>
      </c>
      <c r="R1104" s="7"/>
      <c r="S1104" s="7"/>
    </row>
    <row r="1105">
      <c r="C1105" s="19">
        <f>IFERROR(__xludf.DUMMYFUNCTION("""COMPUTED_VALUE"""),45862.59126239583)</f>
        <v>45862.59126</v>
      </c>
      <c r="D1105" s="7" t="str">
        <f>IFERROR(__xludf.DUMMYFUNCTION("""COMPUTED_VALUE"""),"Tavella")</f>
        <v>Tavella</v>
      </c>
      <c r="E1105" s="7" t="str">
        <f>IFERROR(__xludf.DUMMYFUNCTION("""COMPUTED_VALUE"""),"Marina")</f>
        <v>Marina</v>
      </c>
      <c r="F1105" s="7" t="str">
        <f>IFERROR(__xludf.DUMMYFUNCTION("""COMPUTED_VALUE"""),"mmtavella@gmail.com")</f>
        <v>mmtavella@gmail.com</v>
      </c>
      <c r="G1105" s="20">
        <f>IFERROR(__xludf.DUMMYFUNCTION("""COMPUTED_VALUE"""),29361.0)</f>
        <v>29361</v>
      </c>
      <c r="H1105" s="7">
        <f>IFERROR(__xludf.DUMMYFUNCTION("""COMPUTED_VALUE"""),2.8041783E7)</f>
        <v>28041783</v>
      </c>
      <c r="I1105" s="7">
        <f>IFERROR(__xludf.DUMMYFUNCTION("""COMPUTED_VALUE"""),3.515110589E9)</f>
        <v>3515110589</v>
      </c>
      <c r="J1105" s="7" t="str">
        <f>IFERROR(__xludf.DUMMYFUNCTION("""COMPUTED_VALUE"""),"Recomendación")</f>
        <v>Recomendación</v>
      </c>
      <c r="K1105" s="7" t="str">
        <f>IFERROR(__xludf.DUMMYFUNCTION("""COMPUTED_VALUE"""),"Particular")</f>
        <v>Particular</v>
      </c>
      <c r="L1105" s="7"/>
      <c r="M1105" s="7" t="str">
        <f>IFERROR(__xludf.DUMMYFUNCTION("""COMPUTED_VALUE"""),"Si")</f>
        <v>Si</v>
      </c>
      <c r="N1105" s="7" t="str">
        <f>IFERROR(__xludf.DUMMYFUNCTION("""COMPUTED_VALUE"""),"Gimnasio")</f>
        <v>Gimnasio</v>
      </c>
      <c r="O1105" s="7" t="str">
        <f>IFERROR(__xludf.DUMMYFUNCTION("""COMPUTED_VALUE"""),"1 a 2 veces por semana")</f>
        <v>1 a 2 veces por semana</v>
      </c>
      <c r="P1105" s="7"/>
      <c r="Q1105" s="7"/>
      <c r="R1105" s="7"/>
      <c r="S1105" s="7"/>
    </row>
    <row r="1106">
      <c r="C1106" s="19">
        <f>IFERROR(__xludf.DUMMYFUNCTION("""COMPUTED_VALUE"""),45862.72927196759)</f>
        <v>45862.72927</v>
      </c>
      <c r="D1106" s="7" t="str">
        <f>IFERROR(__xludf.DUMMYFUNCTION("""COMPUTED_VALUE"""),"Corbella")</f>
        <v>Corbella</v>
      </c>
      <c r="E1106" s="7" t="str">
        <f>IFERROR(__xludf.DUMMYFUNCTION("""COMPUTED_VALUE"""),"Graciela")</f>
        <v>Graciela</v>
      </c>
      <c r="F1106" s="7" t="str">
        <f>IFERROR(__xludf.DUMMYFUNCTION("""COMPUTED_VALUE"""),"gracorbella@hotmail.com")</f>
        <v>gracorbella@hotmail.com</v>
      </c>
      <c r="G1106" s="20">
        <f>IFERROR(__xludf.DUMMYFUNCTION("""COMPUTED_VALUE"""),-671818.0)</f>
        <v>-671818</v>
      </c>
      <c r="H1106" s="7">
        <f>IFERROR(__xludf.DUMMYFUNCTION("""COMPUTED_VALUE"""),1.4154508E7)</f>
        <v>14154508</v>
      </c>
      <c r="I1106" s="7">
        <f>IFERROR(__xludf.DUMMYFUNCTION("""COMPUTED_VALUE"""),3.513135683E9)</f>
        <v>3513135683</v>
      </c>
      <c r="J1106" s="7" t="str">
        <f>IFERROR(__xludf.DUMMYFUNCTION("""COMPUTED_VALUE"""),"Recomendación")</f>
        <v>Recomendación</v>
      </c>
      <c r="K1106" s="7" t="str">
        <f>IFERROR(__xludf.DUMMYFUNCTION("""COMPUTED_VALUE"""),"Obra social")</f>
        <v>Obra social</v>
      </c>
      <c r="L1106" s="7"/>
      <c r="M1106" s="7" t="str">
        <f>IFERROR(__xludf.DUMMYFUNCTION("""COMPUTED_VALUE"""),"Si")</f>
        <v>Si</v>
      </c>
      <c r="N1106" s="7" t="str">
        <f>IFERROR(__xludf.DUMMYFUNCTION("""COMPUTED_VALUE"""),"Baile")</f>
        <v>Baile</v>
      </c>
      <c r="O1106" s="7" t="str">
        <f>IFERROR(__xludf.DUMMYFUNCTION("""COMPUTED_VALUE"""),"1 a 2 veces por semana")</f>
        <v>1 a 2 veces por semana</v>
      </c>
      <c r="P1106" s="7"/>
      <c r="Q1106" s="7" t="str">
        <f>IFERROR(__xludf.DUMMYFUNCTION("""COMPUTED_VALUE"""),"Ciencias  Economicas")</f>
        <v>Ciencias  Economicas</v>
      </c>
      <c r="R1106" s="7"/>
      <c r="S1106" s="7"/>
    </row>
    <row r="1107">
      <c r="C1107" s="19">
        <f>IFERROR(__xludf.DUMMYFUNCTION("""COMPUTED_VALUE"""),45862.733105046296)</f>
        <v>45862.73311</v>
      </c>
      <c r="D1107" s="7" t="str">
        <f>IFERROR(__xludf.DUMMYFUNCTION("""COMPUTED_VALUE"""),"Ruibal")</f>
        <v>Ruibal</v>
      </c>
      <c r="E1107" s="7" t="str">
        <f>IFERROR(__xludf.DUMMYFUNCTION("""COMPUTED_VALUE"""),"Oscar")</f>
        <v>Oscar</v>
      </c>
      <c r="F1107" s="7" t="str">
        <f>IFERROR(__xludf.DUMMYFUNCTION("""COMPUTED_VALUE"""),"oruibal@uepc.org.ar")</f>
        <v>oruibal@uepc.org.ar</v>
      </c>
      <c r="G1107" s="20">
        <f>IFERROR(__xludf.DUMMYFUNCTION("""COMPUTED_VALUE"""),20348.0)</f>
        <v>20348</v>
      </c>
      <c r="H1107" s="7">
        <f>IFERROR(__xludf.DUMMYFUNCTION("""COMPUTED_VALUE"""),1.1974933E7)</f>
        <v>11974933</v>
      </c>
      <c r="I1107" s="7">
        <f>IFERROR(__xludf.DUMMYFUNCTION("""COMPUTED_VALUE"""),3.515451065E9)</f>
        <v>3515451065</v>
      </c>
      <c r="J1107" s="7" t="str">
        <f>IFERROR(__xludf.DUMMYFUNCTION("""COMPUTED_VALUE"""),"Recomendación")</f>
        <v>Recomendación</v>
      </c>
      <c r="K1107" s="7" t="str">
        <f>IFERROR(__xludf.DUMMYFUNCTION("""COMPUTED_VALUE"""),"Obra social")</f>
        <v>Obra social</v>
      </c>
      <c r="L1107" s="7"/>
      <c r="M1107" s="7" t="str">
        <f>IFERROR(__xludf.DUMMYFUNCTION("""COMPUTED_VALUE"""),"No")</f>
        <v>No</v>
      </c>
      <c r="N1107" s="7"/>
      <c r="O1107" s="7"/>
      <c r="P1107" s="7"/>
      <c r="Q1107" s="7" t="str">
        <f>IFERROR(__xludf.DUMMYFUNCTION("""COMPUTED_VALUE"""),"APROSS")</f>
        <v>APROSS</v>
      </c>
      <c r="R1107" s="7"/>
      <c r="S1107" s="7"/>
    </row>
    <row r="1108">
      <c r="C1108" s="19">
        <f>IFERROR(__xludf.DUMMYFUNCTION("""COMPUTED_VALUE"""),45862.78234542824)</f>
        <v>45862.78235</v>
      </c>
      <c r="D1108" s="7" t="str">
        <f>IFERROR(__xludf.DUMMYFUNCTION("""COMPUTED_VALUE"""),"Pereyra")</f>
        <v>Pereyra</v>
      </c>
      <c r="E1108" s="7" t="str">
        <f>IFERROR(__xludf.DUMMYFUNCTION("""COMPUTED_VALUE"""),"Laura Susana ")</f>
        <v>Laura Susana </v>
      </c>
      <c r="F1108" s="7" t="str">
        <f>IFERROR(__xludf.DUMMYFUNCTION("""COMPUTED_VALUE"""),"laurapereyra5@gmail.com")</f>
        <v>laurapereyra5@gmail.com</v>
      </c>
      <c r="G1108" s="20">
        <f>IFERROR(__xludf.DUMMYFUNCTION("""COMPUTED_VALUE"""),30801.0)</f>
        <v>30801</v>
      </c>
      <c r="H1108" s="7">
        <f>IFERROR(__xludf.DUMMYFUNCTION("""COMPUTED_VALUE"""),3.055215E7)</f>
        <v>30552150</v>
      </c>
      <c r="I1108" s="7">
        <f>IFERROR(__xludf.DUMMYFUNCTION("""COMPUTED_VALUE"""),3.512390336E9)</f>
        <v>3512390336</v>
      </c>
      <c r="J1108" s="7" t="str">
        <f>IFERROR(__xludf.DUMMYFUNCTION("""COMPUTED_VALUE"""),"Recomendación")</f>
        <v>Recomendación</v>
      </c>
      <c r="K1108" s="7" t="str">
        <f>IFERROR(__xludf.DUMMYFUNCTION("""COMPUTED_VALUE"""),"Particular")</f>
        <v>Particular</v>
      </c>
      <c r="L1108" s="7"/>
      <c r="M1108" s="7" t="str">
        <f>IFERROR(__xludf.DUMMYFUNCTION("""COMPUTED_VALUE"""),"Si")</f>
        <v>Si</v>
      </c>
      <c r="N1108" s="7" t="str">
        <f>IFERROR(__xludf.DUMMYFUNCTION("""COMPUTED_VALUE"""),"Running")</f>
        <v>Running</v>
      </c>
      <c r="O1108" s="7" t="str">
        <f>IFERROR(__xludf.DUMMYFUNCTION("""COMPUTED_VALUE"""),"3 a 5 veces por semana")</f>
        <v>3 a 5 veces por semana</v>
      </c>
      <c r="P1108" s="7"/>
      <c r="Q1108" s="7"/>
      <c r="R1108" s="7"/>
      <c r="S1108" s="7"/>
    </row>
    <row r="1109">
      <c r="C1109" s="19">
        <f>IFERROR(__xludf.DUMMYFUNCTION("""COMPUTED_VALUE"""),45863.74732599537)</f>
        <v>45863.74733</v>
      </c>
      <c r="D1109" s="7" t="str">
        <f>IFERROR(__xludf.DUMMYFUNCTION("""COMPUTED_VALUE"""),"Calderon")</f>
        <v>Calderon</v>
      </c>
      <c r="E1109" s="7" t="str">
        <f>IFERROR(__xludf.DUMMYFUNCTION("""COMPUTED_VALUE"""),"Diana Marcela")</f>
        <v>Diana Marcela</v>
      </c>
      <c r="F1109" s="7" t="str">
        <f>IFERROR(__xludf.DUMMYFUNCTION("""COMPUTED_VALUE"""),"calderon.marcela8@gmail.com")</f>
        <v>calderon.marcela8@gmail.com</v>
      </c>
      <c r="G1109" s="20">
        <f>IFERROR(__xludf.DUMMYFUNCTION("""COMPUTED_VALUE"""),24390.0)</f>
        <v>24390</v>
      </c>
      <c r="H1109" s="7">
        <f>IFERROR(__xludf.DUMMYFUNCTION("""COMPUTED_VALUE"""),1.7822869E7)</f>
        <v>17822869</v>
      </c>
      <c r="I1109" s="7">
        <f>IFERROR(__xludf.DUMMYFUNCTION("""COMPUTED_VALUE"""),3.515123931E9)</f>
        <v>3515123931</v>
      </c>
      <c r="J1109" s="7" t="str">
        <f>IFERROR(__xludf.DUMMYFUNCTION("""COMPUTED_VALUE"""),"Recomendación")</f>
        <v>Recomendación</v>
      </c>
      <c r="K1109" s="7" t="str">
        <f>IFERROR(__xludf.DUMMYFUNCTION("""COMPUTED_VALUE"""),"Obra social")</f>
        <v>Obra social</v>
      </c>
      <c r="L1109" s="7"/>
      <c r="M1109" s="7" t="str">
        <f>IFERROR(__xludf.DUMMYFUNCTION("""COMPUTED_VALUE"""),"No")</f>
        <v>No</v>
      </c>
      <c r="N1109" s="7"/>
      <c r="O1109" s="7"/>
      <c r="P1109" s="7"/>
      <c r="Q1109" s="7" t="str">
        <f>IFERROR(__xludf.DUMMYFUNCTION("""COMPUTED_VALUE"""),"APROSS")</f>
        <v>APROSS</v>
      </c>
      <c r="R1109" s="7"/>
      <c r="S1109" s="7"/>
    </row>
    <row r="1110">
      <c r="C1110" s="19">
        <f>IFERROR(__xludf.DUMMYFUNCTION("""COMPUTED_VALUE"""),45863.751982037036)</f>
        <v>45863.75198</v>
      </c>
      <c r="D1110" s="7" t="str">
        <f>IFERROR(__xludf.DUMMYFUNCTION("""COMPUTED_VALUE"""),"andrada")</f>
        <v>andrada</v>
      </c>
      <c r="E1110" s="7" t="str">
        <f>IFERROR(__xludf.DUMMYFUNCTION("""COMPUTED_VALUE"""),"Jonathan david")</f>
        <v>Jonathan david</v>
      </c>
      <c r="F1110" s="7"/>
      <c r="G1110" s="20">
        <f>IFERROR(__xludf.DUMMYFUNCTION("""COMPUTED_VALUE"""),45857.0)</f>
        <v>45857</v>
      </c>
      <c r="H1110" s="7">
        <f>IFERROR(__xludf.DUMMYFUNCTION("""COMPUTED_VALUE"""),3.4767741E7)</f>
        <v>34767741</v>
      </c>
      <c r="I1110" s="7">
        <f>IFERROR(__xludf.DUMMYFUNCTION("""COMPUTED_VALUE"""),3.517615305E9)</f>
        <v>3517615305</v>
      </c>
      <c r="J1110" s="7" t="str">
        <f>IFERROR(__xludf.DUMMYFUNCTION("""COMPUTED_VALUE"""),"Recomendación")</f>
        <v>Recomendación</v>
      </c>
      <c r="K1110" s="7" t="str">
        <f>IFERROR(__xludf.DUMMYFUNCTION("""COMPUTED_VALUE"""),"Particular")</f>
        <v>Particular</v>
      </c>
      <c r="L1110" s="7"/>
      <c r="M1110" s="7" t="str">
        <f>IFERROR(__xludf.DUMMYFUNCTION("""COMPUTED_VALUE"""),"Si")</f>
        <v>Si</v>
      </c>
      <c r="N1110" s="7" t="str">
        <f>IFERROR(__xludf.DUMMYFUNCTION("""COMPUTED_VALUE"""),"Fútbol")</f>
        <v>Fútbol</v>
      </c>
      <c r="O1110" s="7" t="str">
        <f>IFERROR(__xludf.DUMMYFUNCTION("""COMPUTED_VALUE"""),"1 a 2 veces por semana")</f>
        <v>1 a 2 veces por semana</v>
      </c>
      <c r="P1110" s="7"/>
      <c r="Q1110" s="7"/>
      <c r="R1110" s="7"/>
      <c r="S1110" s="7"/>
    </row>
    <row r="1111">
      <c r="C1111" s="19">
        <f>IFERROR(__xludf.DUMMYFUNCTION("""COMPUTED_VALUE"""),45866.718181435186)</f>
        <v>45866.71818</v>
      </c>
      <c r="D1111" s="7" t="str">
        <f>IFERROR(__xludf.DUMMYFUNCTION("""COMPUTED_VALUE"""),"NIBEYRO")</f>
        <v>NIBEYRO</v>
      </c>
      <c r="E1111" s="7" t="str">
        <f>IFERROR(__xludf.DUMMYFUNCTION("""COMPUTED_VALUE"""),"Ariadna")</f>
        <v>Ariadna</v>
      </c>
      <c r="F1111" s="7" t="str">
        <f>IFERROR(__xludf.DUMMYFUNCTION("""COMPUTED_VALUE"""),"nibeyroa@gmail.com")</f>
        <v>nibeyroa@gmail.com</v>
      </c>
      <c r="G1111" s="20">
        <f>IFERROR(__xludf.DUMMYFUNCTION("""COMPUTED_VALUE"""),30988.0)</f>
        <v>30988</v>
      </c>
      <c r="H1111" s="7">
        <f>IFERROR(__xludf.DUMMYFUNCTION("""COMPUTED_VALUE"""),3.1218229E7)</f>
        <v>31218229</v>
      </c>
      <c r="I1111" s="7">
        <f>IFERROR(__xludf.DUMMYFUNCTION("""COMPUTED_VALUE"""),3.516275885E9)</f>
        <v>3516275885</v>
      </c>
      <c r="J1111" s="7" t="str">
        <f>IFERROR(__xludf.DUMMYFUNCTION("""COMPUTED_VALUE"""),"Recomendación")</f>
        <v>Recomendación</v>
      </c>
      <c r="K1111" s="7" t="str">
        <f>IFERROR(__xludf.DUMMYFUNCTION("""COMPUTED_VALUE"""),"Obra social")</f>
        <v>Obra social</v>
      </c>
      <c r="L1111" s="7"/>
      <c r="M1111" s="7" t="str">
        <f>IFERROR(__xludf.DUMMYFUNCTION("""COMPUTED_VALUE"""),"Si")</f>
        <v>Si</v>
      </c>
      <c r="N1111" s="7" t="str">
        <f>IFERROR(__xludf.DUMMYFUNCTION("""COMPUTED_VALUE"""),"Gimnasio")</f>
        <v>Gimnasio</v>
      </c>
      <c r="O1111" s="7" t="str">
        <f>IFERROR(__xludf.DUMMYFUNCTION("""COMPUTED_VALUE"""),"6 a 7 veces por semana")</f>
        <v>6 a 7 veces por semana</v>
      </c>
      <c r="P1111" s="7"/>
      <c r="Q1111" s="7" t="str">
        <f>IFERROR(__xludf.DUMMYFUNCTION("""COMPUTED_VALUE"""),"DASUTEN")</f>
        <v>DASUTEN</v>
      </c>
      <c r="R1111" s="7"/>
      <c r="S1111" s="7"/>
    </row>
    <row r="1112">
      <c r="C1112" s="19">
        <f>IFERROR(__xludf.DUMMYFUNCTION("""COMPUTED_VALUE"""),45866.78815350695)</f>
        <v>45866.78815</v>
      </c>
      <c r="D1112" s="7" t="str">
        <f>IFERROR(__xludf.DUMMYFUNCTION("""COMPUTED_VALUE"""),"Ramis")</f>
        <v>Ramis</v>
      </c>
      <c r="E1112" s="7" t="str">
        <f>IFERROR(__xludf.DUMMYFUNCTION("""COMPUTED_VALUE"""),"Lucas")</f>
        <v>Lucas</v>
      </c>
      <c r="F1112" s="7" t="str">
        <f>IFERROR(__xludf.DUMMYFUNCTION("""COMPUTED_VALUE"""),"lucasramis28@gmail.com")</f>
        <v>lucasramis28@gmail.com</v>
      </c>
      <c r="G1112" s="20">
        <f>IFERROR(__xludf.DUMMYFUNCTION("""COMPUTED_VALUE"""),32927.0)</f>
        <v>32927</v>
      </c>
      <c r="H1112" s="7">
        <f>IFERROR(__xludf.DUMMYFUNCTION("""COMPUTED_VALUE"""),3.4380348E7)</f>
        <v>34380348</v>
      </c>
      <c r="I1112" s="7">
        <f>IFERROR(__xludf.DUMMYFUNCTION("""COMPUTED_VALUE"""),3.51702346E9)</f>
        <v>3517023460</v>
      </c>
      <c r="J1112" s="7" t="str">
        <f>IFERROR(__xludf.DUMMYFUNCTION("""COMPUTED_VALUE"""),"Voy al gym Manantial")</f>
        <v>Voy al gym Manantial</v>
      </c>
      <c r="K1112" s="7" t="str">
        <f>IFERROR(__xludf.DUMMYFUNCTION("""COMPUTED_VALUE"""),"Obra social")</f>
        <v>Obra social</v>
      </c>
      <c r="L1112" s="7"/>
      <c r="M1112" s="7" t="str">
        <f>IFERROR(__xludf.DUMMYFUNCTION("""COMPUTED_VALUE"""),"Si")</f>
        <v>Si</v>
      </c>
      <c r="N1112" s="7" t="str">
        <f>IFERROR(__xludf.DUMMYFUNCTION("""COMPUTED_VALUE"""),"Gimnasio")</f>
        <v>Gimnasio</v>
      </c>
      <c r="O1112" s="7" t="str">
        <f>IFERROR(__xludf.DUMMYFUNCTION("""COMPUTED_VALUE"""),"6 a 7 veces por semana")</f>
        <v>6 a 7 veces por semana</v>
      </c>
      <c r="P1112" s="7"/>
      <c r="Q1112" s="7" t="str">
        <f>IFERROR(__xludf.DUMMYFUNCTION("""COMPUTED_VALUE"""),"APROSS")</f>
        <v>APROSS</v>
      </c>
      <c r="R1112" s="7"/>
      <c r="S1112" s="7"/>
    </row>
    <row r="1113">
      <c r="C1113" s="19">
        <f>IFERROR(__xludf.DUMMYFUNCTION("""COMPUTED_VALUE"""),45866.78891563657)</f>
        <v>45866.78892</v>
      </c>
      <c r="D1113" s="7" t="str">
        <f>IFERROR(__xludf.DUMMYFUNCTION("""COMPUTED_VALUE"""),"Santa")</f>
        <v>Santa</v>
      </c>
      <c r="E1113" s="7" t="str">
        <f>IFERROR(__xludf.DUMMYFUNCTION("""COMPUTED_VALUE"""),"Jose Alfredo")</f>
        <v>Jose Alfredo</v>
      </c>
      <c r="F1113" s="7"/>
      <c r="G1113" s="20">
        <f>IFERROR(__xludf.DUMMYFUNCTION("""COMPUTED_VALUE"""),18866.0)</f>
        <v>18866</v>
      </c>
      <c r="H1113" s="7">
        <f>IFERROR(__xludf.DUMMYFUNCTION("""COMPUTED_VALUE"""),1.0048434E7)</f>
        <v>10048434</v>
      </c>
      <c r="I1113" s="7">
        <f>IFERROR(__xludf.DUMMYFUNCTION("""COMPUTED_VALUE"""),3.516518474E9)</f>
        <v>3516518474</v>
      </c>
      <c r="J1113" s="7" t="str">
        <f>IFERROR(__xludf.DUMMYFUNCTION("""COMPUTED_VALUE"""),"Recomendación")</f>
        <v>Recomendación</v>
      </c>
      <c r="K1113" s="7" t="str">
        <f>IFERROR(__xludf.DUMMYFUNCTION("""COMPUTED_VALUE"""),"Particular")</f>
        <v>Particular</v>
      </c>
      <c r="L1113" s="7"/>
      <c r="M1113" s="7" t="str">
        <f>IFERROR(__xludf.DUMMYFUNCTION("""COMPUTED_VALUE"""),"Si")</f>
        <v>Si</v>
      </c>
      <c r="N1113" s="7" t="str">
        <f>IFERROR(__xludf.DUMMYFUNCTION("""COMPUTED_VALUE"""),"Fútbol")</f>
        <v>Fútbol</v>
      </c>
      <c r="O1113" s="7" t="str">
        <f>IFERROR(__xludf.DUMMYFUNCTION("""COMPUTED_VALUE"""),"1 a 2 veces por semana")</f>
        <v>1 a 2 veces por semana</v>
      </c>
      <c r="P1113" s="7"/>
      <c r="Q1113" s="7"/>
      <c r="R1113" s="7"/>
      <c r="S1113" s="7"/>
    </row>
    <row r="1114">
      <c r="C1114" s="19">
        <f>IFERROR(__xludf.DUMMYFUNCTION("""COMPUTED_VALUE"""),45866.80248180556)</f>
        <v>45866.80248</v>
      </c>
      <c r="D1114" s="7" t="str">
        <f>IFERROR(__xludf.DUMMYFUNCTION("""COMPUTED_VALUE"""),"Mamar")</f>
        <v>Mamar</v>
      </c>
      <c r="E1114" s="7" t="str">
        <f>IFERROR(__xludf.DUMMYFUNCTION("""COMPUTED_VALUE"""),"Agostina")</f>
        <v>Agostina</v>
      </c>
      <c r="F1114" s="7"/>
      <c r="G1114" s="20">
        <f>IFERROR(__xludf.DUMMYFUNCTION("""COMPUTED_VALUE"""),40294.0)</f>
        <v>40294</v>
      </c>
      <c r="H1114" s="7">
        <f>IFERROR(__xludf.DUMMYFUNCTION("""COMPUTED_VALUE"""),5.0328304E7)</f>
        <v>50328304</v>
      </c>
      <c r="I1114" s="7">
        <f>IFERROR(__xludf.DUMMYFUNCTION("""COMPUTED_VALUE"""),3.513485501E9)</f>
        <v>3513485501</v>
      </c>
      <c r="J1114" s="7" t="str">
        <f>IFERROR(__xludf.DUMMYFUNCTION("""COMPUTED_VALUE"""),"Voy al gym Manantial")</f>
        <v>Voy al gym Manantial</v>
      </c>
      <c r="K1114" s="7" t="str">
        <f>IFERROR(__xludf.DUMMYFUNCTION("""COMPUTED_VALUE"""),"Particular")</f>
        <v>Particular</v>
      </c>
      <c r="L1114" s="7"/>
      <c r="M1114" s="7" t="str">
        <f>IFERROR(__xludf.DUMMYFUNCTION("""COMPUTED_VALUE"""),"Si")</f>
        <v>Si</v>
      </c>
      <c r="N1114" s="7" t="str">
        <f>IFERROR(__xludf.DUMMYFUNCTION("""COMPUTED_VALUE"""),"Gimnasia Artistica")</f>
        <v>Gimnasia Artistica</v>
      </c>
      <c r="O1114" s="7" t="str">
        <f>IFERROR(__xludf.DUMMYFUNCTION("""COMPUTED_VALUE"""),"3 a 5 veces por semana")</f>
        <v>3 a 5 veces por semana</v>
      </c>
      <c r="P1114" s="7"/>
      <c r="Q1114" s="7"/>
      <c r="R1114" s="7"/>
      <c r="S1114" s="7"/>
    </row>
    <row r="1115">
      <c r="C1115" s="19">
        <f>IFERROR(__xludf.DUMMYFUNCTION("""COMPUTED_VALUE"""),45867.793416053246)</f>
        <v>45867.79342</v>
      </c>
      <c r="D1115" s="7" t="str">
        <f>IFERROR(__xludf.DUMMYFUNCTION("""COMPUTED_VALUE"""),"BALDUCCI ")</f>
        <v>BALDUCCI </v>
      </c>
      <c r="E1115" s="7" t="str">
        <f>IFERROR(__xludf.DUMMYFUNCTION("""COMPUTED_VALUE"""),"SALVADOR")</f>
        <v>SALVADOR</v>
      </c>
      <c r="F1115" s="7" t="str">
        <f>IFERROR(__xludf.DUMMYFUNCTION("""COMPUTED_VALUE"""),"cariviglione12@gmail.com")</f>
        <v>cariviglione12@gmail.com</v>
      </c>
      <c r="G1115" s="20">
        <f>IFERROR(__xludf.DUMMYFUNCTION("""COMPUTED_VALUE"""),41225.0)</f>
        <v>41225</v>
      </c>
      <c r="H1115" s="7">
        <f>IFERROR(__xludf.DUMMYFUNCTION("""COMPUTED_VALUE"""),5.2806562E7)</f>
        <v>52806562</v>
      </c>
      <c r="I1115" s="7">
        <f>IFERROR(__xludf.DUMMYFUNCTION("""COMPUTED_VALUE"""),3.515554505E9)</f>
        <v>3515554505</v>
      </c>
      <c r="J1115" s="7" t="str">
        <f>IFERROR(__xludf.DUMMYFUNCTION("""COMPUTED_VALUE"""),"Google")</f>
        <v>Google</v>
      </c>
      <c r="K1115" s="7" t="str">
        <f>IFERROR(__xludf.DUMMYFUNCTION("""COMPUTED_VALUE"""),"Obra social")</f>
        <v>Obra social</v>
      </c>
      <c r="L1115" s="7"/>
      <c r="M1115" s="7" t="str">
        <f>IFERROR(__xludf.DUMMYFUNCTION("""COMPUTED_VALUE"""),"Si")</f>
        <v>Si</v>
      </c>
      <c r="N1115" s="7" t="str">
        <f>IFERROR(__xludf.DUMMYFUNCTION("""COMPUTED_VALUE"""),"Fútbol")</f>
        <v>Fútbol</v>
      </c>
      <c r="O1115" s="7" t="str">
        <f>IFERROR(__xludf.DUMMYFUNCTION("""COMPUTED_VALUE"""),"3 a 5 veces por semana")</f>
        <v>3 a 5 veces por semana</v>
      </c>
      <c r="P1115" s="7"/>
      <c r="Q1115" s="7" t="str">
        <f>IFERROR(__xludf.DUMMYFUNCTION("""COMPUTED_VALUE"""),"DASPU")</f>
        <v>DASPU</v>
      </c>
      <c r="R1115" s="7"/>
      <c r="S1115" s="7"/>
    </row>
    <row r="1116">
      <c r="C1116" s="19">
        <f>IFERROR(__xludf.DUMMYFUNCTION("""COMPUTED_VALUE"""),45867.79347766204)</f>
        <v>45867.79348</v>
      </c>
      <c r="D1116" s="7" t="str">
        <f>IFERROR(__xludf.DUMMYFUNCTION("""COMPUTED_VALUE"""),"Zogbi")</f>
        <v>Zogbi</v>
      </c>
      <c r="E1116" s="7" t="str">
        <f>IFERROR(__xludf.DUMMYFUNCTION("""COMPUTED_VALUE"""),"Santiago Tomas")</f>
        <v>Santiago Tomas</v>
      </c>
      <c r="F1116" s="7"/>
      <c r="G1116" s="20">
        <f>IFERROR(__xludf.DUMMYFUNCTION("""COMPUTED_VALUE"""),35899.0)</f>
        <v>35899</v>
      </c>
      <c r="H1116" s="7">
        <f>IFERROR(__xludf.DUMMYFUNCTION("""COMPUTED_VALUE"""),4.1115028E7)</f>
        <v>41115028</v>
      </c>
      <c r="I1116" s="7">
        <f>IFERROR(__xludf.DUMMYFUNCTION("""COMPUTED_VALUE"""),3.513434424E9)</f>
        <v>3513434424</v>
      </c>
      <c r="J1116" s="7" t="str">
        <f>IFERROR(__xludf.DUMMYFUNCTION("""COMPUTED_VALUE"""),"Voy al gym Manantial")</f>
        <v>Voy al gym Manantial</v>
      </c>
      <c r="K1116" s="7" t="str">
        <f>IFERROR(__xludf.DUMMYFUNCTION("""COMPUTED_VALUE"""),"Particular")</f>
        <v>Particular</v>
      </c>
      <c r="L1116" s="7"/>
      <c r="M1116" s="7" t="str">
        <f>IFERROR(__xludf.DUMMYFUNCTION("""COMPUTED_VALUE"""),"Si")</f>
        <v>Si</v>
      </c>
      <c r="N1116" s="7" t="str">
        <f>IFERROR(__xludf.DUMMYFUNCTION("""COMPUTED_VALUE"""),"Fútbol")</f>
        <v>Fútbol</v>
      </c>
      <c r="O1116" s="7" t="str">
        <f>IFERROR(__xludf.DUMMYFUNCTION("""COMPUTED_VALUE"""),"3 a 5 veces por semana")</f>
        <v>3 a 5 veces por semana</v>
      </c>
      <c r="P1116" s="7"/>
      <c r="Q1116" s="7"/>
      <c r="R1116" s="7"/>
      <c r="S1116" s="7"/>
    </row>
    <row r="1117">
      <c r="C1117" s="19">
        <f>IFERROR(__xludf.DUMMYFUNCTION("""COMPUTED_VALUE"""),45868.37228037037)</f>
        <v>45868.37228</v>
      </c>
      <c r="D1117" s="7" t="str">
        <f>IFERROR(__xludf.DUMMYFUNCTION("""COMPUTED_VALUE"""),"Alonso")</f>
        <v>Alonso</v>
      </c>
      <c r="E1117" s="7" t="str">
        <f>IFERROR(__xludf.DUMMYFUNCTION("""COMPUTED_VALUE"""),"Julieta")</f>
        <v>Julieta</v>
      </c>
      <c r="F1117" s="7" t="str">
        <f>IFERROR(__xludf.DUMMYFUNCTION("""COMPUTED_VALUE"""),"julietalonso@gmail.com")</f>
        <v>julietalonso@gmail.com</v>
      </c>
      <c r="G1117" s="20">
        <f>IFERROR(__xludf.DUMMYFUNCTION("""COMPUTED_VALUE"""),28997.0)</f>
        <v>28997</v>
      </c>
      <c r="H1117" s="7">
        <f>IFERROR(__xludf.DUMMYFUNCTION("""COMPUTED_VALUE"""),2.7316683E7)</f>
        <v>27316683</v>
      </c>
      <c r="I1117" s="7">
        <f>IFERROR(__xludf.DUMMYFUNCTION("""COMPUTED_VALUE"""),3.516806868E9)</f>
        <v>3516806868</v>
      </c>
      <c r="J1117" s="7" t="str">
        <f>IFERROR(__xludf.DUMMYFUNCTION("""COMPUTED_VALUE"""),"Instagram")</f>
        <v>Instagram</v>
      </c>
      <c r="K1117" s="7" t="str">
        <f>IFERROR(__xludf.DUMMYFUNCTION("""COMPUTED_VALUE"""),"Particular")</f>
        <v>Particular</v>
      </c>
      <c r="L1117" s="7"/>
      <c r="M1117" s="7" t="str">
        <f>IFERROR(__xludf.DUMMYFUNCTION("""COMPUTED_VALUE"""),"Si")</f>
        <v>Si</v>
      </c>
      <c r="N1117" s="7" t="str">
        <f>IFERROR(__xludf.DUMMYFUNCTION("""COMPUTED_VALUE"""),"Running")</f>
        <v>Running</v>
      </c>
      <c r="O1117" s="7" t="str">
        <f>IFERROR(__xludf.DUMMYFUNCTION("""COMPUTED_VALUE"""),"3 a 5 veces por semana")</f>
        <v>3 a 5 veces por semana</v>
      </c>
      <c r="P1117" s="7"/>
      <c r="Q1117" s="7"/>
      <c r="R1117" s="7"/>
      <c r="S1117" s="7"/>
    </row>
    <row r="1118">
      <c r="C1118" s="19">
        <f>IFERROR(__xludf.DUMMYFUNCTION("""COMPUTED_VALUE"""),45868.49437586806)</f>
        <v>45868.49438</v>
      </c>
      <c r="D1118" s="7" t="str">
        <f>IFERROR(__xludf.DUMMYFUNCTION("""COMPUTED_VALUE"""),"Vega")</f>
        <v>Vega</v>
      </c>
      <c r="E1118" s="7" t="str">
        <f>IFERROR(__xludf.DUMMYFUNCTION("""COMPUTED_VALUE"""),"Laura carina")</f>
        <v>Laura carina</v>
      </c>
      <c r="F1118" s="7" t="str">
        <f>IFERROR(__xludf.DUMMYFUNCTION("""COMPUTED_VALUE"""),"lacarivega@gmail.com")</f>
        <v>lacarivega@gmail.com</v>
      </c>
      <c r="G1118" s="20">
        <f>IFERROR(__xludf.DUMMYFUNCTION("""COMPUTED_VALUE"""),26279.0)</f>
        <v>26279</v>
      </c>
      <c r="H1118" s="7">
        <f>IFERROR(__xludf.DUMMYFUNCTION("""COMPUTED_VALUE"""),2.1941124E7)</f>
        <v>21941124</v>
      </c>
      <c r="I1118" s="7">
        <f>IFERROR(__xludf.DUMMYFUNCTION("""COMPUTED_VALUE"""),3.515528039E9)</f>
        <v>3515528039</v>
      </c>
      <c r="J1118" s="7" t="str">
        <f>IFERROR(__xludf.DUMMYFUNCTION("""COMPUTED_VALUE"""),"Instagram")</f>
        <v>Instagram</v>
      </c>
      <c r="K1118" s="7" t="str">
        <f>IFERROR(__xludf.DUMMYFUNCTION("""COMPUTED_VALUE"""),"Obra social")</f>
        <v>Obra social</v>
      </c>
      <c r="L1118" s="7"/>
      <c r="M1118" s="7" t="str">
        <f>IFERROR(__xludf.DUMMYFUNCTION("""COMPUTED_VALUE"""),"No")</f>
        <v>No</v>
      </c>
      <c r="N1118" s="7"/>
      <c r="O1118" s="7"/>
      <c r="P1118" s="7"/>
      <c r="Q1118" s="7" t="str">
        <f>IFERROR(__xludf.DUMMYFUNCTION("""COMPUTED_VALUE"""),"APROSS")</f>
        <v>APROSS</v>
      </c>
      <c r="R1118" s="7"/>
      <c r="S1118" s="7"/>
    </row>
    <row r="1119">
      <c r="C1119" s="19">
        <f>IFERROR(__xludf.DUMMYFUNCTION("""COMPUTED_VALUE"""),45868.49785489583)</f>
        <v>45868.49785</v>
      </c>
      <c r="D1119" s="7" t="str">
        <f>IFERROR(__xludf.DUMMYFUNCTION("""COMPUTED_VALUE"""),"Cordeiro")</f>
        <v>Cordeiro</v>
      </c>
      <c r="E1119" s="7" t="str">
        <f>IFERROR(__xludf.DUMMYFUNCTION("""COMPUTED_VALUE"""),"Julieta ")</f>
        <v>Julieta </v>
      </c>
      <c r="F1119" s="7" t="str">
        <f>IFERROR(__xludf.DUMMYFUNCTION("""COMPUTED_VALUE"""),"julietacordeiro01@gmail.com")</f>
        <v>julietacordeiro01@gmail.com</v>
      </c>
      <c r="G1119" s="20">
        <f>IFERROR(__xludf.DUMMYFUNCTION("""COMPUTED_VALUE"""),29826.0)</f>
        <v>29826</v>
      </c>
      <c r="H1119" s="7">
        <f>IFERROR(__xludf.DUMMYFUNCTION("""COMPUTED_VALUE"""),2.9029689E7)</f>
        <v>29029689</v>
      </c>
      <c r="I1119" s="7">
        <f>IFERROR(__xludf.DUMMYFUNCTION("""COMPUTED_VALUE"""),3.517132653E9)</f>
        <v>3517132653</v>
      </c>
      <c r="J1119" s="7" t="str">
        <f>IFERROR(__xludf.DUMMYFUNCTION("""COMPUTED_VALUE"""),"Cartilla Obra Social")</f>
        <v>Cartilla Obra Social</v>
      </c>
      <c r="K1119" s="7" t="str">
        <f>IFERROR(__xludf.DUMMYFUNCTION("""COMPUTED_VALUE"""),"Obra social")</f>
        <v>Obra social</v>
      </c>
      <c r="L1119" s="7"/>
      <c r="M1119" s="7" t="str">
        <f>IFERROR(__xludf.DUMMYFUNCTION("""COMPUTED_VALUE"""),"Si")</f>
        <v>Si</v>
      </c>
      <c r="N1119" s="7" t="str">
        <f>IFERROR(__xludf.DUMMYFUNCTION("""COMPUTED_VALUE"""),"Gimnasio")</f>
        <v>Gimnasio</v>
      </c>
      <c r="O1119" s="7" t="str">
        <f>IFERROR(__xludf.DUMMYFUNCTION("""COMPUTED_VALUE"""),"3 a 5 veces por semana")</f>
        <v>3 a 5 veces por semana</v>
      </c>
      <c r="P1119" s="7"/>
      <c r="Q1119" s="7" t="str">
        <f>IFERROR(__xludf.DUMMYFUNCTION("""COMPUTED_VALUE"""),"PREVENCIÓN")</f>
        <v>PREVENCIÓN</v>
      </c>
      <c r="R1119" s="7"/>
      <c r="S1119" s="7"/>
    </row>
    <row r="1120">
      <c r="C1120" s="19">
        <f>IFERROR(__xludf.DUMMYFUNCTION("""COMPUTED_VALUE"""),45868.66347167824)</f>
        <v>45868.66347</v>
      </c>
      <c r="D1120" s="7" t="str">
        <f>IFERROR(__xludf.DUMMYFUNCTION("""COMPUTED_VALUE"""),"Márquez ")</f>
        <v>Márquez </v>
      </c>
      <c r="E1120" s="7" t="str">
        <f>IFERROR(__xludf.DUMMYFUNCTION("""COMPUTED_VALUE"""),"Natalia")</f>
        <v>Natalia</v>
      </c>
      <c r="F1120" s="7" t="str">
        <f>IFERROR(__xludf.DUMMYFUNCTION("""COMPUTED_VALUE"""),"Marqueznatalia141@gmail.com")</f>
        <v>Marqueznatalia141@gmail.com</v>
      </c>
      <c r="G1120" s="20">
        <f>IFERROR(__xludf.DUMMYFUNCTION("""COMPUTED_VALUE"""),-684651.0)</f>
        <v>-684651</v>
      </c>
      <c r="H1120" s="7">
        <f>IFERROR(__xludf.DUMMYFUNCTION("""COMPUTED_VALUE"""),2.8851649E7)</f>
        <v>28851649</v>
      </c>
      <c r="I1120" s="7">
        <f>IFERROR(__xludf.DUMMYFUNCTION("""COMPUTED_VALUE"""),3.516330031E9)</f>
        <v>3516330031</v>
      </c>
      <c r="J1120" s="7" t="str">
        <f>IFERROR(__xludf.DUMMYFUNCTION("""COMPUTED_VALUE"""),"Recomendación")</f>
        <v>Recomendación</v>
      </c>
      <c r="K1120" s="7" t="str">
        <f>IFERROR(__xludf.DUMMYFUNCTION("""COMPUTED_VALUE"""),"Particular")</f>
        <v>Particular</v>
      </c>
      <c r="L1120" s="7"/>
      <c r="M1120" s="7" t="str">
        <f>IFERROR(__xludf.DUMMYFUNCTION("""COMPUTED_VALUE"""),"Si")</f>
        <v>Si</v>
      </c>
      <c r="N1120" s="7" t="str">
        <f>IFERROR(__xludf.DUMMYFUNCTION("""COMPUTED_VALUE"""),"Gimnasio")</f>
        <v>Gimnasio</v>
      </c>
      <c r="O1120" s="7" t="str">
        <f>IFERROR(__xludf.DUMMYFUNCTION("""COMPUTED_VALUE"""),"3 a 5 veces por semana")</f>
        <v>3 a 5 veces por semana</v>
      </c>
      <c r="P1120" s="7"/>
      <c r="Q1120" s="7"/>
      <c r="R1120" s="7"/>
      <c r="S1120" s="7"/>
    </row>
    <row r="1121">
      <c r="C1121" s="19">
        <f>IFERROR(__xludf.DUMMYFUNCTION("""COMPUTED_VALUE"""),45868.73536229167)</f>
        <v>45868.73536</v>
      </c>
      <c r="D1121" s="7" t="str">
        <f>IFERROR(__xludf.DUMMYFUNCTION("""COMPUTED_VALUE"""),"Londero ")</f>
        <v>Londero </v>
      </c>
      <c r="E1121" s="7" t="str">
        <f>IFERROR(__xludf.DUMMYFUNCTION("""COMPUTED_VALUE"""),"Lucas")</f>
        <v>Lucas</v>
      </c>
      <c r="F1121" s="7" t="str">
        <f>IFERROR(__xludf.DUMMYFUNCTION("""COMPUTED_VALUE"""),"lucaslondero368@gmail.com")</f>
        <v>lucaslondero368@gmail.com</v>
      </c>
      <c r="G1121" s="20">
        <f>IFERROR(__xludf.DUMMYFUNCTION("""COMPUTED_VALUE"""),32766.0)</f>
        <v>32766</v>
      </c>
      <c r="H1121" s="7">
        <f>IFERROR(__xludf.DUMMYFUNCTION("""COMPUTED_VALUE"""),3.4686243E7)</f>
        <v>34686243</v>
      </c>
      <c r="I1121" s="7">
        <f>IFERROR(__xludf.DUMMYFUNCTION("""COMPUTED_VALUE"""),3.53258866E9)</f>
        <v>3532588660</v>
      </c>
      <c r="J1121" s="7" t="str">
        <f>IFERROR(__xludf.DUMMYFUNCTION("""COMPUTED_VALUE"""),"Voy al gym Manantial")</f>
        <v>Voy al gym Manantial</v>
      </c>
      <c r="K1121" s="7" t="str">
        <f>IFERROR(__xludf.DUMMYFUNCTION("""COMPUTED_VALUE"""),"Obra social")</f>
        <v>Obra social</v>
      </c>
      <c r="L1121" s="7"/>
      <c r="M1121" s="7" t="str">
        <f>IFERROR(__xludf.DUMMYFUNCTION("""COMPUTED_VALUE"""),"Si")</f>
        <v>Si</v>
      </c>
      <c r="N1121" s="7" t="str">
        <f>IFERROR(__xludf.DUMMYFUNCTION("""COMPUTED_VALUE"""),"Gimnasio")</f>
        <v>Gimnasio</v>
      </c>
      <c r="O1121" s="7" t="str">
        <f>IFERROR(__xludf.DUMMYFUNCTION("""COMPUTED_VALUE"""),"3 a 5 veces por semana")</f>
        <v>3 a 5 veces por semana</v>
      </c>
      <c r="P1121" s="7"/>
      <c r="Q1121" s="7" t="str">
        <f>IFERROR(__xludf.DUMMYFUNCTION("""COMPUTED_VALUE"""),"PREVENCIÓN")</f>
        <v>PREVENCIÓN</v>
      </c>
      <c r="R1121" s="7"/>
      <c r="S1121" s="7"/>
    </row>
    <row r="1122">
      <c r="C1122" s="19">
        <f>IFERROR(__xludf.DUMMYFUNCTION("""COMPUTED_VALUE"""),45868.758032928235)</f>
        <v>45868.75803</v>
      </c>
      <c r="D1122" s="7" t="str">
        <f>IFERROR(__xludf.DUMMYFUNCTION("""COMPUTED_VALUE"""),"Bazán")</f>
        <v>Bazán</v>
      </c>
      <c r="E1122" s="7" t="str">
        <f>IFERROR(__xludf.DUMMYFUNCTION("""COMPUTED_VALUE"""),"Valentina ")</f>
        <v>Valentina </v>
      </c>
      <c r="F1122" s="7" t="str">
        <f>IFERROR(__xludf.DUMMYFUNCTION("""COMPUTED_VALUE"""),"Valentinabazzan25@gmail.com")</f>
        <v>Valentinabazzan25@gmail.com</v>
      </c>
      <c r="G1122" s="20">
        <f>IFERROR(__xludf.DUMMYFUNCTION("""COMPUTED_VALUE"""),33659.0)</f>
        <v>33659</v>
      </c>
      <c r="H1122" s="7">
        <f>IFERROR(__xludf.DUMMYFUNCTION("""COMPUTED_VALUE"""),3.622773E7)</f>
        <v>36227730</v>
      </c>
      <c r="I1122" s="7">
        <f>IFERROR(__xludf.DUMMYFUNCTION("""COMPUTED_VALUE"""),3.516256793E9)</f>
        <v>3516256793</v>
      </c>
      <c r="J1122" s="7" t="str">
        <f>IFERROR(__xludf.DUMMYFUNCTION("""COMPUTED_VALUE"""),"Google")</f>
        <v>Google</v>
      </c>
      <c r="K1122" s="7" t="str">
        <f>IFERROR(__xludf.DUMMYFUNCTION("""COMPUTED_VALUE"""),"Obra social")</f>
        <v>Obra social</v>
      </c>
      <c r="L1122" s="7"/>
      <c r="M1122" s="7" t="str">
        <f>IFERROR(__xludf.DUMMYFUNCTION("""COMPUTED_VALUE"""),"Si")</f>
        <v>Si</v>
      </c>
      <c r="N1122" s="7" t="str">
        <f>IFERROR(__xludf.DUMMYFUNCTION("""COMPUTED_VALUE"""),"Gimnasio")</f>
        <v>Gimnasio</v>
      </c>
      <c r="O1122" s="7" t="str">
        <f>IFERROR(__xludf.DUMMYFUNCTION("""COMPUTED_VALUE"""),"3 a 5 veces por semana")</f>
        <v>3 a 5 veces por semana</v>
      </c>
      <c r="P1122" s="7"/>
      <c r="Q1122" s="7" t="str">
        <f>IFERROR(__xludf.DUMMYFUNCTION("""COMPUTED_VALUE"""),"Avalian")</f>
        <v>Avalian</v>
      </c>
      <c r="R1122" s="7"/>
      <c r="S1122" s="7"/>
    </row>
    <row r="1123">
      <c r="C1123" s="19">
        <f>IFERROR(__xludf.DUMMYFUNCTION("""COMPUTED_VALUE"""),45868.767490115744)</f>
        <v>45868.76749</v>
      </c>
      <c r="D1123" s="7" t="str">
        <f>IFERROR(__xludf.DUMMYFUNCTION("""COMPUTED_VALUE"""),"Cecato")</f>
        <v>Cecato</v>
      </c>
      <c r="E1123" s="7" t="str">
        <f>IFERROR(__xludf.DUMMYFUNCTION("""COMPUTED_VALUE"""),"Lautaro")</f>
        <v>Lautaro</v>
      </c>
      <c r="F1123" s="7" t="str">
        <f>IFERROR(__xludf.DUMMYFUNCTION("""COMPUTED_VALUE"""),"lautaro.cecato@gmail.com")</f>
        <v>lautaro.cecato@gmail.com</v>
      </c>
      <c r="G1123" s="20">
        <f>IFERROR(__xludf.DUMMYFUNCTION("""COMPUTED_VALUE"""),36341.0)</f>
        <v>36341</v>
      </c>
      <c r="H1123" s="7">
        <f>IFERROR(__xludf.DUMMYFUNCTION("""COMPUTED_VALUE"""),4.1962895E7)</f>
        <v>41962895</v>
      </c>
      <c r="I1123" s="7">
        <f>IFERROR(__xludf.DUMMYFUNCTION("""COMPUTED_VALUE"""),3.512324773E9)</f>
        <v>3512324773</v>
      </c>
      <c r="J1123" s="7" t="str">
        <f>IFERROR(__xludf.DUMMYFUNCTION("""COMPUTED_VALUE"""),"Google")</f>
        <v>Google</v>
      </c>
      <c r="K1123" s="7" t="str">
        <f>IFERROR(__xludf.DUMMYFUNCTION("""COMPUTED_VALUE"""),"Obra social")</f>
        <v>Obra social</v>
      </c>
      <c r="L1123" s="7"/>
      <c r="M1123" s="7" t="str">
        <f>IFERROR(__xludf.DUMMYFUNCTION("""COMPUTED_VALUE"""),"Si")</f>
        <v>Si</v>
      </c>
      <c r="N1123" s="7" t="str">
        <f>IFERROR(__xludf.DUMMYFUNCTION("""COMPUTED_VALUE"""),"Gimnasio")</f>
        <v>Gimnasio</v>
      </c>
      <c r="O1123" s="7" t="str">
        <f>IFERROR(__xludf.DUMMYFUNCTION("""COMPUTED_VALUE"""),"3 a 5 veces por semana")</f>
        <v>3 a 5 veces por semana</v>
      </c>
      <c r="P1123" s="7"/>
      <c r="Q1123" s="7" t="str">
        <f>IFERROR(__xludf.DUMMYFUNCTION("""COMPUTED_VALUE"""),"Swiss medical")</f>
        <v>Swiss medical</v>
      </c>
      <c r="R1123" s="7"/>
      <c r="S1123" s="7"/>
    </row>
    <row r="1124">
      <c r="C1124" s="19">
        <f>IFERROR(__xludf.DUMMYFUNCTION("""COMPUTED_VALUE"""),45869.47738087963)</f>
        <v>45869.47738</v>
      </c>
      <c r="D1124" s="7" t="str">
        <f>IFERROR(__xludf.DUMMYFUNCTION("""COMPUTED_VALUE"""),"Palavecino")</f>
        <v>Palavecino</v>
      </c>
      <c r="E1124" s="7" t="str">
        <f>IFERROR(__xludf.DUMMYFUNCTION("""COMPUTED_VALUE"""),"Santiago")</f>
        <v>Santiago</v>
      </c>
      <c r="F1124" s="7" t="str">
        <f>IFERROR(__xludf.DUMMYFUNCTION("""COMPUTED_VALUE"""),"santiagopalavecino2@gmail.com")</f>
        <v>santiagopalavecino2@gmail.com</v>
      </c>
      <c r="G1124" s="20">
        <f>IFERROR(__xludf.DUMMYFUNCTION("""COMPUTED_VALUE"""),33974.0)</f>
        <v>33974</v>
      </c>
      <c r="H1124" s="7">
        <f>IFERROR(__xludf.DUMMYFUNCTION("""COMPUTED_VALUE"""),3.7135043E7)</f>
        <v>37135043</v>
      </c>
      <c r="I1124" s="7">
        <f>IFERROR(__xludf.DUMMYFUNCTION("""COMPUTED_VALUE"""),3.512418607E9)</f>
        <v>3512418607</v>
      </c>
      <c r="J1124" s="7" t="str">
        <f>IFERROR(__xludf.DUMMYFUNCTION("""COMPUTED_VALUE"""),"Recomendación")</f>
        <v>Recomendación</v>
      </c>
      <c r="K1124" s="7" t="str">
        <f>IFERROR(__xludf.DUMMYFUNCTION("""COMPUTED_VALUE"""),"Obra social")</f>
        <v>Obra social</v>
      </c>
      <c r="L1124" s="7"/>
      <c r="M1124" s="7" t="str">
        <f>IFERROR(__xludf.DUMMYFUNCTION("""COMPUTED_VALUE"""),"Si")</f>
        <v>Si</v>
      </c>
      <c r="N1124" s="7" t="str">
        <f>IFERROR(__xludf.DUMMYFUNCTION("""COMPUTED_VALUE"""),"Acroyoga")</f>
        <v>Acroyoga</v>
      </c>
      <c r="O1124" s="7" t="str">
        <f>IFERROR(__xludf.DUMMYFUNCTION("""COMPUTED_VALUE"""),"3 a 5 veces por semana")</f>
        <v>3 a 5 veces por semana</v>
      </c>
      <c r="P1124" s="7"/>
      <c r="Q1124" s="7" t="str">
        <f>IFERROR(__xludf.DUMMYFUNCTION("""COMPUTED_VALUE"""),"PREVENCIÓN")</f>
        <v>PREVENCIÓN</v>
      </c>
      <c r="R1124" s="7"/>
      <c r="S1124" s="7"/>
    </row>
    <row r="1125">
      <c r="C1125" s="19">
        <f>IFERROR(__xludf.DUMMYFUNCTION("""COMPUTED_VALUE"""),45869.73988153935)</f>
        <v>45869.73988</v>
      </c>
      <c r="D1125" s="7" t="str">
        <f>IFERROR(__xludf.DUMMYFUNCTION("""COMPUTED_VALUE"""),"Palavecino")</f>
        <v>Palavecino</v>
      </c>
      <c r="E1125" s="7" t="str">
        <f>IFERROR(__xludf.DUMMYFUNCTION("""COMPUTED_VALUE"""),"Paula")</f>
        <v>Paula</v>
      </c>
      <c r="F1125" s="7"/>
      <c r="G1125" s="20">
        <f>IFERROR(__xludf.DUMMYFUNCTION("""COMPUTED_VALUE"""),33365.0)</f>
        <v>33365</v>
      </c>
      <c r="H1125" s="7">
        <f>IFERROR(__xludf.DUMMYFUNCTION("""COMPUTED_VALUE"""),3.5580097E7)</f>
        <v>35580097</v>
      </c>
      <c r="I1125" s="7">
        <f>IFERROR(__xludf.DUMMYFUNCTION("""COMPUTED_VALUE"""),3.515102898E9)</f>
        <v>3515102898</v>
      </c>
      <c r="J1125" s="7" t="str">
        <f>IFERROR(__xludf.DUMMYFUNCTION("""COMPUTED_VALUE"""),"Recomendación")</f>
        <v>Recomendación</v>
      </c>
      <c r="K1125" s="7" t="str">
        <f>IFERROR(__xludf.DUMMYFUNCTION("""COMPUTED_VALUE"""),"Particular")</f>
        <v>Particular</v>
      </c>
      <c r="L1125" s="7"/>
      <c r="M1125" s="7" t="str">
        <f>IFERROR(__xludf.DUMMYFUNCTION("""COMPUTED_VALUE"""),"Si")</f>
        <v>Si</v>
      </c>
      <c r="N1125" s="7" t="str">
        <f>IFERROR(__xludf.DUMMYFUNCTION("""COMPUTED_VALUE"""),"Gimnasio")</f>
        <v>Gimnasio</v>
      </c>
      <c r="O1125" s="7" t="str">
        <f>IFERROR(__xludf.DUMMYFUNCTION("""COMPUTED_VALUE"""),"3 a 5 veces por semana")</f>
        <v>3 a 5 veces por semana</v>
      </c>
      <c r="P1125" s="7"/>
      <c r="Q1125" s="7"/>
      <c r="R1125" s="7"/>
      <c r="S1125" s="7"/>
    </row>
    <row r="1126">
      <c r="C1126" s="19">
        <f>IFERROR(__xludf.DUMMYFUNCTION("""COMPUTED_VALUE"""),45870.72890803241)</f>
        <v>45870.72891</v>
      </c>
      <c r="D1126" s="7" t="str">
        <f>IFERROR(__xludf.DUMMYFUNCTION("""COMPUTED_VALUE"""),"Barrionuevo")</f>
        <v>Barrionuevo</v>
      </c>
      <c r="E1126" s="7" t="str">
        <f>IFERROR(__xludf.DUMMYFUNCTION("""COMPUTED_VALUE"""),"Yamila")</f>
        <v>Yamila</v>
      </c>
      <c r="F1126" s="7"/>
      <c r="G1126" s="20">
        <f>IFERROR(__xludf.DUMMYFUNCTION("""COMPUTED_VALUE"""),29319.0)</f>
        <v>29319</v>
      </c>
      <c r="H1126" s="7">
        <f>IFERROR(__xludf.DUMMYFUNCTION("""COMPUTED_VALUE"""),2.7959578E7)</f>
        <v>27959578</v>
      </c>
      <c r="I1126" s="7">
        <f>IFERROR(__xludf.DUMMYFUNCTION("""COMPUTED_VALUE"""),3.512368541E9)</f>
        <v>3512368541</v>
      </c>
      <c r="J1126" s="7" t="str">
        <f>IFERROR(__xludf.DUMMYFUNCTION("""COMPUTED_VALUE"""),"Instagram")</f>
        <v>Instagram</v>
      </c>
      <c r="K1126" s="7" t="str">
        <f>IFERROR(__xludf.DUMMYFUNCTION("""COMPUTED_VALUE"""),"Particular")</f>
        <v>Particular</v>
      </c>
      <c r="L1126" s="7"/>
      <c r="M1126" s="7" t="str">
        <f>IFERROR(__xludf.DUMMYFUNCTION("""COMPUTED_VALUE"""),"Si")</f>
        <v>Si</v>
      </c>
      <c r="N1126" s="7" t="str">
        <f>IFERROR(__xludf.DUMMYFUNCTION("""COMPUTED_VALUE"""),"jockey")</f>
        <v>jockey</v>
      </c>
      <c r="O1126" s="7" t="str">
        <f>IFERROR(__xludf.DUMMYFUNCTION("""COMPUTED_VALUE"""),"3 a 5 veces por semana")</f>
        <v>3 a 5 veces por semana</v>
      </c>
      <c r="P1126" s="7"/>
      <c r="Q1126" s="7"/>
      <c r="R1126" s="7"/>
      <c r="S1126" s="7"/>
    </row>
    <row r="1127">
      <c r="C1127" s="19">
        <f>IFERROR(__xludf.DUMMYFUNCTION("""COMPUTED_VALUE"""),45870.79488166666)</f>
        <v>45870.79488</v>
      </c>
      <c r="D1127" s="7" t="str">
        <f>IFERROR(__xludf.DUMMYFUNCTION("""COMPUTED_VALUE"""),"TORRI")</f>
        <v>TORRI</v>
      </c>
      <c r="E1127" s="7" t="str">
        <f>IFERROR(__xludf.DUMMYFUNCTION("""COMPUTED_VALUE"""),"Ruben Daniel")</f>
        <v>Ruben Daniel</v>
      </c>
      <c r="F1127" s="7"/>
      <c r="G1127" s="20">
        <f>IFERROR(__xludf.DUMMYFUNCTION("""COMPUTED_VALUE"""),20616.0)</f>
        <v>20616</v>
      </c>
      <c r="H1127" s="7">
        <f>IFERROR(__xludf.DUMMYFUNCTION("""COMPUTED_VALUE"""),1.2564936E7)</f>
        <v>12564936</v>
      </c>
      <c r="I1127" s="7">
        <f>IFERROR(__xludf.DUMMYFUNCTION("""COMPUTED_VALUE"""),3.517046599E9)</f>
        <v>3517046599</v>
      </c>
      <c r="J1127" s="7" t="str">
        <f>IFERROR(__xludf.DUMMYFUNCTION("""COMPUTED_VALUE"""),"Voy al gym Manantial")</f>
        <v>Voy al gym Manantial</v>
      </c>
      <c r="K1127" s="7" t="str">
        <f>IFERROR(__xludf.DUMMYFUNCTION("""COMPUTED_VALUE"""),"Obra social")</f>
        <v>Obra social</v>
      </c>
      <c r="L1127" s="7"/>
      <c r="M1127" s="7" t="str">
        <f>IFERROR(__xludf.DUMMYFUNCTION("""COMPUTED_VALUE"""),"No")</f>
        <v>No</v>
      </c>
      <c r="N1127" s="7"/>
      <c r="O1127" s="7"/>
      <c r="P1127" s="7"/>
      <c r="Q1127" s="7" t="str">
        <f>IFERROR(__xludf.DUMMYFUNCTION("""COMPUTED_VALUE"""),"medife")</f>
        <v>medife</v>
      </c>
      <c r="R1127" s="7"/>
      <c r="S1127" s="7"/>
    </row>
    <row r="1128">
      <c r="C1128" s="19">
        <f>IFERROR(__xludf.DUMMYFUNCTION("""COMPUTED_VALUE"""),45873.67645021991)</f>
        <v>45873.67645</v>
      </c>
      <c r="D1128" s="7" t="str">
        <f>IFERROR(__xludf.DUMMYFUNCTION("""COMPUTED_VALUE"""),"Martínez ")</f>
        <v>Martínez </v>
      </c>
      <c r="E1128" s="7" t="str">
        <f>IFERROR(__xludf.DUMMYFUNCTION("""COMPUTED_VALUE"""),"Jessica Gabriela ")</f>
        <v>Jessica Gabriela </v>
      </c>
      <c r="F1128" s="7" t="str">
        <f>IFERROR(__xludf.DUMMYFUNCTION("""COMPUTED_VALUE"""),"jessicamartinez527@gmail.com")</f>
        <v>jessicamartinez527@gmail.com</v>
      </c>
      <c r="G1128" s="20">
        <f>IFERROR(__xludf.DUMMYFUNCTION("""COMPUTED_VALUE"""),28418.0)</f>
        <v>28418</v>
      </c>
      <c r="H1128" s="7">
        <f>IFERROR(__xludf.DUMMYFUNCTION("""COMPUTED_VALUE"""),2.6151729E7)</f>
        <v>26151729</v>
      </c>
      <c r="I1128" s="7">
        <f>IFERROR(__xludf.DUMMYFUNCTION("""COMPUTED_VALUE"""),3.51217256E9)</f>
        <v>3512172560</v>
      </c>
      <c r="J1128" s="7" t="str">
        <f>IFERROR(__xludf.DUMMYFUNCTION("""COMPUTED_VALUE"""),"Cartilla Obra Social")</f>
        <v>Cartilla Obra Social</v>
      </c>
      <c r="K1128" s="7" t="str">
        <f>IFERROR(__xludf.DUMMYFUNCTION("""COMPUTED_VALUE"""),"Obra social")</f>
        <v>Obra social</v>
      </c>
      <c r="L1128" s="7"/>
      <c r="M1128" s="7" t="str">
        <f>IFERROR(__xludf.DUMMYFUNCTION("""COMPUTED_VALUE"""),"Si")</f>
        <v>Si</v>
      </c>
      <c r="N1128" s="7" t="str">
        <f>IFERROR(__xludf.DUMMYFUNCTION("""COMPUTED_VALUE"""),"Gimnasio")</f>
        <v>Gimnasio</v>
      </c>
      <c r="O1128" s="7" t="str">
        <f>IFERROR(__xludf.DUMMYFUNCTION("""COMPUTED_VALUE"""),"3 a 5 veces por semana")</f>
        <v>3 a 5 veces por semana</v>
      </c>
      <c r="P1128" s="7"/>
      <c r="Q1128" s="7" t="str">
        <f>IFERROR(__xludf.DUMMYFUNCTION("""COMPUTED_VALUE"""),"Boreal Plan Magnum ")</f>
        <v>Boreal Plan Magnum </v>
      </c>
      <c r="R1128" s="7"/>
      <c r="S1128" s="7"/>
    </row>
    <row r="1129">
      <c r="C1129" s="19">
        <f>IFERROR(__xludf.DUMMYFUNCTION("""COMPUTED_VALUE"""),45873.68038603009)</f>
        <v>45873.68039</v>
      </c>
      <c r="D1129" s="7" t="str">
        <f>IFERROR(__xludf.DUMMYFUNCTION("""COMPUTED_VALUE"""),"DIAZ ")</f>
        <v>DIAZ </v>
      </c>
      <c r="E1129" s="7" t="str">
        <f>IFERROR(__xludf.DUMMYFUNCTION("""COMPUTED_VALUE"""),"ROLANDO")</f>
        <v>ROLANDO</v>
      </c>
      <c r="F1129" s="7" t="str">
        <f>IFERROR(__xludf.DUMMYFUNCTION("""COMPUTED_VALUE"""),"Plantinesdiaz@gmail.com")</f>
        <v>Plantinesdiaz@gmail.com</v>
      </c>
      <c r="G1129" s="20">
        <f>IFERROR(__xludf.DUMMYFUNCTION("""COMPUTED_VALUE"""),21252.0)</f>
        <v>21252</v>
      </c>
      <c r="H1129" s="7">
        <f>IFERROR(__xludf.DUMMYFUNCTION("""COMPUTED_VALUE"""),1.2157653E7)</f>
        <v>12157653</v>
      </c>
      <c r="I1129" s="7">
        <f>IFERROR(__xludf.DUMMYFUNCTION("""COMPUTED_VALUE"""),3.515080648E9)</f>
        <v>3515080648</v>
      </c>
      <c r="J1129" s="7" t="str">
        <f>IFERROR(__xludf.DUMMYFUNCTION("""COMPUTED_VALUE"""),"Voy al gym Manantial")</f>
        <v>Voy al gym Manantial</v>
      </c>
      <c r="K1129" s="7" t="str">
        <f>IFERROR(__xludf.DUMMYFUNCTION("""COMPUTED_VALUE"""),"Particular")</f>
        <v>Particular</v>
      </c>
      <c r="L1129" s="7"/>
      <c r="M1129" s="7" t="str">
        <f>IFERROR(__xludf.DUMMYFUNCTION("""COMPUTED_VALUE"""),"Si")</f>
        <v>Si</v>
      </c>
      <c r="N1129" s="7" t="str">
        <f>IFERROR(__xludf.DUMMYFUNCTION("""COMPUTED_VALUE"""),"caminata ")</f>
        <v>caminata </v>
      </c>
      <c r="O1129" s="7" t="str">
        <f>IFERROR(__xludf.DUMMYFUNCTION("""COMPUTED_VALUE"""),"6 a 7 veces por semana")</f>
        <v>6 a 7 veces por semana</v>
      </c>
      <c r="P1129" s="7"/>
      <c r="Q1129" s="7"/>
      <c r="R1129" s="7"/>
      <c r="S1129" s="7"/>
    </row>
    <row r="1130">
      <c r="C1130" s="19">
        <f>IFERROR(__xludf.DUMMYFUNCTION("""COMPUTED_VALUE"""),45873.78139225695)</f>
        <v>45873.78139</v>
      </c>
      <c r="D1130" s="7" t="str">
        <f>IFERROR(__xludf.DUMMYFUNCTION("""COMPUTED_VALUE"""),"QUEVEDO")</f>
        <v>QUEVEDO</v>
      </c>
      <c r="E1130" s="7" t="str">
        <f>IFERROR(__xludf.DUMMYFUNCTION("""COMPUTED_VALUE"""),"Nelson Damian ")</f>
        <v>Nelson Damian </v>
      </c>
      <c r="F1130" s="7" t="str">
        <f>IFERROR(__xludf.DUMMYFUNCTION("""COMPUTED_VALUE"""),"nelsondamianquevedo@gmail.com")</f>
        <v>nelsondamianquevedo@gmail.com</v>
      </c>
      <c r="G1130" s="20">
        <f>IFERROR(__xludf.DUMMYFUNCTION("""COMPUTED_VALUE"""),30677.0)</f>
        <v>30677</v>
      </c>
      <c r="H1130" s="7">
        <f>IFERROR(__xludf.DUMMYFUNCTION("""COMPUTED_VALUE"""),3.0659367E7)</f>
        <v>30659367</v>
      </c>
      <c r="I1130" s="7">
        <f>IFERROR(__xludf.DUMMYFUNCTION("""COMPUTED_VALUE"""),3.517360809E9)</f>
        <v>3517360809</v>
      </c>
      <c r="J1130" s="7" t="str">
        <f>IFERROR(__xludf.DUMMYFUNCTION("""COMPUTED_VALUE"""),"Google")</f>
        <v>Google</v>
      </c>
      <c r="K1130" s="7" t="str">
        <f>IFERROR(__xludf.DUMMYFUNCTION("""COMPUTED_VALUE"""),"Obra social")</f>
        <v>Obra social</v>
      </c>
      <c r="L1130" s="7"/>
      <c r="M1130" s="7" t="str">
        <f>IFERROR(__xludf.DUMMYFUNCTION("""COMPUTED_VALUE"""),"Si")</f>
        <v>Si</v>
      </c>
      <c r="N1130" s="7" t="str">
        <f>IFERROR(__xludf.DUMMYFUNCTION("""COMPUTED_VALUE"""),"Fútbol")</f>
        <v>Fútbol</v>
      </c>
      <c r="O1130" s="7" t="str">
        <f>IFERROR(__xludf.DUMMYFUNCTION("""COMPUTED_VALUE"""),"3 a 5 veces por semana")</f>
        <v>3 a 5 veces por semana</v>
      </c>
      <c r="P1130" s="7"/>
      <c r="Q1130" s="7" t="str">
        <f>IFERROR(__xludf.DUMMYFUNCTION("""COMPUTED_VALUE"""),"APROSS")</f>
        <v>APROSS</v>
      </c>
      <c r="R1130" s="7"/>
      <c r="S1130" s="7"/>
    </row>
    <row r="1131">
      <c r="C1131" s="19">
        <f>IFERROR(__xludf.DUMMYFUNCTION("""COMPUTED_VALUE"""),45873.85134559028)</f>
        <v>45873.85135</v>
      </c>
      <c r="D1131" s="7" t="str">
        <f>IFERROR(__xludf.DUMMYFUNCTION("""COMPUTED_VALUE"""),"Arguello")</f>
        <v>Arguello</v>
      </c>
      <c r="E1131" s="7" t="str">
        <f>IFERROR(__xludf.DUMMYFUNCTION("""COMPUTED_VALUE"""),"Dario")</f>
        <v>Dario</v>
      </c>
      <c r="F1131" s="7" t="str">
        <f>IFERROR(__xludf.DUMMYFUNCTION("""COMPUTED_VALUE"""),"arguellodario244@gmail.com")</f>
        <v>arguellodario244@gmail.com</v>
      </c>
      <c r="G1131" s="20">
        <f>IFERROR(__xludf.DUMMYFUNCTION("""COMPUTED_VALUE"""),29498.0)</f>
        <v>29498</v>
      </c>
      <c r="H1131" s="7">
        <f>IFERROR(__xludf.DUMMYFUNCTION("""COMPUTED_VALUE"""),2.8344467E7)</f>
        <v>28344467</v>
      </c>
      <c r="I1131" s="7">
        <f>IFERROR(__xludf.DUMMYFUNCTION("""COMPUTED_VALUE"""),3.515418058E9)</f>
        <v>3515418058</v>
      </c>
      <c r="J1131" s="7" t="str">
        <f>IFERROR(__xludf.DUMMYFUNCTION("""COMPUTED_VALUE"""),"Instagram")</f>
        <v>Instagram</v>
      </c>
      <c r="K1131" s="7" t="str">
        <f>IFERROR(__xludf.DUMMYFUNCTION("""COMPUTED_VALUE"""),"Obra social")</f>
        <v>Obra social</v>
      </c>
      <c r="L1131" s="7"/>
      <c r="M1131" s="7" t="str">
        <f>IFERROR(__xludf.DUMMYFUNCTION("""COMPUTED_VALUE"""),"Si")</f>
        <v>Si</v>
      </c>
      <c r="N1131" s="7" t="str">
        <f>IFERROR(__xludf.DUMMYFUNCTION("""COMPUTED_VALUE"""),"Fútbol")</f>
        <v>Fútbol</v>
      </c>
      <c r="O1131" s="7" t="str">
        <f>IFERROR(__xludf.DUMMYFUNCTION("""COMPUTED_VALUE"""),"1 a 2 veces por semana")</f>
        <v>1 a 2 veces por semana</v>
      </c>
      <c r="P1131" s="7"/>
      <c r="Q1131" s="7" t="str">
        <f>IFERROR(__xludf.DUMMYFUNCTION("""COMPUTED_VALUE"""),"APROSS")</f>
        <v>APROSS</v>
      </c>
      <c r="R1131" s="7"/>
      <c r="S1131" s="7"/>
    </row>
    <row r="1132">
      <c r="C1132" s="19">
        <f>IFERROR(__xludf.DUMMYFUNCTION("""COMPUTED_VALUE"""),45873.86236275463)</f>
        <v>45873.86236</v>
      </c>
      <c r="D1132" s="7" t="str">
        <f>IFERROR(__xludf.DUMMYFUNCTION("""COMPUTED_VALUE"""),"Robles")</f>
        <v>Robles</v>
      </c>
      <c r="E1132" s="7" t="str">
        <f>IFERROR(__xludf.DUMMYFUNCTION("""COMPUTED_VALUE"""),"Nicolas ")</f>
        <v>Nicolas </v>
      </c>
      <c r="F1132" s="7" t="str">
        <f>IFERROR(__xludf.DUMMYFUNCTION("""COMPUTED_VALUE"""),"roblesnico@hotmail.com")</f>
        <v>roblesnico@hotmail.com</v>
      </c>
      <c r="G1132" s="20">
        <f>IFERROR(__xludf.DUMMYFUNCTION("""COMPUTED_VALUE"""),29956.0)</f>
        <v>29956</v>
      </c>
      <c r="H1132" s="7">
        <f>IFERROR(__xludf.DUMMYFUNCTION("""COMPUTED_VALUE"""),2.9202573E7)</f>
        <v>29202573</v>
      </c>
      <c r="I1132" s="7">
        <f>IFERROR(__xludf.DUMMYFUNCTION("""COMPUTED_VALUE"""),3.513997447E9)</f>
        <v>3513997447</v>
      </c>
      <c r="J1132" s="7" t="str">
        <f>IFERROR(__xludf.DUMMYFUNCTION("""COMPUTED_VALUE"""),"Recomendación")</f>
        <v>Recomendación</v>
      </c>
      <c r="K1132" s="7" t="str">
        <f>IFERROR(__xludf.DUMMYFUNCTION("""COMPUTED_VALUE"""),"Particular")</f>
        <v>Particular</v>
      </c>
      <c r="L1132" s="7"/>
      <c r="M1132" s="7" t="str">
        <f>IFERROR(__xludf.DUMMYFUNCTION("""COMPUTED_VALUE"""),"Si")</f>
        <v>Si</v>
      </c>
      <c r="N1132" s="7" t="str">
        <f>IFERROR(__xludf.DUMMYFUNCTION("""COMPUTED_VALUE"""),"Gimnasio")</f>
        <v>Gimnasio</v>
      </c>
      <c r="O1132" s="7" t="str">
        <f>IFERROR(__xludf.DUMMYFUNCTION("""COMPUTED_VALUE"""),"3 a 5 veces por semana")</f>
        <v>3 a 5 veces por semana</v>
      </c>
      <c r="P1132" s="7"/>
      <c r="Q1132" s="7"/>
      <c r="R1132" s="7"/>
      <c r="S1132" s="7"/>
    </row>
    <row r="1133">
      <c r="C1133" s="19">
        <f>IFERROR(__xludf.DUMMYFUNCTION("""COMPUTED_VALUE"""),45874.74606222222)</f>
        <v>45874.74606</v>
      </c>
      <c r="D1133" s="7" t="str">
        <f>IFERROR(__xludf.DUMMYFUNCTION("""COMPUTED_VALUE"""),"Irastorza")</f>
        <v>Irastorza</v>
      </c>
      <c r="E1133" s="7" t="str">
        <f>IFERROR(__xludf.DUMMYFUNCTION("""COMPUTED_VALUE"""),"Ricardo")</f>
        <v>Ricardo</v>
      </c>
      <c r="F1133" s="7" t="str">
        <f>IFERROR(__xludf.DUMMYFUNCTION("""COMPUTED_VALUE"""),"ricardoirastorza@yahoo.com.ar")</f>
        <v>ricardoirastorza@yahoo.com.ar</v>
      </c>
      <c r="G1133" s="20">
        <f>IFERROR(__xludf.DUMMYFUNCTION("""COMPUTED_VALUE"""),18488.0)</f>
        <v>18488</v>
      </c>
      <c r="H1133" s="7">
        <f>IFERROR(__xludf.DUMMYFUNCTION("""COMPUTED_VALUE"""),8401410.0)</f>
        <v>8401410</v>
      </c>
      <c r="I1133" s="7">
        <f>IFERROR(__xludf.DUMMYFUNCTION("""COMPUTED_VALUE"""),3.51618401E9)</f>
        <v>3516184010</v>
      </c>
      <c r="J1133" s="7" t="str">
        <f>IFERROR(__xludf.DUMMYFUNCTION("""COMPUTED_VALUE"""),"Recomendación")</f>
        <v>Recomendación</v>
      </c>
      <c r="K1133" s="7" t="str">
        <f>IFERROR(__xludf.DUMMYFUNCTION("""COMPUTED_VALUE"""),"Obra social")</f>
        <v>Obra social</v>
      </c>
      <c r="L1133" s="7"/>
      <c r="M1133" s="7" t="str">
        <f>IFERROR(__xludf.DUMMYFUNCTION("""COMPUTED_VALUE"""),"Si")</f>
        <v>Si</v>
      </c>
      <c r="N1133" s="7" t="str">
        <f>IFERROR(__xludf.DUMMYFUNCTION("""COMPUTED_VALUE"""),"Running")</f>
        <v>Running</v>
      </c>
      <c r="O1133" s="7" t="str">
        <f>IFERROR(__xludf.DUMMYFUNCTION("""COMPUTED_VALUE"""),"3 a 5 veces por semana")</f>
        <v>3 a 5 veces por semana</v>
      </c>
      <c r="P1133" s="7"/>
      <c r="Q1133" s="7" t="str">
        <f>IFERROR(__xludf.DUMMYFUNCTION("""COMPUTED_VALUE"""),"DASPU")</f>
        <v>DASPU</v>
      </c>
      <c r="R1133" s="7"/>
      <c r="S1133" s="7"/>
    </row>
    <row r="1134">
      <c r="C1134" s="19">
        <f>IFERROR(__xludf.DUMMYFUNCTION("""COMPUTED_VALUE"""),45874.795341296296)</f>
        <v>45874.79534</v>
      </c>
      <c r="D1134" s="7" t="str">
        <f>IFERROR(__xludf.DUMMYFUNCTION("""COMPUTED_VALUE"""),"MARTINEZ")</f>
        <v>MARTINEZ</v>
      </c>
      <c r="E1134" s="7" t="str">
        <f>IFERROR(__xludf.DUMMYFUNCTION("""COMPUTED_VALUE"""),"Jessica ")</f>
        <v>Jessica </v>
      </c>
      <c r="F1134" s="7" t="str">
        <f>IFERROR(__xludf.DUMMYFUNCTION("""COMPUTED_VALUE"""),"jessicamartinez527@gmail.com")</f>
        <v>jessicamartinez527@gmail.com</v>
      </c>
      <c r="G1134" s="20">
        <f>IFERROR(__xludf.DUMMYFUNCTION("""COMPUTED_VALUE"""),28418.0)</f>
        <v>28418</v>
      </c>
      <c r="H1134" s="7">
        <f>IFERROR(__xludf.DUMMYFUNCTION("""COMPUTED_VALUE"""),2.6151729E7)</f>
        <v>26151729</v>
      </c>
      <c r="I1134" s="7">
        <f>IFERROR(__xludf.DUMMYFUNCTION("""COMPUTED_VALUE"""),3.51217256E9)</f>
        <v>3512172560</v>
      </c>
      <c r="J1134" s="7" t="str">
        <f>IFERROR(__xludf.DUMMYFUNCTION("""COMPUTED_VALUE"""),"Cartilla Obra Social")</f>
        <v>Cartilla Obra Social</v>
      </c>
      <c r="K1134" s="7" t="str">
        <f>IFERROR(__xludf.DUMMYFUNCTION("""COMPUTED_VALUE"""),"Obra social")</f>
        <v>Obra social</v>
      </c>
      <c r="L1134" s="7"/>
      <c r="M1134" s="7" t="str">
        <f>IFERROR(__xludf.DUMMYFUNCTION("""COMPUTED_VALUE"""),"Si")</f>
        <v>Si</v>
      </c>
      <c r="N1134" s="7" t="str">
        <f>IFERROR(__xludf.DUMMYFUNCTION("""COMPUTED_VALUE"""),"Clases de funcional ")</f>
        <v>Clases de funcional </v>
      </c>
      <c r="O1134" s="7" t="str">
        <f>IFERROR(__xludf.DUMMYFUNCTION("""COMPUTED_VALUE"""),"3 a 5 veces por semana")</f>
        <v>3 a 5 veces por semana</v>
      </c>
      <c r="P1134" s="7"/>
      <c r="Q1134" s="7" t="str">
        <f>IFERROR(__xludf.DUMMYFUNCTION("""COMPUTED_VALUE"""),"BOREAL")</f>
        <v>BOREAL</v>
      </c>
      <c r="R1134" s="7"/>
      <c r="S1134" s="7"/>
    </row>
    <row r="1135">
      <c r="C1135" s="19">
        <f>IFERROR(__xludf.DUMMYFUNCTION("""COMPUTED_VALUE"""),45874.802127013885)</f>
        <v>45874.80213</v>
      </c>
      <c r="D1135" s="7" t="str">
        <f>IFERROR(__xludf.DUMMYFUNCTION("""COMPUTED_VALUE"""),"Amuchastegui")</f>
        <v>Amuchastegui</v>
      </c>
      <c r="E1135" s="7" t="str">
        <f>IFERROR(__xludf.DUMMYFUNCTION("""COMPUTED_VALUE"""),"Beatriz Liliana")</f>
        <v>Beatriz Liliana</v>
      </c>
      <c r="F1135" s="7" t="str">
        <f>IFERROR(__xludf.DUMMYFUNCTION("""COMPUTED_VALUE"""),"bealil_08@hotmail.com")</f>
        <v>bealil_08@hotmail.com</v>
      </c>
      <c r="G1135" s="20">
        <f>IFERROR(__xludf.DUMMYFUNCTION("""COMPUTED_VALUE"""),19467.0)</f>
        <v>19467</v>
      </c>
      <c r="H1135" s="7">
        <f>IFERROR(__xludf.DUMMYFUNCTION("""COMPUTED_VALUE"""),1.1050438E7)</f>
        <v>11050438</v>
      </c>
      <c r="I1135" s="7">
        <f>IFERROR(__xludf.DUMMYFUNCTION("""COMPUTED_VALUE"""),3.513468046E9)</f>
        <v>3513468046</v>
      </c>
      <c r="J1135" s="7" t="str">
        <f>IFERROR(__xludf.DUMMYFUNCTION("""COMPUTED_VALUE"""),"Google")</f>
        <v>Google</v>
      </c>
      <c r="K1135" s="7" t="str">
        <f>IFERROR(__xludf.DUMMYFUNCTION("""COMPUTED_VALUE"""),"Particular")</f>
        <v>Particular</v>
      </c>
      <c r="L1135" s="7"/>
      <c r="M1135" s="7" t="str">
        <f>IFERROR(__xludf.DUMMYFUNCTION("""COMPUTED_VALUE"""),"No")</f>
        <v>No</v>
      </c>
      <c r="N1135" s="7"/>
      <c r="O1135" s="7"/>
      <c r="P1135" s="7"/>
      <c r="Q1135" s="7"/>
      <c r="R1135" s="7"/>
      <c r="S1135" s="7"/>
    </row>
    <row r="1136">
      <c r="C1136" s="19">
        <f>IFERROR(__xludf.DUMMYFUNCTION("""COMPUTED_VALUE"""),45875.78796427083)</f>
        <v>45875.78796</v>
      </c>
      <c r="D1136" s="7" t="str">
        <f>IFERROR(__xludf.DUMMYFUNCTION("""COMPUTED_VALUE"""),"Orcetti")</f>
        <v>Orcetti</v>
      </c>
      <c r="E1136" s="7" t="str">
        <f>IFERROR(__xludf.DUMMYFUNCTION("""COMPUTED_VALUE"""),"Federico")</f>
        <v>Federico</v>
      </c>
      <c r="F1136" s="7" t="str">
        <f>IFERROR(__xludf.DUMMYFUNCTION("""COMPUTED_VALUE"""),"fedeorcetti@hotmail.com")</f>
        <v>fedeorcetti@hotmail.com</v>
      </c>
      <c r="G1136" s="20">
        <f>IFERROR(__xludf.DUMMYFUNCTION("""COMPUTED_VALUE"""),33458.0)</f>
        <v>33458</v>
      </c>
      <c r="H1136" s="7">
        <f>IFERROR(__xludf.DUMMYFUNCTION("""COMPUTED_VALUE"""),3.6446865E7)</f>
        <v>36446865</v>
      </c>
      <c r="I1136" s="7">
        <f>IFERROR(__xludf.DUMMYFUNCTION("""COMPUTED_VALUE"""),3.5145903E9)</f>
        <v>3514590300</v>
      </c>
      <c r="J1136" s="7" t="str">
        <f>IFERROR(__xludf.DUMMYFUNCTION("""COMPUTED_VALUE"""),"Google")</f>
        <v>Google</v>
      </c>
      <c r="K1136" s="7" t="str">
        <f>IFERROR(__xludf.DUMMYFUNCTION("""COMPUTED_VALUE"""),"Particular")</f>
        <v>Particular</v>
      </c>
      <c r="L1136" s="7"/>
      <c r="M1136" s="7" t="str">
        <f>IFERROR(__xludf.DUMMYFUNCTION("""COMPUTED_VALUE"""),"No")</f>
        <v>No</v>
      </c>
      <c r="N1136" s="7"/>
      <c r="O1136" s="7"/>
      <c r="P1136" s="7"/>
      <c r="Q1136" s="7"/>
      <c r="R1136" s="7"/>
      <c r="S1136" s="7"/>
    </row>
    <row r="1137">
      <c r="C1137" s="19">
        <f>IFERROR(__xludf.DUMMYFUNCTION("""COMPUTED_VALUE"""),45875.85159548611)</f>
        <v>45875.8516</v>
      </c>
      <c r="D1137" s="7" t="str">
        <f>IFERROR(__xludf.DUMMYFUNCTION("""COMPUTED_VALUE"""),"Barbero")</f>
        <v>Barbero</v>
      </c>
      <c r="E1137" s="7" t="str">
        <f>IFERROR(__xludf.DUMMYFUNCTION("""COMPUTED_VALUE"""),"Edgardo Ruben")</f>
        <v>Edgardo Ruben</v>
      </c>
      <c r="F1137" s="7" t="str">
        <f>IFERROR(__xludf.DUMMYFUNCTION("""COMPUTED_VALUE"""),"barberoedgardo1@gmail.com")</f>
        <v>barberoedgardo1@gmail.com</v>
      </c>
      <c r="G1137" s="20">
        <f>IFERROR(__xludf.DUMMYFUNCTION("""COMPUTED_VALUE"""),24984.0)</f>
        <v>24984</v>
      </c>
      <c r="H1137" s="7">
        <f>IFERROR(__xludf.DUMMYFUNCTION("""COMPUTED_VALUE"""),2.0143045E7)</f>
        <v>20143045</v>
      </c>
      <c r="I1137" s="7">
        <f>IFERROR(__xludf.DUMMYFUNCTION("""COMPUTED_VALUE"""),3.513458582E9)</f>
        <v>3513458582</v>
      </c>
      <c r="J1137" s="7" t="str">
        <f>IFERROR(__xludf.DUMMYFUNCTION("""COMPUTED_VALUE"""),"Recomendación")</f>
        <v>Recomendación</v>
      </c>
      <c r="K1137" s="7" t="str">
        <f>IFERROR(__xludf.DUMMYFUNCTION("""COMPUTED_VALUE"""),"Particular")</f>
        <v>Particular</v>
      </c>
      <c r="L1137" s="7"/>
      <c r="M1137" s="7" t="str">
        <f>IFERROR(__xludf.DUMMYFUNCTION("""COMPUTED_VALUE"""),"No")</f>
        <v>No</v>
      </c>
      <c r="N1137" s="7"/>
      <c r="O1137" s="7"/>
      <c r="P1137" s="7"/>
      <c r="Q1137" s="7"/>
      <c r="R1137" s="7"/>
      <c r="S1137" s="7"/>
    </row>
    <row r="1138">
      <c r="C1138" s="19">
        <f>IFERROR(__xludf.DUMMYFUNCTION("""COMPUTED_VALUE"""),45876.67017424769)</f>
        <v>45876.67017</v>
      </c>
      <c r="D1138" s="7" t="str">
        <f>IFERROR(__xludf.DUMMYFUNCTION("""COMPUTED_VALUE"""),"Perez")</f>
        <v>Perez</v>
      </c>
      <c r="E1138" s="7" t="str">
        <f>IFERROR(__xludf.DUMMYFUNCTION("""COMPUTED_VALUE"""),"Gonzalo")</f>
        <v>Gonzalo</v>
      </c>
      <c r="F1138" s="7" t="str">
        <f>IFERROR(__xludf.DUMMYFUNCTION("""COMPUTED_VALUE"""),"gonzaloperezcba@gmail.com")</f>
        <v>gonzaloperezcba@gmail.com</v>
      </c>
      <c r="G1138" s="20">
        <f>IFERROR(__xludf.DUMMYFUNCTION("""COMPUTED_VALUE"""),36021.0)</f>
        <v>36021</v>
      </c>
      <c r="H1138" s="7">
        <f>IFERROR(__xludf.DUMMYFUNCTION("""COMPUTED_VALUE"""),4.115865E7)</f>
        <v>41158650</v>
      </c>
      <c r="I1138" s="7">
        <f>IFERROR(__xludf.DUMMYFUNCTION("""COMPUTED_VALUE"""),3.513848874E9)</f>
        <v>3513848874</v>
      </c>
      <c r="J1138" s="7" t="str">
        <f>IFERROR(__xludf.DUMMYFUNCTION("""COMPUTED_VALUE"""),"Google")</f>
        <v>Google</v>
      </c>
      <c r="K1138" s="7" t="str">
        <f>IFERROR(__xludf.DUMMYFUNCTION("""COMPUTED_VALUE"""),"Particular")</f>
        <v>Particular</v>
      </c>
      <c r="L1138" s="7"/>
      <c r="M1138" s="7" t="str">
        <f>IFERROR(__xludf.DUMMYFUNCTION("""COMPUTED_VALUE"""),"Si")</f>
        <v>Si</v>
      </c>
      <c r="N1138" s="7" t="str">
        <f>IFERROR(__xludf.DUMMYFUNCTION("""COMPUTED_VALUE"""),"Running")</f>
        <v>Running</v>
      </c>
      <c r="O1138" s="7" t="str">
        <f>IFERROR(__xludf.DUMMYFUNCTION("""COMPUTED_VALUE"""),"3 a 5 veces por semana")</f>
        <v>3 a 5 veces por semana</v>
      </c>
      <c r="P1138" s="7"/>
      <c r="Q1138" s="7"/>
      <c r="R1138" s="7"/>
      <c r="S1138" s="7"/>
    </row>
    <row r="1139">
      <c r="C1139" s="19">
        <f>IFERROR(__xludf.DUMMYFUNCTION("""COMPUTED_VALUE"""),45876.67374924768)</f>
        <v>45876.67375</v>
      </c>
      <c r="D1139" s="7" t="str">
        <f>IFERROR(__xludf.DUMMYFUNCTION("""COMPUTED_VALUE"""),"NIZA")</f>
        <v>NIZA</v>
      </c>
      <c r="E1139" s="7" t="str">
        <f>IFERROR(__xludf.DUMMYFUNCTION("""COMPUTED_VALUE"""),"Blanca ")</f>
        <v>Blanca </v>
      </c>
      <c r="F1139" s="7" t="str">
        <f>IFERROR(__xludf.DUMMYFUNCTION("""COMPUTED_VALUE"""),"blancaniza61@gmail.com")</f>
        <v>blancaniza61@gmail.com</v>
      </c>
      <c r="G1139" s="20">
        <f>IFERROR(__xludf.DUMMYFUNCTION("""COMPUTED_VALUE"""),22469.0)</f>
        <v>22469</v>
      </c>
      <c r="H1139" s="7">
        <f>IFERROR(__xludf.DUMMYFUNCTION("""COMPUTED_VALUE"""),1.4838527E7)</f>
        <v>14838527</v>
      </c>
      <c r="I1139" s="7">
        <f>IFERROR(__xludf.DUMMYFUNCTION("""COMPUTED_VALUE"""),3.512210129E9)</f>
        <v>3512210129</v>
      </c>
      <c r="J1139" s="7" t="str">
        <f>IFERROR(__xludf.DUMMYFUNCTION("""COMPUTED_VALUE"""),"Recomendación")</f>
        <v>Recomendación</v>
      </c>
      <c r="K1139" s="7" t="str">
        <f>IFERROR(__xludf.DUMMYFUNCTION("""COMPUTED_VALUE"""),"Obra social")</f>
        <v>Obra social</v>
      </c>
      <c r="L1139" s="7"/>
      <c r="M1139" s="7" t="str">
        <f>IFERROR(__xludf.DUMMYFUNCTION("""COMPUTED_VALUE"""),"Si")</f>
        <v>Si</v>
      </c>
      <c r="N1139" s="7" t="str">
        <f>IFERROR(__xludf.DUMMYFUNCTION("""COMPUTED_VALUE"""),"pilates")</f>
        <v>pilates</v>
      </c>
      <c r="O1139" s="7" t="str">
        <f>IFERROR(__xludf.DUMMYFUNCTION("""COMPUTED_VALUE"""),"3 a 5 veces por semana")</f>
        <v>3 a 5 veces por semana</v>
      </c>
      <c r="P1139" s="7"/>
      <c r="Q1139" s="7" t="str">
        <f>IFERROR(__xludf.DUMMYFUNCTION("""COMPUTED_VALUE"""),"APROSS")</f>
        <v>APROSS</v>
      </c>
      <c r="R1139" s="7"/>
      <c r="S1139" s="7"/>
    </row>
    <row r="1140">
      <c r="C1140" s="19">
        <f>IFERROR(__xludf.DUMMYFUNCTION("""COMPUTED_VALUE"""),45876.79801789352)</f>
        <v>45876.79802</v>
      </c>
      <c r="D1140" s="7" t="str">
        <f>IFERROR(__xludf.DUMMYFUNCTION("""COMPUTED_VALUE"""),"Giannoboli")</f>
        <v>Giannoboli</v>
      </c>
      <c r="E1140" s="7" t="str">
        <f>IFERROR(__xludf.DUMMYFUNCTION("""COMPUTED_VALUE"""),"Lucas Victorio")</f>
        <v>Lucas Victorio</v>
      </c>
      <c r="F1140" s="7" t="str">
        <f>IFERROR(__xludf.DUMMYFUNCTION("""COMPUTED_VALUE"""),"lucasgiannoboli@gmail.com")</f>
        <v>lucasgiannoboli@gmail.com</v>
      </c>
      <c r="G1140" s="20">
        <f>IFERROR(__xludf.DUMMYFUNCTION("""COMPUTED_VALUE"""),28307.0)</f>
        <v>28307</v>
      </c>
      <c r="H1140" s="7">
        <f>IFERROR(__xludf.DUMMYFUNCTION("""COMPUTED_VALUE"""),2.5093649E7)</f>
        <v>25093649</v>
      </c>
      <c r="I1140" s="7">
        <f>IFERROR(__xludf.DUMMYFUNCTION("""COMPUTED_VALUE"""),3.518054744E9)</f>
        <v>3518054744</v>
      </c>
      <c r="J1140" s="7" t="str">
        <f>IFERROR(__xludf.DUMMYFUNCTION("""COMPUTED_VALUE"""),"Recomendación")</f>
        <v>Recomendación</v>
      </c>
      <c r="K1140" s="7" t="str">
        <f>IFERROR(__xludf.DUMMYFUNCTION("""COMPUTED_VALUE"""),"Obra social")</f>
        <v>Obra social</v>
      </c>
      <c r="L1140" s="7"/>
      <c r="M1140" s="7" t="str">
        <f>IFERROR(__xludf.DUMMYFUNCTION("""COMPUTED_VALUE"""),"No")</f>
        <v>No</v>
      </c>
      <c r="N1140" s="7"/>
      <c r="O1140" s="7"/>
      <c r="P1140" s="7"/>
      <c r="Q1140" s="7" t="str">
        <f>IFERROR(__xludf.DUMMYFUNCTION("""COMPUTED_VALUE"""),"DASPU")</f>
        <v>DASPU</v>
      </c>
      <c r="R1140" s="7"/>
      <c r="S1140" s="7"/>
    </row>
    <row r="1141">
      <c r="C1141" s="19">
        <f>IFERROR(__xludf.DUMMYFUNCTION("""COMPUTED_VALUE"""),45876.80384434028)</f>
        <v>45876.80384</v>
      </c>
      <c r="D1141" s="7" t="str">
        <f>IFERROR(__xludf.DUMMYFUNCTION("""COMPUTED_VALUE"""),"Cooper")</f>
        <v>Cooper</v>
      </c>
      <c r="E1141" s="7" t="str">
        <f>IFERROR(__xludf.DUMMYFUNCTION("""COMPUTED_VALUE"""),"Pedro")</f>
        <v>Pedro</v>
      </c>
      <c r="F1141" s="7" t="str">
        <f>IFERROR(__xludf.DUMMYFUNCTION("""COMPUTED_VALUE"""),"pedrocooper99@gmail.com")</f>
        <v>pedrocooper99@gmail.com</v>
      </c>
      <c r="G1141" s="20">
        <f>IFERROR(__xludf.DUMMYFUNCTION("""COMPUTED_VALUE"""),36461.0)</f>
        <v>36461</v>
      </c>
      <c r="H1141" s="7">
        <f>IFERROR(__xludf.DUMMYFUNCTION("""COMPUTED_VALUE"""),4.2185297E7)</f>
        <v>42185297</v>
      </c>
      <c r="I1141" s="7">
        <f>IFERROR(__xludf.DUMMYFUNCTION("""COMPUTED_VALUE"""),3.51623053E9)</f>
        <v>3516230530</v>
      </c>
      <c r="J1141" s="7" t="str">
        <f>IFERROR(__xludf.DUMMYFUNCTION("""COMPUTED_VALUE"""),"Voy al gym Manantial")</f>
        <v>Voy al gym Manantial</v>
      </c>
      <c r="K1141" s="7" t="str">
        <f>IFERROR(__xludf.DUMMYFUNCTION("""COMPUTED_VALUE"""),"Obra social")</f>
        <v>Obra social</v>
      </c>
      <c r="L1141" s="7"/>
      <c r="M1141" s="7" t="str">
        <f>IFERROR(__xludf.DUMMYFUNCTION("""COMPUTED_VALUE"""),"Si")</f>
        <v>Si</v>
      </c>
      <c r="N1141" s="7" t="str">
        <f>IFERROR(__xludf.DUMMYFUNCTION("""COMPUTED_VALUE"""),"Gimnasio")</f>
        <v>Gimnasio</v>
      </c>
      <c r="O1141" s="7" t="str">
        <f>IFERROR(__xludf.DUMMYFUNCTION("""COMPUTED_VALUE"""),"3 a 5 veces por semana")</f>
        <v>3 a 5 veces por semana</v>
      </c>
      <c r="P1141" s="7"/>
      <c r="Q1141" s="7" t="str">
        <f>IFERROR(__xludf.DUMMYFUNCTION("""COMPUTED_VALUE"""),"SANCOR")</f>
        <v>SANCOR</v>
      </c>
      <c r="R1141" s="7"/>
      <c r="S1141" s="7"/>
    </row>
    <row r="1142">
      <c r="C1142" s="19">
        <f>IFERROR(__xludf.DUMMYFUNCTION("""COMPUTED_VALUE"""),45876.822377268516)</f>
        <v>45876.82238</v>
      </c>
      <c r="D1142" s="7" t="str">
        <f>IFERROR(__xludf.DUMMYFUNCTION("""COMPUTED_VALUE"""),"Correa Volpara")</f>
        <v>Correa Volpara</v>
      </c>
      <c r="E1142" s="7" t="str">
        <f>IFERROR(__xludf.DUMMYFUNCTION("""COMPUTED_VALUE"""),"Juan")</f>
        <v>Juan</v>
      </c>
      <c r="F1142" s="7" t="str">
        <f>IFERROR(__xludf.DUMMYFUNCTION("""COMPUTED_VALUE"""),"jlvolpara@gmail.com")</f>
        <v>jlvolpara@gmail.com</v>
      </c>
      <c r="G1142" s="20">
        <f>IFERROR(__xludf.DUMMYFUNCTION("""COMPUTED_VALUE"""),32585.0)</f>
        <v>32585</v>
      </c>
      <c r="H1142" s="7">
        <f>IFERROR(__xludf.DUMMYFUNCTION("""COMPUTED_VALUE"""),3.4290449E7)</f>
        <v>34290449</v>
      </c>
      <c r="I1142" s="7">
        <f>IFERROR(__xludf.DUMMYFUNCTION("""COMPUTED_VALUE"""),3.515900811E9)</f>
        <v>3515900811</v>
      </c>
      <c r="J1142" s="7" t="str">
        <f>IFERROR(__xludf.DUMMYFUNCTION("""COMPUTED_VALUE"""),"Los conozco")</f>
        <v>Los conozco</v>
      </c>
      <c r="K1142" s="7" t="str">
        <f>IFERROR(__xludf.DUMMYFUNCTION("""COMPUTED_VALUE"""),"Particular")</f>
        <v>Particular</v>
      </c>
      <c r="L1142" s="7"/>
      <c r="M1142" s="7" t="str">
        <f>IFERROR(__xludf.DUMMYFUNCTION("""COMPUTED_VALUE"""),"Si")</f>
        <v>Si</v>
      </c>
      <c r="N1142" s="7" t="str">
        <f>IFERROR(__xludf.DUMMYFUNCTION("""COMPUTED_VALUE"""),"Padel ")</f>
        <v>Padel </v>
      </c>
      <c r="O1142" s="7" t="str">
        <f>IFERROR(__xludf.DUMMYFUNCTION("""COMPUTED_VALUE"""),"3 a 5 veces por semana")</f>
        <v>3 a 5 veces por semana</v>
      </c>
      <c r="P1142" s="7"/>
      <c r="Q1142" s="7"/>
      <c r="R1142" s="7"/>
      <c r="S1142" s="7"/>
    </row>
    <row r="1143">
      <c r="C1143" s="19">
        <f>IFERROR(__xludf.DUMMYFUNCTION("""COMPUTED_VALUE"""),45877.7122338426)</f>
        <v>45877.71223</v>
      </c>
      <c r="D1143" s="7" t="str">
        <f>IFERROR(__xludf.DUMMYFUNCTION("""COMPUTED_VALUE"""),"Herrera")</f>
        <v>Herrera</v>
      </c>
      <c r="E1143" s="7" t="str">
        <f>IFERROR(__xludf.DUMMYFUNCTION("""COMPUTED_VALUE"""),"Patricia del Valle")</f>
        <v>Patricia del Valle</v>
      </c>
      <c r="F1143" s="7" t="str">
        <f>IFERROR(__xludf.DUMMYFUNCTION("""COMPUTED_VALUE"""),"patriciaherrerrareal@gmail.com")</f>
        <v>patriciaherrerrareal@gmail.com</v>
      </c>
      <c r="G1143" s="20">
        <f>IFERROR(__xludf.DUMMYFUNCTION("""COMPUTED_VALUE"""),21901.0)</f>
        <v>21901</v>
      </c>
      <c r="H1143" s="7">
        <f>IFERROR(__xludf.DUMMYFUNCTION("""COMPUTED_VALUE"""),1.3964067E7)</f>
        <v>13964067</v>
      </c>
      <c r="I1143" s="7">
        <f>IFERROR(__xludf.DUMMYFUNCTION("""COMPUTED_VALUE"""),3.516354614E9)</f>
        <v>3516354614</v>
      </c>
      <c r="J1143" s="7" t="str">
        <f>IFERROR(__xludf.DUMMYFUNCTION("""COMPUTED_VALUE"""),"Recomendación")</f>
        <v>Recomendación</v>
      </c>
      <c r="K1143" s="7" t="str">
        <f>IFERROR(__xludf.DUMMYFUNCTION("""COMPUTED_VALUE"""),"Particular")</f>
        <v>Particular</v>
      </c>
      <c r="L1143" s="7"/>
      <c r="M1143" s="7" t="str">
        <f>IFERROR(__xludf.DUMMYFUNCTION("""COMPUTED_VALUE"""),"No")</f>
        <v>No</v>
      </c>
      <c r="N1143" s="7"/>
      <c r="O1143" s="7"/>
      <c r="P1143" s="7"/>
      <c r="Q1143" s="7"/>
      <c r="R1143" s="7"/>
      <c r="S1143" s="7"/>
    </row>
    <row r="1144">
      <c r="C1144" s="19">
        <f>IFERROR(__xludf.DUMMYFUNCTION("""COMPUTED_VALUE"""),45877.71995726852)</f>
        <v>45877.71996</v>
      </c>
      <c r="D1144" s="7" t="str">
        <f>IFERROR(__xludf.DUMMYFUNCTION("""COMPUTED_VALUE"""),"Olivera ")</f>
        <v>Olivera </v>
      </c>
      <c r="E1144" s="7" t="str">
        <f>IFERROR(__xludf.DUMMYFUNCTION("""COMPUTED_VALUE"""),"Agustin")</f>
        <v>Agustin</v>
      </c>
      <c r="F1144" s="7" t="str">
        <f>IFERROR(__xludf.DUMMYFUNCTION("""COMPUTED_VALUE"""),"agustinolivera5000@gmail.com")</f>
        <v>agustinolivera5000@gmail.com</v>
      </c>
      <c r="G1144" s="20">
        <f>IFERROR(__xludf.DUMMYFUNCTION("""COMPUTED_VALUE"""),38554.0)</f>
        <v>38554</v>
      </c>
      <c r="H1144" s="7">
        <f>IFERROR(__xludf.DUMMYFUNCTION("""COMPUTED_VALUE"""),4.6223505E7)</f>
        <v>46223505</v>
      </c>
      <c r="I1144" s="7">
        <f>IFERROR(__xludf.DUMMYFUNCTION("""COMPUTED_VALUE"""),3.513249591E9)</f>
        <v>3513249591</v>
      </c>
      <c r="J1144" s="7" t="str">
        <f>IFERROR(__xludf.DUMMYFUNCTION("""COMPUTED_VALUE"""),"Voy al gym Manantial")</f>
        <v>Voy al gym Manantial</v>
      </c>
      <c r="K1144" s="7" t="str">
        <f>IFERROR(__xludf.DUMMYFUNCTION("""COMPUTED_VALUE"""),"Obra social")</f>
        <v>Obra social</v>
      </c>
      <c r="L1144" s="7"/>
      <c r="M1144" s="7" t="str">
        <f>IFERROR(__xludf.DUMMYFUNCTION("""COMPUTED_VALUE"""),"Si")</f>
        <v>Si</v>
      </c>
      <c r="N1144" s="7" t="str">
        <f>IFERROR(__xludf.DUMMYFUNCTION("""COMPUTED_VALUE"""),"gimnasio + futbol")</f>
        <v>gimnasio + futbol</v>
      </c>
      <c r="O1144" s="7" t="str">
        <f>IFERROR(__xludf.DUMMYFUNCTION("""COMPUTED_VALUE"""),"3 a 5 veces por semana")</f>
        <v>3 a 5 veces por semana</v>
      </c>
      <c r="P1144" s="7"/>
      <c r="Q1144" s="7" t="str">
        <f>IFERROR(__xludf.DUMMYFUNCTION("""COMPUTED_VALUE"""),"Medife")</f>
        <v>Medife</v>
      </c>
      <c r="R1144" s="7"/>
      <c r="S1144" s="7"/>
    </row>
    <row r="1145">
      <c r="C1145" s="19">
        <f>IFERROR(__xludf.DUMMYFUNCTION("""COMPUTED_VALUE"""),45877.72731015046)</f>
        <v>45877.72731</v>
      </c>
      <c r="D1145" s="7" t="str">
        <f>IFERROR(__xludf.DUMMYFUNCTION("""COMPUTED_VALUE"""),"Rojas")</f>
        <v>Rojas</v>
      </c>
      <c r="E1145" s="7" t="str">
        <f>IFERROR(__xludf.DUMMYFUNCTION("""COMPUTED_VALUE"""),"Ricardo")</f>
        <v>Ricardo</v>
      </c>
      <c r="F1145" s="7" t="str">
        <f>IFERROR(__xludf.DUMMYFUNCTION("""COMPUTED_VALUE"""),"ricardojoserojas1969@gmail.com")</f>
        <v>ricardojoserojas1969@gmail.com</v>
      </c>
      <c r="G1145" s="20">
        <f>IFERROR(__xludf.DUMMYFUNCTION("""COMPUTED_VALUE"""),25209.0)</f>
        <v>25209</v>
      </c>
      <c r="H1145" s="7">
        <f>IFERROR(__xludf.DUMMYFUNCTION("""COMPUTED_VALUE"""),2.0755543E7)</f>
        <v>20755543</v>
      </c>
      <c r="I1145" s="7">
        <f>IFERROR(__xludf.DUMMYFUNCTION("""COMPUTED_VALUE"""),3.516791675E9)</f>
        <v>3516791675</v>
      </c>
      <c r="J1145" s="7" t="str">
        <f>IFERROR(__xludf.DUMMYFUNCTION("""COMPUTED_VALUE"""),"Voy al gym Manantial")</f>
        <v>Voy al gym Manantial</v>
      </c>
      <c r="K1145" s="7" t="str">
        <f>IFERROR(__xludf.DUMMYFUNCTION("""COMPUTED_VALUE"""),"Obra social")</f>
        <v>Obra social</v>
      </c>
      <c r="L1145" s="7"/>
      <c r="M1145" s="7" t="str">
        <f>IFERROR(__xludf.DUMMYFUNCTION("""COMPUTED_VALUE"""),"Si")</f>
        <v>Si</v>
      </c>
      <c r="N1145" s="7" t="str">
        <f>IFERROR(__xludf.DUMMYFUNCTION("""COMPUTED_VALUE"""),"Fútbol")</f>
        <v>Fútbol</v>
      </c>
      <c r="O1145" s="7" t="str">
        <f>IFERROR(__xludf.DUMMYFUNCTION("""COMPUTED_VALUE"""),"1 a 2 veces por semana")</f>
        <v>1 a 2 veces por semana</v>
      </c>
      <c r="P1145" s="7"/>
      <c r="Q1145" s="7" t="str">
        <f>IFERROR(__xludf.DUMMYFUNCTION("""COMPUTED_VALUE"""),"APROSS")</f>
        <v>APROSS</v>
      </c>
      <c r="R1145" s="7"/>
      <c r="S1145" s="7"/>
    </row>
    <row r="1146">
      <c r="C1146" s="19">
        <f>IFERROR(__xludf.DUMMYFUNCTION("""COMPUTED_VALUE"""),45877.7394153125)</f>
        <v>45877.73942</v>
      </c>
      <c r="D1146" s="7" t="str">
        <f>IFERROR(__xludf.DUMMYFUNCTION("""COMPUTED_VALUE"""),"Paya")</f>
        <v>Paya</v>
      </c>
      <c r="E1146" s="7" t="str">
        <f>IFERROR(__xludf.DUMMYFUNCTION("""COMPUTED_VALUE"""),"Leonardo ")</f>
        <v>Leonardo </v>
      </c>
      <c r="F1146" s="7" t="str">
        <f>IFERROR(__xludf.DUMMYFUNCTION("""COMPUTED_VALUE"""),"Payaleonardo@gmail.com")</f>
        <v>Payaleonardo@gmail.com</v>
      </c>
      <c r="G1146" s="20">
        <f>IFERROR(__xludf.DUMMYFUNCTION("""COMPUTED_VALUE"""),31926.0)</f>
        <v>31926</v>
      </c>
      <c r="H1146" s="7">
        <f>IFERROR(__xludf.DUMMYFUNCTION("""COMPUTED_VALUE"""),3.303044E7)</f>
        <v>33030440</v>
      </c>
      <c r="I1146" s="7">
        <f>IFERROR(__xludf.DUMMYFUNCTION("""COMPUTED_VALUE"""),3.516362929E9)</f>
        <v>3516362929</v>
      </c>
      <c r="J1146" s="7" t="str">
        <f>IFERROR(__xludf.DUMMYFUNCTION("""COMPUTED_VALUE"""),"Instagram")</f>
        <v>Instagram</v>
      </c>
      <c r="K1146" s="7" t="str">
        <f>IFERROR(__xludf.DUMMYFUNCTION("""COMPUTED_VALUE"""),"Obra social")</f>
        <v>Obra social</v>
      </c>
      <c r="L1146" s="7"/>
      <c r="M1146" s="7" t="str">
        <f>IFERROR(__xludf.DUMMYFUNCTION("""COMPUTED_VALUE"""),"Si")</f>
        <v>Si</v>
      </c>
      <c r="N1146" s="7" t="str">
        <f>IFERROR(__xludf.DUMMYFUNCTION("""COMPUTED_VALUE"""),"Básquet")</f>
        <v>Básquet</v>
      </c>
      <c r="O1146" s="7" t="str">
        <f>IFERROR(__xludf.DUMMYFUNCTION("""COMPUTED_VALUE"""),"1 a 2 veces por semana")</f>
        <v>1 a 2 veces por semana</v>
      </c>
      <c r="P1146" s="7"/>
      <c r="Q1146" s="7" t="str">
        <f>IFERROR(__xludf.DUMMYFUNCTION("""COMPUTED_VALUE"""),"SANCOR")</f>
        <v>SANCOR</v>
      </c>
      <c r="R1146" s="7"/>
      <c r="S1146" s="7"/>
    </row>
    <row r="1147">
      <c r="C1147" s="19">
        <f>IFERROR(__xludf.DUMMYFUNCTION("""COMPUTED_VALUE"""),45877.806655092594)</f>
        <v>45877.80666</v>
      </c>
      <c r="D1147" s="7" t="str">
        <f>IFERROR(__xludf.DUMMYFUNCTION("""COMPUTED_VALUE"""),"Barzola")</f>
        <v>Barzola</v>
      </c>
      <c r="E1147" s="7" t="str">
        <f>IFERROR(__xludf.DUMMYFUNCTION("""COMPUTED_VALUE"""),"Jose")</f>
        <v>Jose</v>
      </c>
      <c r="F1147" s="7" t="str">
        <f>IFERROR(__xludf.DUMMYFUNCTION("""COMPUTED_VALUE"""),"jose10u@hotmail.com")</f>
        <v>jose10u@hotmail.com</v>
      </c>
      <c r="G1147" s="20">
        <f>IFERROR(__xludf.DUMMYFUNCTION("""COMPUTED_VALUE"""),30791.0)</f>
        <v>30791</v>
      </c>
      <c r="H1147" s="7">
        <f>IFERROR(__xludf.DUMMYFUNCTION("""COMPUTED_VALUE"""),3.0926418E7)</f>
        <v>30926418</v>
      </c>
      <c r="I1147" s="7">
        <f>IFERROR(__xludf.DUMMYFUNCTION("""COMPUTED_VALUE"""),3.513954237E9)</f>
        <v>3513954237</v>
      </c>
      <c r="J1147" s="7" t="str">
        <f>IFERROR(__xludf.DUMMYFUNCTION("""COMPUTED_VALUE"""),"Voy al gym Manantial")</f>
        <v>Voy al gym Manantial</v>
      </c>
      <c r="K1147" s="7" t="str">
        <f>IFERROR(__xludf.DUMMYFUNCTION("""COMPUTED_VALUE"""),"Obra social")</f>
        <v>Obra social</v>
      </c>
      <c r="L1147" s="7"/>
      <c r="M1147" s="7" t="str">
        <f>IFERROR(__xludf.DUMMYFUNCTION("""COMPUTED_VALUE"""),"Si")</f>
        <v>Si</v>
      </c>
      <c r="N1147" s="7" t="str">
        <f>IFERROR(__xludf.DUMMYFUNCTION("""COMPUTED_VALUE"""),"Gimnasio")</f>
        <v>Gimnasio</v>
      </c>
      <c r="O1147" s="7" t="str">
        <f>IFERROR(__xludf.DUMMYFUNCTION("""COMPUTED_VALUE"""),"3 a 5 veces por semana")</f>
        <v>3 a 5 veces por semana</v>
      </c>
      <c r="P1147" s="7"/>
      <c r="Q1147" s="7" t="str">
        <f>IFERROR(__xludf.DUMMYFUNCTION("""COMPUTED_VALUE"""),"DASPU")</f>
        <v>DASPU</v>
      </c>
      <c r="R1147" s="7"/>
      <c r="S1147" s="7"/>
    </row>
    <row r="1148">
      <c r="C1148" s="19">
        <f>IFERROR(__xludf.DUMMYFUNCTION("""COMPUTED_VALUE"""),45878.989253611115)</f>
        <v>45878.98925</v>
      </c>
      <c r="D1148" s="7" t="str">
        <f>IFERROR(__xludf.DUMMYFUNCTION("""COMPUTED_VALUE"""),"Font ")</f>
        <v>Font </v>
      </c>
      <c r="E1148" s="7" t="str">
        <f>IFERROR(__xludf.DUMMYFUNCTION("""COMPUTED_VALUE"""),"Natalia Soledad ")</f>
        <v>Natalia Soledad </v>
      </c>
      <c r="F1148" s="7" t="str">
        <f>IFERROR(__xludf.DUMMYFUNCTION("""COMPUTED_VALUE"""),"Natalia.font@unc.edu.ar")</f>
        <v>Natalia.font@unc.edu.ar</v>
      </c>
      <c r="G1148" s="20">
        <f>IFERROR(__xludf.DUMMYFUNCTION("""COMPUTED_VALUE"""),28863.0)</f>
        <v>28863</v>
      </c>
      <c r="H1148" s="7">
        <f>IFERROR(__xludf.DUMMYFUNCTION("""COMPUTED_VALUE"""),2.6759903E7)</f>
        <v>26759903</v>
      </c>
      <c r="I1148" s="7">
        <f>IFERROR(__xludf.DUMMYFUNCTION("""COMPUTED_VALUE"""),3.515646569E9)</f>
        <v>3515646569</v>
      </c>
      <c r="J1148" s="7" t="str">
        <f>IFERROR(__xludf.DUMMYFUNCTION("""COMPUTED_VALUE"""),"Recomendación")</f>
        <v>Recomendación</v>
      </c>
      <c r="K1148" s="7" t="str">
        <f>IFERROR(__xludf.DUMMYFUNCTION("""COMPUTED_VALUE"""),"Particular")</f>
        <v>Particular</v>
      </c>
      <c r="L1148" s="7"/>
      <c r="M1148" s="7" t="str">
        <f>IFERROR(__xludf.DUMMYFUNCTION("""COMPUTED_VALUE"""),"Si")</f>
        <v>Si</v>
      </c>
      <c r="N1148" s="7" t="str">
        <f>IFERROR(__xludf.DUMMYFUNCTION("""COMPUTED_VALUE"""),"Fútbol")</f>
        <v>Fútbol</v>
      </c>
      <c r="O1148" s="7" t="str">
        <f>IFERROR(__xludf.DUMMYFUNCTION("""COMPUTED_VALUE"""),"3 a 5 veces por semana")</f>
        <v>3 a 5 veces por semana</v>
      </c>
      <c r="P1148" s="7"/>
      <c r="Q1148" s="7"/>
      <c r="R1148" s="7"/>
      <c r="S1148" s="7"/>
    </row>
    <row r="1149">
      <c r="C1149" s="19">
        <f>IFERROR(__xludf.DUMMYFUNCTION("""COMPUTED_VALUE"""),45880.52968504629)</f>
        <v>45880.52969</v>
      </c>
      <c r="D1149" s="7" t="str">
        <f>IFERROR(__xludf.DUMMYFUNCTION("""COMPUTED_VALUE"""),"Martin")</f>
        <v>Martin</v>
      </c>
      <c r="E1149" s="7" t="str">
        <f>IFERROR(__xludf.DUMMYFUNCTION("""COMPUTED_VALUE"""),"Nahir")</f>
        <v>Nahir</v>
      </c>
      <c r="F1149" s="7" t="str">
        <f>IFERROR(__xludf.DUMMYFUNCTION("""COMPUTED_VALUE"""),"nahirmartin@hotmail.com")</f>
        <v>nahirmartin@hotmail.com</v>
      </c>
      <c r="G1149" s="20">
        <f>IFERROR(__xludf.DUMMYFUNCTION("""COMPUTED_VALUE"""),36912.0)</f>
        <v>36912</v>
      </c>
      <c r="H1149" s="7">
        <f>IFERROR(__xludf.DUMMYFUNCTION("""COMPUTED_VALUE"""),4.3091264E7)</f>
        <v>43091264</v>
      </c>
      <c r="I1149" s="7">
        <f>IFERROR(__xludf.DUMMYFUNCTION("""COMPUTED_VALUE"""),2.9234336E9)</f>
        <v>2923433600</v>
      </c>
      <c r="J1149" s="7" t="str">
        <f>IFERROR(__xludf.DUMMYFUNCTION("""COMPUTED_VALUE"""),"Recomendación")</f>
        <v>Recomendación</v>
      </c>
      <c r="K1149" s="7" t="str">
        <f>IFERROR(__xludf.DUMMYFUNCTION("""COMPUTED_VALUE"""),"Obra social")</f>
        <v>Obra social</v>
      </c>
      <c r="L1149" s="7"/>
      <c r="M1149" s="7" t="str">
        <f>IFERROR(__xludf.DUMMYFUNCTION("""COMPUTED_VALUE"""),"Si")</f>
        <v>Si</v>
      </c>
      <c r="N1149" s="7" t="str">
        <f>IFERROR(__xludf.DUMMYFUNCTION("""COMPUTED_VALUE"""),"Gimnasio")</f>
        <v>Gimnasio</v>
      </c>
      <c r="O1149" s="7" t="str">
        <f>IFERROR(__xludf.DUMMYFUNCTION("""COMPUTED_VALUE"""),"3 a 5 veces por semana")</f>
        <v>3 a 5 veces por semana</v>
      </c>
      <c r="P1149" s="7"/>
      <c r="Q1149" s="7" t="str">
        <f>IFERROR(__xludf.DUMMYFUNCTION("""COMPUTED_VALUE"""),"Medife")</f>
        <v>Medife</v>
      </c>
      <c r="R1149" s="7"/>
      <c r="S1149" s="7"/>
    </row>
    <row r="1150">
      <c r="C1150" s="19">
        <f>IFERROR(__xludf.DUMMYFUNCTION("""COMPUTED_VALUE"""),45880.556382986106)</f>
        <v>45880.55638</v>
      </c>
      <c r="D1150" s="7" t="str">
        <f>IFERROR(__xludf.DUMMYFUNCTION("""COMPUTED_VALUE"""),"Casas")</f>
        <v>Casas</v>
      </c>
      <c r="E1150" s="7" t="str">
        <f>IFERROR(__xludf.DUMMYFUNCTION("""COMPUTED_VALUE"""),"Matias nahuel")</f>
        <v>Matias nahuel</v>
      </c>
      <c r="F1150" s="7" t="str">
        <f>IFERROR(__xludf.DUMMYFUNCTION("""COMPUTED_VALUE"""),"casasmatias327@gmail.com")</f>
        <v>casasmatias327@gmail.com</v>
      </c>
      <c r="G1150" s="20">
        <f>IFERROR(__xludf.DUMMYFUNCTION("""COMPUTED_VALUE"""),36174.0)</f>
        <v>36174</v>
      </c>
      <c r="H1150" s="7">
        <f>IFERROR(__xludf.DUMMYFUNCTION("""COMPUTED_VALUE"""),4.2213451E7)</f>
        <v>42213451</v>
      </c>
      <c r="I1150" s="7">
        <f>IFERROR(__xludf.DUMMYFUNCTION("""COMPUTED_VALUE"""),3.517651646E9)</f>
        <v>3517651646</v>
      </c>
      <c r="J1150" s="7" t="str">
        <f>IFERROR(__xludf.DUMMYFUNCTION("""COMPUTED_VALUE"""),"Recomendación")</f>
        <v>Recomendación</v>
      </c>
      <c r="K1150" s="7" t="str">
        <f>IFERROR(__xludf.DUMMYFUNCTION("""COMPUTED_VALUE"""),"Particular")</f>
        <v>Particular</v>
      </c>
      <c r="L1150" s="7"/>
      <c r="M1150" s="7" t="str">
        <f>IFERROR(__xludf.DUMMYFUNCTION("""COMPUTED_VALUE"""),"Si")</f>
        <v>Si</v>
      </c>
      <c r="N1150" s="7" t="str">
        <f>IFERROR(__xludf.DUMMYFUNCTION("""COMPUTED_VALUE"""),"Fútbol")</f>
        <v>Fútbol</v>
      </c>
      <c r="O1150" s="7" t="str">
        <f>IFERROR(__xludf.DUMMYFUNCTION("""COMPUTED_VALUE"""),"3 a 5 veces por semana")</f>
        <v>3 a 5 veces por semana</v>
      </c>
      <c r="P1150" s="7"/>
      <c r="Q1150" s="7"/>
      <c r="R1150" s="7"/>
      <c r="S1150" s="7"/>
    </row>
    <row r="1151">
      <c r="C1151" s="19">
        <f>IFERROR(__xludf.DUMMYFUNCTION("""COMPUTED_VALUE"""),45881.48114575232)</f>
        <v>45881.48115</v>
      </c>
      <c r="D1151" s="7" t="str">
        <f>IFERROR(__xludf.DUMMYFUNCTION("""COMPUTED_VALUE"""),"moreno fassone")</f>
        <v>moreno fassone</v>
      </c>
      <c r="E1151" s="7" t="str">
        <f>IFERROR(__xludf.DUMMYFUNCTION("""COMPUTED_VALUE"""),"catalina")</f>
        <v>catalina</v>
      </c>
      <c r="F1151" s="7" t="str">
        <f>IFERROR(__xludf.DUMMYFUNCTION("""COMPUTED_VALUE"""),"fassonecatalina@gmail.com")</f>
        <v>fassonecatalina@gmail.com</v>
      </c>
      <c r="G1151" s="20">
        <f>IFERROR(__xludf.DUMMYFUNCTION("""COMPUTED_VALUE"""),39142.0)</f>
        <v>39142</v>
      </c>
      <c r="H1151" s="7">
        <f>IFERROR(__xludf.DUMMYFUNCTION("""COMPUTED_VALUE"""),4.7665073E7)</f>
        <v>47665073</v>
      </c>
      <c r="I1151" s="7">
        <f>IFERROR(__xludf.DUMMYFUNCTION("""COMPUTED_VALUE"""),3.512376802E9)</f>
        <v>3512376802</v>
      </c>
      <c r="J1151" s="7" t="str">
        <f>IFERROR(__xludf.DUMMYFUNCTION("""COMPUTED_VALUE"""),"Google")</f>
        <v>Google</v>
      </c>
      <c r="K1151" s="7" t="str">
        <f>IFERROR(__xludf.DUMMYFUNCTION("""COMPUTED_VALUE"""),"Obra social")</f>
        <v>Obra social</v>
      </c>
      <c r="L1151" s="7"/>
      <c r="M1151" s="7" t="str">
        <f>IFERROR(__xludf.DUMMYFUNCTION("""COMPUTED_VALUE"""),"Si")</f>
        <v>Si</v>
      </c>
      <c r="N1151" s="7" t="str">
        <f>IFERROR(__xludf.DUMMYFUNCTION("""COMPUTED_VALUE"""),"Fútbol")</f>
        <v>Fútbol</v>
      </c>
      <c r="O1151" s="7" t="str">
        <f>IFERROR(__xludf.DUMMYFUNCTION("""COMPUTED_VALUE"""),"3 a 5 veces por semana")</f>
        <v>3 a 5 veces por semana</v>
      </c>
      <c r="P1151" s="7"/>
      <c r="Q1151" s="7" t="str">
        <f>IFERROR(__xludf.DUMMYFUNCTION("""COMPUTED_VALUE"""),"APM")</f>
        <v>APM</v>
      </c>
      <c r="R1151" s="7"/>
      <c r="S1151" s="7"/>
    </row>
    <row r="1152">
      <c r="C1152" s="19">
        <f>IFERROR(__xludf.DUMMYFUNCTION("""COMPUTED_VALUE"""),45882.46049050926)</f>
        <v>45882.46049</v>
      </c>
      <c r="D1152" s="7" t="str">
        <f>IFERROR(__xludf.DUMMYFUNCTION("""COMPUTED_VALUE"""),"Ramirez")</f>
        <v>Ramirez</v>
      </c>
      <c r="E1152" s="7" t="str">
        <f>IFERROR(__xludf.DUMMYFUNCTION("""COMPUTED_VALUE"""),"Paulina")</f>
        <v>Paulina</v>
      </c>
      <c r="F1152" s="7" t="str">
        <f>IFERROR(__xludf.DUMMYFUNCTION("""COMPUTED_VALUE"""),"nicolas_jd_ramirez@hotmail.com")</f>
        <v>nicolas_jd_ramirez@hotmail.com</v>
      </c>
      <c r="G1152" s="20">
        <f>IFERROR(__xludf.DUMMYFUNCTION("""COMPUTED_VALUE"""),39155.0)</f>
        <v>39155</v>
      </c>
      <c r="H1152" s="7">
        <f>IFERROR(__xludf.DUMMYFUNCTION("""COMPUTED_VALUE"""),4.7662786E7)</f>
        <v>47662786</v>
      </c>
      <c r="I1152" s="7">
        <f>IFERROR(__xludf.DUMMYFUNCTION("""COMPUTED_VALUE"""),3.51538756E9)</f>
        <v>3515387560</v>
      </c>
      <c r="J1152" s="7" t="str">
        <f>IFERROR(__xludf.DUMMYFUNCTION("""COMPUTED_VALUE"""),"Google")</f>
        <v>Google</v>
      </c>
      <c r="K1152" s="7" t="str">
        <f>IFERROR(__xludf.DUMMYFUNCTION("""COMPUTED_VALUE"""),"Obra social")</f>
        <v>Obra social</v>
      </c>
      <c r="L1152" s="7"/>
      <c r="M1152" s="7" t="str">
        <f>IFERROR(__xludf.DUMMYFUNCTION("""COMPUTED_VALUE"""),"Si")</f>
        <v>Si</v>
      </c>
      <c r="N1152" s="7" t="str">
        <f>IFERROR(__xludf.DUMMYFUNCTION("""COMPUTED_VALUE"""),"Hockey")</f>
        <v>Hockey</v>
      </c>
      <c r="O1152" s="7" t="str">
        <f>IFERROR(__xludf.DUMMYFUNCTION("""COMPUTED_VALUE"""),"1 a 2 veces por semana")</f>
        <v>1 a 2 veces por semana</v>
      </c>
      <c r="P1152" s="7"/>
      <c r="Q1152" s="7" t="str">
        <f>IFERROR(__xludf.DUMMYFUNCTION("""COMPUTED_VALUE"""),"SANCOR")</f>
        <v>SANCOR</v>
      </c>
      <c r="R1152" s="7"/>
      <c r="S1152" s="7"/>
    </row>
    <row r="1153">
      <c r="C1153" s="19">
        <f>IFERROR(__xludf.DUMMYFUNCTION("""COMPUTED_VALUE"""),45882.71906074074)</f>
        <v>45882.71906</v>
      </c>
      <c r="D1153" s="7" t="str">
        <f>IFERROR(__xludf.DUMMYFUNCTION("""COMPUTED_VALUE"""),"Valdiviezo ")</f>
        <v>Valdiviezo </v>
      </c>
      <c r="E1153" s="7" t="str">
        <f>IFERROR(__xludf.DUMMYFUNCTION("""COMPUTED_VALUE"""),"Valentino ")</f>
        <v>Valentino </v>
      </c>
      <c r="F1153" s="7" t="str">
        <f>IFERROR(__xludf.DUMMYFUNCTION("""COMPUTED_VALUE"""),"valenvaldi18@gmail.com")</f>
        <v>valenvaldi18@gmail.com</v>
      </c>
      <c r="G1153" s="20">
        <f>IFERROR(__xludf.DUMMYFUNCTION("""COMPUTED_VALUE"""),38512.0)</f>
        <v>38512</v>
      </c>
      <c r="H1153" s="7">
        <f>IFERROR(__xludf.DUMMYFUNCTION("""COMPUTED_VALUE"""),4.6452357E7)</f>
        <v>46452357</v>
      </c>
      <c r="I1153" s="7">
        <f>IFERROR(__xludf.DUMMYFUNCTION("""COMPUTED_VALUE"""),3.513852736E9)</f>
        <v>3513852736</v>
      </c>
      <c r="J1153" s="7" t="str">
        <f>IFERROR(__xludf.DUMMYFUNCTION("""COMPUTED_VALUE"""),"Google")</f>
        <v>Google</v>
      </c>
      <c r="K1153" s="7" t="str">
        <f>IFERROR(__xludf.DUMMYFUNCTION("""COMPUTED_VALUE"""),"Obra social")</f>
        <v>Obra social</v>
      </c>
      <c r="L1153" s="7"/>
      <c r="M1153" s="7" t="str">
        <f>IFERROR(__xludf.DUMMYFUNCTION("""COMPUTED_VALUE"""),"Si")</f>
        <v>Si</v>
      </c>
      <c r="N1153" s="7" t="str">
        <f>IFERROR(__xludf.DUMMYFUNCTION("""COMPUTED_VALUE"""),"padel y gimnasio ")</f>
        <v>padel y gimnasio </v>
      </c>
      <c r="O1153" s="7" t="str">
        <f>IFERROR(__xludf.DUMMYFUNCTION("""COMPUTED_VALUE"""),"3 a 5 veces por semana")</f>
        <v>3 a 5 veces por semana</v>
      </c>
      <c r="P1153" s="7"/>
      <c r="Q1153" s="7" t="str">
        <f>IFERROR(__xludf.DUMMYFUNCTION("""COMPUTED_VALUE"""),"medife")</f>
        <v>medife</v>
      </c>
      <c r="R1153" s="7"/>
      <c r="S1153" s="7"/>
    </row>
    <row r="1154">
      <c r="C1154" s="19">
        <f>IFERROR(__xludf.DUMMYFUNCTION("""COMPUTED_VALUE"""),45882.75937056713)</f>
        <v>45882.75937</v>
      </c>
      <c r="D1154" s="7" t="str">
        <f>IFERROR(__xludf.DUMMYFUNCTION("""COMPUTED_VALUE"""),"Crozzol")</f>
        <v>Crozzol</v>
      </c>
      <c r="E1154" s="7" t="str">
        <f>IFERROR(__xludf.DUMMYFUNCTION("""COMPUTED_VALUE"""),"Bautista")</f>
        <v>Bautista</v>
      </c>
      <c r="F1154" s="7" t="str">
        <f>IFERROR(__xludf.DUMMYFUNCTION("""COMPUTED_VALUE"""),"-")</f>
        <v>-</v>
      </c>
      <c r="G1154" s="20">
        <f>IFERROR(__xludf.DUMMYFUNCTION("""COMPUTED_VALUE"""),40375.0)</f>
        <v>40375</v>
      </c>
      <c r="H1154" s="7">
        <f>IFERROR(__xludf.DUMMYFUNCTION("""COMPUTED_VALUE"""),5.0418869E7)</f>
        <v>50418869</v>
      </c>
      <c r="I1154" s="7">
        <f>IFERROR(__xludf.DUMMYFUNCTION("""COMPUTED_VALUE"""),3.515914335E9)</f>
        <v>3515914335</v>
      </c>
      <c r="J1154" s="7" t="str">
        <f>IFERROR(__xludf.DUMMYFUNCTION("""COMPUTED_VALUE"""),"Recomendación")</f>
        <v>Recomendación</v>
      </c>
      <c r="K1154" s="7" t="str">
        <f>IFERROR(__xludf.DUMMYFUNCTION("""COMPUTED_VALUE"""),"Obra social")</f>
        <v>Obra social</v>
      </c>
      <c r="L1154" s="7"/>
      <c r="M1154" s="7" t="str">
        <f>IFERROR(__xludf.DUMMYFUNCTION("""COMPUTED_VALUE"""),"Si")</f>
        <v>Si</v>
      </c>
      <c r="N1154" s="7" t="str">
        <f>IFERROR(__xludf.DUMMYFUNCTION("""COMPUTED_VALUE"""),"Fútbol")</f>
        <v>Fútbol</v>
      </c>
      <c r="O1154" s="7" t="str">
        <f>IFERROR(__xludf.DUMMYFUNCTION("""COMPUTED_VALUE"""),"3 a 5 veces por semana")</f>
        <v>3 a 5 veces por semana</v>
      </c>
      <c r="P1154" s="7"/>
      <c r="Q1154" s="7" t="str">
        <f>IFERROR(__xludf.DUMMYFUNCTION("""COMPUTED_VALUE"""),"CPCE")</f>
        <v>CPCE</v>
      </c>
      <c r="R1154" s="7"/>
      <c r="S1154" s="7"/>
    </row>
    <row r="1155">
      <c r="C1155" s="19">
        <f>IFERROR(__xludf.DUMMYFUNCTION("""COMPUTED_VALUE"""),45882.77116060186)</f>
        <v>45882.77116</v>
      </c>
      <c r="D1155" s="7" t="str">
        <f>IFERROR(__xludf.DUMMYFUNCTION("""COMPUTED_VALUE"""),"Kohon")</f>
        <v>Kohon</v>
      </c>
      <c r="E1155" s="7" t="str">
        <f>IFERROR(__xludf.DUMMYFUNCTION("""COMPUTED_VALUE"""),"Carlos")</f>
        <v>Carlos</v>
      </c>
      <c r="F1155" s="7" t="str">
        <f>IFERROR(__xludf.DUMMYFUNCTION("""COMPUTED_VALUE"""),"carlosdanielkohon@gmail.com")</f>
        <v>carlosdanielkohon@gmail.com</v>
      </c>
      <c r="G1155" s="20">
        <f>IFERROR(__xludf.DUMMYFUNCTION("""COMPUTED_VALUE"""),22074.0)</f>
        <v>22074</v>
      </c>
      <c r="H1155" s="7">
        <f>IFERROR(__xludf.DUMMYFUNCTION("""COMPUTED_VALUE"""),1.396727E7)</f>
        <v>13967270</v>
      </c>
      <c r="I1155" s="7">
        <f>IFERROR(__xludf.DUMMYFUNCTION("""COMPUTED_VALUE"""),3.455440734E9)</f>
        <v>3455440734</v>
      </c>
      <c r="J1155" s="7" t="str">
        <f>IFERROR(__xludf.DUMMYFUNCTION("""COMPUTED_VALUE"""),"Recomendación")</f>
        <v>Recomendación</v>
      </c>
      <c r="K1155" s="7" t="str">
        <f>IFERROR(__xludf.DUMMYFUNCTION("""COMPUTED_VALUE"""),"Particular")</f>
        <v>Particular</v>
      </c>
      <c r="L1155" s="7"/>
      <c r="M1155" s="7" t="str">
        <f>IFERROR(__xludf.DUMMYFUNCTION("""COMPUTED_VALUE"""),"Si")</f>
        <v>Si</v>
      </c>
      <c r="N1155" s="7" t="str">
        <f>IFERROR(__xludf.DUMMYFUNCTION("""COMPUTED_VALUE"""),"Trabajo como ing agronomo")</f>
        <v>Trabajo como ing agronomo</v>
      </c>
      <c r="O1155" s="7" t="str">
        <f>IFERROR(__xludf.DUMMYFUNCTION("""COMPUTED_VALUE"""),"3 a 5 veces por semana")</f>
        <v>3 a 5 veces por semana</v>
      </c>
      <c r="P1155" s="7"/>
      <c r="Q1155" s="7"/>
      <c r="R1155" s="7"/>
      <c r="S1155" s="7"/>
    </row>
    <row r="1156">
      <c r="C1156" s="19">
        <f>IFERROR(__xludf.DUMMYFUNCTION("""COMPUTED_VALUE"""),45882.796759097226)</f>
        <v>45882.79676</v>
      </c>
      <c r="D1156" s="7" t="str">
        <f>IFERROR(__xludf.DUMMYFUNCTION("""COMPUTED_VALUE"""),"Bustamante ")</f>
        <v>Bustamante </v>
      </c>
      <c r="E1156" s="7" t="str">
        <f>IFERROR(__xludf.DUMMYFUNCTION("""COMPUTED_VALUE"""),"Ana")</f>
        <v>Ana</v>
      </c>
      <c r="F1156" s="7" t="str">
        <f>IFERROR(__xludf.DUMMYFUNCTION("""COMPUTED_VALUE"""),"anitalbustamante@gmail.com")</f>
        <v>anitalbustamante@gmail.com</v>
      </c>
      <c r="G1156" s="20">
        <f>IFERROR(__xludf.DUMMYFUNCTION("""COMPUTED_VALUE"""),30116.0)</f>
        <v>30116</v>
      </c>
      <c r="H1156" s="7">
        <f>IFERROR(__xludf.DUMMYFUNCTION("""COMPUTED_VALUE"""),2.9477698E7)</f>
        <v>29477698</v>
      </c>
      <c r="I1156" s="7">
        <f>IFERROR(__xludf.DUMMYFUNCTION("""COMPUTED_VALUE"""),3.515051516E9)</f>
        <v>3515051516</v>
      </c>
      <c r="J1156" s="7" t="str">
        <f>IFERROR(__xludf.DUMMYFUNCTION("""COMPUTED_VALUE"""),"Google")</f>
        <v>Google</v>
      </c>
      <c r="K1156" s="7" t="str">
        <f>IFERROR(__xludf.DUMMYFUNCTION("""COMPUTED_VALUE"""),"Obra social")</f>
        <v>Obra social</v>
      </c>
      <c r="L1156" s="7"/>
      <c r="M1156" s="7" t="str">
        <f>IFERROR(__xludf.DUMMYFUNCTION("""COMPUTED_VALUE"""),"Si")</f>
        <v>Si</v>
      </c>
      <c r="N1156" s="7" t="str">
        <f>IFERROR(__xludf.DUMMYFUNCTION("""COMPUTED_VALUE"""),"Gimnasio")</f>
        <v>Gimnasio</v>
      </c>
      <c r="O1156" s="7" t="str">
        <f>IFERROR(__xludf.DUMMYFUNCTION("""COMPUTED_VALUE"""),"3 a 5 veces por semana")</f>
        <v>3 a 5 veces por semana</v>
      </c>
      <c r="P1156" s="7"/>
      <c r="Q1156" s="7" t="str">
        <f>IFERROR(__xludf.DUMMYFUNCTION("""COMPUTED_VALUE"""),"SANCOR")</f>
        <v>SANCOR</v>
      </c>
      <c r="R1156" s="7"/>
      <c r="S1156" s="7"/>
    </row>
    <row r="1157">
      <c r="C1157" s="19">
        <f>IFERROR(__xludf.DUMMYFUNCTION("""COMPUTED_VALUE"""),45882.83274420139)</f>
        <v>45882.83274</v>
      </c>
      <c r="D1157" s="7" t="str">
        <f>IFERROR(__xludf.DUMMYFUNCTION("""COMPUTED_VALUE"""),"Vendramini ")</f>
        <v>Vendramini </v>
      </c>
      <c r="E1157" s="7" t="str">
        <f>IFERROR(__xludf.DUMMYFUNCTION("""COMPUTED_VALUE"""),"Mauro ")</f>
        <v>Mauro </v>
      </c>
      <c r="F1157" s="7"/>
      <c r="G1157" s="20">
        <f>IFERROR(__xludf.DUMMYFUNCTION("""COMPUTED_VALUE"""),-664802.0)</f>
        <v>-664802</v>
      </c>
      <c r="H1157" s="7">
        <f>IFERROR(__xludf.DUMMYFUNCTION("""COMPUTED_VALUE"""),2.7655278E7)</f>
        <v>27655278</v>
      </c>
      <c r="I1157" s="7">
        <f>IFERROR(__xludf.DUMMYFUNCTION("""COMPUTED_VALUE"""),3.518727668E9)</f>
        <v>3518727668</v>
      </c>
      <c r="J1157" s="7" t="str">
        <f>IFERROR(__xludf.DUMMYFUNCTION("""COMPUTED_VALUE"""),"Recomendación")</f>
        <v>Recomendación</v>
      </c>
      <c r="K1157" s="7" t="str">
        <f>IFERROR(__xludf.DUMMYFUNCTION("""COMPUTED_VALUE"""),"Obra social")</f>
        <v>Obra social</v>
      </c>
      <c r="L1157" s="7"/>
      <c r="M1157" s="7" t="str">
        <f>IFERROR(__xludf.DUMMYFUNCTION("""COMPUTED_VALUE"""),"Si")</f>
        <v>Si</v>
      </c>
      <c r="N1157" s="7"/>
      <c r="O1157" s="7" t="str">
        <f>IFERROR(__xludf.DUMMYFUNCTION("""COMPUTED_VALUE"""),"3 a 5 veces por semana")</f>
        <v>3 a 5 veces por semana</v>
      </c>
      <c r="P1157" s="7"/>
      <c r="Q1157" s="7" t="str">
        <f>IFERROR(__xludf.DUMMYFUNCTION("""COMPUTED_VALUE"""),"DASPU")</f>
        <v>DASPU</v>
      </c>
      <c r="R1157" s="7"/>
      <c r="S1157" s="7"/>
    </row>
    <row r="1158">
      <c r="C1158" s="19">
        <f>IFERROR(__xludf.DUMMYFUNCTION("""COMPUTED_VALUE"""),45883.46319784722)</f>
        <v>45883.4632</v>
      </c>
      <c r="D1158" s="7" t="str">
        <f>IFERROR(__xludf.DUMMYFUNCTION("""COMPUTED_VALUE"""),"Rodriguez")</f>
        <v>Rodriguez</v>
      </c>
      <c r="E1158" s="7" t="str">
        <f>IFERROR(__xludf.DUMMYFUNCTION("""COMPUTED_VALUE"""),"Pablo")</f>
        <v>Pablo</v>
      </c>
      <c r="F1158" s="7" t="str">
        <f>IFERROR(__xludf.DUMMYFUNCTION("""COMPUTED_VALUE"""),"pablorodriguezbris@gmail.com")</f>
        <v>pablorodriguezbris@gmail.com</v>
      </c>
      <c r="G1158" s="20">
        <f>IFERROR(__xludf.DUMMYFUNCTION("""COMPUTED_VALUE"""),26225.0)</f>
        <v>26225</v>
      </c>
      <c r="H1158" s="7">
        <f>IFERROR(__xludf.DUMMYFUNCTION("""COMPUTED_VALUE"""),2.2374254E7)</f>
        <v>22374254</v>
      </c>
      <c r="I1158" s="7">
        <f>IFERROR(__xludf.DUMMYFUNCTION("""COMPUTED_VALUE"""),3.513560032E9)</f>
        <v>3513560032</v>
      </c>
      <c r="J1158" s="7" t="str">
        <f>IFERROR(__xludf.DUMMYFUNCTION("""COMPUTED_VALUE"""),"Recomendación")</f>
        <v>Recomendación</v>
      </c>
      <c r="K1158" s="7" t="str">
        <f>IFERROR(__xludf.DUMMYFUNCTION("""COMPUTED_VALUE"""),"Obra social")</f>
        <v>Obra social</v>
      </c>
      <c r="L1158" s="7"/>
      <c r="M1158" s="7" t="str">
        <f>IFERROR(__xludf.DUMMYFUNCTION("""COMPUTED_VALUE"""),"Si")</f>
        <v>Si</v>
      </c>
      <c r="N1158" s="7" t="str">
        <f>IFERROR(__xludf.DUMMYFUNCTION("""COMPUTED_VALUE"""),"Gimnasio")</f>
        <v>Gimnasio</v>
      </c>
      <c r="O1158" s="7" t="str">
        <f>IFERROR(__xludf.DUMMYFUNCTION("""COMPUTED_VALUE"""),"1 a 2 veces por semana")</f>
        <v>1 a 2 veces por semana</v>
      </c>
      <c r="P1158" s="7"/>
      <c r="Q1158" s="7" t="str">
        <f>IFERROR(__xludf.DUMMYFUNCTION("""COMPUTED_VALUE"""),"PREVENCIÓN")</f>
        <v>PREVENCIÓN</v>
      </c>
      <c r="R1158" s="7"/>
      <c r="S1158" s="7"/>
    </row>
    <row r="1159">
      <c r="C1159" s="19">
        <f>IFERROR(__xludf.DUMMYFUNCTION("""COMPUTED_VALUE"""),45883.542226018515)</f>
        <v>45883.54223</v>
      </c>
      <c r="D1159" s="7" t="str">
        <f>IFERROR(__xludf.DUMMYFUNCTION("""COMPUTED_VALUE"""),"Bagnasco")</f>
        <v>Bagnasco</v>
      </c>
      <c r="E1159" s="7" t="str">
        <f>IFERROR(__xludf.DUMMYFUNCTION("""COMPUTED_VALUE"""),"Mercedes ")</f>
        <v>Mercedes </v>
      </c>
      <c r="F1159" s="7" t="str">
        <f>IFERROR(__xludf.DUMMYFUNCTION("""COMPUTED_VALUE"""),"mercedesbagnasco@gmail.com")</f>
        <v>mercedesbagnasco@gmail.com</v>
      </c>
      <c r="G1159" s="20">
        <f>IFERROR(__xludf.DUMMYFUNCTION("""COMPUTED_VALUE"""),19831.0)</f>
        <v>19831</v>
      </c>
      <c r="H1159" s="7">
        <f>IFERROR(__xludf.DUMMYFUNCTION("""COMPUTED_VALUE"""),1.1034416E7)</f>
        <v>11034416</v>
      </c>
      <c r="I1159" s="7">
        <f>IFERROR(__xludf.DUMMYFUNCTION("""COMPUTED_VALUE"""),3.5131191E9)</f>
        <v>3513119100</v>
      </c>
      <c r="J1159" s="7" t="str">
        <f>IFERROR(__xludf.DUMMYFUNCTION("""COMPUTED_VALUE"""),"Mi hija ")</f>
        <v>Mi hija </v>
      </c>
      <c r="K1159" s="7" t="str">
        <f>IFERROR(__xludf.DUMMYFUNCTION("""COMPUTED_VALUE"""),"Particular")</f>
        <v>Particular</v>
      </c>
      <c r="L1159" s="7"/>
      <c r="M1159" s="7" t="str">
        <f>IFERROR(__xludf.DUMMYFUNCTION("""COMPUTED_VALUE"""),"No")</f>
        <v>No</v>
      </c>
      <c r="N1159" s="7"/>
      <c r="O1159" s="7"/>
      <c r="P1159" s="7"/>
      <c r="Q1159" s="7"/>
      <c r="R1159" s="7"/>
      <c r="S1159" s="7"/>
    </row>
    <row r="1160">
      <c r="C1160" s="19">
        <f>IFERROR(__xludf.DUMMYFUNCTION("""COMPUTED_VALUE"""),45883.832724120366)</f>
        <v>45883.83272</v>
      </c>
      <c r="D1160" s="7" t="str">
        <f>IFERROR(__xludf.DUMMYFUNCTION("""COMPUTED_VALUE"""),"Ibarra")</f>
        <v>Ibarra</v>
      </c>
      <c r="E1160" s="7" t="str">
        <f>IFERROR(__xludf.DUMMYFUNCTION("""COMPUTED_VALUE"""),"Agustín ")</f>
        <v>Agustín </v>
      </c>
      <c r="F1160" s="7" t="str">
        <f>IFERROR(__xludf.DUMMYFUNCTION("""COMPUTED_VALUE"""),"agusibarra000@gmail.com")</f>
        <v>agusibarra000@gmail.com</v>
      </c>
      <c r="G1160" s="20">
        <f>IFERROR(__xludf.DUMMYFUNCTION("""COMPUTED_VALUE"""),36547.0)</f>
        <v>36547</v>
      </c>
      <c r="H1160" s="7">
        <f>IFERROR(__xludf.DUMMYFUNCTION("""COMPUTED_VALUE"""),4.534723E7)</f>
        <v>45347230</v>
      </c>
      <c r="I1160" s="7">
        <f>IFERROR(__xludf.DUMMYFUNCTION("""COMPUTED_VALUE"""),3.512444364E9)</f>
        <v>3512444364</v>
      </c>
      <c r="J1160" s="7" t="str">
        <f>IFERROR(__xludf.DUMMYFUNCTION("""COMPUTED_VALUE"""),"Voy al gym Manantial")</f>
        <v>Voy al gym Manantial</v>
      </c>
      <c r="K1160" s="7" t="str">
        <f>IFERROR(__xludf.DUMMYFUNCTION("""COMPUTED_VALUE"""),"Particular")</f>
        <v>Particular</v>
      </c>
      <c r="L1160" s="7"/>
      <c r="M1160" s="7" t="str">
        <f>IFERROR(__xludf.DUMMYFUNCTION("""COMPUTED_VALUE"""),"Si")</f>
        <v>Si</v>
      </c>
      <c r="N1160" s="7" t="str">
        <f>IFERROR(__xludf.DUMMYFUNCTION("""COMPUTED_VALUE"""),"Gimnasio, fútbol y boxeo ")</f>
        <v>Gimnasio, fútbol y boxeo </v>
      </c>
      <c r="O1160" s="7" t="str">
        <f>IFERROR(__xludf.DUMMYFUNCTION("""COMPUTED_VALUE"""),"3 a 5 veces por semana")</f>
        <v>3 a 5 veces por semana</v>
      </c>
      <c r="P1160" s="7"/>
      <c r="Q1160" s="7"/>
      <c r="R1160" s="7"/>
      <c r="S1160" s="7"/>
    </row>
    <row r="1161">
      <c r="C1161" s="19">
        <f>IFERROR(__xludf.DUMMYFUNCTION("""COMPUTED_VALUE"""),45884.67236657407)</f>
        <v>45884.67237</v>
      </c>
      <c r="D1161" s="7" t="str">
        <f>IFERROR(__xludf.DUMMYFUNCTION("""COMPUTED_VALUE"""),"Sesma")</f>
        <v>Sesma</v>
      </c>
      <c r="E1161" s="7" t="str">
        <f>IFERROR(__xludf.DUMMYFUNCTION("""COMPUTED_VALUE"""),"Amelia")</f>
        <v>Amelia</v>
      </c>
      <c r="F1161" s="7" t="str">
        <f>IFERROR(__xludf.DUMMYFUNCTION("""COMPUTED_VALUE"""),"sesmamyriam@hotmail.com")</f>
        <v>sesmamyriam@hotmail.com</v>
      </c>
      <c r="G1161" s="20">
        <f>IFERROR(__xludf.DUMMYFUNCTION("""COMPUTED_VALUE"""),45899.0)</f>
        <v>45899</v>
      </c>
      <c r="H1161" s="7">
        <f>IFERROR(__xludf.DUMMYFUNCTION("""COMPUTED_VALUE"""),6029900.0)</f>
        <v>6029900</v>
      </c>
      <c r="I1161" s="7">
        <f>IFERROR(__xludf.DUMMYFUNCTION("""COMPUTED_VALUE"""),3.518094444E9)</f>
        <v>3518094444</v>
      </c>
      <c r="J1161" s="7" t="str">
        <f>IFERROR(__xludf.DUMMYFUNCTION("""COMPUTED_VALUE"""),"Recomendación")</f>
        <v>Recomendación</v>
      </c>
      <c r="K1161" s="7" t="str">
        <f>IFERROR(__xludf.DUMMYFUNCTION("""COMPUTED_VALUE"""),"Particular")</f>
        <v>Particular</v>
      </c>
      <c r="L1161" s="7"/>
      <c r="M1161" s="7" t="str">
        <f>IFERROR(__xludf.DUMMYFUNCTION("""COMPUTED_VALUE"""),"Si")</f>
        <v>Si</v>
      </c>
      <c r="N1161" s="7" t="str">
        <f>IFERROR(__xludf.DUMMYFUNCTION("""COMPUTED_VALUE"""),"Pilates, caminar")</f>
        <v>Pilates, caminar</v>
      </c>
      <c r="O1161" s="7" t="str">
        <f>IFERROR(__xludf.DUMMYFUNCTION("""COMPUTED_VALUE"""),"1 a 2 veces por semana")</f>
        <v>1 a 2 veces por semana</v>
      </c>
      <c r="P1161" s="7"/>
      <c r="Q1161" s="7"/>
      <c r="R1161" s="7"/>
      <c r="S1161" s="7"/>
    </row>
    <row r="1162">
      <c r="C1162" s="19">
        <f>IFERROR(__xludf.DUMMYFUNCTION("""COMPUTED_VALUE"""),45887.807791377316)</f>
        <v>45887.80779</v>
      </c>
      <c r="D1162" s="7" t="str">
        <f>IFERROR(__xludf.DUMMYFUNCTION("""COMPUTED_VALUE"""),"de Ipola ")</f>
        <v>de Ipola </v>
      </c>
      <c r="E1162" s="7" t="str">
        <f>IFERROR(__xludf.DUMMYFUNCTION("""COMPUTED_VALUE"""),"Matías ")</f>
        <v>Matías </v>
      </c>
      <c r="F1162" s="7" t="str">
        <f>IFERROR(__xludf.DUMMYFUNCTION("""COMPUTED_VALUE"""),"matiasdeipola@gmail.com")</f>
        <v>matiasdeipola@gmail.com</v>
      </c>
      <c r="G1162" s="20">
        <f>IFERROR(__xludf.DUMMYFUNCTION("""COMPUTED_VALUE"""),38803.0)</f>
        <v>38803</v>
      </c>
      <c r="H1162" s="7">
        <f>IFERROR(__xludf.DUMMYFUNCTION("""COMPUTED_VALUE"""),4.6507913E7)</f>
        <v>46507913</v>
      </c>
      <c r="I1162" s="7">
        <f>IFERROR(__xludf.DUMMYFUNCTION("""COMPUTED_VALUE"""),3.516328707E9)</f>
        <v>3516328707</v>
      </c>
      <c r="J1162" s="7" t="str">
        <f>IFERROR(__xludf.DUMMYFUNCTION("""COMPUTED_VALUE"""),"Google")</f>
        <v>Google</v>
      </c>
      <c r="K1162" s="7" t="str">
        <f>IFERROR(__xludf.DUMMYFUNCTION("""COMPUTED_VALUE"""),"Particular")</f>
        <v>Particular</v>
      </c>
      <c r="L1162" s="7"/>
      <c r="M1162" s="7" t="str">
        <f>IFERROR(__xludf.DUMMYFUNCTION("""COMPUTED_VALUE"""),"Si")</f>
        <v>Si</v>
      </c>
      <c r="N1162" s="7" t="str">
        <f>IFERROR(__xludf.DUMMYFUNCTION("""COMPUTED_VALUE"""),"Atletismo en pista")</f>
        <v>Atletismo en pista</v>
      </c>
      <c r="O1162" s="7" t="str">
        <f>IFERROR(__xludf.DUMMYFUNCTION("""COMPUTED_VALUE"""),"6 a 7 veces por semana")</f>
        <v>6 a 7 veces por semana</v>
      </c>
      <c r="P1162" s="7"/>
      <c r="Q1162" s="7"/>
      <c r="R1162" s="7"/>
      <c r="S1162" s="7"/>
    </row>
    <row r="1163">
      <c r="C1163" s="19">
        <f>IFERROR(__xludf.DUMMYFUNCTION("""COMPUTED_VALUE"""),45887.89474232639)</f>
        <v>45887.89474</v>
      </c>
      <c r="D1163" s="7" t="str">
        <f>IFERROR(__xludf.DUMMYFUNCTION("""COMPUTED_VALUE"""),"BERETTA ")</f>
        <v>BERETTA </v>
      </c>
      <c r="E1163" s="7" t="str">
        <f>IFERROR(__xludf.DUMMYFUNCTION("""COMPUTED_VALUE"""),"Vanesa ")</f>
        <v>Vanesa </v>
      </c>
      <c r="F1163" s="7" t="str">
        <f>IFERROR(__xludf.DUMMYFUNCTION("""COMPUTED_VALUE"""),"vanberetta@hotmail.com")</f>
        <v>vanberetta@hotmail.com</v>
      </c>
      <c r="G1163" s="20">
        <f>IFERROR(__xludf.DUMMYFUNCTION("""COMPUTED_VALUE"""),28800.0)</f>
        <v>28800</v>
      </c>
      <c r="H1163" s="7">
        <f>IFERROR(__xludf.DUMMYFUNCTION("""COMPUTED_VALUE"""),2.6759497E7)</f>
        <v>26759497</v>
      </c>
      <c r="I1163" s="7">
        <f>IFERROR(__xludf.DUMMYFUNCTION("""COMPUTED_VALUE"""),3.516139244E9)</f>
        <v>3516139244</v>
      </c>
      <c r="J1163" s="7" t="str">
        <f>IFERROR(__xludf.DUMMYFUNCTION("""COMPUTED_VALUE"""),"Voy al gym Manantial")</f>
        <v>Voy al gym Manantial</v>
      </c>
      <c r="K1163" s="7" t="str">
        <f>IFERROR(__xludf.DUMMYFUNCTION("""COMPUTED_VALUE"""),"Particular")</f>
        <v>Particular</v>
      </c>
      <c r="L1163" s="7"/>
      <c r="M1163" s="7" t="str">
        <f>IFERROR(__xludf.DUMMYFUNCTION("""COMPUTED_VALUE"""),"Si")</f>
        <v>Si</v>
      </c>
      <c r="N1163" s="7" t="str">
        <f>IFERROR(__xludf.DUMMYFUNCTION("""COMPUTED_VALUE"""),"Atletismo ")</f>
        <v>Atletismo </v>
      </c>
      <c r="O1163" s="7" t="str">
        <f>IFERROR(__xludf.DUMMYFUNCTION("""COMPUTED_VALUE"""),"6 a 7 veces por semana")</f>
        <v>6 a 7 veces por semana</v>
      </c>
      <c r="P1163" s="7"/>
      <c r="Q1163" s="7"/>
      <c r="R1163" s="7"/>
      <c r="S1163" s="7"/>
    </row>
    <row r="1164">
      <c r="C1164" s="19">
        <f>IFERROR(__xludf.DUMMYFUNCTION("""COMPUTED_VALUE"""),45888.453139432866)</f>
        <v>45888.45314</v>
      </c>
      <c r="D1164" s="7" t="str">
        <f>IFERROR(__xludf.DUMMYFUNCTION("""COMPUTED_VALUE"""),"Albarracin ")</f>
        <v>Albarracin </v>
      </c>
      <c r="E1164" s="7" t="str">
        <f>IFERROR(__xludf.DUMMYFUNCTION("""COMPUTED_VALUE"""),"Abril ")</f>
        <v>Abril </v>
      </c>
      <c r="F1164" s="7" t="str">
        <f>IFERROR(__xludf.DUMMYFUNCTION("""COMPUTED_VALUE"""),"abarracinabril.12@gmail.com ")</f>
        <v>abarracinabril.12@gmail.com </v>
      </c>
      <c r="G1164" s="20">
        <f>IFERROR(__xludf.DUMMYFUNCTION("""COMPUTED_VALUE"""),38855.0)</f>
        <v>38855</v>
      </c>
      <c r="H1164" s="7">
        <f>IFERROR(__xludf.DUMMYFUNCTION("""COMPUTED_VALUE"""),4.6586539E7)</f>
        <v>46586539</v>
      </c>
      <c r="I1164" s="7">
        <f>IFERROR(__xludf.DUMMYFUNCTION("""COMPUTED_VALUE"""),3.512304722E9)</f>
        <v>3512304722</v>
      </c>
      <c r="J1164" s="7" t="str">
        <f>IFERROR(__xludf.DUMMYFUNCTION("""COMPUTED_VALUE"""),"Cartilla Obra Social")</f>
        <v>Cartilla Obra Social</v>
      </c>
      <c r="K1164" s="7" t="str">
        <f>IFERROR(__xludf.DUMMYFUNCTION("""COMPUTED_VALUE"""),"Obra social")</f>
        <v>Obra social</v>
      </c>
      <c r="L1164" s="7"/>
      <c r="M1164" s="7" t="str">
        <f>IFERROR(__xludf.DUMMYFUNCTION("""COMPUTED_VALUE"""),"No")</f>
        <v>No</v>
      </c>
      <c r="N1164" s="7"/>
      <c r="O1164" s="7"/>
      <c r="P1164" s="7"/>
      <c r="Q1164" s="7" t="str">
        <f>IFERROR(__xludf.DUMMYFUNCTION("""COMPUTED_VALUE"""),"Boreal plan Magnum ")</f>
        <v>Boreal plan Magnum </v>
      </c>
      <c r="R1164" s="7"/>
      <c r="S1164" s="7"/>
    </row>
    <row r="1165">
      <c r="C1165" s="19">
        <f>IFERROR(__xludf.DUMMYFUNCTION("""COMPUTED_VALUE"""),45888.832530196756)</f>
        <v>45888.83253</v>
      </c>
      <c r="D1165" s="7" t="str">
        <f>IFERROR(__xludf.DUMMYFUNCTION("""COMPUTED_VALUE"""),"pignata")</f>
        <v>pignata</v>
      </c>
      <c r="E1165" s="7" t="str">
        <f>IFERROR(__xludf.DUMMYFUNCTION("""COMPUTED_VALUE"""),"franco")</f>
        <v>franco</v>
      </c>
      <c r="F1165" s="7" t="str">
        <f>IFERROR(__xludf.DUMMYFUNCTION("""COMPUTED_VALUE"""),"francopignata1@gmail.com")</f>
        <v>francopignata1@gmail.com</v>
      </c>
      <c r="G1165" s="20">
        <f>IFERROR(__xludf.DUMMYFUNCTION("""COMPUTED_VALUE"""),29724.0)</f>
        <v>29724</v>
      </c>
      <c r="H1165" s="7">
        <f>IFERROR(__xludf.DUMMYFUNCTION("""COMPUTED_VALUE"""),2.8849291E7)</f>
        <v>28849291</v>
      </c>
      <c r="I1165" s="7">
        <f>IFERROR(__xludf.DUMMYFUNCTION("""COMPUTED_VALUE"""),3.515938082E9)</f>
        <v>3515938082</v>
      </c>
      <c r="J1165" s="7" t="str">
        <f>IFERROR(__xludf.DUMMYFUNCTION("""COMPUTED_VALUE"""),"Google")</f>
        <v>Google</v>
      </c>
      <c r="K1165" s="7" t="str">
        <f>IFERROR(__xludf.DUMMYFUNCTION("""COMPUTED_VALUE"""),"Obra social")</f>
        <v>Obra social</v>
      </c>
      <c r="L1165" s="7"/>
      <c r="M1165" s="7" t="str">
        <f>IFERROR(__xludf.DUMMYFUNCTION("""COMPUTED_VALUE"""),"Si")</f>
        <v>Si</v>
      </c>
      <c r="N1165" s="7" t="str">
        <f>IFERROR(__xludf.DUMMYFUNCTION("""COMPUTED_VALUE"""),"Fútbol")</f>
        <v>Fútbol</v>
      </c>
      <c r="O1165" s="7" t="str">
        <f>IFERROR(__xludf.DUMMYFUNCTION("""COMPUTED_VALUE"""),"1 a 2 veces por semana")</f>
        <v>1 a 2 veces por semana</v>
      </c>
      <c r="P1165" s="7"/>
      <c r="Q1165" s="7"/>
      <c r="R1165" s="7"/>
      <c r="S1165" s="7"/>
    </row>
    <row r="1166">
      <c r="C1166" s="19">
        <f>IFERROR(__xludf.DUMMYFUNCTION("""COMPUTED_VALUE"""),45889.392774583335)</f>
        <v>45889.39277</v>
      </c>
      <c r="D1166" s="7" t="str">
        <f>IFERROR(__xludf.DUMMYFUNCTION("""COMPUTED_VALUE"""),"Spaccesi")</f>
        <v>Spaccesi</v>
      </c>
      <c r="E1166" s="7" t="str">
        <f>IFERROR(__xludf.DUMMYFUNCTION("""COMPUTED_VALUE"""),"Virginia")</f>
        <v>Virginia</v>
      </c>
      <c r="F1166" s="23" t="str">
        <f>IFERROR(__xludf.DUMMYFUNCTION("""COMPUTED_VALUE"""),"virginiaspaccesi@hotmail.com")</f>
        <v>virginiaspaccesi@hotmail.com</v>
      </c>
      <c r="G1166" s="20">
        <f>IFERROR(__xludf.DUMMYFUNCTION("""COMPUTED_VALUE"""),28432.0)</f>
        <v>28432</v>
      </c>
      <c r="H1166" s="7">
        <f>IFERROR(__xludf.DUMMYFUNCTION("""COMPUTED_VALUE"""),2.6178799E7)</f>
        <v>26178799</v>
      </c>
      <c r="I1166" s="7">
        <f>IFERROR(__xludf.DUMMYFUNCTION("""COMPUTED_VALUE"""),3.51156152843E11)</f>
        <v>351156152843</v>
      </c>
      <c r="J1166" s="7" t="str">
        <f>IFERROR(__xludf.DUMMYFUNCTION("""COMPUTED_VALUE"""),"Voy al gym Manantial")</f>
        <v>Voy al gym Manantial</v>
      </c>
      <c r="K1166" s="7" t="str">
        <f>IFERROR(__xludf.DUMMYFUNCTION("""COMPUTED_VALUE"""),"Obra social")</f>
        <v>Obra social</v>
      </c>
      <c r="L1166" s="7"/>
      <c r="M1166" s="7" t="str">
        <f>IFERROR(__xludf.DUMMYFUNCTION("""COMPUTED_VALUE"""),"Si")</f>
        <v>Si</v>
      </c>
      <c r="N1166" s="7" t="str">
        <f>IFERROR(__xludf.DUMMYFUNCTION("""COMPUTED_VALUE"""),"Gimnasio")</f>
        <v>Gimnasio</v>
      </c>
      <c r="O1166" s="7" t="str">
        <f>IFERROR(__xludf.DUMMYFUNCTION("""COMPUTED_VALUE"""),"3 a 5 veces por semana")</f>
        <v>3 a 5 veces por semana</v>
      </c>
      <c r="P1166" s="7"/>
      <c r="Q1166" s="7" t="str">
        <f>IFERROR(__xludf.DUMMYFUNCTION("""COMPUTED_VALUE"""),"APROSS")</f>
        <v>APROSS</v>
      </c>
      <c r="R1166" s="7"/>
      <c r="S1166" s="7"/>
    </row>
    <row r="1167">
      <c r="C1167" s="19">
        <f>IFERROR(__xludf.DUMMYFUNCTION("""COMPUTED_VALUE"""),45890.38107471065)</f>
        <v>45890.38107</v>
      </c>
      <c r="D1167" s="7" t="str">
        <f>IFERROR(__xludf.DUMMYFUNCTION("""COMPUTED_VALUE"""),"Volmaro")</f>
        <v>Volmaro</v>
      </c>
      <c r="E1167" s="7" t="str">
        <f>IFERROR(__xludf.DUMMYFUNCTION("""COMPUTED_VALUE"""),"Lucas")</f>
        <v>Lucas</v>
      </c>
      <c r="F1167" s="7" t="str">
        <f>IFERROR(__xludf.DUMMYFUNCTION("""COMPUTED_VALUE"""),"lucas.volmaro@gmail.com")</f>
        <v>lucas.volmaro@gmail.com</v>
      </c>
      <c r="G1167" s="20">
        <f>IFERROR(__xludf.DUMMYFUNCTION("""COMPUTED_VALUE"""),45890.0)</f>
        <v>45890</v>
      </c>
      <c r="H1167" s="7">
        <f>IFERROR(__xludf.DUMMYFUNCTION("""COMPUTED_VALUE"""),3.637255E7)</f>
        <v>36372550</v>
      </c>
      <c r="I1167" s="7">
        <f>IFERROR(__xludf.DUMMYFUNCTION("""COMPUTED_VALUE"""),3.535634687E9)</f>
        <v>3535634687</v>
      </c>
      <c r="J1167" s="7" t="str">
        <f>IFERROR(__xludf.DUMMYFUNCTION("""COMPUTED_VALUE"""),"Recomendación")</f>
        <v>Recomendación</v>
      </c>
      <c r="K1167" s="7" t="str">
        <f>IFERROR(__xludf.DUMMYFUNCTION("""COMPUTED_VALUE"""),"Particular")</f>
        <v>Particular</v>
      </c>
      <c r="L1167" s="7"/>
      <c r="M1167" s="7" t="str">
        <f>IFERROR(__xludf.DUMMYFUNCTION("""COMPUTED_VALUE"""),"Si")</f>
        <v>Si</v>
      </c>
      <c r="N1167" s="7" t="str">
        <f>IFERROR(__xludf.DUMMYFUNCTION("""COMPUTED_VALUE"""),"Fútbol")</f>
        <v>Fútbol</v>
      </c>
      <c r="O1167" s="7" t="str">
        <f>IFERROR(__xludf.DUMMYFUNCTION("""COMPUTED_VALUE"""),"1 a 2 veces por semana")</f>
        <v>1 a 2 veces por semana</v>
      </c>
      <c r="P1167" s="7"/>
      <c r="Q1167" s="7"/>
      <c r="R1167" s="7"/>
      <c r="S1167" s="7"/>
    </row>
    <row r="1168">
      <c r="C1168" s="19">
        <f>IFERROR(__xludf.DUMMYFUNCTION("""COMPUTED_VALUE"""),45890.4633177662)</f>
        <v>45890.46332</v>
      </c>
      <c r="D1168" s="7" t="str">
        <f>IFERROR(__xludf.DUMMYFUNCTION("""COMPUTED_VALUE"""),"Bazan")</f>
        <v>Bazan</v>
      </c>
      <c r="E1168" s="7" t="str">
        <f>IFERROR(__xludf.DUMMYFUNCTION("""COMPUTED_VALUE"""),"Pablo ")</f>
        <v>Pablo </v>
      </c>
      <c r="F1168" s="7" t="str">
        <f>IFERROR(__xludf.DUMMYFUNCTION("""COMPUTED_VALUE"""),"pablosebabazan@gmail.com")</f>
        <v>pablosebabazan@gmail.com</v>
      </c>
      <c r="G1168" s="20">
        <f>IFERROR(__xludf.DUMMYFUNCTION("""COMPUTED_VALUE"""),31175.0)</f>
        <v>31175</v>
      </c>
      <c r="H1168" s="7">
        <f>IFERROR(__xludf.DUMMYFUNCTION("""COMPUTED_VALUE"""),3.1558578E7)</f>
        <v>31558578</v>
      </c>
      <c r="I1168" s="7">
        <f>IFERROR(__xludf.DUMMYFUNCTION("""COMPUTED_VALUE"""),3.512422189E9)</f>
        <v>3512422189</v>
      </c>
      <c r="J1168" s="7" t="str">
        <f>IFERROR(__xludf.DUMMYFUNCTION("""COMPUTED_VALUE"""),"Voy al gym Manantial")</f>
        <v>Voy al gym Manantial</v>
      </c>
      <c r="K1168" s="7" t="str">
        <f>IFERROR(__xludf.DUMMYFUNCTION("""COMPUTED_VALUE"""),"Obra social")</f>
        <v>Obra social</v>
      </c>
      <c r="L1168" s="7"/>
      <c r="M1168" s="7" t="str">
        <f>IFERROR(__xludf.DUMMYFUNCTION("""COMPUTED_VALUE"""),"Si")</f>
        <v>Si</v>
      </c>
      <c r="N1168" s="7" t="str">
        <f>IFERROR(__xludf.DUMMYFUNCTION("""COMPUTED_VALUE"""),"Karate")</f>
        <v>Karate</v>
      </c>
      <c r="O1168" s="7" t="str">
        <f>IFERROR(__xludf.DUMMYFUNCTION("""COMPUTED_VALUE"""),"3 a 5 veces por semana")</f>
        <v>3 a 5 veces por semana</v>
      </c>
      <c r="P1168" s="7"/>
      <c r="Q1168" s="7" t="str">
        <f>IFERROR(__xludf.DUMMYFUNCTION("""COMPUTED_VALUE"""),"APROSS")</f>
        <v>APROSS</v>
      </c>
      <c r="R1168" s="7"/>
      <c r="S1168" s="7"/>
    </row>
    <row r="1169">
      <c r="C1169" s="19">
        <f>IFERROR(__xludf.DUMMYFUNCTION("""COMPUTED_VALUE"""),45890.47981474537)</f>
        <v>45890.47981</v>
      </c>
      <c r="D1169" s="7" t="str">
        <f>IFERROR(__xludf.DUMMYFUNCTION("""COMPUTED_VALUE"""),"Gerasimchuk ")</f>
        <v>Gerasimchuk </v>
      </c>
      <c r="E1169" s="7" t="str">
        <f>IFERROR(__xludf.DUMMYFUNCTION("""COMPUTED_VALUE"""),"Ana Milena ")</f>
        <v>Ana Milena </v>
      </c>
      <c r="F1169" s="7" t="str">
        <f>IFERROR(__xludf.DUMMYFUNCTION("""COMPUTED_VALUE"""),"Silviaelenacuna@gmail.com")</f>
        <v>Silviaelenacuna@gmail.com</v>
      </c>
      <c r="G1169" s="20">
        <f>IFERROR(__xludf.DUMMYFUNCTION("""COMPUTED_VALUE"""),40939.0)</f>
        <v>40939</v>
      </c>
      <c r="H1169" s="7">
        <f>IFERROR(__xludf.DUMMYFUNCTION("""COMPUTED_VALUE"""),5.2051647E7)</f>
        <v>52051647</v>
      </c>
      <c r="I1169" s="7">
        <f>IFERROR(__xludf.DUMMYFUNCTION("""COMPUTED_VALUE"""),3.512174808E9)</f>
        <v>3512174808</v>
      </c>
      <c r="J1169" s="7" t="str">
        <f>IFERROR(__xludf.DUMMYFUNCTION("""COMPUTED_VALUE"""),"Recomendación")</f>
        <v>Recomendación</v>
      </c>
      <c r="K1169" s="7" t="str">
        <f>IFERROR(__xludf.DUMMYFUNCTION("""COMPUTED_VALUE"""),"Particular")</f>
        <v>Particular</v>
      </c>
      <c r="L1169" s="7"/>
      <c r="M1169" s="7" t="str">
        <f>IFERROR(__xludf.DUMMYFUNCTION("""COMPUTED_VALUE"""),"Si")</f>
        <v>Si</v>
      </c>
      <c r="N1169" s="7" t="str">
        <f>IFERROR(__xludf.DUMMYFUNCTION("""COMPUTED_VALUE"""),"Baile")</f>
        <v>Baile</v>
      </c>
      <c r="O1169" s="7" t="str">
        <f>IFERROR(__xludf.DUMMYFUNCTION("""COMPUTED_VALUE"""),"1 a 2 veces por semana")</f>
        <v>1 a 2 veces por semana</v>
      </c>
      <c r="P1169" s="7"/>
      <c r="Q1169" s="7"/>
      <c r="R1169" s="7"/>
      <c r="S1169" s="7"/>
    </row>
    <row r="1170">
      <c r="C1170" s="19">
        <f>IFERROR(__xludf.DUMMYFUNCTION("""COMPUTED_VALUE"""),45890.61411084491)</f>
        <v>45890.61411</v>
      </c>
      <c r="D1170" s="7" t="str">
        <f>IFERROR(__xludf.DUMMYFUNCTION("""COMPUTED_VALUE"""),"Lanfranchi ")</f>
        <v>Lanfranchi </v>
      </c>
      <c r="E1170" s="7" t="str">
        <f>IFERROR(__xludf.DUMMYFUNCTION("""COMPUTED_VALUE"""),"Micaela Gisel")</f>
        <v>Micaela Gisel</v>
      </c>
      <c r="F1170" s="7" t="str">
        <f>IFERROR(__xludf.DUMMYFUNCTION("""COMPUTED_VALUE"""),"Micalanfranchi@gmail.com")</f>
        <v>Micalanfranchi@gmail.com</v>
      </c>
      <c r="G1170" s="20">
        <f>IFERROR(__xludf.DUMMYFUNCTION("""COMPUTED_VALUE"""),34360.0)</f>
        <v>34360</v>
      </c>
      <c r="H1170" s="7">
        <f>IFERROR(__xludf.DUMMYFUNCTION("""COMPUTED_VALUE"""),3.8002106E7)</f>
        <v>38002106</v>
      </c>
      <c r="I1170" s="7">
        <f>IFERROR(__xludf.DUMMYFUNCTION("""COMPUTED_VALUE"""),3.517645188E9)</f>
        <v>3517645188</v>
      </c>
      <c r="J1170" s="7" t="str">
        <f>IFERROR(__xludf.DUMMYFUNCTION("""COMPUTED_VALUE"""),"Recomendación")</f>
        <v>Recomendación</v>
      </c>
      <c r="K1170" s="7" t="str">
        <f>IFERROR(__xludf.DUMMYFUNCTION("""COMPUTED_VALUE"""),"Particular")</f>
        <v>Particular</v>
      </c>
      <c r="L1170" s="7"/>
      <c r="M1170" s="7" t="str">
        <f>IFERROR(__xludf.DUMMYFUNCTION("""COMPUTED_VALUE"""),"Si")</f>
        <v>Si</v>
      </c>
      <c r="N1170" s="7" t="str">
        <f>IFERROR(__xludf.DUMMYFUNCTION("""COMPUTED_VALUE"""),"Fútbol")</f>
        <v>Fútbol</v>
      </c>
      <c r="O1170" s="7" t="str">
        <f>IFERROR(__xludf.DUMMYFUNCTION("""COMPUTED_VALUE"""),"3 a 5 veces por semana")</f>
        <v>3 a 5 veces por semana</v>
      </c>
      <c r="P1170" s="7"/>
      <c r="Q1170" s="7"/>
      <c r="R1170" s="7"/>
      <c r="S1170" s="7"/>
    </row>
    <row r="1171">
      <c r="C1171" s="19">
        <f>IFERROR(__xludf.DUMMYFUNCTION("""COMPUTED_VALUE"""),45891.48678564814)</f>
        <v>45891.48679</v>
      </c>
      <c r="D1171" s="7" t="str">
        <f>IFERROR(__xludf.DUMMYFUNCTION("""COMPUTED_VALUE"""),"Bustamante")</f>
        <v>Bustamante</v>
      </c>
      <c r="E1171" s="7" t="str">
        <f>IFERROR(__xludf.DUMMYFUNCTION("""COMPUTED_VALUE"""),"Santiago")</f>
        <v>Santiago</v>
      </c>
      <c r="F1171" s="7" t="str">
        <f>IFERROR(__xludf.DUMMYFUNCTION("""COMPUTED_VALUE"""),"santi.bustamante.1995@hotmail.com")</f>
        <v>santi.bustamante.1995@hotmail.com</v>
      </c>
      <c r="G1171" s="20">
        <f>IFERROR(__xludf.DUMMYFUNCTION("""COMPUTED_VALUE"""),35062.0)</f>
        <v>35062</v>
      </c>
      <c r="H1171" s="7">
        <f>IFERROR(__xludf.DUMMYFUNCTION("""COMPUTED_VALUE"""),3.9305549E7)</f>
        <v>39305549</v>
      </c>
      <c r="I1171" s="7">
        <f>IFERROR(__xludf.DUMMYFUNCTION("""COMPUTED_VALUE"""),3.513569284E9)</f>
        <v>3513569284</v>
      </c>
      <c r="J1171" s="7" t="str">
        <f>IFERROR(__xludf.DUMMYFUNCTION("""COMPUTED_VALUE"""),"Voy al gym Manantial")</f>
        <v>Voy al gym Manantial</v>
      </c>
      <c r="K1171" s="7" t="str">
        <f>IFERROR(__xludf.DUMMYFUNCTION("""COMPUTED_VALUE"""),"Obra social")</f>
        <v>Obra social</v>
      </c>
      <c r="L1171" s="7"/>
      <c r="M1171" s="7" t="str">
        <f>IFERROR(__xludf.DUMMYFUNCTION("""COMPUTED_VALUE"""),"Si")</f>
        <v>Si</v>
      </c>
      <c r="N1171" s="7" t="str">
        <f>IFERROR(__xludf.DUMMYFUNCTION("""COMPUTED_VALUE"""),"Gimnasio")</f>
        <v>Gimnasio</v>
      </c>
      <c r="O1171" s="7" t="str">
        <f>IFERROR(__xludf.DUMMYFUNCTION("""COMPUTED_VALUE"""),"3 a 5 veces por semana")</f>
        <v>3 a 5 veces por semana</v>
      </c>
      <c r="P1171" s="7"/>
      <c r="Q1171" s="7" t="str">
        <f>IFERROR(__xludf.DUMMYFUNCTION("""COMPUTED_VALUE"""),"AVALIAN")</f>
        <v>AVALIAN</v>
      </c>
      <c r="R1171" s="7"/>
      <c r="S1171" s="7"/>
    </row>
    <row r="1172">
      <c r="C1172" s="19">
        <f>IFERROR(__xludf.DUMMYFUNCTION("""COMPUTED_VALUE"""),45891.74870965278)</f>
        <v>45891.74871</v>
      </c>
      <c r="D1172" s="7" t="str">
        <f>IFERROR(__xludf.DUMMYFUNCTION("""COMPUTED_VALUE"""),"Arletti")</f>
        <v>Arletti</v>
      </c>
      <c r="E1172" s="7" t="str">
        <f>IFERROR(__xludf.DUMMYFUNCTION("""COMPUTED_VALUE"""),"Agustin")</f>
        <v>Agustin</v>
      </c>
      <c r="F1172" s="7" t="str">
        <f>IFERROR(__xludf.DUMMYFUNCTION("""COMPUTED_VALUE"""),"agustinarletti2004@gmail.com")</f>
        <v>agustinarletti2004@gmail.com</v>
      </c>
      <c r="G1172" s="20">
        <f>IFERROR(__xludf.DUMMYFUNCTION("""COMPUTED_VALUE"""),38203.0)</f>
        <v>38203</v>
      </c>
      <c r="H1172" s="7">
        <f>IFERROR(__xludf.DUMMYFUNCTION("""COMPUTED_VALUE"""),4.5792693E7)</f>
        <v>45792693</v>
      </c>
      <c r="I1172" s="7">
        <f>IFERROR(__xludf.DUMMYFUNCTION("""COMPUTED_VALUE"""),2.966702231E9)</f>
        <v>2966702231</v>
      </c>
      <c r="J1172" s="7" t="str">
        <f>IFERROR(__xludf.DUMMYFUNCTION("""COMPUTED_VALUE"""),"Voy al gym Manantial")</f>
        <v>Voy al gym Manantial</v>
      </c>
      <c r="K1172" s="7" t="str">
        <f>IFERROR(__xludf.DUMMYFUNCTION("""COMPUTED_VALUE"""),"Particular")</f>
        <v>Particular</v>
      </c>
      <c r="L1172" s="7"/>
      <c r="M1172" s="7" t="str">
        <f>IFERROR(__xludf.DUMMYFUNCTION("""COMPUTED_VALUE"""),"Si")</f>
        <v>Si</v>
      </c>
      <c r="N1172" s="7" t="str">
        <f>IFERROR(__xludf.DUMMYFUNCTION("""COMPUTED_VALUE"""),"Básquet")</f>
        <v>Básquet</v>
      </c>
      <c r="O1172" s="7" t="str">
        <f>IFERROR(__xludf.DUMMYFUNCTION("""COMPUTED_VALUE"""),"6 a 7 veces por semana")</f>
        <v>6 a 7 veces por semana</v>
      </c>
      <c r="P1172" s="7"/>
      <c r="Q1172" s="7"/>
      <c r="R1172" s="7"/>
      <c r="S1172" s="7"/>
    </row>
    <row r="1173">
      <c r="C1173" s="19">
        <f>IFERROR(__xludf.DUMMYFUNCTION("""COMPUTED_VALUE"""),45893.866821539355)</f>
        <v>45893.86682</v>
      </c>
      <c r="D1173" s="7" t="str">
        <f>IFERROR(__xludf.DUMMYFUNCTION("""COMPUTED_VALUE"""),"Leyes")</f>
        <v>Leyes</v>
      </c>
      <c r="E1173" s="7" t="str">
        <f>IFERROR(__xludf.DUMMYFUNCTION("""COMPUTED_VALUE"""),"Fabian")</f>
        <v>Fabian</v>
      </c>
      <c r="F1173" s="7"/>
      <c r="G1173" s="20">
        <f>IFERROR(__xludf.DUMMYFUNCTION("""COMPUTED_VALUE"""),26419.0)</f>
        <v>26419</v>
      </c>
      <c r="H1173" s="7">
        <f>IFERROR(__xludf.DUMMYFUNCTION("""COMPUTED_VALUE"""),2.1999687E7)</f>
        <v>21999687</v>
      </c>
      <c r="I1173" s="7">
        <f>IFERROR(__xludf.DUMMYFUNCTION("""COMPUTED_VALUE"""),3.512461707E9)</f>
        <v>3512461707</v>
      </c>
      <c r="J1173" s="7" t="str">
        <f>IFERROR(__xludf.DUMMYFUNCTION("""COMPUTED_VALUE"""),"Voy al gym Manantial")</f>
        <v>Voy al gym Manantial</v>
      </c>
      <c r="K1173" s="7" t="str">
        <f>IFERROR(__xludf.DUMMYFUNCTION("""COMPUTED_VALUE"""),"Particular")</f>
        <v>Particular</v>
      </c>
      <c r="L1173" s="7"/>
      <c r="M1173" s="7" t="str">
        <f>IFERROR(__xludf.DUMMYFUNCTION("""COMPUTED_VALUE"""),"Si")</f>
        <v>Si</v>
      </c>
      <c r="N1173" s="7" t="str">
        <f>IFERROR(__xludf.DUMMYFUNCTION("""COMPUTED_VALUE"""),"Gimnasio")</f>
        <v>Gimnasio</v>
      </c>
      <c r="O1173" s="7" t="str">
        <f>IFERROR(__xludf.DUMMYFUNCTION("""COMPUTED_VALUE"""),"3 a 5 veces por semana")</f>
        <v>3 a 5 veces por semana</v>
      </c>
      <c r="P1173" s="7"/>
      <c r="Q1173" s="7"/>
      <c r="R1173" s="7"/>
      <c r="S1173" s="7"/>
    </row>
    <row r="1174">
      <c r="C1174" s="19">
        <f>IFERROR(__xludf.DUMMYFUNCTION("""COMPUTED_VALUE"""),45894.38285763889)</f>
        <v>45894.38286</v>
      </c>
      <c r="D1174" s="7" t="str">
        <f>IFERROR(__xludf.DUMMYFUNCTION("""COMPUTED_VALUE"""),"GARBIGLIA")</f>
        <v>GARBIGLIA</v>
      </c>
      <c r="E1174" s="7" t="str">
        <f>IFERROR(__xludf.DUMMYFUNCTION("""COMPUTED_VALUE"""),"Lucas Sebastian")</f>
        <v>Lucas Sebastian</v>
      </c>
      <c r="F1174" s="7" t="str">
        <f>IFERROR(__xludf.DUMMYFUNCTION("""COMPUTED_VALUE"""),"lucasgarbiglia@hotmail.com")</f>
        <v>lucasgarbiglia@hotmail.com</v>
      </c>
      <c r="G1174" s="20">
        <f>IFERROR(__xludf.DUMMYFUNCTION("""COMPUTED_VALUE"""),29851.0)</f>
        <v>29851</v>
      </c>
      <c r="H1174" s="7">
        <f>IFERROR(__xludf.DUMMYFUNCTION("""COMPUTED_VALUE"""),2.9063127E7)</f>
        <v>29063127</v>
      </c>
      <c r="I1174" s="7">
        <f>IFERROR(__xludf.DUMMYFUNCTION("""COMPUTED_VALUE"""),3.516279043E9)</f>
        <v>3516279043</v>
      </c>
      <c r="J1174" s="7" t="str">
        <f>IFERROR(__xludf.DUMMYFUNCTION("""COMPUTED_VALUE"""),"Voy al gym Manantial")</f>
        <v>Voy al gym Manantial</v>
      </c>
      <c r="K1174" s="7" t="str">
        <f>IFERROR(__xludf.DUMMYFUNCTION("""COMPUTED_VALUE"""),"Obra social")</f>
        <v>Obra social</v>
      </c>
      <c r="L1174" s="7"/>
      <c r="M1174" s="7" t="str">
        <f>IFERROR(__xludf.DUMMYFUNCTION("""COMPUTED_VALUE"""),"Si")</f>
        <v>Si</v>
      </c>
      <c r="N1174" s="7" t="str">
        <f>IFERROR(__xludf.DUMMYFUNCTION("""COMPUTED_VALUE"""),"Gimnasio")</f>
        <v>Gimnasio</v>
      </c>
      <c r="O1174" s="7" t="str">
        <f>IFERROR(__xludf.DUMMYFUNCTION("""COMPUTED_VALUE"""),"3 a 5 veces por semana")</f>
        <v>3 a 5 veces por semana</v>
      </c>
      <c r="P1174" s="7"/>
      <c r="Q1174" s="7" t="str">
        <f>IFERROR(__xludf.DUMMYFUNCTION("""COMPUTED_VALUE"""),"PREVENCIÓN")</f>
        <v>PREVENCIÓN</v>
      </c>
      <c r="R1174" s="7"/>
      <c r="S1174" s="7"/>
    </row>
    <row r="1175">
      <c r="C1175" s="19">
        <f>IFERROR(__xludf.DUMMYFUNCTION("""COMPUTED_VALUE"""),45894.473417719906)</f>
        <v>45894.47342</v>
      </c>
      <c r="D1175" s="7" t="str">
        <f>IFERROR(__xludf.DUMMYFUNCTION("""COMPUTED_VALUE"""),"Santamaria")</f>
        <v>Santamaria</v>
      </c>
      <c r="E1175" s="7" t="str">
        <f>IFERROR(__xludf.DUMMYFUNCTION("""COMPUTED_VALUE"""),"Ana Laura ")</f>
        <v>Ana Laura </v>
      </c>
      <c r="F1175" s="7" t="str">
        <f>IFERROR(__xludf.DUMMYFUNCTION("""COMPUTED_VALUE"""),"Anixsantamaria@gmail.com ")</f>
        <v>Anixsantamaria@gmail.com </v>
      </c>
      <c r="G1175" s="20">
        <f>IFERROR(__xludf.DUMMYFUNCTION("""COMPUTED_VALUE"""),37398.0)</f>
        <v>37398</v>
      </c>
      <c r="H1175" s="7">
        <f>IFERROR(__xludf.DUMMYFUNCTION("""COMPUTED_VALUE"""),4.419189E7)</f>
        <v>44191890</v>
      </c>
      <c r="I1175" s="7">
        <f>IFERROR(__xludf.DUMMYFUNCTION("""COMPUTED_VALUE"""),3.515314409E9)</f>
        <v>3515314409</v>
      </c>
      <c r="J1175" s="7" t="str">
        <f>IFERROR(__xludf.DUMMYFUNCTION("""COMPUTED_VALUE"""),"Recomendación")</f>
        <v>Recomendación</v>
      </c>
      <c r="K1175" s="7" t="str">
        <f>IFERROR(__xludf.DUMMYFUNCTION("""COMPUTED_VALUE"""),"Obra social")</f>
        <v>Obra social</v>
      </c>
      <c r="L1175" s="7"/>
      <c r="M1175" s="7" t="str">
        <f>IFERROR(__xludf.DUMMYFUNCTION("""COMPUTED_VALUE"""),"Si")</f>
        <v>Si</v>
      </c>
      <c r="N1175" s="7" t="str">
        <f>IFERROR(__xludf.DUMMYFUNCTION("""COMPUTED_VALUE"""),"Notación _Gimnasio ")</f>
        <v>Notación _Gimnasio </v>
      </c>
      <c r="O1175" s="7" t="str">
        <f>IFERROR(__xludf.DUMMYFUNCTION("""COMPUTED_VALUE"""),"3 a 5 veces por semana")</f>
        <v>3 a 5 veces por semana</v>
      </c>
      <c r="P1175" s="7"/>
      <c r="Q1175" s="7" t="str">
        <f>IFERROR(__xludf.DUMMYFUNCTION("""COMPUTED_VALUE"""),"APROSS")</f>
        <v>APROSS</v>
      </c>
      <c r="R1175" s="7"/>
      <c r="S1175" s="7"/>
    </row>
    <row r="1176">
      <c r="C1176" s="19">
        <f>IFERROR(__xludf.DUMMYFUNCTION("""COMPUTED_VALUE"""),45894.50326159722)</f>
        <v>45894.50326</v>
      </c>
      <c r="D1176" s="7" t="str">
        <f>IFERROR(__xludf.DUMMYFUNCTION("""COMPUTED_VALUE"""),"Gomez")</f>
        <v>Gomez</v>
      </c>
      <c r="E1176" s="7" t="str">
        <f>IFERROR(__xludf.DUMMYFUNCTION("""COMPUTED_VALUE"""),"Gladys ")</f>
        <v>Gladys </v>
      </c>
      <c r="F1176" s="7" t="str">
        <f>IFERROR(__xludf.DUMMYFUNCTION("""COMPUTED_VALUE"""),"glagysherminiagomez@gmail.com")</f>
        <v>glagysherminiagomez@gmail.com</v>
      </c>
      <c r="G1176" s="20">
        <f>IFERROR(__xludf.DUMMYFUNCTION("""COMPUTED_VALUE"""),20020.0)</f>
        <v>20020</v>
      </c>
      <c r="H1176" s="7">
        <f>IFERROR(__xludf.DUMMYFUNCTION("""COMPUTED_VALUE"""),1.1195653E7)</f>
        <v>11195653</v>
      </c>
      <c r="I1176" s="7">
        <f>IFERROR(__xludf.DUMMYFUNCTION("""COMPUTED_VALUE"""),3.516825284E9)</f>
        <v>3516825284</v>
      </c>
      <c r="J1176" s="7" t="str">
        <f>IFERROR(__xludf.DUMMYFUNCTION("""COMPUTED_VALUE"""),"Recomendación")</f>
        <v>Recomendación</v>
      </c>
      <c r="K1176" s="7" t="str">
        <f>IFERROR(__xludf.DUMMYFUNCTION("""COMPUTED_VALUE"""),"Obra social")</f>
        <v>Obra social</v>
      </c>
      <c r="L1176" s="7"/>
      <c r="M1176" s="7" t="str">
        <f>IFERROR(__xludf.DUMMYFUNCTION("""COMPUTED_VALUE"""),"No")</f>
        <v>No</v>
      </c>
      <c r="N1176" s="7"/>
      <c r="O1176" s="7"/>
      <c r="P1176" s="7"/>
      <c r="Q1176" s="7" t="str">
        <f>IFERROR(__xludf.DUMMYFUNCTION("""COMPUTED_VALUE"""),"APROSS")</f>
        <v>APROSS</v>
      </c>
      <c r="R1176" s="7"/>
      <c r="S1176" s="7"/>
    </row>
    <row r="1177">
      <c r="C1177" s="19">
        <f>IFERROR(__xludf.DUMMYFUNCTION("""COMPUTED_VALUE"""),45894.55519263889)</f>
        <v>45894.55519</v>
      </c>
      <c r="D1177" s="7" t="str">
        <f>IFERROR(__xludf.DUMMYFUNCTION("""COMPUTED_VALUE"""),"Matejcic")</f>
        <v>Matejcic</v>
      </c>
      <c r="E1177" s="7" t="str">
        <f>IFERROR(__xludf.DUMMYFUNCTION("""COMPUTED_VALUE"""),"Alejandro")</f>
        <v>Alejandro</v>
      </c>
      <c r="F1177" s="7" t="str">
        <f>IFERROR(__xludf.DUMMYFUNCTION("""COMPUTED_VALUE"""),"Alematejcic@yahoo.com.ar")</f>
        <v>Alematejcic@yahoo.com.ar</v>
      </c>
      <c r="G1177" s="20">
        <f>IFERROR(__xludf.DUMMYFUNCTION("""COMPUTED_VALUE"""),29447.0)</f>
        <v>29447</v>
      </c>
      <c r="H1177" s="7">
        <f>IFERROR(__xludf.DUMMYFUNCTION("""COMPUTED_VALUE"""),2.8272373E7)</f>
        <v>28272373</v>
      </c>
      <c r="I1177" s="7">
        <f>IFERROR(__xludf.DUMMYFUNCTION("""COMPUTED_VALUE"""),3.512030983E9)</f>
        <v>3512030983</v>
      </c>
      <c r="J1177" s="7" t="str">
        <f>IFERROR(__xludf.DUMMYFUNCTION("""COMPUTED_VALUE"""),"Recomendación")</f>
        <v>Recomendación</v>
      </c>
      <c r="K1177" s="7" t="str">
        <f>IFERROR(__xludf.DUMMYFUNCTION("""COMPUTED_VALUE"""),"Particular")</f>
        <v>Particular</v>
      </c>
      <c r="L1177" s="7"/>
      <c r="M1177" s="7" t="str">
        <f>IFERROR(__xludf.DUMMYFUNCTION("""COMPUTED_VALUE"""),"Si")</f>
        <v>Si</v>
      </c>
      <c r="N1177" s="7" t="str">
        <f>IFERROR(__xludf.DUMMYFUNCTION("""COMPUTED_VALUE"""),"Gimnasio")</f>
        <v>Gimnasio</v>
      </c>
      <c r="O1177" s="7" t="str">
        <f>IFERROR(__xludf.DUMMYFUNCTION("""COMPUTED_VALUE"""),"3 a 5 veces por semana")</f>
        <v>3 a 5 veces por semana</v>
      </c>
      <c r="P1177" s="7"/>
      <c r="Q1177" s="7"/>
      <c r="R1177" s="7"/>
      <c r="S1177" s="7"/>
    </row>
    <row r="1178">
      <c r="C1178" s="19">
        <f>IFERROR(__xludf.DUMMYFUNCTION("""COMPUTED_VALUE"""),45894.85984204861)</f>
        <v>45894.85984</v>
      </c>
      <c r="D1178" s="7" t="str">
        <f>IFERROR(__xludf.DUMMYFUNCTION("""COMPUTED_VALUE"""),"Barbero Gatica")</f>
        <v>Barbero Gatica</v>
      </c>
      <c r="E1178" s="7" t="str">
        <f>IFERROR(__xludf.DUMMYFUNCTION("""COMPUTED_VALUE"""),"Bautista")</f>
        <v>Bautista</v>
      </c>
      <c r="F1178" s="7" t="str">
        <f>IFERROR(__xludf.DUMMYFUNCTION("""COMPUTED_VALUE"""),"barberogaticabautista@gmail.com")</f>
        <v>barberogaticabautista@gmail.com</v>
      </c>
      <c r="G1178" s="20">
        <f>IFERROR(__xludf.DUMMYFUNCTION("""COMPUTED_VALUE"""),39045.0)</f>
        <v>39045</v>
      </c>
      <c r="H1178" s="7">
        <f>IFERROR(__xludf.DUMMYFUNCTION("""COMPUTED_VALUE"""),4.7351636E7)</f>
        <v>47351636</v>
      </c>
      <c r="I1178" s="7">
        <f>IFERROR(__xludf.DUMMYFUNCTION("""COMPUTED_VALUE"""),3.515306105E9)</f>
        <v>3515306105</v>
      </c>
      <c r="J1178" s="7" t="str">
        <f>IFERROR(__xludf.DUMMYFUNCTION("""COMPUTED_VALUE"""),"Recomendación")</f>
        <v>Recomendación</v>
      </c>
      <c r="K1178" s="7" t="str">
        <f>IFERROR(__xludf.DUMMYFUNCTION("""COMPUTED_VALUE"""),"Obra social")</f>
        <v>Obra social</v>
      </c>
      <c r="L1178" s="7"/>
      <c r="M1178" s="7" t="str">
        <f>IFERROR(__xludf.DUMMYFUNCTION("""COMPUTED_VALUE"""),"Si")</f>
        <v>Si</v>
      </c>
      <c r="N1178" s="7" t="str">
        <f>IFERROR(__xludf.DUMMYFUNCTION("""COMPUTED_VALUE"""),"Voley")</f>
        <v>Voley</v>
      </c>
      <c r="O1178" s="7" t="str">
        <f>IFERROR(__xludf.DUMMYFUNCTION("""COMPUTED_VALUE"""),"3 a 5 veces por semana")</f>
        <v>3 a 5 veces por semana</v>
      </c>
      <c r="P1178" s="7"/>
      <c r="Q1178" s="7" t="str">
        <f>IFERROR(__xludf.DUMMYFUNCTION("""COMPUTED_VALUE"""),"APROSS")</f>
        <v>APROSS</v>
      </c>
      <c r="R1178" s="7"/>
      <c r="S1178" s="7"/>
    </row>
    <row r="1179">
      <c r="C1179" s="19">
        <f>IFERROR(__xludf.DUMMYFUNCTION("""COMPUTED_VALUE"""),45894.8850678125)</f>
        <v>45894.88507</v>
      </c>
      <c r="D1179" s="7" t="str">
        <f>IFERROR(__xludf.DUMMYFUNCTION("""COMPUTED_VALUE"""),"Mammana")</f>
        <v>Mammana</v>
      </c>
      <c r="E1179" s="7" t="str">
        <f>IFERROR(__xludf.DUMMYFUNCTION("""COMPUTED_VALUE"""),"Alejandro")</f>
        <v>Alejandro</v>
      </c>
      <c r="F1179" s="7" t="str">
        <f>IFERROR(__xludf.DUMMYFUNCTION("""COMPUTED_VALUE"""),"amammana31@gmail.com")</f>
        <v>amammana31@gmail.com</v>
      </c>
      <c r="G1179" s="20">
        <f>IFERROR(__xludf.DUMMYFUNCTION("""COMPUTED_VALUE"""),35354.0)</f>
        <v>35354</v>
      </c>
      <c r="H1179" s="7">
        <f>IFERROR(__xludf.DUMMYFUNCTION("""COMPUTED_VALUE"""),3.9693559E7)</f>
        <v>39693559</v>
      </c>
      <c r="I1179" s="7">
        <f>IFERROR(__xludf.DUMMYFUNCTION("""COMPUTED_VALUE"""),3.513061167E9)</f>
        <v>3513061167</v>
      </c>
      <c r="J1179" s="7" t="str">
        <f>IFERROR(__xludf.DUMMYFUNCTION("""COMPUTED_VALUE"""),"Recomendación")</f>
        <v>Recomendación</v>
      </c>
      <c r="K1179" s="7" t="str">
        <f>IFERROR(__xludf.DUMMYFUNCTION("""COMPUTED_VALUE"""),"Obra social")</f>
        <v>Obra social</v>
      </c>
      <c r="L1179" s="7"/>
      <c r="M1179" s="7" t="str">
        <f>IFERROR(__xludf.DUMMYFUNCTION("""COMPUTED_VALUE"""),"Si")</f>
        <v>Si</v>
      </c>
      <c r="N1179" s="7" t="str">
        <f>IFERROR(__xludf.DUMMYFUNCTION("""COMPUTED_VALUE"""),"Gimnasio")</f>
        <v>Gimnasio</v>
      </c>
      <c r="O1179" s="7" t="str">
        <f>IFERROR(__xludf.DUMMYFUNCTION("""COMPUTED_VALUE"""),"3 a 5 veces por semana")</f>
        <v>3 a 5 veces por semana</v>
      </c>
      <c r="P1179" s="7"/>
      <c r="Q1179" s="7" t="str">
        <f>IFERROR(__xludf.DUMMYFUNCTION("""COMPUTED_VALUE"""),"PREVENCIÓN")</f>
        <v>PREVENCIÓN</v>
      </c>
      <c r="R1179" s="7"/>
      <c r="S1179" s="7"/>
    </row>
    <row r="1180">
      <c r="C1180" s="19">
        <f>IFERROR(__xludf.DUMMYFUNCTION("""COMPUTED_VALUE"""),45895.389643773146)</f>
        <v>45895.38964</v>
      </c>
      <c r="D1180" s="7" t="str">
        <f>IFERROR(__xludf.DUMMYFUNCTION("""COMPUTED_VALUE"""),"BALEIRON")</f>
        <v>BALEIRON</v>
      </c>
      <c r="E1180" s="7" t="str">
        <f>IFERROR(__xludf.DUMMYFUNCTION("""COMPUTED_VALUE"""),"SERGIO RAÚL")</f>
        <v>SERGIO RAÚL</v>
      </c>
      <c r="F1180" s="7" t="str">
        <f>IFERROR(__xludf.DUMMYFUNCTION("""COMPUTED_VALUE"""),"arq_baleiron@hotmail.com")</f>
        <v>arq_baleiron@hotmail.com</v>
      </c>
      <c r="G1180" s="20">
        <f>IFERROR(__xludf.DUMMYFUNCTION("""COMPUTED_VALUE"""),22469.0)</f>
        <v>22469</v>
      </c>
      <c r="H1180" s="7">
        <f>IFERROR(__xludf.DUMMYFUNCTION("""COMPUTED_VALUE"""),1.4799053E7)</f>
        <v>14799053</v>
      </c>
      <c r="I1180" s="7">
        <f>IFERROR(__xludf.DUMMYFUNCTION("""COMPUTED_VALUE"""),3.515207437E9)</f>
        <v>3515207437</v>
      </c>
      <c r="J1180" s="7" t="str">
        <f>IFERROR(__xludf.DUMMYFUNCTION("""COMPUTED_VALUE"""),"Instagram")</f>
        <v>Instagram</v>
      </c>
      <c r="K1180" s="7" t="str">
        <f>IFERROR(__xludf.DUMMYFUNCTION("""COMPUTED_VALUE"""),"Particular")</f>
        <v>Particular</v>
      </c>
      <c r="L1180" s="7"/>
      <c r="M1180" s="7" t="str">
        <f>IFERROR(__xludf.DUMMYFUNCTION("""COMPUTED_VALUE"""),"No")</f>
        <v>No</v>
      </c>
      <c r="N1180" s="7"/>
      <c r="O1180" s="7"/>
      <c r="P1180" s="7"/>
      <c r="Q1180" s="7"/>
      <c r="R1180" s="7"/>
      <c r="S1180" s="7"/>
    </row>
    <row r="1181">
      <c r="C1181" s="19">
        <f>IFERROR(__xludf.DUMMYFUNCTION("""COMPUTED_VALUE"""),45895.42391855324)</f>
        <v>45895.42392</v>
      </c>
      <c r="D1181" s="7" t="str">
        <f>IFERROR(__xludf.DUMMYFUNCTION("""COMPUTED_VALUE"""),"Carpetta")</f>
        <v>Carpetta</v>
      </c>
      <c r="E1181" s="7" t="str">
        <f>IFERROR(__xludf.DUMMYFUNCTION("""COMPUTED_VALUE"""),"Tomas")</f>
        <v>Tomas</v>
      </c>
      <c r="F1181" s="7"/>
      <c r="G1181" s="20">
        <f>IFERROR(__xludf.DUMMYFUNCTION("""COMPUTED_VALUE"""),39379.0)</f>
        <v>39379</v>
      </c>
      <c r="H1181" s="7">
        <f>IFERROR(__xludf.DUMMYFUNCTION("""COMPUTED_VALUE"""),4.7819429E7)</f>
        <v>47819429</v>
      </c>
      <c r="I1181" s="7">
        <f>IFERROR(__xludf.DUMMYFUNCTION("""COMPUTED_VALUE"""),3.513251811E9)</f>
        <v>3513251811</v>
      </c>
      <c r="J1181" s="7" t="str">
        <f>IFERROR(__xludf.DUMMYFUNCTION("""COMPUTED_VALUE"""),"Recomendación")</f>
        <v>Recomendación</v>
      </c>
      <c r="K1181" s="7" t="str">
        <f>IFERROR(__xludf.DUMMYFUNCTION("""COMPUTED_VALUE"""),"Particular")</f>
        <v>Particular</v>
      </c>
      <c r="L1181" s="7"/>
      <c r="M1181" s="7" t="str">
        <f>IFERROR(__xludf.DUMMYFUNCTION("""COMPUTED_VALUE"""),"Si")</f>
        <v>Si</v>
      </c>
      <c r="N1181" s="7"/>
      <c r="O1181" s="7" t="str">
        <f>IFERROR(__xludf.DUMMYFUNCTION("""COMPUTED_VALUE"""),"3 a 5 veces por semana")</f>
        <v>3 a 5 veces por semana</v>
      </c>
      <c r="P1181" s="7"/>
      <c r="Q1181" s="7"/>
      <c r="R1181" s="7"/>
      <c r="S1181" s="7"/>
    </row>
    <row r="1182">
      <c r="C1182" s="19">
        <f>IFERROR(__xludf.DUMMYFUNCTION("""COMPUTED_VALUE"""),45895.425211180554)</f>
        <v>45895.42521</v>
      </c>
      <c r="D1182" s="7" t="str">
        <f>IFERROR(__xludf.DUMMYFUNCTION("""COMPUTED_VALUE"""),"Reginatto ")</f>
        <v>Reginatto </v>
      </c>
      <c r="E1182" s="7" t="str">
        <f>IFERROR(__xludf.DUMMYFUNCTION("""COMPUTED_VALUE"""),"Patricia")</f>
        <v>Patricia</v>
      </c>
      <c r="F1182" s="7" t="str">
        <f>IFERROR(__xludf.DUMMYFUNCTION("""COMPUTED_VALUE"""),"cvirgolini@gmail.com")</f>
        <v>cvirgolini@gmail.com</v>
      </c>
      <c r="G1182" s="20">
        <f>IFERROR(__xludf.DUMMYFUNCTION("""COMPUTED_VALUE"""),22497.0)</f>
        <v>22497</v>
      </c>
      <c r="H1182" s="7">
        <f>IFERROR(__xludf.DUMMYFUNCTION("""COMPUTED_VALUE"""),1.4579275E7)</f>
        <v>14579275</v>
      </c>
      <c r="I1182" s="7">
        <f>IFERROR(__xludf.DUMMYFUNCTION("""COMPUTED_VALUE"""),3.513101052E9)</f>
        <v>3513101052</v>
      </c>
      <c r="J1182" s="7" t="str">
        <f>IFERROR(__xludf.DUMMYFUNCTION("""COMPUTED_VALUE"""),"Recomendación")</f>
        <v>Recomendación</v>
      </c>
      <c r="K1182" s="7" t="str">
        <f>IFERROR(__xludf.DUMMYFUNCTION("""COMPUTED_VALUE"""),"Obra social")</f>
        <v>Obra social</v>
      </c>
      <c r="L1182" s="7"/>
      <c r="M1182" s="7" t="str">
        <f>IFERROR(__xludf.DUMMYFUNCTION("""COMPUTED_VALUE"""),"No")</f>
        <v>No</v>
      </c>
      <c r="N1182" s="7"/>
      <c r="O1182" s="7"/>
      <c r="P1182" s="7"/>
      <c r="Q1182" s="7" t="str">
        <f>IFERROR(__xludf.DUMMYFUNCTION("""COMPUTED_VALUE"""),"APROSS")</f>
        <v>APROSS</v>
      </c>
      <c r="R1182" s="7"/>
      <c r="S1182" s="7"/>
    </row>
    <row r="1183">
      <c r="C1183" s="19">
        <f>IFERROR(__xludf.DUMMYFUNCTION("""COMPUTED_VALUE"""),45895.45617201389)</f>
        <v>45895.45617</v>
      </c>
      <c r="D1183" s="7" t="str">
        <f>IFERROR(__xludf.DUMMYFUNCTION("""COMPUTED_VALUE"""),"Sommo")</f>
        <v>Sommo</v>
      </c>
      <c r="E1183" s="7" t="str">
        <f>IFERROR(__xludf.DUMMYFUNCTION("""COMPUTED_VALUE"""),"Cristina")</f>
        <v>Cristina</v>
      </c>
      <c r="F1183" s="7"/>
      <c r="G1183" s="20">
        <f>IFERROR(__xludf.DUMMYFUNCTION("""COMPUTED_VALUE"""),19214.0)</f>
        <v>19214</v>
      </c>
      <c r="H1183" s="7">
        <f>IFERROR(__xludf.DUMMYFUNCTION("""COMPUTED_VALUE"""),1.0446554E7)</f>
        <v>10446554</v>
      </c>
      <c r="I1183" s="7">
        <f>IFERROR(__xludf.DUMMYFUNCTION("""COMPUTED_VALUE"""),3.512070993E9)</f>
        <v>3512070993</v>
      </c>
      <c r="J1183" s="7" t="str">
        <f>IFERROR(__xludf.DUMMYFUNCTION("""COMPUTED_VALUE"""),"Recomendación")</f>
        <v>Recomendación</v>
      </c>
      <c r="K1183" s="7" t="str">
        <f>IFERROR(__xludf.DUMMYFUNCTION("""COMPUTED_VALUE"""),"Particular")</f>
        <v>Particular</v>
      </c>
      <c r="L1183" s="7"/>
      <c r="M1183" s="7" t="str">
        <f>IFERROR(__xludf.DUMMYFUNCTION("""COMPUTED_VALUE"""),"Si")</f>
        <v>Si</v>
      </c>
      <c r="N1183" s="7" t="str">
        <f>IFERROR(__xludf.DUMMYFUNCTION("""COMPUTED_VALUE"""),"Running")</f>
        <v>Running</v>
      </c>
      <c r="O1183" s="7" t="str">
        <f>IFERROR(__xludf.DUMMYFUNCTION("""COMPUTED_VALUE"""),"3 a 5 veces por semana")</f>
        <v>3 a 5 veces por semana</v>
      </c>
      <c r="P1183" s="7"/>
      <c r="Q1183" s="7"/>
      <c r="R1183" s="7"/>
      <c r="S1183" s="7"/>
    </row>
    <row r="1184">
      <c r="C1184" s="19">
        <f>IFERROR(__xludf.DUMMYFUNCTION("""COMPUTED_VALUE"""),45895.45979105324)</f>
        <v>45895.45979</v>
      </c>
      <c r="D1184" s="7" t="str">
        <f>IFERROR(__xludf.DUMMYFUNCTION("""COMPUTED_VALUE"""),"Fraile")</f>
        <v>Fraile</v>
      </c>
      <c r="E1184" s="7" t="str">
        <f>IFERROR(__xludf.DUMMYFUNCTION("""COMPUTED_VALUE"""),"Lourdes")</f>
        <v>Lourdes</v>
      </c>
      <c r="F1184" s="7" t="str">
        <f>IFERROR(__xludf.DUMMYFUNCTION("""COMPUTED_VALUE"""),"Millanelcbacapital@gmail.com")</f>
        <v>Millanelcbacapital@gmail.com</v>
      </c>
      <c r="G1184" s="20">
        <f>IFERROR(__xludf.DUMMYFUNCTION("""COMPUTED_VALUE"""),25955.0)</f>
        <v>25955</v>
      </c>
      <c r="H1184" s="7">
        <f>IFERROR(__xludf.DUMMYFUNCTION("""COMPUTED_VALUE"""),9.4184532E7)</f>
        <v>94184532</v>
      </c>
      <c r="I1184" s="7">
        <f>IFERROR(__xludf.DUMMYFUNCTION("""COMPUTED_VALUE"""),3.513412093E9)</f>
        <v>3513412093</v>
      </c>
      <c r="J1184" s="7" t="str">
        <f>IFERROR(__xludf.DUMMYFUNCTION("""COMPUTED_VALUE"""),"Facebook")</f>
        <v>Facebook</v>
      </c>
      <c r="K1184" s="7" t="str">
        <f>IFERROR(__xludf.DUMMYFUNCTION("""COMPUTED_VALUE"""),"Particular")</f>
        <v>Particular</v>
      </c>
      <c r="L1184" s="7"/>
      <c r="M1184" s="7" t="str">
        <f>IFERROR(__xludf.DUMMYFUNCTION("""COMPUTED_VALUE"""),"Si")</f>
        <v>Si</v>
      </c>
      <c r="N1184" s="7" t="str">
        <f>IFERROR(__xludf.DUMMYFUNCTION("""COMPUTED_VALUE"""),"Gimnasio")</f>
        <v>Gimnasio</v>
      </c>
      <c r="O1184" s="7" t="str">
        <f>IFERROR(__xludf.DUMMYFUNCTION("""COMPUTED_VALUE"""),"3 a 5 veces por semana")</f>
        <v>3 a 5 veces por semana</v>
      </c>
      <c r="P1184" s="7"/>
      <c r="Q1184" s="7"/>
      <c r="R1184" s="7"/>
      <c r="S1184" s="7"/>
    </row>
    <row r="1185">
      <c r="C1185" s="19">
        <f>IFERROR(__xludf.DUMMYFUNCTION("""COMPUTED_VALUE"""),45895.46583539352)</f>
        <v>45895.46584</v>
      </c>
      <c r="D1185" s="7" t="str">
        <f>IFERROR(__xludf.DUMMYFUNCTION("""COMPUTED_VALUE"""),"Reginatto ")</f>
        <v>Reginatto </v>
      </c>
      <c r="E1185" s="7" t="str">
        <f>IFERROR(__xludf.DUMMYFUNCTION("""COMPUTED_VALUE"""),"Patricia Beatriz ")</f>
        <v>Patricia Beatriz </v>
      </c>
      <c r="F1185" s="7" t="str">
        <f>IFERROR(__xludf.DUMMYFUNCTION("""COMPUTED_VALUE"""),"cvirgolini@gmail.com")</f>
        <v>cvirgolini@gmail.com</v>
      </c>
      <c r="G1185" s="20">
        <f>IFERROR(__xludf.DUMMYFUNCTION("""COMPUTED_VALUE"""),22497.0)</f>
        <v>22497</v>
      </c>
      <c r="H1185" s="7">
        <f>IFERROR(__xludf.DUMMYFUNCTION("""COMPUTED_VALUE"""),1.4579175E7)</f>
        <v>14579175</v>
      </c>
      <c r="I1185" s="7">
        <f>IFERROR(__xludf.DUMMYFUNCTION("""COMPUTED_VALUE"""),3.513101052E9)</f>
        <v>3513101052</v>
      </c>
      <c r="J1185" s="7" t="str">
        <f>IFERROR(__xludf.DUMMYFUNCTION("""COMPUTED_VALUE"""),"Recomendación")</f>
        <v>Recomendación</v>
      </c>
      <c r="K1185" s="7" t="str">
        <f>IFERROR(__xludf.DUMMYFUNCTION("""COMPUTED_VALUE"""),"Obra social")</f>
        <v>Obra social</v>
      </c>
      <c r="L1185" s="7"/>
      <c r="M1185" s="7" t="str">
        <f>IFERROR(__xludf.DUMMYFUNCTION("""COMPUTED_VALUE"""),"No")</f>
        <v>No</v>
      </c>
      <c r="N1185" s="7"/>
      <c r="O1185" s="7"/>
      <c r="P1185" s="7"/>
      <c r="Q1185" s="7" t="str">
        <f>IFERROR(__xludf.DUMMYFUNCTION("""COMPUTED_VALUE"""),"APROSS")</f>
        <v>APROSS</v>
      </c>
      <c r="R1185" s="7"/>
      <c r="S1185" s="7"/>
    </row>
    <row r="1186">
      <c r="C1186" s="19">
        <f>IFERROR(__xludf.DUMMYFUNCTION("""COMPUTED_VALUE"""),45895.5304697338)</f>
        <v>45895.53047</v>
      </c>
      <c r="D1186" s="7" t="str">
        <f>IFERROR(__xludf.DUMMYFUNCTION("""COMPUTED_VALUE"""),"Ferreyra")</f>
        <v>Ferreyra</v>
      </c>
      <c r="E1186" s="7" t="str">
        <f>IFERROR(__xludf.DUMMYFUNCTION("""COMPUTED_VALUE"""),"Mariano")</f>
        <v>Mariano</v>
      </c>
      <c r="F1186" s="7" t="str">
        <f>IFERROR(__xludf.DUMMYFUNCTION("""COMPUTED_VALUE"""),"ferreyramg131@gmail.com")</f>
        <v>ferreyramg131@gmail.com</v>
      </c>
      <c r="G1186" s="20">
        <f>IFERROR(__xludf.DUMMYFUNCTION("""COMPUTED_VALUE"""),30299.0)</f>
        <v>30299</v>
      </c>
      <c r="H1186" s="7">
        <f>IFERROR(__xludf.DUMMYFUNCTION("""COMPUTED_VALUE"""),2.9585978E7)</f>
        <v>29585978</v>
      </c>
      <c r="I1186" s="7">
        <f>IFERROR(__xludf.DUMMYFUNCTION("""COMPUTED_VALUE"""),3.512250662E9)</f>
        <v>3512250662</v>
      </c>
      <c r="J1186" s="7" t="str">
        <f>IFERROR(__xludf.DUMMYFUNCTION("""COMPUTED_VALUE"""),"Cartilla Obra Social")</f>
        <v>Cartilla Obra Social</v>
      </c>
      <c r="K1186" s="7" t="str">
        <f>IFERROR(__xludf.DUMMYFUNCTION("""COMPUTED_VALUE"""),"Obra social")</f>
        <v>Obra social</v>
      </c>
      <c r="L1186" s="7"/>
      <c r="M1186" s="7" t="str">
        <f>IFERROR(__xludf.DUMMYFUNCTION("""COMPUTED_VALUE"""),"Si")</f>
        <v>Si</v>
      </c>
      <c r="N1186" s="7" t="str">
        <f>IFERROR(__xludf.DUMMYFUNCTION("""COMPUTED_VALUE"""),"Fútbol")</f>
        <v>Fútbol</v>
      </c>
      <c r="O1186" s="7" t="str">
        <f>IFERROR(__xludf.DUMMYFUNCTION("""COMPUTED_VALUE"""),"3 a 5 veces por semana")</f>
        <v>3 a 5 veces por semana</v>
      </c>
      <c r="P1186" s="7"/>
      <c r="Q1186" s="7" t="str">
        <f>IFERROR(__xludf.DUMMYFUNCTION("""COMPUTED_VALUE"""),"PREVENCIÓN")</f>
        <v>PREVENCIÓN</v>
      </c>
      <c r="R1186" s="7"/>
      <c r="S1186" s="7"/>
    </row>
    <row r="1187">
      <c r="C1187" s="19">
        <f>IFERROR(__xludf.DUMMYFUNCTION("""COMPUTED_VALUE"""),45895.570005)</f>
        <v>45895.57001</v>
      </c>
      <c r="D1187" s="7" t="str">
        <f>IFERROR(__xludf.DUMMYFUNCTION("""COMPUTED_VALUE"""),"capretta")</f>
        <v>capretta</v>
      </c>
      <c r="E1187" s="7" t="str">
        <f>IFERROR(__xludf.DUMMYFUNCTION("""COMPUTED_VALUE"""),"tomas")</f>
        <v>tomas</v>
      </c>
      <c r="F1187" s="7" t="str">
        <f>IFERROR(__xludf.DUMMYFUNCTION("""COMPUTED_VALUE"""),"tomascapretta1@gmail.com")</f>
        <v>tomascapretta1@gmail.com</v>
      </c>
      <c r="G1187" s="20">
        <f>IFERROR(__xludf.DUMMYFUNCTION("""COMPUTED_VALUE"""),39379.0)</f>
        <v>39379</v>
      </c>
      <c r="H1187" s="7">
        <f>IFERROR(__xludf.DUMMYFUNCTION("""COMPUTED_VALUE"""),4.7819429E7)</f>
        <v>47819429</v>
      </c>
      <c r="I1187" s="7">
        <f>IFERROR(__xludf.DUMMYFUNCTION("""COMPUTED_VALUE"""),3.513251811E9)</f>
        <v>3513251811</v>
      </c>
      <c r="J1187" s="7" t="str">
        <f>IFERROR(__xludf.DUMMYFUNCTION("""COMPUTED_VALUE"""),"Recomendación")</f>
        <v>Recomendación</v>
      </c>
      <c r="K1187" s="7" t="str">
        <f>IFERROR(__xludf.DUMMYFUNCTION("""COMPUTED_VALUE"""),"Particular")</f>
        <v>Particular</v>
      </c>
      <c r="L1187" s="7"/>
      <c r="M1187" s="7" t="str">
        <f>IFERROR(__xludf.DUMMYFUNCTION("""COMPUTED_VALUE"""),"Si")</f>
        <v>Si</v>
      </c>
      <c r="N1187" s="7" t="str">
        <f>IFERROR(__xludf.DUMMYFUNCTION("""COMPUTED_VALUE"""),"Básquet")</f>
        <v>Básquet</v>
      </c>
      <c r="O1187" s="7" t="str">
        <f>IFERROR(__xludf.DUMMYFUNCTION("""COMPUTED_VALUE"""),"3 a 5 veces por semana")</f>
        <v>3 a 5 veces por semana</v>
      </c>
      <c r="P1187" s="7"/>
      <c r="Q1187" s="7"/>
      <c r="R1187" s="7"/>
      <c r="S1187" s="7"/>
    </row>
    <row r="1188">
      <c r="C1188" s="19">
        <f>IFERROR(__xludf.DUMMYFUNCTION("""COMPUTED_VALUE"""),45895.63132671296)</f>
        <v>45895.63133</v>
      </c>
      <c r="D1188" s="7" t="str">
        <f>IFERROR(__xludf.DUMMYFUNCTION("""COMPUTED_VALUE"""),"MARIONI")</f>
        <v>MARIONI</v>
      </c>
      <c r="E1188" s="7" t="str">
        <f>IFERROR(__xludf.DUMMYFUNCTION("""COMPUTED_VALUE"""),"Sergio ")</f>
        <v>Sergio </v>
      </c>
      <c r="F1188" s="7" t="str">
        <f>IFERROR(__xludf.DUMMYFUNCTION("""COMPUTED_VALUE"""),"distribuidoramonse@hotmail.com.ar")</f>
        <v>distribuidoramonse@hotmail.com.ar</v>
      </c>
      <c r="G1188" s="20">
        <f>IFERROR(__xludf.DUMMYFUNCTION("""COMPUTED_VALUE"""),22717.0)</f>
        <v>22717</v>
      </c>
      <c r="H1188" s="7">
        <f>IFERROR(__xludf.DUMMYFUNCTION("""COMPUTED_VALUE"""),1.4839545E7)</f>
        <v>14839545</v>
      </c>
      <c r="I1188" s="7">
        <f>IFERROR(__xludf.DUMMYFUNCTION("""COMPUTED_VALUE"""),3.516164441E9)</f>
        <v>3516164441</v>
      </c>
      <c r="J1188" s="7" t="str">
        <f>IFERROR(__xludf.DUMMYFUNCTION("""COMPUTED_VALUE"""),"Recomendación")</f>
        <v>Recomendación</v>
      </c>
      <c r="K1188" s="7" t="str">
        <f>IFERROR(__xludf.DUMMYFUNCTION("""COMPUTED_VALUE"""),"Particular")</f>
        <v>Particular</v>
      </c>
      <c r="L1188" s="7"/>
      <c r="M1188" s="7" t="str">
        <f>IFERROR(__xludf.DUMMYFUNCTION("""COMPUTED_VALUE"""),"Si")</f>
        <v>Si</v>
      </c>
      <c r="N1188" s="7" t="str">
        <f>IFERROR(__xludf.DUMMYFUNCTION("""COMPUTED_VALUE"""),"Gimnasio")</f>
        <v>Gimnasio</v>
      </c>
      <c r="O1188" s="7" t="str">
        <f>IFERROR(__xludf.DUMMYFUNCTION("""COMPUTED_VALUE"""),"3 a 5 veces por semana")</f>
        <v>3 a 5 veces por semana</v>
      </c>
      <c r="P1188" s="7"/>
      <c r="Q1188" s="7"/>
      <c r="R1188" s="7"/>
      <c r="S1188" s="7"/>
    </row>
    <row r="1189">
      <c r="C1189" s="19">
        <f>IFERROR(__xludf.DUMMYFUNCTION("""COMPUTED_VALUE"""),45896.45190875)</f>
        <v>45896.45191</v>
      </c>
      <c r="D1189" s="7" t="str">
        <f>IFERROR(__xludf.DUMMYFUNCTION("""COMPUTED_VALUE"""),"Guillen")</f>
        <v>Guillen</v>
      </c>
      <c r="E1189" s="7" t="str">
        <f>IFERROR(__xludf.DUMMYFUNCTION("""COMPUTED_VALUE"""),"Maria de los Angeles ")</f>
        <v>Maria de los Angeles </v>
      </c>
      <c r="F1189" s="7" t="str">
        <f>IFERROR(__xludf.DUMMYFUNCTION("""COMPUTED_VALUE"""),"ma.guillen.1711@gmail.com")</f>
        <v>ma.guillen.1711@gmail.com</v>
      </c>
      <c r="G1189" s="20">
        <f>IFERROR(__xludf.DUMMYFUNCTION("""COMPUTED_VALUE"""),30637.0)</f>
        <v>30637</v>
      </c>
      <c r="H1189" s="7">
        <f>IFERROR(__xludf.DUMMYFUNCTION("""COMPUTED_VALUE"""),3.0657396E7)</f>
        <v>30657396</v>
      </c>
      <c r="I1189" s="7">
        <f>IFERROR(__xludf.DUMMYFUNCTION("""COMPUTED_VALUE"""),3.513831711E9)</f>
        <v>3513831711</v>
      </c>
      <c r="J1189" s="7" t="str">
        <f>IFERROR(__xludf.DUMMYFUNCTION("""COMPUTED_VALUE"""),"Google")</f>
        <v>Google</v>
      </c>
      <c r="K1189" s="7" t="str">
        <f>IFERROR(__xludf.DUMMYFUNCTION("""COMPUTED_VALUE"""),"Particular")</f>
        <v>Particular</v>
      </c>
      <c r="L1189" s="7"/>
      <c r="M1189" s="7" t="str">
        <f>IFERROR(__xludf.DUMMYFUNCTION("""COMPUTED_VALUE"""),"No")</f>
        <v>No</v>
      </c>
      <c r="N1189" s="7"/>
      <c r="O1189" s="7"/>
      <c r="P1189" s="7"/>
      <c r="Q1189" s="7"/>
      <c r="R1189" s="7"/>
      <c r="S1189" s="7"/>
    </row>
    <row r="1190">
      <c r="C1190" s="19">
        <f>IFERROR(__xludf.DUMMYFUNCTION("""COMPUTED_VALUE"""),45896.51124487269)</f>
        <v>45896.51124</v>
      </c>
      <c r="D1190" s="7" t="str">
        <f>IFERROR(__xludf.DUMMYFUNCTION("""COMPUTED_VALUE"""),"PORPORATO")</f>
        <v>PORPORATO</v>
      </c>
      <c r="E1190" s="7" t="str">
        <f>IFERROR(__xludf.DUMMYFUNCTION("""COMPUTED_VALUE"""),"Raquel")</f>
        <v>Raquel</v>
      </c>
      <c r="F1190" s="7" t="str">
        <f>IFERROR(__xludf.DUMMYFUNCTION("""COMPUTED_VALUE"""),"raporpo@hotmail.com")</f>
        <v>raporpo@hotmail.com</v>
      </c>
      <c r="G1190" s="20">
        <f>IFERROR(__xludf.DUMMYFUNCTION("""COMPUTED_VALUE"""),20277.0)</f>
        <v>20277</v>
      </c>
      <c r="H1190" s="7">
        <f>IFERROR(__xludf.DUMMYFUNCTION("""COMPUTED_VALUE"""),1.1767424E7)</f>
        <v>11767424</v>
      </c>
      <c r="I1190" s="7">
        <f>IFERROR(__xludf.DUMMYFUNCTION("""COMPUTED_VALUE"""),3.512082578E9)</f>
        <v>3512082578</v>
      </c>
      <c r="J1190" s="7" t="str">
        <f>IFERROR(__xludf.DUMMYFUNCTION("""COMPUTED_VALUE"""),"Recomendación")</f>
        <v>Recomendación</v>
      </c>
      <c r="K1190" s="7" t="str">
        <f>IFERROR(__xludf.DUMMYFUNCTION("""COMPUTED_VALUE"""),"Particular")</f>
        <v>Particular</v>
      </c>
      <c r="L1190" s="7"/>
      <c r="M1190" s="7" t="str">
        <f>IFERROR(__xludf.DUMMYFUNCTION("""COMPUTED_VALUE"""),"Si")</f>
        <v>Si</v>
      </c>
      <c r="N1190" s="7" t="str">
        <f>IFERROR(__xludf.DUMMYFUNCTION("""COMPUTED_VALUE"""),"Gimnasio")</f>
        <v>Gimnasio</v>
      </c>
      <c r="O1190" s="7" t="str">
        <f>IFERROR(__xludf.DUMMYFUNCTION("""COMPUTED_VALUE"""),"1 a 2 veces por semana")</f>
        <v>1 a 2 veces por semana</v>
      </c>
      <c r="P1190" s="7"/>
      <c r="Q1190" s="7"/>
      <c r="R1190" s="7"/>
      <c r="S1190" s="7"/>
    </row>
    <row r="1191">
      <c r="C1191" s="19">
        <f>IFERROR(__xludf.DUMMYFUNCTION("""COMPUTED_VALUE"""),45896.679321655094)</f>
        <v>45896.67932</v>
      </c>
      <c r="D1191" s="7" t="str">
        <f>IFERROR(__xludf.DUMMYFUNCTION("""COMPUTED_VALUE"""),"Scalzadona ")</f>
        <v>Scalzadona </v>
      </c>
      <c r="E1191" s="7" t="str">
        <f>IFERROR(__xludf.DUMMYFUNCTION("""COMPUTED_VALUE"""),"Julieta ")</f>
        <v>Julieta </v>
      </c>
      <c r="F1191" s="7" t="str">
        <f>IFERROR(__xludf.DUMMYFUNCTION("""COMPUTED_VALUE"""),"julietascalzadona@gmail.com")</f>
        <v>julietascalzadona@gmail.com</v>
      </c>
      <c r="G1191" s="20">
        <f>IFERROR(__xludf.DUMMYFUNCTION("""COMPUTED_VALUE"""),38233.0)</f>
        <v>38233</v>
      </c>
      <c r="H1191" s="7">
        <f>IFERROR(__xludf.DUMMYFUNCTION("""COMPUTED_VALUE"""),4.5594379E7)</f>
        <v>45594379</v>
      </c>
      <c r="I1191" s="7">
        <f>IFERROR(__xludf.DUMMYFUNCTION("""COMPUTED_VALUE"""),3.512348045E9)</f>
        <v>3512348045</v>
      </c>
      <c r="J1191" s="7" t="str">
        <f>IFERROR(__xludf.DUMMYFUNCTION("""COMPUTED_VALUE"""),"Google")</f>
        <v>Google</v>
      </c>
      <c r="K1191" s="7" t="str">
        <f>IFERROR(__xludf.DUMMYFUNCTION("""COMPUTED_VALUE"""),"Obra social")</f>
        <v>Obra social</v>
      </c>
      <c r="L1191" s="7"/>
      <c r="M1191" s="7" t="str">
        <f>IFERROR(__xludf.DUMMYFUNCTION("""COMPUTED_VALUE"""),"No")</f>
        <v>No</v>
      </c>
      <c r="N1191" s="7"/>
      <c r="O1191" s="7"/>
      <c r="P1191" s="7"/>
      <c r="Q1191" s="7" t="str">
        <f>IFERROR(__xludf.DUMMYFUNCTION("""COMPUTED_VALUE"""),"Swiss Medical ")</f>
        <v>Swiss Medical </v>
      </c>
      <c r="R1191" s="7"/>
      <c r="S1191" s="7"/>
    </row>
    <row r="1192">
      <c r="C1192" s="19">
        <f>IFERROR(__xludf.DUMMYFUNCTION("""COMPUTED_VALUE"""),45896.8165191088)</f>
        <v>45896.81652</v>
      </c>
      <c r="D1192" s="7" t="str">
        <f>IFERROR(__xludf.DUMMYFUNCTION("""COMPUTED_VALUE"""),"Soria")</f>
        <v>Soria</v>
      </c>
      <c r="E1192" s="7" t="str">
        <f>IFERROR(__xludf.DUMMYFUNCTION("""COMPUTED_VALUE"""),"Amparo")</f>
        <v>Amparo</v>
      </c>
      <c r="F1192" s="7" t="str">
        <f>IFERROR(__xludf.DUMMYFUNCTION("""COMPUTED_VALUE"""),"amparosoriamartinez@gmail.com")</f>
        <v>amparosoriamartinez@gmail.com</v>
      </c>
      <c r="G1192" s="20">
        <f>IFERROR(__xludf.DUMMYFUNCTION("""COMPUTED_VALUE"""),36609.0)</f>
        <v>36609</v>
      </c>
      <c r="H1192" s="7">
        <f>IFERROR(__xludf.DUMMYFUNCTION("""COMPUTED_VALUE"""),4.2439911E7)</f>
        <v>42439911</v>
      </c>
      <c r="I1192" s="7">
        <f>IFERROR(__xludf.DUMMYFUNCTION("""COMPUTED_VALUE"""),3.513434808E9)</f>
        <v>3513434808</v>
      </c>
      <c r="J1192" s="7" t="str">
        <f>IFERROR(__xludf.DUMMYFUNCTION("""COMPUTED_VALUE"""),"Google")</f>
        <v>Google</v>
      </c>
      <c r="K1192" s="7" t="str">
        <f>IFERROR(__xludf.DUMMYFUNCTION("""COMPUTED_VALUE"""),"Obra social")</f>
        <v>Obra social</v>
      </c>
      <c r="L1192" s="7"/>
      <c r="M1192" s="7" t="str">
        <f>IFERROR(__xludf.DUMMYFUNCTION("""COMPUTED_VALUE"""),"Si")</f>
        <v>Si</v>
      </c>
      <c r="N1192" s="7" t="str">
        <f>IFERROR(__xludf.DUMMYFUNCTION("""COMPUTED_VALUE"""),"trekking,escalo,gimnasio")</f>
        <v>trekking,escalo,gimnasio</v>
      </c>
      <c r="O1192" s="7" t="str">
        <f>IFERROR(__xludf.DUMMYFUNCTION("""COMPUTED_VALUE"""),"3 a 5 veces por semana")</f>
        <v>3 a 5 veces por semana</v>
      </c>
      <c r="P1192" s="7"/>
      <c r="Q1192" s="7" t="str">
        <f>IFERROR(__xludf.DUMMYFUNCTION("""COMPUTED_VALUE"""),"PREVENCIÓN")</f>
        <v>PREVENCIÓN</v>
      </c>
      <c r="R1192" s="7"/>
      <c r="S1192" s="7"/>
    </row>
    <row r="1193">
      <c r="C1193" s="19">
        <f>IFERROR(__xludf.DUMMYFUNCTION("""COMPUTED_VALUE"""),45897.46122528936)</f>
        <v>45897.46123</v>
      </c>
      <c r="D1193" s="7" t="str">
        <f>IFERROR(__xludf.DUMMYFUNCTION("""COMPUTED_VALUE"""),"Contreras")</f>
        <v>Contreras</v>
      </c>
      <c r="E1193" s="7" t="str">
        <f>IFERROR(__xludf.DUMMYFUNCTION("""COMPUTED_VALUE"""),"Valentino ")</f>
        <v>Valentino </v>
      </c>
      <c r="F1193" s="7" t="str">
        <f>IFERROR(__xludf.DUMMYFUNCTION("""COMPUTED_VALUE"""),"Valentinocontreras06@gmail.com")</f>
        <v>Valentinocontreras06@gmail.com</v>
      </c>
      <c r="G1193" s="20">
        <f>IFERROR(__xludf.DUMMYFUNCTION("""COMPUTED_VALUE"""),38817.0)</f>
        <v>38817</v>
      </c>
      <c r="H1193" s="7">
        <f>IFERROR(__xludf.DUMMYFUNCTION("""COMPUTED_VALUE"""),4.699994E7)</f>
        <v>46999940</v>
      </c>
      <c r="I1193" s="7">
        <f>IFERROR(__xludf.DUMMYFUNCTION("""COMPUTED_VALUE"""),3.518638864E9)</f>
        <v>3518638864</v>
      </c>
      <c r="J1193" s="7" t="str">
        <f>IFERROR(__xludf.DUMMYFUNCTION("""COMPUTED_VALUE"""),"Recomendación")</f>
        <v>Recomendación</v>
      </c>
      <c r="K1193" s="7" t="str">
        <f>IFERROR(__xludf.DUMMYFUNCTION("""COMPUTED_VALUE"""),"Particular")</f>
        <v>Particular</v>
      </c>
      <c r="L1193" s="7"/>
      <c r="M1193" s="7" t="str">
        <f>IFERROR(__xludf.DUMMYFUNCTION("""COMPUTED_VALUE"""),"Si")</f>
        <v>Si</v>
      </c>
      <c r="N1193" s="7" t="str">
        <f>IFERROR(__xludf.DUMMYFUNCTION("""COMPUTED_VALUE"""),"Natación ")</f>
        <v>Natación </v>
      </c>
      <c r="O1193" s="7" t="str">
        <f>IFERROR(__xludf.DUMMYFUNCTION("""COMPUTED_VALUE"""),"3 a 5 veces por semana")</f>
        <v>3 a 5 veces por semana</v>
      </c>
      <c r="P1193" s="7"/>
      <c r="Q1193" s="7"/>
      <c r="R1193" s="7"/>
      <c r="S1193" s="7"/>
    </row>
    <row r="1194">
      <c r="C1194" s="19">
        <f>IFERROR(__xludf.DUMMYFUNCTION("""COMPUTED_VALUE"""),45897.524577743054)</f>
        <v>45897.52458</v>
      </c>
      <c r="D1194" s="7" t="str">
        <f>IFERROR(__xludf.DUMMYFUNCTION("""COMPUTED_VALUE"""),"Lombardi ")</f>
        <v>Lombardi </v>
      </c>
      <c r="E1194" s="7" t="str">
        <f>IFERROR(__xludf.DUMMYFUNCTION("""COMPUTED_VALUE"""),"Diego ")</f>
        <v>Diego </v>
      </c>
      <c r="F1194" s="7" t="str">
        <f>IFERROR(__xludf.DUMMYFUNCTION("""COMPUTED_VALUE"""),"lombardiego.1022@gmail.com")</f>
        <v>lombardiego.1022@gmail.com</v>
      </c>
      <c r="G1194" s="20">
        <f>IFERROR(__xludf.DUMMYFUNCTION("""COMPUTED_VALUE"""),32954.0)</f>
        <v>32954</v>
      </c>
      <c r="H1194" s="7">
        <f>IFERROR(__xludf.DUMMYFUNCTION("""COMPUTED_VALUE"""),3.5054826E7)</f>
        <v>35054826</v>
      </c>
      <c r="I1194" s="7">
        <f>IFERROR(__xludf.DUMMYFUNCTION("""COMPUTED_VALUE"""),3.516651241E9)</f>
        <v>3516651241</v>
      </c>
      <c r="J1194" s="7" t="str">
        <f>IFERROR(__xludf.DUMMYFUNCTION("""COMPUTED_VALUE"""),"Google")</f>
        <v>Google</v>
      </c>
      <c r="K1194" s="7" t="str">
        <f>IFERROR(__xludf.DUMMYFUNCTION("""COMPUTED_VALUE"""),"Particular")</f>
        <v>Particular</v>
      </c>
      <c r="L1194" s="7"/>
      <c r="M1194" s="7" t="str">
        <f>IFERROR(__xludf.DUMMYFUNCTION("""COMPUTED_VALUE"""),"Si")</f>
        <v>Si</v>
      </c>
      <c r="N1194" s="7" t="str">
        <f>IFERROR(__xludf.DUMMYFUNCTION("""COMPUTED_VALUE"""),"Fútbol")</f>
        <v>Fútbol</v>
      </c>
      <c r="O1194" s="7" t="str">
        <f>IFERROR(__xludf.DUMMYFUNCTION("""COMPUTED_VALUE"""),"3 a 5 veces por semana")</f>
        <v>3 a 5 veces por semana</v>
      </c>
      <c r="P1194" s="7"/>
      <c r="Q1194" s="7"/>
      <c r="R1194" s="7"/>
      <c r="S1194" s="7"/>
    </row>
    <row r="1195">
      <c r="C1195" s="19">
        <f>IFERROR(__xludf.DUMMYFUNCTION("""COMPUTED_VALUE"""),45901.36936700231)</f>
        <v>45901.36937</v>
      </c>
      <c r="D1195" s="7" t="str">
        <f>IFERROR(__xludf.DUMMYFUNCTION("""COMPUTED_VALUE"""),"Pahl")</f>
        <v>Pahl</v>
      </c>
      <c r="E1195" s="7" t="str">
        <f>IFERROR(__xludf.DUMMYFUNCTION("""COMPUTED_VALUE"""),"Ruben")</f>
        <v>Ruben</v>
      </c>
      <c r="F1195" s="7" t="str">
        <f>IFERROR(__xludf.DUMMYFUNCTION("""COMPUTED_VALUE"""),"-")</f>
        <v>-</v>
      </c>
      <c r="G1195" s="20">
        <f>IFERROR(__xludf.DUMMYFUNCTION("""COMPUTED_VALUE"""),21073.0)</f>
        <v>21073</v>
      </c>
      <c r="H1195" s="7">
        <f>IFERROR(__xludf.DUMMYFUNCTION("""COMPUTED_VALUE"""),1.368321E7)</f>
        <v>13683210</v>
      </c>
      <c r="I1195" s="7">
        <f>IFERROR(__xludf.DUMMYFUNCTION("""COMPUTED_VALUE"""),3.516517192E9)</f>
        <v>3516517192</v>
      </c>
      <c r="J1195" s="7" t="str">
        <f>IFERROR(__xludf.DUMMYFUNCTION("""COMPUTED_VALUE"""),"Recomendación")</f>
        <v>Recomendación</v>
      </c>
      <c r="K1195" s="7" t="str">
        <f>IFERROR(__xludf.DUMMYFUNCTION("""COMPUTED_VALUE"""),"Particular")</f>
        <v>Particular</v>
      </c>
      <c r="L1195" s="7"/>
      <c r="M1195" s="7" t="str">
        <f>IFERROR(__xludf.DUMMYFUNCTION("""COMPUTED_VALUE"""),"Si")</f>
        <v>Si</v>
      </c>
      <c r="N1195" s="7" t="str">
        <f>IFERROR(__xludf.DUMMYFUNCTION("""COMPUTED_VALUE"""),"Gimnasio")</f>
        <v>Gimnasio</v>
      </c>
      <c r="O1195" s="7" t="str">
        <f>IFERROR(__xludf.DUMMYFUNCTION("""COMPUTED_VALUE"""),"1 a 2 veces por semana")</f>
        <v>1 a 2 veces por semana</v>
      </c>
      <c r="P1195" s="7"/>
      <c r="Q1195" s="7"/>
      <c r="R1195" s="7"/>
      <c r="S1195" s="7"/>
    </row>
    <row r="1196">
      <c r="C1196" s="19">
        <f>IFERROR(__xludf.DUMMYFUNCTION("""COMPUTED_VALUE"""),45901.823886805556)</f>
        <v>45901.82389</v>
      </c>
      <c r="D1196" s="7" t="str">
        <f>IFERROR(__xludf.DUMMYFUNCTION("""COMPUTED_VALUE"""),"Mouxaut")</f>
        <v>Mouxaut</v>
      </c>
      <c r="E1196" s="7" t="str">
        <f>IFERROR(__xludf.DUMMYFUNCTION("""COMPUTED_VALUE"""),"Iñaki")</f>
        <v>Iñaki</v>
      </c>
      <c r="F1196" s="7" t="str">
        <f>IFERROR(__xludf.DUMMYFUNCTION("""COMPUTED_VALUE"""),"inakimuxo@gmail.com")</f>
        <v>inakimuxo@gmail.com</v>
      </c>
      <c r="G1196" s="20">
        <f>IFERROR(__xludf.DUMMYFUNCTION("""COMPUTED_VALUE"""),35433.0)</f>
        <v>35433</v>
      </c>
      <c r="H1196" s="7">
        <f>IFERROR(__xludf.DUMMYFUNCTION("""COMPUTED_VALUE"""),4.0106664E7)</f>
        <v>40106664</v>
      </c>
      <c r="I1196" s="7">
        <f>IFERROR(__xludf.DUMMYFUNCTION("""COMPUTED_VALUE"""),3.512359003E9)</f>
        <v>3512359003</v>
      </c>
      <c r="J1196" s="7" t="str">
        <f>IFERROR(__xludf.DUMMYFUNCTION("""COMPUTED_VALUE"""),"Google")</f>
        <v>Google</v>
      </c>
      <c r="K1196" s="7" t="str">
        <f>IFERROR(__xludf.DUMMYFUNCTION("""COMPUTED_VALUE"""),"Obra social")</f>
        <v>Obra social</v>
      </c>
      <c r="L1196" s="7"/>
      <c r="M1196" s="7" t="str">
        <f>IFERROR(__xludf.DUMMYFUNCTION("""COMPUTED_VALUE"""),"Si")</f>
        <v>Si</v>
      </c>
      <c r="N1196" s="7" t="str">
        <f>IFERROR(__xludf.DUMMYFUNCTION("""COMPUTED_VALUE"""),"Fútbol")</f>
        <v>Fútbol</v>
      </c>
      <c r="O1196" s="7" t="str">
        <f>IFERROR(__xludf.DUMMYFUNCTION("""COMPUTED_VALUE"""),"1 a 2 veces por semana")</f>
        <v>1 a 2 veces por semana</v>
      </c>
      <c r="P1196" s="7"/>
      <c r="Q1196" s="7" t="str">
        <f>IFERROR(__xludf.DUMMYFUNCTION("""COMPUTED_VALUE"""),"CPCE")</f>
        <v>CPCE</v>
      </c>
      <c r="R1196" s="7"/>
      <c r="S1196" s="7"/>
    </row>
    <row r="1197">
      <c r="C1197" s="19">
        <f>IFERROR(__xludf.DUMMYFUNCTION("""COMPUTED_VALUE"""),45902.58038434028)</f>
        <v>45902.58038</v>
      </c>
      <c r="D1197" s="7" t="str">
        <f>IFERROR(__xludf.DUMMYFUNCTION("""COMPUTED_VALUE"""),"Blasco")</f>
        <v>Blasco</v>
      </c>
      <c r="E1197" s="7" t="str">
        <f>IFERROR(__xludf.DUMMYFUNCTION("""COMPUTED_VALUE"""),"Omar Fernando")</f>
        <v>Omar Fernando</v>
      </c>
      <c r="F1197" s="7" t="str">
        <f>IFERROR(__xludf.DUMMYFUNCTION("""COMPUTED_VALUE"""),"omarblasco@gmail.com")</f>
        <v>omarblasco@gmail.com</v>
      </c>
      <c r="G1197" s="20">
        <f>IFERROR(__xludf.DUMMYFUNCTION("""COMPUTED_VALUE"""),23927.0)</f>
        <v>23927</v>
      </c>
      <c r="H1197" s="7">
        <f>IFERROR(__xludf.DUMMYFUNCTION("""COMPUTED_VALUE"""),1.7157777E7)</f>
        <v>17157777</v>
      </c>
      <c r="I1197" s="7">
        <f>IFERROR(__xludf.DUMMYFUNCTION("""COMPUTED_VALUE"""),3.515335683E9)</f>
        <v>3515335683</v>
      </c>
      <c r="J1197" s="7" t="str">
        <f>IFERROR(__xludf.DUMMYFUNCTION("""COMPUTED_VALUE"""),"Recomendación")</f>
        <v>Recomendación</v>
      </c>
      <c r="K1197" s="7" t="str">
        <f>IFERROR(__xludf.DUMMYFUNCTION("""COMPUTED_VALUE"""),"Obra social")</f>
        <v>Obra social</v>
      </c>
      <c r="L1197" s="7"/>
      <c r="M1197" s="7" t="str">
        <f>IFERROR(__xludf.DUMMYFUNCTION("""COMPUTED_VALUE"""),"No")</f>
        <v>No</v>
      </c>
      <c r="N1197" s="7"/>
      <c r="O1197" s="7"/>
      <c r="P1197" s="7"/>
      <c r="Q1197" s="7" t="str">
        <f>IFERROR(__xludf.DUMMYFUNCTION("""COMPUTED_VALUE"""),"APROSS")</f>
        <v>APROSS</v>
      </c>
      <c r="R1197" s="7"/>
      <c r="S1197" s="7"/>
    </row>
    <row r="1198">
      <c r="C1198" s="19">
        <f>IFERROR(__xludf.DUMMYFUNCTION("""COMPUTED_VALUE"""),45902.72117539352)</f>
        <v>45902.72118</v>
      </c>
      <c r="D1198" s="7" t="str">
        <f>IFERROR(__xludf.DUMMYFUNCTION("""COMPUTED_VALUE"""),"Aguade ")</f>
        <v>Aguade </v>
      </c>
      <c r="E1198" s="7" t="str">
        <f>IFERROR(__xludf.DUMMYFUNCTION("""COMPUTED_VALUE"""),"Cecilia ")</f>
        <v>Cecilia </v>
      </c>
      <c r="F1198" s="7" t="str">
        <f>IFERROR(__xludf.DUMMYFUNCTION("""COMPUTED_VALUE"""),"aguadececilia@hotmail.com")</f>
        <v>aguadececilia@hotmail.com</v>
      </c>
      <c r="G1198" s="20">
        <f>IFERROR(__xludf.DUMMYFUNCTION("""COMPUTED_VALUE"""),30151.0)</f>
        <v>30151</v>
      </c>
      <c r="H1198" s="7">
        <f>IFERROR(__xludf.DUMMYFUNCTION("""COMPUTED_VALUE"""),2.960688E7)</f>
        <v>29606880</v>
      </c>
      <c r="I1198" s="7">
        <f>IFERROR(__xludf.DUMMYFUNCTION("""COMPUTED_VALUE"""),3.516833779E9)</f>
        <v>3516833779</v>
      </c>
      <c r="J1198" s="7" t="str">
        <f>IFERROR(__xludf.DUMMYFUNCTION("""COMPUTED_VALUE"""),"Voy al gym Manantial")</f>
        <v>Voy al gym Manantial</v>
      </c>
      <c r="K1198" s="7" t="str">
        <f>IFERROR(__xludf.DUMMYFUNCTION("""COMPUTED_VALUE"""),"Obra social")</f>
        <v>Obra social</v>
      </c>
      <c r="L1198" s="7"/>
      <c r="M1198" s="7" t="str">
        <f>IFERROR(__xludf.DUMMYFUNCTION("""COMPUTED_VALUE"""),"Si")</f>
        <v>Si</v>
      </c>
      <c r="N1198" s="7" t="str">
        <f>IFERROR(__xludf.DUMMYFUNCTION("""COMPUTED_VALUE"""),"Gimnasio")</f>
        <v>Gimnasio</v>
      </c>
      <c r="O1198" s="7" t="str">
        <f>IFERROR(__xludf.DUMMYFUNCTION("""COMPUTED_VALUE"""),"3 a 5 veces por semana")</f>
        <v>3 a 5 veces por semana</v>
      </c>
      <c r="P1198" s="7"/>
      <c r="Q1198" s="7" t="str">
        <f>IFERROR(__xludf.DUMMYFUNCTION("""COMPUTED_VALUE"""),"Medife plata ")</f>
        <v>Medife plata </v>
      </c>
      <c r="R1198" s="7"/>
      <c r="S1198" s="7"/>
    </row>
    <row r="1199">
      <c r="C1199" s="19">
        <f>IFERROR(__xludf.DUMMYFUNCTION("""COMPUTED_VALUE"""),45902.749190601855)</f>
        <v>45902.74919</v>
      </c>
      <c r="D1199" s="7" t="str">
        <f>IFERROR(__xludf.DUMMYFUNCTION("""COMPUTED_VALUE"""),"Ávila ")</f>
        <v>Ávila </v>
      </c>
      <c r="E1199" s="7" t="str">
        <f>IFERROR(__xludf.DUMMYFUNCTION("""COMPUTED_VALUE"""),"Nicolás ")</f>
        <v>Nicolás </v>
      </c>
      <c r="F1199" s="7" t="str">
        <f>IFERROR(__xludf.DUMMYFUNCTION("""COMPUTED_VALUE"""),"Ale")</f>
        <v>Ale</v>
      </c>
      <c r="G1199" s="20">
        <f>IFERROR(__xludf.DUMMYFUNCTION("""COMPUTED_VALUE"""),33719.0)</f>
        <v>33719</v>
      </c>
      <c r="H1199" s="7">
        <f>IFERROR(__xludf.DUMMYFUNCTION("""COMPUTED_VALUE"""),3.6234832E7)</f>
        <v>36234832</v>
      </c>
      <c r="I1199" s="7">
        <f>IFERROR(__xludf.DUMMYFUNCTION("""COMPUTED_VALUE"""),3.513053233E9)</f>
        <v>3513053233</v>
      </c>
      <c r="J1199" s="7" t="str">
        <f>IFERROR(__xludf.DUMMYFUNCTION("""COMPUTED_VALUE"""),"Recomendación")</f>
        <v>Recomendación</v>
      </c>
      <c r="K1199" s="7" t="str">
        <f>IFERROR(__xludf.DUMMYFUNCTION("""COMPUTED_VALUE"""),"Obra social")</f>
        <v>Obra social</v>
      </c>
      <c r="L1199" s="7"/>
      <c r="M1199" s="7" t="str">
        <f>IFERROR(__xludf.DUMMYFUNCTION("""COMPUTED_VALUE"""),"No")</f>
        <v>No</v>
      </c>
      <c r="N1199" s="7"/>
      <c r="O1199" s="7"/>
      <c r="P1199" s="7"/>
      <c r="Q1199" s="7" t="str">
        <f>IFERROR(__xludf.DUMMYFUNCTION("""COMPUTED_VALUE"""),"SANCOR")</f>
        <v>SANCOR</v>
      </c>
      <c r="R1199" s="7"/>
      <c r="S1199" s="7"/>
    </row>
    <row r="1200">
      <c r="C1200" s="19">
        <f>IFERROR(__xludf.DUMMYFUNCTION("""COMPUTED_VALUE"""),45902.852861990745)</f>
        <v>45902.85286</v>
      </c>
      <c r="D1200" s="7" t="str">
        <f>IFERROR(__xludf.DUMMYFUNCTION("""COMPUTED_VALUE"""),"Campos")</f>
        <v>Campos</v>
      </c>
      <c r="E1200" s="7" t="str">
        <f>IFERROR(__xludf.DUMMYFUNCTION("""COMPUTED_VALUE"""),"Hector")</f>
        <v>Hector</v>
      </c>
      <c r="F1200" s="7" t="str">
        <f>IFERROR(__xludf.DUMMYFUNCTION("""COMPUTED_VALUE"""),"Miraflor_19@hotmail.com")</f>
        <v>Miraflor_19@hotmail.com</v>
      </c>
      <c r="G1200" s="20">
        <f>IFERROR(__xludf.DUMMYFUNCTION("""COMPUTED_VALUE"""),26783.0)</f>
        <v>26783</v>
      </c>
      <c r="H1200" s="7">
        <f>IFERROR(__xludf.DUMMYFUNCTION("""COMPUTED_VALUE"""),2.3125481E7)</f>
        <v>23125481</v>
      </c>
      <c r="I1200" s="7">
        <f>IFERROR(__xludf.DUMMYFUNCTION("""COMPUTED_VALUE"""),3.512941027E9)</f>
        <v>3512941027</v>
      </c>
      <c r="J1200" s="7" t="str">
        <f>IFERROR(__xludf.DUMMYFUNCTION("""COMPUTED_VALUE"""),"Google")</f>
        <v>Google</v>
      </c>
      <c r="K1200" s="7" t="str">
        <f>IFERROR(__xludf.DUMMYFUNCTION("""COMPUTED_VALUE"""),"Obra social")</f>
        <v>Obra social</v>
      </c>
      <c r="L1200" s="7"/>
      <c r="M1200" s="7" t="str">
        <f>IFERROR(__xludf.DUMMYFUNCTION("""COMPUTED_VALUE"""),"Si")</f>
        <v>Si</v>
      </c>
      <c r="N1200" s="7" t="str">
        <f>IFERROR(__xludf.DUMMYFUNCTION("""COMPUTED_VALUE"""),"Padel")</f>
        <v>Padel</v>
      </c>
      <c r="O1200" s="7" t="str">
        <f>IFERROR(__xludf.DUMMYFUNCTION("""COMPUTED_VALUE"""),"3 a 5 veces por semana")</f>
        <v>3 a 5 veces por semana</v>
      </c>
      <c r="P1200" s="7"/>
      <c r="Q1200" s="7" t="str">
        <f>IFERROR(__xludf.DUMMYFUNCTION("""COMPUTED_VALUE"""),"SANCOR")</f>
        <v>SANCOR</v>
      </c>
      <c r="R1200" s="7"/>
      <c r="S1200" s="7"/>
    </row>
    <row r="1201">
      <c r="C1201" s="19">
        <f>IFERROR(__xludf.DUMMYFUNCTION("""COMPUTED_VALUE"""),45903.44037539352)</f>
        <v>45903.44038</v>
      </c>
      <c r="D1201" s="7" t="str">
        <f>IFERROR(__xludf.DUMMYFUNCTION("""COMPUTED_VALUE"""),"REINOSO")</f>
        <v>REINOSO</v>
      </c>
      <c r="E1201" s="7" t="str">
        <f>IFERROR(__xludf.DUMMYFUNCTION("""COMPUTED_VALUE"""),"Luis Angel ")</f>
        <v>Luis Angel </v>
      </c>
      <c r="F1201" s="7" t="str">
        <f>IFERROR(__xludf.DUMMYFUNCTION("""COMPUTED_VALUE"""),"ce.reynoso@hotmail.com")</f>
        <v>ce.reynoso@hotmail.com</v>
      </c>
      <c r="G1201" s="20">
        <f>IFERROR(__xludf.DUMMYFUNCTION("""COMPUTED_VALUE"""),16598.0)</f>
        <v>16598</v>
      </c>
      <c r="H1201" s="7">
        <f>IFERROR(__xludf.DUMMYFUNCTION("""COMPUTED_VALUE"""),7983539.0)</f>
        <v>7983539</v>
      </c>
      <c r="I1201" s="7">
        <f>IFERROR(__xludf.DUMMYFUNCTION("""COMPUTED_VALUE"""),3.516776797E9)</f>
        <v>3516776797</v>
      </c>
      <c r="J1201" s="7" t="str">
        <f>IFERROR(__xludf.DUMMYFUNCTION("""COMPUTED_VALUE"""),"Google")</f>
        <v>Google</v>
      </c>
      <c r="K1201" s="7" t="str">
        <f>IFERROR(__xludf.DUMMYFUNCTION("""COMPUTED_VALUE"""),"Particular")</f>
        <v>Particular</v>
      </c>
      <c r="L1201" s="7"/>
      <c r="M1201" s="7" t="str">
        <f>IFERROR(__xludf.DUMMYFUNCTION("""COMPUTED_VALUE"""),"No")</f>
        <v>No</v>
      </c>
      <c r="N1201" s="7"/>
      <c r="O1201" s="7"/>
      <c r="P1201" s="7"/>
      <c r="Q1201" s="7"/>
      <c r="R1201" s="7"/>
      <c r="S1201" s="7"/>
    </row>
    <row r="1202">
      <c r="C1202" s="19">
        <f>IFERROR(__xludf.DUMMYFUNCTION("""COMPUTED_VALUE"""),45903.75526484953)</f>
        <v>45903.75526</v>
      </c>
      <c r="D1202" s="7" t="str">
        <f>IFERROR(__xludf.DUMMYFUNCTION("""COMPUTED_VALUE"""),"Colomer")</f>
        <v>Colomer</v>
      </c>
      <c r="E1202" s="7" t="str">
        <f>IFERROR(__xludf.DUMMYFUNCTION("""COMPUTED_VALUE"""),"Javier")</f>
        <v>Javier</v>
      </c>
      <c r="F1202" s="7" t="str">
        <f>IFERROR(__xludf.DUMMYFUNCTION("""COMPUTED_VALUE"""),"javiercolomer02@gmail.com")</f>
        <v>javiercolomer02@gmail.com</v>
      </c>
      <c r="G1202" s="20">
        <f>IFERROR(__xludf.DUMMYFUNCTION("""COMPUTED_VALUE"""),37329.0)</f>
        <v>37329</v>
      </c>
      <c r="H1202" s="7">
        <f>IFERROR(__xludf.DUMMYFUNCTION("""COMPUTED_VALUE"""),4.3609585E7)</f>
        <v>43609585</v>
      </c>
      <c r="I1202" s="7">
        <f>IFERROR(__xludf.DUMMYFUNCTION("""COMPUTED_VALUE"""),3.516658263E9)</f>
        <v>3516658263</v>
      </c>
      <c r="J1202" s="7" t="str">
        <f>IFERROR(__xludf.DUMMYFUNCTION("""COMPUTED_VALUE"""),"Sport Club de la Gaus")</f>
        <v>Sport Club de la Gaus</v>
      </c>
      <c r="K1202" s="7" t="str">
        <f>IFERROR(__xludf.DUMMYFUNCTION("""COMPUTED_VALUE"""),"Obra social")</f>
        <v>Obra social</v>
      </c>
      <c r="L1202" s="7"/>
      <c r="M1202" s="7" t="str">
        <f>IFERROR(__xludf.DUMMYFUNCTION("""COMPUTED_VALUE"""),"Si")</f>
        <v>Si</v>
      </c>
      <c r="N1202" s="7" t="str">
        <f>IFERROR(__xludf.DUMMYFUNCTION("""COMPUTED_VALUE"""),"Gimnasio")</f>
        <v>Gimnasio</v>
      </c>
      <c r="O1202" s="7" t="str">
        <f>IFERROR(__xludf.DUMMYFUNCTION("""COMPUTED_VALUE"""),"1 a 2 veces por semana")</f>
        <v>1 a 2 veces por semana</v>
      </c>
      <c r="P1202" s="7"/>
      <c r="Q1202" s="7" t="str">
        <f>IFERROR(__xludf.DUMMYFUNCTION("""COMPUTED_VALUE"""),"DASPU")</f>
        <v>DASPU</v>
      </c>
      <c r="R1202" s="7"/>
      <c r="S1202" s="7"/>
    </row>
    <row r="1203">
      <c r="C1203" s="19">
        <f>IFERROR(__xludf.DUMMYFUNCTION("""COMPUTED_VALUE"""),45903.7762913426)</f>
        <v>45903.77629</v>
      </c>
      <c r="D1203" s="7" t="str">
        <f>IFERROR(__xludf.DUMMYFUNCTION("""COMPUTED_VALUE"""),"Mercado")</f>
        <v>Mercado</v>
      </c>
      <c r="E1203" s="7" t="str">
        <f>IFERROR(__xludf.DUMMYFUNCTION("""COMPUTED_VALUE"""),"Lucio")</f>
        <v>Lucio</v>
      </c>
      <c r="F1203" s="7"/>
      <c r="G1203" s="20">
        <f>IFERROR(__xludf.DUMMYFUNCTION("""COMPUTED_VALUE"""),41681.0)</f>
        <v>41681</v>
      </c>
      <c r="H1203" s="7">
        <f>IFERROR(__xludf.DUMMYFUNCTION("""COMPUTED_VALUE"""),5.3507666E7)</f>
        <v>53507666</v>
      </c>
      <c r="I1203" s="7">
        <f>IFERROR(__xludf.DUMMYFUNCTION("""COMPUTED_VALUE"""),3.512278951E9)</f>
        <v>3512278951</v>
      </c>
      <c r="J1203" s="7" t="str">
        <f>IFERROR(__xludf.DUMMYFUNCTION("""COMPUTED_VALUE"""),"Recomendación")</f>
        <v>Recomendación</v>
      </c>
      <c r="K1203" s="7" t="str">
        <f>IFERROR(__xludf.DUMMYFUNCTION("""COMPUTED_VALUE"""),"Obra social")</f>
        <v>Obra social</v>
      </c>
      <c r="L1203" s="7"/>
      <c r="M1203" s="7" t="str">
        <f>IFERROR(__xludf.DUMMYFUNCTION("""COMPUTED_VALUE"""),"Si")</f>
        <v>Si</v>
      </c>
      <c r="N1203" s="7" t="str">
        <f>IFERROR(__xludf.DUMMYFUNCTION("""COMPUTED_VALUE"""),"Básquet")</f>
        <v>Básquet</v>
      </c>
      <c r="O1203" s="7" t="str">
        <f>IFERROR(__xludf.DUMMYFUNCTION("""COMPUTED_VALUE"""),"1 a 2 veces por semana")</f>
        <v>1 a 2 veces por semana</v>
      </c>
      <c r="P1203" s="7"/>
      <c r="Q1203" s="7" t="str">
        <f>IFERROR(__xludf.DUMMYFUNCTION("""COMPUTED_VALUE"""),"Federada salud")</f>
        <v>Federada salud</v>
      </c>
      <c r="R1203" s="7"/>
      <c r="S1203" s="7"/>
    </row>
    <row r="1204">
      <c r="C1204" s="19">
        <f>IFERROR(__xludf.DUMMYFUNCTION("""COMPUTED_VALUE"""),45903.788422094905)</f>
        <v>45903.78842</v>
      </c>
      <c r="D1204" s="7" t="str">
        <f>IFERROR(__xludf.DUMMYFUNCTION("""COMPUTED_VALUE"""),"ARMOA")</f>
        <v>ARMOA</v>
      </c>
      <c r="E1204" s="7" t="str">
        <f>IFERROR(__xludf.DUMMYFUNCTION("""COMPUTED_VALUE"""),"Maria Angeles")</f>
        <v>Maria Angeles</v>
      </c>
      <c r="F1204" s="7" t="str">
        <f>IFERROR(__xludf.DUMMYFUNCTION("""COMPUTED_VALUE"""),"-")</f>
        <v>-</v>
      </c>
      <c r="G1204" s="20">
        <f>IFERROR(__xludf.DUMMYFUNCTION("""COMPUTED_VALUE"""),30062.0)</f>
        <v>30062</v>
      </c>
      <c r="H1204" s="7">
        <f>IFERROR(__xludf.DUMMYFUNCTION("""COMPUTED_VALUE"""),2.9473077E7)</f>
        <v>29473077</v>
      </c>
      <c r="I1204" s="7">
        <f>IFERROR(__xludf.DUMMYFUNCTION("""COMPUTED_VALUE"""),3.516654676E9)</f>
        <v>3516654676</v>
      </c>
      <c r="J1204" s="7" t="str">
        <f>IFERROR(__xludf.DUMMYFUNCTION("""COMPUTED_VALUE"""),"Recomendación")</f>
        <v>Recomendación</v>
      </c>
      <c r="K1204" s="7" t="str">
        <f>IFERROR(__xludf.DUMMYFUNCTION("""COMPUTED_VALUE"""),"Particular")</f>
        <v>Particular</v>
      </c>
      <c r="L1204" s="7"/>
      <c r="M1204" s="7" t="str">
        <f>IFERROR(__xludf.DUMMYFUNCTION("""COMPUTED_VALUE"""),"Si")</f>
        <v>Si</v>
      </c>
      <c r="N1204" s="7" t="str">
        <f>IFERROR(__xludf.DUMMYFUNCTION("""COMPUTED_VALUE"""),"Gimnasio")</f>
        <v>Gimnasio</v>
      </c>
      <c r="O1204" s="7" t="str">
        <f>IFERROR(__xludf.DUMMYFUNCTION("""COMPUTED_VALUE"""),"3 a 5 veces por semana")</f>
        <v>3 a 5 veces por semana</v>
      </c>
      <c r="P1204" s="7"/>
      <c r="Q1204" s="7"/>
      <c r="R1204" s="7"/>
      <c r="S1204" s="7"/>
    </row>
    <row r="1205">
      <c r="C1205" s="19">
        <f>IFERROR(__xludf.DUMMYFUNCTION("""COMPUTED_VALUE"""),45904.46999770834)</f>
        <v>45904.47</v>
      </c>
      <c r="D1205" s="7" t="str">
        <f>IFERROR(__xludf.DUMMYFUNCTION("""COMPUTED_VALUE"""),"Heredia")</f>
        <v>Heredia</v>
      </c>
      <c r="E1205" s="7" t="str">
        <f>IFERROR(__xludf.DUMMYFUNCTION("""COMPUTED_VALUE"""),"Emanuel")</f>
        <v>Emanuel</v>
      </c>
      <c r="F1205" s="7" t="str">
        <f>IFERROR(__xludf.DUMMYFUNCTION("""COMPUTED_VALUE"""),"ema_359@hotmail.com")</f>
        <v>ema_359@hotmail.com</v>
      </c>
      <c r="G1205" s="20">
        <f>IFERROR(__xludf.DUMMYFUNCTION("""COMPUTED_VALUE"""),32372.0)</f>
        <v>32372</v>
      </c>
      <c r="H1205" s="7">
        <f>IFERROR(__xludf.DUMMYFUNCTION("""COMPUTED_VALUE"""),3.3892103E7)</f>
        <v>33892103</v>
      </c>
      <c r="I1205" s="7">
        <f>IFERROR(__xludf.DUMMYFUNCTION("""COMPUTED_VALUE"""),3.51243124E9)</f>
        <v>3512431240</v>
      </c>
      <c r="J1205" s="7" t="str">
        <f>IFERROR(__xludf.DUMMYFUNCTION("""COMPUTED_VALUE"""),"Recomendación")</f>
        <v>Recomendación</v>
      </c>
      <c r="K1205" s="7" t="str">
        <f>IFERROR(__xludf.DUMMYFUNCTION("""COMPUTED_VALUE"""),"Obra social")</f>
        <v>Obra social</v>
      </c>
      <c r="L1205" s="7"/>
      <c r="M1205" s="7" t="str">
        <f>IFERROR(__xludf.DUMMYFUNCTION("""COMPUTED_VALUE"""),"Si")</f>
        <v>Si</v>
      </c>
      <c r="N1205" s="7" t="str">
        <f>IFERROR(__xludf.DUMMYFUNCTION("""COMPUTED_VALUE"""),"Fútbol")</f>
        <v>Fútbol</v>
      </c>
      <c r="O1205" s="7" t="str">
        <f>IFERROR(__xludf.DUMMYFUNCTION("""COMPUTED_VALUE"""),"3 a 5 veces por semana")</f>
        <v>3 a 5 veces por semana</v>
      </c>
      <c r="P1205" s="7"/>
      <c r="Q1205" s="7" t="str">
        <f>IFERROR(__xludf.DUMMYFUNCTION("""COMPUTED_VALUE"""),"Swess Medical")</f>
        <v>Swess Medical</v>
      </c>
      <c r="R1205" s="7"/>
      <c r="S1205" s="7"/>
    </row>
    <row r="1206">
      <c r="C1206" s="19">
        <f>IFERROR(__xludf.DUMMYFUNCTION("""COMPUTED_VALUE"""),45904.57703998843)</f>
        <v>45904.57704</v>
      </c>
      <c r="D1206" s="7" t="str">
        <f>IFERROR(__xludf.DUMMYFUNCTION("""COMPUTED_VALUE"""),"Mija")</f>
        <v>Mija</v>
      </c>
      <c r="E1206" s="7" t="str">
        <f>IFERROR(__xludf.DUMMYFUNCTION("""COMPUTED_VALUE"""),"Matias")</f>
        <v>Matias</v>
      </c>
      <c r="F1206" s="7" t="str">
        <f>IFERROR(__xludf.DUMMYFUNCTION("""COMPUTED_VALUE"""),"matiasamp1@gmail.com")</f>
        <v>matiasamp1@gmail.com</v>
      </c>
      <c r="G1206" s="20">
        <f>IFERROR(__xludf.DUMMYFUNCTION("""COMPUTED_VALUE"""),33774.0)</f>
        <v>33774</v>
      </c>
      <c r="H1206" s="7">
        <f>IFERROR(__xludf.DUMMYFUNCTION("""COMPUTED_VALUE"""),3.6355717E7)</f>
        <v>36355717</v>
      </c>
      <c r="I1206" s="7">
        <f>IFERROR(__xludf.DUMMYFUNCTION("""COMPUTED_VALUE"""),3.517341697E9)</f>
        <v>3517341697</v>
      </c>
      <c r="J1206" s="7" t="str">
        <f>IFERROR(__xludf.DUMMYFUNCTION("""COMPUTED_VALUE"""),"Voy al gym Manantial")</f>
        <v>Voy al gym Manantial</v>
      </c>
      <c r="K1206" s="7" t="str">
        <f>IFERROR(__xludf.DUMMYFUNCTION("""COMPUTED_VALUE"""),"Particular")</f>
        <v>Particular</v>
      </c>
      <c r="L1206" s="7"/>
      <c r="M1206" s="7" t="str">
        <f>IFERROR(__xludf.DUMMYFUNCTION("""COMPUTED_VALUE"""),"Si")</f>
        <v>Si</v>
      </c>
      <c r="N1206" s="7" t="str">
        <f>IFERROR(__xludf.DUMMYFUNCTION("""COMPUTED_VALUE"""),"Padel")</f>
        <v>Padel</v>
      </c>
      <c r="O1206" s="7" t="str">
        <f>IFERROR(__xludf.DUMMYFUNCTION("""COMPUTED_VALUE"""),"3 a 5 veces por semana")</f>
        <v>3 a 5 veces por semana</v>
      </c>
      <c r="P1206" s="7"/>
      <c r="Q1206" s="7"/>
      <c r="R1206" s="7"/>
      <c r="S1206" s="7"/>
    </row>
    <row r="1207">
      <c r="C1207" s="19">
        <f>IFERROR(__xludf.DUMMYFUNCTION("""COMPUTED_VALUE"""),45905.45303655093)</f>
        <v>45905.45304</v>
      </c>
      <c r="D1207" s="7" t="str">
        <f>IFERROR(__xludf.DUMMYFUNCTION("""COMPUTED_VALUE"""),"Garcia")</f>
        <v>Garcia</v>
      </c>
      <c r="E1207" s="7" t="str">
        <f>IFERROR(__xludf.DUMMYFUNCTION("""COMPUTED_VALUE"""),"Nestor")</f>
        <v>Nestor</v>
      </c>
      <c r="F1207" s="7" t="str">
        <f>IFERROR(__xludf.DUMMYFUNCTION("""COMPUTED_VALUE"""),"ngarcialopez@gmail.com")</f>
        <v>ngarcialopez@gmail.com</v>
      </c>
      <c r="G1207" s="20">
        <f>IFERROR(__xludf.DUMMYFUNCTION("""COMPUTED_VALUE"""),27967.0)</f>
        <v>27967</v>
      </c>
      <c r="H1207" s="7">
        <f>IFERROR(__xludf.DUMMYFUNCTION("""COMPUTED_VALUE"""),2.5434048E7)</f>
        <v>25434048</v>
      </c>
      <c r="I1207" s="7">
        <f>IFERROR(__xludf.DUMMYFUNCTION("""COMPUTED_VALUE"""),3.516228374E9)</f>
        <v>3516228374</v>
      </c>
      <c r="J1207" s="7" t="str">
        <f>IFERROR(__xludf.DUMMYFUNCTION("""COMPUTED_VALUE"""),"Voy al gym Manantial")</f>
        <v>Voy al gym Manantial</v>
      </c>
      <c r="K1207" s="7" t="str">
        <f>IFERROR(__xludf.DUMMYFUNCTION("""COMPUTED_VALUE"""),"Particular")</f>
        <v>Particular</v>
      </c>
      <c r="L1207" s="7"/>
      <c r="M1207" s="7" t="str">
        <f>IFERROR(__xludf.DUMMYFUNCTION("""COMPUTED_VALUE"""),"Si")</f>
        <v>Si</v>
      </c>
      <c r="N1207" s="7" t="str">
        <f>IFERROR(__xludf.DUMMYFUNCTION("""COMPUTED_VALUE"""),"Gimnasio")</f>
        <v>Gimnasio</v>
      </c>
      <c r="O1207" s="7" t="str">
        <f>IFERROR(__xludf.DUMMYFUNCTION("""COMPUTED_VALUE"""),"3 a 5 veces por semana")</f>
        <v>3 a 5 veces por semana</v>
      </c>
      <c r="P1207" s="7"/>
      <c r="Q1207" s="7"/>
      <c r="R1207" s="7"/>
      <c r="S1207" s="7"/>
    </row>
    <row r="1208">
      <c r="C1208" s="19">
        <f>IFERROR(__xludf.DUMMYFUNCTION("""COMPUTED_VALUE"""),45905.507599861114)</f>
        <v>45905.5076</v>
      </c>
      <c r="D1208" s="7" t="str">
        <f>IFERROR(__xludf.DUMMYFUNCTION("""COMPUTED_VALUE"""),"YACUZZI")</f>
        <v>YACUZZI</v>
      </c>
      <c r="E1208" s="7" t="str">
        <f>IFERROR(__xludf.DUMMYFUNCTION("""COMPUTED_VALUE"""),"Florencia ")</f>
        <v>Florencia </v>
      </c>
      <c r="F1208" s="7" t="str">
        <f>IFERROR(__xludf.DUMMYFUNCTION("""COMPUTED_VALUE"""),"floor.yacuzzi@hotmail.com")</f>
        <v>floor.yacuzzi@hotmail.com</v>
      </c>
      <c r="G1208" s="20">
        <f>IFERROR(__xludf.DUMMYFUNCTION("""COMPUTED_VALUE"""),33098.0)</f>
        <v>33098</v>
      </c>
      <c r="H1208" s="7">
        <f>IFERROR(__xludf.DUMMYFUNCTION("""COMPUTED_VALUE"""),3.5526454E7)</f>
        <v>35526454</v>
      </c>
      <c r="I1208" s="7">
        <f>IFERROR(__xludf.DUMMYFUNCTION("""COMPUTED_VALUE"""),3.516161934E9)</f>
        <v>3516161934</v>
      </c>
      <c r="J1208" s="7" t="str">
        <f>IFERROR(__xludf.DUMMYFUNCTION("""COMPUTED_VALUE"""),"Recomendación")</f>
        <v>Recomendación</v>
      </c>
      <c r="K1208" s="7" t="str">
        <f>IFERROR(__xludf.DUMMYFUNCTION("""COMPUTED_VALUE"""),"Obra social")</f>
        <v>Obra social</v>
      </c>
      <c r="L1208" s="7"/>
      <c r="M1208" s="7" t="str">
        <f>IFERROR(__xludf.DUMMYFUNCTION("""COMPUTED_VALUE"""),"Si")</f>
        <v>Si</v>
      </c>
      <c r="N1208" s="7" t="str">
        <f>IFERROR(__xludf.DUMMYFUNCTION("""COMPUTED_VALUE"""),"Boxeo ")</f>
        <v>Boxeo </v>
      </c>
      <c r="O1208" s="7" t="str">
        <f>IFERROR(__xludf.DUMMYFUNCTION("""COMPUTED_VALUE"""),"3 a 5 veces por semana")</f>
        <v>3 a 5 veces por semana</v>
      </c>
      <c r="P1208" s="7"/>
      <c r="Q1208" s="7" t="str">
        <f>IFERROR(__xludf.DUMMYFUNCTION("""COMPUTED_VALUE"""),"Swiss medical")</f>
        <v>Swiss medical</v>
      </c>
      <c r="R1208" s="7"/>
      <c r="S1208" s="7"/>
    </row>
    <row r="1209">
      <c r="C1209" s="19">
        <f>IFERROR(__xludf.DUMMYFUNCTION("""COMPUTED_VALUE"""),45908.45441965278)</f>
        <v>45908.45442</v>
      </c>
      <c r="D1209" s="7" t="str">
        <f>IFERROR(__xludf.DUMMYFUNCTION("""COMPUTED_VALUE"""),"Argañaraz Pons")</f>
        <v>Argañaraz Pons</v>
      </c>
      <c r="E1209" s="7" t="str">
        <f>IFERROR(__xludf.DUMMYFUNCTION("""COMPUTED_VALUE"""),"Luciano Martín")</f>
        <v>Luciano Martín</v>
      </c>
      <c r="F1209" s="7" t="str">
        <f>IFERROR(__xludf.DUMMYFUNCTION("""COMPUTED_VALUE"""),"luciano.arganaraz4@gmail.com")</f>
        <v>luciano.arganaraz4@gmail.com</v>
      </c>
      <c r="G1209" s="20">
        <f>IFERROR(__xludf.DUMMYFUNCTION("""COMPUTED_VALUE"""),28782.0)</f>
        <v>28782</v>
      </c>
      <c r="H1209" s="7">
        <f>IFERROR(__xludf.DUMMYFUNCTION("""COMPUTED_VALUE"""),2.6904917E7)</f>
        <v>26904917</v>
      </c>
      <c r="I1209" s="7">
        <f>IFERROR(__xludf.DUMMYFUNCTION("""COMPUTED_VALUE"""),3.516501002E9)</f>
        <v>3516501002</v>
      </c>
      <c r="J1209" s="7" t="str">
        <f>IFERROR(__xludf.DUMMYFUNCTION("""COMPUTED_VALUE"""),"Google")</f>
        <v>Google</v>
      </c>
      <c r="K1209" s="7" t="str">
        <f>IFERROR(__xludf.DUMMYFUNCTION("""COMPUTED_VALUE"""),"Particular")</f>
        <v>Particular</v>
      </c>
      <c r="L1209" s="7"/>
      <c r="M1209" s="7" t="str">
        <f>IFERROR(__xludf.DUMMYFUNCTION("""COMPUTED_VALUE"""),"Si")</f>
        <v>Si</v>
      </c>
      <c r="N1209" s="7" t="str">
        <f>IFERROR(__xludf.DUMMYFUNCTION("""COMPUTED_VALUE"""),"Padel y caminatas")</f>
        <v>Padel y caminatas</v>
      </c>
      <c r="O1209" s="7" t="str">
        <f>IFERROR(__xludf.DUMMYFUNCTION("""COMPUTED_VALUE"""),"1 a 2 veces por semana")</f>
        <v>1 a 2 veces por semana</v>
      </c>
      <c r="P1209" s="7"/>
      <c r="Q1209" s="7"/>
      <c r="R1209" s="7"/>
      <c r="S1209" s="7"/>
    </row>
    <row r="1210">
      <c r="C1210" s="19">
        <f>IFERROR(__xludf.DUMMYFUNCTION("""COMPUTED_VALUE"""),45908.83651670138)</f>
        <v>45908.83652</v>
      </c>
      <c r="D1210" s="7" t="str">
        <f>IFERROR(__xludf.DUMMYFUNCTION("""COMPUTED_VALUE"""),"RUFEIL")</f>
        <v>RUFEIL</v>
      </c>
      <c r="E1210" s="7" t="str">
        <f>IFERROR(__xludf.DUMMYFUNCTION("""COMPUTED_VALUE"""),"EMILIANO JOSE")</f>
        <v>EMILIANO JOSE</v>
      </c>
      <c r="F1210" s="7" t="str">
        <f>IFERROR(__xludf.DUMMYFUNCTION("""COMPUTED_VALUE"""),"emiliano_rufeil@hotmail.com")</f>
        <v>emiliano_rufeil@hotmail.com</v>
      </c>
      <c r="G1210" s="20">
        <f>IFERROR(__xludf.DUMMYFUNCTION("""COMPUTED_VALUE"""),28905.0)</f>
        <v>28905</v>
      </c>
      <c r="H1210" s="7">
        <f>IFERROR(__xludf.DUMMYFUNCTION("""COMPUTED_VALUE"""),2.7079963E7)</f>
        <v>27079963</v>
      </c>
      <c r="I1210" s="7">
        <f>IFERROR(__xludf.DUMMYFUNCTION("""COMPUTED_VALUE"""),3.513286687E9)</f>
        <v>3513286687</v>
      </c>
      <c r="J1210" s="7" t="str">
        <f>IFERROR(__xludf.DUMMYFUNCTION("""COMPUTED_VALUE"""),"Gym Sport")</f>
        <v>Gym Sport</v>
      </c>
      <c r="K1210" s="7" t="str">
        <f>IFERROR(__xludf.DUMMYFUNCTION("""COMPUTED_VALUE"""),"Particular")</f>
        <v>Particular</v>
      </c>
      <c r="L1210" s="7"/>
      <c r="M1210" s="7" t="str">
        <f>IFERROR(__xludf.DUMMYFUNCTION("""COMPUTED_VALUE"""),"Si")</f>
        <v>Si</v>
      </c>
      <c r="N1210" s="7" t="str">
        <f>IFERROR(__xludf.DUMMYFUNCTION("""COMPUTED_VALUE"""),"Fútbol")</f>
        <v>Fútbol</v>
      </c>
      <c r="O1210" s="7" t="str">
        <f>IFERROR(__xludf.DUMMYFUNCTION("""COMPUTED_VALUE"""),"1 a 2 veces por semana")</f>
        <v>1 a 2 veces por semana</v>
      </c>
      <c r="P1210" s="7"/>
      <c r="Q1210" s="7"/>
      <c r="R1210" s="7"/>
      <c r="S1210" s="7"/>
    </row>
    <row r="1211">
      <c r="C1211" s="19">
        <f>IFERROR(__xludf.DUMMYFUNCTION("""COMPUTED_VALUE"""),45908.87194414352)</f>
        <v>45908.87194</v>
      </c>
      <c r="D1211" s="7" t="str">
        <f>IFERROR(__xludf.DUMMYFUNCTION("""COMPUTED_VALUE"""),"Juarez")</f>
        <v>Juarez</v>
      </c>
      <c r="E1211" s="7" t="str">
        <f>IFERROR(__xludf.DUMMYFUNCTION("""COMPUTED_VALUE"""),"Cristina Noemi ")</f>
        <v>Cristina Noemi </v>
      </c>
      <c r="F1211" s="7" t="str">
        <f>IFERROR(__xludf.DUMMYFUNCTION("""COMPUTED_VALUE"""),"cristinajuarez12@hotmail.com")</f>
        <v>cristinajuarez12@hotmail.com</v>
      </c>
      <c r="G1211" s="20">
        <f>IFERROR(__xludf.DUMMYFUNCTION("""COMPUTED_VALUE"""),22631.0)</f>
        <v>22631</v>
      </c>
      <c r="H1211" s="7">
        <f>IFERROR(__xludf.DUMMYFUNCTION("""COMPUTED_VALUE"""),1.4633956E7)</f>
        <v>14633956</v>
      </c>
      <c r="I1211" s="7">
        <f>IFERROR(__xludf.DUMMYFUNCTION("""COMPUTED_VALUE"""),3.516961076E9)</f>
        <v>3516961076</v>
      </c>
      <c r="J1211" s="7" t="str">
        <f>IFERROR(__xludf.DUMMYFUNCTION("""COMPUTED_VALUE"""),"Voy al gym Manantial")</f>
        <v>Voy al gym Manantial</v>
      </c>
      <c r="K1211" s="7" t="str">
        <f>IFERROR(__xludf.DUMMYFUNCTION("""COMPUTED_VALUE"""),"Obra social")</f>
        <v>Obra social</v>
      </c>
      <c r="L1211" s="7"/>
      <c r="M1211" s="7" t="str">
        <f>IFERROR(__xludf.DUMMYFUNCTION("""COMPUTED_VALUE"""),"Si")</f>
        <v>Si</v>
      </c>
      <c r="N1211" s="7" t="str">
        <f>IFERROR(__xludf.DUMMYFUNCTION("""COMPUTED_VALUE"""),"Gimnasio")</f>
        <v>Gimnasio</v>
      </c>
      <c r="O1211" s="7" t="str">
        <f>IFERROR(__xludf.DUMMYFUNCTION("""COMPUTED_VALUE"""),"1 a 2 veces por semana")</f>
        <v>1 a 2 veces por semana</v>
      </c>
      <c r="P1211" s="7"/>
      <c r="Q1211" s="7"/>
      <c r="R1211" s="7"/>
      <c r="S1211" s="7"/>
    </row>
    <row r="1212">
      <c r="C1212" s="19">
        <f>IFERROR(__xludf.DUMMYFUNCTION("""COMPUTED_VALUE"""),45908.92010267361)</f>
        <v>45908.9201</v>
      </c>
      <c r="D1212" s="7" t="str">
        <f>IFERROR(__xludf.DUMMYFUNCTION("""COMPUTED_VALUE"""),"Moyano ")</f>
        <v>Moyano </v>
      </c>
      <c r="E1212" s="7" t="str">
        <f>IFERROR(__xludf.DUMMYFUNCTION("""COMPUTED_VALUE"""),"Gonzalo ")</f>
        <v>Gonzalo </v>
      </c>
      <c r="F1212" s="7" t="str">
        <f>IFERROR(__xludf.DUMMYFUNCTION("""COMPUTED_VALUE"""),"Gonzamoyano@icloud.com")</f>
        <v>Gonzamoyano@icloud.com</v>
      </c>
      <c r="G1212" s="20">
        <f>IFERROR(__xludf.DUMMYFUNCTION("""COMPUTED_VALUE"""),35096.0)</f>
        <v>35096</v>
      </c>
      <c r="H1212" s="7">
        <f>IFERROR(__xludf.DUMMYFUNCTION("""COMPUTED_VALUE"""),3.9494934E7)</f>
        <v>39494934</v>
      </c>
      <c r="I1212" s="7">
        <f>IFERROR(__xludf.DUMMYFUNCTION("""COMPUTED_VALUE"""),3.517690758E9)</f>
        <v>3517690758</v>
      </c>
      <c r="J1212" s="7" t="str">
        <f>IFERROR(__xludf.DUMMYFUNCTION("""COMPUTED_VALUE"""),"Recomendación")</f>
        <v>Recomendación</v>
      </c>
      <c r="K1212" s="7" t="str">
        <f>IFERROR(__xludf.DUMMYFUNCTION("""COMPUTED_VALUE"""),"Particular")</f>
        <v>Particular</v>
      </c>
      <c r="L1212" s="7"/>
      <c r="M1212" s="7" t="str">
        <f>IFERROR(__xludf.DUMMYFUNCTION("""COMPUTED_VALUE"""),"Si")</f>
        <v>Si</v>
      </c>
      <c r="N1212" s="7" t="str">
        <f>IFERROR(__xludf.DUMMYFUNCTION("""COMPUTED_VALUE"""),"Fútbol")</f>
        <v>Fútbol</v>
      </c>
      <c r="O1212" s="7" t="str">
        <f>IFERROR(__xludf.DUMMYFUNCTION("""COMPUTED_VALUE"""),"1 a 2 veces por semana")</f>
        <v>1 a 2 veces por semana</v>
      </c>
      <c r="P1212" s="7"/>
      <c r="Q1212" s="7"/>
      <c r="R1212" s="7"/>
      <c r="S1212" s="7"/>
    </row>
    <row r="1213">
      <c r="C1213" s="19">
        <f>IFERROR(__xludf.DUMMYFUNCTION("""COMPUTED_VALUE"""),45910.4061978588)</f>
        <v>45910.4062</v>
      </c>
      <c r="D1213" s="7" t="str">
        <f>IFERROR(__xludf.DUMMYFUNCTION("""COMPUTED_VALUE"""),"Diaz ")</f>
        <v>Diaz </v>
      </c>
      <c r="E1213" s="7" t="str">
        <f>IFERROR(__xludf.DUMMYFUNCTION("""COMPUTED_VALUE"""),"Belén ")</f>
        <v>Belén </v>
      </c>
      <c r="F1213" s="7" t="str">
        <f>IFERROR(__xludf.DUMMYFUNCTION("""COMPUTED_VALUE"""),"beludiaz139@gmail.com")</f>
        <v>beludiaz139@gmail.com</v>
      </c>
      <c r="G1213" s="20">
        <f>IFERROR(__xludf.DUMMYFUNCTION("""COMPUTED_VALUE"""),33733.0)</f>
        <v>33733</v>
      </c>
      <c r="H1213" s="7">
        <f>IFERROR(__xludf.DUMMYFUNCTION("""COMPUTED_VALUE"""),3.6235982E7)</f>
        <v>36235982</v>
      </c>
      <c r="I1213" s="7">
        <f>IFERROR(__xludf.DUMMYFUNCTION("""COMPUTED_VALUE"""),3.51337693E9)</f>
        <v>3513376930</v>
      </c>
      <c r="J1213" s="7" t="str">
        <f>IFERROR(__xludf.DUMMYFUNCTION("""COMPUTED_VALUE"""),"Google")</f>
        <v>Google</v>
      </c>
      <c r="K1213" s="7" t="str">
        <f>IFERROR(__xludf.DUMMYFUNCTION("""COMPUTED_VALUE"""),"Obra social")</f>
        <v>Obra social</v>
      </c>
      <c r="L1213" s="7"/>
      <c r="M1213" s="7" t="str">
        <f>IFERROR(__xludf.DUMMYFUNCTION("""COMPUTED_VALUE"""),"No")</f>
        <v>No</v>
      </c>
      <c r="N1213" s="7"/>
      <c r="O1213" s="7"/>
      <c r="P1213" s="7"/>
      <c r="Q1213" s="7" t="str">
        <f>IFERROR(__xludf.DUMMYFUNCTION("""COMPUTED_VALUE"""),"Swiss Medical")</f>
        <v>Swiss Medical</v>
      </c>
      <c r="R1213" s="7"/>
      <c r="S1213" s="7"/>
    </row>
    <row r="1214">
      <c r="C1214" s="19">
        <f>IFERROR(__xludf.DUMMYFUNCTION("""COMPUTED_VALUE"""),45910.468707418986)</f>
        <v>45910.46871</v>
      </c>
      <c r="D1214" s="7" t="str">
        <f>IFERROR(__xludf.DUMMYFUNCTION("""COMPUTED_VALUE"""),"PARTEMI")</f>
        <v>PARTEMI</v>
      </c>
      <c r="E1214" s="7" t="str">
        <f>IFERROR(__xludf.DUMMYFUNCTION("""COMPUTED_VALUE"""),"Mileva")</f>
        <v>Mileva</v>
      </c>
      <c r="F1214" s="7" t="str">
        <f>IFERROR(__xludf.DUMMYFUNCTION("""COMPUTED_VALUE"""),"ivonplocki@hotmail.com")</f>
        <v>ivonplocki@hotmail.com</v>
      </c>
      <c r="G1214" s="20">
        <f>IFERROR(__xludf.DUMMYFUNCTION("""COMPUTED_VALUE"""),40094.0)</f>
        <v>40094</v>
      </c>
      <c r="H1214" s="7">
        <f>IFERROR(__xludf.DUMMYFUNCTION("""COMPUTED_VALUE"""),4.9587092E7)</f>
        <v>49587092</v>
      </c>
      <c r="I1214" s="7">
        <f>IFERROR(__xludf.DUMMYFUNCTION("""COMPUTED_VALUE"""),3.513906121E9)</f>
        <v>3513906121</v>
      </c>
      <c r="J1214" s="7" t="str">
        <f>IFERROR(__xludf.DUMMYFUNCTION("""COMPUTED_VALUE"""),"Recomendación")</f>
        <v>Recomendación</v>
      </c>
      <c r="K1214" s="7" t="str">
        <f>IFERROR(__xludf.DUMMYFUNCTION("""COMPUTED_VALUE"""),"Obra social")</f>
        <v>Obra social</v>
      </c>
      <c r="L1214" s="7"/>
      <c r="M1214" s="7" t="str">
        <f>IFERROR(__xludf.DUMMYFUNCTION("""COMPUTED_VALUE"""),"Si")</f>
        <v>Si</v>
      </c>
      <c r="N1214" s="7" t="str">
        <f>IFERROR(__xludf.DUMMYFUNCTION("""COMPUTED_VALUE"""),"HOCKEY")</f>
        <v>HOCKEY</v>
      </c>
      <c r="O1214" s="7" t="str">
        <f>IFERROR(__xludf.DUMMYFUNCTION("""COMPUTED_VALUE"""),"3 a 5 veces por semana")</f>
        <v>3 a 5 veces por semana</v>
      </c>
      <c r="P1214" s="7"/>
      <c r="Q1214" s="7" t="str">
        <f>IFERROR(__xludf.DUMMYFUNCTION("""COMPUTED_VALUE"""),"OSSEG plan integral")</f>
        <v>OSSEG plan integral</v>
      </c>
      <c r="R1214" s="7"/>
      <c r="S1214" s="7"/>
    </row>
    <row r="1215">
      <c r="C1215" s="19">
        <f>IFERROR(__xludf.DUMMYFUNCTION("""COMPUTED_VALUE"""),45910.56513337963)</f>
        <v>45910.56513</v>
      </c>
      <c r="D1215" s="7" t="str">
        <f>IFERROR(__xludf.DUMMYFUNCTION("""COMPUTED_VALUE"""),"Cecconello")</f>
        <v>Cecconello</v>
      </c>
      <c r="E1215" s="7" t="str">
        <f>IFERROR(__xludf.DUMMYFUNCTION("""COMPUTED_VALUE"""),"Franco")</f>
        <v>Franco</v>
      </c>
      <c r="F1215" s="7" t="str">
        <f>IFERROR(__xludf.DUMMYFUNCTION("""COMPUTED_VALUE"""),"francocecconello@hotmail.com")</f>
        <v>francocecconello@hotmail.com</v>
      </c>
      <c r="G1215" s="20">
        <f>IFERROR(__xludf.DUMMYFUNCTION("""COMPUTED_VALUE"""),32872.0)</f>
        <v>32872</v>
      </c>
      <c r="H1215" s="7">
        <f>IFERROR(__xludf.DUMMYFUNCTION("""COMPUTED_VALUE"""),3.4988214E7)</f>
        <v>34988214</v>
      </c>
      <c r="I1215" s="7">
        <f>IFERROR(__xludf.DUMMYFUNCTION("""COMPUTED_VALUE"""),3.516185307E9)</f>
        <v>3516185307</v>
      </c>
      <c r="J1215" s="7" t="str">
        <f>IFERROR(__xludf.DUMMYFUNCTION("""COMPUTED_VALUE"""),"Obra social prevención salud")</f>
        <v>Obra social prevención salud</v>
      </c>
      <c r="K1215" s="7" t="str">
        <f>IFERROR(__xludf.DUMMYFUNCTION("""COMPUTED_VALUE"""),"Obra social")</f>
        <v>Obra social</v>
      </c>
      <c r="L1215" s="7"/>
      <c r="M1215" s="7" t="str">
        <f>IFERROR(__xludf.DUMMYFUNCTION("""COMPUTED_VALUE"""),"Si")</f>
        <v>Si</v>
      </c>
      <c r="N1215" s="7" t="str">
        <f>IFERROR(__xludf.DUMMYFUNCTION("""COMPUTED_VALUE"""),"Tenis")</f>
        <v>Tenis</v>
      </c>
      <c r="O1215" s="7" t="str">
        <f>IFERROR(__xludf.DUMMYFUNCTION("""COMPUTED_VALUE"""),"1 a 2 veces por semana")</f>
        <v>1 a 2 veces por semana</v>
      </c>
      <c r="P1215" s="7"/>
      <c r="Q1215" s="7" t="str">
        <f>IFERROR(__xludf.DUMMYFUNCTION("""COMPUTED_VALUE"""),"PREVENCIÓN")</f>
        <v>PREVENCIÓN</v>
      </c>
      <c r="R1215" s="7"/>
      <c r="S1215" s="7"/>
    </row>
    <row r="1216">
      <c r="C1216" s="19">
        <f>IFERROR(__xludf.DUMMYFUNCTION("""COMPUTED_VALUE"""),45910.78968405093)</f>
        <v>45910.78968</v>
      </c>
      <c r="D1216" s="7" t="str">
        <f>IFERROR(__xludf.DUMMYFUNCTION("""COMPUTED_VALUE"""),"Monteverde")</f>
        <v>Monteverde</v>
      </c>
      <c r="E1216" s="7" t="str">
        <f>IFERROR(__xludf.DUMMYFUNCTION("""COMPUTED_VALUE"""),"Diego")</f>
        <v>Diego</v>
      </c>
      <c r="F1216" s="7" t="str">
        <f>IFERROR(__xludf.DUMMYFUNCTION("""COMPUTED_VALUE"""),"dmonteverdee@gmail.com")</f>
        <v>dmonteverdee@gmail.com</v>
      </c>
      <c r="G1216" s="20">
        <f>IFERROR(__xludf.DUMMYFUNCTION("""COMPUTED_VALUE"""),28536.0)</f>
        <v>28536</v>
      </c>
      <c r="H1216" s="7">
        <f>IFERROR(__xludf.DUMMYFUNCTION("""COMPUTED_VALUE"""),2.6286571E7)</f>
        <v>26286571</v>
      </c>
      <c r="I1216" s="7">
        <f>IFERROR(__xludf.DUMMYFUNCTION("""COMPUTED_VALUE"""),3.518097455E9)</f>
        <v>3518097455</v>
      </c>
      <c r="J1216" s="7" t="str">
        <f>IFERROR(__xludf.DUMMYFUNCTION("""COMPUTED_VALUE"""),"Google")</f>
        <v>Google</v>
      </c>
      <c r="K1216" s="7" t="str">
        <f>IFERROR(__xludf.DUMMYFUNCTION("""COMPUTED_VALUE"""),"Obra social")</f>
        <v>Obra social</v>
      </c>
      <c r="L1216" s="7"/>
      <c r="M1216" s="7" t="str">
        <f>IFERROR(__xludf.DUMMYFUNCTION("""COMPUTED_VALUE"""),"Si")</f>
        <v>Si</v>
      </c>
      <c r="N1216" s="7" t="str">
        <f>IFERROR(__xludf.DUMMYFUNCTION("""COMPUTED_VALUE"""),"Gimnasio")</f>
        <v>Gimnasio</v>
      </c>
      <c r="O1216" s="7" t="str">
        <f>IFERROR(__xludf.DUMMYFUNCTION("""COMPUTED_VALUE"""),"1 a 2 veces por semana")</f>
        <v>1 a 2 veces por semana</v>
      </c>
      <c r="P1216" s="7"/>
      <c r="Q1216" s="7" t="str">
        <f>IFERROR(__xludf.DUMMYFUNCTION("""COMPUTED_VALUE"""),"Medife")</f>
        <v>Medife</v>
      </c>
      <c r="R1216" s="7"/>
      <c r="S1216" s="7"/>
    </row>
    <row r="1217">
      <c r="C1217" s="19">
        <f>IFERROR(__xludf.DUMMYFUNCTION("""COMPUTED_VALUE"""),45910.79231211805)</f>
        <v>45910.79231</v>
      </c>
      <c r="D1217" s="7" t="str">
        <f>IFERROR(__xludf.DUMMYFUNCTION("""COMPUTED_VALUE"""),"Sanchez")</f>
        <v>Sanchez</v>
      </c>
      <c r="E1217" s="7" t="str">
        <f>IFERROR(__xludf.DUMMYFUNCTION("""COMPUTED_VALUE"""),"Raul")</f>
        <v>Raul</v>
      </c>
      <c r="F1217" s="7"/>
      <c r="G1217" s="20">
        <f>IFERROR(__xludf.DUMMYFUNCTION("""COMPUTED_VALUE"""),16472.0)</f>
        <v>16472</v>
      </c>
      <c r="H1217" s="7">
        <f>IFERROR(__xludf.DUMMYFUNCTION("""COMPUTED_VALUE"""),6696399.0)</f>
        <v>6696399</v>
      </c>
      <c r="I1217" s="7">
        <f>IFERROR(__xludf.DUMMYFUNCTION("""COMPUTED_VALUE"""),3.516267403E9)</f>
        <v>3516267403</v>
      </c>
      <c r="J1217" s="7" t="str">
        <f>IFERROR(__xludf.DUMMYFUNCTION("""COMPUTED_VALUE"""),"Recomendación")</f>
        <v>Recomendación</v>
      </c>
      <c r="K1217" s="7" t="str">
        <f>IFERROR(__xludf.DUMMYFUNCTION("""COMPUTED_VALUE"""),"Obra social")</f>
        <v>Obra social</v>
      </c>
      <c r="L1217" s="7"/>
      <c r="M1217" s="7" t="str">
        <f>IFERROR(__xludf.DUMMYFUNCTION("""COMPUTED_VALUE"""),"Si")</f>
        <v>Si</v>
      </c>
      <c r="N1217" s="7" t="str">
        <f>IFERROR(__xludf.DUMMYFUNCTION("""COMPUTED_VALUE"""),"Natacion")</f>
        <v>Natacion</v>
      </c>
      <c r="O1217" s="7" t="str">
        <f>IFERROR(__xludf.DUMMYFUNCTION("""COMPUTED_VALUE"""),"1 a 2 veces por semana")</f>
        <v>1 a 2 veces por semana</v>
      </c>
      <c r="P1217" s="7"/>
      <c r="Q1217" s="7" t="str">
        <f>IFERROR(__xludf.DUMMYFUNCTION("""COMPUTED_VALUE"""),"APROSS")</f>
        <v>APROSS</v>
      </c>
      <c r="R1217" s="7"/>
      <c r="S1217" s="7"/>
    </row>
    <row r="1218">
      <c r="C1218" s="19">
        <f>IFERROR(__xludf.DUMMYFUNCTION("""COMPUTED_VALUE"""),45911.47753265046)</f>
        <v>45911.47753</v>
      </c>
      <c r="D1218" s="7" t="str">
        <f>IFERROR(__xludf.DUMMYFUNCTION("""COMPUTED_VALUE"""),"Calles")</f>
        <v>Calles</v>
      </c>
      <c r="E1218" s="7" t="str">
        <f>IFERROR(__xludf.DUMMYFUNCTION("""COMPUTED_VALUE"""),"Brenda")</f>
        <v>Brenda</v>
      </c>
      <c r="F1218" s="7" t="str">
        <f>IFERROR(__xludf.DUMMYFUNCTION("""COMPUTED_VALUE"""),"brendacalles@hotmail.com")</f>
        <v>brendacalles@hotmail.com</v>
      </c>
      <c r="G1218" s="20">
        <f>IFERROR(__xludf.DUMMYFUNCTION("""COMPUTED_VALUE"""),35090.0)</f>
        <v>35090</v>
      </c>
      <c r="H1218" s="7">
        <f>IFERROR(__xludf.DUMMYFUNCTION("""COMPUTED_VALUE"""),3.9445451E7)</f>
        <v>39445451</v>
      </c>
      <c r="I1218" s="7">
        <f>IFERROR(__xludf.DUMMYFUNCTION("""COMPUTED_VALUE"""),3.516182735E9)</f>
        <v>3516182735</v>
      </c>
      <c r="J1218" s="7" t="str">
        <f>IFERROR(__xludf.DUMMYFUNCTION("""COMPUTED_VALUE"""),"Voy al gym Manantial")</f>
        <v>Voy al gym Manantial</v>
      </c>
      <c r="K1218" s="7" t="str">
        <f>IFERROR(__xludf.DUMMYFUNCTION("""COMPUTED_VALUE"""),"Particular")</f>
        <v>Particular</v>
      </c>
      <c r="L1218" s="7"/>
      <c r="M1218" s="7" t="str">
        <f>IFERROR(__xludf.DUMMYFUNCTION("""COMPUTED_VALUE"""),"Si")</f>
        <v>Si</v>
      </c>
      <c r="N1218" s="7" t="str">
        <f>IFERROR(__xludf.DUMMYFUNCTION("""COMPUTED_VALUE"""),"Gimnasio")</f>
        <v>Gimnasio</v>
      </c>
      <c r="O1218" s="7" t="str">
        <f>IFERROR(__xludf.DUMMYFUNCTION("""COMPUTED_VALUE"""),"3 a 5 veces por semana")</f>
        <v>3 a 5 veces por semana</v>
      </c>
      <c r="P1218" s="7"/>
      <c r="Q1218" s="7"/>
      <c r="R1218" s="7"/>
      <c r="S1218" s="7"/>
    </row>
    <row r="1219">
      <c r="C1219" s="19">
        <f>IFERROR(__xludf.DUMMYFUNCTION("""COMPUTED_VALUE"""),45911.58303572917)</f>
        <v>45911.58304</v>
      </c>
      <c r="D1219" s="7" t="str">
        <f>IFERROR(__xludf.DUMMYFUNCTION("""COMPUTED_VALUE"""),"Muñoz")</f>
        <v>Muñoz</v>
      </c>
      <c r="E1219" s="7" t="str">
        <f>IFERROR(__xludf.DUMMYFUNCTION("""COMPUTED_VALUE"""),"Lara Valentina")</f>
        <v>Lara Valentina</v>
      </c>
      <c r="F1219" s="7" t="str">
        <f>IFERROR(__xludf.DUMMYFUNCTION("""COMPUTED_VALUE"""),"laravalentinamz@gmail.com")</f>
        <v>laravalentinamz@gmail.com</v>
      </c>
      <c r="G1219" s="20">
        <f>IFERROR(__xludf.DUMMYFUNCTION("""COMPUTED_VALUE"""),37190.0)</f>
        <v>37190</v>
      </c>
      <c r="H1219" s="7">
        <f>IFERROR(__xludf.DUMMYFUNCTION("""COMPUTED_VALUE"""),4.349829E7)</f>
        <v>43498290</v>
      </c>
      <c r="I1219" s="7">
        <f>IFERROR(__xludf.DUMMYFUNCTION("""COMPUTED_VALUE"""),2.96454235E9)</f>
        <v>2964542350</v>
      </c>
      <c r="J1219" s="7" t="str">
        <f>IFERROR(__xludf.DUMMYFUNCTION("""COMPUTED_VALUE"""),"Recomendación")</f>
        <v>Recomendación</v>
      </c>
      <c r="K1219" s="7" t="str">
        <f>IFERROR(__xludf.DUMMYFUNCTION("""COMPUTED_VALUE"""),"Obra social")</f>
        <v>Obra social</v>
      </c>
      <c r="L1219" s="7"/>
      <c r="M1219" s="7" t="str">
        <f>IFERROR(__xludf.DUMMYFUNCTION("""COMPUTED_VALUE"""),"No")</f>
        <v>No</v>
      </c>
      <c r="N1219" s="7"/>
      <c r="O1219" s="7"/>
      <c r="P1219" s="7"/>
      <c r="Q1219" s="7" t="str">
        <f>IFERROR(__xludf.DUMMYFUNCTION("""COMPUTED_VALUE"""),"Medife")</f>
        <v>Medife</v>
      </c>
      <c r="R1219" s="7"/>
      <c r="S1219" s="7"/>
    </row>
    <row r="1220">
      <c r="C1220" s="19">
        <f>IFERROR(__xludf.DUMMYFUNCTION("""COMPUTED_VALUE"""),45912.70158408565)</f>
        <v>45912.70158</v>
      </c>
      <c r="D1220" s="7" t="str">
        <f>IFERROR(__xludf.DUMMYFUNCTION("""COMPUTED_VALUE"""),"Damino")</f>
        <v>Damino</v>
      </c>
      <c r="E1220" s="7" t="str">
        <f>IFERROR(__xludf.DUMMYFUNCTION("""COMPUTED_VALUE"""),"Verónica")</f>
        <v>Verónica</v>
      </c>
      <c r="F1220" s="7" t="str">
        <f>IFERROR(__xludf.DUMMYFUNCTION("""COMPUTED_VALUE"""),"mvdamino@gmail.com")</f>
        <v>mvdamino@gmail.com</v>
      </c>
      <c r="G1220" s="20">
        <f>IFERROR(__xludf.DUMMYFUNCTION("""COMPUTED_VALUE"""),30722.0)</f>
        <v>30722</v>
      </c>
      <c r="H1220" s="7">
        <f>IFERROR(__xludf.DUMMYFUNCTION("""COMPUTED_VALUE"""),3.0657072E7)</f>
        <v>30657072</v>
      </c>
      <c r="I1220" s="7">
        <f>IFERROR(__xludf.DUMMYFUNCTION("""COMPUTED_VALUE"""),3.512329979E9)</f>
        <v>3512329979</v>
      </c>
      <c r="J1220" s="7" t="str">
        <f>IFERROR(__xludf.DUMMYFUNCTION("""COMPUTED_VALUE"""),"Cartilla Obra Social")</f>
        <v>Cartilla Obra Social</v>
      </c>
      <c r="K1220" s="7" t="str">
        <f>IFERROR(__xludf.DUMMYFUNCTION("""COMPUTED_VALUE"""),"Obra social")</f>
        <v>Obra social</v>
      </c>
      <c r="L1220" s="7"/>
      <c r="M1220" s="7" t="str">
        <f>IFERROR(__xludf.DUMMYFUNCTION("""COMPUTED_VALUE"""),"Si")</f>
        <v>Si</v>
      </c>
      <c r="N1220" s="7" t="str">
        <f>IFERROR(__xludf.DUMMYFUNCTION("""COMPUTED_VALUE"""),"Caminata, trote y pádel ")</f>
        <v>Caminata, trote y pádel </v>
      </c>
      <c r="O1220" s="7" t="str">
        <f>IFERROR(__xludf.DUMMYFUNCTION("""COMPUTED_VALUE"""),"1 a 2 veces por semana")</f>
        <v>1 a 2 veces por semana</v>
      </c>
      <c r="P1220" s="7"/>
      <c r="Q1220" s="7" t="str">
        <f>IFERROR(__xludf.DUMMYFUNCTION("""COMPUTED_VALUE"""),"BOREAL")</f>
        <v>BOREAL</v>
      </c>
      <c r="R1220" s="7"/>
      <c r="S1220" s="7"/>
    </row>
    <row r="1221">
      <c r="C1221" s="19">
        <f>IFERROR(__xludf.DUMMYFUNCTION("""COMPUTED_VALUE"""),45912.750009201394)</f>
        <v>45912.75001</v>
      </c>
      <c r="D1221" s="7" t="str">
        <f>IFERROR(__xludf.DUMMYFUNCTION("""COMPUTED_VALUE"""),"RASPA ")</f>
        <v>RASPA </v>
      </c>
      <c r="E1221" s="7" t="str">
        <f>IFERROR(__xludf.DUMMYFUNCTION("""COMPUTED_VALUE"""),"Teresa")</f>
        <v>Teresa</v>
      </c>
      <c r="F1221" s="7" t="str">
        <f>IFERROR(__xludf.DUMMYFUNCTION("""COMPUTED_VALUE"""),"mtereraspa@gmail.com")</f>
        <v>mtereraspa@gmail.com</v>
      </c>
      <c r="G1221" s="20">
        <f>IFERROR(__xludf.DUMMYFUNCTION("""COMPUTED_VALUE"""),19049.0)</f>
        <v>19049</v>
      </c>
      <c r="H1221" s="7">
        <f>IFERROR(__xludf.DUMMYFUNCTION("""COMPUTED_VALUE"""),1.0444147E7)</f>
        <v>10444147</v>
      </c>
      <c r="I1221" s="7">
        <f>IFERROR(__xludf.DUMMYFUNCTION("""COMPUTED_VALUE"""),3.517069576E9)</f>
        <v>3517069576</v>
      </c>
      <c r="J1221" s="7" t="str">
        <f>IFERROR(__xludf.DUMMYFUNCTION("""COMPUTED_VALUE"""),"Recomendación")</f>
        <v>Recomendación</v>
      </c>
      <c r="K1221" s="7" t="str">
        <f>IFERROR(__xludf.DUMMYFUNCTION("""COMPUTED_VALUE"""),"Particular")</f>
        <v>Particular</v>
      </c>
      <c r="L1221" s="7"/>
      <c r="M1221" s="7" t="str">
        <f>IFERROR(__xludf.DUMMYFUNCTION("""COMPUTED_VALUE"""),"No")</f>
        <v>No</v>
      </c>
      <c r="N1221" s="7"/>
      <c r="O1221" s="7"/>
      <c r="P1221" s="7"/>
      <c r="Q1221" s="7"/>
      <c r="R1221" s="7"/>
      <c r="S1221" s="7"/>
    </row>
    <row r="1222">
      <c r="C1222" s="19">
        <f>IFERROR(__xludf.DUMMYFUNCTION("""COMPUTED_VALUE"""),45912.772876030096)</f>
        <v>45912.77288</v>
      </c>
      <c r="D1222" s="7" t="str">
        <f>IFERROR(__xludf.DUMMYFUNCTION("""COMPUTED_VALUE"""),"Revol")</f>
        <v>Revol</v>
      </c>
      <c r="E1222" s="7" t="str">
        <f>IFERROR(__xludf.DUMMYFUNCTION("""COMPUTED_VALUE"""),"Eugenia")</f>
        <v>Eugenia</v>
      </c>
      <c r="F1222" s="7" t="str">
        <f>IFERROR(__xludf.DUMMYFUNCTION("""COMPUTED_VALUE"""),"euge.revol@outlook.com")</f>
        <v>euge.revol@outlook.com</v>
      </c>
      <c r="G1222" s="20">
        <f>IFERROR(__xludf.DUMMYFUNCTION("""COMPUTED_VALUE"""),31544.0)</f>
        <v>31544</v>
      </c>
      <c r="H1222" s="7">
        <f>IFERROR(__xludf.DUMMYFUNCTION("""COMPUTED_VALUE"""),3.220305E7)</f>
        <v>32203050</v>
      </c>
      <c r="I1222" s="7">
        <f>IFERROR(__xludf.DUMMYFUNCTION("""COMPUTED_VALUE"""),3.516323394E9)</f>
        <v>3516323394</v>
      </c>
      <c r="J1222" s="7" t="str">
        <f>IFERROR(__xludf.DUMMYFUNCTION("""COMPUTED_VALUE"""),"Recomendación")</f>
        <v>Recomendación</v>
      </c>
      <c r="K1222" s="7" t="str">
        <f>IFERROR(__xludf.DUMMYFUNCTION("""COMPUTED_VALUE"""),"Particular")</f>
        <v>Particular</v>
      </c>
      <c r="L1222" s="7"/>
      <c r="M1222" s="7" t="str">
        <f>IFERROR(__xludf.DUMMYFUNCTION("""COMPUTED_VALUE"""),"Si")</f>
        <v>Si</v>
      </c>
      <c r="N1222" s="7" t="str">
        <f>IFERROR(__xludf.DUMMYFUNCTION("""COMPUTED_VALUE"""),"Basquet + Musculacion")</f>
        <v>Basquet + Musculacion</v>
      </c>
      <c r="O1222" s="7" t="str">
        <f>IFERROR(__xludf.DUMMYFUNCTION("""COMPUTED_VALUE"""),"3 a 5 veces por semana")</f>
        <v>3 a 5 veces por semana</v>
      </c>
      <c r="P1222" s="7"/>
      <c r="Q1222" s="7"/>
      <c r="R1222" s="7"/>
      <c r="S1222" s="7"/>
    </row>
    <row r="1223">
      <c r="C1223" s="19">
        <f>IFERROR(__xludf.DUMMYFUNCTION("""COMPUTED_VALUE"""),45913.485724108796)</f>
        <v>45913.48572</v>
      </c>
      <c r="D1223" s="7" t="str">
        <f>IFERROR(__xludf.DUMMYFUNCTION("""COMPUTED_VALUE"""),"Guevara Boros ")</f>
        <v>Guevara Boros </v>
      </c>
      <c r="E1223" s="7" t="str">
        <f>IFERROR(__xludf.DUMMYFUNCTION("""COMPUTED_VALUE"""),"Andy Exel ")</f>
        <v>Andy Exel </v>
      </c>
      <c r="F1223" s="7" t="str">
        <f>IFERROR(__xludf.DUMMYFUNCTION("""COMPUTED_VALUE"""),"andyguevarakjt@gmail.com")</f>
        <v>andyguevarakjt@gmail.com</v>
      </c>
      <c r="G1223" s="20">
        <f>IFERROR(__xludf.DUMMYFUNCTION("""COMPUTED_VALUE"""),36286.0)</f>
        <v>36286</v>
      </c>
      <c r="H1223" s="7">
        <f>IFERROR(__xludf.DUMMYFUNCTION("""COMPUTED_VALUE"""),4.2384005E7)</f>
        <v>42384005</v>
      </c>
      <c r="I1223" s="7">
        <f>IFERROR(__xludf.DUMMYFUNCTION("""COMPUTED_VALUE"""),3.512339765E9)</f>
        <v>3512339765</v>
      </c>
      <c r="J1223" s="7" t="str">
        <f>IFERROR(__xludf.DUMMYFUNCTION("""COMPUTED_VALUE"""),"Recomendación")</f>
        <v>Recomendación</v>
      </c>
      <c r="K1223" s="7" t="str">
        <f>IFERROR(__xludf.DUMMYFUNCTION("""COMPUTED_VALUE"""),"Obra social")</f>
        <v>Obra social</v>
      </c>
      <c r="L1223" s="7"/>
      <c r="M1223" s="7" t="str">
        <f>IFERROR(__xludf.DUMMYFUNCTION("""COMPUTED_VALUE"""),"Si")</f>
        <v>Si</v>
      </c>
      <c r="N1223" s="7" t="str">
        <f>IFERROR(__xludf.DUMMYFUNCTION("""COMPUTED_VALUE"""),"Ciclismo ")</f>
        <v>Ciclismo </v>
      </c>
      <c r="O1223" s="7" t="str">
        <f>IFERROR(__xludf.DUMMYFUNCTION("""COMPUTED_VALUE"""),"3 a 5 veces por semana")</f>
        <v>3 a 5 veces por semana</v>
      </c>
      <c r="P1223" s="7"/>
      <c r="Q1223" s="7" t="str">
        <f>IFERROR(__xludf.DUMMYFUNCTION("""COMPUTED_VALUE"""),"APROSS")</f>
        <v>APROSS</v>
      </c>
      <c r="R1223" s="7"/>
      <c r="S1223" s="7"/>
    </row>
    <row r="1224">
      <c r="C1224" s="19">
        <f>IFERROR(__xludf.DUMMYFUNCTION("""COMPUTED_VALUE"""),45915.396664722226)</f>
        <v>45915.39666</v>
      </c>
      <c r="D1224" s="7" t="str">
        <f>IFERROR(__xludf.DUMMYFUNCTION("""COMPUTED_VALUE"""),"HERNANDEZ MORA")</f>
        <v>HERNANDEZ MORA</v>
      </c>
      <c r="E1224" s="7" t="str">
        <f>IFERROR(__xludf.DUMMYFUNCTION("""COMPUTED_VALUE"""),"ASUNCION")</f>
        <v>ASUNCION</v>
      </c>
      <c r="F1224" s="7" t="str">
        <f>IFERROR(__xludf.DUMMYFUNCTION("""COMPUTED_VALUE"""),"asunfi63@gmail.com")</f>
        <v>asunfi63@gmail.com</v>
      </c>
      <c r="G1224" s="20">
        <f>IFERROR(__xludf.DUMMYFUNCTION("""COMPUTED_VALUE"""),16832.0)</f>
        <v>16832</v>
      </c>
      <c r="H1224" s="7">
        <f>IFERROR(__xludf.DUMMYFUNCTION("""COMPUTED_VALUE"""),9.6047108E7)</f>
        <v>96047108</v>
      </c>
      <c r="I1224" s="7">
        <f>IFERROR(__xludf.DUMMYFUNCTION("""COMPUTED_VALUE"""),3.51642734E9)</f>
        <v>3516427340</v>
      </c>
      <c r="J1224" s="7" t="str">
        <f>IFERROR(__xludf.DUMMYFUNCTION("""COMPUTED_VALUE"""),"cuando vine al hospital privado, les encontrè")</f>
        <v>cuando vine al hospital privado, les encontrè</v>
      </c>
      <c r="K1224" s="7" t="str">
        <f>IFERROR(__xludf.DUMMYFUNCTION("""COMPUTED_VALUE"""),"Particular")</f>
        <v>Particular</v>
      </c>
      <c r="L1224" s="7"/>
      <c r="M1224" s="7" t="str">
        <f>IFERROR(__xludf.DUMMYFUNCTION("""COMPUTED_VALUE"""),"No")</f>
        <v>No</v>
      </c>
      <c r="N1224" s="7"/>
      <c r="O1224" s="7"/>
      <c r="P1224" s="7"/>
      <c r="Q1224" s="7"/>
      <c r="R1224" s="7"/>
      <c r="S1224" s="7"/>
    </row>
    <row r="1225">
      <c r="C1225" s="19">
        <f>IFERROR(__xludf.DUMMYFUNCTION("""COMPUTED_VALUE"""),45915.78786265047)</f>
        <v>45915.78786</v>
      </c>
      <c r="D1225" s="7" t="str">
        <f>IFERROR(__xludf.DUMMYFUNCTION("""COMPUTED_VALUE"""),"Torres")</f>
        <v>Torres</v>
      </c>
      <c r="E1225" s="7" t="str">
        <f>IFERROR(__xludf.DUMMYFUNCTION("""COMPUTED_VALUE"""),"Facundo")</f>
        <v>Facundo</v>
      </c>
      <c r="F1225" s="7" t="str">
        <f>IFERROR(__xludf.DUMMYFUNCTION("""COMPUTED_VALUE"""),"facu.torres2609@gmail.com")</f>
        <v>facu.torres2609@gmail.com</v>
      </c>
      <c r="G1225" s="20">
        <f>IFERROR(__xludf.DUMMYFUNCTION("""COMPUTED_VALUE"""),35334.0)</f>
        <v>35334</v>
      </c>
      <c r="H1225" s="7">
        <f>IFERROR(__xludf.DUMMYFUNCTION("""COMPUTED_VALUE"""),3.9622848E7)</f>
        <v>39622848</v>
      </c>
      <c r="I1225" s="7">
        <f>IFERROR(__xludf.DUMMYFUNCTION("""COMPUTED_VALUE"""),3.512565503E9)</f>
        <v>3512565503</v>
      </c>
      <c r="J1225" s="7" t="str">
        <f>IFERROR(__xludf.DUMMYFUNCTION("""COMPUTED_VALUE"""),"Instagram")</f>
        <v>Instagram</v>
      </c>
      <c r="K1225" s="7" t="str">
        <f>IFERROR(__xludf.DUMMYFUNCTION("""COMPUTED_VALUE"""),"Particular")</f>
        <v>Particular</v>
      </c>
      <c r="L1225" s="7"/>
      <c r="M1225" s="7" t="str">
        <f>IFERROR(__xludf.DUMMYFUNCTION("""COMPUTED_VALUE"""),"Si")</f>
        <v>Si</v>
      </c>
      <c r="N1225" s="7" t="str">
        <f>IFERROR(__xludf.DUMMYFUNCTION("""COMPUTED_VALUE"""),"Gimnasio")</f>
        <v>Gimnasio</v>
      </c>
      <c r="O1225" s="7" t="str">
        <f>IFERROR(__xludf.DUMMYFUNCTION("""COMPUTED_VALUE"""),"3 a 5 veces por semana")</f>
        <v>3 a 5 veces por semana</v>
      </c>
      <c r="P1225" s="7"/>
      <c r="Q1225" s="7"/>
      <c r="R1225" s="7"/>
      <c r="S1225" s="7"/>
    </row>
    <row r="1226">
      <c r="C1226" s="19">
        <f>IFERROR(__xludf.DUMMYFUNCTION("""COMPUTED_VALUE"""),45915.795436307875)</f>
        <v>45915.79544</v>
      </c>
      <c r="D1226" s="7" t="str">
        <f>IFERROR(__xludf.DUMMYFUNCTION("""COMPUTED_VALUE"""),"Barbero")</f>
        <v>Barbero</v>
      </c>
      <c r="E1226" s="7" t="str">
        <f>IFERROR(__xludf.DUMMYFUNCTION("""COMPUTED_VALUE"""),"Lucrecia")</f>
        <v>Lucrecia</v>
      </c>
      <c r="F1226" s="7"/>
      <c r="G1226" s="20">
        <f>IFERROR(__xludf.DUMMYFUNCTION("""COMPUTED_VALUE"""),33017.0)</f>
        <v>33017</v>
      </c>
      <c r="H1226" s="7">
        <f>IFERROR(__xludf.DUMMYFUNCTION("""COMPUTED_VALUE"""),3.5174172E7)</f>
        <v>35174172</v>
      </c>
      <c r="I1226" s="7">
        <f>IFERROR(__xludf.DUMMYFUNCTION("""COMPUTED_VALUE"""),3.534209509E9)</f>
        <v>3534209509</v>
      </c>
      <c r="J1226" s="7" t="str">
        <f>IFERROR(__xludf.DUMMYFUNCTION("""COMPUTED_VALUE"""),"Voy al gym SportClub")</f>
        <v>Voy al gym SportClub</v>
      </c>
      <c r="K1226" s="7" t="str">
        <f>IFERROR(__xludf.DUMMYFUNCTION("""COMPUTED_VALUE"""),"Particular")</f>
        <v>Particular</v>
      </c>
      <c r="L1226" s="7"/>
      <c r="M1226" s="7" t="str">
        <f>IFERROR(__xludf.DUMMYFUNCTION("""COMPUTED_VALUE"""),"Si")</f>
        <v>Si</v>
      </c>
      <c r="N1226" s="7" t="str">
        <f>IFERROR(__xludf.DUMMYFUNCTION("""COMPUTED_VALUE"""),"Gimnasio")</f>
        <v>Gimnasio</v>
      </c>
      <c r="O1226" s="7" t="str">
        <f>IFERROR(__xludf.DUMMYFUNCTION("""COMPUTED_VALUE"""),"3 a 5 veces por semana")</f>
        <v>3 a 5 veces por semana</v>
      </c>
      <c r="P1226" s="7"/>
      <c r="Q1226" s="7"/>
      <c r="R1226" s="7"/>
      <c r="S1226" s="7"/>
    </row>
    <row r="1227">
      <c r="C1227" s="19">
        <f>IFERROR(__xludf.DUMMYFUNCTION("""COMPUTED_VALUE"""),45915.81850894676)</f>
        <v>45915.81851</v>
      </c>
      <c r="D1227" s="7" t="str">
        <f>IFERROR(__xludf.DUMMYFUNCTION("""COMPUTED_VALUE"""),"FERNANDEZ")</f>
        <v>FERNANDEZ</v>
      </c>
      <c r="E1227" s="7" t="str">
        <f>IFERROR(__xludf.DUMMYFUNCTION("""COMPUTED_VALUE"""),"GERMAN")</f>
        <v>GERMAN</v>
      </c>
      <c r="F1227" s="7" t="str">
        <f>IFERROR(__xludf.DUMMYFUNCTION("""COMPUTED_VALUE"""),"ingfer79@yahoo.com.ar")</f>
        <v>ingfer79@yahoo.com.ar</v>
      </c>
      <c r="G1227" s="20">
        <f>IFERROR(__xludf.DUMMYFUNCTION("""COMPUTED_VALUE"""),28968.0)</f>
        <v>28968</v>
      </c>
      <c r="H1227" s="7">
        <f>IFERROR(__xludf.DUMMYFUNCTION("""COMPUTED_VALUE"""),2.7247809E7)</f>
        <v>27247809</v>
      </c>
      <c r="I1227" s="7">
        <f>IFERROR(__xludf.DUMMYFUNCTION("""COMPUTED_VALUE"""),3.513815231E9)</f>
        <v>3513815231</v>
      </c>
      <c r="J1227" s="7" t="str">
        <f>IFERROR(__xludf.DUMMYFUNCTION("""COMPUTED_VALUE"""),"Voy al gym Manantial")</f>
        <v>Voy al gym Manantial</v>
      </c>
      <c r="K1227" s="7" t="str">
        <f>IFERROR(__xludf.DUMMYFUNCTION("""COMPUTED_VALUE"""),"Obra social")</f>
        <v>Obra social</v>
      </c>
      <c r="L1227" s="7"/>
      <c r="M1227" s="7" t="str">
        <f>IFERROR(__xludf.DUMMYFUNCTION("""COMPUTED_VALUE"""),"Si")</f>
        <v>Si</v>
      </c>
      <c r="N1227" s="7" t="str">
        <f>IFERROR(__xludf.DUMMYFUNCTION("""COMPUTED_VALUE"""),"Fútbol")</f>
        <v>Fútbol</v>
      </c>
      <c r="O1227" s="7" t="str">
        <f>IFERROR(__xludf.DUMMYFUNCTION("""COMPUTED_VALUE"""),"3 a 5 veces por semana")</f>
        <v>3 a 5 veces por semana</v>
      </c>
      <c r="P1227" s="7"/>
      <c r="Q1227" s="7" t="str">
        <f>IFERROR(__xludf.DUMMYFUNCTION("""COMPUTED_VALUE"""),"APROSS")</f>
        <v>APROSS</v>
      </c>
      <c r="R1227" s="7"/>
      <c r="S1227" s="7"/>
    </row>
    <row r="1228">
      <c r="C1228" s="19">
        <f>IFERROR(__xludf.DUMMYFUNCTION("""COMPUTED_VALUE"""),45916.435359247684)</f>
        <v>45916.43536</v>
      </c>
      <c r="D1228" s="7" t="str">
        <f>IFERROR(__xludf.DUMMYFUNCTION("""COMPUTED_VALUE"""),"Monetto")</f>
        <v>Monetto</v>
      </c>
      <c r="E1228" s="7" t="str">
        <f>IFERROR(__xludf.DUMMYFUNCTION("""COMPUTED_VALUE"""),"Constanza")</f>
        <v>Constanza</v>
      </c>
      <c r="F1228" s="7" t="str">
        <f>IFERROR(__xludf.DUMMYFUNCTION("""COMPUTED_VALUE"""),"monettoconstanza@gmail.com")</f>
        <v>monettoconstanza@gmail.com</v>
      </c>
      <c r="G1228" s="20">
        <f>IFERROR(__xludf.DUMMYFUNCTION("""COMPUTED_VALUE"""),31758.0)</f>
        <v>31758</v>
      </c>
      <c r="H1228" s="7">
        <f>IFERROR(__xludf.DUMMYFUNCTION("""COMPUTED_VALUE"""),3.2889303E7)</f>
        <v>32889303</v>
      </c>
      <c r="I1228" s="7">
        <f>IFERROR(__xludf.DUMMYFUNCTION("""COMPUTED_VALUE"""),3.512274687E9)</f>
        <v>3512274687</v>
      </c>
      <c r="J1228" s="7" t="str">
        <f>IFERROR(__xludf.DUMMYFUNCTION("""COMPUTED_VALUE"""),"Mi pareja va al fisio ")</f>
        <v>Mi pareja va al fisio </v>
      </c>
      <c r="K1228" s="7" t="str">
        <f>IFERROR(__xludf.DUMMYFUNCTION("""COMPUTED_VALUE"""),"Obra social")</f>
        <v>Obra social</v>
      </c>
      <c r="L1228" s="7"/>
      <c r="M1228" s="7" t="str">
        <f>IFERROR(__xludf.DUMMYFUNCTION("""COMPUTED_VALUE"""),"Si")</f>
        <v>Si</v>
      </c>
      <c r="N1228" s="7" t="str">
        <f>IFERROR(__xludf.DUMMYFUNCTION("""COMPUTED_VALUE"""),"Padel")</f>
        <v>Padel</v>
      </c>
      <c r="O1228" s="7" t="str">
        <f>IFERROR(__xludf.DUMMYFUNCTION("""COMPUTED_VALUE"""),"1 a 2 veces por semana")</f>
        <v>1 a 2 veces por semana</v>
      </c>
      <c r="P1228" s="7"/>
      <c r="Q1228" s="7" t="str">
        <f>IFERROR(__xludf.DUMMYFUNCTION("""COMPUTED_VALUE"""),"APROSS")</f>
        <v>APROSS</v>
      </c>
      <c r="R1228" s="7"/>
      <c r="S1228" s="7"/>
    </row>
    <row r="1229">
      <c r="C1229" s="19">
        <f>IFERROR(__xludf.DUMMYFUNCTION("""COMPUTED_VALUE"""),45916.436312962964)</f>
        <v>45916.43631</v>
      </c>
      <c r="D1229" s="7" t="str">
        <f>IFERROR(__xludf.DUMMYFUNCTION("""COMPUTED_VALUE"""),"Listoffsky")</f>
        <v>Listoffsky</v>
      </c>
      <c r="E1229" s="7" t="str">
        <f>IFERROR(__xludf.DUMMYFUNCTION("""COMPUTED_VALUE"""),"Martina")</f>
        <v>Martina</v>
      </c>
      <c r="F1229" s="7"/>
      <c r="G1229" s="20">
        <f>IFERROR(__xludf.DUMMYFUNCTION("""COMPUTED_VALUE"""),-619254.0)</f>
        <v>-619254</v>
      </c>
      <c r="H1229" s="7">
        <f>IFERROR(__xludf.DUMMYFUNCTION("""COMPUTED_VALUE"""),4.5693391E7)</f>
        <v>45693391</v>
      </c>
      <c r="I1229" s="7">
        <f>IFERROR(__xludf.DUMMYFUNCTION("""COMPUTED_VALUE"""),3.512163888E9)</f>
        <v>3512163888</v>
      </c>
      <c r="J1229" s="7" t="str">
        <f>IFERROR(__xludf.DUMMYFUNCTION("""COMPUTED_VALUE"""),"Recomendación")</f>
        <v>Recomendación</v>
      </c>
      <c r="K1229" s="7" t="str">
        <f>IFERROR(__xludf.DUMMYFUNCTION("""COMPUTED_VALUE"""),"Particular")</f>
        <v>Particular</v>
      </c>
      <c r="L1229" s="7"/>
      <c r="M1229" s="7" t="str">
        <f>IFERROR(__xludf.DUMMYFUNCTION("""COMPUTED_VALUE"""),"Si")</f>
        <v>Si</v>
      </c>
      <c r="N1229" s="7" t="str">
        <f>IFERROR(__xludf.DUMMYFUNCTION("""COMPUTED_VALUE"""),"Gimnasio")</f>
        <v>Gimnasio</v>
      </c>
      <c r="O1229" s="7" t="str">
        <f>IFERROR(__xludf.DUMMYFUNCTION("""COMPUTED_VALUE"""),"1 a 2 veces por semana")</f>
        <v>1 a 2 veces por semana</v>
      </c>
      <c r="P1229" s="7"/>
      <c r="Q1229" s="7"/>
      <c r="R1229" s="7"/>
      <c r="S1229" s="7"/>
    </row>
    <row r="1230">
      <c r="C1230" s="19">
        <f>IFERROR(__xludf.DUMMYFUNCTION("""COMPUTED_VALUE"""),45918.965665752316)</f>
        <v>45918.96567</v>
      </c>
      <c r="D1230" s="7" t="str">
        <f>IFERROR(__xludf.DUMMYFUNCTION("""COMPUTED_VALUE"""),"Pulitta")</f>
        <v>Pulitta</v>
      </c>
      <c r="E1230" s="7" t="str">
        <f>IFERROR(__xludf.DUMMYFUNCTION("""COMPUTED_VALUE"""),"Griselda ivana")</f>
        <v>Griselda ivana</v>
      </c>
      <c r="F1230" s="7" t="str">
        <f>IFERROR(__xludf.DUMMYFUNCTION("""COMPUTED_VALUE"""),"griseldapulitta@gmail.com")</f>
        <v>griseldapulitta@gmail.com</v>
      </c>
      <c r="G1230" s="20">
        <f>IFERROR(__xludf.DUMMYFUNCTION("""COMPUTED_VALUE"""),28549.0)</f>
        <v>28549</v>
      </c>
      <c r="H1230" s="7">
        <f>IFERROR(__xludf.DUMMYFUNCTION("""COMPUTED_VALUE"""),2.6489508E7)</f>
        <v>26489508</v>
      </c>
      <c r="I1230" s="7">
        <f>IFERROR(__xludf.DUMMYFUNCTION("""COMPUTED_VALUE"""),3.51863917E9)</f>
        <v>3518639170</v>
      </c>
      <c r="J1230" s="7" t="str">
        <f>IFERROR(__xludf.DUMMYFUNCTION("""COMPUTED_VALUE"""),"Google")</f>
        <v>Google</v>
      </c>
      <c r="K1230" s="7" t="str">
        <f>IFERROR(__xludf.DUMMYFUNCTION("""COMPUTED_VALUE"""),"Obra social")</f>
        <v>Obra social</v>
      </c>
      <c r="L1230" s="7"/>
      <c r="M1230" s="7" t="str">
        <f>IFERROR(__xludf.DUMMYFUNCTION("""COMPUTED_VALUE"""),"No")</f>
        <v>No</v>
      </c>
      <c r="N1230" s="7"/>
      <c r="O1230" s="7"/>
      <c r="P1230" s="7"/>
      <c r="Q1230" s="7" t="str">
        <f>IFERROR(__xludf.DUMMYFUNCTION("""COMPUTED_VALUE"""),"APROSS")</f>
        <v>APROSS</v>
      </c>
      <c r="R1230" s="7"/>
      <c r="S1230" s="7"/>
    </row>
    <row r="1231">
      <c r="C1231" s="19">
        <f>IFERROR(__xludf.DUMMYFUNCTION("""COMPUTED_VALUE"""),45919.661798263885)</f>
        <v>45919.6618</v>
      </c>
      <c r="D1231" s="7" t="str">
        <f>IFERROR(__xludf.DUMMYFUNCTION("""COMPUTED_VALUE"""),"Frarcedic")</f>
        <v>Frarcedic</v>
      </c>
      <c r="E1231" s="7" t="str">
        <f>IFERROR(__xludf.DUMMYFUNCTION("""COMPUTED_VALUE"""),"Octavio")</f>
        <v>Octavio</v>
      </c>
      <c r="F1231" s="7"/>
      <c r="G1231" s="20">
        <f>IFERROR(__xludf.DUMMYFUNCTION("""COMPUTED_VALUE"""),36108.0)</f>
        <v>36108</v>
      </c>
      <c r="H1231" s="7">
        <f>IFERROR(__xludf.DUMMYFUNCTION("""COMPUTED_VALUE"""),4.1626215E7)</f>
        <v>41626215</v>
      </c>
      <c r="I1231" s="7">
        <f>IFERROR(__xludf.DUMMYFUNCTION("""COMPUTED_VALUE"""),3.543575398E9)</f>
        <v>3543575398</v>
      </c>
      <c r="J1231" s="7" t="str">
        <f>IFERROR(__xludf.DUMMYFUNCTION("""COMPUTED_VALUE"""),"Voy al gym Manantial")</f>
        <v>Voy al gym Manantial</v>
      </c>
      <c r="K1231" s="7" t="str">
        <f>IFERROR(__xludf.DUMMYFUNCTION("""COMPUTED_VALUE"""),"Particular")</f>
        <v>Particular</v>
      </c>
      <c r="L1231" s="7"/>
      <c r="M1231" s="7" t="str">
        <f>IFERROR(__xludf.DUMMYFUNCTION("""COMPUTED_VALUE"""),"Si")</f>
        <v>Si</v>
      </c>
      <c r="N1231" s="7" t="str">
        <f>IFERROR(__xludf.DUMMYFUNCTION("""COMPUTED_VALUE"""),"Gimnasio")</f>
        <v>Gimnasio</v>
      </c>
      <c r="O1231" s="7" t="str">
        <f>IFERROR(__xludf.DUMMYFUNCTION("""COMPUTED_VALUE"""),"3 a 5 veces por semana")</f>
        <v>3 a 5 veces por semana</v>
      </c>
      <c r="P1231" s="7"/>
      <c r="Q1231" s="7"/>
      <c r="R1231" s="7"/>
      <c r="S1231" s="7"/>
    </row>
    <row r="1232">
      <c r="C1232" s="19">
        <f>IFERROR(__xludf.DUMMYFUNCTION("""COMPUTED_VALUE"""),45919.79581466435)</f>
        <v>45919.79581</v>
      </c>
      <c r="D1232" s="7" t="str">
        <f>IFERROR(__xludf.DUMMYFUNCTION("""COMPUTED_VALUE"""),"Cravero ")</f>
        <v>Cravero </v>
      </c>
      <c r="E1232" s="7" t="str">
        <f>IFERROR(__xludf.DUMMYFUNCTION("""COMPUTED_VALUE"""),"Atilio ")</f>
        <v>Atilio </v>
      </c>
      <c r="F1232" s="7" t="str">
        <f>IFERROR(__xludf.DUMMYFUNCTION("""COMPUTED_VALUE"""),"ATICRAVERO83@GMAIL.COM")</f>
        <v>ATICRAVERO83@GMAIL.COM</v>
      </c>
      <c r="G1232" s="20">
        <f>IFERROR(__xludf.DUMMYFUNCTION("""COMPUTED_VALUE"""),30531.0)</f>
        <v>30531</v>
      </c>
      <c r="H1232" s="7">
        <f>IFERROR(__xludf.DUMMYFUNCTION("""COMPUTED_VALUE"""),3.0331252E7)</f>
        <v>30331252</v>
      </c>
      <c r="I1232" s="7">
        <f>IFERROR(__xludf.DUMMYFUNCTION("""COMPUTED_VALUE"""),3.512178754E9)</f>
        <v>3512178754</v>
      </c>
      <c r="J1232" s="7" t="str">
        <f>IFERROR(__xludf.DUMMYFUNCTION("""COMPUTED_VALUE"""),"Recomendación")</f>
        <v>Recomendación</v>
      </c>
      <c r="K1232" s="7" t="str">
        <f>IFERROR(__xludf.DUMMYFUNCTION("""COMPUTED_VALUE"""),"Obra social")</f>
        <v>Obra social</v>
      </c>
      <c r="L1232" s="7"/>
      <c r="M1232" s="7" t="str">
        <f>IFERROR(__xludf.DUMMYFUNCTION("""COMPUTED_VALUE"""),"Si")</f>
        <v>Si</v>
      </c>
      <c r="N1232" s="7" t="str">
        <f>IFERROR(__xludf.DUMMYFUNCTION("""COMPUTED_VALUE"""),"Fútbol")</f>
        <v>Fútbol</v>
      </c>
      <c r="O1232" s="7" t="str">
        <f>IFERROR(__xludf.DUMMYFUNCTION("""COMPUTED_VALUE"""),"1 a 2 veces por semana")</f>
        <v>1 a 2 veces por semana</v>
      </c>
      <c r="P1232" s="7"/>
      <c r="Q1232" s="7" t="str">
        <f>IFERROR(__xludf.DUMMYFUNCTION("""COMPUTED_VALUE"""),"Medife ")</f>
        <v>Medife </v>
      </c>
      <c r="R1232" s="7"/>
      <c r="S1232" s="7"/>
    </row>
    <row r="1233">
      <c r="C1233" s="19">
        <f>IFERROR(__xludf.DUMMYFUNCTION("""COMPUTED_VALUE"""),45923.55036907407)</f>
        <v>45923.55037</v>
      </c>
      <c r="D1233" s="7" t="str">
        <f>IFERROR(__xludf.DUMMYFUNCTION("""COMPUTED_VALUE"""),"Blint")</f>
        <v>Blint</v>
      </c>
      <c r="E1233" s="7" t="str">
        <f>IFERROR(__xludf.DUMMYFUNCTION("""COMPUTED_VALUE"""),"Igor ")</f>
        <v>Igor </v>
      </c>
      <c r="F1233" s="7" t="str">
        <f>IFERROR(__xludf.DUMMYFUNCTION("""COMPUTED_VALUE"""),"santiagoblint77@gmail.com")</f>
        <v>santiagoblint77@gmail.com</v>
      </c>
      <c r="G1233" s="20">
        <f>IFERROR(__xludf.DUMMYFUNCTION("""COMPUTED_VALUE"""),41107.0)</f>
        <v>41107</v>
      </c>
      <c r="H1233" s="7">
        <f>IFERROR(__xludf.DUMMYFUNCTION("""COMPUTED_VALUE"""),5.2233105E7)</f>
        <v>52233105</v>
      </c>
      <c r="I1233" s="7">
        <f>IFERROR(__xludf.DUMMYFUNCTION("""COMPUTED_VALUE"""),3.516974759E9)</f>
        <v>3516974759</v>
      </c>
      <c r="J1233" s="7" t="str">
        <f>IFERROR(__xludf.DUMMYFUNCTION("""COMPUTED_VALUE"""),"Recomendación")</f>
        <v>Recomendación</v>
      </c>
      <c r="K1233" s="7" t="str">
        <f>IFERROR(__xludf.DUMMYFUNCTION("""COMPUTED_VALUE"""),"Obra social")</f>
        <v>Obra social</v>
      </c>
      <c r="L1233" s="7"/>
      <c r="M1233" s="7" t="str">
        <f>IFERROR(__xludf.DUMMYFUNCTION("""COMPUTED_VALUE"""),"Si")</f>
        <v>Si</v>
      </c>
      <c r="N1233" s="7" t="str">
        <f>IFERROR(__xludf.DUMMYFUNCTION("""COMPUTED_VALUE"""),"Fútbol")</f>
        <v>Fútbol</v>
      </c>
      <c r="O1233" s="7" t="str">
        <f>IFERROR(__xludf.DUMMYFUNCTION("""COMPUTED_VALUE"""),"3 a 5 veces por semana")</f>
        <v>3 a 5 veces por semana</v>
      </c>
      <c r="P1233" s="7"/>
      <c r="Q1233" s="7" t="str">
        <f>IFERROR(__xludf.DUMMYFUNCTION("""COMPUTED_VALUE"""),"PREVENCIÓN")</f>
        <v>PREVENCIÓN</v>
      </c>
      <c r="R1233" s="7"/>
      <c r="S1233" s="7"/>
    </row>
    <row r="1234">
      <c r="C1234" s="19">
        <f>IFERROR(__xludf.DUMMYFUNCTION("""COMPUTED_VALUE"""),45924.66855667824)</f>
        <v>45924.66856</v>
      </c>
      <c r="D1234" s="7" t="str">
        <f>IFERROR(__xludf.DUMMYFUNCTION("""COMPUTED_VALUE"""),"delgado")</f>
        <v>delgado</v>
      </c>
      <c r="E1234" s="7" t="str">
        <f>IFERROR(__xludf.DUMMYFUNCTION("""COMPUTED_VALUE"""),"Santiago ")</f>
        <v>Santiago </v>
      </c>
      <c r="F1234" s="7" t="str">
        <f>IFERROR(__xludf.DUMMYFUNCTION("""COMPUTED_VALUE"""),"jakitaontop2007@gamil.com")</f>
        <v>jakitaontop2007@gamil.com</v>
      </c>
      <c r="G1234" s="20">
        <f>IFERROR(__xludf.DUMMYFUNCTION("""COMPUTED_VALUE"""),39382.0)</f>
        <v>39382</v>
      </c>
      <c r="H1234" s="7">
        <f>IFERROR(__xludf.DUMMYFUNCTION("""COMPUTED_VALUE"""),4.8074591E7)</f>
        <v>48074591</v>
      </c>
      <c r="I1234" s="7">
        <f>IFERROR(__xludf.DUMMYFUNCTION("""COMPUTED_VALUE"""),3.518553356E9)</f>
        <v>3518553356</v>
      </c>
      <c r="J1234" s="7" t="str">
        <f>IFERROR(__xludf.DUMMYFUNCTION("""COMPUTED_VALUE"""),"Voy al gym Manantial")</f>
        <v>Voy al gym Manantial</v>
      </c>
      <c r="K1234" s="7" t="str">
        <f>IFERROR(__xludf.DUMMYFUNCTION("""COMPUTED_VALUE"""),"Obra social")</f>
        <v>Obra social</v>
      </c>
      <c r="L1234" s="7"/>
      <c r="M1234" s="7" t="str">
        <f>IFERROR(__xludf.DUMMYFUNCTION("""COMPUTED_VALUE"""),"Si")</f>
        <v>Si</v>
      </c>
      <c r="N1234" s="7" t="str">
        <f>IFERROR(__xludf.DUMMYFUNCTION("""COMPUTED_VALUE"""),"Básquet")</f>
        <v>Básquet</v>
      </c>
      <c r="O1234" s="7" t="str">
        <f>IFERROR(__xludf.DUMMYFUNCTION("""COMPUTED_VALUE"""),"6 a 7 veces por semana")</f>
        <v>6 a 7 veces por semana</v>
      </c>
      <c r="P1234" s="7"/>
      <c r="Q1234" s="7" t="str">
        <f>IFERROR(__xludf.DUMMYFUNCTION("""COMPUTED_VALUE"""),"PREVENCIÓN")</f>
        <v>PREVENCIÓN</v>
      </c>
      <c r="R1234" s="7"/>
      <c r="S1234" s="7"/>
    </row>
    <row r="1235">
      <c r="C1235" s="19">
        <f>IFERROR(__xludf.DUMMYFUNCTION("""COMPUTED_VALUE"""),45924.81352755787)</f>
        <v>45924.81353</v>
      </c>
      <c r="D1235" s="7" t="str">
        <f>IFERROR(__xludf.DUMMYFUNCTION("""COMPUTED_VALUE"""),"Marchetti")</f>
        <v>Marchetti</v>
      </c>
      <c r="E1235" s="7" t="str">
        <f>IFERROR(__xludf.DUMMYFUNCTION("""COMPUTED_VALUE"""),"Gloria")</f>
        <v>Gloria</v>
      </c>
      <c r="F1235" s="7"/>
      <c r="G1235" s="20">
        <f>IFERROR(__xludf.DUMMYFUNCTION("""COMPUTED_VALUE"""),18264.0)</f>
        <v>18264</v>
      </c>
      <c r="H1235" s="7">
        <f>IFERROR(__xludf.DUMMYFUNCTION("""COMPUTED_VALUE"""),6029575.0)</f>
        <v>6029575</v>
      </c>
      <c r="I1235" s="7">
        <f>IFERROR(__xludf.DUMMYFUNCTION("""COMPUTED_VALUE"""),3.515645473E9)</f>
        <v>3515645473</v>
      </c>
      <c r="J1235" s="7" t="str">
        <f>IFERROR(__xludf.DUMMYFUNCTION("""COMPUTED_VALUE"""),"Recomendación")</f>
        <v>Recomendación</v>
      </c>
      <c r="K1235" s="7" t="str">
        <f>IFERROR(__xludf.DUMMYFUNCTION("""COMPUTED_VALUE"""),"Obra social")</f>
        <v>Obra social</v>
      </c>
      <c r="L1235" s="7"/>
      <c r="M1235" s="7" t="str">
        <f>IFERROR(__xludf.DUMMYFUNCTION("""COMPUTED_VALUE"""),"Si")</f>
        <v>Si</v>
      </c>
      <c r="N1235" s="7" t="str">
        <f>IFERROR(__xludf.DUMMYFUNCTION("""COMPUTED_VALUE"""),"Baile")</f>
        <v>Baile</v>
      </c>
      <c r="O1235" s="7" t="str">
        <f>IFERROR(__xludf.DUMMYFUNCTION("""COMPUTED_VALUE"""),"1 a 2 veces por semana")</f>
        <v>1 a 2 veces por semana</v>
      </c>
      <c r="P1235" s="7"/>
      <c r="Q1235" s="7" t="str">
        <f>IFERROR(__xludf.DUMMYFUNCTION("""COMPUTED_VALUE"""),"APROSS")</f>
        <v>APROSS</v>
      </c>
      <c r="R1235" s="7"/>
      <c r="S1235" s="7"/>
    </row>
    <row r="1236">
      <c r="C1236" s="19">
        <f>IFERROR(__xludf.DUMMYFUNCTION("""COMPUTED_VALUE"""),45925.46381241898)</f>
        <v>45925.46381</v>
      </c>
      <c r="D1236" s="7" t="str">
        <f>IFERROR(__xludf.DUMMYFUNCTION("""COMPUTED_VALUE"""),"Cabrera ")</f>
        <v>Cabrera </v>
      </c>
      <c r="E1236" s="7" t="str">
        <f>IFERROR(__xludf.DUMMYFUNCTION("""COMPUTED_VALUE"""),"Claudia ")</f>
        <v>Claudia </v>
      </c>
      <c r="F1236" s="7" t="str">
        <f>IFERROR(__xludf.DUMMYFUNCTION("""COMPUTED_VALUE"""),"claudialcabrera@hotmail.com")</f>
        <v>claudialcabrera@hotmail.com</v>
      </c>
      <c r="G1236" s="20">
        <f>IFERROR(__xludf.DUMMYFUNCTION("""COMPUTED_VALUE"""),26217.0)</f>
        <v>26217</v>
      </c>
      <c r="H1236" s="7">
        <f>IFERROR(__xludf.DUMMYFUNCTION("""COMPUTED_VALUE"""),2.2372851E7)</f>
        <v>22372851</v>
      </c>
      <c r="I1236" s="7">
        <f>IFERROR(__xludf.DUMMYFUNCTION("""COMPUTED_VALUE"""),3.515101501E9)</f>
        <v>3515101501</v>
      </c>
      <c r="J1236" s="7" t="str">
        <f>IFERROR(__xludf.DUMMYFUNCTION("""COMPUTED_VALUE"""),"Recomendación")</f>
        <v>Recomendación</v>
      </c>
      <c r="K1236" s="7" t="str">
        <f>IFERROR(__xludf.DUMMYFUNCTION("""COMPUTED_VALUE"""),"Obra social")</f>
        <v>Obra social</v>
      </c>
      <c r="L1236" s="7"/>
      <c r="M1236" s="7" t="str">
        <f>IFERROR(__xludf.DUMMYFUNCTION("""COMPUTED_VALUE"""),"Si")</f>
        <v>Si</v>
      </c>
      <c r="N1236" s="7" t="str">
        <f>IFERROR(__xludf.DUMMYFUNCTION("""COMPUTED_VALUE"""),"Ciclismo ")</f>
        <v>Ciclismo </v>
      </c>
      <c r="O1236" s="7" t="str">
        <f>IFERROR(__xludf.DUMMYFUNCTION("""COMPUTED_VALUE"""),"1 a 2 veces por semana")</f>
        <v>1 a 2 veces por semana</v>
      </c>
      <c r="P1236" s="7"/>
      <c r="Q1236" s="7" t="str">
        <f>IFERROR(__xludf.DUMMYFUNCTION("""COMPUTED_VALUE"""),"DASPU")</f>
        <v>DASPU</v>
      </c>
      <c r="R1236" s="7"/>
      <c r="S1236" s="7"/>
    </row>
    <row r="1237">
      <c r="C1237" s="19">
        <f>IFERROR(__xludf.DUMMYFUNCTION("""COMPUTED_VALUE"""),45925.71883729167)</f>
        <v>45925.71884</v>
      </c>
      <c r="D1237" s="7" t="str">
        <f>IFERROR(__xludf.DUMMYFUNCTION("""COMPUTED_VALUE"""),"Torres")</f>
        <v>Torres</v>
      </c>
      <c r="E1237" s="7" t="str">
        <f>IFERROR(__xludf.DUMMYFUNCTION("""COMPUTED_VALUE"""),"Facundo")</f>
        <v>Facundo</v>
      </c>
      <c r="F1237" s="7" t="str">
        <f>IFERROR(__xludf.DUMMYFUNCTION("""COMPUTED_VALUE"""),"facu.torres2609@gmail.com")</f>
        <v>facu.torres2609@gmail.com</v>
      </c>
      <c r="G1237" s="20">
        <f>IFERROR(__xludf.DUMMYFUNCTION("""COMPUTED_VALUE"""),35334.0)</f>
        <v>35334</v>
      </c>
      <c r="H1237" s="7">
        <f>IFERROR(__xludf.DUMMYFUNCTION("""COMPUTED_VALUE"""),3.9622848E7)</f>
        <v>39622848</v>
      </c>
      <c r="I1237" s="7">
        <f>IFERROR(__xludf.DUMMYFUNCTION("""COMPUTED_VALUE"""),3.512565503E9)</f>
        <v>3512565503</v>
      </c>
      <c r="J1237" s="7" t="str">
        <f>IFERROR(__xludf.DUMMYFUNCTION("""COMPUTED_VALUE"""),"Instagram")</f>
        <v>Instagram</v>
      </c>
      <c r="K1237" s="7" t="str">
        <f>IFERROR(__xludf.DUMMYFUNCTION("""COMPUTED_VALUE"""),"Particular")</f>
        <v>Particular</v>
      </c>
      <c r="L1237" s="7"/>
      <c r="M1237" s="7" t="str">
        <f>IFERROR(__xludf.DUMMYFUNCTION("""COMPUTED_VALUE"""),"Si")</f>
        <v>Si</v>
      </c>
      <c r="N1237" s="7" t="str">
        <f>IFERROR(__xludf.DUMMYFUNCTION("""COMPUTED_VALUE"""),"Gimnasio")</f>
        <v>Gimnasio</v>
      </c>
      <c r="O1237" s="7" t="str">
        <f>IFERROR(__xludf.DUMMYFUNCTION("""COMPUTED_VALUE"""),"3 a 5 veces por semana")</f>
        <v>3 a 5 veces por semana</v>
      </c>
      <c r="P1237" s="7"/>
      <c r="Q1237" s="7"/>
      <c r="R1237" s="7"/>
      <c r="S1237" s="7"/>
    </row>
    <row r="1238">
      <c r="C1238" s="19">
        <f>IFERROR(__xludf.DUMMYFUNCTION("""COMPUTED_VALUE"""),45925.75150241898)</f>
        <v>45925.7515</v>
      </c>
      <c r="D1238" s="7" t="str">
        <f>IFERROR(__xludf.DUMMYFUNCTION("""COMPUTED_VALUE"""),"Roberto")</f>
        <v>Roberto</v>
      </c>
      <c r="E1238" s="7" t="str">
        <f>IFERROR(__xludf.DUMMYFUNCTION("""COMPUTED_VALUE"""),"Mateo")</f>
        <v>Mateo</v>
      </c>
      <c r="F1238" s="7" t="str">
        <f>IFERROR(__xludf.DUMMYFUNCTION("""COMPUTED_VALUE"""),"M41roberto@mi.unc.edu.ar")</f>
        <v>M41roberto@mi.unc.edu.ar</v>
      </c>
      <c r="G1238" s="20">
        <f>IFERROR(__xludf.DUMMYFUNCTION("""COMPUTED_VALUE"""),38077.0)</f>
        <v>38077</v>
      </c>
      <c r="H1238" s="7">
        <f>IFERROR(__xludf.DUMMYFUNCTION("""COMPUTED_VALUE"""),4.5346579E7)</f>
        <v>45346579</v>
      </c>
      <c r="I1238" s="7">
        <f>IFERROR(__xludf.DUMMYFUNCTION("""COMPUTED_VALUE"""),3.518087395E9)</f>
        <v>3518087395</v>
      </c>
      <c r="J1238" s="7" t="str">
        <f>IFERROR(__xludf.DUMMYFUNCTION("""COMPUTED_VALUE"""),"Cartilla Obra Social")</f>
        <v>Cartilla Obra Social</v>
      </c>
      <c r="K1238" s="7" t="str">
        <f>IFERROR(__xludf.DUMMYFUNCTION("""COMPUTED_VALUE"""),"Obra social")</f>
        <v>Obra social</v>
      </c>
      <c r="L1238" s="7"/>
      <c r="M1238" s="7" t="str">
        <f>IFERROR(__xludf.DUMMYFUNCTION("""COMPUTED_VALUE"""),"Si")</f>
        <v>Si</v>
      </c>
      <c r="N1238" s="7" t="str">
        <f>IFERROR(__xludf.DUMMYFUNCTION("""COMPUTED_VALUE"""),"Karate kyokushin contacto completo")</f>
        <v>Karate kyokushin contacto completo</v>
      </c>
      <c r="O1238" s="7" t="str">
        <f>IFERROR(__xludf.DUMMYFUNCTION("""COMPUTED_VALUE"""),"3 a 5 veces por semana")</f>
        <v>3 a 5 veces por semana</v>
      </c>
      <c r="P1238" s="7"/>
      <c r="Q1238" s="7" t="str">
        <f>IFERROR(__xludf.DUMMYFUNCTION("""COMPUTED_VALUE"""),"PREVENCIÓN")</f>
        <v>PREVENCIÓN</v>
      </c>
      <c r="R1238" s="7"/>
      <c r="S1238" s="7"/>
    </row>
    <row r="1239">
      <c r="C1239" s="19">
        <f>IFERROR(__xludf.DUMMYFUNCTION("""COMPUTED_VALUE"""),45929.4554115162)</f>
        <v>45929.45541</v>
      </c>
      <c r="D1239" s="7" t="str">
        <f>IFERROR(__xludf.DUMMYFUNCTION("""COMPUTED_VALUE"""),"ELENA ")</f>
        <v>ELENA </v>
      </c>
      <c r="E1239" s="7" t="str">
        <f>IFERROR(__xludf.DUMMYFUNCTION("""COMPUTED_VALUE"""),"Vanina Fabiola Josefina ")</f>
        <v>Vanina Fabiola Josefina </v>
      </c>
      <c r="F1239" s="7" t="str">
        <f>IFERROR(__xludf.DUMMYFUNCTION("""COMPUTED_VALUE"""),"martillera.elena@gmail.com")</f>
        <v>martillera.elena@gmail.com</v>
      </c>
      <c r="G1239" s="20">
        <f>IFERROR(__xludf.DUMMYFUNCTION("""COMPUTED_VALUE"""),26313.0)</f>
        <v>26313</v>
      </c>
      <c r="H1239" s="7">
        <f>IFERROR(__xludf.DUMMYFUNCTION("""COMPUTED_VALUE"""),2.2562177E7)</f>
        <v>22562177</v>
      </c>
      <c r="I1239" s="7">
        <f>IFERROR(__xludf.DUMMYFUNCTION("""COMPUTED_VALUE"""),3.513112121E9)</f>
        <v>3513112121</v>
      </c>
      <c r="J1239" s="7" t="str">
        <f>IFERROR(__xludf.DUMMYFUNCTION("""COMPUTED_VALUE"""),"Cartilla Obra Social")</f>
        <v>Cartilla Obra Social</v>
      </c>
      <c r="K1239" s="7" t="str">
        <f>IFERROR(__xludf.DUMMYFUNCTION("""COMPUTED_VALUE"""),"Obra social")</f>
        <v>Obra social</v>
      </c>
      <c r="L1239" s="7"/>
      <c r="M1239" s="7" t="str">
        <f>IFERROR(__xludf.DUMMYFUNCTION("""COMPUTED_VALUE"""),"No")</f>
        <v>No</v>
      </c>
      <c r="N1239" s="7"/>
      <c r="O1239" s="7"/>
      <c r="P1239" s="7"/>
      <c r="Q1239" s="7" t="str">
        <f>IFERROR(__xludf.DUMMYFUNCTION("""COMPUTED_VALUE"""),"APROSS")</f>
        <v>APROSS</v>
      </c>
      <c r="R1239" s="7"/>
      <c r="S1239" s="7"/>
    </row>
    <row r="1240">
      <c r="C1240" s="19">
        <f>IFERROR(__xludf.DUMMYFUNCTION("""COMPUTED_VALUE"""),45929.457046944444)</f>
        <v>45929.45705</v>
      </c>
      <c r="D1240" s="7" t="str">
        <f>IFERROR(__xludf.DUMMYFUNCTION("""COMPUTED_VALUE"""),"BECHER  ")</f>
        <v>BECHER  </v>
      </c>
      <c r="E1240" s="7" t="str">
        <f>IFERROR(__xludf.DUMMYFUNCTION("""COMPUTED_VALUE"""),"Néstor Fabian ")</f>
        <v>Néstor Fabian </v>
      </c>
      <c r="F1240" s="7" t="str">
        <f>IFERROR(__xludf.DUMMYFUNCTION("""COMPUTED_VALUE"""),"martillera.elena@gmail.com")</f>
        <v>martillera.elena@gmail.com</v>
      </c>
      <c r="G1240" s="20">
        <f>IFERROR(__xludf.DUMMYFUNCTION("""COMPUTED_VALUE"""),26112.0)</f>
        <v>26112</v>
      </c>
      <c r="H1240" s="7">
        <f>IFERROR(__xludf.DUMMYFUNCTION("""COMPUTED_VALUE"""),2.2101698E7)</f>
        <v>22101698</v>
      </c>
      <c r="I1240" s="7">
        <f>IFERROR(__xludf.DUMMYFUNCTION("""COMPUTED_VALUE"""),3.513112222E9)</f>
        <v>3513112222</v>
      </c>
      <c r="J1240" s="7" t="str">
        <f>IFERROR(__xludf.DUMMYFUNCTION("""COMPUTED_VALUE"""),"Cartilla Obra Social")</f>
        <v>Cartilla Obra Social</v>
      </c>
      <c r="K1240" s="7" t="str">
        <f>IFERROR(__xludf.DUMMYFUNCTION("""COMPUTED_VALUE"""),"Obra social")</f>
        <v>Obra social</v>
      </c>
      <c r="L1240" s="7"/>
      <c r="M1240" s="7" t="str">
        <f>IFERROR(__xludf.DUMMYFUNCTION("""COMPUTED_VALUE"""),"No")</f>
        <v>No</v>
      </c>
      <c r="N1240" s="7"/>
      <c r="O1240" s="7"/>
      <c r="P1240" s="7"/>
      <c r="Q1240" s="7" t="str">
        <f>IFERROR(__xludf.DUMMYFUNCTION("""COMPUTED_VALUE"""),"APROSS")</f>
        <v>APROSS</v>
      </c>
      <c r="R1240" s="7"/>
      <c r="S1240" s="7"/>
    </row>
    <row r="1241">
      <c r="C1241" s="19">
        <f>IFERROR(__xludf.DUMMYFUNCTION("""COMPUTED_VALUE"""),45929.941372754634)</f>
        <v>45929.94137</v>
      </c>
      <c r="D1241" s="7" t="str">
        <f>IFERROR(__xludf.DUMMYFUNCTION("""COMPUTED_VALUE"""),"Medina")</f>
        <v>Medina</v>
      </c>
      <c r="E1241" s="7" t="str">
        <f>IFERROR(__xludf.DUMMYFUNCTION("""COMPUTED_VALUE"""),"Luis angel")</f>
        <v>Luis angel</v>
      </c>
      <c r="F1241" s="7" t="str">
        <f>IFERROR(__xludf.DUMMYFUNCTION("""COMPUTED_VALUE"""),"luis_cba.18@hotmail.com")</f>
        <v>luis_cba.18@hotmail.com</v>
      </c>
      <c r="G1241" s="20">
        <f>IFERROR(__xludf.DUMMYFUNCTION("""COMPUTED_VALUE"""),32655.0)</f>
        <v>32655</v>
      </c>
      <c r="H1241" s="7">
        <f>IFERROR(__xludf.DUMMYFUNCTION("""COMPUTED_VALUE"""),3.445505E7)</f>
        <v>34455050</v>
      </c>
      <c r="I1241" s="7">
        <f>IFERROR(__xludf.DUMMYFUNCTION("""COMPUTED_VALUE"""),3.514085635E9)</f>
        <v>3514085635</v>
      </c>
      <c r="J1241" s="7" t="str">
        <f>IFERROR(__xludf.DUMMYFUNCTION("""COMPUTED_VALUE"""),"Voy al gym Manantial")</f>
        <v>Voy al gym Manantial</v>
      </c>
      <c r="K1241" s="7" t="str">
        <f>IFERROR(__xludf.DUMMYFUNCTION("""COMPUTED_VALUE"""),"Particular")</f>
        <v>Particular</v>
      </c>
      <c r="L1241" s="7"/>
      <c r="M1241" s="7" t="str">
        <f>IFERROR(__xludf.DUMMYFUNCTION("""COMPUTED_VALUE"""),"Si")</f>
        <v>Si</v>
      </c>
      <c r="N1241" s="7" t="str">
        <f>IFERROR(__xludf.DUMMYFUNCTION("""COMPUTED_VALUE"""),"Karate y gimnasio ")</f>
        <v>Karate y gimnasio </v>
      </c>
      <c r="O1241" s="7" t="str">
        <f>IFERROR(__xludf.DUMMYFUNCTION("""COMPUTED_VALUE"""),"3 a 5 veces por semana")</f>
        <v>3 a 5 veces por semana</v>
      </c>
      <c r="P1241" s="7"/>
      <c r="Q1241" s="7"/>
      <c r="R1241" s="7"/>
      <c r="S1241" s="7"/>
    </row>
    <row r="1242">
      <c r="C1242" s="19">
        <f>IFERROR(__xludf.DUMMYFUNCTION("""COMPUTED_VALUE"""),45930.368039884255)</f>
        <v>45930.36804</v>
      </c>
      <c r="D1242" s="7" t="str">
        <f>IFERROR(__xludf.DUMMYFUNCTION("""COMPUTED_VALUE"""),"Sosa")</f>
        <v>Sosa</v>
      </c>
      <c r="E1242" s="7" t="str">
        <f>IFERROR(__xludf.DUMMYFUNCTION("""COMPUTED_VALUE"""),"Alexis ")</f>
        <v>Alexis </v>
      </c>
      <c r="F1242" s="7" t="str">
        <f>IFERROR(__xludf.DUMMYFUNCTION("""COMPUTED_VALUE"""),"alexissosa16@gmail.com")</f>
        <v>alexissosa16@gmail.com</v>
      </c>
      <c r="G1242" s="20">
        <f>IFERROR(__xludf.DUMMYFUNCTION("""COMPUTED_VALUE"""),32440.0)</f>
        <v>32440</v>
      </c>
      <c r="H1242" s="7">
        <f>IFERROR(__xludf.DUMMYFUNCTION("""COMPUTED_VALUE"""),3.397657E7)</f>
        <v>33976570</v>
      </c>
      <c r="I1242" s="7">
        <f>IFERROR(__xludf.DUMMYFUNCTION("""COMPUTED_VALUE"""),3.512145675E9)</f>
        <v>3512145675</v>
      </c>
      <c r="J1242" s="7" t="str">
        <f>IFERROR(__xludf.DUMMYFUNCTION("""COMPUTED_VALUE"""),"Google")</f>
        <v>Google</v>
      </c>
      <c r="K1242" s="7" t="str">
        <f>IFERROR(__xludf.DUMMYFUNCTION("""COMPUTED_VALUE"""),"Obra social")</f>
        <v>Obra social</v>
      </c>
      <c r="L1242" s="7"/>
      <c r="M1242" s="7" t="str">
        <f>IFERROR(__xludf.DUMMYFUNCTION("""COMPUTED_VALUE"""),"Si")</f>
        <v>Si</v>
      </c>
      <c r="N1242" s="7" t="str">
        <f>IFERROR(__xludf.DUMMYFUNCTION("""COMPUTED_VALUE"""),"Fútbol")</f>
        <v>Fútbol</v>
      </c>
      <c r="O1242" s="7" t="str">
        <f>IFERROR(__xludf.DUMMYFUNCTION("""COMPUTED_VALUE"""),"3 a 5 veces por semana")</f>
        <v>3 a 5 veces por semana</v>
      </c>
      <c r="P1242" s="7"/>
      <c r="Q1242" s="7" t="str">
        <f>IFERROR(__xludf.DUMMYFUNCTION("""COMPUTED_VALUE"""),"APROSS")</f>
        <v>APROSS</v>
      </c>
      <c r="R1242" s="7"/>
      <c r="S1242" s="7"/>
    </row>
    <row r="1243">
      <c r="C1243" s="19">
        <f>IFERROR(__xludf.DUMMYFUNCTION("""COMPUTED_VALUE"""),45930.480866990736)</f>
        <v>45930.48087</v>
      </c>
      <c r="D1243" s="7" t="str">
        <f>IFERROR(__xludf.DUMMYFUNCTION("""COMPUTED_VALUE"""),"Zampedri")</f>
        <v>Zampedri</v>
      </c>
      <c r="E1243" s="7" t="str">
        <f>IFERROR(__xludf.DUMMYFUNCTION("""COMPUTED_VALUE"""),"Sofia")</f>
        <v>Sofia</v>
      </c>
      <c r="F1243" s="7" t="str">
        <f>IFERROR(__xludf.DUMMYFUNCTION("""COMPUTED_VALUE"""),"sofii_230@hotmail.com")</f>
        <v>sofii_230@hotmail.com</v>
      </c>
      <c r="G1243" s="20">
        <f>IFERROR(__xludf.DUMMYFUNCTION("""COMPUTED_VALUE"""),36703.0)</f>
        <v>36703</v>
      </c>
      <c r="H1243" s="7">
        <f>IFERROR(__xludf.DUMMYFUNCTION("""COMPUTED_VALUE"""),4.2693138E7)</f>
        <v>42693138</v>
      </c>
      <c r="I1243" s="7">
        <f>IFERROR(__xludf.DUMMYFUNCTION("""COMPUTED_VALUE"""),3.512724972E9)</f>
        <v>3512724972</v>
      </c>
      <c r="J1243" s="7" t="str">
        <f>IFERROR(__xludf.DUMMYFUNCTION("""COMPUTED_VALUE"""),"Google")</f>
        <v>Google</v>
      </c>
      <c r="K1243" s="7" t="str">
        <f>IFERROR(__xludf.DUMMYFUNCTION("""COMPUTED_VALUE"""),"Particular")</f>
        <v>Particular</v>
      </c>
      <c r="L1243" s="7"/>
      <c r="M1243" s="7" t="str">
        <f>IFERROR(__xludf.DUMMYFUNCTION("""COMPUTED_VALUE"""),"Si")</f>
        <v>Si</v>
      </c>
      <c r="N1243" s="7" t="str">
        <f>IFERROR(__xludf.DUMMYFUNCTION("""COMPUTED_VALUE"""),"Gimnasio")</f>
        <v>Gimnasio</v>
      </c>
      <c r="O1243" s="7" t="str">
        <f>IFERROR(__xludf.DUMMYFUNCTION("""COMPUTED_VALUE"""),"3 a 5 veces por semana")</f>
        <v>3 a 5 veces por semana</v>
      </c>
      <c r="P1243" s="7"/>
      <c r="Q1243" s="7"/>
      <c r="R1243" s="7"/>
      <c r="S1243" s="7"/>
    </row>
    <row r="1244">
      <c r="C1244" s="19">
        <f>IFERROR(__xludf.DUMMYFUNCTION("""COMPUTED_VALUE"""),45931.51954332176)</f>
        <v>45931.51954</v>
      </c>
      <c r="D1244" s="7" t="str">
        <f>IFERROR(__xludf.DUMMYFUNCTION("""COMPUTED_VALUE"""),"Torres Mazzucchi")</f>
        <v>Torres Mazzucchi</v>
      </c>
      <c r="E1244" s="7" t="str">
        <f>IFERROR(__xludf.DUMMYFUNCTION("""COMPUTED_VALUE"""),"Maria Elena")</f>
        <v>Maria Elena</v>
      </c>
      <c r="F1244" s="7" t="str">
        <f>IFERROR(__xludf.DUMMYFUNCTION("""COMPUTED_VALUE"""),"malenastral@hotmail.com")</f>
        <v>malenastral@hotmail.com</v>
      </c>
      <c r="G1244" s="20">
        <f>IFERROR(__xludf.DUMMYFUNCTION("""COMPUTED_VALUE"""),17473.0)</f>
        <v>17473</v>
      </c>
      <c r="H1244" s="7">
        <f>IFERROR(__xludf.DUMMYFUNCTION("""COMPUTED_VALUE"""),5698670.0)</f>
        <v>5698670</v>
      </c>
      <c r="I1244" s="7">
        <f>IFERROR(__xludf.DUMMYFUNCTION("""COMPUTED_VALUE"""),3.51670667E9)</f>
        <v>3516706670</v>
      </c>
      <c r="J1244" s="7" t="str">
        <f>IFERROR(__xludf.DUMMYFUNCTION("""COMPUTED_VALUE"""),"Recomendación")</f>
        <v>Recomendación</v>
      </c>
      <c r="K1244" s="7" t="str">
        <f>IFERROR(__xludf.DUMMYFUNCTION("""COMPUTED_VALUE"""),"Obra social")</f>
        <v>Obra social</v>
      </c>
      <c r="L1244" s="7"/>
      <c r="M1244" s="7" t="str">
        <f>IFERROR(__xludf.DUMMYFUNCTION("""COMPUTED_VALUE"""),"Si")</f>
        <v>Si</v>
      </c>
      <c r="N1244" s="7" t="str">
        <f>IFERROR(__xludf.DUMMYFUNCTION("""COMPUTED_VALUE"""),"Caminar slgo de gimnasio")</f>
        <v>Caminar slgo de gimnasio</v>
      </c>
      <c r="O1244" s="7" t="str">
        <f>IFERROR(__xludf.DUMMYFUNCTION("""COMPUTED_VALUE"""),"1 a 2 veces por semana")</f>
        <v>1 a 2 veces por semana</v>
      </c>
      <c r="P1244" s="7"/>
      <c r="Q1244" s="7" t="str">
        <f>IFERROR(__xludf.DUMMYFUNCTION("""COMPUTED_VALUE"""),"APROSS")</f>
        <v>APROSS</v>
      </c>
      <c r="R1244" s="7"/>
      <c r="S1244" s="7"/>
    </row>
    <row r="1245">
      <c r="C1245" s="19">
        <f>IFERROR(__xludf.DUMMYFUNCTION("""COMPUTED_VALUE"""),45931.72418668981)</f>
        <v>45931.72419</v>
      </c>
      <c r="D1245" s="7" t="str">
        <f>IFERROR(__xludf.DUMMYFUNCTION("""COMPUTED_VALUE"""),"Pautasso")</f>
        <v>Pautasso</v>
      </c>
      <c r="E1245" s="7" t="str">
        <f>IFERROR(__xludf.DUMMYFUNCTION("""COMPUTED_VALUE"""),"Juan")</f>
        <v>Juan</v>
      </c>
      <c r="F1245" s="7" t="str">
        <f>IFERROR(__xludf.DUMMYFUNCTION("""COMPUTED_VALUE"""),"juancitopautasso@gmail.com")</f>
        <v>juancitopautasso@gmail.com</v>
      </c>
      <c r="G1245" s="20">
        <f>IFERROR(__xludf.DUMMYFUNCTION("""COMPUTED_VALUE"""),37883.0)</f>
        <v>37883</v>
      </c>
      <c r="H1245" s="7">
        <f>IFERROR(__xludf.DUMMYFUNCTION("""COMPUTED_VALUE"""),4.4971986E7)</f>
        <v>44971986</v>
      </c>
      <c r="I1245" s="7">
        <f>IFERROR(__xludf.DUMMYFUNCTION("""COMPUTED_VALUE"""),3.512091899E9)</f>
        <v>3512091899</v>
      </c>
      <c r="J1245" s="7" t="str">
        <f>IFERROR(__xludf.DUMMYFUNCTION("""COMPUTED_VALUE"""),"Voy al sportclub")</f>
        <v>Voy al sportclub</v>
      </c>
      <c r="K1245" s="7" t="str">
        <f>IFERROR(__xludf.DUMMYFUNCTION("""COMPUTED_VALUE"""),"Particular")</f>
        <v>Particular</v>
      </c>
      <c r="L1245" s="7"/>
      <c r="M1245" s="7" t="str">
        <f>IFERROR(__xludf.DUMMYFUNCTION("""COMPUTED_VALUE"""),"Si")</f>
        <v>Si</v>
      </c>
      <c r="N1245" s="7" t="str">
        <f>IFERROR(__xludf.DUMMYFUNCTION("""COMPUTED_VALUE"""),"Fútbol")</f>
        <v>Fútbol</v>
      </c>
      <c r="O1245" s="7" t="str">
        <f>IFERROR(__xludf.DUMMYFUNCTION("""COMPUTED_VALUE"""),"3 a 5 veces por semana")</f>
        <v>3 a 5 veces por semana</v>
      </c>
      <c r="P1245" s="7"/>
      <c r="Q1245" s="7"/>
      <c r="R1245" s="7"/>
      <c r="S1245" s="7"/>
    </row>
    <row r="1246">
      <c r="C1246" s="19">
        <f>IFERROR(__xludf.DUMMYFUNCTION("""COMPUTED_VALUE"""),45931.734394074076)</f>
        <v>45931.73439</v>
      </c>
      <c r="D1246" s="7" t="str">
        <f>IFERROR(__xludf.DUMMYFUNCTION("""COMPUTED_VALUE"""),"Vazquez")</f>
        <v>Vazquez</v>
      </c>
      <c r="E1246" s="7" t="str">
        <f>IFERROR(__xludf.DUMMYFUNCTION("""COMPUTED_VALUE"""),"Marisel")</f>
        <v>Marisel</v>
      </c>
      <c r="F1246" s="7" t="str">
        <f>IFERROR(__xludf.DUMMYFUNCTION("""COMPUTED_VALUE"""),"vzmarisela@gmail.com")</f>
        <v>vzmarisela@gmail.com</v>
      </c>
      <c r="G1246" s="20">
        <f>IFERROR(__xludf.DUMMYFUNCTION("""COMPUTED_VALUE"""),27775.0)</f>
        <v>27775</v>
      </c>
      <c r="H1246" s="7">
        <f>IFERROR(__xludf.DUMMYFUNCTION("""COMPUTED_VALUE"""),2.4863986E7)</f>
        <v>24863986</v>
      </c>
      <c r="I1246" s="7">
        <f>IFERROR(__xludf.DUMMYFUNCTION("""COMPUTED_VALUE"""),3.515914536E9)</f>
        <v>3515914536</v>
      </c>
      <c r="J1246" s="7" t="str">
        <f>IFERROR(__xludf.DUMMYFUNCTION("""COMPUTED_VALUE"""),"Voy al gym Manantial")</f>
        <v>Voy al gym Manantial</v>
      </c>
      <c r="K1246" s="7" t="str">
        <f>IFERROR(__xludf.DUMMYFUNCTION("""COMPUTED_VALUE"""),"Obra social")</f>
        <v>Obra social</v>
      </c>
      <c r="L1246" s="7"/>
      <c r="M1246" s="7" t="str">
        <f>IFERROR(__xludf.DUMMYFUNCTION("""COMPUTED_VALUE"""),"Si")</f>
        <v>Si</v>
      </c>
      <c r="N1246" s="7" t="str">
        <f>IFERROR(__xludf.DUMMYFUNCTION("""COMPUTED_VALUE"""),"Gimnasio")</f>
        <v>Gimnasio</v>
      </c>
      <c r="O1246" s="7" t="str">
        <f>IFERROR(__xludf.DUMMYFUNCTION("""COMPUTED_VALUE"""),"3 a 5 veces por semana")</f>
        <v>3 a 5 veces por semana</v>
      </c>
      <c r="P1246" s="7"/>
      <c r="Q1246" s="7" t="str">
        <f>IFERROR(__xludf.DUMMYFUNCTION("""COMPUTED_VALUE"""),"SANCOR")</f>
        <v>SANCOR</v>
      </c>
      <c r="R1246" s="7"/>
      <c r="S1246" s="7"/>
    </row>
    <row r="1247">
      <c r="C1247" s="19">
        <f>IFERROR(__xludf.DUMMYFUNCTION("""COMPUTED_VALUE"""),45932.67920033565)</f>
        <v>45932.6792</v>
      </c>
      <c r="D1247" s="7" t="str">
        <f>IFERROR(__xludf.DUMMYFUNCTION("""COMPUTED_VALUE"""),"Bernabeu")</f>
        <v>Bernabeu</v>
      </c>
      <c r="E1247" s="7" t="str">
        <f>IFERROR(__xludf.DUMMYFUNCTION("""COMPUTED_VALUE"""),"Juan")</f>
        <v>Juan</v>
      </c>
      <c r="F1247" s="7"/>
      <c r="G1247" s="20">
        <f>IFERROR(__xludf.DUMMYFUNCTION("""COMPUTED_VALUE"""),30247.0)</f>
        <v>30247</v>
      </c>
      <c r="H1247" s="7">
        <f>IFERROR(__xludf.DUMMYFUNCTION("""COMPUTED_VALUE"""),2.971318E7)</f>
        <v>29713180</v>
      </c>
      <c r="I1247" s="7">
        <f>IFERROR(__xludf.DUMMYFUNCTION("""COMPUTED_VALUE"""),3.513281374E9)</f>
        <v>3513281374</v>
      </c>
      <c r="J1247" s="7" t="str">
        <f>IFERROR(__xludf.DUMMYFUNCTION("""COMPUTED_VALUE"""),"Google")</f>
        <v>Google</v>
      </c>
      <c r="K1247" s="7" t="str">
        <f>IFERROR(__xludf.DUMMYFUNCTION("""COMPUTED_VALUE"""),"Particular")</f>
        <v>Particular</v>
      </c>
      <c r="L1247" s="7"/>
      <c r="M1247" s="7" t="str">
        <f>IFERROR(__xludf.DUMMYFUNCTION("""COMPUTED_VALUE"""),"Si")</f>
        <v>Si</v>
      </c>
      <c r="N1247" s="7" t="str">
        <f>IFERROR(__xludf.DUMMYFUNCTION("""COMPUTED_VALUE"""),"Fútbol")</f>
        <v>Fútbol</v>
      </c>
      <c r="O1247" s="7" t="str">
        <f>IFERROR(__xludf.DUMMYFUNCTION("""COMPUTED_VALUE"""),"1 a 2 veces por semana")</f>
        <v>1 a 2 veces por semana</v>
      </c>
      <c r="P1247" s="7"/>
      <c r="Q1247" s="7"/>
      <c r="R1247" s="7"/>
      <c r="S1247" s="7"/>
    </row>
    <row r="1248">
      <c r="C1248" s="19">
        <f>IFERROR(__xludf.DUMMYFUNCTION("""COMPUTED_VALUE"""),45932.70877751157)</f>
        <v>45932.70878</v>
      </c>
      <c r="D1248" s="7" t="str">
        <f>IFERROR(__xludf.DUMMYFUNCTION("""COMPUTED_VALUE"""),"Diaz")</f>
        <v>Diaz</v>
      </c>
      <c r="E1248" s="7" t="str">
        <f>IFERROR(__xludf.DUMMYFUNCTION("""COMPUTED_VALUE"""),"Agustin")</f>
        <v>Agustin</v>
      </c>
      <c r="F1248" s="7"/>
      <c r="G1248" s="20">
        <f>IFERROR(__xludf.DUMMYFUNCTION("""COMPUTED_VALUE"""),36568.0)</f>
        <v>36568</v>
      </c>
      <c r="H1248" s="7">
        <f>IFERROR(__xludf.DUMMYFUNCTION("""COMPUTED_VALUE"""),4.2260483E7)</f>
        <v>42260483</v>
      </c>
      <c r="I1248" s="7">
        <f>IFERROR(__xludf.DUMMYFUNCTION("""COMPUTED_VALUE"""),3.51260256E9)</f>
        <v>3512602560</v>
      </c>
      <c r="J1248" s="7" t="str">
        <f>IFERROR(__xludf.DUMMYFUNCTION("""COMPUTED_VALUE"""),"Instagram")</f>
        <v>Instagram</v>
      </c>
      <c r="K1248" s="7" t="str">
        <f>IFERROR(__xludf.DUMMYFUNCTION("""COMPUTED_VALUE"""),"Particular")</f>
        <v>Particular</v>
      </c>
      <c r="L1248" s="7"/>
      <c r="M1248" s="7" t="str">
        <f>IFERROR(__xludf.DUMMYFUNCTION("""COMPUTED_VALUE"""),"No")</f>
        <v>No</v>
      </c>
      <c r="N1248" s="7"/>
      <c r="O1248" s="7"/>
      <c r="P1248" s="7"/>
      <c r="Q1248" s="7"/>
      <c r="R1248" s="7"/>
      <c r="S1248" s="7"/>
    </row>
    <row r="1249">
      <c r="C1249" s="19">
        <f>IFERROR(__xludf.DUMMYFUNCTION("""COMPUTED_VALUE"""),45932.74288525463)</f>
        <v>45932.74289</v>
      </c>
      <c r="D1249" s="7" t="str">
        <f>IFERROR(__xludf.DUMMYFUNCTION("""COMPUTED_VALUE"""),"Remonda")</f>
        <v>Remonda</v>
      </c>
      <c r="E1249" s="7" t="str">
        <f>IFERROR(__xludf.DUMMYFUNCTION("""COMPUTED_VALUE"""),"Federico")</f>
        <v>Federico</v>
      </c>
      <c r="F1249" s="7" t="str">
        <f>IFERROR(__xludf.DUMMYFUNCTION("""COMPUTED_VALUE"""),"federemonda@gmail.com")</f>
        <v>federemonda@gmail.com</v>
      </c>
      <c r="G1249" s="20">
        <f>IFERROR(__xludf.DUMMYFUNCTION("""COMPUTED_VALUE"""),33668.0)</f>
        <v>33668</v>
      </c>
      <c r="H1249" s="7">
        <f>IFERROR(__xludf.DUMMYFUNCTION("""COMPUTED_VALUE"""),3.7134195E7)</f>
        <v>37134195</v>
      </c>
      <c r="I1249" s="7">
        <f>IFERROR(__xludf.DUMMYFUNCTION("""COMPUTED_VALUE"""),3.512077505E9)</f>
        <v>3512077505</v>
      </c>
      <c r="J1249" s="7" t="str">
        <f>IFERROR(__xludf.DUMMYFUNCTION("""COMPUTED_VALUE"""),"Recomendación")</f>
        <v>Recomendación</v>
      </c>
      <c r="K1249" s="7" t="str">
        <f>IFERROR(__xludf.DUMMYFUNCTION("""COMPUTED_VALUE"""),"Particular")</f>
        <v>Particular</v>
      </c>
      <c r="L1249" s="7"/>
      <c r="M1249" s="7" t="str">
        <f>IFERROR(__xludf.DUMMYFUNCTION("""COMPUTED_VALUE"""),"Si")</f>
        <v>Si</v>
      </c>
      <c r="N1249" s="7" t="str">
        <f>IFERROR(__xludf.DUMMYFUNCTION("""COMPUTED_VALUE"""),"Gimnasio+Futbol")</f>
        <v>Gimnasio+Futbol</v>
      </c>
      <c r="O1249" s="7" t="str">
        <f>IFERROR(__xludf.DUMMYFUNCTION("""COMPUTED_VALUE"""),"6 a 7 veces por semana")</f>
        <v>6 a 7 veces por semana</v>
      </c>
      <c r="P1249" s="7"/>
      <c r="Q1249" s="7"/>
      <c r="R1249" s="7"/>
      <c r="S1249" s="7"/>
    </row>
    <row r="1250">
      <c r="C1250" s="19">
        <f>IFERROR(__xludf.DUMMYFUNCTION("""COMPUTED_VALUE"""),45933.43840616898)</f>
        <v>45933.43841</v>
      </c>
      <c r="D1250" s="7" t="str">
        <f>IFERROR(__xludf.DUMMYFUNCTION("""COMPUTED_VALUE"""),"Villagra")</f>
        <v>Villagra</v>
      </c>
      <c r="E1250" s="7" t="str">
        <f>IFERROR(__xludf.DUMMYFUNCTION("""COMPUTED_VALUE"""),"Luis")</f>
        <v>Luis</v>
      </c>
      <c r="F1250" s="7"/>
      <c r="G1250" s="20">
        <f>IFERROR(__xludf.DUMMYFUNCTION("""COMPUTED_VALUE"""),26241.0)</f>
        <v>26241</v>
      </c>
      <c r="H1250" s="7">
        <f>IFERROR(__xludf.DUMMYFUNCTION("""COMPUTED_VALUE"""),2.2328369E7)</f>
        <v>22328369</v>
      </c>
      <c r="I1250" s="7">
        <f>IFERROR(__xludf.DUMMYFUNCTION("""COMPUTED_VALUE"""),3.51223652E9)</f>
        <v>3512236520</v>
      </c>
      <c r="J1250" s="7" t="str">
        <f>IFERROR(__xludf.DUMMYFUNCTION("""COMPUTED_VALUE"""),"Cartilla Obra Social")</f>
        <v>Cartilla Obra Social</v>
      </c>
      <c r="K1250" s="7" t="str">
        <f>IFERROR(__xludf.DUMMYFUNCTION("""COMPUTED_VALUE"""),"Obra social")</f>
        <v>Obra social</v>
      </c>
      <c r="L1250" s="7"/>
      <c r="M1250" s="7" t="str">
        <f>IFERROR(__xludf.DUMMYFUNCTION("""COMPUTED_VALUE"""),"No")</f>
        <v>No</v>
      </c>
      <c r="N1250" s="7"/>
      <c r="O1250" s="7"/>
      <c r="P1250" s="7"/>
      <c r="Q1250" s="7" t="str">
        <f>IFERROR(__xludf.DUMMYFUNCTION("""COMPUTED_VALUE"""),"Boreal")</f>
        <v>Boreal</v>
      </c>
      <c r="R1250" s="7"/>
      <c r="S1250" s="7"/>
    </row>
    <row r="1251">
      <c r="C1251" s="19">
        <f>IFERROR(__xludf.DUMMYFUNCTION("""COMPUTED_VALUE"""),45933.599382534725)</f>
        <v>45933.59938</v>
      </c>
      <c r="D1251" s="7" t="str">
        <f>IFERROR(__xludf.DUMMYFUNCTION("""COMPUTED_VALUE"""),"María Victoria ")</f>
        <v>María Victoria </v>
      </c>
      <c r="E1251" s="7" t="str">
        <f>IFERROR(__xludf.DUMMYFUNCTION("""COMPUTED_VALUE"""),"Argota ")</f>
        <v>Argota </v>
      </c>
      <c r="F1251" s="7" t="str">
        <f>IFERROR(__xludf.DUMMYFUNCTION("""COMPUTED_VALUE"""),"Luciana@goldenticketviajes.com")</f>
        <v>Luciana@goldenticketviajes.com</v>
      </c>
      <c r="G1251" s="20">
        <f>IFERROR(__xludf.DUMMYFUNCTION("""COMPUTED_VALUE"""),40156.0)</f>
        <v>40156</v>
      </c>
      <c r="H1251" s="7">
        <f>IFERROR(__xludf.DUMMYFUNCTION("""COMPUTED_VALUE"""),4.9864772E7)</f>
        <v>49864772</v>
      </c>
      <c r="I1251" s="7">
        <f>IFERROR(__xludf.DUMMYFUNCTION("""COMPUTED_VALUE"""),3.512893334E9)</f>
        <v>3512893334</v>
      </c>
      <c r="J1251" s="7" t="str">
        <f>IFERROR(__xludf.DUMMYFUNCTION("""COMPUTED_VALUE"""),"Google")</f>
        <v>Google</v>
      </c>
      <c r="K1251" s="7" t="str">
        <f>IFERROR(__xludf.DUMMYFUNCTION("""COMPUTED_VALUE"""),"Particular")</f>
        <v>Particular</v>
      </c>
      <c r="L1251" s="7"/>
      <c r="M1251" s="7" t="str">
        <f>IFERROR(__xludf.DUMMYFUNCTION("""COMPUTED_VALUE"""),"Si")</f>
        <v>Si</v>
      </c>
      <c r="N1251" s="7" t="str">
        <f>IFERROR(__xludf.DUMMYFUNCTION("""COMPUTED_VALUE"""),"Gimnasia artística ")</f>
        <v>Gimnasia artística </v>
      </c>
      <c r="O1251" s="7" t="str">
        <f>IFERROR(__xludf.DUMMYFUNCTION("""COMPUTED_VALUE"""),"3 a 5 veces por semana")</f>
        <v>3 a 5 veces por semana</v>
      </c>
      <c r="P1251" s="7"/>
      <c r="Q1251" s="7"/>
      <c r="R1251" s="7"/>
      <c r="S1251" s="7"/>
    </row>
    <row r="1252">
      <c r="C1252" s="19">
        <f>IFERROR(__xludf.DUMMYFUNCTION("""COMPUTED_VALUE"""),45936.35929395833)</f>
        <v>45936.35929</v>
      </c>
      <c r="D1252" s="7" t="str">
        <f>IFERROR(__xludf.DUMMYFUNCTION("""COMPUTED_VALUE"""),"Villarroel")</f>
        <v>Villarroel</v>
      </c>
      <c r="E1252" s="7" t="str">
        <f>IFERROR(__xludf.DUMMYFUNCTION("""COMPUTED_VALUE"""),"Antonio")</f>
        <v>Antonio</v>
      </c>
      <c r="F1252" s="7"/>
      <c r="G1252" s="20">
        <f>IFERROR(__xludf.DUMMYFUNCTION("""COMPUTED_VALUE"""),19902.0)</f>
        <v>19902</v>
      </c>
      <c r="H1252" s="7">
        <f>IFERROR(__xludf.DUMMYFUNCTION("""COMPUTED_VALUE"""),1.1298652E7)</f>
        <v>11298652</v>
      </c>
      <c r="I1252" s="7">
        <f>IFERROR(__xludf.DUMMYFUNCTION("""COMPUTED_VALUE"""),3.516526794E9)</f>
        <v>3516526794</v>
      </c>
      <c r="J1252" s="7" t="str">
        <f>IFERROR(__xludf.DUMMYFUNCTION("""COMPUTED_VALUE"""),"Recomendación")</f>
        <v>Recomendación</v>
      </c>
      <c r="K1252" s="7" t="str">
        <f>IFERROR(__xludf.DUMMYFUNCTION("""COMPUTED_VALUE"""),"Particular")</f>
        <v>Particular</v>
      </c>
      <c r="L1252" s="7"/>
      <c r="M1252" s="7" t="str">
        <f>IFERROR(__xludf.DUMMYFUNCTION("""COMPUTED_VALUE"""),"No")</f>
        <v>No</v>
      </c>
      <c r="N1252" s="7"/>
      <c r="O1252" s="7"/>
      <c r="P1252" s="7"/>
      <c r="Q1252" s="7"/>
      <c r="R1252" s="7"/>
      <c r="S1252" s="7"/>
    </row>
    <row r="1253">
      <c r="C1253" s="19">
        <f>IFERROR(__xludf.DUMMYFUNCTION("""COMPUTED_VALUE"""),45936.49286240741)</f>
        <v>45936.49286</v>
      </c>
      <c r="D1253" s="7" t="str">
        <f>IFERROR(__xludf.DUMMYFUNCTION("""COMPUTED_VALUE"""),"Atala")</f>
        <v>Atala</v>
      </c>
      <c r="E1253" s="7" t="str">
        <f>IFERROR(__xludf.DUMMYFUNCTION("""COMPUTED_VALUE"""),"Maria Jose")</f>
        <v>Maria Jose</v>
      </c>
      <c r="F1253" s="7" t="str">
        <f>IFERROR(__xludf.DUMMYFUNCTION("""COMPUTED_VALUE"""),"mariajoseatala@gmail.com")</f>
        <v>mariajoseatala@gmail.com</v>
      </c>
      <c r="G1253" s="20">
        <f>IFERROR(__xludf.DUMMYFUNCTION("""COMPUTED_VALUE"""),28754.0)</f>
        <v>28754</v>
      </c>
      <c r="H1253" s="7">
        <f>IFERROR(__xludf.DUMMYFUNCTION("""COMPUTED_VALUE"""),2.6896769E7)</f>
        <v>26896769</v>
      </c>
      <c r="I1253" s="7">
        <f>IFERROR(__xludf.DUMMYFUNCTION("""COMPUTED_VALUE"""),3.51546292E9)</f>
        <v>3515462920</v>
      </c>
      <c r="J1253" s="7" t="str">
        <f>IFERROR(__xludf.DUMMYFUNCTION("""COMPUTED_VALUE"""),"Recomendaciones ")</f>
        <v>Recomendaciones </v>
      </c>
      <c r="K1253" s="7" t="str">
        <f>IFERROR(__xludf.DUMMYFUNCTION("""COMPUTED_VALUE"""),"Obra social")</f>
        <v>Obra social</v>
      </c>
      <c r="L1253" s="7"/>
      <c r="M1253" s="7" t="str">
        <f>IFERROR(__xludf.DUMMYFUNCTION("""COMPUTED_VALUE"""),"Si")</f>
        <v>Si</v>
      </c>
      <c r="N1253" s="7" t="str">
        <f>IFERROR(__xludf.DUMMYFUNCTION("""COMPUTED_VALUE"""),"Hockey sobre patines maratón en patines")</f>
        <v>Hockey sobre patines maratón en patines</v>
      </c>
      <c r="O1253" s="7" t="str">
        <f>IFERROR(__xludf.DUMMYFUNCTION("""COMPUTED_VALUE"""),"6 a 7 veces por semana")</f>
        <v>6 a 7 veces por semana</v>
      </c>
      <c r="P1253" s="7"/>
      <c r="Q1253" s="7" t="str">
        <f>IFERROR(__xludf.DUMMYFUNCTION("""COMPUTED_VALUE"""),"PREVENCIÓN")</f>
        <v>PREVENCIÓN</v>
      </c>
      <c r="R1253" s="7"/>
      <c r="S1253" s="7"/>
    </row>
    <row r="1254">
      <c r="C1254" s="19">
        <f>IFERROR(__xludf.DUMMYFUNCTION("""COMPUTED_VALUE"""),45936.57542390046)</f>
        <v>45936.57542</v>
      </c>
      <c r="D1254" s="7" t="str">
        <f>IFERROR(__xludf.DUMMYFUNCTION("""COMPUTED_VALUE"""),"Freitez")</f>
        <v>Freitez</v>
      </c>
      <c r="E1254" s="7" t="str">
        <f>IFERROR(__xludf.DUMMYFUNCTION("""COMPUTED_VALUE"""),"Nili")</f>
        <v>Nili</v>
      </c>
      <c r="F1254" s="7" t="str">
        <f>IFERROR(__xludf.DUMMYFUNCTION("""COMPUTED_VALUE"""),"nilifreitez@gmail.com")</f>
        <v>nilifreitez@gmail.com</v>
      </c>
      <c r="G1254" s="20">
        <f>IFERROR(__xludf.DUMMYFUNCTION("""COMPUTED_VALUE"""),32801.0)</f>
        <v>32801</v>
      </c>
      <c r="H1254" s="7">
        <f>IFERROR(__xludf.DUMMYFUNCTION("""COMPUTED_VALUE"""),9.6382577E7)</f>
        <v>96382577</v>
      </c>
      <c r="I1254" s="7">
        <f>IFERROR(__xludf.DUMMYFUNCTION("""COMPUTED_VALUE"""),3.512303183E9)</f>
        <v>3512303183</v>
      </c>
      <c r="J1254" s="7" t="str">
        <f>IFERROR(__xludf.DUMMYFUNCTION("""COMPUTED_VALUE"""),"Recomendación")</f>
        <v>Recomendación</v>
      </c>
      <c r="K1254" s="7" t="str">
        <f>IFERROR(__xludf.DUMMYFUNCTION("""COMPUTED_VALUE"""),"Obra social")</f>
        <v>Obra social</v>
      </c>
      <c r="L1254" s="7"/>
      <c r="M1254" s="7" t="str">
        <f>IFERROR(__xludf.DUMMYFUNCTION("""COMPUTED_VALUE"""),"No")</f>
        <v>No</v>
      </c>
      <c r="N1254" s="7"/>
      <c r="O1254" s="7"/>
      <c r="P1254" s="7"/>
      <c r="Q1254" s="7" t="str">
        <f>IFERROR(__xludf.DUMMYFUNCTION("""COMPUTED_VALUE"""),"SANCOR")</f>
        <v>SANCOR</v>
      </c>
      <c r="R1254" s="7"/>
      <c r="S1254" s="7"/>
    </row>
    <row r="1255">
      <c r="C1255" s="19">
        <f>IFERROR(__xludf.DUMMYFUNCTION("""COMPUTED_VALUE"""),45937.44215471065)</f>
        <v>45937.44215</v>
      </c>
      <c r="D1255" s="7" t="str">
        <f>IFERROR(__xludf.DUMMYFUNCTION("""COMPUTED_VALUE"""),"GUTIERREZ")</f>
        <v>GUTIERREZ</v>
      </c>
      <c r="E1255" s="7" t="str">
        <f>IFERROR(__xludf.DUMMYFUNCTION("""COMPUTED_VALUE"""),"ROCIO AILEN")</f>
        <v>ROCIO AILEN</v>
      </c>
      <c r="F1255" s="7" t="str">
        <f>IFERROR(__xludf.DUMMYFUNCTION("""COMPUTED_VALUE"""),"rocioailengutierrez@gmail.com")</f>
        <v>rocioailengutierrez@gmail.com</v>
      </c>
      <c r="G1255" s="20">
        <f>IFERROR(__xludf.DUMMYFUNCTION("""COMPUTED_VALUE"""),34876.0)</f>
        <v>34876</v>
      </c>
      <c r="H1255" s="7">
        <f>IFERROR(__xludf.DUMMYFUNCTION("""COMPUTED_VALUE"""),3.9057505E7)</f>
        <v>39057505</v>
      </c>
      <c r="I1255" s="7">
        <f>IFERROR(__xludf.DUMMYFUNCTION("""COMPUTED_VALUE"""),3.513609564E9)</f>
        <v>3513609564</v>
      </c>
      <c r="J1255" s="7" t="str">
        <f>IFERROR(__xludf.DUMMYFUNCTION("""COMPUTED_VALUE"""),"Google")</f>
        <v>Google</v>
      </c>
      <c r="K1255" s="7" t="str">
        <f>IFERROR(__xludf.DUMMYFUNCTION("""COMPUTED_VALUE"""),"Obra social")</f>
        <v>Obra social</v>
      </c>
      <c r="L1255" s="7"/>
      <c r="M1255" s="7" t="str">
        <f>IFERROR(__xludf.DUMMYFUNCTION("""COMPUTED_VALUE"""),"Si")</f>
        <v>Si</v>
      </c>
      <c r="N1255" s="7" t="str">
        <f>IFERROR(__xludf.DUMMYFUNCTION("""COMPUTED_VALUE"""),"Pilates")</f>
        <v>Pilates</v>
      </c>
      <c r="O1255" s="7" t="str">
        <f>IFERROR(__xludf.DUMMYFUNCTION("""COMPUTED_VALUE"""),"1 a 2 veces por semana")</f>
        <v>1 a 2 veces por semana</v>
      </c>
      <c r="P1255" s="7"/>
      <c r="Q1255" s="7" t="str">
        <f>IFERROR(__xludf.DUMMYFUNCTION("""COMPUTED_VALUE"""),"PREVENCIÓN")</f>
        <v>PREVENCIÓN</v>
      </c>
      <c r="R1255" s="7"/>
      <c r="S1255" s="7"/>
    </row>
    <row r="1256">
      <c r="C1256" s="19">
        <f>IFERROR(__xludf.DUMMYFUNCTION("""COMPUTED_VALUE"""),45937.47743741898)</f>
        <v>45937.47744</v>
      </c>
      <c r="D1256" s="7" t="str">
        <f>IFERROR(__xludf.DUMMYFUNCTION("""COMPUTED_VALUE"""),"Albert ")</f>
        <v>Albert </v>
      </c>
      <c r="E1256" s="7" t="str">
        <f>IFERROR(__xludf.DUMMYFUNCTION("""COMPUTED_VALUE"""),"Carlos Martin")</f>
        <v>Carlos Martin</v>
      </c>
      <c r="F1256" s="7" t="str">
        <f>IFERROR(__xludf.DUMMYFUNCTION("""COMPUTED_VALUE"""),"tinmar_2008@hotmail.com")</f>
        <v>tinmar_2008@hotmail.com</v>
      </c>
      <c r="G1256" s="20">
        <f>IFERROR(__xludf.DUMMYFUNCTION("""COMPUTED_VALUE"""),32933.0)</f>
        <v>32933</v>
      </c>
      <c r="H1256" s="7">
        <f>IFERROR(__xludf.DUMMYFUNCTION("""COMPUTED_VALUE"""),3.4881951E7)</f>
        <v>34881951</v>
      </c>
      <c r="I1256" s="7">
        <f>IFERROR(__xludf.DUMMYFUNCTION("""COMPUTED_VALUE"""),1.137665104E9)</f>
        <v>1137665104</v>
      </c>
      <c r="J1256" s="7" t="str">
        <f>IFERROR(__xludf.DUMMYFUNCTION("""COMPUTED_VALUE"""),"Google")</f>
        <v>Google</v>
      </c>
      <c r="K1256" s="7" t="str">
        <f>IFERROR(__xludf.DUMMYFUNCTION("""COMPUTED_VALUE"""),"Particular")</f>
        <v>Particular</v>
      </c>
      <c r="L1256" s="7"/>
      <c r="M1256" s="7" t="str">
        <f>IFERROR(__xludf.DUMMYFUNCTION("""COMPUTED_VALUE"""),"Si")</f>
        <v>Si</v>
      </c>
      <c r="N1256" s="7" t="str">
        <f>IFERROR(__xludf.DUMMYFUNCTION("""COMPUTED_VALUE"""),"Pilates y trote")</f>
        <v>Pilates y trote</v>
      </c>
      <c r="O1256" s="7" t="str">
        <f>IFERROR(__xludf.DUMMYFUNCTION("""COMPUTED_VALUE"""),"3 a 5 veces por semana")</f>
        <v>3 a 5 veces por semana</v>
      </c>
      <c r="P1256" s="7"/>
      <c r="Q1256" s="7"/>
      <c r="R1256" s="7"/>
      <c r="S1256" s="7"/>
    </row>
    <row r="1257">
      <c r="C1257" s="19">
        <f>IFERROR(__xludf.DUMMYFUNCTION("""COMPUTED_VALUE"""),45938.79432782407)</f>
        <v>45938.79433</v>
      </c>
      <c r="D1257" s="7" t="str">
        <f>IFERROR(__xludf.DUMMYFUNCTION("""COMPUTED_VALUE"""),"Cambronera")</f>
        <v>Cambronera</v>
      </c>
      <c r="E1257" s="7" t="str">
        <f>IFERROR(__xludf.DUMMYFUNCTION("""COMPUTED_VALUE"""),"Ana Laura")</f>
        <v>Ana Laura</v>
      </c>
      <c r="F1257" s="7" t="str">
        <f>IFERROR(__xludf.DUMMYFUNCTION("""COMPUTED_VALUE"""),"analauracambronera3075@gmail.com")</f>
        <v>analauracambronera3075@gmail.com</v>
      </c>
      <c r="G1257" s="20">
        <f>IFERROR(__xludf.DUMMYFUNCTION("""COMPUTED_VALUE"""),27514.0)</f>
        <v>27514</v>
      </c>
      <c r="H1257" s="7">
        <f>IFERROR(__xludf.DUMMYFUNCTION("""COMPUTED_VALUE"""),2.4769013E7)</f>
        <v>24769013</v>
      </c>
      <c r="I1257" s="7">
        <f>IFERROR(__xludf.DUMMYFUNCTION("""COMPUTED_VALUE"""),3.513091827E9)</f>
        <v>3513091827</v>
      </c>
      <c r="J1257" s="7" t="str">
        <f>IFERROR(__xludf.DUMMYFUNCTION("""COMPUTED_VALUE"""),"Recomendación")</f>
        <v>Recomendación</v>
      </c>
      <c r="K1257" s="7" t="str">
        <f>IFERROR(__xludf.DUMMYFUNCTION("""COMPUTED_VALUE"""),"Particular")</f>
        <v>Particular</v>
      </c>
      <c r="L1257" s="7"/>
      <c r="M1257" s="7" t="str">
        <f>IFERROR(__xludf.DUMMYFUNCTION("""COMPUTED_VALUE"""),"Si")</f>
        <v>Si</v>
      </c>
      <c r="N1257" s="7" t="str">
        <f>IFERROR(__xludf.DUMMYFUNCTION("""COMPUTED_VALUE"""),"Zumba")</f>
        <v>Zumba</v>
      </c>
      <c r="O1257" s="7" t="str">
        <f>IFERROR(__xludf.DUMMYFUNCTION("""COMPUTED_VALUE"""),"1 a 2 veces por semana")</f>
        <v>1 a 2 veces por semana</v>
      </c>
      <c r="P1257" s="7"/>
      <c r="Q1257" s="7"/>
      <c r="R1257" s="7"/>
      <c r="S1257" s="7"/>
    </row>
    <row r="1258">
      <c r="C1258" s="19">
        <f>IFERROR(__xludf.DUMMYFUNCTION("""COMPUTED_VALUE"""),45938.82308714121)</f>
        <v>45938.82309</v>
      </c>
      <c r="D1258" s="7" t="str">
        <f>IFERROR(__xludf.DUMMYFUNCTION("""COMPUTED_VALUE"""),"Mantelli")</f>
        <v>Mantelli</v>
      </c>
      <c r="E1258" s="7" t="str">
        <f>IFERROR(__xludf.DUMMYFUNCTION("""COMPUTED_VALUE"""),"Juan Francisco ")</f>
        <v>Juan Francisco </v>
      </c>
      <c r="F1258" s="7" t="str">
        <f>IFERROR(__xludf.DUMMYFUNCTION("""COMPUTED_VALUE"""),"mantellijuanjuan@gmail.com")</f>
        <v>mantellijuanjuan@gmail.com</v>
      </c>
      <c r="G1258" s="20">
        <f>IFERROR(__xludf.DUMMYFUNCTION("""COMPUTED_VALUE"""),34047.0)</f>
        <v>34047</v>
      </c>
      <c r="H1258" s="7">
        <f>IFERROR(__xludf.DUMMYFUNCTION("""COMPUTED_VALUE"""),3.7232728E7)</f>
        <v>37232728</v>
      </c>
      <c r="I1258" s="7">
        <f>IFERROR(__xludf.DUMMYFUNCTION("""COMPUTED_VALUE"""),3.537316068E9)</f>
        <v>3537316068</v>
      </c>
      <c r="J1258" s="7" t="str">
        <f>IFERROR(__xludf.DUMMYFUNCTION("""COMPUTED_VALUE"""),"Recomendación")</f>
        <v>Recomendación</v>
      </c>
      <c r="K1258" s="7" t="str">
        <f>IFERROR(__xludf.DUMMYFUNCTION("""COMPUTED_VALUE"""),"Obra social")</f>
        <v>Obra social</v>
      </c>
      <c r="L1258" s="7"/>
      <c r="M1258" s="7" t="str">
        <f>IFERROR(__xludf.DUMMYFUNCTION("""COMPUTED_VALUE"""),"No")</f>
        <v>No</v>
      </c>
      <c r="N1258" s="7"/>
      <c r="O1258" s="7"/>
      <c r="P1258" s="7"/>
      <c r="Q1258" s="7" t="str">
        <f>IFERROR(__xludf.DUMMYFUNCTION("""COMPUTED_VALUE"""),"SANCOR")</f>
        <v>SANCOR</v>
      </c>
      <c r="R1258" s="7"/>
      <c r="S1258" s="7"/>
    </row>
    <row r="1259">
      <c r="C1259" s="19">
        <f>IFERROR(__xludf.DUMMYFUNCTION("""COMPUTED_VALUE"""),45939.697019513886)</f>
        <v>45939.69702</v>
      </c>
      <c r="D1259" s="7" t="str">
        <f>IFERROR(__xludf.DUMMYFUNCTION("""COMPUTED_VALUE"""),"Coll ")</f>
        <v>Coll </v>
      </c>
      <c r="E1259" s="7" t="str">
        <f>IFERROR(__xludf.DUMMYFUNCTION("""COMPUTED_VALUE"""),"Veronica ")</f>
        <v>Veronica </v>
      </c>
      <c r="F1259" s="7" t="str">
        <f>IFERROR(__xludf.DUMMYFUNCTION("""COMPUTED_VALUE"""),"verocoll9@gmail.com")</f>
        <v>verocoll9@gmail.com</v>
      </c>
      <c r="G1259" s="20">
        <f>IFERROR(__xludf.DUMMYFUNCTION("""COMPUTED_VALUE"""),25358.0)</f>
        <v>25358</v>
      </c>
      <c r="H1259" s="7">
        <f>IFERROR(__xludf.DUMMYFUNCTION("""COMPUTED_VALUE"""),2.0870278E7)</f>
        <v>20870278</v>
      </c>
      <c r="I1259" s="7">
        <f>IFERROR(__xludf.DUMMYFUNCTION("""COMPUTED_VALUE"""),3.513911009E9)</f>
        <v>3513911009</v>
      </c>
      <c r="J1259" s="7" t="str">
        <f>IFERROR(__xludf.DUMMYFUNCTION("""COMPUTED_VALUE"""),"Voy al gym Manantial")</f>
        <v>Voy al gym Manantial</v>
      </c>
      <c r="K1259" s="7" t="str">
        <f>IFERROR(__xludf.DUMMYFUNCTION("""COMPUTED_VALUE"""),"Particular")</f>
        <v>Particular</v>
      </c>
      <c r="L1259" s="7"/>
      <c r="M1259" s="7" t="str">
        <f>IFERROR(__xludf.DUMMYFUNCTION("""COMPUTED_VALUE"""),"Si")</f>
        <v>Si</v>
      </c>
      <c r="N1259" s="7" t="str">
        <f>IFERROR(__xludf.DUMMYFUNCTION("""COMPUTED_VALUE"""),"Gimnasio")</f>
        <v>Gimnasio</v>
      </c>
      <c r="O1259" s="7" t="str">
        <f>IFERROR(__xludf.DUMMYFUNCTION("""COMPUTED_VALUE"""),"3 a 5 veces por semana")</f>
        <v>3 a 5 veces por semana</v>
      </c>
      <c r="P1259" s="7"/>
      <c r="Q1259" s="7"/>
      <c r="R1259" s="7"/>
      <c r="S1259" s="7"/>
    </row>
    <row r="1260">
      <c r="C1260" s="19">
        <f>IFERROR(__xludf.DUMMYFUNCTION("""COMPUTED_VALUE"""),45939.77081775463)</f>
        <v>45939.77082</v>
      </c>
      <c r="D1260" s="7" t="str">
        <f>IFERROR(__xludf.DUMMYFUNCTION("""COMPUTED_VALUE"""),"Sanchez ")</f>
        <v>Sanchez </v>
      </c>
      <c r="E1260" s="7" t="str">
        <f>IFERROR(__xludf.DUMMYFUNCTION("""COMPUTED_VALUE"""),"Eva ")</f>
        <v>Eva </v>
      </c>
      <c r="F1260" s="7" t="str">
        <f>IFERROR(__xludf.DUMMYFUNCTION("""COMPUTED_VALUE"""),"evagesanchez@hotmail.com")</f>
        <v>evagesanchez@hotmail.com</v>
      </c>
      <c r="G1260" s="20">
        <f>IFERROR(__xludf.DUMMYFUNCTION("""COMPUTED_VALUE"""),28332.0)</f>
        <v>28332</v>
      </c>
      <c r="H1260" s="7">
        <f>IFERROR(__xludf.DUMMYFUNCTION("""COMPUTED_VALUE"""),2.5858494E7)</f>
        <v>25858494</v>
      </c>
      <c r="I1260" s="7">
        <f>IFERROR(__xludf.DUMMYFUNCTION("""COMPUTED_VALUE"""),3.516379967E9)</f>
        <v>3516379967</v>
      </c>
      <c r="J1260" s="7" t="str">
        <f>IFERROR(__xludf.DUMMYFUNCTION("""COMPUTED_VALUE"""),"Google")</f>
        <v>Google</v>
      </c>
      <c r="K1260" s="7" t="str">
        <f>IFERROR(__xludf.DUMMYFUNCTION("""COMPUTED_VALUE"""),"Obra social")</f>
        <v>Obra social</v>
      </c>
      <c r="L1260" s="7"/>
      <c r="M1260" s="7" t="str">
        <f>IFERROR(__xludf.DUMMYFUNCTION("""COMPUTED_VALUE"""),"Si")</f>
        <v>Si</v>
      </c>
      <c r="N1260" s="7" t="str">
        <f>IFERROR(__xludf.DUMMYFUNCTION("""COMPUTED_VALUE"""),"Baile")</f>
        <v>Baile</v>
      </c>
      <c r="O1260" s="7" t="str">
        <f>IFERROR(__xludf.DUMMYFUNCTION("""COMPUTED_VALUE"""),"1 a 2 veces por semana")</f>
        <v>1 a 2 veces por semana</v>
      </c>
      <c r="P1260" s="7"/>
      <c r="Q1260" s="7" t="str">
        <f>IFERROR(__xludf.DUMMYFUNCTION("""COMPUTED_VALUE"""),"APROSS")</f>
        <v>APROSS</v>
      </c>
      <c r="R1260" s="7"/>
      <c r="S1260" s="7"/>
    </row>
    <row r="1261">
      <c r="C1261" s="19">
        <f>IFERROR(__xludf.DUMMYFUNCTION("""COMPUTED_VALUE"""),45939.780174768515)</f>
        <v>45939.78017</v>
      </c>
      <c r="D1261" s="7" t="str">
        <f>IFERROR(__xludf.DUMMYFUNCTION("""COMPUTED_VALUE"""),"Ferreyra")</f>
        <v>Ferreyra</v>
      </c>
      <c r="E1261" s="7" t="str">
        <f>IFERROR(__xludf.DUMMYFUNCTION("""COMPUTED_VALUE"""),"Soledad")</f>
        <v>Soledad</v>
      </c>
      <c r="F1261" s="7" t="str">
        <f>IFERROR(__xludf.DUMMYFUNCTION("""COMPUTED_VALUE"""),"soleferreyra13@hotmail.com")</f>
        <v>soleferreyra13@hotmail.com</v>
      </c>
      <c r="G1261" s="20">
        <f>IFERROR(__xludf.DUMMYFUNCTION("""COMPUTED_VALUE"""),19219.0)</f>
        <v>19219</v>
      </c>
      <c r="H1261" s="7">
        <f>IFERROR(__xludf.DUMMYFUNCTION("""COMPUTED_VALUE"""),1.0545785E7)</f>
        <v>10545785</v>
      </c>
      <c r="I1261" s="7">
        <f>IFERROR(__xludf.DUMMYFUNCTION("""COMPUTED_VALUE"""),3.515203179E9)</f>
        <v>3515203179</v>
      </c>
      <c r="J1261" s="7" t="str">
        <f>IFERROR(__xludf.DUMMYFUNCTION("""COMPUTED_VALUE"""),"Recomendación")</f>
        <v>Recomendación</v>
      </c>
      <c r="K1261" s="7" t="str">
        <f>IFERROR(__xludf.DUMMYFUNCTION("""COMPUTED_VALUE"""),"Obra social")</f>
        <v>Obra social</v>
      </c>
      <c r="L1261" s="7"/>
      <c r="M1261" s="7" t="str">
        <f>IFERROR(__xludf.DUMMYFUNCTION("""COMPUTED_VALUE"""),"Si")</f>
        <v>Si</v>
      </c>
      <c r="N1261" s="7" t="str">
        <f>IFERROR(__xludf.DUMMYFUNCTION("""COMPUTED_VALUE"""),"Yoga")</f>
        <v>Yoga</v>
      </c>
      <c r="O1261" s="7" t="str">
        <f>IFERROR(__xludf.DUMMYFUNCTION("""COMPUTED_VALUE"""),"1 a 2 veces por semana")</f>
        <v>1 a 2 veces por semana</v>
      </c>
      <c r="P1261" s="7"/>
      <c r="Q1261" s="7" t="str">
        <f>IFERROR(__xludf.DUMMYFUNCTION("""COMPUTED_VALUE"""),"Omint")</f>
        <v>Omint</v>
      </c>
      <c r="R1261" s="7"/>
      <c r="S1261" s="7"/>
    </row>
    <row r="1262">
      <c r="C1262" s="19">
        <f>IFERROR(__xludf.DUMMYFUNCTION("""COMPUTED_VALUE"""),45939.80833137731)</f>
        <v>45939.80833</v>
      </c>
      <c r="D1262" s="7" t="str">
        <f>IFERROR(__xludf.DUMMYFUNCTION("""COMPUTED_VALUE"""),"Argota")</f>
        <v>Argota</v>
      </c>
      <c r="E1262" s="7" t="str">
        <f>IFERROR(__xludf.DUMMYFUNCTION("""COMPUTED_VALUE"""),"Maria Victoria")</f>
        <v>Maria Victoria</v>
      </c>
      <c r="F1262" s="7"/>
      <c r="G1262" s="20">
        <f>IFERROR(__xludf.DUMMYFUNCTION("""COMPUTED_VALUE"""),40156.0)</f>
        <v>40156</v>
      </c>
      <c r="H1262" s="7">
        <f>IFERROR(__xludf.DUMMYFUNCTION("""COMPUTED_VALUE"""),4.9864772E7)</f>
        <v>49864772</v>
      </c>
      <c r="I1262" s="7">
        <f>IFERROR(__xludf.DUMMYFUNCTION("""COMPUTED_VALUE"""),3.512848425E9)</f>
        <v>3512848425</v>
      </c>
      <c r="J1262" s="7" t="str">
        <f>IFERROR(__xludf.DUMMYFUNCTION("""COMPUTED_VALUE"""),"Voy al gym Manantial")</f>
        <v>Voy al gym Manantial</v>
      </c>
      <c r="K1262" s="7" t="str">
        <f>IFERROR(__xludf.DUMMYFUNCTION("""COMPUTED_VALUE"""),"Obra social")</f>
        <v>Obra social</v>
      </c>
      <c r="L1262" s="7"/>
      <c r="M1262" s="7" t="str">
        <f>IFERROR(__xludf.DUMMYFUNCTION("""COMPUTED_VALUE"""),"Si")</f>
        <v>Si</v>
      </c>
      <c r="N1262" s="7" t="str">
        <f>IFERROR(__xludf.DUMMYFUNCTION("""COMPUTED_VALUE"""),"Gimnasio")</f>
        <v>Gimnasio</v>
      </c>
      <c r="O1262" s="7" t="str">
        <f>IFERROR(__xludf.DUMMYFUNCTION("""COMPUTED_VALUE"""),"6 a 7 veces por semana")</f>
        <v>6 a 7 veces por semana</v>
      </c>
      <c r="P1262" s="7"/>
      <c r="Q1262" s="7"/>
      <c r="R1262" s="7"/>
      <c r="S1262" s="7"/>
    </row>
    <row r="1263">
      <c r="C1263" s="19">
        <f>IFERROR(__xludf.DUMMYFUNCTION("""COMPUTED_VALUE"""),45943.48002827546)</f>
        <v>45943.48003</v>
      </c>
      <c r="D1263" s="7" t="str">
        <f>IFERROR(__xludf.DUMMYFUNCTION("""COMPUTED_VALUE"""),"Farias")</f>
        <v>Farias</v>
      </c>
      <c r="E1263" s="7" t="str">
        <f>IFERROR(__xludf.DUMMYFUNCTION("""COMPUTED_VALUE"""),"Salvador")</f>
        <v>Salvador</v>
      </c>
      <c r="F1263" s="7" t="str">
        <f>IFERROR(__xludf.DUMMYFUNCTION("""COMPUTED_VALUE"""),"rominalorenab@hotmail.com")</f>
        <v>rominalorenab@hotmail.com</v>
      </c>
      <c r="G1263" s="20">
        <f>IFERROR(__xludf.DUMMYFUNCTION("""COMPUTED_VALUE"""),41489.0)</f>
        <v>41489</v>
      </c>
      <c r="H1263" s="7">
        <f>IFERROR(__xludf.DUMMYFUNCTION("""COMPUTED_VALUE"""),5.3262359E7)</f>
        <v>53262359</v>
      </c>
      <c r="I1263" s="7">
        <f>IFERROR(__xludf.DUMMYFUNCTION("""COMPUTED_VALUE"""),3.513242223E9)</f>
        <v>3513242223</v>
      </c>
      <c r="J1263" s="7" t="str">
        <f>IFERROR(__xludf.DUMMYFUNCTION("""COMPUTED_VALUE"""),"Recomendación")</f>
        <v>Recomendación</v>
      </c>
      <c r="K1263" s="7" t="str">
        <f>IFERROR(__xludf.DUMMYFUNCTION("""COMPUTED_VALUE"""),"Obra social")</f>
        <v>Obra social</v>
      </c>
      <c r="L1263" s="7"/>
      <c r="M1263" s="7" t="str">
        <f>IFERROR(__xludf.DUMMYFUNCTION("""COMPUTED_VALUE"""),"Si")</f>
        <v>Si</v>
      </c>
      <c r="N1263" s="7" t="str">
        <f>IFERROR(__xludf.DUMMYFUNCTION("""COMPUTED_VALUE"""),"Fútbol")</f>
        <v>Fútbol</v>
      </c>
      <c r="O1263" s="7" t="str">
        <f>IFERROR(__xludf.DUMMYFUNCTION("""COMPUTED_VALUE"""),"3 a 5 veces por semana")</f>
        <v>3 a 5 veces por semana</v>
      </c>
      <c r="P1263" s="7"/>
      <c r="Q1263" s="7" t="str">
        <f>IFERROR(__xludf.DUMMYFUNCTION("""COMPUTED_VALUE"""),"SANCOR")</f>
        <v>SANCOR</v>
      </c>
      <c r="R1263" s="7"/>
      <c r="S1263" s="7"/>
    </row>
    <row r="1264">
      <c r="C1264" s="19">
        <f>IFERROR(__xludf.DUMMYFUNCTION("""COMPUTED_VALUE"""),45943.60278869213)</f>
        <v>45943.60279</v>
      </c>
      <c r="D1264" s="7" t="str">
        <f>IFERROR(__xludf.DUMMYFUNCTION("""COMPUTED_VALUE"""),"PELAEZ")</f>
        <v>PELAEZ</v>
      </c>
      <c r="E1264" s="7" t="str">
        <f>IFERROR(__xludf.DUMMYFUNCTION("""COMPUTED_VALUE"""),"VICTOR HORACIO")</f>
        <v>VICTOR HORACIO</v>
      </c>
      <c r="F1264" s="7" t="str">
        <f>IFERROR(__xludf.DUMMYFUNCTION("""COMPUTED_VALUE"""),"victor22xt@gmail.com")</f>
        <v>victor22xt@gmail.com</v>
      </c>
      <c r="G1264" s="20">
        <f>IFERROR(__xludf.DUMMYFUNCTION("""COMPUTED_VALUE"""),21529.0)</f>
        <v>21529</v>
      </c>
      <c r="H1264" s="7">
        <f>IFERROR(__xludf.DUMMYFUNCTION("""COMPUTED_VALUE"""),1.2670862E7)</f>
        <v>12670862</v>
      </c>
      <c r="I1264" s="7">
        <f>IFERROR(__xludf.DUMMYFUNCTION("""COMPUTED_VALUE"""),3.51531421E9)</f>
        <v>3515314210</v>
      </c>
      <c r="J1264" s="7" t="str">
        <f>IFERROR(__xludf.DUMMYFUNCTION("""COMPUTED_VALUE"""),"Recomendación")</f>
        <v>Recomendación</v>
      </c>
      <c r="K1264" s="7" t="str">
        <f>IFERROR(__xludf.DUMMYFUNCTION("""COMPUTED_VALUE"""),"Obra social")</f>
        <v>Obra social</v>
      </c>
      <c r="L1264" s="7"/>
      <c r="M1264" s="7" t="str">
        <f>IFERROR(__xludf.DUMMYFUNCTION("""COMPUTED_VALUE"""),"No")</f>
        <v>No</v>
      </c>
      <c r="N1264" s="7"/>
      <c r="O1264" s="7"/>
      <c r="P1264" s="7"/>
      <c r="Q1264" s="7" t="str">
        <f>IFERROR(__xludf.DUMMYFUNCTION("""COMPUTED_VALUE"""),"APROSS")</f>
        <v>APROSS</v>
      </c>
      <c r="R1264" s="7"/>
      <c r="S1264" s="7"/>
    </row>
    <row r="1265">
      <c r="C1265" s="19">
        <f>IFERROR(__xludf.DUMMYFUNCTION("""COMPUTED_VALUE"""),45943.72266510417)</f>
        <v>45943.72267</v>
      </c>
      <c r="D1265" s="7" t="str">
        <f>IFERROR(__xludf.DUMMYFUNCTION("""COMPUTED_VALUE"""),"Vanegas")</f>
        <v>Vanegas</v>
      </c>
      <c r="E1265" s="7" t="str">
        <f>IFERROR(__xludf.DUMMYFUNCTION("""COMPUTED_VALUE"""),"Fabián ")</f>
        <v>Fabián </v>
      </c>
      <c r="F1265" s="7" t="str">
        <f>IFERROR(__xludf.DUMMYFUNCTION("""COMPUTED_VALUE"""),"vanegasmaximo@yahoo.com.ar")</f>
        <v>vanegasmaximo@yahoo.com.ar</v>
      </c>
      <c r="G1265" s="20">
        <f>IFERROR(__xludf.DUMMYFUNCTION("""COMPUTED_VALUE"""),27444.0)</f>
        <v>27444</v>
      </c>
      <c r="H1265" s="7">
        <f>IFERROR(__xludf.DUMMYFUNCTION("""COMPUTED_VALUE"""),2.4463781E7)</f>
        <v>24463781</v>
      </c>
      <c r="I1265" s="7">
        <f>IFERROR(__xludf.DUMMYFUNCTION("""COMPUTED_VALUE"""),3.516828401E9)</f>
        <v>3516828401</v>
      </c>
      <c r="J1265" s="7" t="str">
        <f>IFERROR(__xludf.DUMMYFUNCTION("""COMPUTED_VALUE"""),"Instagram")</f>
        <v>Instagram</v>
      </c>
      <c r="K1265" s="7" t="str">
        <f>IFERROR(__xludf.DUMMYFUNCTION("""COMPUTED_VALUE"""),"Obra social")</f>
        <v>Obra social</v>
      </c>
      <c r="L1265" s="7"/>
      <c r="M1265" s="7" t="str">
        <f>IFERROR(__xludf.DUMMYFUNCTION("""COMPUTED_VALUE"""),"No")</f>
        <v>No</v>
      </c>
      <c r="N1265" s="7"/>
      <c r="O1265" s="7"/>
      <c r="P1265" s="7"/>
      <c r="Q1265" s="7" t="str">
        <f>IFERROR(__xludf.DUMMYFUNCTION("""COMPUTED_VALUE"""),"APROSS")</f>
        <v>APROSS</v>
      </c>
      <c r="R1265" s="7"/>
      <c r="S1265" s="7"/>
    </row>
    <row r="1266">
      <c r="C1266" s="19">
        <f>IFERROR(__xludf.DUMMYFUNCTION("""COMPUTED_VALUE"""),45943.74044424768)</f>
        <v>45943.74044</v>
      </c>
      <c r="D1266" s="7" t="str">
        <f>IFERROR(__xludf.DUMMYFUNCTION("""COMPUTED_VALUE"""),"Rodriguez ")</f>
        <v>Rodriguez </v>
      </c>
      <c r="E1266" s="7" t="str">
        <f>IFERROR(__xludf.DUMMYFUNCTION("""COMPUTED_VALUE"""),"José Hector ")</f>
        <v>José Hector </v>
      </c>
      <c r="F1266" s="7" t="str">
        <f>IFERROR(__xludf.DUMMYFUNCTION("""COMPUTED_VALUE"""),"jos_pep-rod@hotmail.com")</f>
        <v>jos_pep-rod@hotmail.com</v>
      </c>
      <c r="G1266" s="20">
        <f>IFERROR(__xludf.DUMMYFUNCTION("""COMPUTED_VALUE"""),18704.0)</f>
        <v>18704</v>
      </c>
      <c r="H1266" s="7">
        <f>IFERROR(__xludf.DUMMYFUNCTION("""COMPUTED_VALUE"""),8598383.0)</f>
        <v>8598383</v>
      </c>
      <c r="I1266" s="7">
        <f>IFERROR(__xludf.DUMMYFUNCTION("""COMPUTED_VALUE"""),3.515433121E9)</f>
        <v>3515433121</v>
      </c>
      <c r="J1266" s="7" t="str">
        <f>IFERROR(__xludf.DUMMYFUNCTION("""COMPUTED_VALUE"""),"Recomendación")</f>
        <v>Recomendación</v>
      </c>
      <c r="K1266" s="7" t="str">
        <f>IFERROR(__xludf.DUMMYFUNCTION("""COMPUTED_VALUE"""),"Particular")</f>
        <v>Particular</v>
      </c>
      <c r="L1266" s="7"/>
      <c r="M1266" s="7" t="str">
        <f>IFERROR(__xludf.DUMMYFUNCTION("""COMPUTED_VALUE"""),"Si")</f>
        <v>Si</v>
      </c>
      <c r="N1266" s="7" t="str">
        <f>IFERROR(__xludf.DUMMYFUNCTION("""COMPUTED_VALUE"""),"Acuagym")</f>
        <v>Acuagym</v>
      </c>
      <c r="O1266" s="7" t="str">
        <f>IFERROR(__xludf.DUMMYFUNCTION("""COMPUTED_VALUE"""),"1 a 2 veces por semana")</f>
        <v>1 a 2 veces por semana</v>
      </c>
      <c r="P1266" s="7"/>
      <c r="Q1266" s="7"/>
      <c r="R1266" s="7"/>
      <c r="S1266" s="7"/>
    </row>
    <row r="1267">
      <c r="C1267" s="19">
        <f>IFERROR(__xludf.DUMMYFUNCTION("""COMPUTED_VALUE"""),45943.75852633102)</f>
        <v>45943.75853</v>
      </c>
      <c r="D1267" s="7" t="str">
        <f>IFERROR(__xludf.DUMMYFUNCTION("""COMPUTED_VALUE"""),"Collomb")</f>
        <v>Collomb</v>
      </c>
      <c r="E1267" s="7" t="str">
        <f>IFERROR(__xludf.DUMMYFUNCTION("""COMPUTED_VALUE"""),"Agustin")</f>
        <v>Agustin</v>
      </c>
      <c r="F1267" s="7" t="str">
        <f>IFERROR(__xludf.DUMMYFUNCTION("""COMPUTED_VALUE"""),"agucollomb@gmail.com")</f>
        <v>agucollomb@gmail.com</v>
      </c>
      <c r="G1267" s="20">
        <f>IFERROR(__xludf.DUMMYFUNCTION("""COMPUTED_VALUE"""),33928.0)</f>
        <v>33928</v>
      </c>
      <c r="H1267" s="7">
        <f>IFERROR(__xludf.DUMMYFUNCTION("""COMPUTED_VALUE"""),3.7095567E7)</f>
        <v>37095567</v>
      </c>
      <c r="I1267" s="7">
        <f>IFERROR(__xludf.DUMMYFUNCTION("""COMPUTED_VALUE"""),3.564602453E9)</f>
        <v>3564602453</v>
      </c>
      <c r="J1267" s="7" t="str">
        <f>IFERROR(__xludf.DUMMYFUNCTION("""COMPUTED_VALUE"""),"Google")</f>
        <v>Google</v>
      </c>
      <c r="K1267" s="7" t="str">
        <f>IFERROR(__xludf.DUMMYFUNCTION("""COMPUTED_VALUE"""),"Obra social")</f>
        <v>Obra social</v>
      </c>
      <c r="L1267" s="7"/>
      <c r="M1267" s="7" t="str">
        <f>IFERROR(__xludf.DUMMYFUNCTION("""COMPUTED_VALUE"""),"Si")</f>
        <v>Si</v>
      </c>
      <c r="N1267" s="7" t="str">
        <f>IFERROR(__xludf.DUMMYFUNCTION("""COMPUTED_VALUE"""),"Funcional+Futbol")</f>
        <v>Funcional+Futbol</v>
      </c>
      <c r="O1267" s="7" t="str">
        <f>IFERROR(__xludf.DUMMYFUNCTION("""COMPUTED_VALUE"""),"6 a 7 veces por semana")</f>
        <v>6 a 7 veces por semana</v>
      </c>
      <c r="P1267" s="7"/>
      <c r="Q1267" s="7" t="str">
        <f>IFERROR(__xludf.DUMMYFUNCTION("""COMPUTED_VALUE"""),"SANCOR")</f>
        <v>SANCOR</v>
      </c>
      <c r="R1267" s="7"/>
      <c r="S1267" s="7"/>
    </row>
    <row r="1268">
      <c r="C1268" s="19">
        <f>IFERROR(__xludf.DUMMYFUNCTION("""COMPUTED_VALUE"""),45944.445317245365)</f>
        <v>45944.44532</v>
      </c>
      <c r="D1268" s="7" t="str">
        <f>IFERROR(__xludf.DUMMYFUNCTION("""COMPUTED_VALUE"""),"costamagna")</f>
        <v>costamagna</v>
      </c>
      <c r="E1268" s="7" t="str">
        <f>IFERROR(__xludf.DUMMYFUNCTION("""COMPUTED_VALUE"""),"susana")</f>
        <v>susana</v>
      </c>
      <c r="F1268" s="7" t="str">
        <f>IFERROR(__xludf.DUMMYFUNCTION("""COMPUTED_VALUE"""),"susanacostamagna@hotmail.com")</f>
        <v>susanacostamagna@hotmail.com</v>
      </c>
      <c r="G1268" s="20">
        <f>IFERROR(__xludf.DUMMYFUNCTION("""COMPUTED_VALUE"""),17840.0)</f>
        <v>17840</v>
      </c>
      <c r="H1268" s="7">
        <f>IFERROR(__xludf.DUMMYFUNCTION("""COMPUTED_VALUE"""),5869655.0)</f>
        <v>5869655</v>
      </c>
      <c r="I1268" s="7">
        <f>IFERROR(__xludf.DUMMYFUNCTION("""COMPUTED_VALUE"""),3.513239274E9)</f>
        <v>3513239274</v>
      </c>
      <c r="J1268" s="7" t="str">
        <f>IFERROR(__xludf.DUMMYFUNCTION("""COMPUTED_VALUE"""),"Voy al gym Manantial")</f>
        <v>Voy al gym Manantial</v>
      </c>
      <c r="K1268" s="7" t="str">
        <f>IFERROR(__xludf.DUMMYFUNCTION("""COMPUTED_VALUE"""),"Particular")</f>
        <v>Particular</v>
      </c>
      <c r="L1268" s="7"/>
      <c r="M1268" s="7" t="str">
        <f>IFERROR(__xludf.DUMMYFUNCTION("""COMPUTED_VALUE"""),"Si")</f>
        <v>Si</v>
      </c>
      <c r="N1268" s="7" t="str">
        <f>IFERROR(__xludf.DUMMYFUNCTION("""COMPUTED_VALUE"""),"Gimnasio")</f>
        <v>Gimnasio</v>
      </c>
      <c r="O1268" s="7" t="str">
        <f>IFERROR(__xludf.DUMMYFUNCTION("""COMPUTED_VALUE"""),"3 a 5 veces por semana")</f>
        <v>3 a 5 veces por semana</v>
      </c>
      <c r="P1268" s="7"/>
      <c r="Q1268" s="7"/>
      <c r="R1268" s="7"/>
      <c r="S1268" s="7"/>
    </row>
    <row r="1269">
      <c r="C1269" s="19">
        <f>IFERROR(__xludf.DUMMYFUNCTION("""COMPUTED_VALUE"""),45944.81633239583)</f>
        <v>45944.81633</v>
      </c>
      <c r="D1269" s="7" t="str">
        <f>IFERROR(__xludf.DUMMYFUNCTION("""COMPUTED_VALUE"""),"BORDINO ")</f>
        <v>BORDINO </v>
      </c>
      <c r="E1269" s="7" t="str">
        <f>IFERROR(__xludf.DUMMYFUNCTION("""COMPUTED_VALUE"""),"Alvaro")</f>
        <v>Alvaro</v>
      </c>
      <c r="F1269" s="7" t="str">
        <f>IFERROR(__xludf.DUMMYFUNCTION("""COMPUTED_VALUE"""),"alvarobordino1995@gmail ")</f>
        <v>alvarobordino1995@gmail </v>
      </c>
      <c r="G1269" s="20">
        <f>IFERROR(__xludf.DUMMYFUNCTION("""COMPUTED_VALUE"""),34460.0)</f>
        <v>34460</v>
      </c>
      <c r="H1269" s="7">
        <f>IFERROR(__xludf.DUMMYFUNCTION("""COMPUTED_VALUE"""),3.8183134E7)</f>
        <v>38183134</v>
      </c>
      <c r="I1269" s="7">
        <f>IFERROR(__xludf.DUMMYFUNCTION("""COMPUTED_VALUE"""),3.51533772E9)</f>
        <v>3515337720</v>
      </c>
      <c r="J1269" s="7" t="str">
        <f>IFERROR(__xludf.DUMMYFUNCTION("""COMPUTED_VALUE"""),"ya venía con nosotros ")</f>
        <v>ya venía con nosotros </v>
      </c>
      <c r="K1269" s="7" t="str">
        <f>IFERROR(__xludf.DUMMYFUNCTION("""COMPUTED_VALUE"""),"Obra social")</f>
        <v>Obra social</v>
      </c>
      <c r="L1269" s="7"/>
      <c r="M1269" s="7" t="str">
        <f>IFERROR(__xludf.DUMMYFUNCTION("""COMPUTED_VALUE"""),"Si")</f>
        <v>Si</v>
      </c>
      <c r="N1269" s="7" t="str">
        <f>IFERROR(__xludf.DUMMYFUNCTION("""COMPUTED_VALUE"""),"Fútbol")</f>
        <v>Fútbol</v>
      </c>
      <c r="O1269" s="7" t="str">
        <f>IFERROR(__xludf.DUMMYFUNCTION("""COMPUTED_VALUE"""),"1 a 2 veces por semana")</f>
        <v>1 a 2 veces por semana</v>
      </c>
      <c r="P1269" s="7"/>
      <c r="Q1269" s="7" t="str">
        <f>IFERROR(__xludf.DUMMYFUNCTION("""COMPUTED_VALUE"""),"PREVENCIÓN")</f>
        <v>PREVENCIÓN</v>
      </c>
      <c r="R1269" s="7"/>
      <c r="S1269" s="7"/>
    </row>
    <row r="1270">
      <c r="C1270" s="19">
        <f>IFERROR(__xludf.DUMMYFUNCTION("""COMPUTED_VALUE"""),45945.46915319444)</f>
        <v>45945.46915</v>
      </c>
      <c r="D1270" s="7" t="str">
        <f>IFERROR(__xludf.DUMMYFUNCTION("""COMPUTED_VALUE"""),"Jmelnitzky ")</f>
        <v>Jmelnitzky </v>
      </c>
      <c r="E1270" s="7" t="str">
        <f>IFERROR(__xludf.DUMMYFUNCTION("""COMPUTED_VALUE"""),"Fabian")</f>
        <v>Fabian</v>
      </c>
      <c r="F1270" s="7" t="str">
        <f>IFERROR(__xludf.DUMMYFUNCTION("""COMPUTED_VALUE"""),"jmelnitzkyf@gmail.com")</f>
        <v>jmelnitzkyf@gmail.com</v>
      </c>
      <c r="G1270" s="20">
        <f>IFERROR(__xludf.DUMMYFUNCTION("""COMPUTED_VALUE"""),33557.0)</f>
        <v>33557</v>
      </c>
      <c r="H1270" s="7">
        <f>IFERROR(__xludf.DUMMYFUNCTION("""COMPUTED_VALUE"""),3.6143364E7)</f>
        <v>36143364</v>
      </c>
      <c r="I1270" s="7">
        <f>IFERROR(__xludf.DUMMYFUNCTION("""COMPUTED_VALUE"""),3.512338939E9)</f>
        <v>3512338939</v>
      </c>
      <c r="J1270" s="7" t="str">
        <f>IFERROR(__xludf.DUMMYFUNCTION("""COMPUTED_VALUE"""),"Cartilla Obra Social")</f>
        <v>Cartilla Obra Social</v>
      </c>
      <c r="K1270" s="7" t="str">
        <f>IFERROR(__xludf.DUMMYFUNCTION("""COMPUTED_VALUE"""),"Particular")</f>
        <v>Particular</v>
      </c>
      <c r="L1270" s="7"/>
      <c r="M1270" s="7" t="str">
        <f>IFERROR(__xludf.DUMMYFUNCTION("""COMPUTED_VALUE"""),"Si")</f>
        <v>Si</v>
      </c>
      <c r="N1270" s="7" t="str">
        <f>IFERROR(__xludf.DUMMYFUNCTION("""COMPUTED_VALUE"""),"Gimnasio")</f>
        <v>Gimnasio</v>
      </c>
      <c r="O1270" s="7" t="str">
        <f>IFERROR(__xludf.DUMMYFUNCTION("""COMPUTED_VALUE"""),"1 a 2 veces por semana")</f>
        <v>1 a 2 veces por semana</v>
      </c>
      <c r="P1270" s="7"/>
      <c r="Q1270" s="7"/>
      <c r="R1270" s="7"/>
      <c r="S1270" s="7"/>
    </row>
    <row r="1271">
      <c r="C1271" s="19">
        <f>IFERROR(__xludf.DUMMYFUNCTION("""COMPUTED_VALUE"""),45945.83503652777)</f>
        <v>45945.83504</v>
      </c>
      <c r="D1271" s="7" t="str">
        <f>IFERROR(__xludf.DUMMYFUNCTION("""COMPUTED_VALUE"""),"Rossetto ")</f>
        <v>Rossetto </v>
      </c>
      <c r="E1271" s="7" t="str">
        <f>IFERROR(__xludf.DUMMYFUNCTION("""COMPUTED_VALUE"""),"Cecilia ")</f>
        <v>Cecilia </v>
      </c>
      <c r="F1271" s="7" t="str">
        <f>IFERROR(__xludf.DUMMYFUNCTION("""COMPUTED_VALUE"""),"cecirosst@gmail.com")</f>
        <v>cecirosst@gmail.com</v>
      </c>
      <c r="G1271" s="20">
        <f>IFERROR(__xludf.DUMMYFUNCTION("""COMPUTED_VALUE"""),45899.0)</f>
        <v>45899</v>
      </c>
      <c r="H1271" s="7">
        <f>IFERROR(__xludf.DUMMYFUNCTION("""COMPUTED_VALUE"""),2.8639686E7)</f>
        <v>28639686</v>
      </c>
      <c r="I1271" s="7">
        <f>IFERROR(__xludf.DUMMYFUNCTION("""COMPUTED_VALUE"""),3.51514702E9)</f>
        <v>3515147020</v>
      </c>
      <c r="J1271" s="7" t="str">
        <f>IFERROR(__xludf.DUMMYFUNCTION("""COMPUTED_VALUE"""),"Google")</f>
        <v>Google</v>
      </c>
      <c r="K1271" s="7" t="str">
        <f>IFERROR(__xludf.DUMMYFUNCTION("""COMPUTED_VALUE"""),"Particular")</f>
        <v>Particular</v>
      </c>
      <c r="L1271" s="7"/>
      <c r="M1271" s="7" t="str">
        <f>IFERROR(__xludf.DUMMYFUNCTION("""COMPUTED_VALUE"""),"Si")</f>
        <v>Si</v>
      </c>
      <c r="N1271" s="7" t="str">
        <f>IFERROR(__xludf.DUMMYFUNCTION("""COMPUTED_VALUE"""),"Tpa")</f>
        <v>Tpa</v>
      </c>
      <c r="O1271" s="7" t="str">
        <f>IFERROR(__xludf.DUMMYFUNCTION("""COMPUTED_VALUE"""),"1 a 2 veces por semana")</f>
        <v>1 a 2 veces por semana</v>
      </c>
      <c r="P1271" s="7"/>
      <c r="Q1271" s="7"/>
      <c r="R1271" s="7"/>
      <c r="S1271" s="7"/>
    </row>
    <row r="1272">
      <c r="C1272" s="19">
        <f>IFERROR(__xludf.DUMMYFUNCTION("""COMPUTED_VALUE"""),45950.48960732639)</f>
        <v>45950.48961</v>
      </c>
      <c r="D1272" s="7" t="str">
        <f>IFERROR(__xludf.DUMMYFUNCTION("""COMPUTED_VALUE"""),"SUAREZ")</f>
        <v>SUAREZ</v>
      </c>
      <c r="E1272" s="7" t="str">
        <f>IFERROR(__xludf.DUMMYFUNCTION("""COMPUTED_VALUE"""),"NOEMI")</f>
        <v>NOEMI</v>
      </c>
      <c r="F1272" s="7" t="str">
        <f>IFERROR(__xludf.DUMMYFUNCTION("""COMPUTED_VALUE"""),"SONIASUA_65@HOTMAIL.COM")</f>
        <v>SONIASUA_65@HOTMAIL.COM</v>
      </c>
      <c r="G1272" s="20">
        <f>IFERROR(__xludf.DUMMYFUNCTION("""COMPUTED_VALUE"""),24172.0)</f>
        <v>24172</v>
      </c>
      <c r="H1272" s="7">
        <f>IFERROR(__xludf.DUMMYFUNCTION("""COMPUTED_VALUE"""),1.7533411E7)</f>
        <v>17533411</v>
      </c>
      <c r="I1272" s="7">
        <f>IFERROR(__xludf.DUMMYFUNCTION("""COMPUTED_VALUE"""),3.51788706E9)</f>
        <v>3517887060</v>
      </c>
      <c r="J1272" s="7" t="str">
        <f>IFERROR(__xludf.DUMMYFUNCTION("""COMPUTED_VALUE"""),"Voy al gym Manantial")</f>
        <v>Voy al gym Manantial</v>
      </c>
      <c r="K1272" s="7" t="str">
        <f>IFERROR(__xludf.DUMMYFUNCTION("""COMPUTED_VALUE"""),"Particular")</f>
        <v>Particular</v>
      </c>
      <c r="L1272" s="7"/>
      <c r="M1272" s="7" t="str">
        <f>IFERROR(__xludf.DUMMYFUNCTION("""COMPUTED_VALUE"""),"Si")</f>
        <v>Si</v>
      </c>
      <c r="N1272" s="7" t="str">
        <f>IFERROR(__xludf.DUMMYFUNCTION("""COMPUTED_VALUE"""),"Gimnasio")</f>
        <v>Gimnasio</v>
      </c>
      <c r="O1272" s="7" t="str">
        <f>IFERROR(__xludf.DUMMYFUNCTION("""COMPUTED_VALUE"""),"3 a 5 veces por semana")</f>
        <v>3 a 5 veces por semana</v>
      </c>
      <c r="P1272" s="7"/>
      <c r="Q1272" s="7"/>
      <c r="R1272" s="7"/>
      <c r="S1272" s="7"/>
    </row>
    <row r="1273">
      <c r="C1273" s="19">
        <f>IFERROR(__xludf.DUMMYFUNCTION("""COMPUTED_VALUE"""),45950.68423171296)</f>
        <v>45950.68423</v>
      </c>
      <c r="D1273" s="7" t="str">
        <f>IFERROR(__xludf.DUMMYFUNCTION("""COMPUTED_VALUE"""),"VELEZ")</f>
        <v>VELEZ</v>
      </c>
      <c r="E1273" s="7" t="str">
        <f>IFERROR(__xludf.DUMMYFUNCTION("""COMPUTED_VALUE"""),"Enrique Alberto ")</f>
        <v>Enrique Alberto </v>
      </c>
      <c r="F1273" s="7" t="str">
        <f>IFERROR(__xludf.DUMMYFUNCTION("""COMPUTED_VALUE"""),"Enriquealbertovelez3@gmail.com")</f>
        <v>Enriquealbertovelez3@gmail.com</v>
      </c>
      <c r="G1273" s="20">
        <f>IFERROR(__xludf.DUMMYFUNCTION("""COMPUTED_VALUE"""),19386.0)</f>
        <v>19386</v>
      </c>
      <c r="H1273" s="7">
        <f>IFERROR(__xludf.DUMMYFUNCTION("""COMPUTED_VALUE"""),1.0544522E7)</f>
        <v>10544522</v>
      </c>
      <c r="I1273" s="7">
        <f>IFERROR(__xludf.DUMMYFUNCTION("""COMPUTED_VALUE"""),3.516504916E9)</f>
        <v>3516504916</v>
      </c>
      <c r="J1273" s="7" t="str">
        <f>IFERROR(__xludf.DUMMYFUNCTION("""COMPUTED_VALUE"""),"Su esposa se atendía con nosotros ")</f>
        <v>Su esposa se atendía con nosotros </v>
      </c>
      <c r="K1273" s="7" t="str">
        <f>IFERROR(__xludf.DUMMYFUNCTION("""COMPUTED_VALUE"""),"Obra social")</f>
        <v>Obra social</v>
      </c>
      <c r="L1273" s="7"/>
      <c r="M1273" s="7" t="str">
        <f>IFERROR(__xludf.DUMMYFUNCTION("""COMPUTED_VALUE"""),"Si")</f>
        <v>Si</v>
      </c>
      <c r="N1273" s="7" t="str">
        <f>IFERROR(__xludf.DUMMYFUNCTION("""COMPUTED_VALUE"""),"Natación, Tpa ")</f>
        <v>Natación, Tpa </v>
      </c>
      <c r="O1273" s="7" t="str">
        <f>IFERROR(__xludf.DUMMYFUNCTION("""COMPUTED_VALUE"""),"3 a 5 veces por semana")</f>
        <v>3 a 5 veces por semana</v>
      </c>
      <c r="P1273" s="7"/>
      <c r="Q1273" s="7" t="str">
        <f>IFERROR(__xludf.DUMMYFUNCTION("""COMPUTED_VALUE"""),"APROSS")</f>
        <v>APROSS</v>
      </c>
      <c r="R1273" s="7"/>
      <c r="S1273" s="7"/>
    </row>
    <row r="1274">
      <c r="C1274" s="19">
        <f>IFERROR(__xludf.DUMMYFUNCTION("""COMPUTED_VALUE"""),45950.7498078125)</f>
        <v>45950.74981</v>
      </c>
      <c r="D1274" s="7" t="str">
        <f>IFERROR(__xludf.DUMMYFUNCTION("""COMPUTED_VALUE"""),"CORZO")</f>
        <v>CORZO</v>
      </c>
      <c r="E1274" s="7" t="str">
        <f>IFERROR(__xludf.DUMMYFUNCTION("""COMPUTED_VALUE"""),"Renzo ")</f>
        <v>Renzo </v>
      </c>
      <c r="F1274" s="7" t="str">
        <f>IFERROR(__xludf.DUMMYFUNCTION("""COMPUTED_VALUE"""),"renzogonzalocorzo@gmail.com")</f>
        <v>renzogonzalocorzo@gmail.com</v>
      </c>
      <c r="G1274" s="20">
        <f>IFERROR(__xludf.DUMMYFUNCTION("""COMPUTED_VALUE"""),32899.0)</f>
        <v>32899</v>
      </c>
      <c r="H1274" s="7">
        <f>IFERROR(__xludf.DUMMYFUNCTION("""COMPUTED_VALUE"""),3.4839685E7)</f>
        <v>34839685</v>
      </c>
      <c r="I1274" s="7">
        <f>IFERROR(__xludf.DUMMYFUNCTION("""COMPUTED_VALUE"""),5.515436185E9)</f>
        <v>5515436185</v>
      </c>
      <c r="J1274" s="7" t="str">
        <f>IFERROR(__xludf.DUMMYFUNCTION("""COMPUTED_VALUE"""),"ya venia con nosotros ")</f>
        <v>ya venia con nosotros </v>
      </c>
      <c r="K1274" s="7" t="str">
        <f>IFERROR(__xludf.DUMMYFUNCTION("""COMPUTED_VALUE"""),"Particular")</f>
        <v>Particular</v>
      </c>
      <c r="L1274" s="7"/>
      <c r="M1274" s="7" t="str">
        <f>IFERROR(__xludf.DUMMYFUNCTION("""COMPUTED_VALUE"""),"Si")</f>
        <v>Si</v>
      </c>
      <c r="N1274" s="7" t="str">
        <f>IFERROR(__xludf.DUMMYFUNCTION("""COMPUTED_VALUE"""),"Fútbol")</f>
        <v>Fútbol</v>
      </c>
      <c r="O1274" s="7" t="str">
        <f>IFERROR(__xludf.DUMMYFUNCTION("""COMPUTED_VALUE"""),"3 a 5 veces por semana")</f>
        <v>3 a 5 veces por semana</v>
      </c>
      <c r="P1274" s="7"/>
      <c r="Q1274" s="7"/>
      <c r="R1274" s="7"/>
      <c r="S1274" s="7"/>
    </row>
    <row r="1275">
      <c r="C1275" s="19">
        <f>IFERROR(__xludf.DUMMYFUNCTION("""COMPUTED_VALUE"""),45951.41597457176)</f>
        <v>45951.41597</v>
      </c>
      <c r="D1275" s="7" t="str">
        <f>IFERROR(__xludf.DUMMYFUNCTION("""COMPUTED_VALUE"""),"Perez")</f>
        <v>Perez</v>
      </c>
      <c r="E1275" s="7" t="str">
        <f>IFERROR(__xludf.DUMMYFUNCTION("""COMPUTED_VALUE"""),"Beatriz ")</f>
        <v>Beatriz </v>
      </c>
      <c r="F1275" s="7"/>
      <c r="G1275" s="20">
        <f>IFERROR(__xludf.DUMMYFUNCTION("""COMPUTED_VALUE"""),19406.0)</f>
        <v>19406</v>
      </c>
      <c r="H1275" s="7">
        <f>IFERROR(__xludf.DUMMYFUNCTION("""COMPUTED_VALUE"""),1.0771585E7)</f>
        <v>10771585</v>
      </c>
      <c r="I1275" s="7">
        <f>IFERROR(__xludf.DUMMYFUNCTION("""COMPUTED_VALUE"""),3.516506388E9)</f>
        <v>3516506388</v>
      </c>
      <c r="J1275" s="7" t="str">
        <f>IFERROR(__xludf.DUMMYFUNCTION("""COMPUTED_VALUE"""),"Google")</f>
        <v>Google</v>
      </c>
      <c r="K1275" s="7" t="str">
        <f>IFERROR(__xludf.DUMMYFUNCTION("""COMPUTED_VALUE"""),"Particular")</f>
        <v>Particular</v>
      </c>
      <c r="L1275" s="7"/>
      <c r="M1275" s="7" t="str">
        <f>IFERROR(__xludf.DUMMYFUNCTION("""COMPUTED_VALUE"""),"Si")</f>
        <v>Si</v>
      </c>
      <c r="N1275" s="7"/>
      <c r="O1275" s="7" t="str">
        <f>IFERROR(__xludf.DUMMYFUNCTION("""COMPUTED_VALUE"""),"1 a 2 veces por semana")</f>
        <v>1 a 2 veces por semana</v>
      </c>
      <c r="P1275" s="7"/>
      <c r="Q1275" s="7"/>
      <c r="R1275" s="7"/>
      <c r="S1275" s="7"/>
    </row>
    <row r="1276">
      <c r="C1276" s="19">
        <f>IFERROR(__xludf.DUMMYFUNCTION("""COMPUTED_VALUE"""),45952.4470272801)</f>
        <v>45952.44703</v>
      </c>
      <c r="D1276" s="7" t="str">
        <f>IFERROR(__xludf.DUMMYFUNCTION("""COMPUTED_VALUE"""),"Ponce")</f>
        <v>Ponce</v>
      </c>
      <c r="E1276" s="7" t="str">
        <f>IFERROR(__xludf.DUMMYFUNCTION("""COMPUTED_VALUE"""),"Enrique")</f>
        <v>Enrique</v>
      </c>
      <c r="F1276" s="7" t="str">
        <f>IFERROR(__xludf.DUMMYFUNCTION("""COMPUTED_VALUE"""),"poncequique@hotmail.com")</f>
        <v>poncequique@hotmail.com</v>
      </c>
      <c r="G1276" s="20">
        <f>IFERROR(__xludf.DUMMYFUNCTION("""COMPUTED_VALUE"""),23116.0)</f>
        <v>23116</v>
      </c>
      <c r="H1276" s="7">
        <f>IFERROR(__xludf.DUMMYFUNCTION("""COMPUTED_VALUE"""),1.629292E7)</f>
        <v>16292920</v>
      </c>
      <c r="I1276" s="7">
        <f>IFERROR(__xludf.DUMMYFUNCTION("""COMPUTED_VALUE"""),3.515901383E9)</f>
        <v>3515901383</v>
      </c>
      <c r="J1276" s="7" t="str">
        <f>IFERROR(__xludf.DUMMYFUNCTION("""COMPUTED_VALUE"""),"Recomendación")</f>
        <v>Recomendación</v>
      </c>
      <c r="K1276" s="7" t="str">
        <f>IFERROR(__xludf.DUMMYFUNCTION("""COMPUTED_VALUE"""),"Obra social")</f>
        <v>Obra social</v>
      </c>
      <c r="L1276" s="7"/>
      <c r="M1276" s="7" t="str">
        <f>IFERROR(__xludf.DUMMYFUNCTION("""COMPUTED_VALUE"""),"Si")</f>
        <v>Si</v>
      </c>
      <c r="N1276" s="7" t="str">
        <f>IFERROR(__xludf.DUMMYFUNCTION("""COMPUTED_VALUE"""),"Tennis")</f>
        <v>Tennis</v>
      </c>
      <c r="O1276" s="7" t="str">
        <f>IFERROR(__xludf.DUMMYFUNCTION("""COMPUTED_VALUE"""),"1 a 2 veces por semana")</f>
        <v>1 a 2 veces por semana</v>
      </c>
      <c r="P1276" s="7"/>
      <c r="Q1276" s="7" t="str">
        <f>IFERROR(__xludf.DUMMYFUNCTION("""COMPUTED_VALUE"""),"APROSS")</f>
        <v>APROSS</v>
      </c>
      <c r="R1276" s="7"/>
      <c r="S1276" s="7"/>
    </row>
    <row r="1277">
      <c r="C1277" s="19">
        <f>IFERROR(__xludf.DUMMYFUNCTION("""COMPUTED_VALUE"""),45952.50535131944)</f>
        <v>45952.50535</v>
      </c>
      <c r="D1277" s="7" t="str">
        <f>IFERROR(__xludf.DUMMYFUNCTION("""COMPUTED_VALUE"""),"Hernandez")</f>
        <v>Hernandez</v>
      </c>
      <c r="E1277" s="7" t="str">
        <f>IFERROR(__xludf.DUMMYFUNCTION("""COMPUTED_VALUE"""),"Facundo")</f>
        <v>Facundo</v>
      </c>
      <c r="F1277" s="7"/>
      <c r="G1277" s="20">
        <f>IFERROR(__xludf.DUMMYFUNCTION("""COMPUTED_VALUE"""),36054.0)</f>
        <v>36054</v>
      </c>
      <c r="H1277" s="7">
        <f>IFERROR(__xludf.DUMMYFUNCTION("""COMPUTED_VALUE"""),4.1810143E7)</f>
        <v>41810143</v>
      </c>
      <c r="I1277" s="7">
        <f>IFERROR(__xludf.DUMMYFUNCTION("""COMPUTED_VALUE"""),3.513539903E9)</f>
        <v>3513539903</v>
      </c>
      <c r="J1277" s="7" t="str">
        <f>IFERROR(__xludf.DUMMYFUNCTION("""COMPUTED_VALUE"""),"Voy al gym Manantial")</f>
        <v>Voy al gym Manantial</v>
      </c>
      <c r="K1277" s="7" t="str">
        <f>IFERROR(__xludf.DUMMYFUNCTION("""COMPUTED_VALUE"""),"Particular")</f>
        <v>Particular</v>
      </c>
      <c r="L1277" s="7"/>
      <c r="M1277" s="7" t="str">
        <f>IFERROR(__xludf.DUMMYFUNCTION("""COMPUTED_VALUE"""),"Si")</f>
        <v>Si</v>
      </c>
      <c r="N1277" s="7" t="str">
        <f>IFERROR(__xludf.DUMMYFUNCTION("""COMPUTED_VALUE"""),"Gimnasio")</f>
        <v>Gimnasio</v>
      </c>
      <c r="O1277" s="7" t="str">
        <f>IFERROR(__xludf.DUMMYFUNCTION("""COMPUTED_VALUE"""),"3 a 5 veces por semana")</f>
        <v>3 a 5 veces por semana</v>
      </c>
      <c r="P1277" s="7"/>
      <c r="Q1277" s="7"/>
      <c r="R1277" s="7"/>
      <c r="S1277" s="7"/>
    </row>
    <row r="1278">
      <c r="C1278" s="19">
        <f>IFERROR(__xludf.DUMMYFUNCTION("""COMPUTED_VALUE"""),45952.57313481481)</f>
        <v>45952.57313</v>
      </c>
      <c r="D1278" s="7" t="str">
        <f>IFERROR(__xludf.DUMMYFUNCTION("""COMPUTED_VALUE"""),"Molina")</f>
        <v>Molina</v>
      </c>
      <c r="E1278" s="7" t="str">
        <f>IFERROR(__xludf.DUMMYFUNCTION("""COMPUTED_VALUE"""),"Jenifer ")</f>
        <v>Jenifer </v>
      </c>
      <c r="F1278" s="7" t="str">
        <f>IFERROR(__xludf.DUMMYFUNCTION("""COMPUTED_VALUE"""),"jenimolina964@gmail.com")</f>
        <v>jenimolina964@gmail.com</v>
      </c>
      <c r="G1278" s="20">
        <f>IFERROR(__xludf.DUMMYFUNCTION("""COMPUTED_VALUE"""),35671.0)</f>
        <v>35671</v>
      </c>
      <c r="H1278" s="7">
        <f>IFERROR(__xludf.DUMMYFUNCTION("""COMPUTED_VALUE"""),4.0682711E7)</f>
        <v>40682711</v>
      </c>
      <c r="I1278" s="7">
        <f>IFERROR(__xludf.DUMMYFUNCTION("""COMPUTED_VALUE"""),3.518107151E9)</f>
        <v>3518107151</v>
      </c>
      <c r="J1278" s="7" t="str">
        <f>IFERROR(__xludf.DUMMYFUNCTION("""COMPUTED_VALUE"""),"Google")</f>
        <v>Google</v>
      </c>
      <c r="K1278" s="7" t="str">
        <f>IFERROR(__xludf.DUMMYFUNCTION("""COMPUTED_VALUE"""),"Particular")</f>
        <v>Particular</v>
      </c>
      <c r="L1278" s="7"/>
      <c r="M1278" s="7" t="str">
        <f>IFERROR(__xludf.DUMMYFUNCTION("""COMPUTED_VALUE"""),"Si")</f>
        <v>Si</v>
      </c>
      <c r="N1278" s="7" t="str">
        <f>IFERROR(__xludf.DUMMYFUNCTION("""COMPUTED_VALUE"""),"Gimnasio")</f>
        <v>Gimnasio</v>
      </c>
      <c r="O1278" s="7" t="str">
        <f>IFERROR(__xludf.DUMMYFUNCTION("""COMPUTED_VALUE"""),"3 a 5 veces por semana")</f>
        <v>3 a 5 veces por semana</v>
      </c>
      <c r="P1278" s="7"/>
      <c r="Q1278" s="7"/>
      <c r="R1278" s="7"/>
      <c r="S1278" s="7"/>
    </row>
    <row r="1279">
      <c r="C1279" s="19">
        <f>IFERROR(__xludf.DUMMYFUNCTION("""COMPUTED_VALUE"""),45952.669494999995)</f>
        <v>45952.6695</v>
      </c>
      <c r="D1279" s="7" t="str">
        <f>IFERROR(__xludf.DUMMYFUNCTION("""COMPUTED_VALUE"""),"Godoy")</f>
        <v>Godoy</v>
      </c>
      <c r="E1279" s="7" t="str">
        <f>IFERROR(__xludf.DUMMYFUNCTION("""COMPUTED_VALUE"""),"José María ")</f>
        <v>José María </v>
      </c>
      <c r="F1279" s="7" t="str">
        <f>IFERROR(__xludf.DUMMYFUNCTION("""COMPUTED_VALUE"""),"josemariagodoy0@gmail.com")</f>
        <v>josemariagodoy0@gmail.com</v>
      </c>
      <c r="G1279" s="20">
        <f>IFERROR(__xludf.DUMMYFUNCTION("""COMPUTED_VALUE"""),35376.0)</f>
        <v>35376</v>
      </c>
      <c r="H1279" s="7">
        <f>IFERROR(__xludf.DUMMYFUNCTION("""COMPUTED_VALUE"""),3.9937362E7)</f>
        <v>39937362</v>
      </c>
      <c r="I1279" s="7">
        <f>IFERROR(__xludf.DUMMYFUNCTION("""COMPUTED_VALUE"""),3.513892836E9)</f>
        <v>3513892836</v>
      </c>
      <c r="J1279" s="7" t="str">
        <f>IFERROR(__xludf.DUMMYFUNCTION("""COMPUTED_VALUE"""),"Recomendación")</f>
        <v>Recomendación</v>
      </c>
      <c r="K1279" s="7" t="str">
        <f>IFERROR(__xludf.DUMMYFUNCTION("""COMPUTED_VALUE"""),"Particular")</f>
        <v>Particular</v>
      </c>
      <c r="L1279" s="7"/>
      <c r="M1279" s="7" t="str">
        <f>IFERROR(__xludf.DUMMYFUNCTION("""COMPUTED_VALUE"""),"Si")</f>
        <v>Si</v>
      </c>
      <c r="N1279" s="7" t="str">
        <f>IFERROR(__xludf.DUMMYFUNCTION("""COMPUTED_VALUE"""),"Gimnasio")</f>
        <v>Gimnasio</v>
      </c>
      <c r="O1279" s="7" t="str">
        <f>IFERROR(__xludf.DUMMYFUNCTION("""COMPUTED_VALUE"""),"3 a 5 veces por semana")</f>
        <v>3 a 5 veces por semana</v>
      </c>
      <c r="P1279" s="7"/>
      <c r="Q1279" s="7"/>
      <c r="R1279" s="7"/>
      <c r="S1279" s="7"/>
    </row>
    <row r="1280">
      <c r="C1280" s="19">
        <f>IFERROR(__xludf.DUMMYFUNCTION("""COMPUTED_VALUE"""),45952.716512280094)</f>
        <v>45952.71651</v>
      </c>
      <c r="D1280" s="7" t="str">
        <f>IFERROR(__xludf.DUMMYFUNCTION("""COMPUTED_VALUE"""),"Fantin Quilaleo ")</f>
        <v>Fantin Quilaleo </v>
      </c>
      <c r="E1280" s="7" t="str">
        <f>IFERROR(__xludf.DUMMYFUNCTION("""COMPUTED_VALUE"""),"Facundo ")</f>
        <v>Facundo </v>
      </c>
      <c r="F1280" s="7" t="str">
        <f>IFERROR(__xludf.DUMMYFUNCTION("""COMPUTED_VALUE"""),"alebquilaleo@gmail.com")</f>
        <v>alebquilaleo@gmail.com</v>
      </c>
      <c r="G1280" s="20">
        <f>IFERROR(__xludf.DUMMYFUNCTION("""COMPUTED_VALUE"""),40445.0)</f>
        <v>40445</v>
      </c>
      <c r="H1280" s="7">
        <f>IFERROR(__xludf.DUMMYFUNCTION("""COMPUTED_VALUE"""),5.0421924E7)</f>
        <v>50421924</v>
      </c>
      <c r="I1280" s="7">
        <f>IFERROR(__xludf.DUMMYFUNCTION("""COMPUTED_VALUE"""),3.516123681E9)</f>
        <v>3516123681</v>
      </c>
      <c r="J1280" s="7" t="str">
        <f>IFERROR(__xludf.DUMMYFUNCTION("""COMPUTED_VALUE"""),"Recomendación")</f>
        <v>Recomendación</v>
      </c>
      <c r="K1280" s="7" t="str">
        <f>IFERROR(__xludf.DUMMYFUNCTION("""COMPUTED_VALUE"""),"Obra social")</f>
        <v>Obra social</v>
      </c>
      <c r="L1280" s="7"/>
      <c r="M1280" s="7" t="str">
        <f>IFERROR(__xludf.DUMMYFUNCTION("""COMPUTED_VALUE"""),"Si")</f>
        <v>Si</v>
      </c>
      <c r="N1280" s="7" t="str">
        <f>IFERROR(__xludf.DUMMYFUNCTION("""COMPUTED_VALUE"""),"Fútbol")</f>
        <v>Fútbol</v>
      </c>
      <c r="O1280" s="7" t="str">
        <f>IFERROR(__xludf.DUMMYFUNCTION("""COMPUTED_VALUE"""),"3 a 5 veces por semana")</f>
        <v>3 a 5 veces por semana</v>
      </c>
      <c r="P1280" s="7"/>
      <c r="Q1280" s="7" t="str">
        <f>IFERROR(__xludf.DUMMYFUNCTION("""COMPUTED_VALUE"""),"PREVENCIÓN")</f>
        <v>PREVENCIÓN</v>
      </c>
      <c r="R1280" s="7"/>
      <c r="S1280" s="7"/>
    </row>
    <row r="1281">
      <c r="C1281" s="19">
        <f>IFERROR(__xludf.DUMMYFUNCTION("""COMPUTED_VALUE"""),45953.51665133102)</f>
        <v>45953.51665</v>
      </c>
      <c r="D1281" s="7" t="str">
        <f>IFERROR(__xludf.DUMMYFUNCTION("""COMPUTED_VALUE"""),"Gruttadauria ")</f>
        <v>Gruttadauria </v>
      </c>
      <c r="E1281" s="7" t="str">
        <f>IFERROR(__xludf.DUMMYFUNCTION("""COMPUTED_VALUE"""),"Mariano")</f>
        <v>Mariano</v>
      </c>
      <c r="F1281" s="7" t="str">
        <f>IFERROR(__xludf.DUMMYFUNCTION("""COMPUTED_VALUE"""),"Inmomg@gmail.com")</f>
        <v>Inmomg@gmail.com</v>
      </c>
      <c r="G1281" s="20">
        <f>IFERROR(__xludf.DUMMYFUNCTION("""COMPUTED_VALUE"""),29432.0)</f>
        <v>29432</v>
      </c>
      <c r="H1281" s="7">
        <f>IFERROR(__xludf.DUMMYFUNCTION("""COMPUTED_VALUE"""),2.8270188E7)</f>
        <v>28270188</v>
      </c>
      <c r="I1281" s="7">
        <f>IFERROR(__xludf.DUMMYFUNCTION("""COMPUTED_VALUE"""),3.516786167E9)</f>
        <v>3516786167</v>
      </c>
      <c r="J1281" s="7" t="str">
        <f>IFERROR(__xludf.DUMMYFUNCTION("""COMPUTED_VALUE"""),"Joaco Villalba ")</f>
        <v>Joaco Villalba </v>
      </c>
      <c r="K1281" s="7" t="str">
        <f>IFERROR(__xludf.DUMMYFUNCTION("""COMPUTED_VALUE"""),"Particular")</f>
        <v>Particular</v>
      </c>
      <c r="L1281" s="7"/>
      <c r="M1281" s="7" t="str">
        <f>IFERROR(__xludf.DUMMYFUNCTION("""COMPUTED_VALUE"""),"Si")</f>
        <v>Si</v>
      </c>
      <c r="N1281" s="7" t="str">
        <f>IFERROR(__xludf.DUMMYFUNCTION("""COMPUTED_VALUE"""),"Gimnasio")</f>
        <v>Gimnasio</v>
      </c>
      <c r="O1281" s="7" t="str">
        <f>IFERROR(__xludf.DUMMYFUNCTION("""COMPUTED_VALUE"""),"3 a 5 veces por semana")</f>
        <v>3 a 5 veces por semana</v>
      </c>
      <c r="P1281" s="7"/>
      <c r="Q1281" s="7"/>
      <c r="R1281" s="7"/>
      <c r="S1281" s="7"/>
    </row>
    <row r="1282">
      <c r="C1282" s="19">
        <f>IFERROR(__xludf.DUMMYFUNCTION("""COMPUTED_VALUE"""),45954.49563721065)</f>
        <v>45954.49564</v>
      </c>
      <c r="D1282" s="7" t="str">
        <f>IFERROR(__xludf.DUMMYFUNCTION("""COMPUTED_VALUE"""),"Pereyra")</f>
        <v>Pereyra</v>
      </c>
      <c r="E1282" s="7" t="str">
        <f>IFERROR(__xludf.DUMMYFUNCTION("""COMPUTED_VALUE"""),"Maria Cristina")</f>
        <v>Maria Cristina</v>
      </c>
      <c r="F1282" s="7" t="str">
        <f>IFERROR(__xludf.DUMMYFUNCTION("""COMPUTED_VALUE"""),"mcristinabarrionuevo@hotmail.com")</f>
        <v>mcristinabarrionuevo@hotmail.com</v>
      </c>
      <c r="G1282" s="20">
        <f>IFERROR(__xludf.DUMMYFUNCTION("""COMPUTED_VALUE"""),16429.0)</f>
        <v>16429</v>
      </c>
      <c r="H1282" s="7">
        <f>IFERROR(__xludf.DUMMYFUNCTION("""COMPUTED_VALUE"""),5097687.0)</f>
        <v>5097687</v>
      </c>
      <c r="I1282" s="7">
        <f>IFERROR(__xludf.DUMMYFUNCTION("""COMPUTED_VALUE"""),3.515925146E9)</f>
        <v>3515925146</v>
      </c>
      <c r="J1282" s="7" t="str">
        <f>IFERROR(__xludf.DUMMYFUNCTION("""COMPUTED_VALUE"""),"Recomendación")</f>
        <v>Recomendación</v>
      </c>
      <c r="K1282" s="7" t="str">
        <f>IFERROR(__xludf.DUMMYFUNCTION("""COMPUTED_VALUE"""),"Particular")</f>
        <v>Particular</v>
      </c>
      <c r="L1282" s="7"/>
      <c r="M1282" s="7" t="str">
        <f>IFERROR(__xludf.DUMMYFUNCTION("""COMPUTED_VALUE"""),"No")</f>
        <v>No</v>
      </c>
      <c r="N1282" s="7"/>
      <c r="O1282" s="7"/>
      <c r="P1282" s="7"/>
      <c r="Q1282" s="7"/>
      <c r="R1282" s="7"/>
      <c r="S1282" s="7"/>
    </row>
    <row r="1283">
      <c r="C1283" s="19">
        <f>IFERROR(__xludf.DUMMYFUNCTION("""COMPUTED_VALUE"""),45954.65977179398)</f>
        <v>45954.65977</v>
      </c>
      <c r="D1283" s="7" t="str">
        <f>IFERROR(__xludf.DUMMYFUNCTION("""COMPUTED_VALUE"""),"Mosca")</f>
        <v>Mosca</v>
      </c>
      <c r="E1283" s="7" t="str">
        <f>IFERROR(__xludf.DUMMYFUNCTION("""COMPUTED_VALUE"""),"Andrea")</f>
        <v>Andrea</v>
      </c>
      <c r="F1283" s="7" t="str">
        <f>IFERROR(__xludf.DUMMYFUNCTION("""COMPUTED_VALUE"""),"andy_lasmagnolias_@hotmail.com")</f>
        <v>andy_lasmagnolias_@hotmail.com</v>
      </c>
      <c r="G1283" s="20">
        <f>IFERROR(__xludf.DUMMYFUNCTION("""COMPUTED_VALUE"""),32409.0)</f>
        <v>32409</v>
      </c>
      <c r="H1283" s="7">
        <f>IFERROR(__xludf.DUMMYFUNCTION("""COMPUTED_VALUE"""),3.3893071E7)</f>
        <v>33893071</v>
      </c>
      <c r="I1283" s="7">
        <f>IFERROR(__xludf.DUMMYFUNCTION("""COMPUTED_VALUE"""),3.516692219E9)</f>
        <v>3516692219</v>
      </c>
      <c r="J1283" s="7" t="str">
        <f>IFERROR(__xludf.DUMMYFUNCTION("""COMPUTED_VALUE"""),"Google")</f>
        <v>Google</v>
      </c>
      <c r="K1283" s="7" t="str">
        <f>IFERROR(__xludf.DUMMYFUNCTION("""COMPUTED_VALUE"""),"Obra social")</f>
        <v>Obra social</v>
      </c>
      <c r="L1283" s="7"/>
      <c r="M1283" s="7" t="str">
        <f>IFERROR(__xludf.DUMMYFUNCTION("""COMPUTED_VALUE"""),"No")</f>
        <v>No</v>
      </c>
      <c r="N1283" s="7"/>
      <c r="O1283" s="7"/>
      <c r="P1283" s="7"/>
      <c r="Q1283" s="7" t="str">
        <f>IFERROR(__xludf.DUMMYFUNCTION("""COMPUTED_VALUE"""),"APROSS")</f>
        <v>APROSS</v>
      </c>
      <c r="R1283" s="7"/>
      <c r="S1283" s="7"/>
    </row>
    <row r="1284">
      <c r="C1284" s="19">
        <f>IFERROR(__xludf.DUMMYFUNCTION("""COMPUTED_VALUE"""),45954.81886489583)</f>
        <v>45954.81886</v>
      </c>
      <c r="D1284" s="7" t="str">
        <f>IFERROR(__xludf.DUMMYFUNCTION("""COMPUTED_VALUE"""),"Garis")</f>
        <v>Garis</v>
      </c>
      <c r="E1284" s="7" t="str">
        <f>IFERROR(__xludf.DUMMYFUNCTION("""COMPUTED_VALUE"""),"Filippo ")</f>
        <v>Filippo </v>
      </c>
      <c r="F1284" s="7" t="str">
        <f>IFERROR(__xludf.DUMMYFUNCTION("""COMPUTED_VALUE"""),"Ivavelardez@gmail.com")</f>
        <v>Ivavelardez@gmail.com</v>
      </c>
      <c r="G1284" s="20">
        <f>IFERROR(__xludf.DUMMYFUNCTION("""COMPUTED_VALUE"""),42310.0)</f>
        <v>42310</v>
      </c>
      <c r="H1284" s="7">
        <f>IFERROR(__xludf.DUMMYFUNCTION("""COMPUTED_VALUE"""),5.5009127E7)</f>
        <v>55009127</v>
      </c>
      <c r="I1284" s="7">
        <f>IFERROR(__xludf.DUMMYFUNCTION("""COMPUTED_VALUE"""),3.516314075E9)</f>
        <v>3516314075</v>
      </c>
      <c r="J1284" s="7" t="str">
        <f>IFERROR(__xludf.DUMMYFUNCTION("""COMPUTED_VALUE"""),"Recomendación")</f>
        <v>Recomendación</v>
      </c>
      <c r="K1284" s="7" t="str">
        <f>IFERROR(__xludf.DUMMYFUNCTION("""COMPUTED_VALUE"""),"Obra social")</f>
        <v>Obra social</v>
      </c>
      <c r="L1284" s="7"/>
      <c r="M1284" s="7" t="str">
        <f>IFERROR(__xludf.DUMMYFUNCTION("""COMPUTED_VALUE"""),"Si")</f>
        <v>Si</v>
      </c>
      <c r="N1284" s="7" t="str">
        <f>IFERROR(__xludf.DUMMYFUNCTION("""COMPUTED_VALUE"""),"Fútbol")</f>
        <v>Fútbol</v>
      </c>
      <c r="O1284" s="7" t="str">
        <f>IFERROR(__xludf.DUMMYFUNCTION("""COMPUTED_VALUE"""),"3 a 5 veces por semana")</f>
        <v>3 a 5 veces por semana</v>
      </c>
      <c r="P1284" s="7"/>
      <c r="Q1284" s="7" t="str">
        <f>IFERROR(__xludf.DUMMYFUNCTION("""COMPUTED_VALUE"""),"SANCOR")</f>
        <v>SANCOR</v>
      </c>
      <c r="R1284" s="7"/>
      <c r="S1284" s="7"/>
    </row>
    <row r="1285">
      <c r="C1285" s="19">
        <f>IFERROR(__xludf.DUMMYFUNCTION("""COMPUTED_VALUE"""),45957.41538543982)</f>
        <v>45957.41539</v>
      </c>
      <c r="D1285" s="7" t="str">
        <f>IFERROR(__xludf.DUMMYFUNCTION("""COMPUTED_VALUE"""),"Hamsa")</f>
        <v>Hamsa</v>
      </c>
      <c r="E1285" s="7" t="str">
        <f>IFERROR(__xludf.DUMMYFUNCTION("""COMPUTED_VALUE"""),"José")</f>
        <v>José</v>
      </c>
      <c r="F1285" s="7"/>
      <c r="G1285" s="20">
        <f>IFERROR(__xludf.DUMMYFUNCTION("""COMPUTED_VALUE"""),27373.0)</f>
        <v>27373</v>
      </c>
      <c r="H1285" s="7">
        <f>IFERROR(__xludf.DUMMYFUNCTION("""COMPUTED_VALUE"""),2.4357842E7)</f>
        <v>24357842</v>
      </c>
      <c r="I1285" s="7">
        <f>IFERROR(__xludf.DUMMYFUNCTION("""COMPUTED_VALUE"""),3.513923622E9)</f>
        <v>3513923622</v>
      </c>
      <c r="J1285" s="7" t="str">
        <f>IFERROR(__xludf.DUMMYFUNCTION("""COMPUTED_VALUE"""),"Voy al gym Manantial")</f>
        <v>Voy al gym Manantial</v>
      </c>
      <c r="K1285" s="7" t="str">
        <f>IFERROR(__xludf.DUMMYFUNCTION("""COMPUTED_VALUE"""),"Obra social")</f>
        <v>Obra social</v>
      </c>
      <c r="L1285" s="7"/>
      <c r="M1285" s="7" t="str">
        <f>IFERROR(__xludf.DUMMYFUNCTION("""COMPUTED_VALUE"""),"Si")</f>
        <v>Si</v>
      </c>
      <c r="N1285" s="7" t="str">
        <f>IFERROR(__xludf.DUMMYFUNCTION("""COMPUTED_VALUE"""),"Gimnasio")</f>
        <v>Gimnasio</v>
      </c>
      <c r="O1285" s="7" t="str">
        <f>IFERROR(__xludf.DUMMYFUNCTION("""COMPUTED_VALUE"""),"3 a 5 veces por semana")</f>
        <v>3 a 5 veces por semana</v>
      </c>
      <c r="P1285" s="7"/>
      <c r="Q1285" s="7" t="str">
        <f>IFERROR(__xludf.DUMMYFUNCTION("""COMPUTED_VALUE"""),"PREVENCIÓN")</f>
        <v>PREVENCIÓN</v>
      </c>
      <c r="R1285" s="7"/>
      <c r="S1285" s="7"/>
    </row>
    <row r="1286">
      <c r="C1286" s="19">
        <f>IFERROR(__xludf.DUMMYFUNCTION("""COMPUTED_VALUE"""),45958.723696307876)</f>
        <v>45958.7237</v>
      </c>
      <c r="D1286" s="7" t="str">
        <f>IFERROR(__xludf.DUMMYFUNCTION("""COMPUTED_VALUE"""),"Monzoni")</f>
        <v>Monzoni</v>
      </c>
      <c r="E1286" s="7" t="str">
        <f>IFERROR(__xludf.DUMMYFUNCTION("""COMPUTED_VALUE"""),"Emilia")</f>
        <v>Emilia</v>
      </c>
      <c r="F1286" s="7"/>
      <c r="G1286" s="20">
        <f>IFERROR(__xludf.DUMMYFUNCTION("""COMPUTED_VALUE"""),34716.0)</f>
        <v>34716</v>
      </c>
      <c r="H1286" s="7">
        <f>IFERROR(__xludf.DUMMYFUNCTION("""COMPUTED_VALUE"""),3.8278969E7)</f>
        <v>38278969</v>
      </c>
      <c r="I1286" s="7">
        <f>IFERROR(__xludf.DUMMYFUNCTION("""COMPUTED_VALUE"""),3.564679665E9)</f>
        <v>3564679665</v>
      </c>
      <c r="J1286" s="7" t="str">
        <f>IFERROR(__xludf.DUMMYFUNCTION("""COMPUTED_VALUE"""),"Google")</f>
        <v>Google</v>
      </c>
      <c r="K1286" s="7" t="str">
        <f>IFERROR(__xludf.DUMMYFUNCTION("""COMPUTED_VALUE"""),"Particular")</f>
        <v>Particular</v>
      </c>
      <c r="L1286" s="7"/>
      <c r="M1286" s="7" t="str">
        <f>IFERROR(__xludf.DUMMYFUNCTION("""COMPUTED_VALUE"""),"No")</f>
        <v>No</v>
      </c>
      <c r="N1286" s="7"/>
      <c r="O1286" s="7"/>
      <c r="P1286" s="7"/>
      <c r="Q1286" s="7"/>
      <c r="R1286" s="7"/>
      <c r="S1286" s="7"/>
    </row>
    <row r="1287">
      <c r="C1287" s="19">
        <f>IFERROR(__xludf.DUMMYFUNCTION("""COMPUTED_VALUE"""),45958.76442773148)</f>
        <v>45958.76443</v>
      </c>
      <c r="D1287" s="7" t="str">
        <f>IFERROR(__xludf.DUMMYFUNCTION("""COMPUTED_VALUE"""),"Abalos")</f>
        <v>Abalos</v>
      </c>
      <c r="E1287" s="7" t="str">
        <f>IFERROR(__xludf.DUMMYFUNCTION("""COMPUTED_VALUE"""),"Nahuel")</f>
        <v>Nahuel</v>
      </c>
      <c r="F1287" s="7"/>
      <c r="G1287" s="20">
        <f>IFERROR(__xludf.DUMMYFUNCTION("""COMPUTED_VALUE"""),35188.0)</f>
        <v>35188</v>
      </c>
      <c r="H1287" s="7">
        <f>IFERROR(__xludf.DUMMYFUNCTION("""COMPUTED_VALUE"""),3.949859E7)</f>
        <v>39498590</v>
      </c>
      <c r="I1287" s="7">
        <f>IFERROR(__xludf.DUMMYFUNCTION("""COMPUTED_VALUE"""),3.513908643E9)</f>
        <v>3513908643</v>
      </c>
      <c r="J1287" s="7" t="str">
        <f>IFERROR(__xludf.DUMMYFUNCTION("""COMPUTED_VALUE"""),"Recomendación")</f>
        <v>Recomendación</v>
      </c>
      <c r="K1287" s="7" t="str">
        <f>IFERROR(__xludf.DUMMYFUNCTION("""COMPUTED_VALUE"""),"Obra social")</f>
        <v>Obra social</v>
      </c>
      <c r="L1287" s="7"/>
      <c r="M1287" s="7" t="str">
        <f>IFERROR(__xludf.DUMMYFUNCTION("""COMPUTED_VALUE"""),"Si")</f>
        <v>Si</v>
      </c>
      <c r="N1287" s="7" t="str">
        <f>IFERROR(__xludf.DUMMYFUNCTION("""COMPUTED_VALUE"""),"Fútbol")</f>
        <v>Fútbol</v>
      </c>
      <c r="O1287" s="7" t="str">
        <f>IFERROR(__xludf.DUMMYFUNCTION("""COMPUTED_VALUE"""),"3 a 5 veces por semana")</f>
        <v>3 a 5 veces por semana</v>
      </c>
      <c r="P1287" s="7"/>
      <c r="Q1287" s="7" t="str">
        <f>IFERROR(__xludf.DUMMYFUNCTION("""COMPUTED_VALUE"""),"APROSS")</f>
        <v>APROSS</v>
      </c>
      <c r="R1287" s="7"/>
      <c r="S1287" s="7"/>
    </row>
    <row r="1288">
      <c r="C1288" s="19">
        <f>IFERROR(__xludf.DUMMYFUNCTION("""COMPUTED_VALUE"""),45959.55686627315)</f>
        <v>45959.55687</v>
      </c>
      <c r="D1288" s="7" t="str">
        <f>IFERROR(__xludf.DUMMYFUNCTION("""COMPUTED_VALUE"""),"Palacios ")</f>
        <v>Palacios </v>
      </c>
      <c r="E1288" s="7" t="str">
        <f>IFERROR(__xludf.DUMMYFUNCTION("""COMPUTED_VALUE"""),"Valentin ")</f>
        <v>Valentin </v>
      </c>
      <c r="F1288" s="7" t="str">
        <f>IFERROR(__xludf.DUMMYFUNCTION("""COMPUTED_VALUE"""),"Valentinpalacios221@gmail.com")</f>
        <v>Valentinpalacios221@gmail.com</v>
      </c>
      <c r="G1288" s="20">
        <f>IFERROR(__xludf.DUMMYFUNCTION("""COMPUTED_VALUE"""),39637.0)</f>
        <v>39637</v>
      </c>
      <c r="H1288" s="7">
        <f>IFERROR(__xludf.DUMMYFUNCTION("""COMPUTED_VALUE"""),4.8069265E7)</f>
        <v>48069265</v>
      </c>
      <c r="I1288" s="7">
        <f>IFERROR(__xludf.DUMMYFUNCTION("""COMPUTED_VALUE"""),3.518556947E9)</f>
        <v>3518556947</v>
      </c>
      <c r="J1288" s="7" t="str">
        <f>IFERROR(__xludf.DUMMYFUNCTION("""COMPUTED_VALUE"""),"Voy al gym Manantial")</f>
        <v>Voy al gym Manantial</v>
      </c>
      <c r="K1288" s="7" t="str">
        <f>IFERROR(__xludf.DUMMYFUNCTION("""COMPUTED_VALUE"""),"Obra social")</f>
        <v>Obra social</v>
      </c>
      <c r="L1288" s="7"/>
      <c r="M1288" s="7" t="str">
        <f>IFERROR(__xludf.DUMMYFUNCTION("""COMPUTED_VALUE"""),"Si")</f>
        <v>Si</v>
      </c>
      <c r="N1288" s="7" t="str">
        <f>IFERROR(__xludf.DUMMYFUNCTION("""COMPUTED_VALUE"""),"Boxeo,basquet y gimnasio ")</f>
        <v>Boxeo,basquet y gimnasio </v>
      </c>
      <c r="O1288" s="7" t="str">
        <f>IFERROR(__xludf.DUMMYFUNCTION("""COMPUTED_VALUE"""),"6 a 7 veces por semana")</f>
        <v>6 a 7 veces por semana</v>
      </c>
      <c r="P1288" s="7"/>
      <c r="Q1288" s="7" t="str">
        <f>IFERROR(__xludf.DUMMYFUNCTION("""COMPUTED_VALUE"""),"UNIMED")</f>
        <v>UNIMED</v>
      </c>
      <c r="R1288" s="7"/>
      <c r="S1288" s="7"/>
    </row>
    <row r="1289">
      <c r="C1289" s="19">
        <f>IFERROR(__xludf.DUMMYFUNCTION("""COMPUTED_VALUE"""),45959.70288201389)</f>
        <v>45959.70288</v>
      </c>
      <c r="D1289" s="7" t="str">
        <f>IFERROR(__xludf.DUMMYFUNCTION("""COMPUTED_VALUE"""),"Calanducci")</f>
        <v>Calanducci</v>
      </c>
      <c r="E1289" s="7" t="str">
        <f>IFERROR(__xludf.DUMMYFUNCTION("""COMPUTED_VALUE"""),"Manuel")</f>
        <v>Manuel</v>
      </c>
      <c r="F1289" s="7" t="str">
        <f>IFERROR(__xludf.DUMMYFUNCTION("""COMPUTED_VALUE"""),"manucalan@gmail.com")</f>
        <v>manucalan@gmail.com</v>
      </c>
      <c r="G1289" s="20">
        <f>IFERROR(__xludf.DUMMYFUNCTION("""COMPUTED_VALUE"""),35449.0)</f>
        <v>35449</v>
      </c>
      <c r="H1289" s="7">
        <f>IFERROR(__xludf.DUMMYFUNCTION("""COMPUTED_VALUE"""),3.9825065E7)</f>
        <v>39825065</v>
      </c>
      <c r="I1289" s="7">
        <f>IFERROR(__xludf.DUMMYFUNCTION("""COMPUTED_VALUE"""),3.513515126E9)</f>
        <v>3513515126</v>
      </c>
      <c r="J1289" s="7" t="str">
        <f>IFERROR(__xludf.DUMMYFUNCTION("""COMPUTED_VALUE"""),"Recomendación")</f>
        <v>Recomendación</v>
      </c>
      <c r="K1289" s="7" t="str">
        <f>IFERROR(__xludf.DUMMYFUNCTION("""COMPUTED_VALUE"""),"Particular")</f>
        <v>Particular</v>
      </c>
      <c r="L1289" s="7"/>
      <c r="M1289" s="7" t="str">
        <f>IFERROR(__xludf.DUMMYFUNCTION("""COMPUTED_VALUE"""),"Si")</f>
        <v>Si</v>
      </c>
      <c r="N1289" s="7" t="str">
        <f>IFERROR(__xludf.DUMMYFUNCTION("""COMPUTED_VALUE"""),"Baile")</f>
        <v>Baile</v>
      </c>
      <c r="O1289" s="7" t="str">
        <f>IFERROR(__xludf.DUMMYFUNCTION("""COMPUTED_VALUE"""),"6 a 7 veces por semana")</f>
        <v>6 a 7 veces por semana</v>
      </c>
      <c r="P1289" s="7"/>
      <c r="Q1289" s="7"/>
      <c r="R1289" s="7"/>
      <c r="S1289" s="7"/>
    </row>
    <row r="1290">
      <c r="C1290" s="19">
        <f>IFERROR(__xludf.DUMMYFUNCTION("""COMPUTED_VALUE"""),45959.78411090278)</f>
        <v>45959.78411</v>
      </c>
      <c r="D1290" s="7" t="str">
        <f>IFERROR(__xludf.DUMMYFUNCTION("""COMPUTED_VALUE"""),"Oliva Cabrera")</f>
        <v>Oliva Cabrera</v>
      </c>
      <c r="E1290" s="7" t="str">
        <f>IFERROR(__xludf.DUMMYFUNCTION("""COMPUTED_VALUE"""),"Maria Sol")</f>
        <v>Maria Sol</v>
      </c>
      <c r="F1290" s="7" t="str">
        <f>IFERROR(__xludf.DUMMYFUNCTION("""COMPUTED_VALUE"""),"solcioliva07@gmail.com")</f>
        <v>solcioliva07@gmail.com</v>
      </c>
      <c r="G1290" s="20">
        <f>IFERROR(__xludf.DUMMYFUNCTION("""COMPUTED_VALUE"""),36775.0)</f>
        <v>36775</v>
      </c>
      <c r="H1290" s="7">
        <f>IFERROR(__xludf.DUMMYFUNCTION("""COMPUTED_VALUE"""),4.2853921E7)</f>
        <v>42853921</v>
      </c>
      <c r="I1290" s="7">
        <f>IFERROR(__xludf.DUMMYFUNCTION("""COMPUTED_VALUE"""),3.51244664E9)</f>
        <v>3512446640</v>
      </c>
      <c r="J1290" s="7" t="str">
        <f>IFERROR(__xludf.DUMMYFUNCTION("""COMPUTED_VALUE"""),"Recomendación")</f>
        <v>Recomendación</v>
      </c>
      <c r="K1290" s="7" t="str">
        <f>IFERROR(__xludf.DUMMYFUNCTION("""COMPUTED_VALUE"""),"Obra social")</f>
        <v>Obra social</v>
      </c>
      <c r="L1290" s="7"/>
      <c r="M1290" s="7" t="str">
        <f>IFERROR(__xludf.DUMMYFUNCTION("""COMPUTED_VALUE"""),"Si")</f>
        <v>Si</v>
      </c>
      <c r="N1290" s="7" t="str">
        <f>IFERROR(__xludf.DUMMYFUNCTION("""COMPUTED_VALUE"""),"Voley")</f>
        <v>Voley</v>
      </c>
      <c r="O1290" s="7" t="str">
        <f>IFERROR(__xludf.DUMMYFUNCTION("""COMPUTED_VALUE"""),"1 a 2 veces por semana")</f>
        <v>1 a 2 veces por semana</v>
      </c>
      <c r="P1290" s="7"/>
      <c r="Q1290" s="7" t="str">
        <f>IFERROR(__xludf.DUMMYFUNCTION("""COMPUTED_VALUE"""),"DASPU")</f>
        <v>DASPU</v>
      </c>
      <c r="R1290" s="7"/>
      <c r="S1290" s="7"/>
    </row>
    <row r="1291">
      <c r="C1291" s="19">
        <f>IFERROR(__xludf.DUMMYFUNCTION("""COMPUTED_VALUE"""),45959.82311228009)</f>
        <v>45959.82311</v>
      </c>
      <c r="D1291" s="7" t="str">
        <f>IFERROR(__xludf.DUMMYFUNCTION("""COMPUTED_VALUE"""),"Lastra")</f>
        <v>Lastra</v>
      </c>
      <c r="E1291" s="7" t="str">
        <f>IFERROR(__xludf.DUMMYFUNCTION("""COMPUTED_VALUE"""),"Mathias ")</f>
        <v>Mathias </v>
      </c>
      <c r="F1291" s="7" t="str">
        <f>IFERROR(__xludf.DUMMYFUNCTION("""COMPUTED_VALUE"""),"Mathiaslastra@gmail.com")</f>
        <v>Mathiaslastra@gmail.com</v>
      </c>
      <c r="G1291" s="20">
        <f>IFERROR(__xludf.DUMMYFUNCTION("""COMPUTED_VALUE"""),32286.0)</f>
        <v>32286</v>
      </c>
      <c r="H1291" s="7">
        <f>IFERROR(__xludf.DUMMYFUNCTION("""COMPUTED_VALUE"""),3.3752175E7)</f>
        <v>33752175</v>
      </c>
      <c r="I1291" s="7">
        <f>IFERROR(__xludf.DUMMYFUNCTION("""COMPUTED_VALUE"""),3.513471684E9)</f>
        <v>3513471684</v>
      </c>
      <c r="J1291" s="7" t="str">
        <f>IFERROR(__xludf.DUMMYFUNCTION("""COMPUTED_VALUE"""),"Recomendación")</f>
        <v>Recomendación</v>
      </c>
      <c r="K1291" s="7" t="str">
        <f>IFERROR(__xludf.DUMMYFUNCTION("""COMPUTED_VALUE"""),"Particular")</f>
        <v>Particular</v>
      </c>
      <c r="L1291" s="7"/>
      <c r="M1291" s="7" t="str">
        <f>IFERROR(__xludf.DUMMYFUNCTION("""COMPUTED_VALUE"""),"Si")</f>
        <v>Si</v>
      </c>
      <c r="N1291" s="7" t="str">
        <f>IFERROR(__xludf.DUMMYFUNCTION("""COMPUTED_VALUE"""),"Fútbol")</f>
        <v>Fútbol</v>
      </c>
      <c r="O1291" s="7" t="str">
        <f>IFERROR(__xludf.DUMMYFUNCTION("""COMPUTED_VALUE"""),"1 a 2 veces por semana")</f>
        <v>1 a 2 veces por semana</v>
      </c>
      <c r="P1291" s="7"/>
      <c r="Q1291" s="7"/>
      <c r="R1291" s="7"/>
      <c r="S1291" s="7"/>
    </row>
    <row r="1292">
      <c r="C1292" s="19">
        <f>IFERROR(__xludf.DUMMYFUNCTION("""COMPUTED_VALUE"""),45961.38194943287)</f>
        <v>45961.38195</v>
      </c>
      <c r="D1292" s="7" t="str">
        <f>IFERROR(__xludf.DUMMYFUNCTION("""COMPUTED_VALUE"""),"Ramirez")</f>
        <v>Ramirez</v>
      </c>
      <c r="E1292" s="7" t="str">
        <f>IFERROR(__xludf.DUMMYFUNCTION("""COMPUTED_VALUE"""),"Juan Pablo")</f>
        <v>Juan Pablo</v>
      </c>
      <c r="F1292" s="7" t="str">
        <f>IFERROR(__xludf.DUMMYFUNCTION("""COMPUTED_VALUE"""),"juan_pabloramirez@hotmail.com")</f>
        <v>juan_pabloramirez@hotmail.com</v>
      </c>
      <c r="G1292" s="20">
        <f>IFERROR(__xludf.DUMMYFUNCTION("""COMPUTED_VALUE"""),29787.0)</f>
        <v>29787</v>
      </c>
      <c r="H1292" s="7">
        <f>IFERROR(__xludf.DUMMYFUNCTION("""COMPUTED_VALUE"""),2.3057964E7)</f>
        <v>23057964</v>
      </c>
      <c r="I1292" s="7">
        <f>IFERROR(__xludf.DUMMYFUNCTION("""COMPUTED_VALUE"""),3.534196421E9)</f>
        <v>3534196421</v>
      </c>
      <c r="J1292" s="7" t="str">
        <f>IFERROR(__xludf.DUMMYFUNCTION("""COMPUTED_VALUE"""),"Instagram")</f>
        <v>Instagram</v>
      </c>
      <c r="K1292" s="7" t="str">
        <f>IFERROR(__xludf.DUMMYFUNCTION("""COMPUTED_VALUE"""),"Obra social")</f>
        <v>Obra social</v>
      </c>
      <c r="L1292" s="7"/>
      <c r="M1292" s="7" t="str">
        <f>IFERROR(__xludf.DUMMYFUNCTION("""COMPUTED_VALUE"""),"Si")</f>
        <v>Si</v>
      </c>
      <c r="N1292" s="7" t="str">
        <f>IFERROR(__xludf.DUMMYFUNCTION("""COMPUTED_VALUE"""),"Fútbol")</f>
        <v>Fútbol</v>
      </c>
      <c r="O1292" s="7" t="str">
        <f>IFERROR(__xludf.DUMMYFUNCTION("""COMPUTED_VALUE"""),"3 a 5 veces por semana")</f>
        <v>3 a 5 veces por semana</v>
      </c>
      <c r="P1292" s="7"/>
      <c r="Q1292" s="7" t="str">
        <f>IFERROR(__xludf.DUMMYFUNCTION("""COMPUTED_VALUE"""),"PREVENCIÓN")</f>
        <v>PREVENCIÓN</v>
      </c>
      <c r="R1292" s="7"/>
      <c r="S1292" s="7"/>
    </row>
    <row r="1293">
      <c r="C1293" s="19">
        <f>IFERROR(__xludf.DUMMYFUNCTION("""COMPUTED_VALUE"""),45961.4517045949)</f>
        <v>45961.4517</v>
      </c>
      <c r="D1293" s="7" t="str">
        <f>IFERROR(__xludf.DUMMYFUNCTION("""COMPUTED_VALUE"""),"Merlo")</f>
        <v>Merlo</v>
      </c>
      <c r="E1293" s="7" t="str">
        <f>IFERROR(__xludf.DUMMYFUNCTION("""COMPUTED_VALUE"""),"Carlos Julio")</f>
        <v>Carlos Julio</v>
      </c>
      <c r="F1293" s="7"/>
      <c r="G1293" s="20">
        <f>IFERROR(__xludf.DUMMYFUNCTION("""COMPUTED_VALUE"""),17388.0)</f>
        <v>17388</v>
      </c>
      <c r="H1293" s="7">
        <f>IFERROR(__xludf.DUMMYFUNCTION("""COMPUTED_VALUE"""),7957602.0)</f>
        <v>7957602</v>
      </c>
      <c r="I1293" s="7">
        <f>IFERROR(__xludf.DUMMYFUNCTION("""COMPUTED_VALUE"""),3.515097791E9)</f>
        <v>3515097791</v>
      </c>
      <c r="J1293" s="7" t="str">
        <f>IFERROR(__xludf.DUMMYFUNCTION("""COMPUTED_VALUE"""),"Google")</f>
        <v>Google</v>
      </c>
      <c r="K1293" s="7" t="str">
        <f>IFERROR(__xludf.DUMMYFUNCTION("""COMPUTED_VALUE"""),"Obra social")</f>
        <v>Obra social</v>
      </c>
      <c r="L1293" s="7"/>
      <c r="M1293" s="7" t="str">
        <f>IFERROR(__xludf.DUMMYFUNCTION("""COMPUTED_VALUE"""),"No")</f>
        <v>No</v>
      </c>
      <c r="N1293" s="7"/>
      <c r="O1293" s="7"/>
      <c r="P1293" s="7"/>
      <c r="Q1293" s="7" t="str">
        <f>IFERROR(__xludf.DUMMYFUNCTION("""COMPUTED_VALUE"""),"CPCE")</f>
        <v>CPCE</v>
      </c>
      <c r="R1293" s="7"/>
      <c r="S1293" s="7"/>
    </row>
    <row r="1294">
      <c r="C1294" s="19">
        <f>IFERROR(__xludf.DUMMYFUNCTION("""COMPUTED_VALUE"""),45961.50166822917)</f>
        <v>45961.50167</v>
      </c>
      <c r="D1294" s="7" t="str">
        <f>IFERROR(__xludf.DUMMYFUNCTION("""COMPUTED_VALUE"""),"Oliva")</f>
        <v>Oliva</v>
      </c>
      <c r="E1294" s="7" t="str">
        <f>IFERROR(__xludf.DUMMYFUNCTION("""COMPUTED_VALUE"""),"Melina")</f>
        <v>Melina</v>
      </c>
      <c r="F1294" s="7" t="str">
        <f>IFERROR(__xludf.DUMMYFUNCTION("""COMPUTED_VALUE"""),"melinasoledadoliva@gmail.com")</f>
        <v>melinasoledadoliva@gmail.com</v>
      </c>
      <c r="G1294" s="20">
        <f>IFERROR(__xludf.DUMMYFUNCTION("""COMPUTED_VALUE"""),38391.0)</f>
        <v>38391</v>
      </c>
      <c r="H1294" s="7">
        <f>IFERROR(__xludf.DUMMYFUNCTION("""COMPUTED_VALUE"""),4.612642E7)</f>
        <v>46126420</v>
      </c>
      <c r="I1294" s="7">
        <f>IFERROR(__xludf.DUMMYFUNCTION("""COMPUTED_VALUE"""),3.513450103E9)</f>
        <v>3513450103</v>
      </c>
      <c r="J1294" s="7" t="str">
        <f>IFERROR(__xludf.DUMMYFUNCTION("""COMPUTED_VALUE"""),"Cartilla Obra Social")</f>
        <v>Cartilla Obra Social</v>
      </c>
      <c r="K1294" s="7" t="str">
        <f>IFERROR(__xludf.DUMMYFUNCTION("""COMPUTED_VALUE"""),"Obra social")</f>
        <v>Obra social</v>
      </c>
      <c r="L1294" s="7"/>
      <c r="M1294" s="7" t="str">
        <f>IFERROR(__xludf.DUMMYFUNCTION("""COMPUTED_VALUE"""),"Si")</f>
        <v>Si</v>
      </c>
      <c r="N1294" s="7" t="str">
        <f>IFERROR(__xludf.DUMMYFUNCTION("""COMPUTED_VALUE"""),"Padel")</f>
        <v>Padel</v>
      </c>
      <c r="O1294" s="7" t="str">
        <f>IFERROR(__xludf.DUMMYFUNCTION("""COMPUTED_VALUE"""),"6 a 7 veces por semana")</f>
        <v>6 a 7 veces por semana</v>
      </c>
      <c r="P1294" s="7"/>
      <c r="Q1294" s="7" t="str">
        <f>IFERROR(__xludf.DUMMYFUNCTION("""COMPUTED_VALUE"""),"Medife")</f>
        <v>Medife</v>
      </c>
      <c r="R1294" s="7"/>
      <c r="S1294" s="7"/>
    </row>
    <row r="1295">
      <c r="C1295" s="19">
        <f>IFERROR(__xludf.DUMMYFUNCTION("""COMPUTED_VALUE"""),45961.631148078704)</f>
        <v>45961.63115</v>
      </c>
      <c r="D1295" s="7" t="str">
        <f>IFERROR(__xludf.DUMMYFUNCTION("""COMPUTED_VALUE"""),"Chanquia")</f>
        <v>Chanquia</v>
      </c>
      <c r="E1295" s="7" t="str">
        <f>IFERROR(__xludf.DUMMYFUNCTION("""COMPUTED_VALUE"""),"Beatriz")</f>
        <v>Beatriz</v>
      </c>
      <c r="F1295" s="7"/>
      <c r="G1295" s="20">
        <f>IFERROR(__xludf.DUMMYFUNCTION("""COMPUTED_VALUE"""),20080.0)</f>
        <v>20080</v>
      </c>
      <c r="H1295" s="7">
        <f>IFERROR(__xludf.DUMMYFUNCTION("""COMPUTED_VALUE"""),1.1559325E7)</f>
        <v>11559325</v>
      </c>
      <c r="I1295" s="7">
        <f>IFERROR(__xludf.DUMMYFUNCTION("""COMPUTED_VALUE"""),3.512224052E9)</f>
        <v>3512224052</v>
      </c>
      <c r="J1295" s="7" t="str">
        <f>IFERROR(__xludf.DUMMYFUNCTION("""COMPUTED_VALUE"""),"ya nos conocian de antes ")</f>
        <v>ya nos conocian de antes </v>
      </c>
      <c r="K1295" s="7" t="str">
        <f>IFERROR(__xludf.DUMMYFUNCTION("""COMPUTED_VALUE"""),"Obra social")</f>
        <v>Obra social</v>
      </c>
      <c r="L1295" s="7"/>
      <c r="M1295" s="7" t="str">
        <f>IFERROR(__xludf.DUMMYFUNCTION("""COMPUTED_VALUE"""),"No")</f>
        <v>No</v>
      </c>
      <c r="N1295" s="7"/>
      <c r="O1295" s="7"/>
      <c r="P1295" s="7"/>
      <c r="Q1295" s="7" t="str">
        <f>IFERROR(__xludf.DUMMYFUNCTION("""COMPUTED_VALUE"""),"APROSS")</f>
        <v>APROSS</v>
      </c>
      <c r="R1295" s="7"/>
      <c r="S1295" s="7"/>
    </row>
    <row r="1296">
      <c r="C1296" s="19">
        <f>IFERROR(__xludf.DUMMYFUNCTION("""COMPUTED_VALUE"""),45961.68339122685)</f>
        <v>45961.68339</v>
      </c>
      <c r="D1296" s="7" t="str">
        <f>IFERROR(__xludf.DUMMYFUNCTION("""COMPUTED_VALUE"""),"Calanducci")</f>
        <v>Calanducci</v>
      </c>
      <c r="E1296" s="7" t="str">
        <f>IFERROR(__xludf.DUMMYFUNCTION("""COMPUTED_VALUE"""),"Rafael")</f>
        <v>Rafael</v>
      </c>
      <c r="F1296" s="7"/>
      <c r="G1296" s="20">
        <f>IFERROR(__xludf.DUMMYFUNCTION("""COMPUTED_VALUE"""),27761.0)</f>
        <v>27761</v>
      </c>
      <c r="H1296" s="7">
        <f>IFERROR(__xludf.DUMMYFUNCTION("""COMPUTED_VALUE"""),2.4615497E7)</f>
        <v>24615497</v>
      </c>
      <c r="I1296" s="7">
        <f>IFERROR(__xludf.DUMMYFUNCTION("""COMPUTED_VALUE"""),3.51551847E9)</f>
        <v>3515518470</v>
      </c>
      <c r="J1296" s="7" t="str">
        <f>IFERROR(__xludf.DUMMYFUNCTION("""COMPUTED_VALUE"""),"Recomendación")</f>
        <v>Recomendación</v>
      </c>
      <c r="K1296" s="7" t="str">
        <f>IFERROR(__xludf.DUMMYFUNCTION("""COMPUTED_VALUE"""),"Obra social")</f>
        <v>Obra social</v>
      </c>
      <c r="L1296" s="7"/>
      <c r="M1296" s="7" t="str">
        <f>IFERROR(__xludf.DUMMYFUNCTION("""COMPUTED_VALUE"""),"Si")</f>
        <v>Si</v>
      </c>
      <c r="N1296" s="7" t="str">
        <f>IFERROR(__xludf.DUMMYFUNCTION("""COMPUTED_VALUE"""),"Baile")</f>
        <v>Baile</v>
      </c>
      <c r="O1296" s="7" t="str">
        <f>IFERROR(__xludf.DUMMYFUNCTION("""COMPUTED_VALUE"""),"3 a 5 veces por semana")</f>
        <v>3 a 5 veces por semana</v>
      </c>
      <c r="P1296" s="7"/>
      <c r="Q1296" s="7" t="str">
        <f>IFERROR(__xludf.DUMMYFUNCTION("""COMPUTED_VALUE"""),"Integral Salud")</f>
        <v>Integral Salud</v>
      </c>
      <c r="R1296" s="7"/>
      <c r="S1296" s="7"/>
    </row>
    <row r="1297">
      <c r="C1297" s="19">
        <f>IFERROR(__xludf.DUMMYFUNCTION("""COMPUTED_VALUE"""),45961.69991763889)</f>
        <v>45961.69992</v>
      </c>
      <c r="D1297" s="7" t="str">
        <f>IFERROR(__xludf.DUMMYFUNCTION("""COMPUTED_VALUE"""),"Sam Sam ")</f>
        <v>Sam Sam </v>
      </c>
      <c r="E1297" s="7" t="str">
        <f>IFERROR(__xludf.DUMMYFUNCTION("""COMPUTED_VALUE"""),"Cristian ")</f>
        <v>Cristian </v>
      </c>
      <c r="F1297" s="7" t="str">
        <f>IFERROR(__xludf.DUMMYFUNCTION("""COMPUTED_VALUE"""),"cristian.samsam@gmail.com")</f>
        <v>cristian.samsam@gmail.com</v>
      </c>
      <c r="G1297" s="20">
        <f>IFERROR(__xludf.DUMMYFUNCTION("""COMPUTED_VALUE"""),25957.0)</f>
        <v>25957</v>
      </c>
      <c r="H1297" s="7">
        <f>IFERROR(__xludf.DUMMYFUNCTION("""COMPUTED_VALUE"""),2.1966177E7)</f>
        <v>21966177</v>
      </c>
      <c r="I1297" s="7">
        <f>IFERROR(__xludf.DUMMYFUNCTION("""COMPUTED_VALUE"""),3.513947342E9)</f>
        <v>3513947342</v>
      </c>
      <c r="J1297" s="7" t="str">
        <f>IFERROR(__xludf.DUMMYFUNCTION("""COMPUTED_VALUE"""),"Recomendación")</f>
        <v>Recomendación</v>
      </c>
      <c r="K1297" s="7" t="str">
        <f>IFERROR(__xludf.DUMMYFUNCTION("""COMPUTED_VALUE"""),"Obra social")</f>
        <v>Obra social</v>
      </c>
      <c r="L1297" s="7"/>
      <c r="M1297" s="7" t="str">
        <f>IFERROR(__xludf.DUMMYFUNCTION("""COMPUTED_VALUE"""),"Si")</f>
        <v>Si</v>
      </c>
      <c r="N1297" s="7"/>
      <c r="O1297" s="7" t="str">
        <f>IFERROR(__xludf.DUMMYFUNCTION("""COMPUTED_VALUE"""),"1 a 2 veces por semana")</f>
        <v>1 a 2 veces por semana</v>
      </c>
      <c r="P1297" s="7"/>
      <c r="Q1297" s="7" t="str">
        <f>IFERROR(__xludf.DUMMYFUNCTION("""COMPUTED_VALUE"""),"APROSS")</f>
        <v>APROSS</v>
      </c>
      <c r="R1297" s="7"/>
      <c r="S1297" s="7"/>
    </row>
    <row r="1298">
      <c r="C1298" s="19">
        <f>IFERROR(__xludf.DUMMYFUNCTION("""COMPUTED_VALUE"""),45962.80974986111)</f>
        <v>45962.80975</v>
      </c>
      <c r="D1298" s="7" t="str">
        <f>IFERROR(__xludf.DUMMYFUNCTION("""COMPUTED_VALUE"""),"SORIANO ")</f>
        <v>SORIANO </v>
      </c>
      <c r="E1298" s="7" t="str">
        <f>IFERROR(__xludf.DUMMYFUNCTION("""COMPUTED_VALUE"""),"NATALIA LORENA ")</f>
        <v>NATALIA LORENA </v>
      </c>
      <c r="F1298" s="7" t="str">
        <f>IFERROR(__xludf.DUMMYFUNCTION("""COMPUTED_VALUE"""),"docentenaty27@gmail.com")</f>
        <v>docentenaty27@gmail.com</v>
      </c>
      <c r="G1298" s="20">
        <f>IFERROR(__xludf.DUMMYFUNCTION("""COMPUTED_VALUE"""),28790.0)</f>
        <v>28790</v>
      </c>
      <c r="H1298" s="7">
        <f>IFERROR(__xludf.DUMMYFUNCTION("""COMPUTED_VALUE"""),2.6954398E7)</f>
        <v>26954398</v>
      </c>
      <c r="I1298" s="7">
        <f>IFERROR(__xludf.DUMMYFUNCTION("""COMPUTED_VALUE"""),3.5162474E9)</f>
        <v>3516247400</v>
      </c>
      <c r="J1298" s="7" t="str">
        <f>IFERROR(__xludf.DUMMYFUNCTION("""COMPUTED_VALUE"""),"Instagram")</f>
        <v>Instagram</v>
      </c>
      <c r="K1298" s="7" t="str">
        <f>IFERROR(__xludf.DUMMYFUNCTION("""COMPUTED_VALUE"""),"Particular")</f>
        <v>Particular</v>
      </c>
      <c r="L1298" s="7"/>
      <c r="M1298" s="7" t="str">
        <f>IFERROR(__xludf.DUMMYFUNCTION("""COMPUTED_VALUE"""),"No")</f>
        <v>No</v>
      </c>
      <c r="N1298" s="7"/>
      <c r="O1298" s="7"/>
      <c r="P1298" s="7"/>
      <c r="Q1298" s="7"/>
      <c r="R1298" s="7"/>
      <c r="S1298" s="7"/>
    </row>
    <row r="1299">
      <c r="C1299" s="19">
        <f>IFERROR(__xludf.DUMMYFUNCTION("""COMPUTED_VALUE"""),45964.34845767361)</f>
        <v>45964.34846</v>
      </c>
      <c r="D1299" s="7" t="str">
        <f>IFERROR(__xludf.DUMMYFUNCTION("""COMPUTED_VALUE"""),"Miguel")</f>
        <v>Miguel</v>
      </c>
      <c r="E1299" s="7" t="str">
        <f>IFERROR(__xludf.DUMMYFUNCTION("""COMPUTED_VALUE"""),"Maria Gabriela")</f>
        <v>Maria Gabriela</v>
      </c>
      <c r="F1299" s="7" t="str">
        <f>IFERROR(__xludf.DUMMYFUNCTION("""COMPUTED_VALUE"""),"paragabriela@hotmail.com")</f>
        <v>paragabriela@hotmail.com</v>
      </c>
      <c r="G1299" s="20">
        <f>IFERROR(__xludf.DUMMYFUNCTION("""COMPUTED_VALUE"""),26281.0)</f>
        <v>26281</v>
      </c>
      <c r="H1299" s="7">
        <f>IFERROR(__xludf.DUMMYFUNCTION("""COMPUTED_VALUE"""),2.2426935E7)</f>
        <v>22426935</v>
      </c>
      <c r="I1299" s="7">
        <f>IFERROR(__xludf.DUMMYFUNCTION("""COMPUTED_VALUE"""),3.515189222E9)</f>
        <v>3515189222</v>
      </c>
      <c r="J1299" s="7" t="str">
        <f>IFERROR(__xludf.DUMMYFUNCTION("""COMPUTED_VALUE"""),"Voy al gym Manantial")</f>
        <v>Voy al gym Manantial</v>
      </c>
      <c r="K1299" s="7" t="str">
        <f>IFERROR(__xludf.DUMMYFUNCTION("""COMPUTED_VALUE"""),"Obra social")</f>
        <v>Obra social</v>
      </c>
      <c r="L1299" s="7"/>
      <c r="M1299" s="7" t="str">
        <f>IFERROR(__xludf.DUMMYFUNCTION("""COMPUTED_VALUE"""),"Si")</f>
        <v>Si</v>
      </c>
      <c r="N1299" s="7" t="str">
        <f>IFERROR(__xludf.DUMMYFUNCTION("""COMPUTED_VALUE"""),"Gimnasio")</f>
        <v>Gimnasio</v>
      </c>
      <c r="O1299" s="7" t="str">
        <f>IFERROR(__xludf.DUMMYFUNCTION("""COMPUTED_VALUE"""),"1 a 2 veces por semana")</f>
        <v>1 a 2 veces por semana</v>
      </c>
      <c r="P1299" s="7"/>
      <c r="Q1299" s="7" t="str">
        <f>IFERROR(__xludf.DUMMYFUNCTION("""COMPUTED_VALUE"""),"CPCE")</f>
        <v>CPCE</v>
      </c>
      <c r="R1299" s="7"/>
      <c r="S1299" s="7"/>
    </row>
    <row r="1300">
      <c r="C1300" s="19">
        <f>IFERROR(__xludf.DUMMYFUNCTION("""COMPUTED_VALUE"""),45964.450003958336)</f>
        <v>45964.45</v>
      </c>
      <c r="D1300" s="7" t="str">
        <f>IFERROR(__xludf.DUMMYFUNCTION("""COMPUTED_VALUE"""),"Grassano Nacif ")</f>
        <v>Grassano Nacif </v>
      </c>
      <c r="E1300" s="7" t="str">
        <f>IFERROR(__xludf.DUMMYFUNCTION("""COMPUTED_VALUE"""),"Giuliana ")</f>
        <v>Giuliana </v>
      </c>
      <c r="F1300" s="7" t="str">
        <f>IFERROR(__xludf.DUMMYFUNCTION("""COMPUTED_VALUE"""),"macecilianacif@gmail.com")</f>
        <v>macecilianacif@gmail.com</v>
      </c>
      <c r="G1300" s="20">
        <f>IFERROR(__xludf.DUMMYFUNCTION("""COMPUTED_VALUE"""),40176.0)</f>
        <v>40176</v>
      </c>
      <c r="H1300" s="7">
        <f>IFERROR(__xludf.DUMMYFUNCTION("""COMPUTED_VALUE"""),4.9998223E7)</f>
        <v>49998223</v>
      </c>
      <c r="I1300" s="7">
        <f>IFERROR(__xludf.DUMMYFUNCTION("""COMPUTED_VALUE"""),3.515518569E9)</f>
        <v>3515518569</v>
      </c>
      <c r="J1300" s="7" t="str">
        <f>IFERROR(__xludf.DUMMYFUNCTION("""COMPUTED_VALUE"""),"Recomendación")</f>
        <v>Recomendación</v>
      </c>
      <c r="K1300" s="7" t="str">
        <f>IFERROR(__xludf.DUMMYFUNCTION("""COMPUTED_VALUE"""),"Obra social")</f>
        <v>Obra social</v>
      </c>
      <c r="L1300" s="7"/>
      <c r="M1300" s="7" t="str">
        <f>IFERROR(__xludf.DUMMYFUNCTION("""COMPUTED_VALUE"""),"Si")</f>
        <v>Si</v>
      </c>
      <c r="N1300" s="7" t="str">
        <f>IFERROR(__xludf.DUMMYFUNCTION("""COMPUTED_VALUE"""),"Hockey ")</f>
        <v>Hockey </v>
      </c>
      <c r="O1300" s="7" t="str">
        <f>IFERROR(__xludf.DUMMYFUNCTION("""COMPUTED_VALUE"""),"1 a 2 veces por semana")</f>
        <v>1 a 2 veces por semana</v>
      </c>
      <c r="P1300" s="7"/>
      <c r="Q1300" s="7" t="str">
        <f>IFERROR(__xludf.DUMMYFUNCTION("""COMPUTED_VALUE"""),"DASPU")</f>
        <v>DASPU</v>
      </c>
      <c r="R1300" s="7"/>
      <c r="S1300" s="7"/>
    </row>
    <row r="1301">
      <c r="C1301" s="19">
        <f>IFERROR(__xludf.DUMMYFUNCTION("""COMPUTED_VALUE"""),45965.75020784722)</f>
        <v>45965.75021</v>
      </c>
      <c r="D1301" s="7" t="str">
        <f>IFERROR(__xludf.DUMMYFUNCTION("""COMPUTED_VALUE"""),"Lesta")</f>
        <v>Lesta</v>
      </c>
      <c r="E1301" s="7" t="str">
        <f>IFERROR(__xludf.DUMMYFUNCTION("""COMPUTED_VALUE"""),"María Ilda del Valle ")</f>
        <v>María Ilda del Valle </v>
      </c>
      <c r="F1301" s="7" t="str">
        <f>IFERROR(__xludf.DUMMYFUNCTION("""COMPUTED_VALUE"""),"marililesta@gmail.com")</f>
        <v>marililesta@gmail.com</v>
      </c>
      <c r="G1301" s="20">
        <f>IFERROR(__xludf.DUMMYFUNCTION("""COMPUTED_VALUE"""),20306.0)</f>
        <v>20306</v>
      </c>
      <c r="H1301" s="7">
        <f>IFERROR(__xludf.DUMMYFUNCTION("""COMPUTED_VALUE"""),1.1971749E7)</f>
        <v>11971749</v>
      </c>
      <c r="I1301" s="7">
        <f>IFERROR(__xludf.DUMMYFUNCTION("""COMPUTED_VALUE"""),3.516668355E9)</f>
        <v>3516668355</v>
      </c>
      <c r="J1301" s="7" t="str">
        <f>IFERROR(__xludf.DUMMYFUNCTION("""COMPUTED_VALUE"""),"Recomendación")</f>
        <v>Recomendación</v>
      </c>
      <c r="K1301" s="7" t="str">
        <f>IFERROR(__xludf.DUMMYFUNCTION("""COMPUTED_VALUE"""),"Particular")</f>
        <v>Particular</v>
      </c>
      <c r="L1301" s="7"/>
      <c r="M1301" s="7" t="str">
        <f>IFERROR(__xludf.DUMMYFUNCTION("""COMPUTED_VALUE"""),"Si")</f>
        <v>Si</v>
      </c>
      <c r="N1301" s="7" t="str">
        <f>IFERROR(__xludf.DUMMYFUNCTION("""COMPUTED_VALUE"""),"Tai Chi")</f>
        <v>Tai Chi</v>
      </c>
      <c r="O1301" s="7" t="str">
        <f>IFERROR(__xludf.DUMMYFUNCTION("""COMPUTED_VALUE"""),"1 a 2 veces por semana")</f>
        <v>1 a 2 veces por semana</v>
      </c>
      <c r="P1301" s="7"/>
      <c r="Q1301" s="7"/>
      <c r="R1301" s="7"/>
      <c r="S1301" s="7"/>
    </row>
    <row r="1302">
      <c r="C1302" s="19">
        <f>IFERROR(__xludf.DUMMYFUNCTION("""COMPUTED_VALUE"""),45965.788452939814)</f>
        <v>45965.78845</v>
      </c>
      <c r="D1302" s="7" t="str">
        <f>IFERROR(__xludf.DUMMYFUNCTION("""COMPUTED_VALUE"""),"Nobrega")</f>
        <v>Nobrega</v>
      </c>
      <c r="E1302" s="7" t="str">
        <f>IFERROR(__xludf.DUMMYFUNCTION("""COMPUTED_VALUE"""),"Cristina")</f>
        <v>Cristina</v>
      </c>
      <c r="F1302" s="7" t="str">
        <f>IFERROR(__xludf.DUMMYFUNCTION("""COMPUTED_VALUE"""),"-")</f>
        <v>-</v>
      </c>
      <c r="G1302" s="20">
        <f>IFERROR(__xludf.DUMMYFUNCTION("""COMPUTED_VALUE"""),20368.0)</f>
        <v>20368</v>
      </c>
      <c r="H1302" s="7">
        <f>IFERROR(__xludf.DUMMYFUNCTION("""COMPUTED_VALUE"""),1.0251478E7)</f>
        <v>10251478</v>
      </c>
      <c r="I1302" s="7">
        <f>IFERROR(__xludf.DUMMYFUNCTION("""COMPUTED_VALUE"""),3.51366797E9)</f>
        <v>3513667970</v>
      </c>
      <c r="J1302" s="7" t="str">
        <f>IFERROR(__xludf.DUMMYFUNCTION("""COMPUTED_VALUE"""),"Instagram")</f>
        <v>Instagram</v>
      </c>
      <c r="K1302" s="7" t="str">
        <f>IFERROR(__xludf.DUMMYFUNCTION("""COMPUTED_VALUE"""),"Obra social")</f>
        <v>Obra social</v>
      </c>
      <c r="L1302" s="7"/>
      <c r="M1302" s="7" t="str">
        <f>IFERROR(__xludf.DUMMYFUNCTION("""COMPUTED_VALUE"""),"Si")</f>
        <v>Si</v>
      </c>
      <c r="N1302" s="7" t="str">
        <f>IFERROR(__xludf.DUMMYFUNCTION("""COMPUTED_VALUE"""),"Gimnasio")</f>
        <v>Gimnasio</v>
      </c>
      <c r="O1302" s="7" t="str">
        <f>IFERROR(__xludf.DUMMYFUNCTION("""COMPUTED_VALUE"""),"3 a 5 veces por semana")</f>
        <v>3 a 5 veces por semana</v>
      </c>
      <c r="P1302" s="7"/>
      <c r="Q1302" s="7" t="str">
        <f>IFERROR(__xludf.DUMMYFUNCTION("""COMPUTED_VALUE"""),"APROSS")</f>
        <v>APROSS</v>
      </c>
      <c r="R1302" s="7"/>
      <c r="S1302" s="7"/>
    </row>
    <row r="1303">
      <c r="C1303" s="19">
        <f>IFERROR(__xludf.DUMMYFUNCTION("""COMPUTED_VALUE"""),45965.82688439815)</f>
        <v>45965.82688</v>
      </c>
      <c r="D1303" s="7" t="str">
        <f>IFERROR(__xludf.DUMMYFUNCTION("""COMPUTED_VALUE"""),"Noriega ")</f>
        <v>Noriega </v>
      </c>
      <c r="E1303" s="7" t="str">
        <f>IFERROR(__xludf.DUMMYFUNCTION("""COMPUTED_VALUE"""),"José Ariel ")</f>
        <v>José Ariel </v>
      </c>
      <c r="F1303" s="7" t="str">
        <f>IFERROR(__xludf.DUMMYFUNCTION("""COMPUTED_VALUE"""),"josarino@hotmail.com")</f>
        <v>josarino@hotmail.com</v>
      </c>
      <c r="G1303" s="20">
        <f>IFERROR(__xludf.DUMMYFUNCTION("""COMPUTED_VALUE"""),26878.0)</f>
        <v>26878</v>
      </c>
      <c r="H1303" s="7">
        <f>IFERROR(__xludf.DUMMYFUNCTION("""COMPUTED_VALUE"""),2.3309944E7)</f>
        <v>23309944</v>
      </c>
      <c r="I1303" s="7">
        <f>IFERROR(__xludf.DUMMYFUNCTION("""COMPUTED_VALUE"""),3.516370033E9)</f>
        <v>3516370033</v>
      </c>
      <c r="J1303" s="7" t="str">
        <f>IFERROR(__xludf.DUMMYFUNCTION("""COMPUTED_VALUE"""),"Recomendación")</f>
        <v>Recomendación</v>
      </c>
      <c r="K1303" s="7" t="str">
        <f>IFERROR(__xludf.DUMMYFUNCTION("""COMPUTED_VALUE"""),"Particular")</f>
        <v>Particular</v>
      </c>
      <c r="L1303" s="7"/>
      <c r="M1303" s="7" t="str">
        <f>IFERROR(__xludf.DUMMYFUNCTION("""COMPUTED_VALUE"""),"Si")</f>
        <v>Si</v>
      </c>
      <c r="N1303" s="7" t="str">
        <f>IFERROR(__xludf.DUMMYFUNCTION("""COMPUTED_VALUE"""),"Gimnasio")</f>
        <v>Gimnasio</v>
      </c>
      <c r="O1303" s="7" t="str">
        <f>IFERROR(__xludf.DUMMYFUNCTION("""COMPUTED_VALUE"""),"3 a 5 veces por semana")</f>
        <v>3 a 5 veces por semana</v>
      </c>
      <c r="P1303" s="7"/>
      <c r="Q1303" s="7"/>
      <c r="R1303" s="7"/>
      <c r="S1303" s="7"/>
    </row>
    <row r="1304">
      <c r="C1304" s="19">
        <f>IFERROR(__xludf.DUMMYFUNCTION("""COMPUTED_VALUE"""),45966.48962916667)</f>
        <v>45966.48963</v>
      </c>
      <c r="D1304" s="7" t="str">
        <f>IFERROR(__xludf.DUMMYFUNCTION("""COMPUTED_VALUE"""),"Zadiz")</f>
        <v>Zadiz</v>
      </c>
      <c r="E1304" s="7" t="str">
        <f>IFERROR(__xludf.DUMMYFUNCTION("""COMPUTED_VALUE"""),"Josefina")</f>
        <v>Josefina</v>
      </c>
      <c r="F1304" s="23" t="str">
        <f>IFERROR(__xludf.DUMMYFUNCTION("""COMPUTED_VALUE"""),"josefinazadizgmial.com")</f>
        <v>josefinazadizgmial.com</v>
      </c>
      <c r="G1304" s="20">
        <f>IFERROR(__xludf.DUMMYFUNCTION("""COMPUTED_VALUE"""),-691851.0)</f>
        <v>-691851</v>
      </c>
      <c r="H1304" s="7">
        <f>IFERROR(__xludf.DUMMYFUNCTION("""COMPUTED_VALUE"""),3.8853231E7)</f>
        <v>38853231</v>
      </c>
      <c r="I1304" s="7">
        <f>IFERROR(__xludf.DUMMYFUNCTION("""COMPUTED_VALUE"""),3.512805035E9)</f>
        <v>3512805035</v>
      </c>
      <c r="J1304" s="7" t="str">
        <f>IFERROR(__xludf.DUMMYFUNCTION("""COMPUTED_VALUE"""),"Voy al gym Manantial")</f>
        <v>Voy al gym Manantial</v>
      </c>
      <c r="K1304" s="7" t="str">
        <f>IFERROR(__xludf.DUMMYFUNCTION("""COMPUTED_VALUE"""),"Particular")</f>
        <v>Particular</v>
      </c>
      <c r="L1304" s="7"/>
      <c r="M1304" s="7" t="str">
        <f>IFERROR(__xludf.DUMMYFUNCTION("""COMPUTED_VALUE"""),"Si")</f>
        <v>Si</v>
      </c>
      <c r="N1304" s="7" t="str">
        <f>IFERROR(__xludf.DUMMYFUNCTION("""COMPUTED_VALUE"""),"Gimnasio")</f>
        <v>Gimnasio</v>
      </c>
      <c r="O1304" s="7" t="str">
        <f>IFERROR(__xludf.DUMMYFUNCTION("""COMPUTED_VALUE"""),"3 a 5 veces por semana")</f>
        <v>3 a 5 veces por semana</v>
      </c>
      <c r="P1304" s="7"/>
      <c r="Q1304" s="7"/>
      <c r="R1304" s="7"/>
      <c r="S1304" s="7"/>
    </row>
    <row r="1305">
      <c r="C1305" s="19">
        <f>IFERROR(__xludf.DUMMYFUNCTION("""COMPUTED_VALUE"""),45966.66924116898)</f>
        <v>45966.66924</v>
      </c>
      <c r="D1305" s="7" t="str">
        <f>IFERROR(__xludf.DUMMYFUNCTION("""COMPUTED_VALUE"""),"Olmos Brillarelli ")</f>
        <v>Olmos Brillarelli </v>
      </c>
      <c r="E1305" s="7" t="str">
        <f>IFERROR(__xludf.DUMMYFUNCTION("""COMPUTED_VALUE"""),"Agustina")</f>
        <v>Agustina</v>
      </c>
      <c r="F1305" s="7" t="str">
        <f>IFERROR(__xludf.DUMMYFUNCTION("""COMPUTED_VALUE"""),"agusolmos66@hotmail.com")</f>
        <v>agusolmos66@hotmail.com</v>
      </c>
      <c r="G1305" s="20">
        <f>IFERROR(__xludf.DUMMYFUNCTION("""COMPUTED_VALUE"""),33395.0)</f>
        <v>33395</v>
      </c>
      <c r="H1305" s="7">
        <f>IFERROR(__xludf.DUMMYFUNCTION("""COMPUTED_VALUE"""),3.5963305E7)</f>
        <v>35963305</v>
      </c>
      <c r="I1305" s="7" t="str">
        <f>IFERROR(__xludf.DUMMYFUNCTION("""COMPUTED_VALUE"""),"3515521575")</f>
        <v>3515521575</v>
      </c>
      <c r="J1305" s="7" t="str">
        <f>IFERROR(__xludf.DUMMYFUNCTION("""COMPUTED_VALUE"""),"Voy al gym Manantial")</f>
        <v>Voy al gym Manantial</v>
      </c>
      <c r="K1305" s="7" t="str">
        <f>IFERROR(__xludf.DUMMYFUNCTION("""COMPUTED_VALUE"""),"Particular")</f>
        <v>Particular</v>
      </c>
      <c r="L1305" s="7"/>
      <c r="M1305" s="7" t="str">
        <f>IFERROR(__xludf.DUMMYFUNCTION("""COMPUTED_VALUE"""),"Si")</f>
        <v>Si</v>
      </c>
      <c r="N1305" s="7" t="str">
        <f>IFERROR(__xludf.DUMMYFUNCTION("""COMPUTED_VALUE"""),"Gimnasio")</f>
        <v>Gimnasio</v>
      </c>
      <c r="O1305" s="7" t="str">
        <f>IFERROR(__xludf.DUMMYFUNCTION("""COMPUTED_VALUE"""),"1 a 2 veces por semana")</f>
        <v>1 a 2 veces por semana</v>
      </c>
      <c r="P1305" s="7"/>
      <c r="Q1305" s="7"/>
      <c r="R1305" s="7"/>
      <c r="S1305" s="7"/>
    </row>
    <row r="1306">
      <c r="C1306" s="19">
        <f>IFERROR(__xludf.DUMMYFUNCTION("""COMPUTED_VALUE"""),45966.78666055556)</f>
        <v>45966.78666</v>
      </c>
      <c r="D1306" s="7" t="str">
        <f>IFERROR(__xludf.DUMMYFUNCTION("""COMPUTED_VALUE"""),"AZAR")</f>
        <v>AZAR</v>
      </c>
      <c r="E1306" s="7" t="str">
        <f>IFERROR(__xludf.DUMMYFUNCTION("""COMPUTED_VALUE"""),"JALIL")</f>
        <v>JALIL</v>
      </c>
      <c r="F1306" s="7" t="str">
        <f>IFERROR(__xludf.DUMMYFUNCTION("""COMPUTED_VALUE"""),"karinabringas1@gmail.com")</f>
        <v>karinabringas1@gmail.com</v>
      </c>
      <c r="G1306" s="20">
        <f>IFERROR(__xludf.DUMMYFUNCTION("""COMPUTED_VALUE"""),40393.0)</f>
        <v>40393</v>
      </c>
      <c r="H1306" s="7">
        <f>IFERROR(__xludf.DUMMYFUNCTION("""COMPUTED_VALUE"""),5.0419054E7)</f>
        <v>50419054</v>
      </c>
      <c r="I1306" s="7">
        <f>IFERROR(__xludf.DUMMYFUNCTION("""COMPUTED_VALUE"""),3.515161612E9)</f>
        <v>3515161612</v>
      </c>
      <c r="J1306" s="7" t="str">
        <f>IFERROR(__xludf.DUMMYFUNCTION("""COMPUTED_VALUE"""),"Google")</f>
        <v>Google</v>
      </c>
      <c r="K1306" s="7" t="str">
        <f>IFERROR(__xludf.DUMMYFUNCTION("""COMPUTED_VALUE"""),"Obra social")</f>
        <v>Obra social</v>
      </c>
      <c r="L1306" s="7"/>
      <c r="M1306" s="7" t="str">
        <f>IFERROR(__xludf.DUMMYFUNCTION("""COMPUTED_VALUE"""),"No")</f>
        <v>No</v>
      </c>
      <c r="N1306" s="7"/>
      <c r="O1306" s="7"/>
      <c r="P1306" s="7"/>
      <c r="Q1306" s="7" t="str">
        <f>IFERROR(__xludf.DUMMYFUNCTION("""COMPUTED_VALUE"""),"Medife")</f>
        <v>Medife</v>
      </c>
      <c r="R1306" s="7"/>
      <c r="S1306" s="7"/>
    </row>
    <row r="1307">
      <c r="C1307" s="19">
        <f>IFERROR(__xludf.DUMMYFUNCTION("""COMPUTED_VALUE"""),45968.50024862269)</f>
        <v>45968.50025</v>
      </c>
      <c r="D1307" s="7" t="str">
        <f>IFERROR(__xludf.DUMMYFUNCTION("""COMPUTED_VALUE"""),"Canalis")</f>
        <v>Canalis</v>
      </c>
      <c r="E1307" s="7" t="str">
        <f>IFERROR(__xludf.DUMMYFUNCTION("""COMPUTED_VALUE"""),"Santiago Martin")</f>
        <v>Santiago Martin</v>
      </c>
      <c r="F1307" s="7" t="str">
        <f>IFERROR(__xludf.DUMMYFUNCTION("""COMPUTED_VALUE"""),"santicanalis20@gmail.com")</f>
        <v>santicanalis20@gmail.com</v>
      </c>
      <c r="G1307" s="20">
        <f>IFERROR(__xludf.DUMMYFUNCTION("""COMPUTED_VALUE"""),39184.0)</f>
        <v>39184</v>
      </c>
      <c r="H1307" s="7">
        <f>IFERROR(__xludf.DUMMYFUNCTION("""COMPUTED_VALUE"""),4.6847044E7)</f>
        <v>46847044</v>
      </c>
      <c r="I1307" s="7">
        <f>IFERROR(__xludf.DUMMYFUNCTION("""COMPUTED_VALUE"""),3.513107877E9)</f>
        <v>3513107877</v>
      </c>
      <c r="J1307" s="7" t="str">
        <f>IFERROR(__xludf.DUMMYFUNCTION("""COMPUTED_VALUE"""),"Voy al gym Manantial")</f>
        <v>Voy al gym Manantial</v>
      </c>
      <c r="K1307" s="7" t="str">
        <f>IFERROR(__xludf.DUMMYFUNCTION("""COMPUTED_VALUE"""),"Obra social")</f>
        <v>Obra social</v>
      </c>
      <c r="L1307" s="7"/>
      <c r="M1307" s="7" t="str">
        <f>IFERROR(__xludf.DUMMYFUNCTION("""COMPUTED_VALUE"""),"Si")</f>
        <v>Si</v>
      </c>
      <c r="N1307" s="7" t="str">
        <f>IFERROR(__xludf.DUMMYFUNCTION("""COMPUTED_VALUE"""),"Gimnasio")</f>
        <v>Gimnasio</v>
      </c>
      <c r="O1307" s="7" t="str">
        <f>IFERROR(__xludf.DUMMYFUNCTION("""COMPUTED_VALUE"""),"3 a 5 veces por semana")</f>
        <v>3 a 5 veces por semana</v>
      </c>
      <c r="P1307" s="7"/>
      <c r="Q1307" s="7" t="str">
        <f>IFERROR(__xludf.DUMMYFUNCTION("""COMPUTED_VALUE"""),"APROSS")</f>
        <v>APROSS</v>
      </c>
      <c r="R1307" s="7"/>
      <c r="S1307" s="7"/>
    </row>
    <row r="1308">
      <c r="C1308" s="19">
        <f>IFERROR(__xludf.DUMMYFUNCTION("""COMPUTED_VALUE"""),45968.54646945602)</f>
        <v>45968.54647</v>
      </c>
      <c r="D1308" s="7" t="str">
        <f>IFERROR(__xludf.DUMMYFUNCTION("""COMPUTED_VALUE"""),"Hidalgo")</f>
        <v>Hidalgo</v>
      </c>
      <c r="E1308" s="7" t="str">
        <f>IFERROR(__xludf.DUMMYFUNCTION("""COMPUTED_VALUE"""),"Teo salvador")</f>
        <v>Teo salvador</v>
      </c>
      <c r="F1308" s="7" t="str">
        <f>IFERROR(__xludf.DUMMYFUNCTION("""COMPUTED_VALUE"""),"mariohidalgo80@gmail.com")</f>
        <v>mariohidalgo80@gmail.com</v>
      </c>
      <c r="G1308" s="20">
        <f>IFERROR(__xludf.DUMMYFUNCTION("""COMPUTED_VALUE"""),41608.0)</f>
        <v>41608</v>
      </c>
      <c r="H1308" s="7">
        <f>IFERROR(__xludf.DUMMYFUNCTION("""COMPUTED_VALUE"""),5.3505523E7)</f>
        <v>53505523</v>
      </c>
      <c r="I1308" s="7">
        <f>IFERROR(__xludf.DUMMYFUNCTION("""COMPUTED_VALUE"""),3.513664238E9)</f>
        <v>3513664238</v>
      </c>
      <c r="J1308" s="7" t="str">
        <f>IFERROR(__xludf.DUMMYFUNCTION("""COMPUTED_VALUE"""),"Cartilla Obra Social")</f>
        <v>Cartilla Obra Social</v>
      </c>
      <c r="K1308" s="7" t="str">
        <f>IFERROR(__xludf.DUMMYFUNCTION("""COMPUTED_VALUE"""),"Obra social")</f>
        <v>Obra social</v>
      </c>
      <c r="L1308" s="7"/>
      <c r="M1308" s="7" t="str">
        <f>IFERROR(__xludf.DUMMYFUNCTION("""COMPUTED_VALUE"""),"Si")</f>
        <v>Si</v>
      </c>
      <c r="N1308" s="7" t="str">
        <f>IFERROR(__xludf.DUMMYFUNCTION("""COMPUTED_VALUE"""),"Fútbol")</f>
        <v>Fútbol</v>
      </c>
      <c r="O1308" s="7" t="str">
        <f>IFERROR(__xludf.DUMMYFUNCTION("""COMPUTED_VALUE"""),"3 a 5 veces por semana")</f>
        <v>3 a 5 veces por semana</v>
      </c>
      <c r="P1308" s="7"/>
      <c r="Q1308" s="7" t="str">
        <f>IFERROR(__xludf.DUMMYFUNCTION("""COMPUTED_VALUE"""),"Boreal")</f>
        <v>Boreal</v>
      </c>
      <c r="R1308" s="7"/>
      <c r="S1308" s="7"/>
    </row>
    <row r="1309">
      <c r="C1309" s="19">
        <f>IFERROR(__xludf.DUMMYFUNCTION("""COMPUTED_VALUE"""),45968.733269108794)</f>
        <v>45968.73327</v>
      </c>
      <c r="D1309" s="7" t="str">
        <f>IFERROR(__xludf.DUMMYFUNCTION("""COMPUTED_VALUE"""),"Ordoñez ")</f>
        <v>Ordoñez </v>
      </c>
      <c r="E1309" s="7" t="str">
        <f>IFERROR(__xludf.DUMMYFUNCTION("""COMPUTED_VALUE"""),"Yanina")</f>
        <v>Yanina</v>
      </c>
      <c r="F1309" s="7" t="str">
        <f>IFERROR(__xludf.DUMMYFUNCTION("""COMPUTED_VALUE"""),"Yanina.ordonez33@gmail.com")</f>
        <v>Yanina.ordonez33@gmail.com</v>
      </c>
      <c r="G1309" s="20">
        <f>IFERROR(__xludf.DUMMYFUNCTION("""COMPUTED_VALUE"""),34790.0)</f>
        <v>34790</v>
      </c>
      <c r="H1309" s="7">
        <f>IFERROR(__xludf.DUMMYFUNCTION("""COMPUTED_VALUE"""),3.9056915E7)</f>
        <v>39056915</v>
      </c>
      <c r="I1309" s="7">
        <f>IFERROR(__xludf.DUMMYFUNCTION("""COMPUTED_VALUE"""),3.517583909E9)</f>
        <v>3517583909</v>
      </c>
      <c r="J1309" s="7" t="str">
        <f>IFERROR(__xludf.DUMMYFUNCTION("""COMPUTED_VALUE"""),"Google")</f>
        <v>Google</v>
      </c>
      <c r="K1309" s="7" t="str">
        <f>IFERROR(__xludf.DUMMYFUNCTION("""COMPUTED_VALUE"""),"Particular")</f>
        <v>Particular</v>
      </c>
      <c r="L1309" s="7"/>
      <c r="M1309" s="7" t="str">
        <f>IFERROR(__xludf.DUMMYFUNCTION("""COMPUTED_VALUE"""),"No")</f>
        <v>No</v>
      </c>
      <c r="N1309" s="7"/>
      <c r="O1309" s="7"/>
      <c r="P1309" s="7"/>
      <c r="Q1309" s="7"/>
      <c r="R1309" s="7"/>
      <c r="S1309" s="7"/>
    </row>
    <row r="1310">
      <c r="C1310" s="19">
        <f>IFERROR(__xludf.DUMMYFUNCTION("""COMPUTED_VALUE"""),45969.52534222222)</f>
        <v>45969.52534</v>
      </c>
      <c r="D1310" s="7" t="str">
        <f>IFERROR(__xludf.DUMMYFUNCTION("""COMPUTED_VALUE"""),"herrera")</f>
        <v>herrera</v>
      </c>
      <c r="E1310" s="7" t="str">
        <f>IFERROR(__xludf.DUMMYFUNCTION("""COMPUTED_VALUE"""),"julian ")</f>
        <v>julian </v>
      </c>
      <c r="F1310" s="7" t="str">
        <f>IFERROR(__xludf.DUMMYFUNCTION("""COMPUTED_VALUE"""),"julianherre11@gmail.com")</f>
        <v>julianherre11@gmail.com</v>
      </c>
      <c r="G1310" s="20">
        <f>IFERROR(__xludf.DUMMYFUNCTION("""COMPUTED_VALUE"""),37476.0)</f>
        <v>37476</v>
      </c>
      <c r="H1310" s="7">
        <f>IFERROR(__xludf.DUMMYFUNCTION("""COMPUTED_VALUE"""),4.4245278E7)</f>
        <v>44245278</v>
      </c>
      <c r="I1310" s="7">
        <f>IFERROR(__xludf.DUMMYFUNCTION("""COMPUTED_VALUE"""),3.585133951E9)</f>
        <v>3585133951</v>
      </c>
      <c r="J1310" s="7" t="str">
        <f>IFERROR(__xludf.DUMMYFUNCTION("""COMPUTED_VALUE"""),"Google")</f>
        <v>Google</v>
      </c>
      <c r="K1310" s="7" t="str">
        <f>IFERROR(__xludf.DUMMYFUNCTION("""COMPUTED_VALUE"""),"Obra social")</f>
        <v>Obra social</v>
      </c>
      <c r="L1310" s="7"/>
      <c r="M1310" s="7" t="str">
        <f>IFERROR(__xludf.DUMMYFUNCTION("""COMPUTED_VALUE"""),"Si")</f>
        <v>Si</v>
      </c>
      <c r="N1310" s="7" t="str">
        <f>IFERROR(__xludf.DUMMYFUNCTION("""COMPUTED_VALUE"""),"padel")</f>
        <v>padel</v>
      </c>
      <c r="O1310" s="7" t="str">
        <f>IFERROR(__xludf.DUMMYFUNCTION("""COMPUTED_VALUE"""),"6 a 7 veces por semana")</f>
        <v>6 a 7 veces por semana</v>
      </c>
      <c r="P1310" s="7"/>
      <c r="Q1310" s="7" t="str">
        <f>IFERROR(__xludf.DUMMYFUNCTION("""COMPUTED_VALUE"""),"SANCOR")</f>
        <v>SANCOR</v>
      </c>
      <c r="R1310" s="7"/>
      <c r="S1310" s="7"/>
    </row>
    <row r="1311">
      <c r="C1311" s="19">
        <f>IFERROR(__xludf.DUMMYFUNCTION("""COMPUTED_VALUE"""),45971.47377459491)</f>
        <v>45971.47377</v>
      </c>
      <c r="D1311" s="7" t="str">
        <f>IFERROR(__xludf.DUMMYFUNCTION("""COMPUTED_VALUE"""),"Ledesma")</f>
        <v>Ledesma</v>
      </c>
      <c r="E1311" s="7" t="str">
        <f>IFERROR(__xludf.DUMMYFUNCTION("""COMPUTED_VALUE"""),"Juan Carlos")</f>
        <v>Juan Carlos</v>
      </c>
      <c r="F1311" s="7" t="str">
        <f>IFERROR(__xludf.DUMMYFUNCTION("""COMPUTED_VALUE"""),"jc.ledesma556@gmail.com")</f>
        <v>jc.ledesma556@gmail.com</v>
      </c>
      <c r="G1311" s="20">
        <f>IFERROR(__xludf.DUMMYFUNCTION("""COMPUTED_VALUE"""),18023.0)</f>
        <v>18023</v>
      </c>
      <c r="H1311" s="7">
        <f>IFERROR(__xludf.DUMMYFUNCTION("""COMPUTED_VALUE"""),7645601.0)</f>
        <v>7645601</v>
      </c>
      <c r="I1311" s="7">
        <f>IFERROR(__xludf.DUMMYFUNCTION("""COMPUTED_VALUE"""),3.515511293E9)</f>
        <v>3515511293</v>
      </c>
      <c r="J1311" s="7" t="str">
        <f>IFERROR(__xludf.DUMMYFUNCTION("""COMPUTED_VALUE"""),"Recomendación")</f>
        <v>Recomendación</v>
      </c>
      <c r="K1311" s="7" t="str">
        <f>IFERROR(__xludf.DUMMYFUNCTION("""COMPUTED_VALUE"""),"Obra social")</f>
        <v>Obra social</v>
      </c>
      <c r="L1311" s="7"/>
      <c r="M1311" s="7" t="str">
        <f>IFERROR(__xludf.DUMMYFUNCTION("""COMPUTED_VALUE"""),"Si")</f>
        <v>Si</v>
      </c>
      <c r="N1311" s="7" t="str">
        <f>IFERROR(__xludf.DUMMYFUNCTION("""COMPUTED_VALUE"""),"Gimnasio")</f>
        <v>Gimnasio</v>
      </c>
      <c r="O1311" s="7" t="str">
        <f>IFERROR(__xludf.DUMMYFUNCTION("""COMPUTED_VALUE"""),"3 a 5 veces por semana")</f>
        <v>3 a 5 veces por semana</v>
      </c>
      <c r="P1311" s="7"/>
      <c r="Q1311" s="7" t="str">
        <f>IFERROR(__xludf.DUMMYFUNCTION("""COMPUTED_VALUE"""),"CPCE")</f>
        <v>CPCE</v>
      </c>
      <c r="R1311" s="7"/>
      <c r="S1311" s="7"/>
    </row>
    <row r="1312">
      <c r="C1312" s="19">
        <f>IFERROR(__xludf.DUMMYFUNCTION("""COMPUTED_VALUE"""),45971.74975552083)</f>
        <v>45971.74976</v>
      </c>
      <c r="D1312" s="7" t="str">
        <f>IFERROR(__xludf.DUMMYFUNCTION("""COMPUTED_VALUE"""),"Casella")</f>
        <v>Casella</v>
      </c>
      <c r="E1312" s="7" t="str">
        <f>IFERROR(__xludf.DUMMYFUNCTION("""COMPUTED_VALUE"""),"Guido")</f>
        <v>Guido</v>
      </c>
      <c r="F1312" s="7"/>
      <c r="G1312" s="20">
        <f>IFERROR(__xludf.DUMMYFUNCTION("""COMPUTED_VALUE"""),34078.0)</f>
        <v>34078</v>
      </c>
      <c r="H1312" s="7">
        <f>IFERROR(__xludf.DUMMYFUNCTION("""COMPUTED_VALUE"""),3.7476222E7)</f>
        <v>37476222</v>
      </c>
      <c r="I1312" s="7">
        <f>IFERROR(__xludf.DUMMYFUNCTION("""COMPUTED_VALUE"""),3.515293085E9)</f>
        <v>3515293085</v>
      </c>
      <c r="J1312" s="7" t="str">
        <f>IFERROR(__xludf.DUMMYFUNCTION("""COMPUTED_VALUE"""),"Recomendación")</f>
        <v>Recomendación</v>
      </c>
      <c r="K1312" s="7" t="str">
        <f>IFERROR(__xludf.DUMMYFUNCTION("""COMPUTED_VALUE"""),"Particular")</f>
        <v>Particular</v>
      </c>
      <c r="L1312" s="7"/>
      <c r="M1312" s="7" t="str">
        <f>IFERROR(__xludf.DUMMYFUNCTION("""COMPUTED_VALUE"""),"Si")</f>
        <v>Si</v>
      </c>
      <c r="N1312" s="7" t="str">
        <f>IFERROR(__xludf.DUMMYFUNCTION("""COMPUTED_VALUE"""),"Tenis")</f>
        <v>Tenis</v>
      </c>
      <c r="O1312" s="7" t="str">
        <f>IFERROR(__xludf.DUMMYFUNCTION("""COMPUTED_VALUE"""),"1 a 2 veces por semana")</f>
        <v>1 a 2 veces por semana</v>
      </c>
      <c r="P1312" s="7"/>
      <c r="Q1312" s="7"/>
      <c r="R1312" s="7"/>
      <c r="S1312" s="7"/>
    </row>
    <row r="1313">
      <c r="C1313" s="19">
        <f>IFERROR(__xludf.DUMMYFUNCTION("""COMPUTED_VALUE"""),45971.78967304398)</f>
        <v>45971.78967</v>
      </c>
      <c r="D1313" s="7" t="str">
        <f>IFERROR(__xludf.DUMMYFUNCTION("""COMPUTED_VALUE"""),"Goria")</f>
        <v>Goria</v>
      </c>
      <c r="E1313" s="7" t="str">
        <f>IFERROR(__xludf.DUMMYFUNCTION("""COMPUTED_VALUE"""),"Alejandra Cecilia")</f>
        <v>Alejandra Cecilia</v>
      </c>
      <c r="F1313" s="7" t="str">
        <f>IFERROR(__xludf.DUMMYFUNCTION("""COMPUTED_VALUE"""),"alegoria.delfi@gmail.com")</f>
        <v>alegoria.delfi@gmail.com</v>
      </c>
      <c r="G1313" s="20">
        <f>IFERROR(__xludf.DUMMYFUNCTION("""COMPUTED_VALUE"""),26574.0)</f>
        <v>26574</v>
      </c>
      <c r="H1313" s="7">
        <f>IFERROR(__xludf.DUMMYFUNCTION("""COMPUTED_VALUE"""),2.3243683E7)</f>
        <v>23243683</v>
      </c>
      <c r="I1313" s="7">
        <f>IFERROR(__xludf.DUMMYFUNCTION("""COMPUTED_VALUE"""),3.512683884E9)</f>
        <v>3512683884</v>
      </c>
      <c r="J1313" s="7" t="str">
        <f>IFERROR(__xludf.DUMMYFUNCTION("""COMPUTED_VALUE"""),"Voy al gym Manantial")</f>
        <v>Voy al gym Manantial</v>
      </c>
      <c r="K1313" s="7" t="str">
        <f>IFERROR(__xludf.DUMMYFUNCTION("""COMPUTED_VALUE"""),"Obra social")</f>
        <v>Obra social</v>
      </c>
      <c r="L1313" s="7"/>
      <c r="M1313" s="7" t="str">
        <f>IFERROR(__xludf.DUMMYFUNCTION("""COMPUTED_VALUE"""),"Si")</f>
        <v>Si</v>
      </c>
      <c r="N1313" s="7" t="str">
        <f>IFERROR(__xludf.DUMMYFUNCTION("""COMPUTED_VALUE"""),"Gimnasio")</f>
        <v>Gimnasio</v>
      </c>
      <c r="O1313" s="7" t="str">
        <f>IFERROR(__xludf.DUMMYFUNCTION("""COMPUTED_VALUE"""),"3 a 5 veces por semana")</f>
        <v>3 a 5 veces por semana</v>
      </c>
      <c r="P1313" s="7"/>
      <c r="Q1313" s="7" t="str">
        <f>IFERROR(__xludf.DUMMYFUNCTION("""COMPUTED_VALUE"""),"APROSS")</f>
        <v>APROSS</v>
      </c>
      <c r="R1313" s="7"/>
      <c r="S1313" s="7"/>
    </row>
    <row r="1314">
      <c r="C1314" s="19">
        <f>IFERROR(__xludf.DUMMYFUNCTION("""COMPUTED_VALUE"""),45972.42288090278)</f>
        <v>45972.42288</v>
      </c>
      <c r="D1314" s="7" t="str">
        <f>IFERROR(__xludf.DUMMYFUNCTION("""COMPUTED_VALUE"""),"Alonso")</f>
        <v>Alonso</v>
      </c>
      <c r="E1314" s="7" t="str">
        <f>IFERROR(__xludf.DUMMYFUNCTION("""COMPUTED_VALUE"""),"Nélida")</f>
        <v>Nélida</v>
      </c>
      <c r="F1314" s="7" t="str">
        <f>IFERROR(__xludf.DUMMYFUNCTION("""COMPUTED_VALUE"""),"negraalonso22@gmail.com")</f>
        <v>negraalonso22@gmail.com</v>
      </c>
      <c r="G1314" s="20">
        <f>IFERROR(__xludf.DUMMYFUNCTION("""COMPUTED_VALUE"""),26574.0)</f>
        <v>26574</v>
      </c>
      <c r="H1314" s="7">
        <f>IFERROR(__xludf.DUMMYFUNCTION("""COMPUTED_VALUE"""),6396882.0)</f>
        <v>6396882</v>
      </c>
      <c r="I1314" s="7">
        <f>IFERROR(__xludf.DUMMYFUNCTION("""COMPUTED_VALUE"""),3.513650973E9)</f>
        <v>3513650973</v>
      </c>
      <c r="J1314" s="7" t="str">
        <f>IFERROR(__xludf.DUMMYFUNCTION("""COMPUTED_VALUE"""),"Recomendación")</f>
        <v>Recomendación</v>
      </c>
      <c r="K1314" s="7" t="str">
        <f>IFERROR(__xludf.DUMMYFUNCTION("""COMPUTED_VALUE"""),"Particular")</f>
        <v>Particular</v>
      </c>
      <c r="L1314" s="7"/>
      <c r="M1314" s="7" t="str">
        <f>IFERROR(__xludf.DUMMYFUNCTION("""COMPUTED_VALUE"""),"No")</f>
        <v>No</v>
      </c>
      <c r="N1314" s="7"/>
      <c r="O1314" s="7"/>
      <c r="P1314" s="7"/>
      <c r="Q1314" s="7"/>
      <c r="R1314" s="7"/>
      <c r="S1314" s="7"/>
    </row>
    <row r="1315">
      <c r="C1315" s="19">
        <f>IFERROR(__xludf.DUMMYFUNCTION("""COMPUTED_VALUE"""),45972.80774537037)</f>
        <v>45972.80775</v>
      </c>
      <c r="D1315" s="7" t="str">
        <f>IFERROR(__xludf.DUMMYFUNCTION("""COMPUTED_VALUE"""),"Picco")</f>
        <v>Picco</v>
      </c>
      <c r="E1315" s="7" t="str">
        <f>IFERROR(__xludf.DUMMYFUNCTION("""COMPUTED_VALUE"""),"Gabriel Alejandro")</f>
        <v>Gabriel Alejandro</v>
      </c>
      <c r="F1315" s="7" t="str">
        <f>IFERROR(__xludf.DUMMYFUNCTION("""COMPUTED_VALUE"""),"gabrielpicco@hotmail.com")</f>
        <v>gabrielpicco@hotmail.com</v>
      </c>
      <c r="G1315" s="20">
        <f>IFERROR(__xludf.DUMMYFUNCTION("""COMPUTED_VALUE"""),26484.0)</f>
        <v>26484</v>
      </c>
      <c r="H1315" s="7">
        <f>IFERROR(__xludf.DUMMYFUNCTION("""COMPUTED_VALUE"""),2.17578E7)</f>
        <v>21757800</v>
      </c>
      <c r="I1315" s="7">
        <f>IFERROR(__xludf.DUMMYFUNCTION("""COMPUTED_VALUE"""),3.512456704E9)</f>
        <v>3512456704</v>
      </c>
      <c r="J1315" s="7" t="str">
        <f>IFERROR(__xludf.DUMMYFUNCTION("""COMPUTED_VALUE"""),"Voy al gym Manantial")</f>
        <v>Voy al gym Manantial</v>
      </c>
      <c r="K1315" s="7" t="str">
        <f>IFERROR(__xludf.DUMMYFUNCTION("""COMPUTED_VALUE"""),"Obra social")</f>
        <v>Obra social</v>
      </c>
      <c r="L1315" s="7"/>
      <c r="M1315" s="7" t="str">
        <f>IFERROR(__xludf.DUMMYFUNCTION("""COMPUTED_VALUE"""),"Si")</f>
        <v>Si</v>
      </c>
      <c r="N1315" s="7" t="str">
        <f>IFERROR(__xludf.DUMMYFUNCTION("""COMPUTED_VALUE"""),"Gimnasio")</f>
        <v>Gimnasio</v>
      </c>
      <c r="O1315" s="7" t="str">
        <f>IFERROR(__xludf.DUMMYFUNCTION("""COMPUTED_VALUE"""),"3 a 5 veces por semana")</f>
        <v>3 a 5 veces por semana</v>
      </c>
      <c r="P1315" s="7"/>
      <c r="Q1315" s="7" t="str">
        <f>IFERROR(__xludf.DUMMYFUNCTION("""COMPUTED_VALUE"""),"PREVENCIÓN")</f>
        <v>PREVENCIÓN</v>
      </c>
      <c r="R1315" s="7"/>
      <c r="S1315" s="7"/>
    </row>
    <row r="1316">
      <c r="C1316" s="19">
        <f>IFERROR(__xludf.DUMMYFUNCTION("""COMPUTED_VALUE"""),45973.500732581015)</f>
        <v>45973.50073</v>
      </c>
      <c r="D1316" s="7" t="str">
        <f>IFERROR(__xludf.DUMMYFUNCTION("""COMPUTED_VALUE"""),"Vittar Alvis ")</f>
        <v>Vittar Alvis </v>
      </c>
      <c r="E1316" s="7" t="str">
        <f>IFERROR(__xludf.DUMMYFUNCTION("""COMPUTED_VALUE"""),"Samir")</f>
        <v>Samir</v>
      </c>
      <c r="F1316" s="7" t="str">
        <f>IFERROR(__xludf.DUMMYFUNCTION("""COMPUTED_VALUE"""),"Samirvittar44@gmail.com")</f>
        <v>Samirvittar44@gmail.com</v>
      </c>
      <c r="G1316" s="20">
        <f>IFERROR(__xludf.DUMMYFUNCTION("""COMPUTED_VALUE"""),37951.0)</f>
        <v>37951</v>
      </c>
      <c r="H1316" s="7">
        <f>IFERROR(__xludf.DUMMYFUNCTION("""COMPUTED_VALUE"""),4.5082822E7)</f>
        <v>45082822</v>
      </c>
      <c r="I1316" s="7">
        <f>IFERROR(__xludf.DUMMYFUNCTION("""COMPUTED_VALUE"""),3.513986828E9)</f>
        <v>3513986828</v>
      </c>
      <c r="J1316" s="7" t="str">
        <f>IFERROR(__xludf.DUMMYFUNCTION("""COMPUTED_VALUE"""),"Recomendación")</f>
        <v>Recomendación</v>
      </c>
      <c r="K1316" s="7" t="str">
        <f>IFERROR(__xludf.DUMMYFUNCTION("""COMPUTED_VALUE"""),"Obra social")</f>
        <v>Obra social</v>
      </c>
      <c r="L1316" s="7"/>
      <c r="M1316" s="7" t="str">
        <f>IFERROR(__xludf.DUMMYFUNCTION("""COMPUTED_VALUE"""),"Si")</f>
        <v>Si</v>
      </c>
      <c r="N1316" s="7" t="str">
        <f>IFERROR(__xludf.DUMMYFUNCTION("""COMPUTED_VALUE"""),"Tenis y gimnasio ")</f>
        <v>Tenis y gimnasio </v>
      </c>
      <c r="O1316" s="7" t="str">
        <f>IFERROR(__xludf.DUMMYFUNCTION("""COMPUTED_VALUE"""),"3 a 5 veces por semana")</f>
        <v>3 a 5 veces por semana</v>
      </c>
      <c r="P1316" s="7"/>
      <c r="Q1316" s="7" t="str">
        <f>IFERROR(__xludf.DUMMYFUNCTION("""COMPUTED_VALUE"""),"DASPU")</f>
        <v>DASPU</v>
      </c>
      <c r="R1316" s="7"/>
      <c r="S1316" s="7"/>
    </row>
    <row r="1317">
      <c r="C1317" s="19">
        <f>IFERROR(__xludf.DUMMYFUNCTION("""COMPUTED_VALUE"""),45973.772608252315)</f>
        <v>45973.77261</v>
      </c>
      <c r="D1317" s="7" t="str">
        <f>IFERROR(__xludf.DUMMYFUNCTION("""COMPUTED_VALUE"""),"Obieta")</f>
        <v>Obieta</v>
      </c>
      <c r="E1317" s="7" t="str">
        <f>IFERROR(__xludf.DUMMYFUNCTION("""COMPUTED_VALUE"""),"Marco")</f>
        <v>Marco</v>
      </c>
      <c r="F1317" s="7"/>
      <c r="G1317" s="20">
        <f>IFERROR(__xludf.DUMMYFUNCTION("""COMPUTED_VALUE"""),34480.0)</f>
        <v>34480</v>
      </c>
      <c r="H1317" s="7">
        <f>IFERROR(__xludf.DUMMYFUNCTION("""COMPUTED_VALUE"""),3.8328512E7)</f>
        <v>38328512</v>
      </c>
      <c r="I1317" s="7">
        <f>IFERROR(__xludf.DUMMYFUNCTION("""COMPUTED_VALUE"""),3.513852743E9)</f>
        <v>3513852743</v>
      </c>
      <c r="J1317" s="7" t="str">
        <f>IFERROR(__xludf.DUMMYFUNCTION("""COMPUTED_VALUE"""),"Recomendación")</f>
        <v>Recomendación</v>
      </c>
      <c r="K1317" s="7" t="str">
        <f>IFERROR(__xludf.DUMMYFUNCTION("""COMPUTED_VALUE"""),"Particular")</f>
        <v>Particular</v>
      </c>
      <c r="L1317" s="7"/>
      <c r="M1317" s="7" t="str">
        <f>IFERROR(__xludf.DUMMYFUNCTION("""COMPUTED_VALUE"""),"Si")</f>
        <v>Si</v>
      </c>
      <c r="N1317" s="7" t="str">
        <f>IFERROR(__xludf.DUMMYFUNCTION("""COMPUTED_VALUE"""),"Fútbol")</f>
        <v>Fútbol</v>
      </c>
      <c r="O1317" s="7" t="str">
        <f>IFERROR(__xludf.DUMMYFUNCTION("""COMPUTED_VALUE"""),"1 a 2 veces por semana")</f>
        <v>1 a 2 veces por semana</v>
      </c>
      <c r="P1317" s="7"/>
      <c r="Q1317" s="7"/>
      <c r="R1317" s="7"/>
      <c r="S1317" s="7"/>
    </row>
    <row r="1318">
      <c r="C1318" s="19">
        <f>IFERROR(__xludf.DUMMYFUNCTION("""COMPUTED_VALUE"""),45973.82021076389)</f>
        <v>45973.82021</v>
      </c>
      <c r="D1318" s="7" t="str">
        <f>IFERROR(__xludf.DUMMYFUNCTION("""COMPUTED_VALUE"""),"Lombardo ")</f>
        <v>Lombardo </v>
      </c>
      <c r="E1318" s="7" t="str">
        <f>IFERROR(__xludf.DUMMYFUNCTION("""COMPUTED_VALUE"""),"Jorge ")</f>
        <v>Jorge </v>
      </c>
      <c r="F1318" s="7" t="str">
        <f>IFERROR(__xludf.DUMMYFUNCTION("""COMPUTED_VALUE"""),"jorgelombar@gmail.com")</f>
        <v>jorgelombar@gmail.com</v>
      </c>
      <c r="G1318" s="20">
        <f>IFERROR(__xludf.DUMMYFUNCTION("""COMPUTED_VALUE"""),20040.0)</f>
        <v>20040</v>
      </c>
      <c r="H1318" s="7">
        <f>IFERROR(__xludf.DUMMYFUNCTION("""COMPUTED_VALUE"""),1.128774E7)</f>
        <v>11287740</v>
      </c>
      <c r="I1318" s="7">
        <f>IFERROR(__xludf.DUMMYFUNCTION("""COMPUTED_VALUE"""),3.515290136E9)</f>
        <v>3515290136</v>
      </c>
      <c r="J1318" s="7" t="str">
        <f>IFERROR(__xludf.DUMMYFUNCTION("""COMPUTED_VALUE"""),"Voy al gym Manantial")</f>
        <v>Voy al gym Manantial</v>
      </c>
      <c r="K1318" s="7" t="str">
        <f>IFERROR(__xludf.DUMMYFUNCTION("""COMPUTED_VALUE"""),"Obra social")</f>
        <v>Obra social</v>
      </c>
      <c r="L1318" s="7"/>
      <c r="M1318" s="7" t="str">
        <f>IFERROR(__xludf.DUMMYFUNCTION("""COMPUTED_VALUE"""),"Si")</f>
        <v>Si</v>
      </c>
      <c r="N1318" s="7" t="str">
        <f>IFERROR(__xludf.DUMMYFUNCTION("""COMPUTED_VALUE"""),"Pádel")</f>
        <v>Pádel</v>
      </c>
      <c r="O1318" s="7" t="str">
        <f>IFERROR(__xludf.DUMMYFUNCTION("""COMPUTED_VALUE"""),"3 a 5 veces por semana")</f>
        <v>3 a 5 veces por semana</v>
      </c>
      <c r="P1318" s="7"/>
      <c r="Q1318" s="7" t="str">
        <f>IFERROR(__xludf.DUMMYFUNCTION("""COMPUTED_VALUE"""),"OSSEG")</f>
        <v>OSSEG</v>
      </c>
      <c r="R1318" s="7"/>
      <c r="S1318" s="7"/>
    </row>
    <row r="1319">
      <c r="C1319" s="19">
        <f>IFERROR(__xludf.DUMMYFUNCTION("""COMPUTED_VALUE"""),45974.43905143518)</f>
        <v>45974.43905</v>
      </c>
      <c r="D1319" s="7" t="str">
        <f>IFERROR(__xludf.DUMMYFUNCTION("""COMPUTED_VALUE"""),"Escuti")</f>
        <v>Escuti</v>
      </c>
      <c r="E1319" s="7" t="str">
        <f>IFERROR(__xludf.DUMMYFUNCTION("""COMPUTED_VALUE"""),"Nicolás ")</f>
        <v>Nicolás </v>
      </c>
      <c r="F1319" s="7" t="str">
        <f>IFERROR(__xludf.DUMMYFUNCTION("""COMPUTED_VALUE"""),"nicoescuti7@gmail.com")</f>
        <v>nicoescuti7@gmail.com</v>
      </c>
      <c r="G1319" s="20">
        <f>IFERROR(__xludf.DUMMYFUNCTION("""COMPUTED_VALUE"""),35108.0)</f>
        <v>35108</v>
      </c>
      <c r="H1319" s="7">
        <f>IFERROR(__xludf.DUMMYFUNCTION("""COMPUTED_VALUE"""),3.9445517E7)</f>
        <v>39445517</v>
      </c>
      <c r="I1319" s="7">
        <f>IFERROR(__xludf.DUMMYFUNCTION("""COMPUTED_VALUE"""),3.512579303E9)</f>
        <v>3512579303</v>
      </c>
      <c r="J1319" s="7" t="str">
        <f>IFERROR(__xludf.DUMMYFUNCTION("""COMPUTED_VALUE"""),"Google")</f>
        <v>Google</v>
      </c>
      <c r="K1319" s="7" t="str">
        <f>IFERROR(__xludf.DUMMYFUNCTION("""COMPUTED_VALUE"""),"Particular")</f>
        <v>Particular</v>
      </c>
      <c r="L1319" s="7"/>
      <c r="M1319" s="7" t="str">
        <f>IFERROR(__xludf.DUMMYFUNCTION("""COMPUTED_VALUE"""),"Si")</f>
        <v>Si</v>
      </c>
      <c r="N1319" s="7" t="str">
        <f>IFERROR(__xludf.DUMMYFUNCTION("""COMPUTED_VALUE"""),"Crossfit")</f>
        <v>Crossfit</v>
      </c>
      <c r="O1319" s="7" t="str">
        <f>IFERROR(__xludf.DUMMYFUNCTION("""COMPUTED_VALUE"""),"3 a 5 veces por semana")</f>
        <v>3 a 5 veces por semana</v>
      </c>
      <c r="P1319" s="7"/>
      <c r="Q1319" s="7"/>
      <c r="R1319" s="7"/>
      <c r="S1319" s="7"/>
    </row>
    <row r="1320">
      <c r="C1320" s="19">
        <f>IFERROR(__xludf.DUMMYFUNCTION("""COMPUTED_VALUE"""),45974.64642895834)</f>
        <v>45974.64643</v>
      </c>
      <c r="D1320" s="7" t="str">
        <f>IFERROR(__xludf.DUMMYFUNCTION("""COMPUTED_VALUE"""),"Reyna")</f>
        <v>Reyna</v>
      </c>
      <c r="E1320" s="7" t="str">
        <f>IFERROR(__xludf.DUMMYFUNCTION("""COMPUTED_VALUE"""),"Juan Manuel")</f>
        <v>Juan Manuel</v>
      </c>
      <c r="F1320" s="7" t="str">
        <f>IFERROR(__xludf.DUMMYFUNCTION("""COMPUTED_VALUE"""),"juanmanurey1971@gmail.com")</f>
        <v>juanmanurey1971@gmail.com</v>
      </c>
      <c r="G1320" s="20">
        <f>IFERROR(__xludf.DUMMYFUNCTION("""COMPUTED_VALUE"""),26226.0)</f>
        <v>26226</v>
      </c>
      <c r="H1320" s="7">
        <f>IFERROR(__xludf.DUMMYFUNCTION("""COMPUTED_VALUE"""),2.2373152E7)</f>
        <v>22373152</v>
      </c>
      <c r="I1320" s="7">
        <f>IFERROR(__xludf.DUMMYFUNCTION("""COMPUTED_VALUE"""),3.516111699E9)</f>
        <v>3516111699</v>
      </c>
      <c r="J1320" s="7" t="str">
        <f>IFERROR(__xludf.DUMMYFUNCTION("""COMPUTED_VALUE"""),"Voy al gym Manantial")</f>
        <v>Voy al gym Manantial</v>
      </c>
      <c r="K1320" s="7" t="str">
        <f>IFERROR(__xludf.DUMMYFUNCTION("""COMPUTED_VALUE"""),"Obra social")</f>
        <v>Obra social</v>
      </c>
      <c r="L1320" s="7"/>
      <c r="M1320" s="7" t="str">
        <f>IFERROR(__xludf.DUMMYFUNCTION("""COMPUTED_VALUE"""),"Si")</f>
        <v>Si</v>
      </c>
      <c r="N1320" s="7" t="str">
        <f>IFERROR(__xludf.DUMMYFUNCTION("""COMPUTED_VALUE"""),"Fútbol")</f>
        <v>Fútbol</v>
      </c>
      <c r="O1320" s="7" t="str">
        <f>IFERROR(__xludf.DUMMYFUNCTION("""COMPUTED_VALUE"""),"1 a 2 veces por semana")</f>
        <v>1 a 2 veces por semana</v>
      </c>
      <c r="P1320" s="7"/>
      <c r="Q1320" s="7" t="str">
        <f>IFERROR(__xludf.DUMMYFUNCTION("""COMPUTED_VALUE"""),"APROSS")</f>
        <v>APROSS</v>
      </c>
      <c r="R1320" s="7"/>
      <c r="S1320" s="7"/>
    </row>
    <row r="1321">
      <c r="C1321" s="19">
        <f>IFERROR(__xludf.DUMMYFUNCTION("""COMPUTED_VALUE"""),45974.75981765046)</f>
        <v>45974.75982</v>
      </c>
      <c r="D1321" s="7" t="str">
        <f>IFERROR(__xludf.DUMMYFUNCTION("""COMPUTED_VALUE"""),"Sanchez")</f>
        <v>Sanchez</v>
      </c>
      <c r="E1321" s="7" t="str">
        <f>IFERROR(__xludf.DUMMYFUNCTION("""COMPUTED_VALUE"""),"Francisco")</f>
        <v>Francisco</v>
      </c>
      <c r="F1321" s="7"/>
      <c r="G1321" s="20">
        <f>IFERROR(__xludf.DUMMYFUNCTION("""COMPUTED_VALUE"""),36526.0)</f>
        <v>36526</v>
      </c>
      <c r="H1321" s="7">
        <f>IFERROR(__xludf.DUMMYFUNCTION("""COMPUTED_VALUE"""),4.2642717E7)</f>
        <v>42642717</v>
      </c>
      <c r="I1321" s="7">
        <f>IFERROR(__xludf.DUMMYFUNCTION("""COMPUTED_VALUE"""),3.518035147E9)</f>
        <v>3518035147</v>
      </c>
      <c r="J1321" s="7" t="str">
        <f>IFERROR(__xludf.DUMMYFUNCTION("""COMPUTED_VALUE"""),"Recomendación")</f>
        <v>Recomendación</v>
      </c>
      <c r="K1321" s="7" t="str">
        <f>IFERROR(__xludf.DUMMYFUNCTION("""COMPUTED_VALUE"""),"Particular")</f>
        <v>Particular</v>
      </c>
      <c r="L1321" s="7"/>
      <c r="M1321" s="7" t="str">
        <f>IFERROR(__xludf.DUMMYFUNCTION("""COMPUTED_VALUE"""),"Si")</f>
        <v>Si</v>
      </c>
      <c r="N1321" s="7" t="str">
        <f>IFERROR(__xludf.DUMMYFUNCTION("""COMPUTED_VALUE"""),"Fútbol")</f>
        <v>Fútbol</v>
      </c>
      <c r="O1321" s="7" t="str">
        <f>IFERROR(__xludf.DUMMYFUNCTION("""COMPUTED_VALUE"""),"1 a 2 veces por semana")</f>
        <v>1 a 2 veces por semana</v>
      </c>
      <c r="P1321" s="7"/>
      <c r="Q1321" s="7"/>
      <c r="R1321" s="7"/>
      <c r="S1321" s="7"/>
    </row>
    <row r="1322">
      <c r="C1322" s="19">
        <f>IFERROR(__xludf.DUMMYFUNCTION("""COMPUTED_VALUE"""),45974.77079969908)</f>
        <v>45974.7708</v>
      </c>
      <c r="D1322" s="7" t="str">
        <f>IFERROR(__xludf.DUMMYFUNCTION("""COMPUTED_VALUE"""),"Giannoboli")</f>
        <v>Giannoboli</v>
      </c>
      <c r="E1322" s="7" t="str">
        <f>IFERROR(__xludf.DUMMYFUNCTION("""COMPUTED_VALUE"""),"Fausto")</f>
        <v>Fausto</v>
      </c>
      <c r="F1322" s="7" t="str">
        <f>IFERROR(__xludf.DUMMYFUNCTION("""COMPUTED_VALUE"""),"faustogiannoboli@gmail.com")</f>
        <v>faustogiannoboli@gmail.com</v>
      </c>
      <c r="G1322" s="20">
        <f>IFERROR(__xludf.DUMMYFUNCTION("""COMPUTED_VALUE"""),39129.0)</f>
        <v>39129</v>
      </c>
      <c r="H1322" s="7">
        <f>IFERROR(__xludf.DUMMYFUNCTION("""COMPUTED_VALUE"""),4.6765868E7)</f>
        <v>46765868</v>
      </c>
      <c r="I1322" s="7">
        <f>IFERROR(__xludf.DUMMYFUNCTION("""COMPUTED_VALUE"""),3.512252164E9)</f>
        <v>3512252164</v>
      </c>
      <c r="J1322" s="7" t="str">
        <f>IFERROR(__xludf.DUMMYFUNCTION("""COMPUTED_VALUE"""),"Recomendación")</f>
        <v>Recomendación</v>
      </c>
      <c r="K1322" s="7" t="str">
        <f>IFERROR(__xludf.DUMMYFUNCTION("""COMPUTED_VALUE"""),"Obra social")</f>
        <v>Obra social</v>
      </c>
      <c r="L1322" s="7"/>
      <c r="M1322" s="7" t="str">
        <f>IFERROR(__xludf.DUMMYFUNCTION("""COMPUTED_VALUE"""),"Si")</f>
        <v>Si</v>
      </c>
      <c r="N1322" s="7" t="str">
        <f>IFERROR(__xludf.DUMMYFUNCTION("""COMPUTED_VALUE"""),"Rugby + Gimnasio")</f>
        <v>Rugby + Gimnasio</v>
      </c>
      <c r="O1322" s="7" t="str">
        <f>IFERROR(__xludf.DUMMYFUNCTION("""COMPUTED_VALUE"""),"6 a 7 veces por semana")</f>
        <v>6 a 7 veces por semana</v>
      </c>
      <c r="P1322" s="7"/>
      <c r="Q1322" s="7" t="str">
        <f>IFERROR(__xludf.DUMMYFUNCTION("""COMPUTED_VALUE"""),"DASPU")</f>
        <v>DASPU</v>
      </c>
      <c r="R1322" s="7"/>
      <c r="S1322" s="7"/>
    </row>
    <row r="1323">
      <c r="C1323" s="19">
        <f>IFERROR(__xludf.DUMMYFUNCTION("""COMPUTED_VALUE"""),45974.80466252315)</f>
        <v>45974.80466</v>
      </c>
      <c r="D1323" s="7" t="str">
        <f>IFERROR(__xludf.DUMMYFUNCTION("""COMPUTED_VALUE"""),"Osella")</f>
        <v>Osella</v>
      </c>
      <c r="E1323" s="7" t="str">
        <f>IFERROR(__xludf.DUMMYFUNCTION("""COMPUTED_VALUE"""),"Susana Beatriz")</f>
        <v>Susana Beatriz</v>
      </c>
      <c r="F1323" s="7" t="str">
        <f>IFERROR(__xludf.DUMMYFUNCTION("""COMPUTED_VALUE"""),"s-osella@hotmail.com")</f>
        <v>s-osella@hotmail.com</v>
      </c>
      <c r="G1323" s="20">
        <f>IFERROR(__xludf.DUMMYFUNCTION("""COMPUTED_VALUE"""),20877.0)</f>
        <v>20877</v>
      </c>
      <c r="H1323" s="7">
        <f>IFERROR(__xludf.DUMMYFUNCTION("""COMPUTED_VALUE"""),1.2901784E7)</f>
        <v>12901784</v>
      </c>
      <c r="I1323" s="7">
        <f>IFERROR(__xludf.DUMMYFUNCTION("""COMPUTED_VALUE"""),3.515516046E9)</f>
        <v>3515516046</v>
      </c>
      <c r="J1323" s="7" t="str">
        <f>IFERROR(__xludf.DUMMYFUNCTION("""COMPUTED_VALUE"""),"Google")</f>
        <v>Google</v>
      </c>
      <c r="K1323" s="7" t="str">
        <f>IFERROR(__xludf.DUMMYFUNCTION("""COMPUTED_VALUE"""),"Obra social")</f>
        <v>Obra social</v>
      </c>
      <c r="L1323" s="7"/>
      <c r="M1323" s="7" t="str">
        <f>IFERROR(__xludf.DUMMYFUNCTION("""COMPUTED_VALUE"""),"Si")</f>
        <v>Si</v>
      </c>
      <c r="N1323" s="7"/>
      <c r="O1323" s="7" t="str">
        <f>IFERROR(__xludf.DUMMYFUNCTION("""COMPUTED_VALUE"""),"3 a 5 veces por semana")</f>
        <v>3 a 5 veces por semana</v>
      </c>
      <c r="P1323" s="7"/>
      <c r="Q1323" s="7" t="str">
        <f>IFERROR(__xludf.DUMMYFUNCTION("""COMPUTED_VALUE"""),"Medife")</f>
        <v>Medife</v>
      </c>
      <c r="R1323" s="7"/>
      <c r="S1323" s="7"/>
    </row>
    <row r="1324">
      <c r="C1324" s="19">
        <f>IFERROR(__xludf.DUMMYFUNCTION("""COMPUTED_VALUE"""),45974.8074866088)</f>
        <v>45974.80749</v>
      </c>
      <c r="D1324" s="7" t="str">
        <f>IFERROR(__xludf.DUMMYFUNCTION("""COMPUTED_VALUE"""),"Osella")</f>
        <v>Osella</v>
      </c>
      <c r="E1324" s="7" t="str">
        <f>IFERROR(__xludf.DUMMYFUNCTION("""COMPUTED_VALUE"""),"Susana Beatriz")</f>
        <v>Susana Beatriz</v>
      </c>
      <c r="F1324" s="7" t="str">
        <f>IFERROR(__xludf.DUMMYFUNCTION("""COMPUTED_VALUE"""),"s-osella@hotmail.com")</f>
        <v>s-osella@hotmail.com</v>
      </c>
      <c r="G1324" s="20">
        <f>IFERROR(__xludf.DUMMYFUNCTION("""COMPUTED_VALUE"""),20877.0)</f>
        <v>20877</v>
      </c>
      <c r="H1324" s="7">
        <f>IFERROR(__xludf.DUMMYFUNCTION("""COMPUTED_VALUE"""),1.2901784E7)</f>
        <v>12901784</v>
      </c>
      <c r="I1324" s="7">
        <f>IFERROR(__xludf.DUMMYFUNCTION("""COMPUTED_VALUE"""),3.515516046E9)</f>
        <v>3515516046</v>
      </c>
      <c r="J1324" s="7" t="str">
        <f>IFERROR(__xludf.DUMMYFUNCTION("""COMPUTED_VALUE"""),"Google")</f>
        <v>Google</v>
      </c>
      <c r="K1324" s="7" t="str">
        <f>IFERROR(__xludf.DUMMYFUNCTION("""COMPUTED_VALUE"""),"Obra social")</f>
        <v>Obra social</v>
      </c>
      <c r="L1324" s="7"/>
      <c r="M1324" s="7" t="str">
        <f>IFERROR(__xludf.DUMMYFUNCTION("""COMPUTED_VALUE"""),"Si")</f>
        <v>Si</v>
      </c>
      <c r="N1324" s="7" t="str">
        <f>IFERROR(__xludf.DUMMYFUNCTION("""COMPUTED_VALUE"""),"Pilates y Camino dos o tres veces p/semana")</f>
        <v>Pilates y Camino dos o tres veces p/semana</v>
      </c>
      <c r="O1324" s="7" t="str">
        <f>IFERROR(__xludf.DUMMYFUNCTION("""COMPUTED_VALUE"""),"3 a 5 veces por semana")</f>
        <v>3 a 5 veces por semana</v>
      </c>
      <c r="P1324" s="7"/>
      <c r="Q1324" s="7" t="str">
        <f>IFERROR(__xludf.DUMMYFUNCTION("""COMPUTED_VALUE"""),"Medife")</f>
        <v>Medife</v>
      </c>
      <c r="R1324" s="7"/>
      <c r="S1324" s="7"/>
    </row>
    <row r="1325">
      <c r="C1325" s="19">
        <f>IFERROR(__xludf.DUMMYFUNCTION("""COMPUTED_VALUE"""),45977.64238237268)</f>
        <v>45977.64238</v>
      </c>
      <c r="D1325" s="7" t="str">
        <f>IFERROR(__xludf.DUMMYFUNCTION("""COMPUTED_VALUE"""),"Martinez ")</f>
        <v>Martinez </v>
      </c>
      <c r="E1325" s="7" t="str">
        <f>IFERROR(__xludf.DUMMYFUNCTION("""COMPUTED_VALUE"""),"Pablo Osvaldo ")</f>
        <v>Pablo Osvaldo </v>
      </c>
      <c r="F1325" s="7" t="str">
        <f>IFERROR(__xludf.DUMMYFUNCTION("""COMPUTED_VALUE"""),"pablomartinez8214@gmail.com")</f>
        <v>pablomartinez8214@gmail.com</v>
      </c>
      <c r="G1325" s="20">
        <f>IFERROR(__xludf.DUMMYFUNCTION("""COMPUTED_VALUE"""),31777.0)</f>
        <v>31777</v>
      </c>
      <c r="H1325" s="7">
        <f>IFERROR(__xludf.DUMMYFUNCTION("""COMPUTED_VALUE"""),3.2705074E7)</f>
        <v>32705074</v>
      </c>
      <c r="I1325" s="7">
        <f>IFERROR(__xludf.DUMMYFUNCTION("""COMPUTED_VALUE"""),3.525562751E9)</f>
        <v>3525562751</v>
      </c>
      <c r="J1325" s="7" t="str">
        <f>IFERROR(__xludf.DUMMYFUNCTION("""COMPUTED_VALUE"""),"Instagram")</f>
        <v>Instagram</v>
      </c>
      <c r="K1325" s="7" t="str">
        <f>IFERROR(__xludf.DUMMYFUNCTION("""COMPUTED_VALUE"""),"Obra social")</f>
        <v>Obra social</v>
      </c>
      <c r="L1325" s="7"/>
      <c r="M1325" s="7" t="str">
        <f>IFERROR(__xludf.DUMMYFUNCTION("""COMPUTED_VALUE"""),"Si")</f>
        <v>Si</v>
      </c>
      <c r="N1325" s="7" t="str">
        <f>IFERROR(__xludf.DUMMYFUNCTION("""COMPUTED_VALUE"""),"Gimnasio")</f>
        <v>Gimnasio</v>
      </c>
      <c r="O1325" s="7" t="str">
        <f>IFERROR(__xludf.DUMMYFUNCTION("""COMPUTED_VALUE"""),"3 a 5 veces por semana")</f>
        <v>3 a 5 veces por semana</v>
      </c>
      <c r="P1325" s="7"/>
      <c r="Q1325" s="7" t="str">
        <f>IFERROR(__xludf.DUMMYFUNCTION("""COMPUTED_VALUE"""),"SANCOR")</f>
        <v>SANCOR</v>
      </c>
      <c r="R1325" s="7"/>
      <c r="S1325" s="7"/>
    </row>
    <row r="1326">
      <c r="C1326" s="19">
        <f>IFERROR(__xludf.DUMMYFUNCTION("""COMPUTED_VALUE"""),45978.44485373843)</f>
        <v>45978.44485</v>
      </c>
      <c r="D1326" s="7" t="str">
        <f>IFERROR(__xludf.DUMMYFUNCTION("""COMPUTED_VALUE"""),"barrionuevo")</f>
        <v>barrionuevo</v>
      </c>
      <c r="E1326" s="7" t="str">
        <f>IFERROR(__xludf.DUMMYFUNCTION("""COMPUTED_VALUE"""),"evangelina ruth")</f>
        <v>evangelina ruth</v>
      </c>
      <c r="F1326" s="7" t="str">
        <f>IFERROR(__xludf.DUMMYFUNCTION("""COMPUTED_VALUE"""),"evis7814@gmail.com")</f>
        <v>evis7814@gmail.com</v>
      </c>
      <c r="G1326" s="20">
        <f>IFERROR(__xludf.DUMMYFUNCTION("""COMPUTED_VALUE"""),28777.0)</f>
        <v>28777</v>
      </c>
      <c r="H1326" s="7">
        <f>IFERROR(__xludf.DUMMYFUNCTION("""COMPUTED_VALUE"""),2.6954299E7)</f>
        <v>26954299</v>
      </c>
      <c r="I1326" s="7">
        <f>IFERROR(__xludf.DUMMYFUNCTION("""COMPUTED_VALUE"""),3.513108786E9)</f>
        <v>3513108786</v>
      </c>
      <c r="J1326" s="7" t="str">
        <f>IFERROR(__xludf.DUMMYFUNCTION("""COMPUTED_VALUE"""),"Cartilla Obra Social")</f>
        <v>Cartilla Obra Social</v>
      </c>
      <c r="K1326" s="7" t="str">
        <f>IFERROR(__xludf.DUMMYFUNCTION("""COMPUTED_VALUE"""),"Obra social")</f>
        <v>Obra social</v>
      </c>
      <c r="L1326" s="7"/>
      <c r="M1326" s="7" t="str">
        <f>IFERROR(__xludf.DUMMYFUNCTION("""COMPUTED_VALUE"""),"Si")</f>
        <v>Si</v>
      </c>
      <c r="N1326" s="7" t="str">
        <f>IFERROR(__xludf.DUMMYFUNCTION("""COMPUTED_VALUE"""),"Básquet")</f>
        <v>Básquet</v>
      </c>
      <c r="O1326" s="7" t="str">
        <f>IFERROR(__xludf.DUMMYFUNCTION("""COMPUTED_VALUE"""),"1 a 2 veces por semana")</f>
        <v>1 a 2 veces por semana</v>
      </c>
      <c r="P1326" s="7"/>
      <c r="Q1326" s="7" t="str">
        <f>IFERROR(__xludf.DUMMYFUNCTION("""COMPUTED_VALUE"""),"SANCOR")</f>
        <v>SANCOR</v>
      </c>
      <c r="R1326" s="7"/>
      <c r="S1326" s="7"/>
    </row>
    <row r="1327">
      <c r="C1327" s="19">
        <f>IFERROR(__xludf.DUMMYFUNCTION("""COMPUTED_VALUE"""),45978.46438949074)</f>
        <v>45978.46439</v>
      </c>
      <c r="D1327" s="7" t="str">
        <f>IFERROR(__xludf.DUMMYFUNCTION("""COMPUTED_VALUE"""),"Lopez ")</f>
        <v>Lopez </v>
      </c>
      <c r="E1327" s="7" t="str">
        <f>IFERROR(__xludf.DUMMYFUNCTION("""COMPUTED_VALUE"""),"Gerardo")</f>
        <v>Gerardo</v>
      </c>
      <c r="F1327" s="7" t="str">
        <f>IFERROR(__xludf.DUMMYFUNCTION("""COMPUTED_VALUE"""),"cr_glopez@hotmail.com")</f>
        <v>cr_glopez@hotmail.com</v>
      </c>
      <c r="G1327" s="20">
        <f>IFERROR(__xludf.DUMMYFUNCTION("""COMPUTED_VALUE"""),18265.0)</f>
        <v>18265</v>
      </c>
      <c r="H1327" s="7">
        <f>IFERROR(__xludf.DUMMYFUNCTION("""COMPUTED_VALUE"""),8009344.0)</f>
        <v>8009344</v>
      </c>
      <c r="I1327" s="7">
        <f>IFERROR(__xludf.DUMMYFUNCTION("""COMPUTED_VALUE"""),3.512473443E9)</f>
        <v>3512473443</v>
      </c>
      <c r="J1327" s="7" t="str">
        <f>IFERROR(__xludf.DUMMYFUNCTION("""COMPUTED_VALUE"""),"Google")</f>
        <v>Google</v>
      </c>
      <c r="K1327" s="7" t="str">
        <f>IFERROR(__xludf.DUMMYFUNCTION("""COMPUTED_VALUE"""),"Obra social")</f>
        <v>Obra social</v>
      </c>
      <c r="L1327" s="7"/>
      <c r="M1327" s="7" t="str">
        <f>IFERROR(__xludf.DUMMYFUNCTION("""COMPUTED_VALUE"""),"No")</f>
        <v>No</v>
      </c>
      <c r="N1327" s="7"/>
      <c r="O1327" s="7"/>
      <c r="P1327" s="7"/>
      <c r="Q1327" s="7" t="str">
        <f>IFERROR(__xludf.DUMMYFUNCTION("""COMPUTED_VALUE"""),"CPCE")</f>
        <v>CPCE</v>
      </c>
      <c r="R1327" s="7"/>
      <c r="S1327" s="7"/>
    </row>
    <row r="1328">
      <c r="C1328" s="19">
        <f>IFERROR(__xludf.DUMMYFUNCTION("""COMPUTED_VALUE"""),45978.51102777778)</f>
        <v>45978.51103</v>
      </c>
      <c r="D1328" s="7" t="str">
        <f>IFERROR(__xludf.DUMMYFUNCTION("""COMPUTED_VALUE"""),"Alvarez")</f>
        <v>Alvarez</v>
      </c>
      <c r="E1328" s="7" t="str">
        <f>IFERROR(__xludf.DUMMYFUNCTION("""COMPUTED_VALUE"""),"Natalia")</f>
        <v>Natalia</v>
      </c>
      <c r="F1328" s="7" t="str">
        <f>IFERROR(__xludf.DUMMYFUNCTION("""COMPUTED_VALUE"""),"natalialvarez726@gmail.com")</f>
        <v>natalialvarez726@gmail.com</v>
      </c>
      <c r="G1328" s="20">
        <f>IFERROR(__xludf.DUMMYFUNCTION("""COMPUTED_VALUE"""),29555.0)</f>
        <v>29555</v>
      </c>
      <c r="H1328" s="7">
        <f>IFERROR(__xludf.DUMMYFUNCTION("""COMPUTED_VALUE"""),2.8430117E7)</f>
        <v>28430117</v>
      </c>
      <c r="I1328" s="7">
        <f>IFERROR(__xludf.DUMMYFUNCTION("""COMPUTED_VALUE"""),3.513258815E9)</f>
        <v>3513258815</v>
      </c>
      <c r="J1328" s="7" t="str">
        <f>IFERROR(__xludf.DUMMYFUNCTION("""COMPUTED_VALUE"""),"Voy al gym Manantial")</f>
        <v>Voy al gym Manantial</v>
      </c>
      <c r="K1328" s="7" t="str">
        <f>IFERROR(__xludf.DUMMYFUNCTION("""COMPUTED_VALUE"""),"Particular")</f>
        <v>Particular</v>
      </c>
      <c r="L1328" s="7"/>
      <c r="M1328" s="7" t="str">
        <f>IFERROR(__xludf.DUMMYFUNCTION("""COMPUTED_VALUE"""),"Si")</f>
        <v>Si</v>
      </c>
      <c r="N1328" s="7" t="str">
        <f>IFERROR(__xludf.DUMMYFUNCTION("""COMPUTED_VALUE"""),"Gimnasio")</f>
        <v>Gimnasio</v>
      </c>
      <c r="O1328" s="7" t="str">
        <f>IFERROR(__xludf.DUMMYFUNCTION("""COMPUTED_VALUE"""),"6 a 7 veces por semana")</f>
        <v>6 a 7 veces por semana</v>
      </c>
      <c r="P1328" s="7"/>
      <c r="Q1328" s="7"/>
      <c r="R1328" s="7"/>
      <c r="S1328" s="7"/>
    </row>
    <row r="1329">
      <c r="C1329" s="19">
        <f>IFERROR(__xludf.DUMMYFUNCTION("""COMPUTED_VALUE"""),45978.61062866898)</f>
        <v>45978.61063</v>
      </c>
      <c r="D1329" s="7" t="str">
        <f>IFERROR(__xludf.DUMMYFUNCTION("""COMPUTED_VALUE"""),"Buzzetti")</f>
        <v>Buzzetti</v>
      </c>
      <c r="E1329" s="7" t="str">
        <f>IFERROR(__xludf.DUMMYFUNCTION("""COMPUTED_VALUE"""),"Regina")</f>
        <v>Regina</v>
      </c>
      <c r="F1329" s="7" t="str">
        <f>IFERROR(__xludf.DUMMYFUNCTION("""COMPUTED_VALUE"""),"reginabuzzetti@gmail.com")</f>
        <v>reginabuzzetti@gmail.com</v>
      </c>
      <c r="G1329" s="20">
        <f>IFERROR(__xludf.DUMMYFUNCTION("""COMPUTED_VALUE"""),32306.0)</f>
        <v>32306</v>
      </c>
      <c r="H1329" s="7">
        <f>IFERROR(__xludf.DUMMYFUNCTION("""COMPUTED_VALUE"""),3.3809029E7)</f>
        <v>33809029</v>
      </c>
      <c r="I1329" s="7">
        <f>IFERROR(__xludf.DUMMYFUNCTION("""COMPUTED_VALUE"""),3.512674286E9)</f>
        <v>3512674286</v>
      </c>
      <c r="J1329" s="7" t="str">
        <f>IFERROR(__xludf.DUMMYFUNCTION("""COMPUTED_VALUE"""),"Google")</f>
        <v>Google</v>
      </c>
      <c r="K1329" s="7" t="str">
        <f>IFERROR(__xludf.DUMMYFUNCTION("""COMPUTED_VALUE"""),"Obra social")</f>
        <v>Obra social</v>
      </c>
      <c r="L1329" s="7"/>
      <c r="M1329" s="7" t="str">
        <f>IFERROR(__xludf.DUMMYFUNCTION("""COMPUTED_VALUE"""),"Si")</f>
        <v>Si</v>
      </c>
      <c r="N1329" s="7" t="str">
        <f>IFERROR(__xludf.DUMMYFUNCTION("""COMPUTED_VALUE"""),"pilates")</f>
        <v>pilates</v>
      </c>
      <c r="O1329" s="7" t="str">
        <f>IFERROR(__xludf.DUMMYFUNCTION("""COMPUTED_VALUE"""),"1 a 2 veces por semana")</f>
        <v>1 a 2 veces por semana</v>
      </c>
      <c r="P1329" s="7"/>
      <c r="Q1329" s="7" t="str">
        <f>IFERROR(__xludf.DUMMYFUNCTION("""COMPUTED_VALUE"""),"PREVENCIÓN")</f>
        <v>PREVENCIÓN</v>
      </c>
      <c r="R1329" s="7"/>
      <c r="S1329" s="7"/>
    </row>
    <row r="1330">
      <c r="C1330" s="19">
        <f>IFERROR(__xludf.DUMMYFUNCTION("""COMPUTED_VALUE"""),45978.75083023148)</f>
        <v>45978.75083</v>
      </c>
      <c r="D1330" s="7" t="str">
        <f>IFERROR(__xludf.DUMMYFUNCTION("""COMPUTED_VALUE"""),"Bertino")</f>
        <v>Bertino</v>
      </c>
      <c r="E1330" s="7" t="str">
        <f>IFERROR(__xludf.DUMMYFUNCTION("""COMPUTED_VALUE"""),"Alicia")</f>
        <v>Alicia</v>
      </c>
      <c r="F1330" s="7" t="str">
        <f>IFERROR(__xludf.DUMMYFUNCTION("""COMPUTED_VALUE"""),"aabertino23@gmail.com ")</f>
        <v>aabertino23@gmail.com </v>
      </c>
      <c r="G1330" s="20">
        <f>IFERROR(__xludf.DUMMYFUNCTION("""COMPUTED_VALUE"""),21512.0)</f>
        <v>21512</v>
      </c>
      <c r="H1330" s="7">
        <f>IFERROR(__xludf.DUMMYFUNCTION("""COMPUTED_VALUE"""),1.304417E7)</f>
        <v>13044170</v>
      </c>
      <c r="I1330" s="7">
        <f>IFERROR(__xludf.DUMMYFUNCTION("""COMPUTED_VALUE"""),3.564691199E9)</f>
        <v>3564691199</v>
      </c>
      <c r="J1330" s="7" t="str">
        <f>IFERROR(__xludf.DUMMYFUNCTION("""COMPUTED_VALUE"""),"Recomendación")</f>
        <v>Recomendación</v>
      </c>
      <c r="K1330" s="7" t="str">
        <f>IFERROR(__xludf.DUMMYFUNCTION("""COMPUTED_VALUE"""),"Obra social")</f>
        <v>Obra social</v>
      </c>
      <c r="L1330" s="7"/>
      <c r="M1330" s="7" t="str">
        <f>IFERROR(__xludf.DUMMYFUNCTION("""COMPUTED_VALUE"""),"Si")</f>
        <v>Si</v>
      </c>
      <c r="N1330" s="7" t="str">
        <f>IFERROR(__xludf.DUMMYFUNCTION("""COMPUTED_VALUE"""),"Caminatas")</f>
        <v>Caminatas</v>
      </c>
      <c r="O1330" s="7"/>
      <c r="P1330" s="7"/>
      <c r="Q1330" s="7" t="str">
        <f>IFERROR(__xludf.DUMMYFUNCTION("""COMPUTED_VALUE"""),"APROSS")</f>
        <v>APROSS</v>
      </c>
      <c r="R1330" s="7"/>
      <c r="S1330" s="7"/>
    </row>
    <row r="1331">
      <c r="C1331" s="19">
        <f>IFERROR(__xludf.DUMMYFUNCTION("""COMPUTED_VALUE"""),45978.788720833334)</f>
        <v>45978.78872</v>
      </c>
      <c r="D1331" s="7" t="str">
        <f>IFERROR(__xludf.DUMMYFUNCTION("""COMPUTED_VALUE"""),"Castellano")</f>
        <v>Castellano</v>
      </c>
      <c r="E1331" s="7" t="str">
        <f>IFERROR(__xludf.DUMMYFUNCTION("""COMPUTED_VALUE"""),"Silvina")</f>
        <v>Silvina</v>
      </c>
      <c r="F1331" s="7"/>
      <c r="G1331" s="20">
        <f>IFERROR(__xludf.DUMMYFUNCTION("""COMPUTED_VALUE"""),27193.0)</f>
        <v>27193</v>
      </c>
      <c r="H1331" s="7">
        <f>IFERROR(__xludf.DUMMYFUNCTION("""COMPUTED_VALUE"""),2.4016347E7)</f>
        <v>24016347</v>
      </c>
      <c r="I1331" s="7">
        <f>IFERROR(__xludf.DUMMYFUNCTION("""COMPUTED_VALUE"""),3.516963578E9)</f>
        <v>3516963578</v>
      </c>
      <c r="J1331" s="7" t="str">
        <f>IFERROR(__xludf.DUMMYFUNCTION("""COMPUTED_VALUE"""),"Instagram")</f>
        <v>Instagram</v>
      </c>
      <c r="K1331" s="7" t="str">
        <f>IFERROR(__xludf.DUMMYFUNCTION("""COMPUTED_VALUE"""),"Particular")</f>
        <v>Particular</v>
      </c>
      <c r="L1331" s="7"/>
      <c r="M1331" s="7" t="str">
        <f>IFERROR(__xludf.DUMMYFUNCTION("""COMPUTED_VALUE"""),"Si")</f>
        <v>Si</v>
      </c>
      <c r="N1331" s="7"/>
      <c r="O1331" s="7" t="str">
        <f>IFERROR(__xludf.DUMMYFUNCTION("""COMPUTED_VALUE"""),"1 a 2 veces por semana")</f>
        <v>1 a 2 veces por semana</v>
      </c>
      <c r="P1331" s="7"/>
      <c r="Q1331" s="7"/>
      <c r="R1331" s="7"/>
      <c r="S1331" s="7"/>
    </row>
    <row r="1332">
      <c r="C1332" s="19">
        <f>IFERROR(__xludf.DUMMYFUNCTION("""COMPUTED_VALUE"""),45979.372353009254)</f>
        <v>45979.37235</v>
      </c>
      <c r="D1332" s="7" t="str">
        <f>IFERROR(__xludf.DUMMYFUNCTION("""COMPUTED_VALUE"""),"Palacios")</f>
        <v>Palacios</v>
      </c>
      <c r="E1332" s="7" t="str">
        <f>IFERROR(__xludf.DUMMYFUNCTION("""COMPUTED_VALUE"""),"Pablo")</f>
        <v>Pablo</v>
      </c>
      <c r="F1332" s="7" t="str">
        <f>IFERROR(__xludf.DUMMYFUNCTION("""COMPUTED_VALUE"""),"-")</f>
        <v>-</v>
      </c>
      <c r="G1332" s="20">
        <f>IFERROR(__xludf.DUMMYFUNCTION("""COMPUTED_VALUE"""),36245.0)</f>
        <v>36245</v>
      </c>
      <c r="H1332" s="7">
        <f>IFERROR(__xludf.DUMMYFUNCTION("""COMPUTED_VALUE"""),4.1809969E7)</f>
        <v>41809969</v>
      </c>
      <c r="I1332" s="7">
        <f>IFERROR(__xludf.DUMMYFUNCTION("""COMPUTED_VALUE"""),3.516619221E9)</f>
        <v>3516619221</v>
      </c>
      <c r="J1332" s="7" t="str">
        <f>IFERROR(__xludf.DUMMYFUNCTION("""COMPUTED_VALUE"""),"Recomendación")</f>
        <v>Recomendación</v>
      </c>
      <c r="K1332" s="7" t="str">
        <f>IFERROR(__xludf.DUMMYFUNCTION("""COMPUTED_VALUE"""),"Particular")</f>
        <v>Particular</v>
      </c>
      <c r="L1332" s="7"/>
      <c r="M1332" s="7" t="str">
        <f>IFERROR(__xludf.DUMMYFUNCTION("""COMPUTED_VALUE"""),"Si")</f>
        <v>Si</v>
      </c>
      <c r="N1332" s="7" t="str">
        <f>IFERROR(__xludf.DUMMYFUNCTION("""COMPUTED_VALUE"""),"Baseball")</f>
        <v>Baseball</v>
      </c>
      <c r="O1332" s="7" t="str">
        <f>IFERROR(__xludf.DUMMYFUNCTION("""COMPUTED_VALUE"""),"6 a 7 veces por semana")</f>
        <v>6 a 7 veces por semana</v>
      </c>
      <c r="P1332" s="7"/>
      <c r="Q1332" s="7"/>
      <c r="R1332" s="7"/>
      <c r="S1332" s="7"/>
    </row>
    <row r="1333">
      <c r="C1333" s="19">
        <f>IFERROR(__xludf.DUMMYFUNCTION("""COMPUTED_VALUE"""),45979.373400219905)</f>
        <v>45979.3734</v>
      </c>
      <c r="D1333" s="7" t="str">
        <f>IFERROR(__xludf.DUMMYFUNCTION("""COMPUTED_VALUE"""),"Velardez ")</f>
        <v>Velardez </v>
      </c>
      <c r="E1333" s="7" t="str">
        <f>IFERROR(__xludf.DUMMYFUNCTION("""COMPUTED_VALUE"""),"Ivana del valle")</f>
        <v>Ivana del valle</v>
      </c>
      <c r="F1333" s="7" t="str">
        <f>IFERROR(__xludf.DUMMYFUNCTION("""COMPUTED_VALUE"""),"Ivavelardez@gmail.com")</f>
        <v>Ivavelardez@gmail.com</v>
      </c>
      <c r="G1333" s="20">
        <f>IFERROR(__xludf.DUMMYFUNCTION("""COMPUTED_VALUE"""),29787.0)</f>
        <v>29787</v>
      </c>
      <c r="H1333" s="7">
        <f>IFERROR(__xludf.DUMMYFUNCTION("""COMPUTED_VALUE"""),2.8853317E7)</f>
        <v>28853317</v>
      </c>
      <c r="I1333" s="7">
        <f>IFERROR(__xludf.DUMMYFUNCTION("""COMPUTED_VALUE"""),3.516314075E9)</f>
        <v>3516314075</v>
      </c>
      <c r="J1333" s="7" t="str">
        <f>IFERROR(__xludf.DUMMYFUNCTION("""COMPUTED_VALUE"""),"Recomendación")</f>
        <v>Recomendación</v>
      </c>
      <c r="K1333" s="7" t="str">
        <f>IFERROR(__xludf.DUMMYFUNCTION("""COMPUTED_VALUE"""),"Obra social")</f>
        <v>Obra social</v>
      </c>
      <c r="L1333" s="7"/>
      <c r="M1333" s="7" t="str">
        <f>IFERROR(__xludf.DUMMYFUNCTION("""COMPUTED_VALUE"""),"Si")</f>
        <v>Si</v>
      </c>
      <c r="N1333" s="7" t="str">
        <f>IFERROR(__xludf.DUMMYFUNCTION("""COMPUTED_VALUE"""),"Gimnasio")</f>
        <v>Gimnasio</v>
      </c>
      <c r="O1333" s="7" t="str">
        <f>IFERROR(__xludf.DUMMYFUNCTION("""COMPUTED_VALUE"""),"1 a 2 veces por semana")</f>
        <v>1 a 2 veces por semana</v>
      </c>
      <c r="P1333" s="7"/>
      <c r="Q1333" s="7" t="str">
        <f>IFERROR(__xludf.DUMMYFUNCTION("""COMPUTED_VALUE"""),"SANCOR")</f>
        <v>SANCOR</v>
      </c>
      <c r="R1333" s="7"/>
      <c r="S1333" s="7"/>
    </row>
    <row r="1334">
      <c r="C1334" s="19">
        <f>IFERROR(__xludf.DUMMYFUNCTION("""COMPUTED_VALUE"""),45980.466728287036)</f>
        <v>45980.46673</v>
      </c>
      <c r="D1334" s="7" t="str">
        <f>IFERROR(__xludf.DUMMYFUNCTION("""COMPUTED_VALUE"""),"Okelly")</f>
        <v>Okelly</v>
      </c>
      <c r="E1334" s="7" t="str">
        <f>IFERROR(__xludf.DUMMYFUNCTION("""COMPUTED_VALUE"""),"Raul")</f>
        <v>Raul</v>
      </c>
      <c r="F1334" s="7" t="str">
        <f>IFERROR(__xludf.DUMMYFUNCTION("""COMPUTED_VALUE"""),"raulokelly@hotmail.com")</f>
        <v>raulokelly@hotmail.com</v>
      </c>
      <c r="G1334" s="20">
        <f>IFERROR(__xludf.DUMMYFUNCTION("""COMPUTED_VALUE"""),21232.0)</f>
        <v>21232</v>
      </c>
      <c r="H1334" s="7">
        <f>IFERROR(__xludf.DUMMYFUNCTION("""COMPUTED_VALUE"""),1.2245314E7)</f>
        <v>12245314</v>
      </c>
      <c r="I1334" s="7">
        <f>IFERROR(__xludf.DUMMYFUNCTION("""COMPUTED_VALUE"""),3.515512914E9)</f>
        <v>3515512914</v>
      </c>
      <c r="J1334" s="7" t="str">
        <f>IFERROR(__xludf.DUMMYFUNCTION("""COMPUTED_VALUE"""),"Recomendación")</f>
        <v>Recomendación</v>
      </c>
      <c r="K1334" s="7" t="str">
        <f>IFERROR(__xludf.DUMMYFUNCTION("""COMPUTED_VALUE"""),"Obra social")</f>
        <v>Obra social</v>
      </c>
      <c r="L1334" s="7"/>
      <c r="M1334" s="7" t="str">
        <f>IFERROR(__xludf.DUMMYFUNCTION("""COMPUTED_VALUE"""),"Si")</f>
        <v>Si</v>
      </c>
      <c r="N1334" s="7" t="str">
        <f>IFERROR(__xludf.DUMMYFUNCTION("""COMPUTED_VALUE"""),"Caminata ")</f>
        <v>Caminata </v>
      </c>
      <c r="O1334" s="7" t="str">
        <f>IFERROR(__xludf.DUMMYFUNCTION("""COMPUTED_VALUE"""),"1 a 2 veces por semana")</f>
        <v>1 a 2 veces por semana</v>
      </c>
      <c r="P1334" s="7"/>
      <c r="Q1334" s="7" t="str">
        <f>IFERROR(__xludf.DUMMYFUNCTION("""COMPUTED_VALUE"""),"APROSS")</f>
        <v>APROSS</v>
      </c>
      <c r="R1334" s="7"/>
      <c r="S1334" s="7"/>
    </row>
    <row r="1335">
      <c r="C1335" s="19">
        <f>IFERROR(__xludf.DUMMYFUNCTION("""COMPUTED_VALUE"""),45980.51241935186)</f>
        <v>45980.51242</v>
      </c>
      <c r="D1335" s="7" t="str">
        <f>IFERROR(__xludf.DUMMYFUNCTION("""COMPUTED_VALUE"""),"Scalia")</f>
        <v>Scalia</v>
      </c>
      <c r="E1335" s="7" t="str">
        <f>IFERROR(__xludf.DUMMYFUNCTION("""COMPUTED_VALUE"""),"Lilian")</f>
        <v>Lilian</v>
      </c>
      <c r="F1335" s="7" t="str">
        <f>IFERROR(__xludf.DUMMYFUNCTION("""COMPUTED_VALUE"""),"elizabethlilian@hotmail.com")</f>
        <v>elizabethlilian@hotmail.com</v>
      </c>
      <c r="G1335" s="20">
        <f>IFERROR(__xludf.DUMMYFUNCTION("""COMPUTED_VALUE"""),22058.0)</f>
        <v>22058</v>
      </c>
      <c r="H1335" s="7">
        <f>IFERROR(__xludf.DUMMYFUNCTION("""COMPUTED_VALUE"""),1.4175381E7)</f>
        <v>14175381</v>
      </c>
      <c r="I1335" s="7">
        <f>IFERROR(__xludf.DUMMYFUNCTION("""COMPUTED_VALUE"""),3.514088604E9)</f>
        <v>3514088604</v>
      </c>
      <c r="J1335" s="7" t="str">
        <f>IFERROR(__xludf.DUMMYFUNCTION("""COMPUTED_VALUE"""),"Recomendación")</f>
        <v>Recomendación</v>
      </c>
      <c r="K1335" s="7" t="str">
        <f>IFERROR(__xludf.DUMMYFUNCTION("""COMPUTED_VALUE"""),"Obra social")</f>
        <v>Obra social</v>
      </c>
      <c r="L1335" s="7"/>
      <c r="M1335" s="7" t="str">
        <f>IFERROR(__xludf.DUMMYFUNCTION("""COMPUTED_VALUE"""),"Si")</f>
        <v>Si</v>
      </c>
      <c r="N1335" s="7" t="str">
        <f>IFERROR(__xludf.DUMMYFUNCTION("""COMPUTED_VALUE"""),"yoga y gimnasio")</f>
        <v>yoga y gimnasio</v>
      </c>
      <c r="O1335" s="7" t="str">
        <f>IFERROR(__xludf.DUMMYFUNCTION("""COMPUTED_VALUE"""),"3 a 5 veces por semana")</f>
        <v>3 a 5 veces por semana</v>
      </c>
      <c r="P1335" s="7"/>
      <c r="Q1335" s="7" t="str">
        <f>IFERROR(__xludf.DUMMYFUNCTION("""COMPUTED_VALUE"""),"APROSS")</f>
        <v>APROSS</v>
      </c>
      <c r="R1335" s="7"/>
      <c r="S1335" s="7"/>
    </row>
    <row r="1336">
      <c r="C1336" s="19">
        <f>IFERROR(__xludf.DUMMYFUNCTION("""COMPUTED_VALUE"""),45980.66958255787)</f>
        <v>45980.66958</v>
      </c>
      <c r="D1336" s="7" t="str">
        <f>IFERROR(__xludf.DUMMYFUNCTION("""COMPUTED_VALUE"""),"Llorens ")</f>
        <v>Llorens </v>
      </c>
      <c r="E1336" s="7" t="str">
        <f>IFERROR(__xludf.DUMMYFUNCTION("""COMPUTED_VALUE"""),"Cristina")</f>
        <v>Cristina</v>
      </c>
      <c r="F1336" s="7"/>
      <c r="G1336" s="20">
        <f>IFERROR(__xludf.DUMMYFUNCTION("""COMPUTED_VALUE"""),16601.0)</f>
        <v>16601</v>
      </c>
      <c r="H1336" s="7">
        <f>IFERROR(__xludf.DUMMYFUNCTION("""COMPUTED_VALUE"""),5099952.0)</f>
        <v>5099952</v>
      </c>
      <c r="I1336" s="7">
        <f>IFERROR(__xludf.DUMMYFUNCTION("""COMPUTED_VALUE"""),3.51613127E9)</f>
        <v>3516131270</v>
      </c>
      <c r="J1336" s="7" t="str">
        <f>IFERROR(__xludf.DUMMYFUNCTION("""COMPUTED_VALUE"""),"Recomendación")</f>
        <v>Recomendación</v>
      </c>
      <c r="K1336" s="7" t="str">
        <f>IFERROR(__xludf.DUMMYFUNCTION("""COMPUTED_VALUE"""),"Particular")</f>
        <v>Particular</v>
      </c>
      <c r="L1336" s="7"/>
      <c r="M1336" s="7" t="str">
        <f>IFERROR(__xludf.DUMMYFUNCTION("""COMPUTED_VALUE"""),"No")</f>
        <v>No</v>
      </c>
      <c r="N1336" s="7"/>
      <c r="O1336" s="7"/>
      <c r="P1336" s="7"/>
      <c r="Q1336" s="7"/>
      <c r="R1336" s="7"/>
      <c r="S1336" s="7"/>
    </row>
    <row r="1337">
      <c r="C1337" s="19">
        <f>IFERROR(__xludf.DUMMYFUNCTION("""COMPUTED_VALUE"""),45980.7753302662)</f>
        <v>45980.77533</v>
      </c>
      <c r="D1337" s="7" t="str">
        <f>IFERROR(__xludf.DUMMYFUNCTION("""COMPUTED_VALUE"""),"Beretta ")</f>
        <v>Beretta </v>
      </c>
      <c r="E1337" s="7" t="str">
        <f>IFERROR(__xludf.DUMMYFUNCTION("""COMPUTED_VALUE"""),"Alejandro")</f>
        <v>Alejandro</v>
      </c>
      <c r="F1337" s="7"/>
      <c r="G1337" s="20">
        <f>IFERROR(__xludf.DUMMYFUNCTION("""COMPUTED_VALUE"""),23205.0)</f>
        <v>23205</v>
      </c>
      <c r="H1337" s="7">
        <f>IFERROR(__xludf.DUMMYFUNCTION("""COMPUTED_VALUE"""),1.6508095E7)</f>
        <v>16508095</v>
      </c>
      <c r="I1337" s="7">
        <f>IFERROR(__xludf.DUMMYFUNCTION("""COMPUTED_VALUE"""),3.513051899E9)</f>
        <v>3513051899</v>
      </c>
      <c r="J1337" s="7" t="str">
        <f>IFERROR(__xludf.DUMMYFUNCTION("""COMPUTED_VALUE"""),"Google")</f>
        <v>Google</v>
      </c>
      <c r="K1337" s="7" t="str">
        <f>IFERROR(__xludf.DUMMYFUNCTION("""COMPUTED_VALUE"""),"Obra social")</f>
        <v>Obra social</v>
      </c>
      <c r="L1337" s="7"/>
      <c r="M1337" s="7" t="str">
        <f>IFERROR(__xludf.DUMMYFUNCTION("""COMPUTED_VALUE"""),"Si")</f>
        <v>Si</v>
      </c>
      <c r="N1337" s="7" t="str">
        <f>IFERROR(__xludf.DUMMYFUNCTION("""COMPUTED_VALUE"""),"Caminata")</f>
        <v>Caminata</v>
      </c>
      <c r="O1337" s="7" t="str">
        <f>IFERROR(__xludf.DUMMYFUNCTION("""COMPUTED_VALUE"""),"1 a 2 veces por semana")</f>
        <v>1 a 2 veces por semana</v>
      </c>
      <c r="P1337" s="7"/>
      <c r="Q1337" s="7" t="str">
        <f>IFERROR(__xludf.DUMMYFUNCTION("""COMPUTED_VALUE"""),"APROSS")</f>
        <v>APROSS</v>
      </c>
      <c r="R1337" s="7"/>
      <c r="S1337" s="7"/>
    </row>
    <row r="1338">
      <c r="C1338" s="19">
        <f>IFERROR(__xludf.DUMMYFUNCTION("""COMPUTED_VALUE"""),45981.41291505787)</f>
        <v>45981.41292</v>
      </c>
      <c r="D1338" s="7" t="str">
        <f>IFERROR(__xludf.DUMMYFUNCTION("""COMPUTED_VALUE"""),"Rezzonico")</f>
        <v>Rezzonico</v>
      </c>
      <c r="E1338" s="7" t="str">
        <f>IFERROR(__xludf.DUMMYFUNCTION("""COMPUTED_VALUE"""),"Juan Pablo")</f>
        <v>Juan Pablo</v>
      </c>
      <c r="F1338" s="7"/>
      <c r="G1338" s="20">
        <f>IFERROR(__xludf.DUMMYFUNCTION("""COMPUTED_VALUE"""),28882.0)</f>
        <v>28882</v>
      </c>
      <c r="H1338" s="7">
        <f>IFERROR(__xludf.DUMMYFUNCTION("""COMPUTED_VALUE"""),2.7079074E7)</f>
        <v>27079074</v>
      </c>
      <c r="I1338" s="7">
        <f>IFERROR(__xludf.DUMMYFUNCTION("""COMPUTED_VALUE"""),3.515109442E9)</f>
        <v>3515109442</v>
      </c>
      <c r="J1338" s="7" t="str">
        <f>IFERROR(__xludf.DUMMYFUNCTION("""COMPUTED_VALUE"""),"Voy al gym Manantial")</f>
        <v>Voy al gym Manantial</v>
      </c>
      <c r="K1338" s="7" t="str">
        <f>IFERROR(__xludf.DUMMYFUNCTION("""COMPUTED_VALUE"""),"Particular")</f>
        <v>Particular</v>
      </c>
      <c r="L1338" s="7"/>
      <c r="M1338" s="7" t="str">
        <f>IFERROR(__xludf.DUMMYFUNCTION("""COMPUTED_VALUE"""),"Si")</f>
        <v>Si</v>
      </c>
      <c r="N1338" s="7" t="str">
        <f>IFERROR(__xludf.DUMMYFUNCTION("""COMPUTED_VALUE"""),"Gimnasio+Futbol+Padel")</f>
        <v>Gimnasio+Futbol+Padel</v>
      </c>
      <c r="O1338" s="7" t="str">
        <f>IFERROR(__xludf.DUMMYFUNCTION("""COMPUTED_VALUE"""),"6 a 7 veces por semana")</f>
        <v>6 a 7 veces por semana</v>
      </c>
      <c r="P1338" s="7"/>
      <c r="Q1338" s="7"/>
      <c r="R1338" s="7"/>
      <c r="S1338" s="7"/>
    </row>
    <row r="1339">
      <c r="C1339" s="19">
        <f>IFERROR(__xludf.DUMMYFUNCTION("""COMPUTED_VALUE"""),45981.728075046296)</f>
        <v>45981.72808</v>
      </c>
      <c r="D1339" s="7" t="str">
        <f>IFERROR(__xludf.DUMMYFUNCTION("""COMPUTED_VALUE"""),"Virgolini")</f>
        <v>Virgolini</v>
      </c>
      <c r="E1339" s="7" t="str">
        <f>IFERROR(__xludf.DUMMYFUNCTION("""COMPUTED_VALUE"""),"Marcelo")</f>
        <v>Marcelo</v>
      </c>
      <c r="F1339" s="7" t="str">
        <f>IFERROR(__xludf.DUMMYFUNCTION("""COMPUTED_VALUE"""),"tetelovirgolini@homtail.com")</f>
        <v>tetelovirgolini@homtail.com</v>
      </c>
      <c r="G1339" s="20">
        <f>IFERROR(__xludf.DUMMYFUNCTION("""COMPUTED_VALUE"""),30518.0)</f>
        <v>30518</v>
      </c>
      <c r="H1339" s="7">
        <f>IFERROR(__xludf.DUMMYFUNCTION("""COMPUTED_VALUE"""),3.0330043E7)</f>
        <v>30330043</v>
      </c>
      <c r="I1339" s="7">
        <f>IFERROR(__xludf.DUMMYFUNCTION("""COMPUTED_VALUE"""),3.516359611E9)</f>
        <v>3516359611</v>
      </c>
      <c r="J1339" s="7" t="str">
        <f>IFERROR(__xludf.DUMMYFUNCTION("""COMPUTED_VALUE"""),"Recomendación")</f>
        <v>Recomendación</v>
      </c>
      <c r="K1339" s="7" t="str">
        <f>IFERROR(__xludf.DUMMYFUNCTION("""COMPUTED_VALUE"""),"Particular")</f>
        <v>Particular</v>
      </c>
      <c r="L1339" s="7"/>
      <c r="M1339" s="7" t="str">
        <f>IFERROR(__xludf.DUMMYFUNCTION("""COMPUTED_VALUE"""),"Si")</f>
        <v>Si</v>
      </c>
      <c r="N1339" s="7" t="str">
        <f>IFERROR(__xludf.DUMMYFUNCTION("""COMPUTED_VALUE"""),"Gimnasio")</f>
        <v>Gimnasio</v>
      </c>
      <c r="O1339" s="7" t="str">
        <f>IFERROR(__xludf.DUMMYFUNCTION("""COMPUTED_VALUE"""),"3 a 5 veces por semana")</f>
        <v>3 a 5 veces por semana</v>
      </c>
      <c r="P1339" s="7"/>
      <c r="Q1339" s="7"/>
      <c r="R1339" s="7"/>
      <c r="S1339" s="7"/>
    </row>
    <row r="1340">
      <c r="C1340" s="19">
        <f>IFERROR(__xludf.DUMMYFUNCTION("""COMPUTED_VALUE"""),45986.39372758102)</f>
        <v>45986.39373</v>
      </c>
      <c r="D1340" s="7" t="str">
        <f>IFERROR(__xludf.DUMMYFUNCTION("""COMPUTED_VALUE"""),"Lenzina")</f>
        <v>Lenzina</v>
      </c>
      <c r="E1340" s="7" t="str">
        <f>IFERROR(__xludf.DUMMYFUNCTION("""COMPUTED_VALUE"""),"Lucia")</f>
        <v>Lucia</v>
      </c>
      <c r="F1340" s="7" t="str">
        <f>IFERROR(__xludf.DUMMYFUNCTION("""COMPUTED_VALUE"""),"lulenzina@gmail.com")</f>
        <v>lulenzina@gmail.com</v>
      </c>
      <c r="G1340" s="20">
        <f>IFERROR(__xludf.DUMMYFUNCTION("""COMPUTED_VALUE"""),38299.0)</f>
        <v>38299</v>
      </c>
      <c r="H1340" s="7">
        <f>IFERROR(__xludf.DUMMYFUNCTION("""COMPUTED_VALUE"""),4.5833803E7)</f>
        <v>45833803</v>
      </c>
      <c r="I1340" s="7">
        <f>IFERROR(__xludf.DUMMYFUNCTION("""COMPUTED_VALUE"""),3.512025644E9)</f>
        <v>3512025644</v>
      </c>
      <c r="J1340" s="7" t="str">
        <f>IFERROR(__xludf.DUMMYFUNCTION("""COMPUTED_VALUE"""),"Recomendación")</f>
        <v>Recomendación</v>
      </c>
      <c r="K1340" s="7" t="str">
        <f>IFERROR(__xludf.DUMMYFUNCTION("""COMPUTED_VALUE"""),"Obra social")</f>
        <v>Obra social</v>
      </c>
      <c r="L1340" s="7"/>
      <c r="M1340" s="7" t="str">
        <f>IFERROR(__xludf.DUMMYFUNCTION("""COMPUTED_VALUE"""),"Si")</f>
        <v>Si</v>
      </c>
      <c r="N1340" s="7" t="str">
        <f>IFERROR(__xludf.DUMMYFUNCTION("""COMPUTED_VALUE"""),"Funcional")</f>
        <v>Funcional</v>
      </c>
      <c r="O1340" s="7" t="str">
        <f>IFERROR(__xludf.DUMMYFUNCTION("""COMPUTED_VALUE"""),"1 a 2 veces por semana")</f>
        <v>1 a 2 veces por semana</v>
      </c>
      <c r="P1340" s="7"/>
      <c r="Q1340" s="7" t="str">
        <f>IFERROR(__xludf.DUMMYFUNCTION("""COMPUTED_VALUE"""),"APROSS")</f>
        <v>APROSS</v>
      </c>
      <c r="R1340" s="7"/>
      <c r="S1340" s="7"/>
    </row>
    <row r="1341">
      <c r="C1341" s="19">
        <f>IFERROR(__xludf.DUMMYFUNCTION("""COMPUTED_VALUE"""),45986.4514159838)</f>
        <v>45986.45142</v>
      </c>
      <c r="D1341" s="7" t="str">
        <f>IFERROR(__xludf.DUMMYFUNCTION("""COMPUTED_VALUE"""),"Ponce")</f>
        <v>Ponce</v>
      </c>
      <c r="E1341" s="7" t="str">
        <f>IFERROR(__xludf.DUMMYFUNCTION("""COMPUTED_VALUE"""),"Amalia Beatriz")</f>
        <v>Amalia Beatriz</v>
      </c>
      <c r="F1341" s="7" t="str">
        <f>IFERROR(__xludf.DUMMYFUNCTION("""COMPUTED_VALUE"""),"amalbeat.fg@gmail.com")</f>
        <v>amalbeat.fg@gmail.com</v>
      </c>
      <c r="G1341" s="20">
        <f>IFERROR(__xludf.DUMMYFUNCTION("""COMPUTED_VALUE"""),16294.0)</f>
        <v>16294</v>
      </c>
      <c r="H1341" s="7">
        <f>IFERROR(__xludf.DUMMYFUNCTION("""COMPUTED_VALUE"""),5008104.0)</f>
        <v>5008104</v>
      </c>
      <c r="I1341" s="7">
        <f>IFERROR(__xludf.DUMMYFUNCTION("""COMPUTED_VALUE"""),3.51631571E9)</f>
        <v>3516315710</v>
      </c>
      <c r="J1341" s="7" t="str">
        <f>IFERROR(__xludf.DUMMYFUNCTION("""COMPUTED_VALUE"""),"Recomendación")</f>
        <v>Recomendación</v>
      </c>
      <c r="K1341" s="7" t="str">
        <f>IFERROR(__xludf.DUMMYFUNCTION("""COMPUTED_VALUE"""),"Obra social")</f>
        <v>Obra social</v>
      </c>
      <c r="L1341" s="7"/>
      <c r="M1341" s="7" t="str">
        <f>IFERROR(__xludf.DUMMYFUNCTION("""COMPUTED_VALUE"""),"Si")</f>
        <v>Si</v>
      </c>
      <c r="N1341" s="7" t="str">
        <f>IFERROR(__xludf.DUMMYFUNCTION("""COMPUTED_VALUE"""),"Aqua gym")</f>
        <v>Aqua gym</v>
      </c>
      <c r="O1341" s="7" t="str">
        <f>IFERROR(__xludf.DUMMYFUNCTION("""COMPUTED_VALUE"""),"1 a 2 veces por semana")</f>
        <v>1 a 2 veces por semana</v>
      </c>
      <c r="P1341" s="7"/>
      <c r="Q1341" s="7" t="str">
        <f>IFERROR(__xludf.DUMMYFUNCTION("""COMPUTED_VALUE"""),"APROSS")</f>
        <v>APROSS</v>
      </c>
      <c r="R1341" s="7"/>
      <c r="S1341" s="7"/>
    </row>
    <row r="1342">
      <c r="C1342" s="19">
        <f>IFERROR(__xludf.DUMMYFUNCTION("""COMPUTED_VALUE"""),45986.48137613426)</f>
        <v>45986.48138</v>
      </c>
      <c r="D1342" s="7" t="str">
        <f>IFERROR(__xludf.DUMMYFUNCTION("""COMPUTED_VALUE"""),"Edelstein")</f>
        <v>Edelstein</v>
      </c>
      <c r="E1342" s="7" t="str">
        <f>IFERROR(__xludf.DUMMYFUNCTION("""COMPUTED_VALUE"""),"Josefina")</f>
        <v>Josefina</v>
      </c>
      <c r="F1342" s="7" t="str">
        <f>IFERROR(__xludf.DUMMYFUNCTION("""COMPUTED_VALUE"""),"Josefinaedelstein@gmail.com")</f>
        <v>Josefinaedelstein@gmail.com</v>
      </c>
      <c r="G1342" s="20">
        <f>IFERROR(__xludf.DUMMYFUNCTION("""COMPUTED_VALUE"""),23284.0)</f>
        <v>23284</v>
      </c>
      <c r="H1342" s="7">
        <f>IFERROR(__xludf.DUMMYFUNCTION("""COMPUTED_VALUE"""),1.762815E7)</f>
        <v>17628150</v>
      </c>
      <c r="I1342" s="7">
        <f>IFERROR(__xludf.DUMMYFUNCTION("""COMPUTED_VALUE"""),3.516313459E9)</f>
        <v>3516313459</v>
      </c>
      <c r="J1342" s="7" t="str">
        <f>IFERROR(__xludf.DUMMYFUNCTION("""COMPUTED_VALUE"""),"Recomendación")</f>
        <v>Recomendación</v>
      </c>
      <c r="K1342" s="7" t="str">
        <f>IFERROR(__xludf.DUMMYFUNCTION("""COMPUTED_VALUE"""),"Obra social")</f>
        <v>Obra social</v>
      </c>
      <c r="L1342" s="7"/>
      <c r="M1342" s="7" t="str">
        <f>IFERROR(__xludf.DUMMYFUNCTION("""COMPUTED_VALUE"""),"Si")</f>
        <v>Si</v>
      </c>
      <c r="N1342" s="7" t="str">
        <f>IFERROR(__xludf.DUMMYFUNCTION("""COMPUTED_VALUE"""),"Funcional")</f>
        <v>Funcional</v>
      </c>
      <c r="O1342" s="7" t="str">
        <f>IFERROR(__xludf.DUMMYFUNCTION("""COMPUTED_VALUE"""),"1 a 2 veces por semana")</f>
        <v>1 a 2 veces por semana</v>
      </c>
      <c r="P1342" s="7"/>
      <c r="Q1342" s="7" t="str">
        <f>IFERROR(__xludf.DUMMYFUNCTION("""COMPUTED_VALUE"""),"APROSS")</f>
        <v>APROSS</v>
      </c>
      <c r="R1342" s="7"/>
      <c r="S1342" s="7"/>
    </row>
    <row r="1343">
      <c r="C1343" s="19">
        <f>IFERROR(__xludf.DUMMYFUNCTION("""COMPUTED_VALUE"""),45986.60187356481)</f>
        <v>45986.60187</v>
      </c>
      <c r="D1343" s="7" t="str">
        <f>IFERROR(__xludf.DUMMYFUNCTION("""COMPUTED_VALUE"""),"Tula")</f>
        <v>Tula</v>
      </c>
      <c r="E1343" s="7" t="str">
        <f>IFERROR(__xludf.DUMMYFUNCTION("""COMPUTED_VALUE"""),"Pablo Alejandro")</f>
        <v>Pablo Alejandro</v>
      </c>
      <c r="F1343" s="7" t="str">
        <f>IFERROR(__xludf.DUMMYFUNCTION("""COMPUTED_VALUE"""),"Pablo.cpl.94@gmail.com")</f>
        <v>Pablo.cpl.94@gmail.com</v>
      </c>
      <c r="G1343" s="20">
        <f>IFERROR(__xludf.DUMMYFUNCTION("""COMPUTED_VALUE"""),34633.0)</f>
        <v>34633</v>
      </c>
      <c r="H1343" s="7">
        <f>IFERROR(__xludf.DUMMYFUNCTION("""COMPUTED_VALUE"""),3.8500953E7)</f>
        <v>38500953</v>
      </c>
      <c r="I1343" s="7">
        <f>IFERROR(__xludf.DUMMYFUNCTION("""COMPUTED_VALUE"""),3.512596818E9)</f>
        <v>3512596818</v>
      </c>
      <c r="J1343" s="7" t="str">
        <f>IFERROR(__xludf.DUMMYFUNCTION("""COMPUTED_VALUE"""),"Instagram")</f>
        <v>Instagram</v>
      </c>
      <c r="K1343" s="7" t="str">
        <f>IFERROR(__xludf.DUMMYFUNCTION("""COMPUTED_VALUE"""),"Obra social")</f>
        <v>Obra social</v>
      </c>
      <c r="L1343" s="7"/>
      <c r="M1343" s="7" t="str">
        <f>IFERROR(__xludf.DUMMYFUNCTION("""COMPUTED_VALUE"""),"Si")</f>
        <v>Si</v>
      </c>
      <c r="N1343" s="7" t="str">
        <f>IFERROR(__xludf.DUMMYFUNCTION("""COMPUTED_VALUE"""),"Básquet")</f>
        <v>Básquet</v>
      </c>
      <c r="O1343" s="7" t="str">
        <f>IFERROR(__xludf.DUMMYFUNCTION("""COMPUTED_VALUE"""),"1 a 2 veces por semana")</f>
        <v>1 a 2 veces por semana</v>
      </c>
      <c r="P1343" s="7"/>
      <c r="Q1343" s="7" t="str">
        <f>IFERROR(__xludf.DUMMYFUNCTION("""COMPUTED_VALUE"""),"Medife")</f>
        <v>Medife</v>
      </c>
      <c r="R1343" s="7"/>
      <c r="S1343" s="7"/>
    </row>
    <row r="1344">
      <c r="C1344" s="19">
        <f>IFERROR(__xludf.DUMMYFUNCTION("""COMPUTED_VALUE"""),45987.73951857639)</f>
        <v>45987.73952</v>
      </c>
      <c r="D1344" s="7" t="str">
        <f>IFERROR(__xludf.DUMMYFUNCTION("""COMPUTED_VALUE"""),"Peralta Carranza")</f>
        <v>Peralta Carranza</v>
      </c>
      <c r="E1344" s="7" t="str">
        <f>IFERROR(__xludf.DUMMYFUNCTION("""COMPUTED_VALUE"""),"Aixa Huilen")</f>
        <v>Aixa Huilen</v>
      </c>
      <c r="F1344" s="7" t="str">
        <f>IFERROR(__xludf.DUMMYFUNCTION("""COMPUTED_VALUE"""),"huilen2345@gmail.com")</f>
        <v>huilen2345@gmail.com</v>
      </c>
      <c r="G1344" s="20">
        <f>IFERROR(__xludf.DUMMYFUNCTION("""COMPUTED_VALUE"""),36901.0)</f>
        <v>36901</v>
      </c>
      <c r="H1344" s="7">
        <f>IFERROR(__xludf.DUMMYFUNCTION("""COMPUTED_VALUE"""),4.3231404E7)</f>
        <v>43231404</v>
      </c>
      <c r="I1344" s="7">
        <f>IFERROR(__xludf.DUMMYFUNCTION("""COMPUTED_VALUE"""),3.513274171E9)</f>
        <v>3513274171</v>
      </c>
      <c r="J1344" s="7" t="str">
        <f>IFERROR(__xludf.DUMMYFUNCTION("""COMPUTED_VALUE"""),"Voy al gym Manantial")</f>
        <v>Voy al gym Manantial</v>
      </c>
      <c r="K1344" s="7" t="str">
        <f>IFERROR(__xludf.DUMMYFUNCTION("""COMPUTED_VALUE"""),"Obra social")</f>
        <v>Obra social</v>
      </c>
      <c r="L1344" s="7"/>
      <c r="M1344" s="7" t="str">
        <f>IFERROR(__xludf.DUMMYFUNCTION("""COMPUTED_VALUE"""),"Si")</f>
        <v>Si</v>
      </c>
      <c r="N1344" s="7" t="str">
        <f>IFERROR(__xludf.DUMMYFUNCTION("""COMPUTED_VALUE"""),"Gimnasio")</f>
        <v>Gimnasio</v>
      </c>
      <c r="O1344" s="7" t="str">
        <f>IFERROR(__xludf.DUMMYFUNCTION("""COMPUTED_VALUE"""),"3 a 5 veces por semana")</f>
        <v>3 a 5 veces por semana</v>
      </c>
      <c r="P1344" s="7"/>
      <c r="Q1344" s="7" t="str">
        <f>IFERROR(__xludf.DUMMYFUNCTION("""COMPUTED_VALUE"""),"CPCE")</f>
        <v>CPCE</v>
      </c>
      <c r="R1344" s="7"/>
      <c r="S1344" s="7"/>
    </row>
    <row r="1345">
      <c r="C1345" s="19">
        <f>IFERROR(__xludf.DUMMYFUNCTION("""COMPUTED_VALUE"""),45987.77649037037)</f>
        <v>45987.77649</v>
      </c>
      <c r="D1345" s="7" t="str">
        <f>IFERROR(__xludf.DUMMYFUNCTION("""COMPUTED_VALUE"""),"Verdu")</f>
        <v>Verdu</v>
      </c>
      <c r="E1345" s="7" t="str">
        <f>IFERROR(__xludf.DUMMYFUNCTION("""COMPUTED_VALUE"""),"Susana")</f>
        <v>Susana</v>
      </c>
      <c r="F1345" s="7" t="str">
        <f>IFERROR(__xludf.DUMMYFUNCTION("""COMPUTED_VALUE"""),"susanaverdu@gmail,com")</f>
        <v>susanaverdu@gmail,com</v>
      </c>
      <c r="G1345" s="20">
        <f>IFERROR(__xludf.DUMMYFUNCTION("""COMPUTED_VALUE"""),17170.0)</f>
        <v>17170</v>
      </c>
      <c r="H1345" s="7">
        <f>IFERROR(__xludf.DUMMYFUNCTION("""COMPUTED_VALUE"""),5587884.0)</f>
        <v>5587884</v>
      </c>
      <c r="I1345" s="7">
        <f>IFERROR(__xludf.DUMMYFUNCTION("""COMPUTED_VALUE"""),3.516420132E9)</f>
        <v>3516420132</v>
      </c>
      <c r="J1345" s="7" t="str">
        <f>IFERROR(__xludf.DUMMYFUNCTION("""COMPUTED_VALUE"""),"Recomendación")</f>
        <v>Recomendación</v>
      </c>
      <c r="K1345" s="7" t="str">
        <f>IFERROR(__xludf.DUMMYFUNCTION("""COMPUTED_VALUE"""),"Obra social")</f>
        <v>Obra social</v>
      </c>
      <c r="L1345" s="7"/>
      <c r="M1345" s="7" t="str">
        <f>IFERROR(__xludf.DUMMYFUNCTION("""COMPUTED_VALUE"""),"Si")</f>
        <v>Si</v>
      </c>
      <c r="N1345" s="7" t="str">
        <f>IFERROR(__xludf.DUMMYFUNCTION("""COMPUTED_VALUE"""),"pilates y gym")</f>
        <v>pilates y gym</v>
      </c>
      <c r="O1345" s="7" t="str">
        <f>IFERROR(__xludf.DUMMYFUNCTION("""COMPUTED_VALUE"""),"3 a 5 veces por semana")</f>
        <v>3 a 5 veces por semana</v>
      </c>
      <c r="P1345" s="7"/>
      <c r="Q1345" s="7" t="str">
        <f>IFERROR(__xludf.DUMMYFUNCTION("""COMPUTED_VALUE"""),"APROSS")</f>
        <v>APROSS</v>
      </c>
      <c r="R1345" s="7"/>
      <c r="S1345" s="7"/>
    </row>
    <row r="1346">
      <c r="C1346" s="19">
        <f>IFERROR(__xludf.DUMMYFUNCTION("""COMPUTED_VALUE"""),45988.396926828704)</f>
        <v>45988.39693</v>
      </c>
      <c r="D1346" s="7" t="str">
        <f>IFERROR(__xludf.DUMMYFUNCTION("""COMPUTED_VALUE"""),"BEPRE ")</f>
        <v>BEPRE </v>
      </c>
      <c r="E1346" s="7" t="str">
        <f>IFERROR(__xludf.DUMMYFUNCTION("""COMPUTED_VALUE"""),"Federico")</f>
        <v>Federico</v>
      </c>
      <c r="F1346" s="7" t="str">
        <f>IFERROR(__xludf.DUMMYFUNCTION("""COMPUTED_VALUE"""),"Diabetesdiabetes2013@yahoo.com.ar")</f>
        <v>Diabetesdiabetes2013@yahoo.com.ar</v>
      </c>
      <c r="G1346" s="20">
        <f>IFERROR(__xludf.DUMMYFUNCTION("""COMPUTED_VALUE"""),41255.0)</f>
        <v>41255</v>
      </c>
      <c r="H1346" s="7">
        <f>IFERROR(__xludf.DUMMYFUNCTION("""COMPUTED_VALUE"""),5.2466851E7)</f>
        <v>52466851</v>
      </c>
      <c r="I1346" s="7">
        <f>IFERROR(__xludf.DUMMYFUNCTION("""COMPUTED_VALUE"""),3.512454625E9)</f>
        <v>3512454625</v>
      </c>
      <c r="J1346" s="7" t="str">
        <f>IFERROR(__xludf.DUMMYFUNCTION("""COMPUTED_VALUE"""),"Recomendación")</f>
        <v>Recomendación</v>
      </c>
      <c r="K1346" s="7" t="str">
        <f>IFERROR(__xludf.DUMMYFUNCTION("""COMPUTED_VALUE"""),"Obra social")</f>
        <v>Obra social</v>
      </c>
      <c r="L1346" s="7"/>
      <c r="M1346" s="7" t="str">
        <f>IFERROR(__xludf.DUMMYFUNCTION("""COMPUTED_VALUE"""),"Si")</f>
        <v>Si</v>
      </c>
      <c r="N1346" s="7" t="str">
        <f>IFERROR(__xludf.DUMMYFUNCTION("""COMPUTED_VALUE"""),"Fútbol")</f>
        <v>Fútbol</v>
      </c>
      <c r="O1346" s="7" t="str">
        <f>IFERROR(__xludf.DUMMYFUNCTION("""COMPUTED_VALUE"""),"3 a 5 veces por semana")</f>
        <v>3 a 5 veces por semana</v>
      </c>
      <c r="P1346" s="7"/>
      <c r="Q1346" s="7" t="str">
        <f>IFERROR(__xludf.DUMMYFUNCTION("""COMPUTED_VALUE"""),"Caja notarial")</f>
        <v>Caja notarial</v>
      </c>
      <c r="R1346" s="7"/>
      <c r="S1346" s="7"/>
    </row>
    <row r="1347">
      <c r="C1347" s="19">
        <f>IFERROR(__xludf.DUMMYFUNCTION("""COMPUTED_VALUE"""),45988.41570778935)</f>
        <v>45988.41571</v>
      </c>
      <c r="D1347" s="7" t="str">
        <f>IFERROR(__xludf.DUMMYFUNCTION("""COMPUTED_VALUE"""),"BERETTA")</f>
        <v>BERETTA</v>
      </c>
      <c r="E1347" s="7" t="str">
        <f>IFERROR(__xludf.DUMMYFUNCTION("""COMPUTED_VALUE"""),"ALEJANDRO")</f>
        <v>ALEJANDRO</v>
      </c>
      <c r="F1347" s="7"/>
      <c r="G1347" s="20">
        <f>IFERROR(__xludf.DUMMYFUNCTION("""COMPUTED_VALUE"""),23205.0)</f>
        <v>23205</v>
      </c>
      <c r="H1347" s="7">
        <f>IFERROR(__xludf.DUMMYFUNCTION("""COMPUTED_VALUE"""),1.6508095E7)</f>
        <v>16508095</v>
      </c>
      <c r="I1347" s="7">
        <f>IFERROR(__xludf.DUMMYFUNCTION("""COMPUTED_VALUE"""),3.513051899E9)</f>
        <v>3513051899</v>
      </c>
      <c r="J1347" s="7" t="str">
        <f>IFERROR(__xludf.DUMMYFUNCTION("""COMPUTED_VALUE"""),"Instagram")</f>
        <v>Instagram</v>
      </c>
      <c r="K1347" s="7" t="str">
        <f>IFERROR(__xludf.DUMMYFUNCTION("""COMPUTED_VALUE"""),"Particular")</f>
        <v>Particular</v>
      </c>
      <c r="L1347" s="7"/>
      <c r="M1347" s="7" t="str">
        <f>IFERROR(__xludf.DUMMYFUNCTION("""COMPUTED_VALUE"""),"No")</f>
        <v>No</v>
      </c>
      <c r="N1347" s="7"/>
      <c r="O1347" s="7"/>
      <c r="P1347" s="7"/>
      <c r="Q1347" s="7"/>
      <c r="R1347" s="7"/>
      <c r="S1347" s="7"/>
    </row>
    <row r="1348">
      <c r="C1348" s="19">
        <f>IFERROR(__xludf.DUMMYFUNCTION("""COMPUTED_VALUE"""),45989.50419535879)</f>
        <v>45989.5042</v>
      </c>
      <c r="D1348" s="7" t="str">
        <f>IFERROR(__xludf.DUMMYFUNCTION("""COMPUTED_VALUE"""),"QUEVEDO")</f>
        <v>QUEVEDO</v>
      </c>
      <c r="E1348" s="7" t="str">
        <f>IFERROR(__xludf.DUMMYFUNCTION("""COMPUTED_VALUE"""),"Julieta ")</f>
        <v>Julieta </v>
      </c>
      <c r="F1348" s="7" t="str">
        <f>IFERROR(__xludf.DUMMYFUNCTION("""COMPUTED_VALUE"""),"julisantotomas@gmail.com ")</f>
        <v>julisantotomas@gmail.com </v>
      </c>
      <c r="G1348" s="20">
        <f>IFERROR(__xludf.DUMMYFUNCTION("""COMPUTED_VALUE"""),33414.0)</f>
        <v>33414</v>
      </c>
      <c r="H1348" s="7">
        <f>IFERROR(__xludf.DUMMYFUNCTION("""COMPUTED_VALUE"""),3.5964601E7)</f>
        <v>35964601</v>
      </c>
      <c r="I1348" s="7">
        <f>IFERROR(__xludf.DUMMYFUNCTION("""COMPUTED_VALUE"""),3.512347011E9)</f>
        <v>3512347011</v>
      </c>
      <c r="J1348" s="7" t="str">
        <f>IFERROR(__xludf.DUMMYFUNCTION("""COMPUTED_VALUE"""),"Recomendación")</f>
        <v>Recomendación</v>
      </c>
      <c r="K1348" s="7" t="str">
        <f>IFERROR(__xludf.DUMMYFUNCTION("""COMPUTED_VALUE"""),"Obra social")</f>
        <v>Obra social</v>
      </c>
      <c r="L1348" s="7"/>
      <c r="M1348" s="7" t="str">
        <f>IFERROR(__xludf.DUMMYFUNCTION("""COMPUTED_VALUE"""),"No")</f>
        <v>No</v>
      </c>
      <c r="N1348" s="7"/>
      <c r="O1348" s="7"/>
      <c r="P1348" s="7"/>
      <c r="Q1348" s="7" t="str">
        <f>IFERROR(__xludf.DUMMYFUNCTION("""COMPUTED_VALUE"""),"SANCOR")</f>
        <v>SANCOR</v>
      </c>
      <c r="R1348" s="7"/>
      <c r="S1348" s="7"/>
    </row>
    <row r="1349">
      <c r="C1349" s="19">
        <f>IFERROR(__xludf.DUMMYFUNCTION("""COMPUTED_VALUE"""),45989.56094146991)</f>
        <v>45989.56094</v>
      </c>
      <c r="D1349" s="7" t="str">
        <f>IFERROR(__xludf.DUMMYFUNCTION("""COMPUTED_VALUE"""),"Pardo")</f>
        <v>Pardo</v>
      </c>
      <c r="E1349" s="7" t="str">
        <f>IFERROR(__xludf.DUMMYFUNCTION("""COMPUTED_VALUE"""),"Agustin")</f>
        <v>Agustin</v>
      </c>
      <c r="F1349" s="7" t="str">
        <f>IFERROR(__xludf.DUMMYFUNCTION("""COMPUTED_VALUE"""),"pardo.agustin94@gmail.com")</f>
        <v>pardo.agustin94@gmail.com</v>
      </c>
      <c r="G1349" s="20">
        <f>IFERROR(__xludf.DUMMYFUNCTION("""COMPUTED_VALUE"""),34346.0)</f>
        <v>34346</v>
      </c>
      <c r="H1349" s="7">
        <f>IFERROR(__xludf.DUMMYFUNCTION("""COMPUTED_VALUE"""),3.8002836E7)</f>
        <v>38002836</v>
      </c>
      <c r="I1349" s="7">
        <f>IFERROR(__xludf.DUMMYFUNCTION("""COMPUTED_VALUE"""),3.512474703E9)</f>
        <v>3512474703</v>
      </c>
      <c r="J1349" s="7" t="str">
        <f>IFERROR(__xludf.DUMMYFUNCTION("""COMPUTED_VALUE"""),"Recomendación")</f>
        <v>Recomendación</v>
      </c>
      <c r="K1349" s="7" t="str">
        <f>IFERROR(__xludf.DUMMYFUNCTION("""COMPUTED_VALUE"""),"Particular")</f>
        <v>Particular</v>
      </c>
      <c r="L1349" s="7"/>
      <c r="M1349" s="7" t="str">
        <f>IFERROR(__xludf.DUMMYFUNCTION("""COMPUTED_VALUE"""),"Si")</f>
        <v>Si</v>
      </c>
      <c r="N1349" s="7" t="str">
        <f>IFERROR(__xludf.DUMMYFUNCTION("""COMPUTED_VALUE"""),"Gimnasio")</f>
        <v>Gimnasio</v>
      </c>
      <c r="O1349" s="7" t="str">
        <f>IFERROR(__xludf.DUMMYFUNCTION("""COMPUTED_VALUE"""),"1 a 2 veces por semana")</f>
        <v>1 a 2 veces por semana</v>
      </c>
      <c r="P1349" s="7"/>
      <c r="Q1349" s="7"/>
      <c r="R1349" s="7"/>
      <c r="S1349" s="7"/>
    </row>
    <row r="1350">
      <c r="C1350" s="19">
        <f>IFERROR(__xludf.DUMMYFUNCTION("""COMPUTED_VALUE"""),45989.63501190972)</f>
        <v>45989.63501</v>
      </c>
      <c r="D1350" s="7" t="str">
        <f>IFERROR(__xludf.DUMMYFUNCTION("""COMPUTED_VALUE"""),"Irisarri")</f>
        <v>Irisarri</v>
      </c>
      <c r="E1350" s="7" t="str">
        <f>IFERROR(__xludf.DUMMYFUNCTION("""COMPUTED_VALUE"""),"Lautaro")</f>
        <v>Lautaro</v>
      </c>
      <c r="F1350" s="7" t="str">
        <f>IFERROR(__xludf.DUMMYFUNCTION("""COMPUTED_VALUE"""),"lautaroirisarri2006@gmail.com")</f>
        <v>lautaroirisarri2006@gmail.com</v>
      </c>
      <c r="G1350" s="20">
        <f>IFERROR(__xludf.DUMMYFUNCTION("""COMPUTED_VALUE"""),39069.0)</f>
        <v>39069</v>
      </c>
      <c r="H1350" s="7">
        <f>IFERROR(__xludf.DUMMYFUNCTION("""COMPUTED_VALUE"""),4.7579917E7)</f>
        <v>47579917</v>
      </c>
      <c r="I1350" s="7">
        <f>IFERROR(__xludf.DUMMYFUNCTION("""COMPUTED_VALUE"""),3.512140716E9)</f>
        <v>3512140716</v>
      </c>
      <c r="J1350" s="7" t="str">
        <f>IFERROR(__xludf.DUMMYFUNCTION("""COMPUTED_VALUE"""),"Recomendación")</f>
        <v>Recomendación</v>
      </c>
      <c r="K1350" s="7" t="str">
        <f>IFERROR(__xludf.DUMMYFUNCTION("""COMPUTED_VALUE"""),"Obra social")</f>
        <v>Obra social</v>
      </c>
      <c r="L1350" s="7"/>
      <c r="M1350" s="7" t="str">
        <f>IFERROR(__xludf.DUMMYFUNCTION("""COMPUTED_VALUE"""),"Si")</f>
        <v>Si</v>
      </c>
      <c r="N1350" s="7" t="str">
        <f>IFERROR(__xludf.DUMMYFUNCTION("""COMPUTED_VALUE"""),"Futbol+Gimnasio")</f>
        <v>Futbol+Gimnasio</v>
      </c>
      <c r="O1350" s="7" t="str">
        <f>IFERROR(__xludf.DUMMYFUNCTION("""COMPUTED_VALUE"""),"3 a 5 veces por semana")</f>
        <v>3 a 5 veces por semana</v>
      </c>
      <c r="P1350" s="7"/>
      <c r="Q1350" s="7" t="str">
        <f>IFERROR(__xludf.DUMMYFUNCTION("""COMPUTED_VALUE"""),"SANCOR")</f>
        <v>SANCOR</v>
      </c>
      <c r="R1350" s="7"/>
      <c r="S1350" s="7"/>
    </row>
    <row r="1351">
      <c r="C1351" s="19">
        <f>IFERROR(__xludf.DUMMYFUNCTION("""COMPUTED_VALUE"""),45991.93039903935)</f>
        <v>45991.9304</v>
      </c>
      <c r="D1351" s="7" t="str">
        <f>IFERROR(__xludf.DUMMYFUNCTION("""COMPUTED_VALUE"""),"Soria")</f>
        <v>Soria</v>
      </c>
      <c r="E1351" s="7" t="str">
        <f>IFERROR(__xludf.DUMMYFUNCTION("""COMPUTED_VALUE"""),"Mayco")</f>
        <v>Mayco</v>
      </c>
      <c r="F1351" s="7" t="str">
        <f>IFERROR(__xludf.DUMMYFUNCTION("""COMPUTED_VALUE"""),"maycomaylin@gmail.com")</f>
        <v>maycomaylin@gmail.com</v>
      </c>
      <c r="G1351" s="20">
        <f>IFERROR(__xludf.DUMMYFUNCTION("""COMPUTED_VALUE"""),32984.0)</f>
        <v>32984</v>
      </c>
      <c r="H1351" s="7">
        <f>IFERROR(__xludf.DUMMYFUNCTION("""COMPUTED_VALUE"""),3.4958254E7)</f>
        <v>34958254</v>
      </c>
      <c r="I1351" s="7">
        <f>IFERROR(__xludf.DUMMYFUNCTION("""COMPUTED_VALUE"""),3.517507774E9)</f>
        <v>3517507774</v>
      </c>
      <c r="J1351" s="7" t="str">
        <f>IFERROR(__xludf.DUMMYFUNCTION("""COMPUTED_VALUE"""),"Recomendación")</f>
        <v>Recomendación</v>
      </c>
      <c r="K1351" s="7" t="str">
        <f>IFERROR(__xludf.DUMMYFUNCTION("""COMPUTED_VALUE"""),"Obra social")</f>
        <v>Obra social</v>
      </c>
      <c r="L1351" s="7"/>
      <c r="M1351" s="7" t="str">
        <f>IFERROR(__xludf.DUMMYFUNCTION("""COMPUTED_VALUE"""),"Si")</f>
        <v>Si</v>
      </c>
      <c r="N1351" s="7" t="str">
        <f>IFERROR(__xludf.DUMMYFUNCTION("""COMPUTED_VALUE"""),"Fútbol")</f>
        <v>Fútbol</v>
      </c>
      <c r="O1351" s="7" t="str">
        <f>IFERROR(__xludf.DUMMYFUNCTION("""COMPUTED_VALUE"""),"1 a 2 veces por semana")</f>
        <v>1 a 2 veces por semana</v>
      </c>
      <c r="P1351" s="7"/>
      <c r="Q1351" s="7" t="str">
        <f>IFERROR(__xludf.DUMMYFUNCTION("""COMPUTED_VALUE"""),"SANCOR")</f>
        <v>SANCOR</v>
      </c>
      <c r="R1351" s="7"/>
      <c r="S1351" s="7"/>
    </row>
    <row r="1352">
      <c r="C1352" s="19">
        <f>IFERROR(__xludf.DUMMYFUNCTION("""COMPUTED_VALUE"""),45992.38548442129)</f>
        <v>45992.38548</v>
      </c>
      <c r="D1352" s="7" t="str">
        <f>IFERROR(__xludf.DUMMYFUNCTION("""COMPUTED_VALUE"""),"Francile")</f>
        <v>Francile</v>
      </c>
      <c r="E1352" s="7" t="str">
        <f>IFERROR(__xludf.DUMMYFUNCTION("""COMPUTED_VALUE"""),"Sergio")</f>
        <v>Sergio</v>
      </c>
      <c r="F1352" s="7" t="str">
        <f>IFERROR(__xludf.DUMMYFUNCTION("""COMPUTED_VALUE"""),"sergiofrancile@yahoo.com.ar")</f>
        <v>sergiofrancile@yahoo.com.ar</v>
      </c>
      <c r="G1352" s="20">
        <f>IFERROR(__xludf.DUMMYFUNCTION("""COMPUTED_VALUE"""),20344.0)</f>
        <v>20344</v>
      </c>
      <c r="H1352" s="7">
        <f>IFERROR(__xludf.DUMMYFUNCTION("""COMPUTED_VALUE"""),1.1972572E7)</f>
        <v>11972572</v>
      </c>
      <c r="I1352" s="7">
        <f>IFERROR(__xludf.DUMMYFUNCTION("""COMPUTED_VALUE"""),3.516014683E9)</f>
        <v>3516014683</v>
      </c>
      <c r="J1352" s="7" t="str">
        <f>IFERROR(__xludf.DUMMYFUNCTION("""COMPUTED_VALUE"""),"Recomendación")</f>
        <v>Recomendación</v>
      </c>
      <c r="K1352" s="7" t="str">
        <f>IFERROR(__xludf.DUMMYFUNCTION("""COMPUTED_VALUE"""),"Obra social")</f>
        <v>Obra social</v>
      </c>
      <c r="L1352" s="7"/>
      <c r="M1352" s="7" t="str">
        <f>IFERROR(__xludf.DUMMYFUNCTION("""COMPUTED_VALUE"""),"Si")</f>
        <v>Si</v>
      </c>
      <c r="N1352" s="7" t="str">
        <f>IFERROR(__xludf.DUMMYFUNCTION("""COMPUTED_VALUE"""),"Funcional")</f>
        <v>Funcional</v>
      </c>
      <c r="O1352" s="7" t="str">
        <f>IFERROR(__xludf.DUMMYFUNCTION("""COMPUTED_VALUE"""),"1 a 2 veces por semana")</f>
        <v>1 a 2 veces por semana</v>
      </c>
      <c r="P1352" s="7"/>
      <c r="Q1352" s="7" t="str">
        <f>IFERROR(__xludf.DUMMYFUNCTION("""COMPUTED_VALUE"""),"APROSS")</f>
        <v>APROSS</v>
      </c>
      <c r="R1352" s="7"/>
      <c r="S1352" s="7"/>
    </row>
    <row r="1353">
      <c r="C1353" s="19">
        <f>IFERROR(__xludf.DUMMYFUNCTION("""COMPUTED_VALUE"""),45992.48645626157)</f>
        <v>45992.48646</v>
      </c>
      <c r="D1353" s="7" t="str">
        <f>IFERROR(__xludf.DUMMYFUNCTION("""COMPUTED_VALUE"""),"Bonaldi")</f>
        <v>Bonaldi</v>
      </c>
      <c r="E1353" s="7" t="str">
        <f>IFERROR(__xludf.DUMMYFUNCTION("""COMPUTED_VALUE"""),"Fernando")</f>
        <v>Fernando</v>
      </c>
      <c r="F1353" s="7" t="str">
        <f>IFERROR(__xludf.DUMMYFUNCTION("""COMPUTED_VALUE"""),"nanobonaldi@hotmail.com")</f>
        <v>nanobonaldi@hotmail.com</v>
      </c>
      <c r="G1353" s="20">
        <f>IFERROR(__xludf.DUMMYFUNCTION("""COMPUTED_VALUE"""),27955.0)</f>
        <v>27955</v>
      </c>
      <c r="H1353" s="7">
        <f>IFERROR(__xludf.DUMMYFUNCTION("""COMPUTED_VALUE"""),2.5286386E7)</f>
        <v>25286386</v>
      </c>
      <c r="I1353" s="7">
        <f>IFERROR(__xludf.DUMMYFUNCTION("""COMPUTED_VALUE"""),3.515941171E9)</f>
        <v>3515941171</v>
      </c>
      <c r="J1353" s="7" t="str">
        <f>IFERROR(__xludf.DUMMYFUNCTION("""COMPUTED_VALUE"""),"Voy al gym Manantial")</f>
        <v>Voy al gym Manantial</v>
      </c>
      <c r="K1353" s="7" t="str">
        <f>IFERROR(__xludf.DUMMYFUNCTION("""COMPUTED_VALUE"""),"Obra social")</f>
        <v>Obra social</v>
      </c>
      <c r="L1353" s="7"/>
      <c r="M1353" s="7" t="str">
        <f>IFERROR(__xludf.DUMMYFUNCTION("""COMPUTED_VALUE"""),"Si")</f>
        <v>Si</v>
      </c>
      <c r="N1353" s="7" t="str">
        <f>IFERROR(__xludf.DUMMYFUNCTION("""COMPUTED_VALUE"""),"boxeo")</f>
        <v>boxeo</v>
      </c>
      <c r="O1353" s="7" t="str">
        <f>IFERROR(__xludf.DUMMYFUNCTION("""COMPUTED_VALUE"""),"3 a 5 veces por semana")</f>
        <v>3 a 5 veces por semana</v>
      </c>
      <c r="P1353" s="7"/>
      <c r="Q1353" s="7" t="str">
        <f>IFERROR(__xludf.DUMMYFUNCTION("""COMPUTED_VALUE"""),"CPCE")</f>
        <v>CPCE</v>
      </c>
      <c r="R1353" s="7"/>
      <c r="S1353" s="7"/>
    </row>
    <row r="1354">
      <c r="C1354" s="19">
        <f>IFERROR(__xludf.DUMMYFUNCTION("""COMPUTED_VALUE"""),45993.388170555554)</f>
        <v>45993.38817</v>
      </c>
      <c r="D1354" s="7" t="str">
        <f>IFERROR(__xludf.DUMMYFUNCTION("""COMPUTED_VALUE"""),"Caudana")</f>
        <v>Caudana</v>
      </c>
      <c r="E1354" s="7" t="str">
        <f>IFERROR(__xludf.DUMMYFUNCTION("""COMPUTED_VALUE"""),"Valentin ")</f>
        <v>Valentin </v>
      </c>
      <c r="F1354" s="7" t="str">
        <f>IFERROR(__xludf.DUMMYFUNCTION("""COMPUTED_VALUE"""),"valentincaudana19@gmail.com")</f>
        <v>valentincaudana19@gmail.com</v>
      </c>
      <c r="G1354" s="20">
        <f>IFERROR(__xludf.DUMMYFUNCTION("""COMPUTED_VALUE"""),36280.0)</f>
        <v>36280</v>
      </c>
      <c r="H1354" s="7">
        <f>IFERROR(__xludf.DUMMYFUNCTION("""COMPUTED_VALUE"""),4.1847446E7)</f>
        <v>41847446</v>
      </c>
      <c r="I1354" s="7">
        <f>IFERROR(__xludf.DUMMYFUNCTION("""COMPUTED_VALUE"""),4.591986572E9)</f>
        <v>4591986572</v>
      </c>
      <c r="J1354" s="7" t="str">
        <f>IFERROR(__xludf.DUMMYFUNCTION("""COMPUTED_VALUE"""),"Voy al gym Manantial")</f>
        <v>Voy al gym Manantial</v>
      </c>
      <c r="K1354" s="7" t="str">
        <f>IFERROR(__xludf.DUMMYFUNCTION("""COMPUTED_VALUE"""),"Particular")</f>
        <v>Particular</v>
      </c>
      <c r="L1354" s="7"/>
      <c r="M1354" s="7" t="str">
        <f>IFERROR(__xludf.DUMMYFUNCTION("""COMPUTED_VALUE"""),"Si")</f>
        <v>Si</v>
      </c>
      <c r="N1354" s="7" t="str">
        <f>IFERROR(__xludf.DUMMYFUNCTION("""COMPUTED_VALUE"""),"Básquet")</f>
        <v>Básquet</v>
      </c>
      <c r="O1354" s="7" t="str">
        <f>IFERROR(__xludf.DUMMYFUNCTION("""COMPUTED_VALUE"""),"6 a 7 veces por semana")</f>
        <v>6 a 7 veces por semana</v>
      </c>
      <c r="P1354" s="7"/>
      <c r="Q1354" s="7"/>
      <c r="R1354" s="7"/>
      <c r="S1354" s="7"/>
    </row>
    <row r="1355">
      <c r="C1355" s="19">
        <f>IFERROR(__xludf.DUMMYFUNCTION("""COMPUTED_VALUE"""),45993.47161439815)</f>
        <v>45993.47161</v>
      </c>
      <c r="D1355" s="7" t="str">
        <f>IFERROR(__xludf.DUMMYFUNCTION("""COMPUTED_VALUE"""),"Juárez ")</f>
        <v>Juárez </v>
      </c>
      <c r="E1355" s="7" t="str">
        <f>IFERROR(__xludf.DUMMYFUNCTION("""COMPUTED_VALUE"""),"Matías ")</f>
        <v>Matías </v>
      </c>
      <c r="F1355" s="7" t="str">
        <f>IFERROR(__xludf.DUMMYFUNCTION("""COMPUTED_VALUE"""),"matiasgjmatias@gmail.com")</f>
        <v>matiasgjmatias@gmail.com</v>
      </c>
      <c r="G1355" s="20">
        <f>IFERROR(__xludf.DUMMYFUNCTION("""COMPUTED_VALUE"""),35040.0)</f>
        <v>35040</v>
      </c>
      <c r="H1355" s="7">
        <f>IFERROR(__xludf.DUMMYFUNCTION("""COMPUTED_VALUE"""),4.0245709E7)</f>
        <v>40245709</v>
      </c>
      <c r="I1355" s="7">
        <f>IFERROR(__xludf.DUMMYFUNCTION("""COMPUTED_VALUE"""),3.512108497E9)</f>
        <v>3512108497</v>
      </c>
      <c r="J1355" s="7" t="str">
        <f>IFERROR(__xludf.DUMMYFUNCTION("""COMPUTED_VALUE"""),"Voy al gym Manantial")</f>
        <v>Voy al gym Manantial</v>
      </c>
      <c r="K1355" s="7" t="str">
        <f>IFERROR(__xludf.DUMMYFUNCTION("""COMPUTED_VALUE"""),"Obra social")</f>
        <v>Obra social</v>
      </c>
      <c r="L1355" s="7"/>
      <c r="M1355" s="7" t="str">
        <f>IFERROR(__xludf.DUMMYFUNCTION("""COMPUTED_VALUE"""),"Si")</f>
        <v>Si</v>
      </c>
      <c r="N1355" s="7" t="str">
        <f>IFERROR(__xludf.DUMMYFUNCTION("""COMPUTED_VALUE"""),"Gimnasio")</f>
        <v>Gimnasio</v>
      </c>
      <c r="O1355" s="7" t="str">
        <f>IFERROR(__xludf.DUMMYFUNCTION("""COMPUTED_VALUE"""),"3 a 5 veces por semana")</f>
        <v>3 a 5 veces por semana</v>
      </c>
      <c r="P1355" s="7"/>
      <c r="Q1355" s="7" t="str">
        <f>IFERROR(__xludf.DUMMYFUNCTION("""COMPUTED_VALUE"""),"SANCOR")</f>
        <v>SANCOR</v>
      </c>
      <c r="R1355" s="7"/>
      <c r="S1355" s="7"/>
    </row>
    <row r="1356">
      <c r="C1356" s="19">
        <f>IFERROR(__xludf.DUMMYFUNCTION("""COMPUTED_VALUE"""),45994.47267310185)</f>
        <v>45994.47267</v>
      </c>
      <c r="D1356" s="7" t="str">
        <f>IFERROR(__xludf.DUMMYFUNCTION("""COMPUTED_VALUE"""),"Sánchez ")</f>
        <v>Sánchez </v>
      </c>
      <c r="E1356" s="7" t="str">
        <f>IFERROR(__xludf.DUMMYFUNCTION("""COMPUTED_VALUE"""),"Jacqueline Marisol ")</f>
        <v>Jacqueline Marisol </v>
      </c>
      <c r="F1356" s="7" t="str">
        <f>IFERROR(__xludf.DUMMYFUNCTION("""COMPUTED_VALUE"""),"jacquesz176@gmail.com")</f>
        <v>jacquesz176@gmail.com</v>
      </c>
      <c r="G1356" s="20">
        <f>IFERROR(__xludf.DUMMYFUNCTION("""COMPUTED_VALUE"""),34242.0)</f>
        <v>34242</v>
      </c>
      <c r="H1356" s="7">
        <f>IFERROR(__xludf.DUMMYFUNCTION("""COMPUTED_VALUE"""),3.7821176E7)</f>
        <v>37821176</v>
      </c>
      <c r="I1356" s="7">
        <f>IFERROR(__xludf.DUMMYFUNCTION("""COMPUTED_VALUE"""),3.516693994E9)</f>
        <v>3516693994</v>
      </c>
      <c r="J1356" s="7" t="str">
        <f>IFERROR(__xludf.DUMMYFUNCTION("""COMPUTED_VALUE"""),"Google")</f>
        <v>Google</v>
      </c>
      <c r="K1356" s="7" t="str">
        <f>IFERROR(__xludf.DUMMYFUNCTION("""COMPUTED_VALUE"""),"Obra social")</f>
        <v>Obra social</v>
      </c>
      <c r="L1356" s="7"/>
      <c r="M1356" s="7" t="str">
        <f>IFERROR(__xludf.DUMMYFUNCTION("""COMPUTED_VALUE"""),"Si")</f>
        <v>Si</v>
      </c>
      <c r="N1356" s="7" t="str">
        <f>IFERROR(__xludf.DUMMYFUNCTION("""COMPUTED_VALUE"""),"Gimnasio")</f>
        <v>Gimnasio</v>
      </c>
      <c r="O1356" s="7" t="str">
        <f>IFERROR(__xludf.DUMMYFUNCTION("""COMPUTED_VALUE"""),"3 a 5 veces por semana")</f>
        <v>3 a 5 veces por semana</v>
      </c>
      <c r="P1356" s="7"/>
      <c r="Q1356" s="7" t="str">
        <f>IFERROR(__xludf.DUMMYFUNCTION("""COMPUTED_VALUE"""),"Swiss Medical ")</f>
        <v>Swiss Medical </v>
      </c>
      <c r="R1356" s="7"/>
      <c r="S1356" s="7"/>
    </row>
    <row r="1357">
      <c r="C1357" s="19">
        <f>IFERROR(__xludf.DUMMYFUNCTION("""COMPUTED_VALUE"""),45995.453349166666)</f>
        <v>45995.45335</v>
      </c>
      <c r="D1357" s="7" t="str">
        <f>IFERROR(__xludf.DUMMYFUNCTION("""COMPUTED_VALUE"""),"Parmentier ")</f>
        <v>Parmentier </v>
      </c>
      <c r="E1357" s="7" t="str">
        <f>IFERROR(__xludf.DUMMYFUNCTION("""COMPUTED_VALUE"""),"Hector")</f>
        <v>Hector</v>
      </c>
      <c r="F1357" s="7" t="str">
        <f>IFERROR(__xludf.DUMMYFUNCTION("""COMPUTED_VALUE"""),"claudiaparmentier2@gmail.com")</f>
        <v>claudiaparmentier2@gmail.com</v>
      </c>
      <c r="G1357" s="20">
        <f>IFERROR(__xludf.DUMMYFUNCTION("""COMPUTED_VALUE"""),19065.0)</f>
        <v>19065</v>
      </c>
      <c r="H1357" s="7">
        <f>IFERROR(__xludf.DUMMYFUNCTION("""COMPUTED_VALUE"""),1.0174335E7)</f>
        <v>10174335</v>
      </c>
      <c r="I1357" s="7">
        <f>IFERROR(__xludf.DUMMYFUNCTION("""COMPUTED_VALUE"""),3.513482139E9)</f>
        <v>3513482139</v>
      </c>
      <c r="J1357" s="7" t="str">
        <f>IFERROR(__xludf.DUMMYFUNCTION("""COMPUTED_VALUE"""),"Voy al gym Manantial")</f>
        <v>Voy al gym Manantial</v>
      </c>
      <c r="K1357" s="7" t="str">
        <f>IFERROR(__xludf.DUMMYFUNCTION("""COMPUTED_VALUE"""),"Particular")</f>
        <v>Particular</v>
      </c>
      <c r="L1357" s="7"/>
      <c r="M1357" s="7" t="str">
        <f>IFERROR(__xludf.DUMMYFUNCTION("""COMPUTED_VALUE"""),"No")</f>
        <v>No</v>
      </c>
      <c r="N1357" s="7"/>
      <c r="O1357" s="7"/>
      <c r="P1357" s="7"/>
      <c r="Q1357" s="7"/>
      <c r="R1357" s="7"/>
      <c r="S1357" s="7"/>
    </row>
    <row r="1358">
      <c r="C1358" s="19">
        <f>IFERROR(__xludf.DUMMYFUNCTION("""COMPUTED_VALUE"""),45995.69096425926)</f>
        <v>45995.69096</v>
      </c>
      <c r="D1358" s="7" t="str">
        <f>IFERROR(__xludf.DUMMYFUNCTION("""COMPUTED_VALUE"""),"Grecco")</f>
        <v>Grecco</v>
      </c>
      <c r="E1358" s="7" t="str">
        <f>IFERROR(__xludf.DUMMYFUNCTION("""COMPUTED_VALUE"""),"Cesar ")</f>
        <v>Cesar </v>
      </c>
      <c r="F1358" s="7"/>
      <c r="G1358" s="20">
        <f>IFERROR(__xludf.DUMMYFUNCTION("""COMPUTED_VALUE"""),24456.0)</f>
        <v>24456</v>
      </c>
      <c r="H1358" s="7">
        <f>IFERROR(__xludf.DUMMYFUNCTION("""COMPUTED_VALUE"""),1.7845675E7)</f>
        <v>17845675</v>
      </c>
      <c r="I1358" s="7">
        <f>IFERROR(__xludf.DUMMYFUNCTION("""COMPUTED_VALUE"""),3.513138566E9)</f>
        <v>3513138566</v>
      </c>
      <c r="J1358" s="7" t="str">
        <f>IFERROR(__xludf.DUMMYFUNCTION("""COMPUTED_VALUE"""),"Recomendación")</f>
        <v>Recomendación</v>
      </c>
      <c r="K1358" s="7" t="str">
        <f>IFERROR(__xludf.DUMMYFUNCTION("""COMPUTED_VALUE"""),"Particular")</f>
        <v>Particular</v>
      </c>
      <c r="L1358" s="7"/>
      <c r="M1358" s="7" t="str">
        <f>IFERROR(__xludf.DUMMYFUNCTION("""COMPUTED_VALUE"""),"No")</f>
        <v>No</v>
      </c>
      <c r="N1358" s="7"/>
      <c r="O1358" s="7"/>
      <c r="P1358" s="7"/>
      <c r="Q1358" s="7"/>
      <c r="R1358" s="7"/>
      <c r="S1358" s="7"/>
    </row>
    <row r="1359">
      <c r="C1359" s="19">
        <f>IFERROR(__xludf.DUMMYFUNCTION("""COMPUTED_VALUE"""),45995.8074453588)</f>
        <v>45995.80745</v>
      </c>
      <c r="D1359" s="7" t="str">
        <f>IFERROR(__xludf.DUMMYFUNCTION("""COMPUTED_VALUE"""),"Tejo")</f>
        <v>Tejo</v>
      </c>
      <c r="E1359" s="7" t="str">
        <f>IFERROR(__xludf.DUMMYFUNCTION("""COMPUTED_VALUE"""),"Matias")</f>
        <v>Matias</v>
      </c>
      <c r="F1359" s="7" t="str">
        <f>IFERROR(__xludf.DUMMYFUNCTION("""COMPUTED_VALUE"""),"mermalbran@hotmail.com")</f>
        <v>mermalbran@hotmail.com</v>
      </c>
      <c r="G1359" s="20">
        <f>IFERROR(__xludf.DUMMYFUNCTION("""COMPUTED_VALUE"""),41520.0)</f>
        <v>41520</v>
      </c>
      <c r="H1359" s="7">
        <f>IFERROR(__xludf.DUMMYFUNCTION("""COMPUTED_VALUE"""),5.3264049E7)</f>
        <v>53264049</v>
      </c>
      <c r="I1359" s="7">
        <f>IFERROR(__xludf.DUMMYFUNCTION("""COMPUTED_VALUE"""),3.515941182E9)</f>
        <v>3515941182</v>
      </c>
      <c r="J1359" s="7" t="str">
        <f>IFERROR(__xludf.DUMMYFUNCTION("""COMPUTED_VALUE"""),"Google")</f>
        <v>Google</v>
      </c>
      <c r="K1359" s="7" t="str">
        <f>IFERROR(__xludf.DUMMYFUNCTION("""COMPUTED_VALUE"""),"Obra social")</f>
        <v>Obra social</v>
      </c>
      <c r="L1359" s="7"/>
      <c r="M1359" s="7" t="str">
        <f>IFERROR(__xludf.DUMMYFUNCTION("""COMPUTED_VALUE"""),"No")</f>
        <v>No</v>
      </c>
      <c r="N1359" s="7"/>
      <c r="O1359" s="7"/>
      <c r="P1359" s="7"/>
      <c r="Q1359" s="7" t="str">
        <f>IFERROR(__xludf.DUMMYFUNCTION("""COMPUTED_VALUE"""),"PREVENCIÓN")</f>
        <v>PREVENCIÓN</v>
      </c>
      <c r="R1359" s="7"/>
      <c r="S1359" s="7"/>
    </row>
    <row r="1360">
      <c r="C1360" s="19">
        <f>IFERROR(__xludf.DUMMYFUNCTION("""COMPUTED_VALUE"""),45996.44645564815)</f>
        <v>45996.44646</v>
      </c>
      <c r="D1360" s="7" t="str">
        <f>IFERROR(__xludf.DUMMYFUNCTION("""COMPUTED_VALUE"""),"Toledo")</f>
        <v>Toledo</v>
      </c>
      <c r="E1360" s="7" t="str">
        <f>IFERROR(__xludf.DUMMYFUNCTION("""COMPUTED_VALUE"""),"Brenda Alexandra ")</f>
        <v>Brenda Alexandra </v>
      </c>
      <c r="F1360" s="7" t="str">
        <f>IFERROR(__xludf.DUMMYFUNCTION("""COMPUTED_VALUE"""),"alexandratoledook@gmail.com")</f>
        <v>alexandratoledook@gmail.com</v>
      </c>
      <c r="G1360" s="20">
        <f>IFERROR(__xludf.DUMMYFUNCTION("""COMPUTED_VALUE"""),34507.0)</f>
        <v>34507</v>
      </c>
      <c r="H1360" s="7">
        <f>IFERROR(__xludf.DUMMYFUNCTION("""COMPUTED_VALUE"""),3.8332076E7)</f>
        <v>38332076</v>
      </c>
      <c r="I1360" s="7">
        <f>IFERROR(__xludf.DUMMYFUNCTION("""COMPUTED_VALUE"""),3.513064087E9)</f>
        <v>3513064087</v>
      </c>
      <c r="J1360" s="7" t="str">
        <f>IFERROR(__xludf.DUMMYFUNCTION("""COMPUTED_VALUE"""),"Google")</f>
        <v>Google</v>
      </c>
      <c r="K1360" s="7" t="str">
        <f>IFERROR(__xludf.DUMMYFUNCTION("""COMPUTED_VALUE"""),"Obra social")</f>
        <v>Obra social</v>
      </c>
      <c r="L1360" s="7"/>
      <c r="M1360" s="7" t="str">
        <f>IFERROR(__xludf.DUMMYFUNCTION("""COMPUTED_VALUE"""),"Si")</f>
        <v>Si</v>
      </c>
      <c r="N1360" s="7" t="str">
        <f>IFERROR(__xludf.DUMMYFUNCTION("""COMPUTED_VALUE"""),"Gimnasio")</f>
        <v>Gimnasio</v>
      </c>
      <c r="O1360" s="7" t="str">
        <f>IFERROR(__xludf.DUMMYFUNCTION("""COMPUTED_VALUE"""),"3 a 5 veces por semana")</f>
        <v>3 a 5 veces por semana</v>
      </c>
      <c r="P1360" s="7"/>
      <c r="Q1360" s="7" t="str">
        <f>IFERROR(__xludf.DUMMYFUNCTION("""COMPUTED_VALUE"""),"APROSS")</f>
        <v>APROSS</v>
      </c>
      <c r="R1360" s="7"/>
      <c r="S1360" s="7"/>
    </row>
    <row r="1361">
      <c r="C1361" s="19">
        <f>IFERROR(__xludf.DUMMYFUNCTION("""COMPUTED_VALUE"""),45996.455979583334)</f>
        <v>45996.45598</v>
      </c>
      <c r="D1361" s="7" t="str">
        <f>IFERROR(__xludf.DUMMYFUNCTION("""COMPUTED_VALUE"""),"Demarco")</f>
        <v>Demarco</v>
      </c>
      <c r="E1361" s="7" t="str">
        <f>IFERROR(__xludf.DUMMYFUNCTION("""COMPUTED_VALUE"""),"Pablo")</f>
        <v>Pablo</v>
      </c>
      <c r="F1361" s="7" t="str">
        <f>IFERROR(__xludf.DUMMYFUNCTION("""COMPUTED_VALUE"""),"pablodemarco1986@hotmail.com")</f>
        <v>pablodemarco1986@hotmail.com</v>
      </c>
      <c r="G1361" s="20">
        <f>IFERROR(__xludf.DUMMYFUNCTION("""COMPUTED_VALUE"""),31506.0)</f>
        <v>31506</v>
      </c>
      <c r="H1361" s="7">
        <f>IFERROR(__xludf.DUMMYFUNCTION("""COMPUTED_VALUE"""),3.2239186E7)</f>
        <v>32239186</v>
      </c>
      <c r="I1361" s="7">
        <f>IFERROR(__xludf.DUMMYFUNCTION("""COMPUTED_VALUE"""),3.515573241E9)</f>
        <v>3515573241</v>
      </c>
      <c r="J1361" s="7" t="str">
        <f>IFERROR(__xludf.DUMMYFUNCTION("""COMPUTED_VALUE"""),"Recomendación")</f>
        <v>Recomendación</v>
      </c>
      <c r="K1361" s="7" t="str">
        <f>IFERROR(__xludf.DUMMYFUNCTION("""COMPUTED_VALUE"""),"Obra social")</f>
        <v>Obra social</v>
      </c>
      <c r="L1361" s="7"/>
      <c r="M1361" s="7" t="str">
        <f>IFERROR(__xludf.DUMMYFUNCTION("""COMPUTED_VALUE"""),"Si")</f>
        <v>Si</v>
      </c>
      <c r="N1361" s="7" t="str">
        <f>IFERROR(__xludf.DUMMYFUNCTION("""COMPUTED_VALUE"""),"Gimnasio")</f>
        <v>Gimnasio</v>
      </c>
      <c r="O1361" s="7" t="str">
        <f>IFERROR(__xludf.DUMMYFUNCTION("""COMPUTED_VALUE"""),"3 a 5 veces por semana")</f>
        <v>3 a 5 veces por semana</v>
      </c>
      <c r="P1361" s="7"/>
      <c r="Q1361" s="7" t="str">
        <f>IFERROR(__xludf.DUMMYFUNCTION("""COMPUTED_VALUE"""),"PREVENCIÓN")</f>
        <v>PREVENCIÓN</v>
      </c>
      <c r="R1361" s="7"/>
      <c r="S1361" s="7"/>
    </row>
    <row r="1362">
      <c r="C1362" s="19">
        <f>IFERROR(__xludf.DUMMYFUNCTION("""COMPUTED_VALUE"""),46000.51494944445)</f>
        <v>46000.51495</v>
      </c>
      <c r="D1362" s="7" t="str">
        <f>IFERROR(__xludf.DUMMYFUNCTION("""COMPUTED_VALUE"""),"Maldonado")</f>
        <v>Maldonado</v>
      </c>
      <c r="E1362" s="7" t="str">
        <f>IFERROR(__xludf.DUMMYFUNCTION("""COMPUTED_VALUE"""),"Luli")</f>
        <v>Luli</v>
      </c>
      <c r="F1362" s="7" t="str">
        <f>IFERROR(__xludf.DUMMYFUNCTION("""COMPUTED_VALUE"""),"florencialulymaldo@gmail.com")</f>
        <v>florencialulymaldo@gmail.com</v>
      </c>
      <c r="G1362" s="20">
        <f>IFERROR(__xludf.DUMMYFUNCTION("""COMPUTED_VALUE"""),37501.0)</f>
        <v>37501</v>
      </c>
      <c r="H1362" s="7">
        <f>IFERROR(__xludf.DUMMYFUNCTION("""COMPUTED_VALUE"""),4.4274951E7)</f>
        <v>44274951</v>
      </c>
      <c r="I1362" s="7">
        <f>IFERROR(__xludf.DUMMYFUNCTION("""COMPUTED_VALUE"""),3.516888396E9)</f>
        <v>3516888396</v>
      </c>
      <c r="J1362" s="7" t="str">
        <f>IFERROR(__xludf.DUMMYFUNCTION("""COMPUTED_VALUE"""),"Voy al gym Manantial")</f>
        <v>Voy al gym Manantial</v>
      </c>
      <c r="K1362" s="7" t="str">
        <f>IFERROR(__xludf.DUMMYFUNCTION("""COMPUTED_VALUE"""),"Particular")</f>
        <v>Particular</v>
      </c>
      <c r="L1362" s="7"/>
      <c r="M1362" s="7" t="str">
        <f>IFERROR(__xludf.DUMMYFUNCTION("""COMPUTED_VALUE"""),"Si")</f>
        <v>Si</v>
      </c>
      <c r="N1362" s="7" t="str">
        <f>IFERROR(__xludf.DUMMYFUNCTION("""COMPUTED_VALUE"""),"Gimnasio + Running")</f>
        <v>Gimnasio + Running</v>
      </c>
      <c r="O1362" s="7" t="str">
        <f>IFERROR(__xludf.DUMMYFUNCTION("""COMPUTED_VALUE"""),"6 a 7 veces por semana")</f>
        <v>6 a 7 veces por semana</v>
      </c>
      <c r="P1362" s="7"/>
      <c r="Q1362" s="7"/>
      <c r="R1362" s="7"/>
      <c r="S1362" s="7"/>
    </row>
    <row r="1363">
      <c r="C1363" s="19">
        <f>IFERROR(__xludf.DUMMYFUNCTION("""COMPUTED_VALUE"""),46000.70059337963)</f>
        <v>46000.70059</v>
      </c>
      <c r="D1363" s="7" t="str">
        <f>IFERROR(__xludf.DUMMYFUNCTION("""COMPUTED_VALUE"""),"LEMA")</f>
        <v>LEMA</v>
      </c>
      <c r="E1363" s="7" t="str">
        <f>IFERROR(__xludf.DUMMYFUNCTION("""COMPUTED_VALUE"""),"Juan Pedro ")</f>
        <v>Juan Pedro </v>
      </c>
      <c r="F1363" s="7" t="str">
        <f>IFERROR(__xludf.DUMMYFUNCTION("""COMPUTED_VALUE"""),"jplema2009@gmail.com")</f>
        <v>jplema2009@gmail.com</v>
      </c>
      <c r="G1363" s="20">
        <f>IFERROR(__xludf.DUMMYFUNCTION("""COMPUTED_VALUE"""),39963.0)</f>
        <v>39963</v>
      </c>
      <c r="H1363" s="7">
        <f>IFERROR(__xludf.DUMMYFUNCTION("""COMPUTED_VALUE"""),4.9439276E7)</f>
        <v>49439276</v>
      </c>
      <c r="I1363" s="7">
        <f>IFERROR(__xludf.DUMMYFUNCTION("""COMPUTED_VALUE"""),3.513867695E9)</f>
        <v>3513867695</v>
      </c>
      <c r="J1363" s="7" t="str">
        <f>IFERROR(__xludf.DUMMYFUNCTION("""COMPUTED_VALUE"""),"Cartilla Obra Social")</f>
        <v>Cartilla Obra Social</v>
      </c>
      <c r="K1363" s="7" t="str">
        <f>IFERROR(__xludf.DUMMYFUNCTION("""COMPUTED_VALUE"""),"Obra social")</f>
        <v>Obra social</v>
      </c>
      <c r="L1363" s="7"/>
      <c r="M1363" s="7" t="str">
        <f>IFERROR(__xludf.DUMMYFUNCTION("""COMPUTED_VALUE"""),"Si")</f>
        <v>Si</v>
      </c>
      <c r="N1363" s="7" t="str">
        <f>IFERROR(__xludf.DUMMYFUNCTION("""COMPUTED_VALUE"""),"Rugby")</f>
        <v>Rugby</v>
      </c>
      <c r="O1363" s="7" t="str">
        <f>IFERROR(__xludf.DUMMYFUNCTION("""COMPUTED_VALUE"""),"6 a 7 veces por semana")</f>
        <v>6 a 7 veces por semana</v>
      </c>
      <c r="P1363" s="7"/>
      <c r="Q1363" s="7" t="str">
        <f>IFERROR(__xludf.DUMMYFUNCTION("""COMPUTED_VALUE"""),"OCEC")</f>
        <v>OCEC</v>
      </c>
      <c r="R1363" s="7"/>
      <c r="S1363" s="7"/>
    </row>
    <row r="1364">
      <c r="C1364" s="19">
        <f>IFERROR(__xludf.DUMMYFUNCTION("""COMPUTED_VALUE"""),46000.72095768519)</f>
        <v>46000.72096</v>
      </c>
      <c r="D1364" s="7" t="str">
        <f>IFERROR(__xludf.DUMMYFUNCTION("""COMPUTED_VALUE"""),"Tissera olivera ")</f>
        <v>Tissera olivera </v>
      </c>
      <c r="E1364" s="7" t="str">
        <f>IFERROR(__xludf.DUMMYFUNCTION("""COMPUTED_VALUE"""),"Maximiliano ")</f>
        <v>Maximiliano </v>
      </c>
      <c r="F1364" s="7" t="str">
        <f>IFERROR(__xludf.DUMMYFUNCTION("""COMPUTED_VALUE"""),"Sitera1414@gmail.com")</f>
        <v>Sitera1414@gmail.com</v>
      </c>
      <c r="G1364" s="20">
        <f>IFERROR(__xludf.DUMMYFUNCTION("""COMPUTED_VALUE"""),33799.0)</f>
        <v>33799</v>
      </c>
      <c r="H1364" s="7">
        <f>IFERROR(__xludf.DUMMYFUNCTION("""COMPUTED_VALUE"""),3.8106084E7)</f>
        <v>38106084</v>
      </c>
      <c r="I1364" s="7">
        <f>IFERROR(__xludf.DUMMYFUNCTION("""COMPUTED_VALUE"""),3.513490859E9)</f>
        <v>3513490859</v>
      </c>
      <c r="J1364" s="7" t="str">
        <f>IFERROR(__xludf.DUMMYFUNCTION("""COMPUTED_VALUE"""),"Google")</f>
        <v>Google</v>
      </c>
      <c r="K1364" s="7" t="str">
        <f>IFERROR(__xludf.DUMMYFUNCTION("""COMPUTED_VALUE"""),"Particular")</f>
        <v>Particular</v>
      </c>
      <c r="L1364" s="7"/>
      <c r="M1364" s="7" t="str">
        <f>IFERROR(__xludf.DUMMYFUNCTION("""COMPUTED_VALUE"""),"No")</f>
        <v>No</v>
      </c>
      <c r="N1364" s="7"/>
      <c r="O1364" s="7"/>
      <c r="P1364" s="7"/>
      <c r="Q1364" s="7"/>
      <c r="R1364" s="7"/>
      <c r="S1364" s="7"/>
    </row>
    <row r="1365">
      <c r="C1365" s="19">
        <f>IFERROR(__xludf.DUMMYFUNCTION("""COMPUTED_VALUE"""),46000.75605439815)</f>
        <v>46000.75605</v>
      </c>
      <c r="D1365" s="7" t="str">
        <f>IFERROR(__xludf.DUMMYFUNCTION("""COMPUTED_VALUE"""),"Frangi")</f>
        <v>Frangi</v>
      </c>
      <c r="E1365" s="7" t="str">
        <f>IFERROR(__xludf.DUMMYFUNCTION("""COMPUTED_VALUE"""),"Sol Maria")</f>
        <v>Sol Maria</v>
      </c>
      <c r="F1365" s="7" t="str">
        <f>IFERROR(__xludf.DUMMYFUNCTION("""COMPUTED_VALUE"""),"solfrangi@hotmail.com")</f>
        <v>solfrangi@hotmail.com</v>
      </c>
      <c r="G1365" s="20">
        <f>IFERROR(__xludf.DUMMYFUNCTION("""COMPUTED_VALUE"""),34989.0)</f>
        <v>34989</v>
      </c>
      <c r="H1365" s="7">
        <f>IFERROR(__xludf.DUMMYFUNCTION("""COMPUTED_VALUE"""),3.8768976E7)</f>
        <v>38768976</v>
      </c>
      <c r="I1365" s="7">
        <f>IFERROR(__xludf.DUMMYFUNCTION("""COMPUTED_VALUE"""),3.43645495E9)</f>
        <v>3436454950</v>
      </c>
      <c r="J1365" s="7" t="str">
        <f>IFERROR(__xludf.DUMMYFUNCTION("""COMPUTED_VALUE"""),"Recomendación")</f>
        <v>Recomendación</v>
      </c>
      <c r="K1365" s="7" t="str">
        <f>IFERROR(__xludf.DUMMYFUNCTION("""COMPUTED_VALUE"""),"Particular")</f>
        <v>Particular</v>
      </c>
      <c r="L1365" s="7"/>
      <c r="M1365" s="7" t="str">
        <f>IFERROR(__xludf.DUMMYFUNCTION("""COMPUTED_VALUE"""),"Si")</f>
        <v>Si</v>
      </c>
      <c r="N1365" s="7" t="str">
        <f>IFERROR(__xludf.DUMMYFUNCTION("""COMPUTED_VALUE"""),"Gimnasio")</f>
        <v>Gimnasio</v>
      </c>
      <c r="O1365" s="7" t="str">
        <f>IFERROR(__xludf.DUMMYFUNCTION("""COMPUTED_VALUE"""),"3 a 5 veces por semana")</f>
        <v>3 a 5 veces por semana</v>
      </c>
      <c r="P1365" s="7"/>
      <c r="Q1365" s="7"/>
      <c r="R1365" s="7"/>
      <c r="S1365" s="7"/>
    </row>
    <row r="1366">
      <c r="C1366" s="19">
        <f>IFERROR(__xludf.DUMMYFUNCTION("""COMPUTED_VALUE"""),46000.7573065162)</f>
        <v>46000.75731</v>
      </c>
      <c r="D1366" s="7" t="str">
        <f>IFERROR(__xludf.DUMMYFUNCTION("""COMPUTED_VALUE"""),"Ferreyra")</f>
        <v>Ferreyra</v>
      </c>
      <c r="E1366" s="7" t="str">
        <f>IFERROR(__xludf.DUMMYFUNCTION("""COMPUTED_VALUE"""),"Tomas")</f>
        <v>Tomas</v>
      </c>
      <c r="F1366" s="7" t="str">
        <f>IFERROR(__xludf.DUMMYFUNCTION("""COMPUTED_VALUE"""),"tomasferreyra93@gmail.com")</f>
        <v>tomasferreyra93@gmail.com</v>
      </c>
      <c r="G1366" s="20">
        <f>IFERROR(__xludf.DUMMYFUNCTION("""COMPUTED_VALUE"""),36842.0)</f>
        <v>36842</v>
      </c>
      <c r="H1366" s="7">
        <f>IFERROR(__xludf.DUMMYFUNCTION("""COMPUTED_VALUE"""),4.3134802E7)</f>
        <v>43134802</v>
      </c>
      <c r="I1366" s="7">
        <f>IFERROR(__xludf.DUMMYFUNCTION("""COMPUTED_VALUE"""),3.571327775E9)</f>
        <v>3571327775</v>
      </c>
      <c r="J1366" s="7" t="str">
        <f>IFERROR(__xludf.DUMMYFUNCTION("""COMPUTED_VALUE"""),"Recomendación")</f>
        <v>Recomendación</v>
      </c>
      <c r="K1366" s="7" t="str">
        <f>IFERROR(__xludf.DUMMYFUNCTION("""COMPUTED_VALUE"""),"Obra social")</f>
        <v>Obra social</v>
      </c>
      <c r="L1366" s="7"/>
      <c r="M1366" s="7" t="str">
        <f>IFERROR(__xludf.DUMMYFUNCTION("""COMPUTED_VALUE"""),"Si")</f>
        <v>Si</v>
      </c>
      <c r="N1366" s="7" t="str">
        <f>IFERROR(__xludf.DUMMYFUNCTION("""COMPUTED_VALUE"""),"BMX")</f>
        <v>BMX</v>
      </c>
      <c r="O1366" s="7" t="str">
        <f>IFERROR(__xludf.DUMMYFUNCTION("""COMPUTED_VALUE"""),"3 a 5 veces por semana")</f>
        <v>3 a 5 veces por semana</v>
      </c>
      <c r="P1366" s="7"/>
      <c r="Q1366" s="7" t="str">
        <f>IFERROR(__xludf.DUMMYFUNCTION("""COMPUTED_VALUE"""),"APROSS")</f>
        <v>APROSS</v>
      </c>
      <c r="R1366" s="7"/>
      <c r="S1366" s="7"/>
    </row>
    <row r="1367">
      <c r="C1367" s="19">
        <f>IFERROR(__xludf.DUMMYFUNCTION("""COMPUTED_VALUE"""),46002.67977726852)</f>
        <v>46002.67978</v>
      </c>
      <c r="D1367" s="7" t="str">
        <f>IFERROR(__xludf.DUMMYFUNCTION("""COMPUTED_VALUE"""),"BRIZIO")</f>
        <v>BRIZIO</v>
      </c>
      <c r="E1367" s="7" t="str">
        <f>IFERROR(__xludf.DUMMYFUNCTION("""COMPUTED_VALUE"""),"MARCELO")</f>
        <v>MARCELO</v>
      </c>
      <c r="F1367" s="7" t="str">
        <f>IFERROR(__xludf.DUMMYFUNCTION("""COMPUTED_VALUE"""),"mbrizio2005@yahoo.com.ar")</f>
        <v>mbrizio2005@yahoo.com.ar</v>
      </c>
      <c r="G1367" s="20">
        <f>IFERROR(__xludf.DUMMYFUNCTION("""COMPUTED_VALUE"""),27129.0)</f>
        <v>27129</v>
      </c>
      <c r="H1367" s="21">
        <f>IFERROR(__xludf.DUMMYFUNCTION("""COMPUTED_VALUE"""),2.3909096E7)</f>
        <v>23909096</v>
      </c>
      <c r="I1367" s="7">
        <f>IFERROR(__xludf.DUMMYFUNCTION("""COMPUTED_VALUE"""),3.515919629E9)</f>
        <v>3515919629</v>
      </c>
      <c r="J1367" s="7" t="str">
        <f>IFERROR(__xludf.DUMMYFUNCTION("""COMPUTED_VALUE"""),"Google")</f>
        <v>Google</v>
      </c>
      <c r="K1367" s="7" t="str">
        <f>IFERROR(__xludf.DUMMYFUNCTION("""COMPUTED_VALUE"""),"Obra social")</f>
        <v>Obra social</v>
      </c>
      <c r="L1367" s="7"/>
      <c r="M1367" s="7" t="str">
        <f>IFERROR(__xludf.DUMMYFUNCTION("""COMPUTED_VALUE"""),"Si")</f>
        <v>Si</v>
      </c>
      <c r="N1367" s="7" t="str">
        <f>IFERROR(__xludf.DUMMYFUNCTION("""COMPUTED_VALUE"""),"Rally")</f>
        <v>Rally</v>
      </c>
      <c r="O1367" s="7" t="str">
        <f>IFERROR(__xludf.DUMMYFUNCTION("""COMPUTED_VALUE"""),"3 a 5 veces por semana")</f>
        <v>3 a 5 veces por semana</v>
      </c>
      <c r="P1367" s="7"/>
      <c r="Q1367" s="7" t="str">
        <f>IFERROR(__xludf.DUMMYFUNCTION("""COMPUTED_VALUE"""),"PREVENCIÓN")</f>
        <v>PREVENCIÓN</v>
      </c>
      <c r="R1367" s="7"/>
      <c r="S1367" s="7"/>
    </row>
    <row r="1368">
      <c r="C1368" s="19">
        <f>IFERROR(__xludf.DUMMYFUNCTION("""COMPUTED_VALUE"""),46002.72460984954)</f>
        <v>46002.72461</v>
      </c>
      <c r="D1368" s="7" t="str">
        <f>IFERROR(__xludf.DUMMYFUNCTION("""COMPUTED_VALUE"""),"THEAUX")</f>
        <v>THEAUX</v>
      </c>
      <c r="E1368" s="7" t="str">
        <f>IFERROR(__xludf.DUMMYFUNCTION("""COMPUTED_VALUE"""),"Jonathan")</f>
        <v>Jonathan</v>
      </c>
      <c r="F1368" s="7" t="str">
        <f>IFERROR(__xludf.DUMMYFUNCTION("""COMPUTED_VALUE"""),"jn.theaux@gmail.com")</f>
        <v>jn.theaux@gmail.com</v>
      </c>
      <c r="G1368" s="20">
        <f>IFERROR(__xludf.DUMMYFUNCTION("""COMPUTED_VALUE"""),33509.0)</f>
        <v>33509</v>
      </c>
      <c r="H1368" s="7">
        <f>IFERROR(__xludf.DUMMYFUNCTION("""COMPUTED_VALUE"""),1.9070296E7)</f>
        <v>19070296</v>
      </c>
      <c r="I1368" s="7">
        <f>IFERROR(__xludf.DUMMYFUNCTION("""COMPUTED_VALUE"""),3.513845132E9)</f>
        <v>3513845132</v>
      </c>
      <c r="J1368" s="7" t="str">
        <f>IFERROR(__xludf.DUMMYFUNCTION("""COMPUTED_VALUE"""),"Voy al gym Manantial")</f>
        <v>Voy al gym Manantial</v>
      </c>
      <c r="K1368" s="7" t="str">
        <f>IFERROR(__xludf.DUMMYFUNCTION("""COMPUTED_VALUE"""),"Obra social")</f>
        <v>Obra social</v>
      </c>
      <c r="L1368" s="7"/>
      <c r="M1368" s="7" t="str">
        <f>IFERROR(__xludf.DUMMYFUNCTION("""COMPUTED_VALUE"""),"Si")</f>
        <v>Si</v>
      </c>
      <c r="N1368" s="7" t="str">
        <f>IFERROR(__xludf.DUMMYFUNCTION("""COMPUTED_VALUE"""),"Gimnasio")</f>
        <v>Gimnasio</v>
      </c>
      <c r="O1368" s="7" t="str">
        <f>IFERROR(__xludf.DUMMYFUNCTION("""COMPUTED_VALUE"""),"3 a 5 veces por semana")</f>
        <v>3 a 5 veces por semana</v>
      </c>
      <c r="P1368" s="7"/>
      <c r="Q1368" s="7" t="str">
        <f>IFERROR(__xludf.DUMMYFUNCTION("""COMPUTED_VALUE"""),"SANCOR")</f>
        <v>SANCOR</v>
      </c>
      <c r="R1368" s="7"/>
      <c r="S1368" s="7"/>
    </row>
    <row r="1369">
      <c r="C1369" s="19">
        <f>IFERROR(__xludf.DUMMYFUNCTION("""COMPUTED_VALUE"""),46003.46015486111)</f>
        <v>46003.46015</v>
      </c>
      <c r="D1369" s="7" t="str">
        <f>IFERROR(__xludf.DUMMYFUNCTION("""COMPUTED_VALUE"""),"Maldonado ")</f>
        <v>Maldonado </v>
      </c>
      <c r="E1369" s="7" t="str">
        <f>IFERROR(__xludf.DUMMYFUNCTION("""COMPUTED_VALUE"""),"Mateo")</f>
        <v>Mateo</v>
      </c>
      <c r="F1369" s="7" t="str">
        <f>IFERROR(__xludf.DUMMYFUNCTION("""COMPUTED_VALUE"""),"Mateomald1010@gmail.com")</f>
        <v>Mateomald1010@gmail.com</v>
      </c>
      <c r="G1369" s="20">
        <f>IFERROR(__xludf.DUMMYFUNCTION("""COMPUTED_VALUE"""),38581.0)</f>
        <v>38581</v>
      </c>
      <c r="H1369" s="7">
        <f>IFERROR(__xludf.DUMMYFUNCTION("""COMPUTED_VALUE"""),4.6505649E7)</f>
        <v>46505649</v>
      </c>
      <c r="I1369" s="7">
        <f>IFERROR(__xludf.DUMMYFUNCTION("""COMPUTED_VALUE"""),3.512623147E9)</f>
        <v>3512623147</v>
      </c>
      <c r="J1369" s="7" t="str">
        <f>IFERROR(__xludf.DUMMYFUNCTION("""COMPUTED_VALUE"""),"Recomendación")</f>
        <v>Recomendación</v>
      </c>
      <c r="K1369" s="7" t="str">
        <f>IFERROR(__xludf.DUMMYFUNCTION("""COMPUTED_VALUE"""),"Particular")</f>
        <v>Particular</v>
      </c>
      <c r="L1369" s="7"/>
      <c r="M1369" s="7" t="str">
        <f>IFERROR(__xludf.DUMMYFUNCTION("""COMPUTED_VALUE"""),"Si")</f>
        <v>Si</v>
      </c>
      <c r="N1369" s="7" t="str">
        <f>IFERROR(__xludf.DUMMYFUNCTION("""COMPUTED_VALUE"""),"Fútbol")</f>
        <v>Fútbol</v>
      </c>
      <c r="O1369" s="7" t="str">
        <f>IFERROR(__xludf.DUMMYFUNCTION("""COMPUTED_VALUE"""),"6 a 7 veces por semana")</f>
        <v>6 a 7 veces por semana</v>
      </c>
      <c r="P1369" s="7"/>
      <c r="Q1369" s="7"/>
      <c r="R1369" s="7"/>
      <c r="S1369" s="7"/>
    </row>
    <row r="1370">
      <c r="C1370" s="19">
        <f>IFERROR(__xludf.DUMMYFUNCTION("""COMPUTED_VALUE"""),46006.472018506945)</f>
        <v>46006.47202</v>
      </c>
      <c r="D1370" s="7" t="str">
        <f>IFERROR(__xludf.DUMMYFUNCTION("""COMPUTED_VALUE"""),"Calvet")</f>
        <v>Calvet</v>
      </c>
      <c r="E1370" s="7" t="str">
        <f>IFERROR(__xludf.DUMMYFUNCTION("""COMPUTED_VALUE"""),"Mariel")</f>
        <v>Mariel</v>
      </c>
      <c r="F1370" s="7" t="str">
        <f>IFERROR(__xludf.DUMMYFUNCTION("""COMPUTED_VALUE"""),"marielcalvet@gmail.com")</f>
        <v>marielcalvet@gmail.com</v>
      </c>
      <c r="G1370" s="20">
        <f>IFERROR(__xludf.DUMMYFUNCTION("""COMPUTED_VALUE"""),30541.0)</f>
        <v>30541</v>
      </c>
      <c r="H1370" s="7">
        <f>IFERROR(__xludf.DUMMYFUNCTION("""COMPUTED_VALUE"""),3.0407071E7)</f>
        <v>30407071</v>
      </c>
      <c r="I1370" s="7">
        <f>IFERROR(__xludf.DUMMYFUNCTION("""COMPUTED_VALUE"""),3.516063713E9)</f>
        <v>3516063713</v>
      </c>
      <c r="J1370" s="7" t="str">
        <f>IFERROR(__xludf.DUMMYFUNCTION("""COMPUTED_VALUE"""),"Cartilla Obra Social")</f>
        <v>Cartilla Obra Social</v>
      </c>
      <c r="K1370" s="7" t="str">
        <f>IFERROR(__xludf.DUMMYFUNCTION("""COMPUTED_VALUE"""),"Obra social")</f>
        <v>Obra social</v>
      </c>
      <c r="L1370" s="7"/>
      <c r="M1370" s="7" t="str">
        <f>IFERROR(__xludf.DUMMYFUNCTION("""COMPUTED_VALUE"""),"Si")</f>
        <v>Si</v>
      </c>
      <c r="N1370" s="7" t="str">
        <f>IFERROR(__xludf.DUMMYFUNCTION("""COMPUTED_VALUE"""),"Baile")</f>
        <v>Baile</v>
      </c>
      <c r="O1370" s="7" t="str">
        <f>IFERROR(__xludf.DUMMYFUNCTION("""COMPUTED_VALUE"""),"1 a 2 veces por semana")</f>
        <v>1 a 2 veces por semana</v>
      </c>
      <c r="P1370" s="7"/>
      <c r="Q1370" s="7" t="str">
        <f>IFERROR(__xludf.DUMMYFUNCTION("""COMPUTED_VALUE"""),"PREVENCIÓN")</f>
        <v>PREVENCIÓN</v>
      </c>
      <c r="R1370" s="7"/>
      <c r="S1370" s="7"/>
    </row>
    <row r="1371">
      <c r="C1371" s="19">
        <f>IFERROR(__xludf.DUMMYFUNCTION("""COMPUTED_VALUE"""),46006.814658958334)</f>
        <v>46006.81466</v>
      </c>
      <c r="D1371" s="7" t="str">
        <f>IFERROR(__xludf.DUMMYFUNCTION("""COMPUTED_VALUE"""),"Battistelli")</f>
        <v>Battistelli</v>
      </c>
      <c r="E1371" s="7" t="str">
        <f>IFERROR(__xludf.DUMMYFUNCTION("""COMPUTED_VALUE"""),"Pablo")</f>
        <v>Pablo</v>
      </c>
      <c r="F1371" s="7" t="str">
        <f>IFERROR(__xludf.DUMMYFUNCTION("""COMPUTED_VALUE"""),"pbattistelli78@hotmail.com")</f>
        <v>pbattistelli78@hotmail.com</v>
      </c>
      <c r="G1371" s="20">
        <f>IFERROR(__xludf.DUMMYFUNCTION("""COMPUTED_VALUE"""),28796.0)</f>
        <v>28796</v>
      </c>
      <c r="H1371" s="7">
        <f>IFERROR(__xludf.DUMMYFUNCTION("""COMPUTED_VALUE"""),2.7013264E7)</f>
        <v>27013264</v>
      </c>
      <c r="I1371" s="7">
        <f>IFERROR(__xludf.DUMMYFUNCTION("""COMPUTED_VALUE"""),3.512503228E9)</f>
        <v>3512503228</v>
      </c>
      <c r="J1371" s="7" t="str">
        <f>IFERROR(__xludf.DUMMYFUNCTION("""COMPUTED_VALUE"""),"Voy al gym Manantial")</f>
        <v>Voy al gym Manantial</v>
      </c>
      <c r="K1371" s="7" t="str">
        <f>IFERROR(__xludf.DUMMYFUNCTION("""COMPUTED_VALUE"""),"Obra social")</f>
        <v>Obra social</v>
      </c>
      <c r="L1371" s="7"/>
      <c r="M1371" s="7" t="str">
        <f>IFERROR(__xludf.DUMMYFUNCTION("""COMPUTED_VALUE"""),"Si")</f>
        <v>Si</v>
      </c>
      <c r="N1371" s="7" t="str">
        <f>IFERROR(__xludf.DUMMYFUNCTION("""COMPUTED_VALUE"""),"Gimnasio+Futbol")</f>
        <v>Gimnasio+Futbol</v>
      </c>
      <c r="O1371" s="7" t="str">
        <f>IFERROR(__xludf.DUMMYFUNCTION("""COMPUTED_VALUE"""),"3 a 5 veces por semana")</f>
        <v>3 a 5 veces por semana</v>
      </c>
      <c r="P1371" s="7"/>
      <c r="Q1371" s="7" t="str">
        <f>IFERROR(__xludf.DUMMYFUNCTION("""COMPUTED_VALUE"""),"Avalian")</f>
        <v>Avalian</v>
      </c>
      <c r="R1371" s="7"/>
      <c r="S1371" s="7"/>
    </row>
    <row r="1372">
      <c r="C1372" s="19">
        <f>IFERROR(__xludf.DUMMYFUNCTION("""COMPUTED_VALUE"""),46007.43429651621)</f>
        <v>46007.4343</v>
      </c>
      <c r="D1372" s="7" t="str">
        <f>IFERROR(__xludf.DUMMYFUNCTION("""COMPUTED_VALUE"""),"Pedroni ")</f>
        <v>Pedroni </v>
      </c>
      <c r="E1372" s="7" t="str">
        <f>IFERROR(__xludf.DUMMYFUNCTION("""COMPUTED_VALUE"""),"Juan Pablo")</f>
        <v>Juan Pablo</v>
      </c>
      <c r="F1372" s="7" t="str">
        <f>IFERROR(__xludf.DUMMYFUNCTION("""COMPUTED_VALUE"""),"jppedroni@gmail.com")</f>
        <v>jppedroni@gmail.com</v>
      </c>
      <c r="G1372" s="20">
        <f>IFERROR(__xludf.DUMMYFUNCTION("""COMPUTED_VALUE"""),28478.0)</f>
        <v>28478</v>
      </c>
      <c r="H1372" s="7">
        <f>IFERROR(__xludf.DUMMYFUNCTION("""COMPUTED_VALUE"""),2.6180609E7)</f>
        <v>26180609</v>
      </c>
      <c r="I1372" s="7">
        <f>IFERROR(__xludf.DUMMYFUNCTION("""COMPUTED_VALUE"""),3.512170609E9)</f>
        <v>3512170609</v>
      </c>
      <c r="J1372" s="7" t="str">
        <f>IFERROR(__xludf.DUMMYFUNCTION("""COMPUTED_VALUE"""),"Recomendación")</f>
        <v>Recomendación</v>
      </c>
      <c r="K1372" s="7" t="str">
        <f>IFERROR(__xludf.DUMMYFUNCTION("""COMPUTED_VALUE"""),"Obra social")</f>
        <v>Obra social</v>
      </c>
      <c r="L1372" s="7"/>
      <c r="M1372" s="7" t="str">
        <f>IFERROR(__xludf.DUMMYFUNCTION("""COMPUTED_VALUE"""),"Si")</f>
        <v>Si</v>
      </c>
      <c r="N1372" s="7" t="str">
        <f>IFERROR(__xludf.DUMMYFUNCTION("""COMPUTED_VALUE"""),"Gimnasio")</f>
        <v>Gimnasio</v>
      </c>
      <c r="O1372" s="7" t="str">
        <f>IFERROR(__xludf.DUMMYFUNCTION("""COMPUTED_VALUE"""),"1 a 2 veces por semana")</f>
        <v>1 a 2 veces por semana</v>
      </c>
      <c r="P1372" s="7"/>
      <c r="Q1372" s="7" t="str">
        <f>IFERROR(__xludf.DUMMYFUNCTION("""COMPUTED_VALUE"""),"Dasuten")</f>
        <v>Dasuten</v>
      </c>
      <c r="R1372" s="7"/>
      <c r="S1372" s="7"/>
    </row>
    <row r="1373">
      <c r="C1373" s="19">
        <f>IFERROR(__xludf.DUMMYFUNCTION("""COMPUTED_VALUE"""),46007.438922395835)</f>
        <v>46007.43892</v>
      </c>
      <c r="D1373" s="7" t="str">
        <f>IFERROR(__xludf.DUMMYFUNCTION("""COMPUTED_VALUE"""),"Luque")</f>
        <v>Luque</v>
      </c>
      <c r="E1373" s="7" t="str">
        <f>IFERROR(__xludf.DUMMYFUNCTION("""COMPUTED_VALUE"""),"Pablo")</f>
        <v>Pablo</v>
      </c>
      <c r="F1373" s="7" t="str">
        <f>IFERROR(__xludf.DUMMYFUNCTION("""COMPUTED_VALUE"""),"pabloluque0612@gmail.com")</f>
        <v>pabloluque0612@gmail.com</v>
      </c>
      <c r="G1373" s="20">
        <f>IFERROR(__xludf.DUMMYFUNCTION("""COMPUTED_VALUE"""),27557.0)</f>
        <v>27557</v>
      </c>
      <c r="H1373" s="7">
        <f>IFERROR(__xludf.DUMMYFUNCTION("""COMPUTED_VALUE"""),2.4629108E7)</f>
        <v>24629108</v>
      </c>
      <c r="I1373" s="7">
        <f>IFERROR(__xludf.DUMMYFUNCTION("""COMPUTED_VALUE"""),3.51718008E9)</f>
        <v>3517180080</v>
      </c>
      <c r="J1373" s="7" t="str">
        <f>IFERROR(__xludf.DUMMYFUNCTION("""COMPUTED_VALUE"""),"Voy al gym Manantial")</f>
        <v>Voy al gym Manantial</v>
      </c>
      <c r="K1373" s="7" t="str">
        <f>IFERROR(__xludf.DUMMYFUNCTION("""COMPUTED_VALUE"""),"Obra social")</f>
        <v>Obra social</v>
      </c>
      <c r="L1373" s="7"/>
      <c r="M1373" s="7" t="str">
        <f>IFERROR(__xludf.DUMMYFUNCTION("""COMPUTED_VALUE"""),"Si")</f>
        <v>Si</v>
      </c>
      <c r="N1373" s="7" t="str">
        <f>IFERROR(__xludf.DUMMYFUNCTION("""COMPUTED_VALUE"""),"Gimnasio")</f>
        <v>Gimnasio</v>
      </c>
      <c r="O1373" s="7" t="str">
        <f>IFERROR(__xludf.DUMMYFUNCTION("""COMPUTED_VALUE"""),"3 a 5 veces por semana")</f>
        <v>3 a 5 veces por semana</v>
      </c>
      <c r="P1373" s="7"/>
      <c r="Q1373" s="7" t="str">
        <f>IFERROR(__xludf.DUMMYFUNCTION("""COMPUTED_VALUE"""),"Omint")</f>
        <v>Omint</v>
      </c>
      <c r="R1373" s="7"/>
      <c r="S1373" s="7"/>
    </row>
    <row r="1374">
      <c r="C1374" s="19">
        <f>IFERROR(__xludf.DUMMYFUNCTION("""COMPUTED_VALUE"""),46007.67630788195)</f>
        <v>46007.67631</v>
      </c>
      <c r="D1374" s="7" t="str">
        <f>IFERROR(__xludf.DUMMYFUNCTION("""COMPUTED_VALUE"""),"DANCIGER")</f>
        <v>DANCIGER</v>
      </c>
      <c r="E1374" s="7" t="str">
        <f>IFERROR(__xludf.DUMMYFUNCTION("""COMPUTED_VALUE"""),"CARLOS")</f>
        <v>CARLOS</v>
      </c>
      <c r="F1374" s="7" t="str">
        <f>IFERROR(__xludf.DUMMYFUNCTION("""COMPUTED_VALUE"""),"ced3928@yahoo.com.ar")</f>
        <v>ced3928@yahoo.com.ar</v>
      </c>
      <c r="G1374" s="20">
        <f>IFERROR(__xludf.DUMMYFUNCTION("""COMPUTED_VALUE"""),19507.0)</f>
        <v>19507</v>
      </c>
      <c r="H1374" s="7">
        <f>IFERROR(__xludf.DUMMYFUNCTION("""COMPUTED_VALUE"""),1.0902256E7)</f>
        <v>10902256</v>
      </c>
      <c r="I1374" s="7">
        <f>IFERROR(__xludf.DUMMYFUNCTION("""COMPUTED_VALUE"""),3.513936568E9)</f>
        <v>3513936568</v>
      </c>
      <c r="J1374" s="7" t="str">
        <f>IFERROR(__xludf.DUMMYFUNCTION("""COMPUTED_VALUE"""),"Recomendación")</f>
        <v>Recomendación</v>
      </c>
      <c r="K1374" s="7" t="str">
        <f>IFERROR(__xludf.DUMMYFUNCTION("""COMPUTED_VALUE"""),"Obra social")</f>
        <v>Obra social</v>
      </c>
      <c r="L1374" s="7"/>
      <c r="M1374" s="7" t="str">
        <f>IFERROR(__xludf.DUMMYFUNCTION("""COMPUTED_VALUE"""),"Si")</f>
        <v>Si</v>
      </c>
      <c r="N1374" s="7" t="str">
        <f>IFERROR(__xludf.DUMMYFUNCTION("""COMPUTED_VALUE"""),"Bicicleta")</f>
        <v>Bicicleta</v>
      </c>
      <c r="O1374" s="7" t="str">
        <f>IFERROR(__xludf.DUMMYFUNCTION("""COMPUTED_VALUE"""),"3 a 5 veces por semana")</f>
        <v>3 a 5 veces por semana</v>
      </c>
      <c r="P1374" s="7"/>
      <c r="Q1374" s="7" t="str">
        <f>IFERROR(__xludf.DUMMYFUNCTION("""COMPUTED_VALUE"""),"CPCE")</f>
        <v>CPCE</v>
      </c>
      <c r="R1374" s="7"/>
      <c r="S1374" s="7"/>
    </row>
    <row r="1375">
      <c r="C1375" s="19">
        <f>IFERROR(__xludf.DUMMYFUNCTION("""COMPUTED_VALUE"""),46007.69767902778)</f>
        <v>46007.69768</v>
      </c>
      <c r="D1375" s="7" t="str">
        <f>IFERROR(__xludf.DUMMYFUNCTION("""COMPUTED_VALUE"""),"BEPRE ")</f>
        <v>BEPRE </v>
      </c>
      <c r="E1375" s="7" t="str">
        <f>IFERROR(__xludf.DUMMYFUNCTION("""COMPUTED_VALUE"""),"AGUSTIN")</f>
        <v>AGUSTIN</v>
      </c>
      <c r="F1375" s="7" t="str">
        <f>IFERROR(__xludf.DUMMYFUNCTION("""COMPUTED_VALUE"""),"Diabetesdiabetes2013@yahoo.com.ar")</f>
        <v>Diabetesdiabetes2013@yahoo.com.ar</v>
      </c>
      <c r="G1375" s="20">
        <f>IFERROR(__xludf.DUMMYFUNCTION("""COMPUTED_VALUE"""),41255.0)</f>
        <v>41255</v>
      </c>
      <c r="H1375" s="7">
        <f>IFERROR(__xludf.DUMMYFUNCTION("""COMPUTED_VALUE"""),5.2466852E7)</f>
        <v>52466852</v>
      </c>
      <c r="I1375" s="7">
        <f>IFERROR(__xludf.DUMMYFUNCTION("""COMPUTED_VALUE"""),3.512454625E9)</f>
        <v>3512454625</v>
      </c>
      <c r="J1375" s="7" t="str">
        <f>IFERROR(__xludf.DUMMYFUNCTION("""COMPUTED_VALUE"""),"Recomendación")</f>
        <v>Recomendación</v>
      </c>
      <c r="K1375" s="7" t="str">
        <f>IFERROR(__xludf.DUMMYFUNCTION("""COMPUTED_VALUE"""),"Obra social")</f>
        <v>Obra social</v>
      </c>
      <c r="L1375" s="7"/>
      <c r="M1375" s="7" t="str">
        <f>IFERROR(__xludf.DUMMYFUNCTION("""COMPUTED_VALUE"""),"Si")</f>
        <v>Si</v>
      </c>
      <c r="N1375" s="7" t="str">
        <f>IFERROR(__xludf.DUMMYFUNCTION("""COMPUTED_VALUE"""),"Rugby")</f>
        <v>Rugby</v>
      </c>
      <c r="O1375" s="7" t="str">
        <f>IFERROR(__xludf.DUMMYFUNCTION("""COMPUTED_VALUE"""),"3 a 5 veces por semana")</f>
        <v>3 a 5 veces por semana</v>
      </c>
      <c r="P1375" s="7"/>
      <c r="Q1375" s="7" t="str">
        <f>IFERROR(__xludf.DUMMYFUNCTION("""COMPUTED_VALUE"""),"CAJA NOTARIAL")</f>
        <v>CAJA NOTARIAL</v>
      </c>
      <c r="R1375" s="7"/>
      <c r="S1375" s="7"/>
    </row>
    <row r="1376">
      <c r="C1376" s="19">
        <f>IFERROR(__xludf.DUMMYFUNCTION("""COMPUTED_VALUE"""),46007.76160146991)</f>
        <v>46007.7616</v>
      </c>
      <c r="D1376" s="7" t="str">
        <f>IFERROR(__xludf.DUMMYFUNCTION("""COMPUTED_VALUE"""),"Cassinerio")</f>
        <v>Cassinerio</v>
      </c>
      <c r="E1376" s="7" t="str">
        <f>IFERROR(__xludf.DUMMYFUNCTION("""COMPUTED_VALUE"""),"Hugo")</f>
        <v>Hugo</v>
      </c>
      <c r="F1376" s="7"/>
      <c r="G1376" s="20">
        <f>IFERROR(__xludf.DUMMYFUNCTION("""COMPUTED_VALUE"""),19561.0)</f>
        <v>19561</v>
      </c>
      <c r="H1376" s="7">
        <f>IFERROR(__xludf.DUMMYFUNCTION("""COMPUTED_VALUE"""),1.073876E7)</f>
        <v>10738760</v>
      </c>
      <c r="I1376" s="7">
        <f>IFERROR(__xludf.DUMMYFUNCTION("""COMPUTED_VALUE"""),3.515464496E9)</f>
        <v>3515464496</v>
      </c>
      <c r="J1376" s="7" t="str">
        <f>IFERROR(__xludf.DUMMYFUNCTION("""COMPUTED_VALUE"""),"Recomendación")</f>
        <v>Recomendación</v>
      </c>
      <c r="K1376" s="7" t="str">
        <f>IFERROR(__xludf.DUMMYFUNCTION("""COMPUTED_VALUE"""),"Obra social")</f>
        <v>Obra social</v>
      </c>
      <c r="L1376" s="7"/>
      <c r="M1376" s="7" t="str">
        <f>IFERROR(__xludf.DUMMYFUNCTION("""COMPUTED_VALUE"""),"Si")</f>
        <v>Si</v>
      </c>
      <c r="N1376" s="7" t="str">
        <f>IFERROR(__xludf.DUMMYFUNCTION("""COMPUTED_VALUE"""),"Bici+ Ejercicios")</f>
        <v>Bici+ Ejercicios</v>
      </c>
      <c r="O1376" s="7" t="str">
        <f>IFERROR(__xludf.DUMMYFUNCTION("""COMPUTED_VALUE"""),"3 a 5 veces por semana")</f>
        <v>3 a 5 veces por semana</v>
      </c>
      <c r="P1376" s="7"/>
      <c r="Q1376" s="7" t="str">
        <f>IFERROR(__xludf.DUMMYFUNCTION("""COMPUTED_VALUE"""),"CPCE")</f>
        <v>CPCE</v>
      </c>
      <c r="R1376" s="7"/>
      <c r="S1376" s="7"/>
    </row>
    <row r="1377">
      <c r="C1377" s="19">
        <f>IFERROR(__xludf.DUMMYFUNCTION("""COMPUTED_VALUE"""),46007.77280734954)</f>
        <v>46007.77281</v>
      </c>
      <c r="D1377" s="7" t="str">
        <f>IFERROR(__xludf.DUMMYFUNCTION("""COMPUTED_VALUE"""),"ROMERO")</f>
        <v>ROMERO</v>
      </c>
      <c r="E1377" s="7" t="str">
        <f>IFERROR(__xludf.DUMMYFUNCTION("""COMPUTED_VALUE"""),"Hector Fabian")</f>
        <v>Hector Fabian</v>
      </c>
      <c r="F1377" s="7" t="str">
        <f>IFERROR(__xludf.DUMMYFUNCTION("""COMPUTED_VALUE"""),"197909zzaa@gmail.com")</f>
        <v>197909zzaa@gmail.com</v>
      </c>
      <c r="G1377" s="20">
        <f>IFERROR(__xludf.DUMMYFUNCTION("""COMPUTED_VALUE"""),29115.0)</f>
        <v>29115</v>
      </c>
      <c r="H1377" s="7">
        <f>IFERROR(__xludf.DUMMYFUNCTION("""COMPUTED_VALUE"""),2.7654702E7)</f>
        <v>27654702</v>
      </c>
      <c r="I1377" s="7">
        <f>IFERROR(__xludf.DUMMYFUNCTION("""COMPUTED_VALUE"""),1.56351558E8)</f>
        <v>156351558</v>
      </c>
      <c r="J1377" s="7" t="str">
        <f>IFERROR(__xludf.DUMMYFUNCTION("""COMPUTED_VALUE"""),"Google")</f>
        <v>Google</v>
      </c>
      <c r="K1377" s="7" t="str">
        <f>IFERROR(__xludf.DUMMYFUNCTION("""COMPUTED_VALUE"""),"Particular")</f>
        <v>Particular</v>
      </c>
      <c r="L1377" s="7"/>
      <c r="M1377" s="7" t="str">
        <f>IFERROR(__xludf.DUMMYFUNCTION("""COMPUTED_VALUE"""),"Si")</f>
        <v>Si</v>
      </c>
      <c r="N1377" s="7" t="str">
        <f>IFERROR(__xludf.DUMMYFUNCTION("""COMPUTED_VALUE"""),"Enduro")</f>
        <v>Enduro</v>
      </c>
      <c r="O1377" s="7" t="str">
        <f>IFERROR(__xludf.DUMMYFUNCTION("""COMPUTED_VALUE"""),"1 a 2 veces por semana")</f>
        <v>1 a 2 veces por semana</v>
      </c>
      <c r="P1377" s="7"/>
      <c r="Q1377" s="7"/>
      <c r="R1377" s="7"/>
      <c r="S1377" s="7"/>
    </row>
    <row r="1378">
      <c r="C1378" s="19">
        <f>IFERROR(__xludf.DUMMYFUNCTION("""COMPUTED_VALUE"""),46007.80585348379)</f>
        <v>46007.80585</v>
      </c>
      <c r="D1378" s="7" t="str">
        <f>IFERROR(__xludf.DUMMYFUNCTION("""COMPUTED_VALUE"""),"Carignano")</f>
        <v>Carignano</v>
      </c>
      <c r="E1378" s="7" t="str">
        <f>IFERROR(__xludf.DUMMYFUNCTION("""COMPUTED_VALUE"""),"Lara Paz")</f>
        <v>Lara Paz</v>
      </c>
      <c r="F1378" s="7" t="str">
        <f>IFERROR(__xludf.DUMMYFUNCTION("""COMPUTED_VALUE"""),"larapazcarignano33@gmail.com")</f>
        <v>larapazcarignano33@gmail.com</v>
      </c>
      <c r="G1378" s="20">
        <f>IFERROR(__xludf.DUMMYFUNCTION("""COMPUTED_VALUE"""),39170.0)</f>
        <v>39170</v>
      </c>
      <c r="H1378" s="7">
        <f>IFERROR(__xludf.DUMMYFUNCTION("""COMPUTED_VALUE"""),4.766238E7)</f>
        <v>47662380</v>
      </c>
      <c r="I1378" s="7">
        <f>IFERROR(__xludf.DUMMYFUNCTION("""COMPUTED_VALUE"""),3.51791262E9)</f>
        <v>3517912620</v>
      </c>
      <c r="J1378" s="7" t="str">
        <f>IFERROR(__xludf.DUMMYFUNCTION("""COMPUTED_VALUE"""),"Voy al gym Manantial")</f>
        <v>Voy al gym Manantial</v>
      </c>
      <c r="K1378" s="7" t="str">
        <f>IFERROR(__xludf.DUMMYFUNCTION("""COMPUTED_VALUE"""),"Obra social")</f>
        <v>Obra social</v>
      </c>
      <c r="L1378" s="7"/>
      <c r="M1378" s="7" t="str">
        <f>IFERROR(__xludf.DUMMYFUNCTION("""COMPUTED_VALUE"""),"Si")</f>
        <v>Si</v>
      </c>
      <c r="N1378" s="7" t="str">
        <f>IFERROR(__xludf.DUMMYFUNCTION("""COMPUTED_VALUE"""),"Voley")</f>
        <v>Voley</v>
      </c>
      <c r="O1378" s="7" t="str">
        <f>IFERROR(__xludf.DUMMYFUNCTION("""COMPUTED_VALUE"""),"6 a 7 veces por semana")</f>
        <v>6 a 7 veces por semana</v>
      </c>
      <c r="P1378" s="7"/>
      <c r="Q1378" s="7" t="str">
        <f>IFERROR(__xludf.DUMMYFUNCTION("""COMPUTED_VALUE"""),"Swiss Medical")</f>
        <v>Swiss Medical</v>
      </c>
      <c r="R1378" s="7"/>
      <c r="S1378" s="7"/>
    </row>
    <row r="1379">
      <c r="C1379" s="19">
        <f>IFERROR(__xludf.DUMMYFUNCTION("""COMPUTED_VALUE"""),46010.65817196759)</f>
        <v>46010.65817</v>
      </c>
      <c r="D1379" s="7" t="str">
        <f>IFERROR(__xludf.DUMMYFUNCTION("""COMPUTED_VALUE"""),"Cuffia")</f>
        <v>Cuffia</v>
      </c>
      <c r="E1379" s="7" t="str">
        <f>IFERROR(__xludf.DUMMYFUNCTION("""COMPUTED_VALUE"""),"Hugo")</f>
        <v>Hugo</v>
      </c>
      <c r="F1379" s="7"/>
      <c r="G1379" s="20">
        <f>IFERROR(__xludf.DUMMYFUNCTION("""COMPUTED_VALUE"""),16694.0)</f>
        <v>16694</v>
      </c>
      <c r="H1379" s="7">
        <f>IFERROR(__xludf.DUMMYFUNCTION("""COMPUTED_VALUE"""),7984666.0)</f>
        <v>7984666</v>
      </c>
      <c r="I1379" s="7">
        <f>IFERROR(__xludf.DUMMYFUNCTION("""COMPUTED_VALUE"""),3.513033804E9)</f>
        <v>3513033804</v>
      </c>
      <c r="J1379" s="7" t="str">
        <f>IFERROR(__xludf.DUMMYFUNCTION("""COMPUTED_VALUE"""),"Voy al gym Manantial")</f>
        <v>Voy al gym Manantial</v>
      </c>
      <c r="K1379" s="7" t="str">
        <f>IFERROR(__xludf.DUMMYFUNCTION("""COMPUTED_VALUE"""),"Obra social")</f>
        <v>Obra social</v>
      </c>
      <c r="L1379" s="7"/>
      <c r="M1379" s="7" t="str">
        <f>IFERROR(__xludf.DUMMYFUNCTION("""COMPUTED_VALUE"""),"Si")</f>
        <v>Si</v>
      </c>
      <c r="N1379" s="7" t="str">
        <f>IFERROR(__xludf.DUMMYFUNCTION("""COMPUTED_VALUE"""),"Golf+entrenamiento ")</f>
        <v>Golf+entrenamiento </v>
      </c>
      <c r="O1379" s="7" t="str">
        <f>IFERROR(__xludf.DUMMYFUNCTION("""COMPUTED_VALUE"""),"3 a 5 veces por semana")</f>
        <v>3 a 5 veces por semana</v>
      </c>
      <c r="P1379" s="7"/>
      <c r="Q1379" s="7" t="str">
        <f>IFERROR(__xludf.DUMMYFUNCTION("""COMPUTED_VALUE"""),"CPCE")</f>
        <v>CPCE</v>
      </c>
      <c r="R1379" s="7"/>
      <c r="S1379" s="7"/>
    </row>
    <row r="1380">
      <c r="C1380" s="19">
        <f>IFERROR(__xludf.DUMMYFUNCTION("""COMPUTED_VALUE"""),46013.44193563657)</f>
        <v>46013.44194</v>
      </c>
      <c r="D1380" s="7" t="str">
        <f>IFERROR(__xludf.DUMMYFUNCTION("""COMPUTED_VALUE"""),"SCARAFIA ")</f>
        <v>SCARAFIA </v>
      </c>
      <c r="E1380" s="7" t="str">
        <f>IFERROR(__xludf.DUMMYFUNCTION("""COMPUTED_VALUE"""),"JUAN MANUEL ")</f>
        <v>JUAN MANUEL </v>
      </c>
      <c r="F1380" s="7" t="str">
        <f>IFERROR(__xludf.DUMMYFUNCTION("""COMPUTED_VALUE"""),"jmscarafia81@gmail.com")</f>
        <v>jmscarafia81@gmail.com</v>
      </c>
      <c r="G1380" s="20">
        <f>IFERROR(__xludf.DUMMYFUNCTION("""COMPUTED_VALUE"""),29637.0)</f>
        <v>29637</v>
      </c>
      <c r="H1380" s="7">
        <f>IFERROR(__xludf.DUMMYFUNCTION("""COMPUTED_VALUE"""),2.8652582E7)</f>
        <v>28652582</v>
      </c>
      <c r="I1380" s="7">
        <f>IFERROR(__xludf.DUMMYFUNCTION("""COMPUTED_VALUE"""),3.516848849E9)</f>
        <v>3516848849</v>
      </c>
      <c r="J1380" s="7" t="str">
        <f>IFERROR(__xludf.DUMMYFUNCTION("""COMPUTED_VALUE"""),"Cartilla Obra Social")</f>
        <v>Cartilla Obra Social</v>
      </c>
      <c r="K1380" s="7" t="str">
        <f>IFERROR(__xludf.DUMMYFUNCTION("""COMPUTED_VALUE"""),"Particular")</f>
        <v>Particular</v>
      </c>
      <c r="L1380" s="7"/>
      <c r="M1380" s="7" t="str">
        <f>IFERROR(__xludf.DUMMYFUNCTION("""COMPUTED_VALUE"""),"Si")</f>
        <v>Si</v>
      </c>
      <c r="N1380" s="7" t="str">
        <f>IFERROR(__xludf.DUMMYFUNCTION("""COMPUTED_VALUE"""),"Running")</f>
        <v>Running</v>
      </c>
      <c r="O1380" s="7" t="str">
        <f>IFERROR(__xludf.DUMMYFUNCTION("""COMPUTED_VALUE"""),"1 a 2 veces por semana")</f>
        <v>1 a 2 veces por semana</v>
      </c>
      <c r="P1380" s="7"/>
      <c r="Q1380" s="7"/>
      <c r="R1380" s="7"/>
      <c r="S1380" s="7"/>
    </row>
    <row r="1381">
      <c r="C1381" s="19">
        <f>IFERROR(__xludf.DUMMYFUNCTION("""COMPUTED_VALUE"""),46015.57662403936)</f>
        <v>46015.57662</v>
      </c>
      <c r="D1381" s="7" t="str">
        <f>IFERROR(__xludf.DUMMYFUNCTION("""COMPUTED_VALUE"""),"Curtó")</f>
        <v>Curtó</v>
      </c>
      <c r="E1381" s="7" t="str">
        <f>IFERROR(__xludf.DUMMYFUNCTION("""COMPUTED_VALUE"""),"Berenice ")</f>
        <v>Berenice </v>
      </c>
      <c r="F1381" s="7" t="str">
        <f>IFERROR(__xludf.DUMMYFUNCTION("""COMPUTED_VALUE"""),"berenicecurto@gmail.com")</f>
        <v>berenicecurto@gmail.com</v>
      </c>
      <c r="G1381" s="20">
        <f>IFERROR(__xludf.DUMMYFUNCTION("""COMPUTED_VALUE"""),30530.0)</f>
        <v>30530</v>
      </c>
      <c r="H1381" s="7">
        <f>IFERROR(__xludf.DUMMYFUNCTION("""COMPUTED_VALUE"""),3.0330837E7)</f>
        <v>30330837</v>
      </c>
      <c r="I1381" s="7">
        <f>IFERROR(__xludf.DUMMYFUNCTION("""COMPUTED_VALUE"""),3.512138278E9)</f>
        <v>3512138278</v>
      </c>
      <c r="J1381" s="7" t="str">
        <f>IFERROR(__xludf.DUMMYFUNCTION("""COMPUTED_VALUE"""),"Recomendación")</f>
        <v>Recomendación</v>
      </c>
      <c r="K1381" s="7" t="str">
        <f>IFERROR(__xludf.DUMMYFUNCTION("""COMPUTED_VALUE"""),"Obra social")</f>
        <v>Obra social</v>
      </c>
      <c r="L1381" s="7"/>
      <c r="M1381" s="7" t="str">
        <f>IFERROR(__xludf.DUMMYFUNCTION("""COMPUTED_VALUE"""),"Si")</f>
        <v>Si</v>
      </c>
      <c r="N1381" s="7" t="str">
        <f>IFERROR(__xludf.DUMMYFUNCTION("""COMPUTED_VALUE"""),"Caminata, trote ")</f>
        <v>Caminata, trote </v>
      </c>
      <c r="O1381" s="7" t="str">
        <f>IFERROR(__xludf.DUMMYFUNCTION("""COMPUTED_VALUE"""),"3 a 5 veces por semana")</f>
        <v>3 a 5 veces por semana</v>
      </c>
      <c r="P1381" s="7"/>
      <c r="Q1381" s="7" t="str">
        <f>IFERROR(__xludf.DUMMYFUNCTION("""COMPUTED_VALUE"""),"Swiss Medical ")</f>
        <v>Swiss Medical </v>
      </c>
      <c r="R1381" s="7"/>
      <c r="S1381" s="7"/>
    </row>
    <row r="1382">
      <c r="C1382" s="19">
        <f>IFERROR(__xludf.DUMMYFUNCTION("""COMPUTED_VALUE"""),46020.48922771991)</f>
        <v>46020.48923</v>
      </c>
      <c r="D1382" s="7" t="str">
        <f>IFERROR(__xludf.DUMMYFUNCTION("""COMPUTED_VALUE"""),"CASTAÑEDA")</f>
        <v>CASTAÑEDA</v>
      </c>
      <c r="E1382" s="7" t="str">
        <f>IFERROR(__xludf.DUMMYFUNCTION("""COMPUTED_VALUE"""),"FRANCISCO ")</f>
        <v>FRANCISCO </v>
      </c>
      <c r="F1382" s="7" t="str">
        <f>IFERROR(__xludf.DUMMYFUNCTION("""COMPUTED_VALUE"""),"fbercelone@gmail.com")</f>
        <v>fbercelone@gmail.com</v>
      </c>
      <c r="G1382" s="20">
        <f>IFERROR(__xludf.DUMMYFUNCTION("""COMPUTED_VALUE"""),41064.0)</f>
        <v>41064</v>
      </c>
      <c r="H1382" s="21">
        <f>IFERROR(__xludf.DUMMYFUNCTION("""COMPUTED_VALUE"""),5.2227153E7)</f>
        <v>52227153</v>
      </c>
      <c r="I1382" s="7">
        <f>IFERROR(__xludf.DUMMYFUNCTION("""COMPUTED_VALUE"""),3.517546042E9)</f>
        <v>3517546042</v>
      </c>
      <c r="J1382" s="7" t="str">
        <f>IFERROR(__xludf.DUMMYFUNCTION("""COMPUTED_VALUE"""),"Recomendación")</f>
        <v>Recomendación</v>
      </c>
      <c r="K1382" s="7" t="str">
        <f>IFERROR(__xludf.DUMMYFUNCTION("""COMPUTED_VALUE"""),"Obra social")</f>
        <v>Obra social</v>
      </c>
      <c r="L1382" s="7"/>
      <c r="M1382" s="7" t="str">
        <f>IFERROR(__xludf.DUMMYFUNCTION("""COMPUTED_VALUE"""),"Si")</f>
        <v>Si</v>
      </c>
      <c r="N1382" s="7" t="str">
        <f>IFERROR(__xludf.DUMMYFUNCTION("""COMPUTED_VALUE"""),"Fútbol")</f>
        <v>Fútbol</v>
      </c>
      <c r="O1382" s="7" t="str">
        <f>IFERROR(__xludf.DUMMYFUNCTION("""COMPUTED_VALUE"""),"3 a 5 veces por semana")</f>
        <v>3 a 5 veces por semana</v>
      </c>
      <c r="P1382" s="7"/>
      <c r="Q1382" s="7" t="str">
        <f>IFERROR(__xludf.DUMMYFUNCTION("""COMPUTED_VALUE"""),"SANCOR")</f>
        <v>SANCOR</v>
      </c>
      <c r="R1382" s="7"/>
      <c r="S1382" s="7"/>
    </row>
    <row r="1383">
      <c r="C1383" s="19">
        <f>IFERROR(__xludf.DUMMYFUNCTION("""COMPUTED_VALUE"""),46020.726322268514)</f>
        <v>46020.72632</v>
      </c>
      <c r="D1383" s="7" t="str">
        <f>IFERROR(__xludf.DUMMYFUNCTION("""COMPUTED_VALUE"""),"MOLINA")</f>
        <v>MOLINA</v>
      </c>
      <c r="E1383" s="7" t="str">
        <f>IFERROR(__xludf.DUMMYFUNCTION("""COMPUTED_VALUE"""),"Jenifer Estefania")</f>
        <v>Jenifer Estefania</v>
      </c>
      <c r="F1383" s="7" t="str">
        <f>IFERROR(__xludf.DUMMYFUNCTION("""COMPUTED_VALUE"""),"jenifermolina390@gmail.com")</f>
        <v>jenifermolina390@gmail.com</v>
      </c>
      <c r="G1383" s="20">
        <f>IFERROR(__xludf.DUMMYFUNCTION("""COMPUTED_VALUE"""),36354.0)</f>
        <v>36354</v>
      </c>
      <c r="H1383" s="7">
        <f>IFERROR(__xludf.DUMMYFUNCTION("""COMPUTED_VALUE"""),4.1993497E7)</f>
        <v>41993497</v>
      </c>
      <c r="I1383" s="7">
        <f>IFERROR(__xludf.DUMMYFUNCTION("""COMPUTED_VALUE"""),3.513627069E9)</f>
        <v>3513627069</v>
      </c>
      <c r="J1383" s="7" t="str">
        <f>IFERROR(__xludf.DUMMYFUNCTION("""COMPUTED_VALUE"""),"Trabajo en sportclub")</f>
        <v>Trabajo en sportclub</v>
      </c>
      <c r="K1383" s="7" t="str">
        <f>IFERROR(__xludf.DUMMYFUNCTION("""COMPUTED_VALUE"""),"Particular")</f>
        <v>Particular</v>
      </c>
      <c r="L1383" s="7"/>
      <c r="M1383" s="7" t="str">
        <f>IFERROR(__xludf.DUMMYFUNCTION("""COMPUTED_VALUE"""),"No")</f>
        <v>No</v>
      </c>
      <c r="N1383" s="7"/>
      <c r="O1383" s="7"/>
      <c r="P1383" s="7"/>
      <c r="Q1383" s="7"/>
      <c r="R1383" s="7"/>
      <c r="S1383" s="7"/>
    </row>
    <row r="1384">
      <c r="C1384" s="19">
        <f>IFERROR(__xludf.DUMMYFUNCTION("""COMPUTED_VALUE"""),46021.398070995376)</f>
        <v>46021.39807</v>
      </c>
      <c r="D1384" s="7" t="str">
        <f>IFERROR(__xludf.DUMMYFUNCTION("""COMPUTED_VALUE"""),"Bock")</f>
        <v>Bock</v>
      </c>
      <c r="E1384" s="7" t="str">
        <f>IFERROR(__xludf.DUMMYFUNCTION("""COMPUTED_VALUE"""),"Ezequiel")</f>
        <v>Ezequiel</v>
      </c>
      <c r="F1384" s="7" t="str">
        <f>IFERROR(__xludf.DUMMYFUNCTION("""COMPUTED_VALUE"""),"Ezequielbock@hotmail.com")</f>
        <v>Ezequielbock@hotmail.com</v>
      </c>
      <c r="G1384" s="20">
        <f>IFERROR(__xludf.DUMMYFUNCTION("""COMPUTED_VALUE"""),29557.0)</f>
        <v>29557</v>
      </c>
      <c r="H1384" s="7">
        <f>IFERROR(__xludf.DUMMYFUNCTION("""COMPUTED_VALUE"""),2.8428874E7)</f>
        <v>28428874</v>
      </c>
      <c r="I1384" s="7">
        <f>IFERROR(__xludf.DUMMYFUNCTION("""COMPUTED_VALUE"""),3.512676241E9)</f>
        <v>3512676241</v>
      </c>
      <c r="J1384" s="7" t="str">
        <f>IFERROR(__xludf.DUMMYFUNCTION("""COMPUTED_VALUE"""),"Voy al gym Manantial")</f>
        <v>Voy al gym Manantial</v>
      </c>
      <c r="K1384" s="7" t="str">
        <f>IFERROR(__xludf.DUMMYFUNCTION("""COMPUTED_VALUE"""),"Particular")</f>
        <v>Particular</v>
      </c>
      <c r="L1384" s="7"/>
      <c r="M1384" s="7" t="str">
        <f>IFERROR(__xludf.DUMMYFUNCTION("""COMPUTED_VALUE"""),"Si")</f>
        <v>Si</v>
      </c>
      <c r="N1384" s="7" t="str">
        <f>IFERROR(__xludf.DUMMYFUNCTION("""COMPUTED_VALUE"""),"Gimnasio")</f>
        <v>Gimnasio</v>
      </c>
      <c r="O1384" s="7" t="str">
        <f>IFERROR(__xludf.DUMMYFUNCTION("""COMPUTED_VALUE"""),"3 a 5 veces por semana")</f>
        <v>3 a 5 veces por semana</v>
      </c>
      <c r="P1384" s="7"/>
      <c r="Q1384" s="7"/>
      <c r="R1384" s="7"/>
      <c r="S1384" s="7"/>
    </row>
    <row r="1385">
      <c r="C1385" s="19">
        <f>IFERROR(__xludf.DUMMYFUNCTION("""COMPUTED_VALUE"""),46021.50515865741)</f>
        <v>46021.50516</v>
      </c>
      <c r="D1385" s="7" t="str">
        <f>IFERROR(__xludf.DUMMYFUNCTION("""COMPUTED_VALUE"""),"Graffi")</f>
        <v>Graffi</v>
      </c>
      <c r="E1385" s="7" t="str">
        <f>IFERROR(__xludf.DUMMYFUNCTION("""COMPUTED_VALUE"""),"Daniel ")</f>
        <v>Daniel </v>
      </c>
      <c r="F1385" s="7" t="str">
        <f>IFERROR(__xludf.DUMMYFUNCTION("""COMPUTED_VALUE"""),"Danielgraffi@hotmail.com")</f>
        <v>Danielgraffi@hotmail.com</v>
      </c>
      <c r="G1385" s="20">
        <f>IFERROR(__xludf.DUMMYFUNCTION("""COMPUTED_VALUE"""),45993.0)</f>
        <v>45993</v>
      </c>
      <c r="H1385" s="7">
        <f>IFERROR(__xludf.DUMMYFUNCTION("""COMPUTED_VALUE"""),2.0621958E7)</f>
        <v>20621958</v>
      </c>
      <c r="I1385" s="7">
        <f>IFERROR(__xludf.DUMMYFUNCTION("""COMPUTED_VALUE"""),3.512083686E9)</f>
        <v>3512083686</v>
      </c>
      <c r="J1385" s="7" t="str">
        <f>IFERROR(__xludf.DUMMYFUNCTION("""COMPUTED_VALUE"""),"Google")</f>
        <v>Google</v>
      </c>
      <c r="K1385" s="7" t="str">
        <f>IFERROR(__xludf.DUMMYFUNCTION("""COMPUTED_VALUE"""),"Obra social")</f>
        <v>Obra social</v>
      </c>
      <c r="L1385" s="7"/>
      <c r="M1385" s="7" t="str">
        <f>IFERROR(__xludf.DUMMYFUNCTION("""COMPUTED_VALUE"""),"Si")</f>
        <v>Si</v>
      </c>
      <c r="N1385" s="7" t="str">
        <f>IFERROR(__xludf.DUMMYFUNCTION("""COMPUTED_VALUE"""),"Gimnasio")</f>
        <v>Gimnasio</v>
      </c>
      <c r="O1385" s="7" t="str">
        <f>IFERROR(__xludf.DUMMYFUNCTION("""COMPUTED_VALUE"""),"1 a 2 veces por semana")</f>
        <v>1 a 2 veces por semana</v>
      </c>
      <c r="P1385" s="7"/>
      <c r="Q1385" s="7" t="str">
        <f>IFERROR(__xludf.DUMMYFUNCTION("""COMPUTED_VALUE"""),"APROSS")</f>
        <v>APROSS</v>
      </c>
      <c r="R1385" s="7"/>
      <c r="S1385" s="7"/>
    </row>
    <row r="1386">
      <c r="C1386" s="19">
        <f>IFERROR(__xludf.DUMMYFUNCTION("""COMPUTED_VALUE"""),46021.7123890625)</f>
        <v>46021.71239</v>
      </c>
      <c r="D1386" s="7" t="str">
        <f>IFERROR(__xludf.DUMMYFUNCTION("""COMPUTED_VALUE"""),"Bravo")</f>
        <v>Bravo</v>
      </c>
      <c r="E1386" s="7" t="str">
        <f>IFERROR(__xludf.DUMMYFUNCTION("""COMPUTED_VALUE"""),"Santiago")</f>
        <v>Santiago</v>
      </c>
      <c r="F1386" s="7" t="str">
        <f>IFERROR(__xludf.DUMMYFUNCTION("""COMPUTED_VALUE"""),"santiagobravo1983@gmail.com")</f>
        <v>santiagobravo1983@gmail.com</v>
      </c>
      <c r="G1386" s="20">
        <f>IFERROR(__xludf.DUMMYFUNCTION("""COMPUTED_VALUE"""),30538.0)</f>
        <v>30538</v>
      </c>
      <c r="H1386" s="7">
        <f>IFERROR(__xludf.DUMMYFUNCTION("""COMPUTED_VALUE"""),3.0290259E7)</f>
        <v>30290259</v>
      </c>
      <c r="I1386" s="7">
        <f>IFERROR(__xludf.DUMMYFUNCTION("""COMPUTED_VALUE"""),3.516222035E9)</f>
        <v>3516222035</v>
      </c>
      <c r="J1386" s="7" t="str">
        <f>IFERROR(__xludf.DUMMYFUNCTION("""COMPUTED_VALUE"""),"Voy al gym Manantial")</f>
        <v>Voy al gym Manantial</v>
      </c>
      <c r="K1386" s="7" t="str">
        <f>IFERROR(__xludf.DUMMYFUNCTION("""COMPUTED_VALUE"""),"Particular")</f>
        <v>Particular</v>
      </c>
      <c r="L1386" s="7"/>
      <c r="M1386" s="7" t="str">
        <f>IFERROR(__xludf.DUMMYFUNCTION("""COMPUTED_VALUE"""),"Si")</f>
        <v>Si</v>
      </c>
      <c r="N1386" s="7" t="str">
        <f>IFERROR(__xludf.DUMMYFUNCTION("""COMPUTED_VALUE"""),"Gimnasio+padel")</f>
        <v>Gimnasio+padel</v>
      </c>
      <c r="O1386" s="7" t="str">
        <f>IFERROR(__xludf.DUMMYFUNCTION("""COMPUTED_VALUE"""),"3 a 5 veces por semana")</f>
        <v>3 a 5 veces por semana</v>
      </c>
      <c r="P1386" s="7"/>
      <c r="Q1386" s="7"/>
      <c r="R1386" s="7"/>
      <c r="S1386" s="7"/>
    </row>
    <row r="1387">
      <c r="C1387" s="19">
        <f>IFERROR(__xludf.DUMMYFUNCTION("""COMPUTED_VALUE"""),46021.80105574074)</f>
        <v>46021.80106</v>
      </c>
      <c r="D1387" s="7" t="str">
        <f>IFERROR(__xludf.DUMMYFUNCTION("""COMPUTED_VALUE"""),"MORENO ")</f>
        <v>MORENO </v>
      </c>
      <c r="E1387" s="7" t="str">
        <f>IFERROR(__xludf.DUMMYFUNCTION("""COMPUTED_VALUE"""),"JAVIER ")</f>
        <v>JAVIER </v>
      </c>
      <c r="F1387" s="7" t="str">
        <f>IFERROR(__xludf.DUMMYFUNCTION("""COMPUTED_VALUE"""),"umayuriel@gmail.com")</f>
        <v>umayuriel@gmail.com</v>
      </c>
      <c r="G1387" s="20">
        <f>IFERROR(__xludf.DUMMYFUNCTION("""COMPUTED_VALUE"""),29392.0)</f>
        <v>29392</v>
      </c>
      <c r="H1387" s="7">
        <f>IFERROR(__xludf.DUMMYFUNCTION("""COMPUTED_VALUE"""),2.8270389E7)</f>
        <v>28270389</v>
      </c>
      <c r="I1387" s="7">
        <f>IFERROR(__xludf.DUMMYFUNCTION("""COMPUTED_VALUE"""),3.516310817E9)</f>
        <v>3516310817</v>
      </c>
      <c r="J1387" s="7" t="str">
        <f>IFERROR(__xludf.DUMMYFUNCTION("""COMPUTED_VALUE"""),"Cartilla Obra Social")</f>
        <v>Cartilla Obra Social</v>
      </c>
      <c r="K1387" s="7" t="str">
        <f>IFERROR(__xludf.DUMMYFUNCTION("""COMPUTED_VALUE"""),"Obra social")</f>
        <v>Obra social</v>
      </c>
      <c r="L1387" s="7"/>
      <c r="M1387" s="7" t="str">
        <f>IFERROR(__xludf.DUMMYFUNCTION("""COMPUTED_VALUE"""),"No")</f>
        <v>No</v>
      </c>
      <c r="N1387" s="7"/>
      <c r="O1387" s="7"/>
      <c r="P1387" s="7"/>
      <c r="Q1387" s="7" t="str">
        <f>IFERROR(__xludf.DUMMYFUNCTION("""COMPUTED_VALUE"""),"PREVENCIÓN")</f>
        <v>PREVENCIÓN</v>
      </c>
      <c r="R1387" s="7"/>
      <c r="S1387" s="7"/>
    </row>
    <row r="1388">
      <c r="C1388" s="19">
        <f>IFERROR(__xludf.DUMMYFUNCTION("""COMPUTED_VALUE"""),46024.476677604165)</f>
        <v>46024.47668</v>
      </c>
      <c r="D1388" s="7" t="str">
        <f>IFERROR(__xludf.DUMMYFUNCTION("""COMPUTED_VALUE"""),"Baudino")</f>
        <v>Baudino</v>
      </c>
      <c r="E1388" s="7" t="str">
        <f>IFERROR(__xludf.DUMMYFUNCTION("""COMPUTED_VALUE"""),"Maria Cecilia")</f>
        <v>Maria Cecilia</v>
      </c>
      <c r="F1388" s="7" t="str">
        <f>IFERROR(__xludf.DUMMYFUNCTION("""COMPUTED_VALUE"""),"ceci_baudino@hotmail.com")</f>
        <v>ceci_baudino@hotmail.com</v>
      </c>
      <c r="G1388" s="20">
        <f>IFERROR(__xludf.DUMMYFUNCTION("""COMPUTED_VALUE"""),22856.0)</f>
        <v>22856</v>
      </c>
      <c r="H1388" s="7">
        <f>IFERROR(__xludf.DUMMYFUNCTION("""COMPUTED_VALUE"""),1.4847085E7)</f>
        <v>14847085</v>
      </c>
      <c r="I1388" s="7">
        <f>IFERROR(__xludf.DUMMYFUNCTION("""COMPUTED_VALUE"""),3.516622771E9)</f>
        <v>3516622771</v>
      </c>
      <c r="J1388" s="7" t="str">
        <f>IFERROR(__xludf.DUMMYFUNCTION("""COMPUTED_VALUE"""),"Recomendación")</f>
        <v>Recomendación</v>
      </c>
      <c r="K1388" s="7" t="str">
        <f>IFERROR(__xludf.DUMMYFUNCTION("""COMPUTED_VALUE"""),"Obra social")</f>
        <v>Obra social</v>
      </c>
      <c r="L1388" s="7"/>
      <c r="M1388" s="7" t="str">
        <f>IFERROR(__xludf.DUMMYFUNCTION("""COMPUTED_VALUE"""),"Si")</f>
        <v>Si</v>
      </c>
      <c r="N1388" s="7" t="str">
        <f>IFERROR(__xludf.DUMMYFUNCTION("""COMPUTED_VALUE"""),"Ejercicio de fuerza+bici+yoga")</f>
        <v>Ejercicio de fuerza+bici+yoga</v>
      </c>
      <c r="O1388" s="7" t="str">
        <f>IFERROR(__xludf.DUMMYFUNCTION("""COMPUTED_VALUE"""),"3 a 5 veces por semana")</f>
        <v>3 a 5 veces por semana</v>
      </c>
      <c r="P1388" s="7"/>
      <c r="Q1388" s="7" t="str">
        <f>IFERROR(__xludf.DUMMYFUNCTION("""COMPUTED_VALUE"""),"SANCOR")</f>
        <v>SANCOR</v>
      </c>
      <c r="R1388" s="7"/>
      <c r="S1388" s="7"/>
    </row>
    <row r="1389">
      <c r="C1389" s="19">
        <f>IFERROR(__xludf.DUMMYFUNCTION("""COMPUTED_VALUE"""),46027.42637751157)</f>
        <v>46027.42638</v>
      </c>
      <c r="D1389" s="7" t="str">
        <f>IFERROR(__xludf.DUMMYFUNCTION("""COMPUTED_VALUE"""),"Gonzalez")</f>
        <v>Gonzalez</v>
      </c>
      <c r="E1389" s="7" t="str">
        <f>IFERROR(__xludf.DUMMYFUNCTION("""COMPUTED_VALUE"""),"Gerardo")</f>
        <v>Gerardo</v>
      </c>
      <c r="F1389" s="7" t="str">
        <f>IFERROR(__xludf.DUMMYFUNCTION("""COMPUTED_VALUE"""),"gerardogonzalez_cba@hotmail.com")</f>
        <v>gerardogonzalez_cba@hotmail.com</v>
      </c>
      <c r="G1389" s="20">
        <f>IFERROR(__xludf.DUMMYFUNCTION("""COMPUTED_VALUE"""),31903.0)</f>
        <v>31903</v>
      </c>
      <c r="H1389" s="7">
        <f>IFERROR(__xludf.DUMMYFUNCTION("""COMPUTED_VALUE"""),3.29258E7)</f>
        <v>32925800</v>
      </c>
      <c r="I1389" s="7">
        <f>IFERROR(__xludf.DUMMYFUNCTION("""COMPUTED_VALUE"""),3.518145527E9)</f>
        <v>3518145527</v>
      </c>
      <c r="J1389" s="7" t="str">
        <f>IFERROR(__xludf.DUMMYFUNCTION("""COMPUTED_VALUE"""),"Recomendación")</f>
        <v>Recomendación</v>
      </c>
      <c r="K1389" s="7" t="str">
        <f>IFERROR(__xludf.DUMMYFUNCTION("""COMPUTED_VALUE"""),"Obra social")</f>
        <v>Obra social</v>
      </c>
      <c r="L1389" s="7"/>
      <c r="M1389" s="7" t="str">
        <f>IFERROR(__xludf.DUMMYFUNCTION("""COMPUTED_VALUE"""),"Si")</f>
        <v>Si</v>
      </c>
      <c r="N1389" s="7" t="str">
        <f>IFERROR(__xludf.DUMMYFUNCTION("""COMPUTED_VALUE"""),"Gimnasio")</f>
        <v>Gimnasio</v>
      </c>
      <c r="O1389" s="7" t="str">
        <f>IFERROR(__xludf.DUMMYFUNCTION("""COMPUTED_VALUE"""),"3 a 5 veces por semana")</f>
        <v>3 a 5 veces por semana</v>
      </c>
      <c r="P1389" s="7"/>
      <c r="Q1389" s="7" t="str">
        <f>IFERROR(__xludf.DUMMYFUNCTION("""COMPUTED_VALUE"""),"caja de abogados")</f>
        <v>caja de abogados</v>
      </c>
      <c r="R1389" s="7"/>
      <c r="S1389" s="7"/>
    </row>
    <row r="1390">
      <c r="C1390" s="19">
        <f>IFERROR(__xludf.DUMMYFUNCTION("""COMPUTED_VALUE"""),46027.43184561342)</f>
        <v>46027.43185</v>
      </c>
      <c r="D1390" s="7" t="str">
        <f>IFERROR(__xludf.DUMMYFUNCTION("""COMPUTED_VALUE"""),"Sliva")</f>
        <v>Sliva</v>
      </c>
      <c r="E1390" s="7" t="str">
        <f>IFERROR(__xludf.DUMMYFUNCTION("""COMPUTED_VALUE"""),"Betina")</f>
        <v>Betina</v>
      </c>
      <c r="F1390" s="7" t="str">
        <f>IFERROR(__xludf.DUMMYFUNCTION("""COMPUTED_VALUE"""),"betinasliva@hotmail.com")</f>
        <v>betinasliva@hotmail.com</v>
      </c>
      <c r="G1390" s="20">
        <f>IFERROR(__xludf.DUMMYFUNCTION("""COMPUTED_VALUE"""),24081.0)</f>
        <v>24081</v>
      </c>
      <c r="H1390" s="7">
        <f>IFERROR(__xludf.DUMMYFUNCTION("""COMPUTED_VALUE"""),1.7628496E7)</f>
        <v>17628496</v>
      </c>
      <c r="I1390" s="7">
        <f>IFERROR(__xludf.DUMMYFUNCTION("""COMPUTED_VALUE"""),3.517680726E9)</f>
        <v>3517680726</v>
      </c>
      <c r="J1390" s="7" t="str">
        <f>IFERROR(__xludf.DUMMYFUNCTION("""COMPUTED_VALUE"""),"Recomendación")</f>
        <v>Recomendación</v>
      </c>
      <c r="K1390" s="7" t="str">
        <f>IFERROR(__xludf.DUMMYFUNCTION("""COMPUTED_VALUE"""),"Particular")</f>
        <v>Particular</v>
      </c>
      <c r="L1390" s="7"/>
      <c r="M1390" s="7" t="str">
        <f>IFERROR(__xludf.DUMMYFUNCTION("""COMPUTED_VALUE"""),"Si")</f>
        <v>Si</v>
      </c>
      <c r="N1390" s="7" t="str">
        <f>IFERROR(__xludf.DUMMYFUNCTION("""COMPUTED_VALUE"""),"Entrenamiento+Padel")</f>
        <v>Entrenamiento+Padel</v>
      </c>
      <c r="O1390" s="7" t="str">
        <f>IFERROR(__xludf.DUMMYFUNCTION("""COMPUTED_VALUE"""),"6 a 7 veces por semana")</f>
        <v>6 a 7 veces por semana</v>
      </c>
      <c r="P1390" s="7"/>
      <c r="Q1390" s="7"/>
      <c r="R1390" s="7"/>
      <c r="S1390" s="7"/>
    </row>
    <row r="1391">
      <c r="C1391" s="19">
        <f>IFERROR(__xludf.DUMMYFUNCTION("""COMPUTED_VALUE"""),46027.841146481485)</f>
        <v>46027.84115</v>
      </c>
      <c r="D1391" s="7" t="str">
        <f>IFERROR(__xludf.DUMMYFUNCTION("""COMPUTED_VALUE"""),"Scherman")</f>
        <v>Scherman</v>
      </c>
      <c r="E1391" s="7" t="str">
        <f>IFERROR(__xludf.DUMMYFUNCTION("""COMPUTED_VALUE"""),"Daniel")</f>
        <v>Daniel</v>
      </c>
      <c r="F1391" s="7" t="str">
        <f>IFERROR(__xludf.DUMMYFUNCTION("""COMPUTED_VALUE"""),"crscherman@gmail.com")</f>
        <v>crscherman@gmail.com</v>
      </c>
      <c r="G1391" s="20">
        <f>IFERROR(__xludf.DUMMYFUNCTION("""COMPUTED_VALUE"""),25537.0)</f>
        <v>25537</v>
      </c>
      <c r="H1391" s="7">
        <f>IFERROR(__xludf.DUMMYFUNCTION("""COMPUTED_VALUE"""),2.1392007E7)</f>
        <v>21392007</v>
      </c>
      <c r="I1391" s="7">
        <f>IFERROR(__xludf.DUMMYFUNCTION("""COMPUTED_VALUE"""),3.516702023E9)</f>
        <v>3516702023</v>
      </c>
      <c r="J1391" s="7" t="str">
        <f>IFERROR(__xludf.DUMMYFUNCTION("""COMPUTED_VALUE"""),"Recomendación")</f>
        <v>Recomendación</v>
      </c>
      <c r="K1391" s="7" t="str">
        <f>IFERROR(__xludf.DUMMYFUNCTION("""COMPUTED_VALUE"""),"Particular")</f>
        <v>Particular</v>
      </c>
      <c r="L1391" s="7"/>
      <c r="M1391" s="7" t="str">
        <f>IFERROR(__xludf.DUMMYFUNCTION("""COMPUTED_VALUE"""),"Si")</f>
        <v>Si</v>
      </c>
      <c r="N1391" s="7" t="str">
        <f>IFERROR(__xludf.DUMMYFUNCTION("""COMPUTED_VALUE"""),"Golf")</f>
        <v>Golf</v>
      </c>
      <c r="O1391" s="7" t="str">
        <f>IFERROR(__xludf.DUMMYFUNCTION("""COMPUTED_VALUE"""),"1 a 2 veces por semana")</f>
        <v>1 a 2 veces por semana</v>
      </c>
      <c r="P1391" s="7"/>
      <c r="Q1391" s="7"/>
      <c r="R1391" s="7"/>
      <c r="S1391" s="7"/>
    </row>
    <row r="1392">
      <c r="C1392" s="19">
        <f>IFERROR(__xludf.DUMMYFUNCTION("""COMPUTED_VALUE"""),46027.873302569446)</f>
        <v>46027.8733</v>
      </c>
      <c r="D1392" s="7" t="str">
        <f>IFERROR(__xludf.DUMMYFUNCTION("""COMPUTED_VALUE"""),"Huespe")</f>
        <v>Huespe</v>
      </c>
      <c r="E1392" s="7" t="str">
        <f>IFERROR(__xludf.DUMMYFUNCTION("""COMPUTED_VALUE"""),"Francisco")</f>
        <v>Francisco</v>
      </c>
      <c r="F1392" s="7" t="str">
        <f>IFERROR(__xludf.DUMMYFUNCTION("""COMPUTED_VALUE"""),"franhuespe@gmail.com")</f>
        <v>franhuespe@gmail.com</v>
      </c>
      <c r="G1392" s="20">
        <f>IFERROR(__xludf.DUMMYFUNCTION("""COMPUTED_VALUE"""),36416.0)</f>
        <v>36416</v>
      </c>
      <c r="H1392" s="7">
        <f>IFERROR(__xludf.DUMMYFUNCTION("""COMPUTED_VALUE"""),4.2159912E7)</f>
        <v>42159912</v>
      </c>
      <c r="I1392" s="7">
        <f>IFERROR(__xludf.DUMMYFUNCTION("""COMPUTED_VALUE"""),3.517663054E9)</f>
        <v>3517663054</v>
      </c>
      <c r="J1392" s="7" t="str">
        <f>IFERROR(__xludf.DUMMYFUNCTION("""COMPUTED_VALUE"""),"Recomendación")</f>
        <v>Recomendación</v>
      </c>
      <c r="K1392" s="7" t="str">
        <f>IFERROR(__xludf.DUMMYFUNCTION("""COMPUTED_VALUE"""),"Particular")</f>
        <v>Particular</v>
      </c>
      <c r="L1392" s="7"/>
      <c r="M1392" s="7" t="str">
        <f>IFERROR(__xludf.DUMMYFUNCTION("""COMPUTED_VALUE"""),"Si")</f>
        <v>Si</v>
      </c>
      <c r="N1392" s="7" t="str">
        <f>IFERROR(__xludf.DUMMYFUNCTION("""COMPUTED_VALUE"""),"Crossfit/padel")</f>
        <v>Crossfit/padel</v>
      </c>
      <c r="O1392" s="7" t="str">
        <f>IFERROR(__xludf.DUMMYFUNCTION("""COMPUTED_VALUE"""),"6 a 7 veces por semana")</f>
        <v>6 a 7 veces por semana</v>
      </c>
      <c r="P1392" s="7"/>
      <c r="Q1392" s="7"/>
      <c r="R1392" s="7"/>
      <c r="S1392" s="7"/>
    </row>
    <row r="1393">
      <c r="C1393" s="19">
        <f>IFERROR(__xludf.DUMMYFUNCTION("""COMPUTED_VALUE"""),46029.49555516204)</f>
        <v>46029.49556</v>
      </c>
      <c r="D1393" s="7" t="str">
        <f>IFERROR(__xludf.DUMMYFUNCTION("""COMPUTED_VALUE"""),"Arguello ")</f>
        <v>Arguello </v>
      </c>
      <c r="E1393" s="7" t="str">
        <f>IFERROR(__xludf.DUMMYFUNCTION("""COMPUTED_VALUE"""),"Iván ")</f>
        <v>Iván </v>
      </c>
      <c r="F1393" s="7" t="str">
        <f>IFERROR(__xludf.DUMMYFUNCTION("""COMPUTED_VALUE"""),"arguelloivan022@gmail.com")</f>
        <v>arguelloivan022@gmail.com</v>
      </c>
      <c r="G1393" s="20">
        <f>IFERROR(__xludf.DUMMYFUNCTION("""COMPUTED_VALUE"""),46029.0)</f>
        <v>46029</v>
      </c>
      <c r="H1393" s="7">
        <f>IFERROR(__xludf.DUMMYFUNCTION("""COMPUTED_VALUE"""),3.0332168E7)</f>
        <v>30332168</v>
      </c>
      <c r="I1393" s="7">
        <f>IFERROR(__xludf.DUMMYFUNCTION("""COMPUTED_VALUE"""),3.512023475E9)</f>
        <v>3512023475</v>
      </c>
      <c r="J1393" s="7" t="str">
        <f>IFERROR(__xludf.DUMMYFUNCTION("""COMPUTED_VALUE"""),"Recomendación")</f>
        <v>Recomendación</v>
      </c>
      <c r="K1393" s="7" t="str">
        <f>IFERROR(__xludf.DUMMYFUNCTION("""COMPUTED_VALUE"""),"Obra social")</f>
        <v>Obra social</v>
      </c>
      <c r="L1393" s="7"/>
      <c r="M1393" s="7" t="str">
        <f>IFERROR(__xludf.DUMMYFUNCTION("""COMPUTED_VALUE"""),"Si")</f>
        <v>Si</v>
      </c>
      <c r="N1393" s="7" t="str">
        <f>IFERROR(__xludf.DUMMYFUNCTION("""COMPUTED_VALUE"""),"Fútbol")</f>
        <v>Fútbol</v>
      </c>
      <c r="O1393" s="7" t="str">
        <f>IFERROR(__xludf.DUMMYFUNCTION("""COMPUTED_VALUE"""),"1 a 2 veces por semana")</f>
        <v>1 a 2 veces por semana</v>
      </c>
      <c r="P1393" s="7"/>
      <c r="Q1393" s="7" t="str">
        <f>IFERROR(__xludf.DUMMYFUNCTION("""COMPUTED_VALUE"""),"APROSS")</f>
        <v>APROSS</v>
      </c>
      <c r="R1393" s="7"/>
      <c r="S1393" s="7"/>
    </row>
    <row r="1394">
      <c r="C1394" s="19">
        <f>IFERROR(__xludf.DUMMYFUNCTION("""COMPUTED_VALUE"""),46029.73116545139)</f>
        <v>46029.73117</v>
      </c>
      <c r="D1394" s="7" t="str">
        <f>IFERROR(__xludf.DUMMYFUNCTION("""COMPUTED_VALUE"""),"Petri")</f>
        <v>Petri</v>
      </c>
      <c r="E1394" s="7" t="str">
        <f>IFERROR(__xludf.DUMMYFUNCTION("""COMPUTED_VALUE"""),"Facundo")</f>
        <v>Facundo</v>
      </c>
      <c r="F1394" s="7" t="str">
        <f>IFERROR(__xludf.DUMMYFUNCTION("""COMPUTED_VALUE"""),"facundopetri@gmail.com")</f>
        <v>facundopetri@gmail.com</v>
      </c>
      <c r="G1394" s="20">
        <f>IFERROR(__xludf.DUMMYFUNCTION("""COMPUTED_VALUE"""),36300.0)</f>
        <v>36300</v>
      </c>
      <c r="H1394" s="7">
        <f>IFERROR(__xludf.DUMMYFUNCTION("""COMPUTED_VALUE"""),4.1887486E7)</f>
        <v>41887486</v>
      </c>
      <c r="I1394" s="7">
        <f>IFERROR(__xludf.DUMMYFUNCTION("""COMPUTED_VALUE"""),3.515299725E9)</f>
        <v>3515299725</v>
      </c>
      <c r="J1394" s="7" t="str">
        <f>IFERROR(__xludf.DUMMYFUNCTION("""COMPUTED_VALUE"""),"Voy al gym Manantial")</f>
        <v>Voy al gym Manantial</v>
      </c>
      <c r="K1394" s="7" t="str">
        <f>IFERROR(__xludf.DUMMYFUNCTION("""COMPUTED_VALUE"""),"Obra social")</f>
        <v>Obra social</v>
      </c>
      <c r="L1394" s="7"/>
      <c r="M1394" s="7" t="str">
        <f>IFERROR(__xludf.DUMMYFUNCTION("""COMPUTED_VALUE"""),"Si")</f>
        <v>Si</v>
      </c>
      <c r="N1394" s="7" t="str">
        <f>IFERROR(__xludf.DUMMYFUNCTION("""COMPUTED_VALUE"""),"Gimnasio+Futbol")</f>
        <v>Gimnasio+Futbol</v>
      </c>
      <c r="O1394" s="7" t="str">
        <f>IFERROR(__xludf.DUMMYFUNCTION("""COMPUTED_VALUE"""),"3 a 5 veces por semana")</f>
        <v>3 a 5 veces por semana</v>
      </c>
      <c r="P1394" s="7"/>
      <c r="Q1394" s="7" t="str">
        <f>IFERROR(__xludf.DUMMYFUNCTION("""COMPUTED_VALUE"""),"Osde")</f>
        <v>Osde</v>
      </c>
      <c r="R1394" s="7"/>
      <c r="S1394" s="7"/>
    </row>
    <row r="1395">
      <c r="C1395" s="19">
        <f>IFERROR(__xludf.DUMMYFUNCTION("""COMPUTED_VALUE"""),46030.54028771991)</f>
        <v>46030.54029</v>
      </c>
      <c r="D1395" s="7" t="str">
        <f>IFERROR(__xludf.DUMMYFUNCTION("""COMPUTED_VALUE"""),"Lascano")</f>
        <v>Lascano</v>
      </c>
      <c r="E1395" s="7" t="str">
        <f>IFERROR(__xludf.DUMMYFUNCTION("""COMPUTED_VALUE"""),"Raquel")</f>
        <v>Raquel</v>
      </c>
      <c r="F1395" s="7" t="str">
        <f>IFERROR(__xludf.DUMMYFUNCTION("""COMPUTED_VALUE"""),"Raquellascano78@gmail.com")</f>
        <v>Raquellascano78@gmail.com</v>
      </c>
      <c r="G1395" s="20">
        <f>IFERROR(__xludf.DUMMYFUNCTION("""COMPUTED_VALUE"""),28746.0)</f>
        <v>28746</v>
      </c>
      <c r="H1395" s="7">
        <f>IFERROR(__xludf.DUMMYFUNCTION("""COMPUTED_VALUE"""),2.6896603E7)</f>
        <v>26896603</v>
      </c>
      <c r="I1395" s="7">
        <f>IFERROR(__xludf.DUMMYFUNCTION("""COMPUTED_VALUE"""),3.515911903E9)</f>
        <v>3515911903</v>
      </c>
      <c r="J1395" s="7" t="str">
        <f>IFERROR(__xludf.DUMMYFUNCTION("""COMPUTED_VALUE"""),"Recomendación")</f>
        <v>Recomendación</v>
      </c>
      <c r="K1395" s="7" t="str">
        <f>IFERROR(__xludf.DUMMYFUNCTION("""COMPUTED_VALUE"""),"Particular")</f>
        <v>Particular</v>
      </c>
      <c r="L1395" s="7"/>
      <c r="M1395" s="7" t="str">
        <f>IFERROR(__xludf.DUMMYFUNCTION("""COMPUTED_VALUE"""),"Si")</f>
        <v>Si</v>
      </c>
      <c r="N1395" s="7" t="str">
        <f>IFERROR(__xludf.DUMMYFUNCTION("""COMPUTED_VALUE"""),"Running")</f>
        <v>Running</v>
      </c>
      <c r="O1395" s="7" t="str">
        <f>IFERROR(__xludf.DUMMYFUNCTION("""COMPUTED_VALUE"""),"3 a 5 veces por semana")</f>
        <v>3 a 5 veces por semana</v>
      </c>
      <c r="P1395" s="7"/>
      <c r="Q1395" s="7"/>
      <c r="R1395" s="7"/>
      <c r="S1395" s="7"/>
    </row>
    <row r="1396">
      <c r="C1396" s="19">
        <f>IFERROR(__xludf.DUMMYFUNCTION("""COMPUTED_VALUE"""),46030.771335150464)</f>
        <v>46030.77134</v>
      </c>
      <c r="D1396" s="7" t="str">
        <f>IFERROR(__xludf.DUMMYFUNCTION("""COMPUTED_VALUE"""),"STEFANOV")</f>
        <v>STEFANOV</v>
      </c>
      <c r="E1396" s="7" t="str">
        <f>IFERROR(__xludf.DUMMYFUNCTION("""COMPUTED_VALUE"""),"MARTA MARÍA ")</f>
        <v>MARTA MARÍA </v>
      </c>
      <c r="F1396" s="7" t="str">
        <f>IFERROR(__xludf.DUMMYFUNCTION("""COMPUTED_VALUE"""),"stefanovmarta@live.com.ar")</f>
        <v>stefanovmarta@live.com.ar</v>
      </c>
      <c r="G1396" s="20">
        <f>IFERROR(__xludf.DUMMYFUNCTION("""COMPUTED_VALUE"""),13928.0)</f>
        <v>13928</v>
      </c>
      <c r="H1396" s="7">
        <f>IFERROR(__xludf.DUMMYFUNCTION("""COMPUTED_VALUE"""),3692293.0)</f>
        <v>3692293</v>
      </c>
      <c r="I1396" s="7">
        <f>IFERROR(__xludf.DUMMYFUNCTION("""COMPUTED_VALUE"""),3.515133677E9)</f>
        <v>3515133677</v>
      </c>
      <c r="J1396" s="7" t="str">
        <f>IFERROR(__xludf.DUMMYFUNCTION("""COMPUTED_VALUE"""),"Recomendación")</f>
        <v>Recomendación</v>
      </c>
      <c r="K1396" s="7" t="str">
        <f>IFERROR(__xludf.DUMMYFUNCTION("""COMPUTED_VALUE"""),"Obra social")</f>
        <v>Obra social</v>
      </c>
      <c r="L1396" s="7"/>
      <c r="M1396" s="7" t="str">
        <f>IFERROR(__xludf.DUMMYFUNCTION("""COMPUTED_VALUE"""),"No")</f>
        <v>No</v>
      </c>
      <c r="N1396" s="7"/>
      <c r="O1396" s="7"/>
      <c r="P1396" s="7"/>
      <c r="Q1396" s="7" t="str">
        <f>IFERROR(__xludf.DUMMYFUNCTION("""COMPUTED_VALUE"""),"OSPE")</f>
        <v>OSPE</v>
      </c>
      <c r="R1396" s="7"/>
      <c r="S1396" s="7"/>
    </row>
    <row r="1397">
      <c r="C1397" s="19">
        <f>IFERROR(__xludf.DUMMYFUNCTION("""COMPUTED_VALUE"""),46031.47735864583)</f>
        <v>46031.47736</v>
      </c>
      <c r="D1397" s="7" t="str">
        <f>IFERROR(__xludf.DUMMYFUNCTION("""COMPUTED_VALUE"""),"Armoa")</f>
        <v>Armoa</v>
      </c>
      <c r="E1397" s="7" t="str">
        <f>IFERROR(__xludf.DUMMYFUNCTION("""COMPUTED_VALUE"""),"jorge omar")</f>
        <v>jorge omar</v>
      </c>
      <c r="F1397" s="7" t="str">
        <f>IFERROR(__xludf.DUMMYFUNCTION("""COMPUTED_VALUE"""),"jorgeoarmoa@gmail.com")</f>
        <v>jorgeoarmoa@gmail.com</v>
      </c>
      <c r="G1397" s="20">
        <f>IFERROR(__xludf.DUMMYFUNCTION("""COMPUTED_VALUE"""),19632.0)</f>
        <v>19632</v>
      </c>
      <c r="H1397" s="7">
        <f>IFERROR(__xludf.DUMMYFUNCTION("""COMPUTED_VALUE"""),1.0902834E7)</f>
        <v>10902834</v>
      </c>
      <c r="I1397" s="7">
        <f>IFERROR(__xludf.DUMMYFUNCTION("""COMPUTED_VALUE"""),3.516654677E9)</f>
        <v>3516654677</v>
      </c>
      <c r="J1397" s="7" t="str">
        <f>IFERROR(__xludf.DUMMYFUNCTION("""COMPUTED_VALUE"""),"Recomendación")</f>
        <v>Recomendación</v>
      </c>
      <c r="K1397" s="7" t="str">
        <f>IFERROR(__xludf.DUMMYFUNCTION("""COMPUTED_VALUE"""),"Particular")</f>
        <v>Particular</v>
      </c>
      <c r="L1397" s="7"/>
      <c r="M1397" s="7" t="str">
        <f>IFERROR(__xludf.DUMMYFUNCTION("""COMPUTED_VALUE"""),"No")</f>
        <v>No</v>
      </c>
      <c r="N1397" s="7"/>
      <c r="O1397" s="7"/>
      <c r="P1397" s="7"/>
      <c r="Q1397" s="7"/>
      <c r="R1397" s="7"/>
      <c r="S1397" s="7"/>
    </row>
    <row r="1398">
      <c r="C1398" s="19">
        <f>IFERROR(__xludf.DUMMYFUNCTION("""COMPUTED_VALUE"""),46034.49067155093)</f>
        <v>46034.49067</v>
      </c>
      <c r="D1398" s="7" t="str">
        <f>IFERROR(__xludf.DUMMYFUNCTION("""COMPUTED_VALUE"""),"Santa Engracia ")</f>
        <v>Santa Engracia </v>
      </c>
      <c r="E1398" s="7" t="str">
        <f>IFERROR(__xludf.DUMMYFUNCTION("""COMPUTED_VALUE"""),"Gala Sol")</f>
        <v>Gala Sol</v>
      </c>
      <c r="F1398" s="7" t="str">
        <f>IFERROR(__xludf.DUMMYFUNCTION("""COMPUTED_VALUE"""),"abgalasantae@gmail.com")</f>
        <v>abgalasantae@gmail.com</v>
      </c>
      <c r="G1398" s="20">
        <f>IFERROR(__xludf.DUMMYFUNCTION("""COMPUTED_VALUE"""),34898.0)</f>
        <v>34898</v>
      </c>
      <c r="H1398" s="7">
        <f>IFERROR(__xludf.DUMMYFUNCTION("""COMPUTED_VALUE"""),3.907247E7)</f>
        <v>39072470</v>
      </c>
      <c r="I1398" s="7">
        <f>IFERROR(__xludf.DUMMYFUNCTION("""COMPUTED_VALUE"""),3.515519765E9)</f>
        <v>3515519765</v>
      </c>
      <c r="J1398" s="7" t="str">
        <f>IFERROR(__xludf.DUMMYFUNCTION("""COMPUTED_VALUE"""),"Google")</f>
        <v>Google</v>
      </c>
      <c r="K1398" s="7" t="str">
        <f>IFERROR(__xludf.DUMMYFUNCTION("""COMPUTED_VALUE"""),"Particular")</f>
        <v>Particular</v>
      </c>
      <c r="L1398" s="7"/>
      <c r="M1398" s="7" t="str">
        <f>IFERROR(__xludf.DUMMYFUNCTION("""COMPUTED_VALUE"""),"Si")</f>
        <v>Si</v>
      </c>
      <c r="N1398" s="7" t="str">
        <f>IFERROR(__xludf.DUMMYFUNCTION("""COMPUTED_VALUE"""),"Gimnasio")</f>
        <v>Gimnasio</v>
      </c>
      <c r="O1398" s="7" t="str">
        <f>IFERROR(__xludf.DUMMYFUNCTION("""COMPUTED_VALUE"""),"3 a 5 veces por semana")</f>
        <v>3 a 5 veces por semana</v>
      </c>
      <c r="P1398" s="7"/>
      <c r="Q1398" s="7"/>
      <c r="R1398" s="7"/>
      <c r="S1398" s="7"/>
    </row>
    <row r="1399">
      <c r="C1399" s="19">
        <f>IFERROR(__xludf.DUMMYFUNCTION("""COMPUTED_VALUE"""),46034.514316608795)</f>
        <v>46034.51432</v>
      </c>
      <c r="D1399" s="7" t="str">
        <f>IFERROR(__xludf.DUMMYFUNCTION("""COMPUTED_VALUE"""),"Zamar")</f>
        <v>Zamar</v>
      </c>
      <c r="E1399" s="7" t="str">
        <f>IFERROR(__xludf.DUMMYFUNCTION("""COMPUTED_VALUE"""),"Agustín")</f>
        <v>Agustín</v>
      </c>
      <c r="F1399" s="7"/>
      <c r="G1399" s="20">
        <f>IFERROR(__xludf.DUMMYFUNCTION("""COMPUTED_VALUE"""),31146.0)</f>
        <v>31146</v>
      </c>
      <c r="H1399" s="7">
        <f>IFERROR(__xludf.DUMMYFUNCTION("""COMPUTED_VALUE"""),3.1557558E7)</f>
        <v>31557558</v>
      </c>
      <c r="I1399" s="7">
        <f>IFERROR(__xludf.DUMMYFUNCTION("""COMPUTED_VALUE"""),3.516571418E9)</f>
        <v>3516571418</v>
      </c>
      <c r="J1399" s="7" t="str">
        <f>IFERROR(__xludf.DUMMYFUNCTION("""COMPUTED_VALUE"""),"Voy al gym Manantial")</f>
        <v>Voy al gym Manantial</v>
      </c>
      <c r="K1399" s="7" t="str">
        <f>IFERROR(__xludf.DUMMYFUNCTION("""COMPUTED_VALUE"""),"Obra social")</f>
        <v>Obra social</v>
      </c>
      <c r="L1399" s="7"/>
      <c r="M1399" s="7" t="str">
        <f>IFERROR(__xludf.DUMMYFUNCTION("""COMPUTED_VALUE"""),"Si")</f>
        <v>Si</v>
      </c>
      <c r="N1399" s="7" t="str">
        <f>IFERROR(__xludf.DUMMYFUNCTION("""COMPUTED_VALUE"""),"squash")</f>
        <v>squash</v>
      </c>
      <c r="O1399" s="7" t="str">
        <f>IFERROR(__xludf.DUMMYFUNCTION("""COMPUTED_VALUE"""),"3 a 5 veces por semana")</f>
        <v>3 a 5 veces por semana</v>
      </c>
      <c r="P1399" s="7"/>
      <c r="Q1399" s="7" t="str">
        <f>IFERROR(__xludf.DUMMYFUNCTION("""COMPUTED_VALUE"""),"DASPU")</f>
        <v>DASPU</v>
      </c>
      <c r="R1399" s="7"/>
      <c r="S1399" s="7"/>
    </row>
    <row r="1400">
      <c r="C1400" s="19">
        <f>IFERROR(__xludf.DUMMYFUNCTION("""COMPUTED_VALUE"""),46034.55153788194)</f>
        <v>46034.55154</v>
      </c>
      <c r="D1400" s="7" t="str">
        <f>IFERROR(__xludf.DUMMYFUNCTION("""COMPUTED_VALUE"""),"Cravero")</f>
        <v>Cravero</v>
      </c>
      <c r="E1400" s="7" t="str">
        <f>IFERROR(__xludf.DUMMYFUNCTION("""COMPUTED_VALUE"""),"Bautista Ignacio")</f>
        <v>Bautista Ignacio</v>
      </c>
      <c r="F1400" s="7" t="str">
        <f>IFERROR(__xludf.DUMMYFUNCTION("""COMPUTED_VALUE"""),"bauticra7@gmail.com")</f>
        <v>bauticra7@gmail.com</v>
      </c>
      <c r="G1400" s="20">
        <f>IFERROR(__xludf.DUMMYFUNCTION("""COMPUTED_VALUE"""),40567.0)</f>
        <v>40567</v>
      </c>
      <c r="H1400" s="7">
        <f>IFERROR(__xludf.DUMMYFUNCTION("""COMPUTED_VALUE"""),5.0629284E7)</f>
        <v>50629284</v>
      </c>
      <c r="I1400" s="7">
        <f>IFERROR(__xludf.DUMMYFUNCTION("""COMPUTED_VALUE"""),3.518583078E9)</f>
        <v>3518583078</v>
      </c>
      <c r="J1400" s="7" t="str">
        <f>IFERROR(__xludf.DUMMYFUNCTION("""COMPUTED_VALUE"""),"Recomendación")</f>
        <v>Recomendación</v>
      </c>
      <c r="K1400" s="7" t="str">
        <f>IFERROR(__xludf.DUMMYFUNCTION("""COMPUTED_VALUE"""),"Particular")</f>
        <v>Particular</v>
      </c>
      <c r="L1400" s="7"/>
      <c r="M1400" s="7" t="str">
        <f>IFERROR(__xludf.DUMMYFUNCTION("""COMPUTED_VALUE"""),"Si")</f>
        <v>Si</v>
      </c>
      <c r="N1400" s="7" t="str">
        <f>IFERROR(__xludf.DUMMYFUNCTION("""COMPUTED_VALUE"""),"Hockey")</f>
        <v>Hockey</v>
      </c>
      <c r="O1400" s="7" t="str">
        <f>IFERROR(__xludf.DUMMYFUNCTION("""COMPUTED_VALUE"""),"3 a 5 veces por semana")</f>
        <v>3 a 5 veces por semana</v>
      </c>
      <c r="P1400" s="7"/>
      <c r="Q1400" s="7"/>
      <c r="R1400" s="7"/>
      <c r="S1400" s="7"/>
    </row>
    <row r="1401">
      <c r="C1401" s="19">
        <f>IFERROR(__xludf.DUMMYFUNCTION("""COMPUTED_VALUE"""),46034.79293765046)</f>
        <v>46034.79294</v>
      </c>
      <c r="D1401" s="7" t="str">
        <f>IFERROR(__xludf.DUMMYFUNCTION("""COMPUTED_VALUE"""),"Ortega")</f>
        <v>Ortega</v>
      </c>
      <c r="E1401" s="7" t="str">
        <f>IFERROR(__xludf.DUMMYFUNCTION("""COMPUTED_VALUE"""),"Daniela")</f>
        <v>Daniela</v>
      </c>
      <c r="F1401" s="7" t="str">
        <f>IFERROR(__xludf.DUMMYFUNCTION("""COMPUTED_VALUE"""),"dv.ortega98@gmail.com")</f>
        <v>dv.ortega98@gmail.com</v>
      </c>
      <c r="G1401" s="20">
        <f>IFERROR(__xludf.DUMMYFUNCTION("""COMPUTED_VALUE"""),35923.0)</f>
        <v>35923</v>
      </c>
      <c r="H1401" s="7">
        <f>IFERROR(__xludf.DUMMYFUNCTION("""COMPUTED_VALUE"""),4.1265088E7)</f>
        <v>41265088</v>
      </c>
      <c r="I1401" s="7">
        <f>IFERROR(__xludf.DUMMYFUNCTION("""COMPUTED_VALUE"""),3.512008851E9)</f>
        <v>3512008851</v>
      </c>
      <c r="J1401" s="7" t="str">
        <f>IFERROR(__xludf.DUMMYFUNCTION("""COMPUTED_VALUE"""),"Cartilla Obra Social")</f>
        <v>Cartilla Obra Social</v>
      </c>
      <c r="K1401" s="7" t="str">
        <f>IFERROR(__xludf.DUMMYFUNCTION("""COMPUTED_VALUE"""),"Obra social")</f>
        <v>Obra social</v>
      </c>
      <c r="L1401" s="7"/>
      <c r="M1401" s="7" t="str">
        <f>IFERROR(__xludf.DUMMYFUNCTION("""COMPUTED_VALUE"""),"Si")</f>
        <v>Si</v>
      </c>
      <c r="N1401" s="7" t="str">
        <f>IFERROR(__xludf.DUMMYFUNCTION("""COMPUTED_VALUE"""),"Gimnasio")</f>
        <v>Gimnasio</v>
      </c>
      <c r="O1401" s="7" t="str">
        <f>IFERROR(__xludf.DUMMYFUNCTION("""COMPUTED_VALUE"""),"1 a 2 veces por semana")</f>
        <v>1 a 2 veces por semana</v>
      </c>
      <c r="P1401" s="7"/>
      <c r="Q1401" s="7" t="str">
        <f>IFERROR(__xludf.DUMMYFUNCTION("""COMPUTED_VALUE"""),"PREVENCIÓN")</f>
        <v>PREVENCIÓN</v>
      </c>
      <c r="R1401" s="7"/>
      <c r="S1401" s="7"/>
    </row>
    <row r="1402">
      <c r="C1402" s="19">
        <f>IFERROR(__xludf.DUMMYFUNCTION("""COMPUTED_VALUE"""),46035.44125081018)</f>
        <v>46035.44125</v>
      </c>
      <c r="D1402" s="7" t="str">
        <f>IFERROR(__xludf.DUMMYFUNCTION("""COMPUTED_VALUE"""),"Videla")</f>
        <v>Videla</v>
      </c>
      <c r="E1402" s="7" t="str">
        <f>IFERROR(__xludf.DUMMYFUNCTION("""COMPUTED_VALUE"""),"Sofia")</f>
        <v>Sofia</v>
      </c>
      <c r="F1402" s="7" t="str">
        <f>IFERROR(__xludf.DUMMYFUNCTION("""COMPUTED_VALUE"""),"videlasofi3@gmail.com")</f>
        <v>videlasofi3@gmail.com</v>
      </c>
      <c r="G1402" s="20">
        <f>IFERROR(__xludf.DUMMYFUNCTION("""COMPUTED_VALUE"""),38963.0)</f>
        <v>38963</v>
      </c>
      <c r="H1402" s="7">
        <f>IFERROR(__xludf.DUMMYFUNCTION("""COMPUTED_VALUE"""),4.7173465E7)</f>
        <v>47173465</v>
      </c>
      <c r="I1402" s="7">
        <f>IFERROR(__xludf.DUMMYFUNCTION("""COMPUTED_VALUE"""),3.513235567E9)</f>
        <v>3513235567</v>
      </c>
      <c r="J1402" s="7" t="str">
        <f>IFERROR(__xludf.DUMMYFUNCTION("""COMPUTED_VALUE"""),"Voy al gym Manantial")</f>
        <v>Voy al gym Manantial</v>
      </c>
      <c r="K1402" s="7" t="str">
        <f>IFERROR(__xludf.DUMMYFUNCTION("""COMPUTED_VALUE"""),"Obra social")</f>
        <v>Obra social</v>
      </c>
      <c r="L1402" s="7"/>
      <c r="M1402" s="7" t="str">
        <f>IFERROR(__xludf.DUMMYFUNCTION("""COMPUTED_VALUE"""),"Si")</f>
        <v>Si</v>
      </c>
      <c r="N1402" s="7" t="str">
        <f>IFERROR(__xludf.DUMMYFUNCTION("""COMPUTED_VALUE"""),"Gimnasio")</f>
        <v>Gimnasio</v>
      </c>
      <c r="O1402" s="7" t="str">
        <f>IFERROR(__xludf.DUMMYFUNCTION("""COMPUTED_VALUE"""),"3 a 5 veces por semana")</f>
        <v>3 a 5 veces por semana</v>
      </c>
      <c r="P1402" s="7"/>
      <c r="Q1402" s="7" t="str">
        <f>IFERROR(__xludf.DUMMYFUNCTION("""COMPUTED_VALUE"""),"Medife")</f>
        <v>Medife</v>
      </c>
      <c r="R1402" s="7"/>
      <c r="S1402" s="7"/>
    </row>
    <row r="1403">
      <c r="C1403" s="19">
        <f>IFERROR(__xludf.DUMMYFUNCTION("""COMPUTED_VALUE"""),46035.48568238426)</f>
        <v>46035.48568</v>
      </c>
      <c r="D1403" s="7" t="str">
        <f>IFERROR(__xludf.DUMMYFUNCTION("""COMPUTED_VALUE"""),"Ciaravino ")</f>
        <v>Ciaravino </v>
      </c>
      <c r="E1403" s="7" t="str">
        <f>IFERROR(__xludf.DUMMYFUNCTION("""COMPUTED_VALUE"""),"Maximiliano")</f>
        <v>Maximiliano</v>
      </c>
      <c r="F1403" s="7" t="str">
        <f>IFERROR(__xludf.DUMMYFUNCTION("""COMPUTED_VALUE"""),"maxiciaravino@gmail.com")</f>
        <v>maxiciaravino@gmail.com</v>
      </c>
      <c r="G1403" s="20">
        <f>IFERROR(__xludf.DUMMYFUNCTION("""COMPUTED_VALUE"""),29685.0)</f>
        <v>29685</v>
      </c>
      <c r="H1403" s="7">
        <f>IFERROR(__xludf.DUMMYFUNCTION("""COMPUTED_VALUE"""),2.8656682E7)</f>
        <v>28656682</v>
      </c>
      <c r="I1403" s="7">
        <f>IFERROR(__xludf.DUMMYFUNCTION("""COMPUTED_VALUE"""),3.516231959E9)</f>
        <v>3516231959</v>
      </c>
      <c r="J1403" s="7" t="str">
        <f>IFERROR(__xludf.DUMMYFUNCTION("""COMPUTED_VALUE"""),"Google")</f>
        <v>Google</v>
      </c>
      <c r="K1403" s="7" t="str">
        <f>IFERROR(__xludf.DUMMYFUNCTION("""COMPUTED_VALUE"""),"Particular")</f>
        <v>Particular</v>
      </c>
      <c r="L1403" s="7"/>
      <c r="M1403" s="7" t="str">
        <f>IFERROR(__xludf.DUMMYFUNCTION("""COMPUTED_VALUE"""),"Si")</f>
        <v>Si</v>
      </c>
      <c r="N1403" s="7" t="str">
        <f>IFERROR(__xludf.DUMMYFUNCTION("""COMPUTED_VALUE"""),"Gimnasio")</f>
        <v>Gimnasio</v>
      </c>
      <c r="O1403" s="7" t="str">
        <f>IFERROR(__xludf.DUMMYFUNCTION("""COMPUTED_VALUE"""),"3 a 5 veces por semana")</f>
        <v>3 a 5 veces por semana</v>
      </c>
      <c r="P1403" s="7"/>
      <c r="Q1403" s="7"/>
      <c r="R1403" s="7"/>
      <c r="S1403" s="7"/>
    </row>
    <row r="1404">
      <c r="C1404" s="19">
        <f>IFERROR(__xludf.DUMMYFUNCTION("""COMPUTED_VALUE"""),46035.50264846065)</f>
        <v>46035.50265</v>
      </c>
      <c r="D1404" s="7" t="str">
        <f>IFERROR(__xludf.DUMMYFUNCTION("""COMPUTED_VALUE"""),"Ladu")</f>
        <v>Ladu</v>
      </c>
      <c r="E1404" s="7" t="str">
        <f>IFERROR(__xludf.DUMMYFUNCTION("""COMPUTED_VALUE"""),"Hernan Alejandro")</f>
        <v>Hernan Alejandro</v>
      </c>
      <c r="F1404" s="7" t="str">
        <f>IFERROR(__xludf.DUMMYFUNCTION("""COMPUTED_VALUE"""),"hernanalladu@gmail.com")</f>
        <v>hernanalladu@gmail.com</v>
      </c>
      <c r="G1404" s="20">
        <f>IFERROR(__xludf.DUMMYFUNCTION("""COMPUTED_VALUE"""),25587.0)</f>
        <v>25587</v>
      </c>
      <c r="H1404" s="7">
        <f>IFERROR(__xludf.DUMMYFUNCTION("""COMPUTED_VALUE"""),2.1394934E7)</f>
        <v>21394934</v>
      </c>
      <c r="I1404" s="7">
        <f>IFERROR(__xludf.DUMMYFUNCTION("""COMPUTED_VALUE"""),3.513130333E9)</f>
        <v>3513130333</v>
      </c>
      <c r="J1404" s="7" t="str">
        <f>IFERROR(__xludf.DUMMYFUNCTION("""COMPUTED_VALUE"""),"Instagram")</f>
        <v>Instagram</v>
      </c>
      <c r="K1404" s="7" t="str">
        <f>IFERROR(__xludf.DUMMYFUNCTION("""COMPUTED_VALUE"""),"Obra social")</f>
        <v>Obra social</v>
      </c>
      <c r="L1404" s="7"/>
      <c r="M1404" s="7" t="str">
        <f>IFERROR(__xludf.DUMMYFUNCTION("""COMPUTED_VALUE"""),"Si")</f>
        <v>Si</v>
      </c>
      <c r="N1404" s="7" t="str">
        <f>IFERROR(__xludf.DUMMYFUNCTION("""COMPUTED_VALUE"""),"Gimnasio")</f>
        <v>Gimnasio</v>
      </c>
      <c r="O1404" s="7" t="str">
        <f>IFERROR(__xludf.DUMMYFUNCTION("""COMPUTED_VALUE"""),"3 a 5 veces por semana")</f>
        <v>3 a 5 veces por semana</v>
      </c>
      <c r="P1404" s="7"/>
      <c r="Q1404" s="7" t="str">
        <f>IFERROR(__xludf.DUMMYFUNCTION("""COMPUTED_VALUE"""),"APROSS")</f>
        <v>APROSS</v>
      </c>
      <c r="R1404" s="7"/>
      <c r="S1404" s="7"/>
    </row>
    <row r="1405">
      <c r="C1405" s="19">
        <f>IFERROR(__xludf.DUMMYFUNCTION("""COMPUTED_VALUE"""),46035.68261125)</f>
        <v>46035.68261</v>
      </c>
      <c r="D1405" s="7" t="str">
        <f>IFERROR(__xludf.DUMMYFUNCTION("""COMPUTED_VALUE"""),"Vaschetti ")</f>
        <v>Vaschetti </v>
      </c>
      <c r="E1405" s="7" t="str">
        <f>IFERROR(__xludf.DUMMYFUNCTION("""COMPUTED_VALUE"""),"Mariano ")</f>
        <v>Mariano </v>
      </c>
      <c r="F1405" s="7" t="str">
        <f>IFERROR(__xludf.DUMMYFUNCTION("""COMPUTED_VALUE"""),"mvaschetti@hotmail.com")</f>
        <v>mvaschetti@hotmail.com</v>
      </c>
      <c r="G1405" s="20">
        <f>IFERROR(__xludf.DUMMYFUNCTION("""COMPUTED_VALUE"""),30940.0)</f>
        <v>30940</v>
      </c>
      <c r="H1405" s="7">
        <f>IFERROR(__xludf.DUMMYFUNCTION("""COMPUTED_VALUE"""),3.1056377E7)</f>
        <v>31056377</v>
      </c>
      <c r="I1405" s="7">
        <f>IFERROR(__xludf.DUMMYFUNCTION("""COMPUTED_VALUE"""),3.517674577E9)</f>
        <v>3517674577</v>
      </c>
      <c r="J1405" s="7" t="str">
        <f>IFERROR(__xludf.DUMMYFUNCTION("""COMPUTED_VALUE"""),"Recomendación")</f>
        <v>Recomendación</v>
      </c>
      <c r="K1405" s="7" t="str">
        <f>IFERROR(__xludf.DUMMYFUNCTION("""COMPUTED_VALUE"""),"Particular")</f>
        <v>Particular</v>
      </c>
      <c r="L1405" s="7"/>
      <c r="M1405" s="7" t="str">
        <f>IFERROR(__xludf.DUMMYFUNCTION("""COMPUTED_VALUE"""),"Si")</f>
        <v>Si</v>
      </c>
      <c r="N1405" s="7" t="str">
        <f>IFERROR(__xludf.DUMMYFUNCTION("""COMPUTED_VALUE"""),"Gimnasio")</f>
        <v>Gimnasio</v>
      </c>
      <c r="O1405" s="7" t="str">
        <f>IFERROR(__xludf.DUMMYFUNCTION("""COMPUTED_VALUE"""),"3 a 5 veces por semana")</f>
        <v>3 a 5 veces por semana</v>
      </c>
      <c r="P1405" s="7"/>
      <c r="Q1405" s="7"/>
      <c r="R1405" s="7"/>
      <c r="S1405" s="7"/>
    </row>
    <row r="1406">
      <c r="C1406" s="19">
        <f>IFERROR(__xludf.DUMMYFUNCTION("""COMPUTED_VALUE"""),46035.81318875)</f>
        <v>46035.81319</v>
      </c>
      <c r="D1406" s="7" t="str">
        <f>IFERROR(__xludf.DUMMYFUNCTION("""COMPUTED_VALUE"""),"Linares")</f>
        <v>Linares</v>
      </c>
      <c r="E1406" s="7" t="str">
        <f>IFERROR(__xludf.DUMMYFUNCTION("""COMPUTED_VALUE"""),"Gonzalo")</f>
        <v>Gonzalo</v>
      </c>
      <c r="F1406" s="7" t="str">
        <f>IFERROR(__xludf.DUMMYFUNCTION("""COMPUTED_VALUE"""),"gonzalito270665@gmail.com")</f>
        <v>gonzalito270665@gmail.com</v>
      </c>
      <c r="G1406" s="20">
        <f>IFERROR(__xludf.DUMMYFUNCTION("""COMPUTED_VALUE"""),23920.0)</f>
        <v>23920</v>
      </c>
      <c r="H1406" s="7">
        <f>IFERROR(__xludf.DUMMYFUNCTION("""COMPUTED_VALUE"""),1.7158131E7)</f>
        <v>17158131</v>
      </c>
      <c r="I1406" s="7">
        <f>IFERROR(__xludf.DUMMYFUNCTION("""COMPUTED_VALUE"""),3.516140969E9)</f>
        <v>3516140969</v>
      </c>
      <c r="J1406" s="7" t="str">
        <f>IFERROR(__xludf.DUMMYFUNCTION("""COMPUTED_VALUE"""),"Google")</f>
        <v>Google</v>
      </c>
      <c r="K1406" s="7" t="str">
        <f>IFERROR(__xludf.DUMMYFUNCTION("""COMPUTED_VALUE"""),"Particular")</f>
        <v>Particular</v>
      </c>
      <c r="L1406" s="7"/>
      <c r="M1406" s="7" t="str">
        <f>IFERROR(__xludf.DUMMYFUNCTION("""COMPUTED_VALUE"""),"Si")</f>
        <v>Si</v>
      </c>
      <c r="N1406" s="7" t="str">
        <f>IFERROR(__xludf.DUMMYFUNCTION("""COMPUTED_VALUE"""),"Running")</f>
        <v>Running</v>
      </c>
      <c r="O1406" s="7" t="str">
        <f>IFERROR(__xludf.DUMMYFUNCTION("""COMPUTED_VALUE"""),"3 a 5 veces por semana")</f>
        <v>3 a 5 veces por semana</v>
      </c>
      <c r="P1406" s="7"/>
      <c r="Q1406" s="7"/>
      <c r="R1406" s="7"/>
      <c r="S1406" s="7"/>
    </row>
    <row r="1407">
      <c r="C1407" s="19">
        <f>IFERROR(__xludf.DUMMYFUNCTION("""COMPUTED_VALUE"""),46035.927854884256)</f>
        <v>46035.92785</v>
      </c>
      <c r="D1407" s="7" t="str">
        <f>IFERROR(__xludf.DUMMYFUNCTION("""COMPUTED_VALUE"""),"Calderon")</f>
        <v>Calderon</v>
      </c>
      <c r="E1407" s="7" t="str">
        <f>IFERROR(__xludf.DUMMYFUNCTION("""COMPUTED_VALUE"""),"Adriana")</f>
        <v>Adriana</v>
      </c>
      <c r="F1407" s="7" t="str">
        <f>IFERROR(__xludf.DUMMYFUNCTION("""COMPUTED_VALUE"""),"adrianacalderon711@gmail.com")</f>
        <v>adrianacalderon711@gmail.com</v>
      </c>
      <c r="G1407" s="20">
        <f>IFERROR(__xludf.DUMMYFUNCTION("""COMPUTED_VALUE"""),22737.0)</f>
        <v>22737</v>
      </c>
      <c r="H1407" s="7">
        <f>IFERROR(__xludf.DUMMYFUNCTION("""COMPUTED_VALUE"""),1.4892657E7)</f>
        <v>14892657</v>
      </c>
      <c r="I1407" s="7">
        <f>IFERROR(__xludf.DUMMYFUNCTION("""COMPUTED_VALUE"""),3.51529982E9)</f>
        <v>3515299820</v>
      </c>
      <c r="J1407" s="7" t="str">
        <f>IFERROR(__xludf.DUMMYFUNCTION("""COMPUTED_VALUE"""),"Recomendación")</f>
        <v>Recomendación</v>
      </c>
      <c r="K1407" s="7" t="str">
        <f>IFERROR(__xludf.DUMMYFUNCTION("""COMPUTED_VALUE"""),"Particular")</f>
        <v>Particular</v>
      </c>
      <c r="L1407" s="7"/>
      <c r="M1407" s="7" t="str">
        <f>IFERROR(__xludf.DUMMYFUNCTION("""COMPUTED_VALUE"""),"Si")</f>
        <v>Si</v>
      </c>
      <c r="N1407" s="7" t="str">
        <f>IFERROR(__xludf.DUMMYFUNCTION("""COMPUTED_VALUE"""),"Gimnasio")</f>
        <v>Gimnasio</v>
      </c>
      <c r="O1407" s="7" t="str">
        <f>IFERROR(__xludf.DUMMYFUNCTION("""COMPUTED_VALUE"""),"3 a 5 veces por semana")</f>
        <v>3 a 5 veces por semana</v>
      </c>
      <c r="P1407" s="7"/>
      <c r="Q1407" s="7"/>
      <c r="R1407" s="7"/>
      <c r="S1407" s="7"/>
    </row>
    <row r="1408">
      <c r="C1408" s="19">
        <f>IFERROR(__xludf.DUMMYFUNCTION("""COMPUTED_VALUE"""),46036.47610609954)</f>
        <v>46036.47611</v>
      </c>
      <c r="D1408" s="7" t="str">
        <f>IFERROR(__xludf.DUMMYFUNCTION("""COMPUTED_VALUE"""),"leiva")</f>
        <v>leiva</v>
      </c>
      <c r="E1408" s="7" t="str">
        <f>IFERROR(__xludf.DUMMYFUNCTION("""COMPUTED_VALUE"""),"agostina")</f>
        <v>agostina</v>
      </c>
      <c r="F1408" s="7" t="str">
        <f>IFERROR(__xludf.DUMMYFUNCTION("""COMPUTED_VALUE"""),"agos.leiva98@gmail.com")</f>
        <v>agos.leiva98@gmail.com</v>
      </c>
      <c r="G1408" s="20">
        <f>IFERROR(__xludf.DUMMYFUNCTION("""COMPUTED_VALUE"""),35941.0)</f>
        <v>35941</v>
      </c>
      <c r="H1408" s="7">
        <f>IFERROR(__xludf.DUMMYFUNCTION("""COMPUTED_VALUE"""),4.1264844E7)</f>
        <v>41264844</v>
      </c>
      <c r="I1408" s="7">
        <f>IFERROR(__xludf.DUMMYFUNCTION("""COMPUTED_VALUE"""),3.517043411E9)</f>
        <v>3517043411</v>
      </c>
      <c r="J1408" s="7" t="str">
        <f>IFERROR(__xludf.DUMMYFUNCTION("""COMPUTED_VALUE"""),"Voy al gym Manantial")</f>
        <v>Voy al gym Manantial</v>
      </c>
      <c r="K1408" s="7" t="str">
        <f>IFERROR(__xludf.DUMMYFUNCTION("""COMPUTED_VALUE"""),"Obra social")</f>
        <v>Obra social</v>
      </c>
      <c r="L1408" s="7"/>
      <c r="M1408" s="7" t="str">
        <f>IFERROR(__xludf.DUMMYFUNCTION("""COMPUTED_VALUE"""),"Si")</f>
        <v>Si</v>
      </c>
      <c r="N1408" s="7" t="str">
        <f>IFERROR(__xludf.DUMMYFUNCTION("""COMPUTED_VALUE"""),"Gimnasio")</f>
        <v>Gimnasio</v>
      </c>
      <c r="O1408" s="7" t="str">
        <f>IFERROR(__xludf.DUMMYFUNCTION("""COMPUTED_VALUE"""),"3 a 5 veces por semana")</f>
        <v>3 a 5 veces por semana</v>
      </c>
      <c r="P1408" s="7"/>
      <c r="Q1408" s="7" t="str">
        <f>IFERROR(__xludf.DUMMYFUNCTION("""COMPUTED_VALUE"""),"medife")</f>
        <v>medife</v>
      </c>
      <c r="R1408" s="7"/>
      <c r="S1408" s="7"/>
    </row>
    <row r="1409">
      <c r="C1409" s="19">
        <f>IFERROR(__xludf.DUMMYFUNCTION("""COMPUTED_VALUE"""),46036.87567202546)</f>
        <v>46036.87567</v>
      </c>
      <c r="D1409" s="7" t="str">
        <f>IFERROR(__xludf.DUMMYFUNCTION("""COMPUTED_VALUE"""),"Cáceres Angeletti")</f>
        <v>Cáceres Angeletti</v>
      </c>
      <c r="E1409" s="7" t="str">
        <f>IFERROR(__xludf.DUMMYFUNCTION("""COMPUTED_VALUE"""),"Maria Belen ")</f>
        <v>Maria Belen </v>
      </c>
      <c r="F1409" s="7" t="str">
        <f>IFERROR(__xludf.DUMMYFUNCTION("""COMPUTED_VALUE"""),"mbcaceres07@gmail.com")</f>
        <v>mbcaceres07@gmail.com</v>
      </c>
      <c r="G1409" s="20">
        <f>IFERROR(__xludf.DUMMYFUNCTION("""COMPUTED_VALUE"""),28097.0)</f>
        <v>28097</v>
      </c>
      <c r="H1409" s="7">
        <f>IFERROR(__xludf.DUMMYFUNCTION("""COMPUTED_VALUE"""),2.5609854E7)</f>
        <v>25609854</v>
      </c>
      <c r="I1409" s="7">
        <f>IFERROR(__xludf.DUMMYFUNCTION("""COMPUTED_VALUE"""),3.512313955E9)</f>
        <v>3512313955</v>
      </c>
      <c r="J1409" s="7" t="str">
        <f>IFERROR(__xludf.DUMMYFUNCTION("""COMPUTED_VALUE"""),"Recomendación")</f>
        <v>Recomendación</v>
      </c>
      <c r="K1409" s="7" t="str">
        <f>IFERROR(__xludf.DUMMYFUNCTION("""COMPUTED_VALUE"""),"Particular")</f>
        <v>Particular</v>
      </c>
      <c r="L1409" s="7"/>
      <c r="M1409" s="7" t="str">
        <f>IFERROR(__xludf.DUMMYFUNCTION("""COMPUTED_VALUE"""),"Si")</f>
        <v>Si</v>
      </c>
      <c r="N1409" s="7" t="str">
        <f>IFERROR(__xludf.DUMMYFUNCTION("""COMPUTED_VALUE"""),"Pilates")</f>
        <v>Pilates</v>
      </c>
      <c r="O1409" s="7" t="str">
        <f>IFERROR(__xludf.DUMMYFUNCTION("""COMPUTED_VALUE"""),"3 a 5 veces por semana")</f>
        <v>3 a 5 veces por semana</v>
      </c>
      <c r="P1409" s="7"/>
      <c r="Q1409" s="7"/>
      <c r="R1409" s="7"/>
      <c r="S1409" s="7"/>
    </row>
    <row r="1410">
      <c r="C1410" s="19">
        <f>IFERROR(__xludf.DUMMYFUNCTION("""COMPUTED_VALUE"""),46037.759557337966)</f>
        <v>46037.75956</v>
      </c>
      <c r="D1410" s="7" t="str">
        <f>IFERROR(__xludf.DUMMYFUNCTION("""COMPUTED_VALUE"""),"Ramos")</f>
        <v>Ramos</v>
      </c>
      <c r="E1410" s="7" t="str">
        <f>IFERROR(__xludf.DUMMYFUNCTION("""COMPUTED_VALUE"""),"Lautaro")</f>
        <v>Lautaro</v>
      </c>
      <c r="F1410" s="7" t="str">
        <f>IFERROR(__xludf.DUMMYFUNCTION("""COMPUTED_VALUE"""),"lautaro.lr.lr@gmail.com")</f>
        <v>lautaro.lr.lr@gmail.com</v>
      </c>
      <c r="G1410" s="20">
        <f>IFERROR(__xludf.DUMMYFUNCTION("""COMPUTED_VALUE"""),36654.0)</f>
        <v>36654</v>
      </c>
      <c r="H1410" s="7">
        <f>IFERROR(__xludf.DUMMYFUNCTION("""COMPUTED_VALUE"""),4.2641218E7)</f>
        <v>42641218</v>
      </c>
      <c r="I1410" s="7">
        <f>IFERROR(__xludf.DUMMYFUNCTION("""COMPUTED_VALUE"""),3.513432536E9)</f>
        <v>3513432536</v>
      </c>
      <c r="J1410" s="7" t="str">
        <f>IFERROR(__xludf.DUMMYFUNCTION("""COMPUTED_VALUE"""),"SportClub")</f>
        <v>SportClub</v>
      </c>
      <c r="K1410" s="7" t="str">
        <f>IFERROR(__xludf.DUMMYFUNCTION("""COMPUTED_VALUE"""),"Particular")</f>
        <v>Particular</v>
      </c>
      <c r="L1410" s="7"/>
      <c r="M1410" s="7" t="str">
        <f>IFERROR(__xludf.DUMMYFUNCTION("""COMPUTED_VALUE"""),"Si")</f>
        <v>Si</v>
      </c>
      <c r="N1410" s="7" t="str">
        <f>IFERROR(__xludf.DUMMYFUNCTION("""COMPUTED_VALUE"""),"Gimnasio + Jockey")</f>
        <v>Gimnasio + Jockey</v>
      </c>
      <c r="O1410" s="7" t="str">
        <f>IFERROR(__xludf.DUMMYFUNCTION("""COMPUTED_VALUE"""),"6 a 7 veces por semana")</f>
        <v>6 a 7 veces por semana</v>
      </c>
      <c r="P1410" s="7"/>
      <c r="Q1410" s="7"/>
      <c r="R1410" s="7"/>
      <c r="S1410" s="7"/>
    </row>
    <row r="1411">
      <c r="C1411" s="19">
        <f>IFERROR(__xludf.DUMMYFUNCTION("""COMPUTED_VALUE"""),46038.66627287037)</f>
        <v>46038.66627</v>
      </c>
      <c r="D1411" s="7" t="str">
        <f>IFERROR(__xludf.DUMMYFUNCTION("""COMPUTED_VALUE"""),"Bianchi")</f>
        <v>Bianchi</v>
      </c>
      <c r="E1411" s="7" t="str">
        <f>IFERROR(__xludf.DUMMYFUNCTION("""COMPUTED_VALUE"""),"Jose")</f>
        <v>Jose</v>
      </c>
      <c r="F1411" s="7" t="str">
        <f>IFERROR(__xludf.DUMMYFUNCTION("""COMPUTED_VALUE"""),"Info@mebisa.com.ar")</f>
        <v>Info@mebisa.com.ar</v>
      </c>
      <c r="G1411" s="20">
        <f>IFERROR(__xludf.DUMMYFUNCTION("""COMPUTED_VALUE"""),15253.0)</f>
        <v>15253</v>
      </c>
      <c r="H1411" s="7">
        <f>IFERROR(__xludf.DUMMYFUNCTION("""COMPUTED_VALUE"""),7964691.0)</f>
        <v>7964691</v>
      </c>
      <c r="I1411" s="7">
        <f>IFERROR(__xludf.DUMMYFUNCTION("""COMPUTED_VALUE"""),3.515443912E9)</f>
        <v>3515443912</v>
      </c>
      <c r="J1411" s="7" t="str">
        <f>IFERROR(__xludf.DUMMYFUNCTION("""COMPUTED_VALUE"""),"Recomendación")</f>
        <v>Recomendación</v>
      </c>
      <c r="K1411" s="7" t="str">
        <f>IFERROR(__xludf.DUMMYFUNCTION("""COMPUTED_VALUE"""),"Obra social")</f>
        <v>Obra social</v>
      </c>
      <c r="L1411" s="7"/>
      <c r="M1411" s="7" t="str">
        <f>IFERROR(__xludf.DUMMYFUNCTION("""COMPUTED_VALUE"""),"Si")</f>
        <v>Si</v>
      </c>
      <c r="N1411" s="7"/>
      <c r="O1411" s="7"/>
      <c r="P1411" s="7"/>
      <c r="Q1411" s="7" t="str">
        <f>IFERROR(__xludf.DUMMYFUNCTION("""COMPUTED_VALUE"""),"APROSS")</f>
        <v>APROSS</v>
      </c>
      <c r="R1411" s="7"/>
      <c r="S1411" s="7"/>
    </row>
    <row r="1412">
      <c r="C1412" s="19">
        <f>IFERROR(__xludf.DUMMYFUNCTION("""COMPUTED_VALUE"""),46038.697432615736)</f>
        <v>46038.69743</v>
      </c>
      <c r="D1412" s="7" t="str">
        <f>IFERROR(__xludf.DUMMYFUNCTION("""COMPUTED_VALUE"""),"Neder")</f>
        <v>Neder</v>
      </c>
      <c r="E1412" s="7" t="str">
        <f>IFERROR(__xludf.DUMMYFUNCTION("""COMPUTED_VALUE"""),"julian")</f>
        <v>julian</v>
      </c>
      <c r="F1412" s="7" t="str">
        <f>IFERROR(__xludf.DUMMYFUNCTION("""COMPUTED_VALUE"""),"julianneder@gmail.com")</f>
        <v>julianneder@gmail.com</v>
      </c>
      <c r="G1412" s="20">
        <f>IFERROR(__xludf.DUMMYFUNCTION("""COMPUTED_VALUE"""),34044.0)</f>
        <v>34044</v>
      </c>
      <c r="H1412" s="7">
        <f>IFERROR(__xludf.DUMMYFUNCTION("""COMPUTED_VALUE"""),3.7318241E7)</f>
        <v>37318241</v>
      </c>
      <c r="I1412" s="7">
        <f>IFERROR(__xludf.DUMMYFUNCTION("""COMPUTED_VALUE"""),3.513460114E9)</f>
        <v>3513460114</v>
      </c>
      <c r="J1412" s="7" t="str">
        <f>IFERROR(__xludf.DUMMYFUNCTION("""COMPUTED_VALUE"""),"Google")</f>
        <v>Google</v>
      </c>
      <c r="K1412" s="7" t="str">
        <f>IFERROR(__xludf.DUMMYFUNCTION("""COMPUTED_VALUE"""),"Obra social")</f>
        <v>Obra social</v>
      </c>
      <c r="L1412" s="7"/>
      <c r="M1412" s="7" t="str">
        <f>IFERROR(__xludf.DUMMYFUNCTION("""COMPUTED_VALUE"""),"Si")</f>
        <v>Si</v>
      </c>
      <c r="N1412" s="7" t="str">
        <f>IFERROR(__xludf.DUMMYFUNCTION("""COMPUTED_VALUE"""),"Gimnasio")</f>
        <v>Gimnasio</v>
      </c>
      <c r="O1412" s="7" t="str">
        <f>IFERROR(__xludf.DUMMYFUNCTION("""COMPUTED_VALUE"""),"3 a 5 veces por semana")</f>
        <v>3 a 5 veces por semana</v>
      </c>
      <c r="P1412" s="7"/>
      <c r="Q1412" s="7" t="str">
        <f>IFERROR(__xludf.DUMMYFUNCTION("""COMPUTED_VALUE"""),"APROSS")</f>
        <v>APROSS</v>
      </c>
      <c r="R1412" s="7"/>
      <c r="S1412" s="7"/>
    </row>
    <row r="1413">
      <c r="C1413" s="19">
        <f>IFERROR(__xludf.DUMMYFUNCTION("""COMPUTED_VALUE"""),46038.70119421296)</f>
        <v>46038.70119</v>
      </c>
      <c r="D1413" s="7" t="str">
        <f>IFERROR(__xludf.DUMMYFUNCTION("""COMPUTED_VALUE"""),"Lima")</f>
        <v>Lima</v>
      </c>
      <c r="E1413" s="7" t="str">
        <f>IFERROR(__xludf.DUMMYFUNCTION("""COMPUTED_VALUE"""),"Osvaldo Fabián")</f>
        <v>Osvaldo Fabián</v>
      </c>
      <c r="F1413" s="7" t="str">
        <f>IFERROR(__xludf.DUMMYFUNCTION("""COMPUTED_VALUE"""),"limafab@yahoo.com.ar")</f>
        <v>limafab@yahoo.com.ar</v>
      </c>
      <c r="G1413" s="20">
        <f>IFERROR(__xludf.DUMMYFUNCTION("""COMPUTED_VALUE"""),26440.0)</f>
        <v>26440</v>
      </c>
      <c r="H1413" s="7">
        <f>IFERROR(__xludf.DUMMYFUNCTION("""COMPUTED_VALUE"""),2.2862449E7)</f>
        <v>22862449</v>
      </c>
      <c r="I1413" s="7">
        <f>IFERROR(__xludf.DUMMYFUNCTION("""COMPUTED_VALUE"""),3.515741814E9)</f>
        <v>3515741814</v>
      </c>
      <c r="J1413" s="7" t="str">
        <f>IFERROR(__xludf.DUMMYFUNCTION("""COMPUTED_VALUE"""),"Google")</f>
        <v>Google</v>
      </c>
      <c r="K1413" s="7" t="str">
        <f>IFERROR(__xludf.DUMMYFUNCTION("""COMPUTED_VALUE"""),"Obra social")</f>
        <v>Obra social</v>
      </c>
      <c r="L1413" s="7"/>
      <c r="M1413" s="7" t="str">
        <f>IFERROR(__xludf.DUMMYFUNCTION("""COMPUTED_VALUE"""),"Si")</f>
        <v>Si</v>
      </c>
      <c r="N1413" s="7" t="str">
        <f>IFERROR(__xludf.DUMMYFUNCTION("""COMPUTED_VALUE"""),"Gimnasio")</f>
        <v>Gimnasio</v>
      </c>
      <c r="O1413" s="7" t="str">
        <f>IFERROR(__xludf.DUMMYFUNCTION("""COMPUTED_VALUE"""),"1 a 2 veces por semana")</f>
        <v>1 a 2 veces por semana</v>
      </c>
      <c r="P1413" s="7"/>
      <c r="Q1413" s="7" t="str">
        <f>IFERROR(__xludf.DUMMYFUNCTION("""COMPUTED_VALUE"""),"Swiss Medical")</f>
        <v>Swiss Medical</v>
      </c>
      <c r="R1413" s="7"/>
      <c r="S1413" s="7"/>
    </row>
    <row r="1414">
      <c r="C1414" s="19">
        <f>IFERROR(__xludf.DUMMYFUNCTION("""COMPUTED_VALUE"""),46039.39593684028)</f>
        <v>46039.39594</v>
      </c>
      <c r="D1414" s="7" t="str">
        <f>IFERROR(__xludf.DUMMYFUNCTION("""COMPUTED_VALUE"""),"Ruiz Diaz ")</f>
        <v>Ruiz Diaz </v>
      </c>
      <c r="E1414" s="7" t="str">
        <f>IFERROR(__xludf.DUMMYFUNCTION("""COMPUTED_VALUE"""),"Leonardo Emanuel ")</f>
        <v>Leonardo Emanuel </v>
      </c>
      <c r="F1414" s="7" t="str">
        <f>IFERROR(__xludf.DUMMYFUNCTION("""COMPUTED_VALUE"""),"Leonardoruiz@upc.edu.ar ")</f>
        <v>Leonardoruiz@upc.edu.ar </v>
      </c>
      <c r="G1414" s="20">
        <f>IFERROR(__xludf.DUMMYFUNCTION("""COMPUTED_VALUE"""),29922.0)</f>
        <v>29922</v>
      </c>
      <c r="H1414" s="7">
        <f>IFERROR(__xludf.DUMMYFUNCTION("""COMPUTED_VALUE"""),2.9180186E7)</f>
        <v>29180186</v>
      </c>
      <c r="I1414" s="7">
        <f>IFERROR(__xludf.DUMMYFUNCTION("""COMPUTED_VALUE"""),3.51613146E9)</f>
        <v>3516131460</v>
      </c>
      <c r="J1414" s="7" t="str">
        <f>IFERROR(__xludf.DUMMYFUNCTION("""COMPUTED_VALUE"""),"Google")</f>
        <v>Google</v>
      </c>
      <c r="K1414" s="7" t="str">
        <f>IFERROR(__xludf.DUMMYFUNCTION("""COMPUTED_VALUE"""),"Obra social")</f>
        <v>Obra social</v>
      </c>
      <c r="L1414" s="7"/>
      <c r="M1414" s="7" t="str">
        <f>IFERROR(__xludf.DUMMYFUNCTION("""COMPUTED_VALUE"""),"Si")</f>
        <v>Si</v>
      </c>
      <c r="N1414" s="7" t="str">
        <f>IFERROR(__xludf.DUMMYFUNCTION("""COMPUTED_VALUE"""),"Fútbol")</f>
        <v>Fútbol</v>
      </c>
      <c r="O1414" s="7" t="str">
        <f>IFERROR(__xludf.DUMMYFUNCTION("""COMPUTED_VALUE"""),"3 a 5 veces por semana")</f>
        <v>3 a 5 veces por semana</v>
      </c>
      <c r="P1414" s="7"/>
      <c r="Q1414" s="7" t="str">
        <f>IFERROR(__xludf.DUMMYFUNCTION("""COMPUTED_VALUE"""),"APROSS")</f>
        <v>APROSS</v>
      </c>
      <c r="R1414" s="7"/>
      <c r="S1414" s="7"/>
    </row>
    <row r="1415">
      <c r="C1415" s="19">
        <f>IFERROR(__xludf.DUMMYFUNCTION("""COMPUTED_VALUE"""),46040.80683511574)</f>
        <v>46040.80684</v>
      </c>
      <c r="D1415" s="7" t="str">
        <f>IFERROR(__xludf.DUMMYFUNCTION("""COMPUTED_VALUE"""),"Roganti")</f>
        <v>Roganti</v>
      </c>
      <c r="E1415" s="7" t="str">
        <f>IFERROR(__xludf.DUMMYFUNCTION("""COMPUTED_VALUE"""),"Laura")</f>
        <v>Laura</v>
      </c>
      <c r="F1415" s="7" t="str">
        <f>IFERROR(__xludf.DUMMYFUNCTION("""COMPUTED_VALUE"""),"l_roganti@hotmail.com")</f>
        <v>l_roganti@hotmail.com</v>
      </c>
      <c r="G1415" s="20">
        <f>IFERROR(__xludf.DUMMYFUNCTION("""COMPUTED_VALUE"""),29372.0)</f>
        <v>29372</v>
      </c>
      <c r="H1415" s="7">
        <f>IFERROR(__xludf.DUMMYFUNCTION("""COMPUTED_VALUE"""),2.8064405E7)</f>
        <v>28064405</v>
      </c>
      <c r="I1415" s="7">
        <f>IFERROR(__xludf.DUMMYFUNCTION("""COMPUTED_VALUE"""),3.512339912E9)</f>
        <v>3512339912</v>
      </c>
      <c r="J1415" s="7" t="str">
        <f>IFERROR(__xludf.DUMMYFUNCTION("""COMPUTED_VALUE"""),"Recomendación")</f>
        <v>Recomendación</v>
      </c>
      <c r="K1415" s="7" t="str">
        <f>IFERROR(__xludf.DUMMYFUNCTION("""COMPUTED_VALUE"""),"Obra social")</f>
        <v>Obra social</v>
      </c>
      <c r="L1415" s="7"/>
      <c r="M1415" s="7" t="str">
        <f>IFERROR(__xludf.DUMMYFUNCTION("""COMPUTED_VALUE"""),"Si")</f>
        <v>Si</v>
      </c>
      <c r="N1415" s="7" t="str">
        <f>IFERROR(__xludf.DUMMYFUNCTION("""COMPUTED_VALUE"""),"Gimnasio y TPA")</f>
        <v>Gimnasio y TPA</v>
      </c>
      <c r="O1415" s="7" t="str">
        <f>IFERROR(__xludf.DUMMYFUNCTION("""COMPUTED_VALUE"""),"3 a 5 veces por semana")</f>
        <v>3 a 5 veces por semana</v>
      </c>
      <c r="P1415" s="7"/>
      <c r="Q1415" s="7" t="str">
        <f>IFERROR(__xludf.DUMMYFUNCTION("""COMPUTED_VALUE"""),"Medife")</f>
        <v>Medife</v>
      </c>
      <c r="R1415" s="7"/>
      <c r="S1415" s="7"/>
    </row>
    <row r="1416">
      <c r="C1416" s="19">
        <f>IFERROR(__xludf.DUMMYFUNCTION("""COMPUTED_VALUE"""),46040.905869375)</f>
        <v>46040.90587</v>
      </c>
      <c r="D1416" s="7" t="str">
        <f>IFERROR(__xludf.DUMMYFUNCTION("""COMPUTED_VALUE"""),"Luna")</f>
        <v>Luna</v>
      </c>
      <c r="E1416" s="7" t="str">
        <f>IFERROR(__xludf.DUMMYFUNCTION("""COMPUTED_VALUE"""),"Federico ")</f>
        <v>Federico </v>
      </c>
      <c r="F1416" s="7" t="str">
        <f>IFERROR(__xludf.DUMMYFUNCTION("""COMPUTED_VALUE"""),"Fede.luna1988@gmail.com")</f>
        <v>Fede.luna1988@gmail.com</v>
      </c>
      <c r="G1416" s="20">
        <f>IFERROR(__xludf.DUMMYFUNCTION("""COMPUTED_VALUE"""),32374.0)</f>
        <v>32374</v>
      </c>
      <c r="H1416" s="7">
        <f>IFERROR(__xludf.DUMMYFUNCTION("""COMPUTED_VALUE"""),3.3831945E7)</f>
        <v>33831945</v>
      </c>
      <c r="I1416" s="7">
        <f>IFERROR(__xludf.DUMMYFUNCTION("""COMPUTED_VALUE"""),3.512039666E9)</f>
        <v>3512039666</v>
      </c>
      <c r="J1416" s="7" t="str">
        <f>IFERROR(__xludf.DUMMYFUNCTION("""COMPUTED_VALUE"""),"Recomendación")</f>
        <v>Recomendación</v>
      </c>
      <c r="K1416" s="7" t="str">
        <f>IFERROR(__xludf.DUMMYFUNCTION("""COMPUTED_VALUE"""),"Obra social")</f>
        <v>Obra social</v>
      </c>
      <c r="L1416" s="7"/>
      <c r="M1416" s="7" t="str">
        <f>IFERROR(__xludf.DUMMYFUNCTION("""COMPUTED_VALUE"""),"Si")</f>
        <v>Si</v>
      </c>
      <c r="N1416" s="7" t="str">
        <f>IFERROR(__xludf.DUMMYFUNCTION("""COMPUTED_VALUE"""),"Básquet y Running")</f>
        <v>Básquet y Running</v>
      </c>
      <c r="O1416" s="7" t="str">
        <f>IFERROR(__xludf.DUMMYFUNCTION("""COMPUTED_VALUE"""),"3 a 5 veces por semana")</f>
        <v>3 a 5 veces por semana</v>
      </c>
      <c r="P1416" s="7"/>
      <c r="Q1416" s="7" t="str">
        <f>IFERROR(__xludf.DUMMYFUNCTION("""COMPUTED_VALUE"""),"SANCOR")</f>
        <v>SANCOR</v>
      </c>
      <c r="R1416" s="7"/>
      <c r="S1416" s="7"/>
    </row>
    <row r="1417">
      <c r="C1417" s="19">
        <f>IFERROR(__xludf.DUMMYFUNCTION("""COMPUTED_VALUE"""),46041.37102131944)</f>
        <v>46041.37102</v>
      </c>
      <c r="D1417" s="7" t="str">
        <f>IFERROR(__xludf.DUMMYFUNCTION("""COMPUTED_VALUE"""),"FERRARIS")</f>
        <v>FERRARIS</v>
      </c>
      <c r="E1417" s="7" t="str">
        <f>IFERROR(__xludf.DUMMYFUNCTION("""COMPUTED_VALUE"""),"Ainelén ")</f>
        <v>Ainelén </v>
      </c>
      <c r="F1417" s="7" t="str">
        <f>IFERROR(__xludf.DUMMYFUNCTION("""COMPUTED_VALUE"""),"ferrarisainelen@gmail.com")</f>
        <v>ferrarisainelen@gmail.com</v>
      </c>
      <c r="G1417" s="20">
        <f>IFERROR(__xludf.DUMMYFUNCTION("""COMPUTED_VALUE"""),33338.0)</f>
        <v>33338</v>
      </c>
      <c r="H1417" s="7">
        <f>IFERROR(__xludf.DUMMYFUNCTION("""COMPUTED_VALUE"""),3.5883146E7)</f>
        <v>35883146</v>
      </c>
      <c r="I1417" s="7">
        <f>IFERROR(__xludf.DUMMYFUNCTION("""COMPUTED_VALUE"""),3.512377419E9)</f>
        <v>3512377419</v>
      </c>
      <c r="J1417" s="7" t="str">
        <f>IFERROR(__xludf.DUMMYFUNCTION("""COMPUTED_VALUE"""),"Google")</f>
        <v>Google</v>
      </c>
      <c r="K1417" s="7" t="str">
        <f>IFERROR(__xludf.DUMMYFUNCTION("""COMPUTED_VALUE"""),"Obra social")</f>
        <v>Obra social</v>
      </c>
      <c r="L1417" s="7"/>
      <c r="M1417" s="7" t="str">
        <f>IFERROR(__xludf.DUMMYFUNCTION("""COMPUTED_VALUE"""),"No")</f>
        <v>No</v>
      </c>
      <c r="N1417" s="7"/>
      <c r="O1417" s="7"/>
      <c r="P1417" s="7"/>
      <c r="Q1417" s="7" t="str">
        <f>IFERROR(__xludf.DUMMYFUNCTION("""COMPUTED_VALUE"""),"SANCOR")</f>
        <v>SANCOR</v>
      </c>
      <c r="R1417" s="7"/>
      <c r="S1417" s="7"/>
    </row>
    <row r="1418">
      <c r="C1418" s="19">
        <f>IFERROR(__xludf.DUMMYFUNCTION("""COMPUTED_VALUE"""),46041.40701929398)</f>
        <v>46041.40702</v>
      </c>
      <c r="D1418" s="7" t="str">
        <f>IFERROR(__xludf.DUMMYFUNCTION("""COMPUTED_VALUE"""),"Pucheta")</f>
        <v>Pucheta</v>
      </c>
      <c r="E1418" s="7" t="str">
        <f>IFERROR(__xludf.DUMMYFUNCTION("""COMPUTED_VALUE"""),"Benjamin ")</f>
        <v>Benjamin </v>
      </c>
      <c r="F1418" s="7" t="str">
        <f>IFERROR(__xludf.DUMMYFUNCTION("""COMPUTED_VALUE"""),"Guaditaoth@hotmail.com")</f>
        <v>Guaditaoth@hotmail.com</v>
      </c>
      <c r="G1418" s="20">
        <f>IFERROR(__xludf.DUMMYFUNCTION("""COMPUTED_VALUE"""),39735.0)</f>
        <v>39735</v>
      </c>
      <c r="H1418" s="7">
        <f>IFERROR(__xludf.DUMMYFUNCTION("""COMPUTED_VALUE"""),5.0635799E7)</f>
        <v>50635799</v>
      </c>
      <c r="I1418" s="7">
        <f>IFERROR(__xludf.DUMMYFUNCTION("""COMPUTED_VALUE"""),3.512584587E9)</f>
        <v>3512584587</v>
      </c>
      <c r="J1418" s="7" t="str">
        <f>IFERROR(__xludf.DUMMYFUNCTION("""COMPUTED_VALUE"""),"Google")</f>
        <v>Google</v>
      </c>
      <c r="K1418" s="7" t="str">
        <f>IFERROR(__xludf.DUMMYFUNCTION("""COMPUTED_VALUE"""),"Obra social")</f>
        <v>Obra social</v>
      </c>
      <c r="L1418" s="7"/>
      <c r="M1418" s="7" t="str">
        <f>IFERROR(__xludf.DUMMYFUNCTION("""COMPUTED_VALUE"""),"Si")</f>
        <v>Si</v>
      </c>
      <c r="N1418" s="7" t="str">
        <f>IFERROR(__xludf.DUMMYFUNCTION("""COMPUTED_VALUE"""),"Fútbol")</f>
        <v>Fútbol</v>
      </c>
      <c r="O1418" s="7" t="str">
        <f>IFERROR(__xludf.DUMMYFUNCTION("""COMPUTED_VALUE"""),"1 a 2 veces por semana")</f>
        <v>1 a 2 veces por semana</v>
      </c>
      <c r="P1418" s="7"/>
      <c r="Q1418" s="7" t="str">
        <f>IFERROR(__xludf.DUMMYFUNCTION("""COMPUTED_VALUE"""),"Boreal ")</f>
        <v>Boreal </v>
      </c>
      <c r="R1418" s="7"/>
      <c r="S1418" s="7"/>
    </row>
    <row r="1419">
      <c r="C1419" s="19">
        <f>IFERROR(__xludf.DUMMYFUNCTION("""COMPUTED_VALUE"""),46041.44854253472)</f>
        <v>46041.44854</v>
      </c>
      <c r="D1419" s="7" t="str">
        <f>IFERROR(__xludf.DUMMYFUNCTION("""COMPUTED_VALUE"""),"FILI")</f>
        <v>FILI</v>
      </c>
      <c r="E1419" s="7" t="str">
        <f>IFERROR(__xludf.DUMMYFUNCTION("""COMPUTED_VALUE"""),"María Florencia")</f>
        <v>María Florencia</v>
      </c>
      <c r="F1419" s="7" t="str">
        <f>IFERROR(__xludf.DUMMYFUNCTION("""COMPUTED_VALUE"""),"florfili@gmail.com")</f>
        <v>florfili@gmail.com</v>
      </c>
      <c r="G1419" s="20">
        <f>IFERROR(__xludf.DUMMYFUNCTION("""COMPUTED_VALUE"""),30852.0)</f>
        <v>30852</v>
      </c>
      <c r="H1419" s="7">
        <f>IFERROR(__xludf.DUMMYFUNCTION("""COMPUTED_VALUE"""),3.1041617E7)</f>
        <v>31041617</v>
      </c>
      <c r="I1419" s="7">
        <f>IFERROR(__xludf.DUMMYFUNCTION("""COMPUTED_VALUE"""),3.513141166E9)</f>
        <v>3513141166</v>
      </c>
      <c r="J1419" s="7" t="str">
        <f>IFERROR(__xludf.DUMMYFUNCTION("""COMPUTED_VALUE"""),"Voy al gym Manantial")</f>
        <v>Voy al gym Manantial</v>
      </c>
      <c r="K1419" s="7" t="str">
        <f>IFERROR(__xludf.DUMMYFUNCTION("""COMPUTED_VALUE"""),"Obra social")</f>
        <v>Obra social</v>
      </c>
      <c r="L1419" s="7"/>
      <c r="M1419" s="7" t="str">
        <f>IFERROR(__xludf.DUMMYFUNCTION("""COMPUTED_VALUE"""),"Si")</f>
        <v>Si</v>
      </c>
      <c r="N1419" s="7" t="str">
        <f>IFERROR(__xludf.DUMMYFUNCTION("""COMPUTED_VALUE"""),"Gimnasio")</f>
        <v>Gimnasio</v>
      </c>
      <c r="O1419" s="7" t="str">
        <f>IFERROR(__xludf.DUMMYFUNCTION("""COMPUTED_VALUE"""),"3 a 5 veces por semana")</f>
        <v>3 a 5 veces por semana</v>
      </c>
      <c r="P1419" s="7"/>
      <c r="Q1419" s="7" t="str">
        <f>IFERROR(__xludf.DUMMYFUNCTION("""COMPUTED_VALUE"""),"APROSS")</f>
        <v>APROSS</v>
      </c>
      <c r="R1419" s="7"/>
      <c r="S1419" s="7"/>
    </row>
    <row r="1420">
      <c r="C1420" s="19">
        <f>IFERROR(__xludf.DUMMYFUNCTION("""COMPUTED_VALUE"""),46041.977526608796)</f>
        <v>46041.97753</v>
      </c>
      <c r="D1420" s="7" t="str">
        <f>IFERROR(__xludf.DUMMYFUNCTION("""COMPUTED_VALUE"""),"GIUSTO")</f>
        <v>GIUSTO</v>
      </c>
      <c r="E1420" s="7" t="str">
        <f>IFERROR(__xludf.DUMMYFUNCTION("""COMPUTED_VALUE"""),"ANA MARIA")</f>
        <v>ANA MARIA</v>
      </c>
      <c r="F1420" s="7" t="str">
        <f>IFERROR(__xludf.DUMMYFUNCTION("""COMPUTED_VALUE"""),"anamariagiusto3@gmail.com")</f>
        <v>anamariagiusto3@gmail.com</v>
      </c>
      <c r="G1420" s="20">
        <f>IFERROR(__xludf.DUMMYFUNCTION("""COMPUTED_VALUE"""),16299.0)</f>
        <v>16299</v>
      </c>
      <c r="H1420" s="7">
        <f>IFERROR(__xludf.DUMMYFUNCTION("""COMPUTED_VALUE"""),4855585.0)</f>
        <v>4855585</v>
      </c>
      <c r="I1420" s="7">
        <f>IFERROR(__xludf.DUMMYFUNCTION("""COMPUTED_VALUE"""),3.512839398E9)</f>
        <v>3512839398</v>
      </c>
      <c r="J1420" s="7" t="str">
        <f>IFERROR(__xludf.DUMMYFUNCTION("""COMPUTED_VALUE"""),"Google")</f>
        <v>Google</v>
      </c>
      <c r="K1420" s="7" t="str">
        <f>IFERROR(__xludf.DUMMYFUNCTION("""COMPUTED_VALUE"""),"Particular")</f>
        <v>Particular</v>
      </c>
      <c r="L1420" s="7"/>
      <c r="M1420" s="7" t="str">
        <f>IFERROR(__xludf.DUMMYFUNCTION("""COMPUTED_VALUE"""),"No")</f>
        <v>No</v>
      </c>
      <c r="N1420" s="7"/>
      <c r="O1420" s="7"/>
      <c r="P1420" s="7"/>
      <c r="Q1420" s="7"/>
      <c r="R1420" s="7"/>
      <c r="S1420" s="7"/>
    </row>
    <row r="1421">
      <c r="C1421" s="19">
        <f>IFERROR(__xludf.DUMMYFUNCTION("""COMPUTED_VALUE"""),46045.744317523146)</f>
        <v>46045.74432</v>
      </c>
      <c r="D1421" s="7" t="str">
        <f>IFERROR(__xludf.DUMMYFUNCTION("""COMPUTED_VALUE"""),"Nacul")</f>
        <v>Nacul</v>
      </c>
      <c r="E1421" s="7" t="str">
        <f>IFERROR(__xludf.DUMMYFUNCTION("""COMPUTED_VALUE"""),"Lautaro")</f>
        <v>Lautaro</v>
      </c>
      <c r="F1421" s="7" t="str">
        <f>IFERROR(__xludf.DUMMYFUNCTION("""COMPUTED_VALUE"""),"launacul@hotmail.com")</f>
        <v>launacul@hotmail.com</v>
      </c>
      <c r="G1421" s="20">
        <f>IFERROR(__xludf.DUMMYFUNCTION("""COMPUTED_VALUE"""),35804.0)</f>
        <v>35804</v>
      </c>
      <c r="H1421" s="7">
        <f>IFERROR(__xludf.DUMMYFUNCTION("""COMPUTED_VALUE"""),4.0783228E7)</f>
        <v>40783228</v>
      </c>
      <c r="I1421" s="7">
        <f>IFERROR(__xludf.DUMMYFUNCTION("""COMPUTED_VALUE"""),3.815972112E9)</f>
        <v>3815972112</v>
      </c>
      <c r="J1421" s="7" t="str">
        <f>IFERROR(__xludf.DUMMYFUNCTION("""COMPUTED_VALUE"""),"Google")</f>
        <v>Google</v>
      </c>
      <c r="K1421" s="7" t="str">
        <f>IFERROR(__xludf.DUMMYFUNCTION("""COMPUTED_VALUE"""),"Obra social")</f>
        <v>Obra social</v>
      </c>
      <c r="L1421" s="7"/>
      <c r="M1421" s="7" t="str">
        <f>IFERROR(__xludf.DUMMYFUNCTION("""COMPUTED_VALUE"""),"Si")</f>
        <v>Si</v>
      </c>
      <c r="N1421" s="7" t="str">
        <f>IFERROR(__xludf.DUMMYFUNCTION("""COMPUTED_VALUE"""),"Fútbol")</f>
        <v>Fútbol</v>
      </c>
      <c r="O1421" s="7" t="str">
        <f>IFERROR(__xludf.DUMMYFUNCTION("""COMPUTED_VALUE"""),"3 a 5 veces por semana")</f>
        <v>3 a 5 veces por semana</v>
      </c>
      <c r="P1421" s="7"/>
      <c r="Q1421" s="7" t="str">
        <f>IFERROR(__xludf.DUMMYFUNCTION("""COMPUTED_VALUE"""),"SANCOR")</f>
        <v>SANCOR</v>
      </c>
      <c r="R1421" s="7"/>
      <c r="S1421" s="7"/>
    </row>
    <row r="1422">
      <c r="C1422" s="19">
        <f>IFERROR(__xludf.DUMMYFUNCTION("""COMPUTED_VALUE"""),46045.75071008102)</f>
        <v>46045.75071</v>
      </c>
      <c r="D1422" s="7" t="str">
        <f>IFERROR(__xludf.DUMMYFUNCTION("""COMPUTED_VALUE"""),"Moreno")</f>
        <v>Moreno</v>
      </c>
      <c r="E1422" s="7" t="str">
        <f>IFERROR(__xludf.DUMMYFUNCTION("""COMPUTED_VALUE"""),"Dora Mercedes ")</f>
        <v>Dora Mercedes </v>
      </c>
      <c r="F1422" s="7" t="str">
        <f>IFERROR(__xludf.DUMMYFUNCTION("""COMPUTED_VALUE"""),"Profedoramoreno@gmail.com")</f>
        <v>Profedoramoreno@gmail.com</v>
      </c>
      <c r="G1422" s="20">
        <f>IFERROR(__xludf.DUMMYFUNCTION("""COMPUTED_VALUE"""),31224.0)</f>
        <v>31224</v>
      </c>
      <c r="H1422" s="7">
        <f>IFERROR(__xludf.DUMMYFUNCTION("""COMPUTED_VALUE"""),3.1401166E7)</f>
        <v>31401166</v>
      </c>
      <c r="I1422" s="7">
        <f>IFERROR(__xludf.DUMMYFUNCTION("""COMPUTED_VALUE"""),3.516171363E9)</f>
        <v>3516171363</v>
      </c>
      <c r="J1422" s="7" t="str">
        <f>IFERROR(__xludf.DUMMYFUNCTION("""COMPUTED_VALUE"""),"Voy al gym Manantial")</f>
        <v>Voy al gym Manantial</v>
      </c>
      <c r="K1422" s="7" t="str">
        <f>IFERROR(__xludf.DUMMYFUNCTION("""COMPUTED_VALUE"""),"Particular")</f>
        <v>Particular</v>
      </c>
      <c r="L1422" s="7"/>
      <c r="M1422" s="7" t="str">
        <f>IFERROR(__xludf.DUMMYFUNCTION("""COMPUTED_VALUE"""),"Si")</f>
        <v>Si</v>
      </c>
      <c r="N1422" s="7" t="str">
        <f>IFERROR(__xludf.DUMMYFUNCTION("""COMPUTED_VALUE"""),"Gimnasio")</f>
        <v>Gimnasio</v>
      </c>
      <c r="O1422" s="7" t="str">
        <f>IFERROR(__xludf.DUMMYFUNCTION("""COMPUTED_VALUE"""),"3 a 5 veces por semana")</f>
        <v>3 a 5 veces por semana</v>
      </c>
      <c r="P1422" s="7"/>
      <c r="Q1422" s="7"/>
      <c r="R1422" s="7"/>
      <c r="S1422" s="7"/>
    </row>
    <row r="1423">
      <c r="C1423" s="19">
        <f>IFERROR(__xludf.DUMMYFUNCTION("""COMPUTED_VALUE"""),46045.75343626157)</f>
        <v>46045.75344</v>
      </c>
      <c r="D1423" s="7" t="str">
        <f>IFERROR(__xludf.DUMMYFUNCTION("""COMPUTED_VALUE"""),"Tuero")</f>
        <v>Tuero</v>
      </c>
      <c r="E1423" s="7" t="str">
        <f>IFERROR(__xludf.DUMMYFUNCTION("""COMPUTED_VALUE"""),"María Marcela")</f>
        <v>María Marcela</v>
      </c>
      <c r="F1423" s="7" t="str">
        <f>IFERROR(__xludf.DUMMYFUNCTION("""COMPUTED_VALUE"""),"Marcela.tuero@hotmail.com")</f>
        <v>Marcela.tuero@hotmail.com</v>
      </c>
      <c r="G1423" s="20">
        <f>IFERROR(__xludf.DUMMYFUNCTION("""COMPUTED_VALUE"""),24063.0)</f>
        <v>24063</v>
      </c>
      <c r="H1423" s="7">
        <f>IFERROR(__xludf.DUMMYFUNCTION("""COMPUTED_VALUE"""),1.7534139E7)</f>
        <v>17534139</v>
      </c>
      <c r="I1423" s="7">
        <f>IFERROR(__xludf.DUMMYFUNCTION("""COMPUTED_VALUE"""),3.51631816E9)</f>
        <v>3516318160</v>
      </c>
      <c r="J1423" s="7" t="str">
        <f>IFERROR(__xludf.DUMMYFUNCTION("""COMPUTED_VALUE"""),"Recomendación")</f>
        <v>Recomendación</v>
      </c>
      <c r="K1423" s="7" t="str">
        <f>IFERROR(__xludf.DUMMYFUNCTION("""COMPUTED_VALUE"""),"Obra social")</f>
        <v>Obra social</v>
      </c>
      <c r="L1423" s="7"/>
      <c r="M1423" s="7" t="str">
        <f>IFERROR(__xludf.DUMMYFUNCTION("""COMPUTED_VALUE"""),"Si")</f>
        <v>Si</v>
      </c>
      <c r="N1423" s="7" t="str">
        <f>IFERROR(__xludf.DUMMYFUNCTION("""COMPUTED_VALUE"""),"Baile")</f>
        <v>Baile</v>
      </c>
      <c r="O1423" s="7" t="str">
        <f>IFERROR(__xludf.DUMMYFUNCTION("""COMPUTED_VALUE"""),"1 a 2 veces por semana")</f>
        <v>1 a 2 veces por semana</v>
      </c>
      <c r="P1423" s="7"/>
      <c r="Q1423" s="7" t="str">
        <f>IFERROR(__xludf.DUMMYFUNCTION("""COMPUTED_VALUE"""),"SANCOR")</f>
        <v>SANCOR</v>
      </c>
      <c r="R1423" s="7"/>
      <c r="S1423" s="7"/>
    </row>
    <row r="1424">
      <c r="C1424" s="19">
        <f>IFERROR(__xludf.DUMMYFUNCTION("""COMPUTED_VALUE"""),46046.60105752315)</f>
        <v>46046.60106</v>
      </c>
      <c r="D1424" s="7" t="str">
        <f>IFERROR(__xludf.DUMMYFUNCTION("""COMPUTED_VALUE"""),"Valentini")</f>
        <v>Valentini</v>
      </c>
      <c r="E1424" s="7" t="str">
        <f>IFERROR(__xludf.DUMMYFUNCTION("""COMPUTED_VALUE"""),"Conrado")</f>
        <v>Conrado</v>
      </c>
      <c r="F1424" s="7" t="str">
        <f>IFERROR(__xludf.DUMMYFUNCTION("""COMPUTED_VALUE"""),"Conradovalentini41@gmail.com")</f>
        <v>Conradovalentini41@gmail.com</v>
      </c>
      <c r="G1424" s="20">
        <f>IFERROR(__xludf.DUMMYFUNCTION("""COMPUTED_VALUE"""),33191.0)</f>
        <v>33191</v>
      </c>
      <c r="H1424" s="7">
        <f>IFERROR(__xludf.DUMMYFUNCTION("""COMPUTED_VALUE"""),3.5572874E7)</f>
        <v>35572874</v>
      </c>
      <c r="I1424" s="7">
        <f>IFERROR(__xludf.DUMMYFUNCTION("""COMPUTED_VALUE"""),3.516437373E9)</f>
        <v>3516437373</v>
      </c>
      <c r="J1424" s="7" t="str">
        <f>IFERROR(__xludf.DUMMYFUNCTION("""COMPUTED_VALUE"""),"Recomendación")</f>
        <v>Recomendación</v>
      </c>
      <c r="K1424" s="7" t="str">
        <f>IFERROR(__xludf.DUMMYFUNCTION("""COMPUTED_VALUE"""),"Particular")</f>
        <v>Particular</v>
      </c>
      <c r="L1424" s="7"/>
      <c r="M1424" s="7" t="str">
        <f>IFERROR(__xludf.DUMMYFUNCTION("""COMPUTED_VALUE"""),"Si")</f>
        <v>Si</v>
      </c>
      <c r="N1424" s="7" t="str">
        <f>IFERROR(__xludf.DUMMYFUNCTION("""COMPUTED_VALUE"""),"Calistenia")</f>
        <v>Calistenia</v>
      </c>
      <c r="O1424" s="7" t="str">
        <f>IFERROR(__xludf.DUMMYFUNCTION("""COMPUTED_VALUE"""),"1 a 2 veces por semana")</f>
        <v>1 a 2 veces por semana</v>
      </c>
      <c r="P1424" s="7"/>
      <c r="Q1424" s="7"/>
      <c r="R1424" s="7"/>
      <c r="S1424" s="7"/>
    </row>
    <row r="1425">
      <c r="C1425" s="19">
        <f>IFERROR(__xludf.DUMMYFUNCTION("""COMPUTED_VALUE"""),46048.58545940972)</f>
        <v>46048.58546</v>
      </c>
      <c r="D1425" s="7" t="str">
        <f>IFERROR(__xludf.DUMMYFUNCTION("""COMPUTED_VALUE"""),"Lescano ")</f>
        <v>Lescano </v>
      </c>
      <c r="E1425" s="7" t="str">
        <f>IFERROR(__xludf.DUMMYFUNCTION("""COMPUTED_VALUE"""),"Santiago ")</f>
        <v>Santiago </v>
      </c>
      <c r="F1425" s="7" t="str">
        <f>IFERROR(__xludf.DUMMYFUNCTION("""COMPUTED_VALUE"""),"Santiflescano@gmail.com")</f>
        <v>Santiflescano@gmail.com</v>
      </c>
      <c r="G1425" s="20">
        <f>IFERROR(__xludf.DUMMYFUNCTION("""COMPUTED_VALUE"""),31886.0)</f>
        <v>31886</v>
      </c>
      <c r="H1425" s="7">
        <f>IFERROR(__xludf.DUMMYFUNCTION("""COMPUTED_VALUE"""),3.2844647E7)</f>
        <v>32844647</v>
      </c>
      <c r="I1425" s="7">
        <f>IFERROR(__xludf.DUMMYFUNCTION("""COMPUTED_VALUE"""),3.515483746E9)</f>
        <v>3515483746</v>
      </c>
      <c r="J1425" s="7" t="str">
        <f>IFERROR(__xludf.DUMMYFUNCTION("""COMPUTED_VALUE"""),"Voy al gym Manantial")</f>
        <v>Voy al gym Manantial</v>
      </c>
      <c r="K1425" s="7" t="str">
        <f>IFERROR(__xludf.DUMMYFUNCTION("""COMPUTED_VALUE"""),"Particular")</f>
        <v>Particular</v>
      </c>
      <c r="L1425" s="7"/>
      <c r="M1425" s="7" t="str">
        <f>IFERROR(__xludf.DUMMYFUNCTION("""COMPUTED_VALUE"""),"Si")</f>
        <v>Si</v>
      </c>
      <c r="N1425" s="7" t="str">
        <f>IFERROR(__xludf.DUMMYFUNCTION("""COMPUTED_VALUE"""),"Fútbol")</f>
        <v>Fútbol</v>
      </c>
      <c r="O1425" s="7" t="str">
        <f>IFERROR(__xludf.DUMMYFUNCTION("""COMPUTED_VALUE"""),"1 a 2 veces por semana")</f>
        <v>1 a 2 veces por semana</v>
      </c>
      <c r="P1425" s="7"/>
      <c r="Q1425" s="7"/>
      <c r="R1425" s="7"/>
      <c r="S1425" s="7"/>
    </row>
    <row r="1426">
      <c r="C1426" s="19">
        <f>IFERROR(__xludf.DUMMYFUNCTION("""COMPUTED_VALUE"""),46049.52055447917)</f>
        <v>46049.52055</v>
      </c>
      <c r="D1426" s="7" t="str">
        <f>IFERROR(__xludf.DUMMYFUNCTION("""COMPUTED_VALUE"""),"Cadima ")</f>
        <v>Cadima </v>
      </c>
      <c r="E1426" s="7" t="str">
        <f>IFERROR(__xludf.DUMMYFUNCTION("""COMPUTED_VALUE"""),"Nicolas Gabriel ")</f>
        <v>Nicolas Gabriel </v>
      </c>
      <c r="F1426" s="7" t="str">
        <f>IFERROR(__xludf.DUMMYFUNCTION("""COMPUTED_VALUE"""),"nc8901265@gmail.com")</f>
        <v>nc8901265@gmail.com</v>
      </c>
      <c r="G1426" s="20">
        <f>IFERROR(__xludf.DUMMYFUNCTION("""COMPUTED_VALUE"""),36173.0)</f>
        <v>36173</v>
      </c>
      <c r="H1426" s="7">
        <f>IFERROR(__xludf.DUMMYFUNCTION("""COMPUTED_VALUE"""),4.1665492E7)</f>
        <v>41665492</v>
      </c>
      <c r="I1426" s="7">
        <f>IFERROR(__xludf.DUMMYFUNCTION("""COMPUTED_VALUE"""),3.517501568E9)</f>
        <v>3517501568</v>
      </c>
      <c r="J1426" s="7" t="str">
        <f>IFERROR(__xludf.DUMMYFUNCTION("""COMPUTED_VALUE"""),"Recomendación")</f>
        <v>Recomendación</v>
      </c>
      <c r="K1426" s="7" t="str">
        <f>IFERROR(__xludf.DUMMYFUNCTION("""COMPUTED_VALUE"""),"Particular")</f>
        <v>Particular</v>
      </c>
      <c r="L1426" s="7"/>
      <c r="M1426" s="7" t="str">
        <f>IFERROR(__xludf.DUMMYFUNCTION("""COMPUTED_VALUE"""),"Si")</f>
        <v>Si</v>
      </c>
      <c r="N1426" s="7" t="str">
        <f>IFERROR(__xludf.DUMMYFUNCTION("""COMPUTED_VALUE"""),"Fútbol")</f>
        <v>Fútbol</v>
      </c>
      <c r="O1426" s="7" t="str">
        <f>IFERROR(__xludf.DUMMYFUNCTION("""COMPUTED_VALUE"""),"3 a 5 veces por semana")</f>
        <v>3 a 5 veces por semana</v>
      </c>
      <c r="P1426" s="7"/>
      <c r="Q1426" s="7"/>
      <c r="R1426" s="7"/>
      <c r="S1426" s="7"/>
    </row>
    <row r="1427">
      <c r="C1427" s="19">
        <f>IFERROR(__xludf.DUMMYFUNCTION("""COMPUTED_VALUE"""),46049.86046222222)</f>
        <v>46049.86046</v>
      </c>
      <c r="D1427" s="7" t="str">
        <f>IFERROR(__xludf.DUMMYFUNCTION("""COMPUTED_VALUE"""),"Pavese ")</f>
        <v>Pavese </v>
      </c>
      <c r="E1427" s="7" t="str">
        <f>IFERROR(__xludf.DUMMYFUNCTION("""COMPUTED_VALUE"""),"Noelia Edith ")</f>
        <v>Noelia Edith </v>
      </c>
      <c r="F1427" s="7" t="str">
        <f>IFERROR(__xludf.DUMMYFUNCTION("""COMPUTED_VALUE"""),"Noeliapavese@gmail.com")</f>
        <v>Noeliapavese@gmail.com</v>
      </c>
      <c r="G1427" s="20">
        <f>IFERROR(__xludf.DUMMYFUNCTION("""COMPUTED_VALUE"""),29383.0)</f>
        <v>29383</v>
      </c>
      <c r="H1427" s="7">
        <f>IFERROR(__xludf.DUMMYFUNCTION("""COMPUTED_VALUE"""),2.8268658E7)</f>
        <v>28268658</v>
      </c>
      <c r="I1427" s="7">
        <f>IFERROR(__xludf.DUMMYFUNCTION("""COMPUTED_VALUE"""),3.512364641E9)</f>
        <v>3512364641</v>
      </c>
      <c r="J1427" s="7" t="str">
        <f>IFERROR(__xludf.DUMMYFUNCTION("""COMPUTED_VALUE"""),"Recomendación")</f>
        <v>Recomendación</v>
      </c>
      <c r="K1427" s="7" t="str">
        <f>IFERROR(__xludf.DUMMYFUNCTION("""COMPUTED_VALUE"""),"Particular")</f>
        <v>Particular</v>
      </c>
      <c r="L1427" s="7"/>
      <c r="M1427" s="7" t="str">
        <f>IFERROR(__xludf.DUMMYFUNCTION("""COMPUTED_VALUE"""),"Si")</f>
        <v>Si</v>
      </c>
      <c r="N1427" s="7" t="str">
        <f>IFERROR(__xludf.DUMMYFUNCTION("""COMPUTED_VALUE"""),"Ciclismo/ caminanta")</f>
        <v>Ciclismo/ caminanta</v>
      </c>
      <c r="O1427" s="7" t="str">
        <f>IFERROR(__xludf.DUMMYFUNCTION("""COMPUTED_VALUE"""),"1 a 2 veces por semana")</f>
        <v>1 a 2 veces por semana</v>
      </c>
      <c r="P1427" s="7"/>
      <c r="Q1427" s="7"/>
      <c r="R1427" s="7"/>
      <c r="S1427" s="7"/>
    </row>
    <row r="1428">
      <c r="C1428" s="19">
        <f>IFERROR(__xludf.DUMMYFUNCTION("""COMPUTED_VALUE"""),46050.5064684838)</f>
        <v>46050.50647</v>
      </c>
      <c r="D1428" s="7" t="str">
        <f>IFERROR(__xludf.DUMMYFUNCTION("""COMPUTED_VALUE"""),"bonino")</f>
        <v>bonino</v>
      </c>
      <c r="E1428" s="7" t="str">
        <f>IFERROR(__xludf.DUMMYFUNCTION("""COMPUTED_VALUE"""),"Raul")</f>
        <v>Raul</v>
      </c>
      <c r="F1428" s="7" t="str">
        <f>IFERROR(__xludf.DUMMYFUNCTION("""COMPUTED_VALUE"""),"rsabonino@gmail.com")</f>
        <v>rsabonino@gmail.com</v>
      </c>
      <c r="G1428" s="20">
        <f>IFERROR(__xludf.DUMMYFUNCTION("""COMPUTED_VALUE"""),21244.0)</f>
        <v>21244</v>
      </c>
      <c r="H1428" s="7">
        <f>IFERROR(__xludf.DUMMYFUNCTION("""COMPUTED_VALUE"""),1.2334802E7)</f>
        <v>12334802</v>
      </c>
      <c r="I1428" s="7">
        <f>IFERROR(__xludf.DUMMYFUNCTION("""COMPUTED_VALUE"""),3.516214577E9)</f>
        <v>3516214577</v>
      </c>
      <c r="J1428" s="7" t="str">
        <f>IFERROR(__xludf.DUMMYFUNCTION("""COMPUTED_VALUE"""),"Voy al gym Manantial")</f>
        <v>Voy al gym Manantial</v>
      </c>
      <c r="K1428" s="7" t="str">
        <f>IFERROR(__xludf.DUMMYFUNCTION("""COMPUTED_VALUE"""),"Obra social")</f>
        <v>Obra social</v>
      </c>
      <c r="L1428" s="7"/>
      <c r="M1428" s="7" t="str">
        <f>IFERROR(__xludf.DUMMYFUNCTION("""COMPUTED_VALUE"""),"Si")</f>
        <v>Si</v>
      </c>
      <c r="N1428" s="7" t="str">
        <f>IFERROR(__xludf.DUMMYFUNCTION("""COMPUTED_VALUE"""),"Newcon")</f>
        <v>Newcon</v>
      </c>
      <c r="O1428" s="7" t="str">
        <f>IFERROR(__xludf.DUMMYFUNCTION("""COMPUTED_VALUE"""),"3 a 5 veces por semana")</f>
        <v>3 a 5 veces por semana</v>
      </c>
      <c r="P1428" s="7"/>
      <c r="Q1428" s="7" t="str">
        <f>IFERROR(__xludf.DUMMYFUNCTION("""COMPUTED_VALUE"""),"apm")</f>
        <v>apm</v>
      </c>
      <c r="R1428" s="7"/>
      <c r="S1428" s="7"/>
    </row>
    <row r="1429">
      <c r="C1429" s="19">
        <f>IFERROR(__xludf.DUMMYFUNCTION("""COMPUTED_VALUE"""),46051.37787696759)</f>
        <v>46051.37788</v>
      </c>
      <c r="D1429" s="7" t="str">
        <f>IFERROR(__xludf.DUMMYFUNCTION("""COMPUTED_VALUE"""),"Das Biaggio")</f>
        <v>Das Biaggio</v>
      </c>
      <c r="E1429" s="7" t="str">
        <f>IFERROR(__xludf.DUMMYFUNCTION("""COMPUTED_VALUE"""),"Facundo julian ")</f>
        <v>Facundo julian </v>
      </c>
      <c r="F1429" s="7" t="str">
        <f>IFERROR(__xludf.DUMMYFUNCTION("""COMPUTED_VALUE"""),"Dasbiaggiofac@gmail.com")</f>
        <v>Dasbiaggiofac@gmail.com</v>
      </c>
      <c r="G1429" s="20">
        <f>IFERROR(__xludf.DUMMYFUNCTION("""COMPUTED_VALUE"""),33550.0)</f>
        <v>33550</v>
      </c>
      <c r="H1429" s="7">
        <f>IFERROR(__xludf.DUMMYFUNCTION("""COMPUTED_VALUE"""),3.6706708E7)</f>
        <v>36706708</v>
      </c>
      <c r="I1429" s="7">
        <f>IFERROR(__xludf.DUMMYFUNCTION("""COMPUTED_VALUE"""),3.517529092E9)</f>
        <v>3517529092</v>
      </c>
      <c r="J1429" s="7" t="str">
        <f>IFERROR(__xludf.DUMMYFUNCTION("""COMPUTED_VALUE"""),"Google")</f>
        <v>Google</v>
      </c>
      <c r="K1429" s="7" t="str">
        <f>IFERROR(__xludf.DUMMYFUNCTION("""COMPUTED_VALUE"""),"Particular")</f>
        <v>Particular</v>
      </c>
      <c r="L1429" s="7"/>
      <c r="M1429" s="7" t="str">
        <f>IFERROR(__xludf.DUMMYFUNCTION("""COMPUTED_VALUE"""),"Si")</f>
        <v>Si</v>
      </c>
      <c r="N1429" s="7" t="str">
        <f>IFERROR(__xludf.DUMMYFUNCTION("""COMPUTED_VALUE"""),"Ciclismo")</f>
        <v>Ciclismo</v>
      </c>
      <c r="O1429" s="7" t="str">
        <f>IFERROR(__xludf.DUMMYFUNCTION("""COMPUTED_VALUE"""),"3 a 5 veces por semana")</f>
        <v>3 a 5 veces por semana</v>
      </c>
      <c r="P1429" s="7"/>
      <c r="Q1429" s="7"/>
      <c r="R1429" s="7"/>
      <c r="S1429" s="7"/>
    </row>
    <row r="1430">
      <c r="C1430" s="19">
        <f>IFERROR(__xludf.DUMMYFUNCTION("""COMPUTED_VALUE"""),46052.4667724537)</f>
        <v>46052.46677</v>
      </c>
      <c r="D1430" s="7" t="str">
        <f>IFERROR(__xludf.DUMMYFUNCTION("""COMPUTED_VALUE"""),"Giannoboli")</f>
        <v>Giannoboli</v>
      </c>
      <c r="E1430" s="7" t="str">
        <f>IFERROR(__xludf.DUMMYFUNCTION("""COMPUTED_VALUE"""),"Valentina")</f>
        <v>Valentina</v>
      </c>
      <c r="F1430" s="7" t="str">
        <f>IFERROR(__xludf.DUMMYFUNCTION("""COMPUTED_VALUE"""),"valentina.giannoboli@gmail.com")</f>
        <v>valentina.giannoboli@gmail.com</v>
      </c>
      <c r="G1430" s="20">
        <f>IFERROR(__xludf.DUMMYFUNCTION("""COMPUTED_VALUE"""),39083.0)</f>
        <v>39083</v>
      </c>
      <c r="H1430" s="7">
        <f>IFERROR(__xludf.DUMMYFUNCTION("""COMPUTED_VALUE"""),4.7662038E7)</f>
        <v>47662038</v>
      </c>
      <c r="I1430" s="7">
        <f>IFERROR(__xludf.DUMMYFUNCTION("""COMPUTED_VALUE"""),3.516848615E9)</f>
        <v>3516848615</v>
      </c>
      <c r="J1430" s="7" t="str">
        <f>IFERROR(__xludf.DUMMYFUNCTION("""COMPUTED_VALUE"""),"Voy al gym Manantial")</f>
        <v>Voy al gym Manantial</v>
      </c>
      <c r="K1430" s="7" t="str">
        <f>IFERROR(__xludf.DUMMYFUNCTION("""COMPUTED_VALUE"""),"Obra social")</f>
        <v>Obra social</v>
      </c>
      <c r="L1430" s="7"/>
      <c r="M1430" s="7" t="str">
        <f>IFERROR(__xludf.DUMMYFUNCTION("""COMPUTED_VALUE"""),"Si")</f>
        <v>Si</v>
      </c>
      <c r="N1430" s="7" t="str">
        <f>IFERROR(__xludf.DUMMYFUNCTION("""COMPUTED_VALUE"""),"Hockey")</f>
        <v>Hockey</v>
      </c>
      <c r="O1430" s="7" t="str">
        <f>IFERROR(__xludf.DUMMYFUNCTION("""COMPUTED_VALUE"""),"3 a 5 veces por semana")</f>
        <v>3 a 5 veces por semana</v>
      </c>
      <c r="P1430" s="7"/>
      <c r="Q1430" s="7" t="str">
        <f>IFERROR(__xludf.DUMMYFUNCTION("""COMPUTED_VALUE"""),"DASPU")</f>
        <v>DASPU</v>
      </c>
      <c r="R1430" s="7"/>
      <c r="S1430" s="7"/>
    </row>
    <row r="1431">
      <c r="C1431" s="19">
        <f>IFERROR(__xludf.DUMMYFUNCTION("""COMPUTED_VALUE"""),46052.57834313657)</f>
        <v>46052.57834</v>
      </c>
      <c r="D1431" s="7" t="str">
        <f>IFERROR(__xludf.DUMMYFUNCTION("""COMPUTED_VALUE"""),"Lira")</f>
        <v>Lira</v>
      </c>
      <c r="E1431" s="7" t="str">
        <f>IFERROR(__xludf.DUMMYFUNCTION("""COMPUTED_VALUE"""),"Aaron")</f>
        <v>Aaron</v>
      </c>
      <c r="F1431" s="7" t="str">
        <f>IFERROR(__xludf.DUMMYFUNCTION("""COMPUTED_VALUE"""),"Aaronlira099@gmail.com")</f>
        <v>Aaronlira099@gmail.com</v>
      </c>
      <c r="G1431" s="20">
        <f>IFERROR(__xludf.DUMMYFUNCTION("""COMPUTED_VALUE"""),39490.0)</f>
        <v>39490</v>
      </c>
      <c r="H1431" s="7">
        <f>IFERROR(__xludf.DUMMYFUNCTION("""COMPUTED_VALUE"""),4.7819713E7)</f>
        <v>47819713</v>
      </c>
      <c r="I1431" s="7">
        <f>IFERROR(__xludf.DUMMYFUNCTION("""COMPUTED_VALUE"""),3.518656799E9)</f>
        <v>3518656799</v>
      </c>
      <c r="J1431" s="7" t="str">
        <f>IFERROR(__xludf.DUMMYFUNCTION("""COMPUTED_VALUE"""),"Google")</f>
        <v>Google</v>
      </c>
      <c r="K1431" s="7" t="str">
        <f>IFERROR(__xludf.DUMMYFUNCTION("""COMPUTED_VALUE"""),"Particular")</f>
        <v>Particular</v>
      </c>
      <c r="L1431" s="7"/>
      <c r="M1431" s="7" t="str">
        <f>IFERROR(__xludf.DUMMYFUNCTION("""COMPUTED_VALUE"""),"Si")</f>
        <v>Si</v>
      </c>
      <c r="N1431" s="7" t="str">
        <f>IFERROR(__xludf.DUMMYFUNCTION("""COMPUTED_VALUE"""),"Fútbol")</f>
        <v>Fútbol</v>
      </c>
      <c r="O1431" s="7" t="str">
        <f>IFERROR(__xludf.DUMMYFUNCTION("""COMPUTED_VALUE"""),"6 a 7 veces por semana")</f>
        <v>6 a 7 veces por semana</v>
      </c>
      <c r="P1431" s="7"/>
      <c r="Q1431" s="7"/>
      <c r="R1431" s="7"/>
      <c r="S1431" s="7"/>
    </row>
    <row r="1432">
      <c r="C1432" s="19">
        <f>IFERROR(__xludf.DUMMYFUNCTION("""COMPUTED_VALUE"""),46052.80698064815)</f>
        <v>46052.80698</v>
      </c>
      <c r="D1432" s="7" t="str">
        <f>IFERROR(__xludf.DUMMYFUNCTION("""COMPUTED_VALUE"""),"Masco")</f>
        <v>Masco</v>
      </c>
      <c r="E1432" s="7" t="str">
        <f>IFERROR(__xludf.DUMMYFUNCTION("""COMPUTED_VALUE"""),"Luis")</f>
        <v>Luis</v>
      </c>
      <c r="F1432" s="7" t="str">
        <f>IFERROR(__xludf.DUMMYFUNCTION("""COMPUTED_VALUE"""),"luismasco@gmail.com")</f>
        <v>luismasco@gmail.com</v>
      </c>
      <c r="G1432" s="20">
        <f>IFERROR(__xludf.DUMMYFUNCTION("""COMPUTED_VALUE"""),32529.0)</f>
        <v>32529</v>
      </c>
      <c r="H1432" s="7">
        <f>IFERROR(__xludf.DUMMYFUNCTION("""COMPUTED_VALUE"""),3.4246174E7)</f>
        <v>34246174</v>
      </c>
      <c r="I1432" s="7">
        <f>IFERROR(__xludf.DUMMYFUNCTION("""COMPUTED_VALUE"""),3.513028589E9)</f>
        <v>3513028589</v>
      </c>
      <c r="J1432" s="7" t="str">
        <f>IFERROR(__xludf.DUMMYFUNCTION("""COMPUTED_VALUE"""),"FUI AL GYM GAUSS")</f>
        <v>FUI AL GYM GAUSS</v>
      </c>
      <c r="K1432" s="7" t="str">
        <f>IFERROR(__xludf.DUMMYFUNCTION("""COMPUTED_VALUE"""),"Obra social")</f>
        <v>Obra social</v>
      </c>
      <c r="L1432" s="7"/>
      <c r="M1432" s="7" t="str">
        <f>IFERROR(__xludf.DUMMYFUNCTION("""COMPUTED_VALUE"""),"Si")</f>
        <v>Si</v>
      </c>
      <c r="N1432" s="7" t="str">
        <f>IFERROR(__xludf.DUMMYFUNCTION("""COMPUTED_VALUE"""),"Running")</f>
        <v>Running</v>
      </c>
      <c r="O1432" s="7" t="str">
        <f>IFERROR(__xludf.DUMMYFUNCTION("""COMPUTED_VALUE"""),"3 a 5 veces por semana")</f>
        <v>3 a 5 veces por semana</v>
      </c>
      <c r="P1432" s="7"/>
      <c r="Q1432" s="7" t="str">
        <f>IFERROR(__xludf.DUMMYFUNCTION("""COMPUTED_VALUE"""),"SWISS MEDICAL SMG20 GLOBAL")</f>
        <v>SWISS MEDICAL SMG20 GLOBAL</v>
      </c>
      <c r="R1432" s="7"/>
      <c r="S1432" s="7"/>
    </row>
    <row r="1433">
      <c r="C1433" s="19">
        <f>IFERROR(__xludf.DUMMYFUNCTION("""COMPUTED_VALUE"""),46055.57379998843)</f>
        <v>46055.5738</v>
      </c>
      <c r="D1433" s="7" t="str">
        <f>IFERROR(__xludf.DUMMYFUNCTION("""COMPUTED_VALUE"""),"Sam Sam ")</f>
        <v>Sam Sam </v>
      </c>
      <c r="E1433" s="7" t="str">
        <f>IFERROR(__xludf.DUMMYFUNCTION("""COMPUTED_VALUE"""),"Cristian ")</f>
        <v>Cristian </v>
      </c>
      <c r="F1433" s="7" t="str">
        <f>IFERROR(__xludf.DUMMYFUNCTION("""COMPUTED_VALUE"""),"cristian.samsam@gmail.com")</f>
        <v>cristian.samsam@gmail.com</v>
      </c>
      <c r="G1433" s="20">
        <f>IFERROR(__xludf.DUMMYFUNCTION("""COMPUTED_VALUE"""),25957.0)</f>
        <v>25957</v>
      </c>
      <c r="H1433" s="7">
        <f>IFERROR(__xludf.DUMMYFUNCTION("""COMPUTED_VALUE"""),2.1966177E7)</f>
        <v>21966177</v>
      </c>
      <c r="I1433" s="7">
        <f>IFERROR(__xludf.DUMMYFUNCTION("""COMPUTED_VALUE"""),3.513947342E9)</f>
        <v>3513947342</v>
      </c>
      <c r="J1433" s="7" t="str">
        <f>IFERROR(__xludf.DUMMYFUNCTION("""COMPUTED_VALUE"""),"Recomendación")</f>
        <v>Recomendación</v>
      </c>
      <c r="K1433" s="7" t="str">
        <f>IFERROR(__xludf.DUMMYFUNCTION("""COMPUTED_VALUE"""),"Obra social")</f>
        <v>Obra social</v>
      </c>
      <c r="L1433" s="7"/>
      <c r="M1433" s="7" t="str">
        <f>IFERROR(__xludf.DUMMYFUNCTION("""COMPUTED_VALUE"""),"No")</f>
        <v>No</v>
      </c>
      <c r="N1433" s="7"/>
      <c r="O1433" s="7"/>
      <c r="P1433" s="7"/>
      <c r="Q1433" s="7" t="str">
        <f>IFERROR(__xludf.DUMMYFUNCTION("""COMPUTED_VALUE"""),"APROSS")</f>
        <v>APROSS</v>
      </c>
      <c r="R1433" s="7"/>
      <c r="S1433" s="7"/>
    </row>
    <row r="1434">
      <c r="C1434" s="19">
        <f>IFERROR(__xludf.DUMMYFUNCTION("""COMPUTED_VALUE"""),46055.58215652777)</f>
        <v>46055.58216</v>
      </c>
      <c r="D1434" s="7" t="str">
        <f>IFERROR(__xludf.DUMMYFUNCTION("""COMPUTED_VALUE"""),"Vera")</f>
        <v>Vera</v>
      </c>
      <c r="E1434" s="7" t="str">
        <f>IFERROR(__xludf.DUMMYFUNCTION("""COMPUTED_VALUE"""),"Miryam Dominga ")</f>
        <v>Miryam Dominga </v>
      </c>
      <c r="F1434" s="7" t="str">
        <f>IFERROR(__xludf.DUMMYFUNCTION("""COMPUTED_VALUE"""),"cristian.samsam@gmail.com")</f>
        <v>cristian.samsam@gmail.com</v>
      </c>
      <c r="G1434" s="20">
        <f>IFERROR(__xludf.DUMMYFUNCTION("""COMPUTED_VALUE"""),17036.0)</f>
        <v>17036</v>
      </c>
      <c r="H1434" s="7">
        <f>IFERROR(__xludf.DUMMYFUNCTION("""COMPUTED_VALUE"""),5455636.0)</f>
        <v>5455636</v>
      </c>
      <c r="I1434" s="7">
        <f>IFERROR(__xludf.DUMMYFUNCTION("""COMPUTED_VALUE"""),3.513947342E9)</f>
        <v>3513947342</v>
      </c>
      <c r="J1434" s="7" t="str">
        <f>IFERROR(__xludf.DUMMYFUNCTION("""COMPUTED_VALUE"""),"Recomendación")</f>
        <v>Recomendación</v>
      </c>
      <c r="K1434" s="7" t="str">
        <f>IFERROR(__xludf.DUMMYFUNCTION("""COMPUTED_VALUE"""),"Obra social")</f>
        <v>Obra social</v>
      </c>
      <c r="L1434" s="7"/>
      <c r="M1434" s="7" t="str">
        <f>IFERROR(__xludf.DUMMYFUNCTION("""COMPUTED_VALUE"""),"No")</f>
        <v>No</v>
      </c>
      <c r="N1434" s="7"/>
      <c r="O1434" s="7"/>
      <c r="P1434" s="7"/>
      <c r="Q1434" s="7" t="str">
        <f>IFERROR(__xludf.DUMMYFUNCTION("""COMPUTED_VALUE"""),"PAMI ")</f>
        <v>PAMI </v>
      </c>
      <c r="R1434" s="7"/>
      <c r="S1434" s="7"/>
    </row>
    <row r="1435">
      <c r="C1435" s="19">
        <f>IFERROR(__xludf.DUMMYFUNCTION("""COMPUTED_VALUE"""),46056.47340087963)</f>
        <v>46056.4734</v>
      </c>
      <c r="D1435" s="7" t="str">
        <f>IFERROR(__xludf.DUMMYFUNCTION("""COMPUTED_VALUE"""),"Kaskin")</f>
        <v>Kaskin</v>
      </c>
      <c r="E1435" s="7" t="str">
        <f>IFERROR(__xludf.DUMMYFUNCTION("""COMPUTED_VALUE"""),"Benjamon")</f>
        <v>Benjamon</v>
      </c>
      <c r="F1435" s="7" t="str">
        <f>IFERROR(__xludf.DUMMYFUNCTION("""COMPUTED_VALUE"""),"benjaminklaskin@gmail.com")</f>
        <v>benjaminklaskin@gmail.com</v>
      </c>
      <c r="G1435" s="20">
        <f>IFERROR(__xludf.DUMMYFUNCTION("""COMPUTED_VALUE"""),20306.0)</f>
        <v>20306</v>
      </c>
      <c r="H1435" s="7">
        <f>IFERROR(__xludf.DUMMYFUNCTION("""COMPUTED_VALUE"""),1.1744302E7)</f>
        <v>11744302</v>
      </c>
      <c r="I1435" s="7">
        <f>IFERROR(__xludf.DUMMYFUNCTION("""COMPUTED_VALUE"""),3.51590324E9)</f>
        <v>3515903240</v>
      </c>
      <c r="J1435" s="7" t="str">
        <f>IFERROR(__xludf.DUMMYFUNCTION("""COMPUTED_VALUE"""),"Voy al gym Manantial")</f>
        <v>Voy al gym Manantial</v>
      </c>
      <c r="K1435" s="7" t="str">
        <f>IFERROR(__xludf.DUMMYFUNCTION("""COMPUTED_VALUE"""),"Obra social")</f>
        <v>Obra social</v>
      </c>
      <c r="L1435" s="7"/>
      <c r="M1435" s="7" t="str">
        <f>IFERROR(__xludf.DUMMYFUNCTION("""COMPUTED_VALUE"""),"Si")</f>
        <v>Si</v>
      </c>
      <c r="N1435" s="7" t="str">
        <f>IFERROR(__xludf.DUMMYFUNCTION("""COMPUTED_VALUE"""),"Gimnasio")</f>
        <v>Gimnasio</v>
      </c>
      <c r="O1435" s="7" t="str">
        <f>IFERROR(__xludf.DUMMYFUNCTION("""COMPUTED_VALUE"""),"3 a 5 veces por semana")</f>
        <v>3 a 5 veces por semana</v>
      </c>
      <c r="P1435" s="7"/>
      <c r="Q1435" s="7" t="str">
        <f>IFERROR(__xludf.DUMMYFUNCTION("""COMPUTED_VALUE"""),"CPCE")</f>
        <v>CPCE</v>
      </c>
      <c r="R1435" s="7"/>
      <c r="S1435" s="7"/>
    </row>
    <row r="1436">
      <c r="C1436" s="19">
        <f>IFERROR(__xludf.DUMMYFUNCTION("""COMPUTED_VALUE"""),46056.49368142361)</f>
        <v>46056.49368</v>
      </c>
      <c r="D1436" s="7" t="str">
        <f>IFERROR(__xludf.DUMMYFUNCTION("""COMPUTED_VALUE"""),"Zuleta ")</f>
        <v>Zuleta </v>
      </c>
      <c r="E1436" s="7" t="str">
        <f>IFERROR(__xludf.DUMMYFUNCTION("""COMPUTED_VALUE"""),"Diego Sebastián ")</f>
        <v>Diego Sebastián </v>
      </c>
      <c r="F1436" s="7"/>
      <c r="G1436" s="20">
        <f>IFERROR(__xludf.DUMMYFUNCTION("""COMPUTED_VALUE"""),29218.0)</f>
        <v>29218</v>
      </c>
      <c r="H1436" s="7">
        <f>IFERROR(__xludf.DUMMYFUNCTION("""COMPUTED_VALUE"""),2.7671884E7)</f>
        <v>27671884</v>
      </c>
      <c r="I1436" s="7">
        <f>IFERROR(__xludf.DUMMYFUNCTION("""COMPUTED_VALUE"""),3.518579518E9)</f>
        <v>3518579518</v>
      </c>
      <c r="J1436" s="7" t="str">
        <f>IFERROR(__xludf.DUMMYFUNCTION("""COMPUTED_VALUE"""),"Google")</f>
        <v>Google</v>
      </c>
      <c r="K1436" s="7" t="str">
        <f>IFERROR(__xludf.DUMMYFUNCTION("""COMPUTED_VALUE"""),"Obra social")</f>
        <v>Obra social</v>
      </c>
      <c r="L1436" s="7"/>
      <c r="M1436" s="7" t="str">
        <f>IFERROR(__xludf.DUMMYFUNCTION("""COMPUTED_VALUE"""),"Si")</f>
        <v>Si</v>
      </c>
      <c r="N1436" s="7" t="str">
        <f>IFERROR(__xludf.DUMMYFUNCTION("""COMPUTED_VALUE"""),"Gimnasio")</f>
        <v>Gimnasio</v>
      </c>
      <c r="O1436" s="7" t="str">
        <f>IFERROR(__xludf.DUMMYFUNCTION("""COMPUTED_VALUE"""),"3 a 5 veces por semana")</f>
        <v>3 a 5 veces por semana</v>
      </c>
      <c r="P1436" s="7"/>
      <c r="Q1436" s="7" t="str">
        <f>IFERROR(__xludf.DUMMYFUNCTION("""COMPUTED_VALUE"""),"SANCOR")</f>
        <v>SANCOR</v>
      </c>
      <c r="R1436" s="7"/>
      <c r="S1436" s="7"/>
    </row>
    <row r="1437">
      <c r="C1437" s="19">
        <f>IFERROR(__xludf.DUMMYFUNCTION("""COMPUTED_VALUE"""),46056.71940180556)</f>
        <v>46056.7194</v>
      </c>
      <c r="D1437" s="7" t="str">
        <f>IFERROR(__xludf.DUMMYFUNCTION("""COMPUTED_VALUE"""),"Castellano")</f>
        <v>Castellano</v>
      </c>
      <c r="E1437" s="7" t="str">
        <f>IFERROR(__xludf.DUMMYFUNCTION("""COMPUTED_VALUE"""),"Belen")</f>
        <v>Belen</v>
      </c>
      <c r="F1437" s="7" t="str">
        <f>IFERROR(__xludf.DUMMYFUNCTION("""COMPUTED_VALUE"""),"belencastellanoolcese@gmail.com")</f>
        <v>belencastellanoolcese@gmail.com</v>
      </c>
      <c r="G1437" s="20">
        <f>IFERROR(__xludf.DUMMYFUNCTION("""COMPUTED_VALUE"""),35688.0)</f>
        <v>35688</v>
      </c>
      <c r="H1437" s="7">
        <f>IFERROR(__xludf.DUMMYFUNCTION("""COMPUTED_VALUE"""),4.0683106E7)</f>
        <v>40683106</v>
      </c>
      <c r="I1437" s="7">
        <f>IFERROR(__xludf.DUMMYFUNCTION("""COMPUTED_VALUE"""),3.51645483E9)</f>
        <v>3516454830</v>
      </c>
      <c r="J1437" s="7" t="str">
        <f>IFERROR(__xludf.DUMMYFUNCTION("""COMPUTED_VALUE"""),"Instagram")</f>
        <v>Instagram</v>
      </c>
      <c r="K1437" s="7" t="str">
        <f>IFERROR(__xludf.DUMMYFUNCTION("""COMPUTED_VALUE"""),"Obra social")</f>
        <v>Obra social</v>
      </c>
      <c r="L1437" s="7"/>
      <c r="M1437" s="7" t="str">
        <f>IFERROR(__xludf.DUMMYFUNCTION("""COMPUTED_VALUE"""),"Si")</f>
        <v>Si</v>
      </c>
      <c r="N1437" s="7" t="str">
        <f>IFERROR(__xludf.DUMMYFUNCTION("""COMPUTED_VALUE"""),"Fútbol")</f>
        <v>Fútbol</v>
      </c>
      <c r="O1437" s="7" t="str">
        <f>IFERROR(__xludf.DUMMYFUNCTION("""COMPUTED_VALUE"""),"3 a 5 veces por semana")</f>
        <v>3 a 5 veces por semana</v>
      </c>
      <c r="P1437" s="7"/>
      <c r="Q1437" s="7" t="str">
        <f>IFERROR(__xludf.DUMMYFUNCTION("""COMPUTED_VALUE"""),"SANCOR")</f>
        <v>SANCOR</v>
      </c>
      <c r="R1437" s="7"/>
      <c r="S1437" s="7"/>
    </row>
    <row r="1438">
      <c r="C1438" s="19">
        <f>IFERROR(__xludf.DUMMYFUNCTION("""COMPUTED_VALUE"""),46056.80515461805)</f>
        <v>46056.80515</v>
      </c>
      <c r="D1438" s="7" t="str">
        <f>IFERROR(__xludf.DUMMYFUNCTION("""COMPUTED_VALUE"""),"Castellaro")</f>
        <v>Castellaro</v>
      </c>
      <c r="E1438" s="7" t="str">
        <f>IFERROR(__xludf.DUMMYFUNCTION("""COMPUTED_VALUE"""),"Italo Gustavo")</f>
        <v>Italo Gustavo</v>
      </c>
      <c r="F1438" s="7" t="str">
        <f>IFERROR(__xludf.DUMMYFUNCTION("""COMPUTED_VALUE"""),"gustavocastellaro@gmail,com")</f>
        <v>gustavocastellaro@gmail,com</v>
      </c>
      <c r="G1438" s="20">
        <f>IFERROR(__xludf.DUMMYFUNCTION("""COMPUTED_VALUE"""),24995.0)</f>
        <v>24995</v>
      </c>
      <c r="H1438" s="7">
        <f>IFERROR(__xludf.DUMMYFUNCTION("""COMPUTED_VALUE"""),2.0380547E7)</f>
        <v>20380547</v>
      </c>
      <c r="I1438" s="7">
        <f>IFERROR(__xludf.DUMMYFUNCTION("""COMPUTED_VALUE"""),3.517193999E9)</f>
        <v>3517193999</v>
      </c>
      <c r="J1438" s="7" t="str">
        <f>IFERROR(__xludf.DUMMYFUNCTION("""COMPUTED_VALUE"""),"Recomendación")</f>
        <v>Recomendación</v>
      </c>
      <c r="K1438" s="7" t="str">
        <f>IFERROR(__xludf.DUMMYFUNCTION("""COMPUTED_VALUE"""),"Particular")</f>
        <v>Particular</v>
      </c>
      <c r="L1438" s="7"/>
      <c r="M1438" s="7" t="str">
        <f>IFERROR(__xludf.DUMMYFUNCTION("""COMPUTED_VALUE"""),"Si")</f>
        <v>Si</v>
      </c>
      <c r="N1438" s="7" t="str">
        <f>IFERROR(__xludf.DUMMYFUNCTION("""COMPUTED_VALUE"""),"tenis, peregrinacion, gym ")</f>
        <v>tenis, peregrinacion, gym </v>
      </c>
      <c r="O1438" s="7" t="str">
        <f>IFERROR(__xludf.DUMMYFUNCTION("""COMPUTED_VALUE"""),"6 a 7 veces por semana")</f>
        <v>6 a 7 veces por semana</v>
      </c>
      <c r="P1438" s="7"/>
      <c r="Q1438" s="7"/>
      <c r="R1438" s="7"/>
      <c r="S1438" s="7"/>
    </row>
    <row r="1439">
      <c r="C1439" s="19">
        <f>IFERROR(__xludf.DUMMYFUNCTION("""COMPUTED_VALUE"""),46057.40728738426)</f>
        <v>46057.40729</v>
      </c>
      <c r="D1439" s="7" t="str">
        <f>IFERROR(__xludf.DUMMYFUNCTION("""COMPUTED_VALUE"""),"Torres")</f>
        <v>Torres</v>
      </c>
      <c r="E1439" s="7" t="str">
        <f>IFERROR(__xludf.DUMMYFUNCTION("""COMPUTED_VALUE"""),"Rodrigo")</f>
        <v>Rodrigo</v>
      </c>
      <c r="F1439" s="7" t="str">
        <f>IFERROR(__xludf.DUMMYFUNCTION("""COMPUTED_VALUE"""),"rodritorres2006@gmail.com")</f>
        <v>rodritorres2006@gmail.com</v>
      </c>
      <c r="G1439" s="20">
        <f>IFERROR(__xludf.DUMMYFUNCTION("""COMPUTED_VALUE"""),38784.0)</f>
        <v>38784</v>
      </c>
      <c r="H1439" s="7">
        <f>IFERROR(__xludf.DUMMYFUNCTION("""COMPUTED_VALUE"""),4.7304143E7)</f>
        <v>47304143</v>
      </c>
      <c r="I1439" s="7">
        <f>IFERROR(__xludf.DUMMYFUNCTION("""COMPUTED_VALUE"""),3.517078942E9)</f>
        <v>3517078942</v>
      </c>
      <c r="J1439" s="7" t="str">
        <f>IFERROR(__xludf.DUMMYFUNCTION("""COMPUTED_VALUE"""),"Google")</f>
        <v>Google</v>
      </c>
      <c r="K1439" s="7" t="str">
        <f>IFERROR(__xludf.DUMMYFUNCTION("""COMPUTED_VALUE"""),"Particular")</f>
        <v>Particular</v>
      </c>
      <c r="L1439" s="7"/>
      <c r="M1439" s="7" t="str">
        <f>IFERROR(__xludf.DUMMYFUNCTION("""COMPUTED_VALUE"""),"No")</f>
        <v>No</v>
      </c>
      <c r="N1439" s="7"/>
      <c r="O1439" s="7"/>
      <c r="P1439" s="7"/>
      <c r="Q1439" s="7"/>
      <c r="R1439" s="7"/>
      <c r="S1439" s="7"/>
    </row>
    <row r="1440">
      <c r="C1440" s="19">
        <f>IFERROR(__xludf.DUMMYFUNCTION("""COMPUTED_VALUE"""),46057.49768)</f>
        <v>46057.49768</v>
      </c>
      <c r="D1440" s="7" t="str">
        <f>IFERROR(__xludf.DUMMYFUNCTION("""COMPUTED_VALUE"""),"Ceballos ")</f>
        <v>Ceballos </v>
      </c>
      <c r="E1440" s="7" t="str">
        <f>IFERROR(__xludf.DUMMYFUNCTION("""COMPUTED_VALUE"""),"Milagros")</f>
        <v>Milagros</v>
      </c>
      <c r="F1440" s="7"/>
      <c r="G1440" s="20">
        <f>IFERROR(__xludf.DUMMYFUNCTION("""COMPUTED_VALUE"""),30516.0)</f>
        <v>30516</v>
      </c>
      <c r="H1440" s="7">
        <f>IFERROR(__xludf.DUMMYFUNCTION("""COMPUTED_VALUE"""),3.4289721E7)</f>
        <v>34289721</v>
      </c>
      <c r="I1440" s="7">
        <f>IFERROR(__xludf.DUMMYFUNCTION("""COMPUTED_VALUE"""),3.515516778E9)</f>
        <v>3515516778</v>
      </c>
      <c r="J1440" s="7" t="str">
        <f>IFERROR(__xludf.DUMMYFUNCTION("""COMPUTED_VALUE"""),"Recomendación")</f>
        <v>Recomendación</v>
      </c>
      <c r="K1440" s="7" t="str">
        <f>IFERROR(__xludf.DUMMYFUNCTION("""COMPUTED_VALUE"""),"Particular")</f>
        <v>Particular</v>
      </c>
      <c r="L1440" s="7"/>
      <c r="M1440" s="7" t="str">
        <f>IFERROR(__xludf.DUMMYFUNCTION("""COMPUTED_VALUE"""),"Si")</f>
        <v>Si</v>
      </c>
      <c r="N1440" s="7" t="str">
        <f>IFERROR(__xludf.DUMMYFUNCTION("""COMPUTED_VALUE"""),"Gimnasio")</f>
        <v>Gimnasio</v>
      </c>
      <c r="O1440" s="7" t="str">
        <f>IFERROR(__xludf.DUMMYFUNCTION("""COMPUTED_VALUE"""),"3 a 5 veces por semana")</f>
        <v>3 a 5 veces por semana</v>
      </c>
      <c r="P1440" s="7"/>
      <c r="Q1440" s="7"/>
      <c r="R1440" s="7"/>
      <c r="S1440" s="7"/>
    </row>
    <row r="1441">
      <c r="C1441" s="19">
        <f>IFERROR(__xludf.DUMMYFUNCTION("""COMPUTED_VALUE"""),46058.50689597223)</f>
        <v>46058.5069</v>
      </c>
      <c r="D1441" s="7" t="str">
        <f>IFERROR(__xludf.DUMMYFUNCTION("""COMPUTED_VALUE"""),"Repetti ")</f>
        <v>Repetti </v>
      </c>
      <c r="E1441" s="7" t="str">
        <f>IFERROR(__xludf.DUMMYFUNCTION("""COMPUTED_VALUE"""),"Uma ")</f>
        <v>Uma </v>
      </c>
      <c r="F1441" s="7" t="str">
        <f>IFERROR(__xludf.DUMMYFUNCTION("""COMPUTED_VALUE"""),"urepetti50@gmail.com")</f>
        <v>urepetti50@gmail.com</v>
      </c>
      <c r="G1441" s="20">
        <f>IFERROR(__xludf.DUMMYFUNCTION("""COMPUTED_VALUE"""),39871.0)</f>
        <v>39871</v>
      </c>
      <c r="H1441" s="7">
        <f>IFERROR(__xludf.DUMMYFUNCTION("""COMPUTED_VALUE"""),4.9405623E7)</f>
        <v>49405623</v>
      </c>
      <c r="I1441" s="7">
        <f>IFERROR(__xludf.DUMMYFUNCTION("""COMPUTED_VALUE"""),3.51518568E9)</f>
        <v>3515185680</v>
      </c>
      <c r="J1441" s="7" t="str">
        <f>IFERROR(__xludf.DUMMYFUNCTION("""COMPUTED_VALUE"""),"Google")</f>
        <v>Google</v>
      </c>
      <c r="K1441" s="7" t="str">
        <f>IFERROR(__xludf.DUMMYFUNCTION("""COMPUTED_VALUE"""),"Particular")</f>
        <v>Particular</v>
      </c>
      <c r="L1441" s="7"/>
      <c r="M1441" s="7" t="str">
        <f>IFERROR(__xludf.DUMMYFUNCTION("""COMPUTED_VALUE"""),"Si")</f>
        <v>Si</v>
      </c>
      <c r="N1441" s="7" t="str">
        <f>IFERROR(__xludf.DUMMYFUNCTION("""COMPUTED_VALUE"""),"Natación de alto rendimiento ")</f>
        <v>Natación de alto rendimiento </v>
      </c>
      <c r="O1441" s="7" t="str">
        <f>IFERROR(__xludf.DUMMYFUNCTION("""COMPUTED_VALUE"""),"6 a 7 veces por semana")</f>
        <v>6 a 7 veces por semana</v>
      </c>
      <c r="P1441" s="7"/>
      <c r="Q1441" s="7"/>
      <c r="R1441" s="7"/>
      <c r="S1441" s="7"/>
    </row>
    <row r="1442">
      <c r="C1442" s="19">
        <f>IFERROR(__xludf.DUMMYFUNCTION("""COMPUTED_VALUE"""),46062.39026505787)</f>
        <v>46062.39027</v>
      </c>
      <c r="D1442" s="7" t="str">
        <f>IFERROR(__xludf.DUMMYFUNCTION("""COMPUTED_VALUE"""),"Campos")</f>
        <v>Campos</v>
      </c>
      <c r="E1442" s="7" t="str">
        <f>IFERROR(__xludf.DUMMYFUNCTION("""COMPUTED_VALUE"""),"Martina")</f>
        <v>Martina</v>
      </c>
      <c r="F1442" s="7" t="str">
        <f>IFERROR(__xludf.DUMMYFUNCTION("""COMPUTED_VALUE"""),"Camposmartina85@gmail.com")</f>
        <v>Camposmartina85@gmail.com</v>
      </c>
      <c r="G1442" s="20">
        <f>IFERROR(__xludf.DUMMYFUNCTION("""COMPUTED_VALUE"""),37539.0)</f>
        <v>37539</v>
      </c>
      <c r="H1442" s="7">
        <f>IFERROR(__xludf.DUMMYFUNCTION("""COMPUTED_VALUE"""),4.4192461E7)</f>
        <v>44192461</v>
      </c>
      <c r="I1442" s="7">
        <f>IFERROR(__xludf.DUMMYFUNCTION("""COMPUTED_VALUE"""),3.516362556E9)</f>
        <v>3516362556</v>
      </c>
      <c r="J1442" s="7" t="str">
        <f>IFERROR(__xludf.DUMMYFUNCTION("""COMPUTED_VALUE"""),"Voy al gym Manantial")</f>
        <v>Voy al gym Manantial</v>
      </c>
      <c r="K1442" s="7" t="str">
        <f>IFERROR(__xludf.DUMMYFUNCTION("""COMPUTED_VALUE"""),"Particular")</f>
        <v>Particular</v>
      </c>
      <c r="L1442" s="7"/>
      <c r="M1442" s="7" t="str">
        <f>IFERROR(__xludf.DUMMYFUNCTION("""COMPUTED_VALUE"""),"Si")</f>
        <v>Si</v>
      </c>
      <c r="N1442" s="7" t="str">
        <f>IFERROR(__xludf.DUMMYFUNCTION("""COMPUTED_VALUE"""),"Gimnasio")</f>
        <v>Gimnasio</v>
      </c>
      <c r="O1442" s="7" t="str">
        <f>IFERROR(__xludf.DUMMYFUNCTION("""COMPUTED_VALUE"""),"3 a 5 veces por semana")</f>
        <v>3 a 5 veces por semana</v>
      </c>
      <c r="P1442" s="7"/>
      <c r="Q1442" s="7"/>
      <c r="R1442" s="7"/>
      <c r="S1442" s="7"/>
    </row>
    <row r="1443">
      <c r="C1443" s="19">
        <f>IFERROR(__xludf.DUMMYFUNCTION("""COMPUTED_VALUE"""),46063.51658793981)</f>
        <v>46063.51659</v>
      </c>
      <c r="D1443" s="7" t="str">
        <f>IFERROR(__xludf.DUMMYFUNCTION("""COMPUTED_VALUE"""),"RAMOS LARA")</f>
        <v>RAMOS LARA</v>
      </c>
      <c r="E1443" s="7" t="str">
        <f>IFERROR(__xludf.DUMMYFUNCTION("""COMPUTED_VALUE"""),"LAURA MARGARITA")</f>
        <v>LAURA MARGARITA</v>
      </c>
      <c r="F1443" s="7" t="str">
        <f>IFERROR(__xludf.DUMMYFUNCTION("""COMPUTED_VALUE"""),"TRECEDESEPTIEMBRE@GMAIL.COM")</f>
        <v>TRECEDESEPTIEMBRE@GMAIL.COM</v>
      </c>
      <c r="G1443" s="20">
        <f>IFERROR(__xludf.DUMMYFUNCTION("""COMPUTED_VALUE"""),-671783.0)</f>
        <v>-671783</v>
      </c>
      <c r="H1443" s="7">
        <f>IFERROR(__xludf.DUMMYFUNCTION("""COMPUTED_VALUE"""),1.3951769E7)</f>
        <v>13951769</v>
      </c>
      <c r="I1443" s="7">
        <f>IFERROR(__xludf.DUMMYFUNCTION("""COMPUTED_VALUE"""),3.513019701E9)</f>
        <v>3513019701</v>
      </c>
      <c r="J1443" s="7" t="str">
        <f>IFERROR(__xludf.DUMMYFUNCTION("""COMPUTED_VALUE"""),"Recomendación")</f>
        <v>Recomendación</v>
      </c>
      <c r="K1443" s="7" t="str">
        <f>IFERROR(__xludf.DUMMYFUNCTION("""COMPUTED_VALUE"""),"Obra social")</f>
        <v>Obra social</v>
      </c>
      <c r="L1443" s="7"/>
      <c r="M1443" s="7" t="str">
        <f>IFERROR(__xludf.DUMMYFUNCTION("""COMPUTED_VALUE"""),"Si")</f>
        <v>Si</v>
      </c>
      <c r="N1443" s="7" t="str">
        <f>IFERROR(__xludf.DUMMYFUNCTION("""COMPUTED_VALUE"""),"Gimnasio")</f>
        <v>Gimnasio</v>
      </c>
      <c r="O1443" s="7" t="str">
        <f>IFERROR(__xludf.DUMMYFUNCTION("""COMPUTED_VALUE"""),"3 a 5 veces por semana")</f>
        <v>3 a 5 veces por semana</v>
      </c>
      <c r="P1443" s="7"/>
      <c r="Q1443" s="7"/>
      <c r="R1443" s="7"/>
      <c r="S1443" s="7"/>
    </row>
    <row r="1444">
      <c r="C1444" s="19">
        <f>IFERROR(__xludf.DUMMYFUNCTION("""COMPUTED_VALUE"""),46063.629218159724)</f>
        <v>46063.62922</v>
      </c>
      <c r="D1444" s="7" t="str">
        <f>IFERROR(__xludf.DUMMYFUNCTION("""COMPUTED_VALUE"""),"Varela")</f>
        <v>Varela</v>
      </c>
      <c r="E1444" s="7" t="str">
        <f>IFERROR(__xludf.DUMMYFUNCTION("""COMPUTED_VALUE"""),"Ethel ")</f>
        <v>Ethel </v>
      </c>
      <c r="F1444" s="7" t="str">
        <f>IFERROR(__xludf.DUMMYFUNCTION("""COMPUTED_VALUE"""),"Ethelvarela@hotmail.com")</f>
        <v>Ethelvarela@hotmail.com</v>
      </c>
      <c r="G1444" s="20">
        <f>IFERROR(__xludf.DUMMYFUNCTION("""COMPUTED_VALUE"""),21115.0)</f>
        <v>21115</v>
      </c>
      <c r="H1444" s="7">
        <f>IFERROR(__xludf.DUMMYFUNCTION("""COMPUTED_VALUE"""),1.3820097E7)</f>
        <v>13820097</v>
      </c>
      <c r="I1444" s="7">
        <f>IFERROR(__xludf.DUMMYFUNCTION("""COMPUTED_VALUE"""),3.513682073E9)</f>
        <v>3513682073</v>
      </c>
      <c r="J1444" s="7" t="str">
        <f>IFERROR(__xludf.DUMMYFUNCTION("""COMPUTED_VALUE"""),"Recomendación")</f>
        <v>Recomendación</v>
      </c>
      <c r="K1444" s="7" t="str">
        <f>IFERROR(__xludf.DUMMYFUNCTION("""COMPUTED_VALUE"""),"Obra social")</f>
        <v>Obra social</v>
      </c>
      <c r="L1444" s="7"/>
      <c r="M1444" s="7" t="str">
        <f>IFERROR(__xludf.DUMMYFUNCTION("""COMPUTED_VALUE"""),"Si")</f>
        <v>Si</v>
      </c>
      <c r="N1444" s="7" t="str">
        <f>IFERROR(__xludf.DUMMYFUNCTION("""COMPUTED_VALUE"""),"Tai chi")</f>
        <v>Tai chi</v>
      </c>
      <c r="O1444" s="7" t="str">
        <f>IFERROR(__xludf.DUMMYFUNCTION("""COMPUTED_VALUE"""),"1 a 2 veces por semana")</f>
        <v>1 a 2 veces por semana</v>
      </c>
      <c r="P1444" s="7"/>
      <c r="Q1444" s="7" t="str">
        <f>IFERROR(__xludf.DUMMYFUNCTION("""COMPUTED_VALUE"""),"APROSS")</f>
        <v>APROSS</v>
      </c>
      <c r="R1444" s="7"/>
      <c r="S1444" s="7"/>
    </row>
    <row r="1445">
      <c r="C1445" s="19">
        <f>IFERROR(__xludf.DUMMYFUNCTION("""COMPUTED_VALUE"""),46063.726023379626)</f>
        <v>46063.72602</v>
      </c>
      <c r="D1445" s="7" t="str">
        <f>IFERROR(__xludf.DUMMYFUNCTION("""COMPUTED_VALUE"""),"Lazo")</f>
        <v>Lazo</v>
      </c>
      <c r="E1445" s="7" t="str">
        <f>IFERROR(__xludf.DUMMYFUNCTION("""COMPUTED_VALUE"""),"Adriana")</f>
        <v>Adriana</v>
      </c>
      <c r="F1445" s="7" t="str">
        <f>IFERROR(__xludf.DUMMYFUNCTION("""COMPUTED_VALUE"""),"adrilazo31@gmail.com")</f>
        <v>adrilazo31@gmail.com</v>
      </c>
      <c r="G1445" s="20">
        <f>IFERROR(__xludf.DUMMYFUNCTION("""COMPUTED_VALUE"""),21487.0)</f>
        <v>21487</v>
      </c>
      <c r="H1445" s="7">
        <f>IFERROR(__xludf.DUMMYFUNCTION("""COMPUTED_VALUE"""),1.2811915E7)</f>
        <v>12811915</v>
      </c>
      <c r="I1445" s="7">
        <f>IFERROR(__xludf.DUMMYFUNCTION("""COMPUTED_VALUE"""),3.516842615E9)</f>
        <v>3516842615</v>
      </c>
      <c r="J1445" s="7" t="str">
        <f>IFERROR(__xludf.DUMMYFUNCTION("""COMPUTED_VALUE"""),"Recomendación")</f>
        <v>Recomendación</v>
      </c>
      <c r="K1445" s="7" t="str">
        <f>IFERROR(__xludf.DUMMYFUNCTION("""COMPUTED_VALUE"""),"Obra social")</f>
        <v>Obra social</v>
      </c>
      <c r="L1445" s="7"/>
      <c r="M1445" s="7" t="str">
        <f>IFERROR(__xludf.DUMMYFUNCTION("""COMPUTED_VALUE"""),"Si")</f>
        <v>Si</v>
      </c>
      <c r="N1445" s="7" t="str">
        <f>IFERROR(__xludf.DUMMYFUNCTION("""COMPUTED_VALUE"""),"Yoga")</f>
        <v>Yoga</v>
      </c>
      <c r="O1445" s="7" t="str">
        <f>IFERROR(__xludf.DUMMYFUNCTION("""COMPUTED_VALUE"""),"1 a 2 veces por semana")</f>
        <v>1 a 2 veces por semana</v>
      </c>
      <c r="P1445" s="7"/>
      <c r="Q1445" s="7" t="str">
        <f>IFERROR(__xludf.DUMMYFUNCTION("""COMPUTED_VALUE"""),"APROSS")</f>
        <v>APROSS</v>
      </c>
      <c r="R1445" s="7"/>
      <c r="S1445" s="7"/>
    </row>
    <row r="1446">
      <c r="C1446" s="19">
        <f>IFERROR(__xludf.DUMMYFUNCTION("""COMPUTED_VALUE"""),46064.73681248842)</f>
        <v>46064.73681</v>
      </c>
      <c r="D1446" s="7" t="str">
        <f>IFERROR(__xludf.DUMMYFUNCTION("""COMPUTED_VALUE"""),"GRAZIANI")</f>
        <v>GRAZIANI</v>
      </c>
      <c r="E1446" s="7" t="str">
        <f>IFERROR(__xludf.DUMMYFUNCTION("""COMPUTED_VALUE"""),"Matias")</f>
        <v>Matias</v>
      </c>
      <c r="F1446" s="7" t="str">
        <f>IFERROR(__xludf.DUMMYFUNCTION("""COMPUTED_VALUE"""),"matigraziani1997@gmail.com")</f>
        <v>matigraziani1997@gmail.com</v>
      </c>
      <c r="G1446" s="20">
        <f>IFERROR(__xludf.DUMMYFUNCTION("""COMPUTED_VALUE"""),35460.0)</f>
        <v>35460</v>
      </c>
      <c r="H1446" s="7">
        <f>IFERROR(__xludf.DUMMYFUNCTION("""COMPUTED_VALUE"""),4.0109375E7)</f>
        <v>40109375</v>
      </c>
      <c r="I1446" s="7">
        <f>IFERROR(__xludf.DUMMYFUNCTION("""COMPUTED_VALUE"""),3.516592467E9)</f>
        <v>3516592467</v>
      </c>
      <c r="J1446" s="7" t="str">
        <f>IFERROR(__xludf.DUMMYFUNCTION("""COMPUTED_VALUE"""),"Recomendación")</f>
        <v>Recomendación</v>
      </c>
      <c r="K1446" s="7" t="str">
        <f>IFERROR(__xludf.DUMMYFUNCTION("""COMPUTED_VALUE"""),"Particular")</f>
        <v>Particular</v>
      </c>
      <c r="L1446" s="7"/>
      <c r="M1446" s="7" t="str">
        <f>IFERROR(__xludf.DUMMYFUNCTION("""COMPUTED_VALUE"""),"No")</f>
        <v>No</v>
      </c>
      <c r="N1446" s="7"/>
      <c r="O1446" s="7"/>
      <c r="P1446" s="7"/>
      <c r="Q1446" s="7"/>
      <c r="R1446" s="7"/>
      <c r="S1446" s="7"/>
    </row>
    <row r="1447">
      <c r="C1447" s="19">
        <f>IFERROR(__xludf.DUMMYFUNCTION("""COMPUTED_VALUE"""),46064.76241693287)</f>
        <v>46064.76242</v>
      </c>
      <c r="D1447" s="7" t="str">
        <f>IFERROR(__xludf.DUMMYFUNCTION("""COMPUTED_VALUE"""),"Grenon")</f>
        <v>Grenon</v>
      </c>
      <c r="E1447" s="7" t="str">
        <f>IFERROR(__xludf.DUMMYFUNCTION("""COMPUTED_VALUE"""),"Uma")</f>
        <v>Uma</v>
      </c>
      <c r="F1447" s="7" t="str">
        <f>IFERROR(__xludf.DUMMYFUNCTION("""COMPUTED_VALUE"""),"Grenonuma123@gmail.com")</f>
        <v>Grenonuma123@gmail.com</v>
      </c>
      <c r="G1447" s="20">
        <f>IFERROR(__xludf.DUMMYFUNCTION("""COMPUTED_VALUE"""),40878.0)</f>
        <v>40878</v>
      </c>
      <c r="H1447" s="7">
        <f>IFERROR(__xludf.DUMMYFUNCTION("""COMPUTED_VALUE"""),5.1277078E7)</f>
        <v>51277078</v>
      </c>
      <c r="I1447" s="7">
        <f>IFERROR(__xludf.DUMMYFUNCTION("""COMPUTED_VALUE"""),3.515903053E9)</f>
        <v>3515903053</v>
      </c>
      <c r="J1447" s="7" t="str">
        <f>IFERROR(__xludf.DUMMYFUNCTION("""COMPUTED_VALUE"""),"Voy al gym Manantial")</f>
        <v>Voy al gym Manantial</v>
      </c>
      <c r="K1447" s="7" t="str">
        <f>IFERROR(__xludf.DUMMYFUNCTION("""COMPUTED_VALUE"""),"Particular")</f>
        <v>Particular</v>
      </c>
      <c r="L1447" s="7"/>
      <c r="M1447" s="7" t="str">
        <f>IFERROR(__xludf.DUMMYFUNCTION("""COMPUTED_VALUE"""),"Si")</f>
        <v>Si</v>
      </c>
      <c r="N1447" s="7" t="str">
        <f>IFERROR(__xludf.DUMMYFUNCTION("""COMPUTED_VALUE"""),"Voley")</f>
        <v>Voley</v>
      </c>
      <c r="O1447" s="7" t="str">
        <f>IFERROR(__xludf.DUMMYFUNCTION("""COMPUTED_VALUE"""),"6 a 7 veces por semana")</f>
        <v>6 a 7 veces por semana</v>
      </c>
      <c r="P1447" s="7"/>
      <c r="Q1447" s="7"/>
      <c r="R1447" s="7"/>
      <c r="S1447" s="7"/>
    </row>
    <row r="1448">
      <c r="C1448" s="19">
        <f>IFERROR(__xludf.DUMMYFUNCTION("""COMPUTED_VALUE"""),46064.77052027777)</f>
        <v>46064.77052</v>
      </c>
      <c r="D1448" s="7" t="str">
        <f>IFERROR(__xludf.DUMMYFUNCTION("""COMPUTED_VALUE"""),"San roman ")</f>
        <v>San roman </v>
      </c>
      <c r="E1448" s="7" t="str">
        <f>IFERROR(__xludf.DUMMYFUNCTION("""COMPUTED_VALUE"""),"Maria elena ")</f>
        <v>Maria elena </v>
      </c>
      <c r="F1448" s="7" t="str">
        <f>IFERROR(__xludf.DUMMYFUNCTION("""COMPUTED_VALUE"""),"esanroman69@hotmail.com")</f>
        <v>esanroman69@hotmail.com</v>
      </c>
      <c r="G1448" s="20">
        <f>IFERROR(__xludf.DUMMYFUNCTION("""COMPUTED_VALUE"""),25033.0)</f>
        <v>25033</v>
      </c>
      <c r="H1448" s="7">
        <f>IFERROR(__xludf.DUMMYFUNCTION("""COMPUTED_VALUE"""),9.2491518E7)</f>
        <v>92491518</v>
      </c>
      <c r="I1448" s="7">
        <f>IFERROR(__xludf.DUMMYFUNCTION("""COMPUTED_VALUE"""),3.51540082E9)</f>
        <v>3515400820</v>
      </c>
      <c r="J1448" s="7" t="str">
        <f>IFERROR(__xludf.DUMMYFUNCTION("""COMPUTED_VALUE"""),"Instagram")</f>
        <v>Instagram</v>
      </c>
      <c r="K1448" s="7" t="str">
        <f>IFERROR(__xludf.DUMMYFUNCTION("""COMPUTED_VALUE"""),"Particular")</f>
        <v>Particular</v>
      </c>
      <c r="L1448" s="7"/>
      <c r="M1448" s="7" t="str">
        <f>IFERROR(__xludf.DUMMYFUNCTION("""COMPUTED_VALUE"""),"Si")</f>
        <v>Si</v>
      </c>
      <c r="N1448" s="7" t="str">
        <f>IFERROR(__xludf.DUMMYFUNCTION("""COMPUTED_VALUE"""),"Crossfit")</f>
        <v>Crossfit</v>
      </c>
      <c r="O1448" s="7" t="str">
        <f>IFERROR(__xludf.DUMMYFUNCTION("""COMPUTED_VALUE"""),"3 a 5 veces por semana")</f>
        <v>3 a 5 veces por semana</v>
      </c>
      <c r="P1448" s="7"/>
      <c r="Q1448" s="7"/>
      <c r="R1448" s="7"/>
      <c r="S1448" s="7"/>
    </row>
    <row r="1449">
      <c r="C1449" s="19">
        <f>IFERROR(__xludf.DUMMYFUNCTION("""COMPUTED_VALUE"""),46064.8163802662)</f>
        <v>46064.81638</v>
      </c>
      <c r="D1449" s="7" t="str">
        <f>IFERROR(__xludf.DUMMYFUNCTION("""COMPUTED_VALUE"""),"Delera")</f>
        <v>Delera</v>
      </c>
      <c r="E1449" s="7" t="str">
        <f>IFERROR(__xludf.DUMMYFUNCTION("""COMPUTED_VALUE"""),"Agustin")</f>
        <v>Agustin</v>
      </c>
      <c r="F1449" s="7" t="str">
        <f>IFERROR(__xludf.DUMMYFUNCTION("""COMPUTED_VALUE"""),"agudelera@gmail.com")</f>
        <v>agudelera@gmail.com</v>
      </c>
      <c r="G1449" s="20">
        <f>IFERROR(__xludf.DUMMYFUNCTION("""COMPUTED_VALUE"""),37888.0)</f>
        <v>37888</v>
      </c>
      <c r="H1449" s="7">
        <f>IFERROR(__xludf.DUMMYFUNCTION("""COMPUTED_VALUE"""),4.4970157E7)</f>
        <v>44970157</v>
      </c>
      <c r="I1449" s="7">
        <f>IFERROR(__xludf.DUMMYFUNCTION("""COMPUTED_VALUE"""),3.516886729E9)</f>
        <v>3516886729</v>
      </c>
      <c r="J1449" s="7" t="str">
        <f>IFERROR(__xludf.DUMMYFUNCTION("""COMPUTED_VALUE"""),"Voy al gym Manantial")</f>
        <v>Voy al gym Manantial</v>
      </c>
      <c r="K1449" s="7" t="str">
        <f>IFERROR(__xludf.DUMMYFUNCTION("""COMPUTED_VALUE"""),"Particular")</f>
        <v>Particular</v>
      </c>
      <c r="L1449" s="7"/>
      <c r="M1449" s="7" t="str">
        <f>IFERROR(__xludf.DUMMYFUNCTION("""COMPUTED_VALUE"""),"Si")</f>
        <v>Si</v>
      </c>
      <c r="N1449" s="7" t="str">
        <f>IFERROR(__xludf.DUMMYFUNCTION("""COMPUTED_VALUE"""),"Fútbol")</f>
        <v>Fútbol</v>
      </c>
      <c r="O1449" s="7" t="str">
        <f>IFERROR(__xludf.DUMMYFUNCTION("""COMPUTED_VALUE"""),"1 a 2 veces por semana")</f>
        <v>1 a 2 veces por semana</v>
      </c>
      <c r="P1449" s="7"/>
      <c r="Q1449" s="7"/>
      <c r="R1449" s="7"/>
      <c r="S1449" s="7"/>
    </row>
    <row r="1450">
      <c r="C1450" s="19">
        <f>IFERROR(__xludf.DUMMYFUNCTION("""COMPUTED_VALUE"""),46064.82044928241)</f>
        <v>46064.82045</v>
      </c>
      <c r="D1450" s="7" t="str">
        <f>IFERROR(__xludf.DUMMYFUNCTION("""COMPUTED_VALUE"""),"Ramirez")</f>
        <v>Ramirez</v>
      </c>
      <c r="E1450" s="7" t="str">
        <f>IFERROR(__xludf.DUMMYFUNCTION("""COMPUTED_VALUE"""),"Franco")</f>
        <v>Franco</v>
      </c>
      <c r="F1450" s="7" t="str">
        <f>IFERROR(__xludf.DUMMYFUNCTION("""COMPUTED_VALUE"""),"brockoshark28@gmail.com")</f>
        <v>brockoshark28@gmail.com</v>
      </c>
      <c r="G1450" s="20">
        <f>IFERROR(__xludf.DUMMYFUNCTION("""COMPUTED_VALUE"""),34768.0)</f>
        <v>34768</v>
      </c>
      <c r="H1450" s="7">
        <f>IFERROR(__xludf.DUMMYFUNCTION("""COMPUTED_VALUE"""),3.8478548E7)</f>
        <v>38478548</v>
      </c>
      <c r="I1450" s="7">
        <f>IFERROR(__xludf.DUMMYFUNCTION("""COMPUTED_VALUE"""),3.521416877E9)</f>
        <v>3521416877</v>
      </c>
      <c r="J1450" s="7" t="str">
        <f>IFERROR(__xludf.DUMMYFUNCTION("""COMPUTED_VALUE"""),"Voy al gym Manantial")</f>
        <v>Voy al gym Manantial</v>
      </c>
      <c r="K1450" s="7" t="str">
        <f>IFERROR(__xludf.DUMMYFUNCTION("""COMPUTED_VALUE"""),"Particular")</f>
        <v>Particular</v>
      </c>
      <c r="L1450" s="7"/>
      <c r="M1450" s="7" t="str">
        <f>IFERROR(__xludf.DUMMYFUNCTION("""COMPUTED_VALUE"""),"Si")</f>
        <v>Si</v>
      </c>
      <c r="N1450" s="7" t="str">
        <f>IFERROR(__xludf.DUMMYFUNCTION("""COMPUTED_VALUE"""),"Artes marciales mixtas y gimnasio")</f>
        <v>Artes marciales mixtas y gimnasio</v>
      </c>
      <c r="O1450" s="7" t="str">
        <f>IFERROR(__xludf.DUMMYFUNCTION("""COMPUTED_VALUE"""),"3 a 5 veces por semana")</f>
        <v>3 a 5 veces por semana</v>
      </c>
      <c r="P1450" s="7"/>
      <c r="Q1450" s="7"/>
      <c r="R1450" s="7"/>
      <c r="S1450" s="7"/>
    </row>
    <row r="1451">
      <c r="C1451" s="19">
        <f>IFERROR(__xludf.DUMMYFUNCTION("""COMPUTED_VALUE"""),46065.41984368056)</f>
        <v>46065.41984</v>
      </c>
      <c r="D1451" s="7" t="str">
        <f>IFERROR(__xludf.DUMMYFUNCTION("""COMPUTED_VALUE"""),"Gonzalez")</f>
        <v>Gonzalez</v>
      </c>
      <c r="E1451" s="7" t="str">
        <f>IFERROR(__xludf.DUMMYFUNCTION("""COMPUTED_VALUE"""),"Guadalupe")</f>
        <v>Guadalupe</v>
      </c>
      <c r="F1451" s="7" t="str">
        <f>IFERROR(__xludf.DUMMYFUNCTION("""COMPUTED_VALUE"""),"gonzalezguada32@gmail.com")</f>
        <v>gonzalezguada32@gmail.com</v>
      </c>
      <c r="G1451" s="20">
        <f>IFERROR(__xludf.DUMMYFUNCTION("""COMPUTED_VALUE"""),37544.0)</f>
        <v>37544</v>
      </c>
      <c r="H1451" s="7">
        <f>IFERROR(__xludf.DUMMYFUNCTION("""COMPUTED_VALUE"""),4.42742E7)</f>
        <v>44274200</v>
      </c>
      <c r="I1451" s="7">
        <f>IFERROR(__xludf.DUMMYFUNCTION("""COMPUTED_VALUE"""),3.512036748E9)</f>
        <v>3512036748</v>
      </c>
      <c r="J1451" s="7" t="str">
        <f>IFERROR(__xludf.DUMMYFUNCTION("""COMPUTED_VALUE"""),"Recomendación")</f>
        <v>Recomendación</v>
      </c>
      <c r="K1451" s="7" t="str">
        <f>IFERROR(__xludf.DUMMYFUNCTION("""COMPUTED_VALUE"""),"Obra social")</f>
        <v>Obra social</v>
      </c>
      <c r="L1451" s="7"/>
      <c r="M1451" s="7" t="str">
        <f>IFERROR(__xludf.DUMMYFUNCTION("""COMPUTED_VALUE"""),"No")</f>
        <v>No</v>
      </c>
      <c r="N1451" s="7"/>
      <c r="O1451" s="7"/>
      <c r="P1451" s="7"/>
      <c r="Q1451" s="7" t="str">
        <f>IFERROR(__xludf.DUMMYFUNCTION("""COMPUTED_VALUE"""),"Swiss medical")</f>
        <v>Swiss medical</v>
      </c>
      <c r="R1451" s="7"/>
      <c r="S1451" s="7"/>
    </row>
    <row r="1452">
      <c r="C1452" s="19">
        <f>IFERROR(__xludf.DUMMYFUNCTION("""COMPUTED_VALUE"""),46065.76878012731)</f>
        <v>46065.76878</v>
      </c>
      <c r="D1452" s="7" t="str">
        <f>IFERROR(__xludf.DUMMYFUNCTION("""COMPUTED_VALUE"""),"Carrizo")</f>
        <v>Carrizo</v>
      </c>
      <c r="E1452" s="7" t="str">
        <f>IFERROR(__xludf.DUMMYFUNCTION("""COMPUTED_VALUE"""),"Julio")</f>
        <v>Julio</v>
      </c>
      <c r="F1452" s="7" t="str">
        <f>IFERROR(__xludf.DUMMYFUNCTION("""COMPUTED_VALUE"""),"jcarrizo76@gmail.com")</f>
        <v>jcarrizo76@gmail.com</v>
      </c>
      <c r="G1452" s="20">
        <f>IFERROR(__xludf.DUMMYFUNCTION("""COMPUTED_VALUE"""),31751.0)</f>
        <v>31751</v>
      </c>
      <c r="H1452" s="7">
        <f>IFERROR(__xludf.DUMMYFUNCTION("""COMPUTED_VALUE"""),3.2682826E7)</f>
        <v>32682826</v>
      </c>
      <c r="I1452" s="7">
        <f>IFERROR(__xludf.DUMMYFUNCTION("""COMPUTED_VALUE"""),3.513980187E9)</f>
        <v>3513980187</v>
      </c>
      <c r="J1452" s="7" t="str">
        <f>IFERROR(__xludf.DUMMYFUNCTION("""COMPUTED_VALUE"""),"Recomendación")</f>
        <v>Recomendación</v>
      </c>
      <c r="K1452" s="7" t="str">
        <f>IFERROR(__xludf.DUMMYFUNCTION("""COMPUTED_VALUE"""),"Obra social")</f>
        <v>Obra social</v>
      </c>
      <c r="L1452" s="7"/>
      <c r="M1452" s="7" t="str">
        <f>IFERROR(__xludf.DUMMYFUNCTION("""COMPUTED_VALUE"""),"Si")</f>
        <v>Si</v>
      </c>
      <c r="N1452" s="7" t="str">
        <f>IFERROR(__xludf.DUMMYFUNCTION("""COMPUTED_VALUE"""),"Gimnasio")</f>
        <v>Gimnasio</v>
      </c>
      <c r="O1452" s="7" t="str">
        <f>IFERROR(__xludf.DUMMYFUNCTION("""COMPUTED_VALUE"""),"3 a 5 veces por semana")</f>
        <v>3 a 5 veces por semana</v>
      </c>
      <c r="P1452" s="7"/>
      <c r="Q1452" s="7" t="str">
        <f>IFERROR(__xludf.DUMMYFUNCTION("""COMPUTED_VALUE"""),"SANCOR")</f>
        <v>SANCOR</v>
      </c>
      <c r="R1452" s="7"/>
      <c r="S1452" s="7"/>
    </row>
    <row r="1453">
      <c r="C1453" s="19">
        <f>IFERROR(__xludf.DUMMYFUNCTION("""COMPUTED_VALUE"""),46065.771411469905)</f>
        <v>46065.77141</v>
      </c>
      <c r="D1453" s="7" t="str">
        <f>IFERROR(__xludf.DUMMYFUNCTION("""COMPUTED_VALUE"""),"ramirez")</f>
        <v>ramirez</v>
      </c>
      <c r="E1453" s="7" t="str">
        <f>IFERROR(__xludf.DUMMYFUNCTION("""COMPUTED_VALUE"""),"franco ")</f>
        <v>franco </v>
      </c>
      <c r="F1453" s="7" t="str">
        <f>IFERROR(__xludf.DUMMYFUNCTION("""COMPUTED_VALUE"""),"brockoshark20@gamil.com")</f>
        <v>brockoshark20@gamil.com</v>
      </c>
      <c r="G1453" s="20">
        <f>IFERROR(__xludf.DUMMYFUNCTION("""COMPUTED_VALUE"""),34768.0)</f>
        <v>34768</v>
      </c>
      <c r="H1453" s="7">
        <f>IFERROR(__xludf.DUMMYFUNCTION("""COMPUTED_VALUE"""),3.8478548E7)</f>
        <v>38478548</v>
      </c>
      <c r="I1453" s="7">
        <f>IFERROR(__xludf.DUMMYFUNCTION("""COMPUTED_VALUE"""),3.521416877E9)</f>
        <v>3521416877</v>
      </c>
      <c r="J1453" s="7" t="str">
        <f>IFERROR(__xludf.DUMMYFUNCTION("""COMPUTED_VALUE"""),"Voy al gym Manantial")</f>
        <v>Voy al gym Manantial</v>
      </c>
      <c r="K1453" s="7" t="str">
        <f>IFERROR(__xludf.DUMMYFUNCTION("""COMPUTED_VALUE"""),"Particular")</f>
        <v>Particular</v>
      </c>
      <c r="L1453" s="7"/>
      <c r="M1453" s="7" t="str">
        <f>IFERROR(__xludf.DUMMYFUNCTION("""COMPUTED_VALUE"""),"Si")</f>
        <v>Si</v>
      </c>
      <c r="N1453" s="7" t="str">
        <f>IFERROR(__xludf.DUMMYFUNCTION("""COMPUTED_VALUE"""),"mma")</f>
        <v>mma</v>
      </c>
      <c r="O1453" s="7" t="str">
        <f>IFERROR(__xludf.DUMMYFUNCTION("""COMPUTED_VALUE"""),"3 a 5 veces por semana")</f>
        <v>3 a 5 veces por semana</v>
      </c>
      <c r="P1453" s="7"/>
      <c r="Q1453" s="7"/>
      <c r="R1453" s="7"/>
      <c r="S1453" s="7"/>
    </row>
    <row r="1454">
      <c r="C1454" s="19">
        <f>IFERROR(__xludf.DUMMYFUNCTION("""COMPUTED_VALUE"""),46065.79110430555)</f>
        <v>46065.7911</v>
      </c>
      <c r="D1454" s="7" t="str">
        <f>IFERROR(__xludf.DUMMYFUNCTION("""COMPUTED_VALUE"""),"OVIEDO")</f>
        <v>OVIEDO</v>
      </c>
      <c r="E1454" s="7" t="str">
        <f>IFERROR(__xludf.DUMMYFUNCTION("""COMPUTED_VALUE"""),"GUILLERMO")</f>
        <v>GUILLERMO</v>
      </c>
      <c r="F1454" s="7" t="str">
        <f>IFERROR(__xludf.DUMMYFUNCTION("""COMPUTED_VALUE"""),"oviedo.guille@gmail.com")</f>
        <v>oviedo.guille@gmail.com</v>
      </c>
      <c r="G1454" s="20">
        <f>IFERROR(__xludf.DUMMYFUNCTION("""COMPUTED_VALUE"""),28099.0)</f>
        <v>28099</v>
      </c>
      <c r="H1454" s="7">
        <f>IFERROR(__xludf.DUMMYFUNCTION("""COMPUTED_VALUE"""),2.524714E7)</f>
        <v>25247140</v>
      </c>
      <c r="I1454" s="7">
        <f>IFERROR(__xludf.DUMMYFUNCTION("""COMPUTED_VALUE"""),3.515730089E9)</f>
        <v>3515730089</v>
      </c>
      <c r="J1454" s="7" t="str">
        <f>IFERROR(__xludf.DUMMYFUNCTION("""COMPUTED_VALUE"""),"Recomendación")</f>
        <v>Recomendación</v>
      </c>
      <c r="K1454" s="7" t="str">
        <f>IFERROR(__xludf.DUMMYFUNCTION("""COMPUTED_VALUE"""),"Obra social")</f>
        <v>Obra social</v>
      </c>
      <c r="L1454" s="7"/>
      <c r="M1454" s="7" t="str">
        <f>IFERROR(__xludf.DUMMYFUNCTION("""COMPUTED_VALUE"""),"No")</f>
        <v>No</v>
      </c>
      <c r="N1454" s="7"/>
      <c r="O1454" s="7"/>
      <c r="P1454" s="7"/>
      <c r="Q1454" s="7" t="str">
        <f>IFERROR(__xludf.DUMMYFUNCTION("""COMPUTED_VALUE"""),"CPCE")</f>
        <v>CPCE</v>
      </c>
      <c r="R1454" s="7"/>
      <c r="S1454" s="7"/>
    </row>
    <row r="1455">
      <c r="C1455" s="19">
        <f>IFERROR(__xludf.DUMMYFUNCTION("""COMPUTED_VALUE"""),46066.69090608796)</f>
        <v>46066.69091</v>
      </c>
      <c r="D1455" s="7" t="str">
        <f>IFERROR(__xludf.DUMMYFUNCTION("""COMPUTED_VALUE"""),"Ugarte")</f>
        <v>Ugarte</v>
      </c>
      <c r="E1455" s="7" t="str">
        <f>IFERROR(__xludf.DUMMYFUNCTION("""COMPUTED_VALUE"""),"Juan Manuel")</f>
        <v>Juan Manuel</v>
      </c>
      <c r="F1455" s="7" t="str">
        <f>IFERROR(__xludf.DUMMYFUNCTION("""COMPUTED_VALUE"""),"ugartejuanmanuel@hotmail.com")</f>
        <v>ugartejuanmanuel@hotmail.com</v>
      </c>
      <c r="G1455" s="20">
        <f>IFERROR(__xludf.DUMMYFUNCTION("""COMPUTED_VALUE"""),20945.0)</f>
        <v>20945</v>
      </c>
      <c r="H1455" s="7">
        <f>IFERROR(__xludf.DUMMYFUNCTION("""COMPUTED_VALUE"""),1.3044074E7)</f>
        <v>13044074</v>
      </c>
      <c r="I1455" s="7">
        <f>IFERROR(__xludf.DUMMYFUNCTION("""COMPUTED_VALUE"""),3.515642894E9)</f>
        <v>3515642894</v>
      </c>
      <c r="J1455" s="7" t="str">
        <f>IFERROR(__xludf.DUMMYFUNCTION("""COMPUTED_VALUE"""),"Google")</f>
        <v>Google</v>
      </c>
      <c r="K1455" s="7" t="str">
        <f>IFERROR(__xludf.DUMMYFUNCTION("""COMPUTED_VALUE"""),"Obra social")</f>
        <v>Obra social</v>
      </c>
      <c r="L1455" s="7"/>
      <c r="M1455" s="7" t="str">
        <f>IFERROR(__xludf.DUMMYFUNCTION("""COMPUTED_VALUE"""),"Si")</f>
        <v>Si</v>
      </c>
      <c r="N1455" s="7" t="str">
        <f>IFERROR(__xludf.DUMMYFUNCTION("""COMPUTED_VALUE"""),"Caminata")</f>
        <v>Caminata</v>
      </c>
      <c r="O1455" s="7" t="str">
        <f>IFERROR(__xludf.DUMMYFUNCTION("""COMPUTED_VALUE"""),"3 a 5 veces por semana")</f>
        <v>3 a 5 veces por semana</v>
      </c>
      <c r="P1455" s="7"/>
      <c r="Q1455" s="7" t="str">
        <f>IFERROR(__xludf.DUMMYFUNCTION("""COMPUTED_VALUE"""),"APROSS")</f>
        <v>APROSS</v>
      </c>
      <c r="R1455" s="7"/>
      <c r="S1455" s="7"/>
    </row>
    <row r="1456">
      <c r="C1456" s="19">
        <f>IFERROR(__xludf.DUMMYFUNCTION("""COMPUTED_VALUE"""),46070.78799571759)</f>
        <v>46070.788</v>
      </c>
      <c r="D1456" s="7" t="str">
        <f>IFERROR(__xludf.DUMMYFUNCTION("""COMPUTED_VALUE"""),"Leyba")</f>
        <v>Leyba</v>
      </c>
      <c r="E1456" s="7" t="str">
        <f>IFERROR(__xludf.DUMMYFUNCTION("""COMPUTED_VALUE"""),"Paula")</f>
        <v>Paula</v>
      </c>
      <c r="F1456" s="7" t="str">
        <f>IFERROR(__xludf.DUMMYFUNCTION("""COMPUTED_VALUE"""),"Pauleyba@hotmail.com")</f>
        <v>Pauleyba@hotmail.com</v>
      </c>
      <c r="G1456" s="20">
        <f>IFERROR(__xludf.DUMMYFUNCTION("""COMPUTED_VALUE"""),28756.0)</f>
        <v>28756</v>
      </c>
      <c r="H1456" s="7">
        <f>IFERROR(__xludf.DUMMYFUNCTION("""COMPUTED_VALUE"""),2.6903058E7)</f>
        <v>26903058</v>
      </c>
      <c r="I1456" s="7">
        <f>IFERROR(__xludf.DUMMYFUNCTION("""COMPUTED_VALUE"""),3.516807354E9)</f>
        <v>3516807354</v>
      </c>
      <c r="J1456" s="7" t="str">
        <f>IFERROR(__xludf.DUMMYFUNCTION("""COMPUTED_VALUE"""),"Recomendación")</f>
        <v>Recomendación</v>
      </c>
      <c r="K1456" s="7" t="str">
        <f>IFERROR(__xludf.DUMMYFUNCTION("""COMPUTED_VALUE"""),"Particular")</f>
        <v>Particular</v>
      </c>
      <c r="L1456" s="7"/>
      <c r="M1456" s="7" t="str">
        <f>IFERROR(__xludf.DUMMYFUNCTION("""COMPUTED_VALUE"""),"Si")</f>
        <v>Si</v>
      </c>
      <c r="N1456" s="7" t="str">
        <f>IFERROR(__xludf.DUMMYFUNCTION("""COMPUTED_VALUE"""),"Running")</f>
        <v>Running</v>
      </c>
      <c r="O1456" s="7" t="str">
        <f>IFERROR(__xludf.DUMMYFUNCTION("""COMPUTED_VALUE"""),"3 a 5 veces por semana")</f>
        <v>3 a 5 veces por semana</v>
      </c>
      <c r="P1456" s="7"/>
      <c r="Q1456" s="7"/>
      <c r="R1456" s="7"/>
      <c r="S1456" s="7"/>
    </row>
    <row r="1457">
      <c r="C1457" s="19">
        <f>IFERROR(__xludf.DUMMYFUNCTION("""COMPUTED_VALUE"""),46071.446492731484)</f>
        <v>46071.44649</v>
      </c>
      <c r="D1457" s="7" t="str">
        <f>IFERROR(__xludf.DUMMYFUNCTION("""COMPUTED_VALUE"""),"Cortizo")</f>
        <v>Cortizo</v>
      </c>
      <c r="E1457" s="7" t="str">
        <f>IFERROR(__xludf.DUMMYFUNCTION("""COMPUTED_VALUE"""),"Felipe")</f>
        <v>Felipe</v>
      </c>
      <c r="F1457" s="7" t="str">
        <f>IFERROR(__xludf.DUMMYFUNCTION("""COMPUTED_VALUE"""),"fcortizo2006@gmail.com")</f>
        <v>fcortizo2006@gmail.com</v>
      </c>
      <c r="G1457" s="20">
        <f>IFERROR(__xludf.DUMMYFUNCTION("""COMPUTED_VALUE"""),38776.0)</f>
        <v>38776</v>
      </c>
      <c r="H1457" s="7">
        <f>IFERROR(__xludf.DUMMYFUNCTION("""COMPUTED_VALUE"""),4.6999528E7)</f>
        <v>46999528</v>
      </c>
      <c r="I1457" s="7">
        <f>IFERROR(__xludf.DUMMYFUNCTION("""COMPUTED_VALUE"""),3.512183905E9)</f>
        <v>3512183905</v>
      </c>
      <c r="J1457" s="7" t="str">
        <f>IFERROR(__xludf.DUMMYFUNCTION("""COMPUTED_VALUE"""),"Google")</f>
        <v>Google</v>
      </c>
      <c r="K1457" s="7" t="str">
        <f>IFERROR(__xludf.DUMMYFUNCTION("""COMPUTED_VALUE"""),"Obra social")</f>
        <v>Obra social</v>
      </c>
      <c r="L1457" s="7"/>
      <c r="M1457" s="7" t="str">
        <f>IFERROR(__xludf.DUMMYFUNCTION("""COMPUTED_VALUE"""),"No")</f>
        <v>No</v>
      </c>
      <c r="N1457" s="7"/>
      <c r="O1457" s="7"/>
      <c r="P1457" s="7"/>
      <c r="Q1457" s="7" t="str">
        <f>IFERROR(__xludf.DUMMYFUNCTION("""COMPUTED_VALUE"""),"Omint ")</f>
        <v>Omint </v>
      </c>
      <c r="R1457" s="7"/>
      <c r="S1457" s="7"/>
    </row>
    <row r="1458">
      <c r="C1458" s="19">
        <f>IFERROR(__xludf.DUMMYFUNCTION("""COMPUTED_VALUE"""),46071.51920630787)</f>
        <v>46071.51921</v>
      </c>
      <c r="D1458" s="7" t="str">
        <f>IFERROR(__xludf.DUMMYFUNCTION("""COMPUTED_VALUE"""),"Cabrera")</f>
        <v>Cabrera</v>
      </c>
      <c r="E1458" s="7" t="str">
        <f>IFERROR(__xludf.DUMMYFUNCTION("""COMPUTED_VALUE"""),"Martina")</f>
        <v>Martina</v>
      </c>
      <c r="F1458" s="7"/>
      <c r="G1458" s="20">
        <f>IFERROR(__xludf.DUMMYFUNCTION("""COMPUTED_VALUE"""),40921.0)</f>
        <v>40921</v>
      </c>
      <c r="H1458" s="7">
        <f>IFERROR(__xludf.DUMMYFUNCTION("""COMPUTED_VALUE"""),5.2052413E7)</f>
        <v>52052413</v>
      </c>
      <c r="I1458" s="7">
        <f>IFERROR(__xludf.DUMMYFUNCTION("""COMPUTED_VALUE"""),3.513484249E9)</f>
        <v>3513484249</v>
      </c>
      <c r="J1458" s="7" t="str">
        <f>IFERROR(__xludf.DUMMYFUNCTION("""COMPUTED_VALUE"""),"Recomendación")</f>
        <v>Recomendación</v>
      </c>
      <c r="K1458" s="7" t="str">
        <f>IFERROR(__xludf.DUMMYFUNCTION("""COMPUTED_VALUE"""),"Obra social")</f>
        <v>Obra social</v>
      </c>
      <c r="L1458" s="7"/>
      <c r="M1458" s="7" t="str">
        <f>IFERROR(__xludf.DUMMYFUNCTION("""COMPUTED_VALUE"""),"Si")</f>
        <v>Si</v>
      </c>
      <c r="N1458" s="7" t="str">
        <f>IFERROR(__xludf.DUMMYFUNCTION("""COMPUTED_VALUE"""),"Fútbol")</f>
        <v>Fútbol</v>
      </c>
      <c r="O1458" s="7" t="str">
        <f>IFERROR(__xludf.DUMMYFUNCTION("""COMPUTED_VALUE"""),"1 a 2 veces por semana")</f>
        <v>1 a 2 veces por semana</v>
      </c>
      <c r="P1458" s="7"/>
      <c r="Q1458" s="7" t="str">
        <f>IFERROR(__xludf.DUMMYFUNCTION("""COMPUTED_VALUE"""),"APROSS")</f>
        <v>APROSS</v>
      </c>
      <c r="R1458" s="7"/>
      <c r="S1458" s="7"/>
    </row>
    <row r="1459">
      <c r="C1459" s="19">
        <f>IFERROR(__xludf.DUMMYFUNCTION("""COMPUTED_VALUE"""),46071.70150792824)</f>
        <v>46071.70151</v>
      </c>
      <c r="D1459" s="7" t="str">
        <f>IFERROR(__xludf.DUMMYFUNCTION("""COMPUTED_VALUE"""),"Loyacono")</f>
        <v>Loyacono</v>
      </c>
      <c r="E1459" s="7" t="str">
        <f>IFERROR(__xludf.DUMMYFUNCTION("""COMPUTED_VALUE"""),"Mariano")</f>
        <v>Mariano</v>
      </c>
      <c r="F1459" s="7" t="str">
        <f>IFERROR(__xludf.DUMMYFUNCTION("""COMPUTED_VALUE"""),"marianoloyacono@gmail.com")</f>
        <v>marianoloyacono@gmail.com</v>
      </c>
      <c r="G1459" s="20">
        <f>IFERROR(__xludf.DUMMYFUNCTION("""COMPUTED_VALUE"""),28703.0)</f>
        <v>28703</v>
      </c>
      <c r="H1459" s="7">
        <f>IFERROR(__xludf.DUMMYFUNCTION("""COMPUTED_VALUE"""),2.6744212E7)</f>
        <v>26744212</v>
      </c>
      <c r="I1459" s="7">
        <f>IFERROR(__xludf.DUMMYFUNCTION("""COMPUTED_VALUE"""),3.517628428E9)</f>
        <v>3517628428</v>
      </c>
      <c r="J1459" s="7" t="str">
        <f>IFERROR(__xludf.DUMMYFUNCTION("""COMPUTED_VALUE"""),"Recomendación")</f>
        <v>Recomendación</v>
      </c>
      <c r="K1459" s="7" t="str">
        <f>IFERROR(__xludf.DUMMYFUNCTION("""COMPUTED_VALUE"""),"Obra social")</f>
        <v>Obra social</v>
      </c>
      <c r="L1459" s="7"/>
      <c r="M1459" s="7" t="str">
        <f>IFERROR(__xludf.DUMMYFUNCTION("""COMPUTED_VALUE"""),"No")</f>
        <v>No</v>
      </c>
      <c r="N1459" s="7"/>
      <c r="O1459" s="7"/>
      <c r="P1459" s="7"/>
      <c r="Q1459" s="7" t="str">
        <f>IFERROR(__xludf.DUMMYFUNCTION("""COMPUTED_VALUE"""),"PREVENCIÓN")</f>
        <v>PREVENCIÓN</v>
      </c>
      <c r="R1459" s="7"/>
      <c r="S1459" s="7"/>
    </row>
    <row r="1460">
      <c r="C1460" s="19">
        <f>IFERROR(__xludf.DUMMYFUNCTION("""COMPUTED_VALUE"""),46071.72086945602)</f>
        <v>46071.72087</v>
      </c>
      <c r="D1460" s="7" t="str">
        <f>IFERROR(__xludf.DUMMYFUNCTION("""COMPUTED_VALUE"""),"Albarracin")</f>
        <v>Albarracin</v>
      </c>
      <c r="E1460" s="7" t="str">
        <f>IFERROR(__xludf.DUMMYFUNCTION("""COMPUTED_VALUE"""),"Diego")</f>
        <v>Diego</v>
      </c>
      <c r="F1460" s="7" t="str">
        <f>IFERROR(__xludf.DUMMYFUNCTION("""COMPUTED_VALUE"""),"Diee.albaa@hotmail.com")</f>
        <v>Diee.albaa@hotmail.com</v>
      </c>
      <c r="G1460" s="20">
        <f>IFERROR(__xludf.DUMMYFUNCTION("""COMPUTED_VALUE"""),34564.0)</f>
        <v>34564</v>
      </c>
      <c r="H1460" s="7">
        <f>IFERROR(__xludf.DUMMYFUNCTION("""COMPUTED_VALUE"""),3.9074006E7)</f>
        <v>39074006</v>
      </c>
      <c r="I1460" s="7">
        <f>IFERROR(__xludf.DUMMYFUNCTION("""COMPUTED_VALUE"""),3.513465689E9)</f>
        <v>3513465689</v>
      </c>
      <c r="J1460" s="7" t="str">
        <f>IFERROR(__xludf.DUMMYFUNCTION("""COMPUTED_VALUE"""),"Recomendación")</f>
        <v>Recomendación</v>
      </c>
      <c r="K1460" s="7" t="str">
        <f>IFERROR(__xludf.DUMMYFUNCTION("""COMPUTED_VALUE"""),"Particular")</f>
        <v>Particular</v>
      </c>
      <c r="L1460" s="7"/>
      <c r="M1460" s="7" t="str">
        <f>IFERROR(__xludf.DUMMYFUNCTION("""COMPUTED_VALUE"""),"No")</f>
        <v>No</v>
      </c>
      <c r="N1460" s="7"/>
      <c r="O1460" s="7"/>
      <c r="P1460" s="7"/>
      <c r="Q1460" s="7"/>
      <c r="R1460" s="7"/>
      <c r="S1460" s="7"/>
    </row>
    <row r="1461">
      <c r="C1461" s="19">
        <f>IFERROR(__xludf.DUMMYFUNCTION("""COMPUTED_VALUE"""),46072.68095253472)</f>
        <v>46072.68095</v>
      </c>
      <c r="D1461" s="7" t="str">
        <f>IFERROR(__xludf.DUMMYFUNCTION("""COMPUTED_VALUE"""),"Garella")</f>
        <v>Garella</v>
      </c>
      <c r="E1461" s="7" t="str">
        <f>IFERROR(__xludf.DUMMYFUNCTION("""COMPUTED_VALUE"""),"Irma")</f>
        <v>Irma</v>
      </c>
      <c r="F1461" s="7"/>
      <c r="G1461" s="20">
        <f>IFERROR(__xludf.DUMMYFUNCTION("""COMPUTED_VALUE"""),19072.0)</f>
        <v>19072</v>
      </c>
      <c r="H1461" s="7">
        <f>IFERROR(__xludf.DUMMYFUNCTION("""COMPUTED_VALUE"""),1.0445353E7)</f>
        <v>10445353</v>
      </c>
      <c r="I1461" s="7">
        <f>IFERROR(__xludf.DUMMYFUNCTION("""COMPUTED_VALUE"""),3.516631581E9)</f>
        <v>3516631581</v>
      </c>
      <c r="J1461" s="7" t="str">
        <f>IFERROR(__xludf.DUMMYFUNCTION("""COMPUTED_VALUE"""),"Recomendación")</f>
        <v>Recomendación</v>
      </c>
      <c r="K1461" s="7" t="str">
        <f>IFERROR(__xludf.DUMMYFUNCTION("""COMPUTED_VALUE"""),"Particular")</f>
        <v>Particular</v>
      </c>
      <c r="L1461" s="7"/>
      <c r="M1461" s="7" t="str">
        <f>IFERROR(__xludf.DUMMYFUNCTION("""COMPUTED_VALUE"""),"Si")</f>
        <v>Si</v>
      </c>
      <c r="N1461" s="7" t="str">
        <f>IFERROR(__xludf.DUMMYFUNCTION("""COMPUTED_VALUE"""),"Gimnasio")</f>
        <v>Gimnasio</v>
      </c>
      <c r="O1461" s="7" t="str">
        <f>IFERROR(__xludf.DUMMYFUNCTION("""COMPUTED_VALUE"""),"3 a 5 veces por semana")</f>
        <v>3 a 5 veces por semana</v>
      </c>
      <c r="P1461" s="7"/>
      <c r="Q1461" s="7"/>
      <c r="R1461" s="7"/>
      <c r="S1461" s="7"/>
    </row>
    <row r="1462">
      <c r="C1462" s="19">
        <f>IFERROR(__xludf.DUMMYFUNCTION("""COMPUTED_VALUE"""),46072.70218743055)</f>
        <v>46072.70219</v>
      </c>
      <c r="D1462" s="7" t="str">
        <f>IFERROR(__xludf.DUMMYFUNCTION("""COMPUTED_VALUE"""),"Damino")</f>
        <v>Damino</v>
      </c>
      <c r="E1462" s="7" t="str">
        <f>IFERROR(__xludf.DUMMYFUNCTION("""COMPUTED_VALUE"""),"Flavio Raúl ")</f>
        <v>Flavio Raúl </v>
      </c>
      <c r="F1462" s="7" t="str">
        <f>IFERROR(__xludf.DUMMYFUNCTION("""COMPUTED_VALUE"""),"flaviognc@hotmail.com")</f>
        <v>flaviognc@hotmail.com</v>
      </c>
      <c r="G1462" s="20">
        <f>IFERROR(__xludf.DUMMYFUNCTION("""COMPUTED_VALUE"""),21548.0)</f>
        <v>21548</v>
      </c>
      <c r="H1462" s="7">
        <f>IFERROR(__xludf.DUMMYFUNCTION("""COMPUTED_VALUE"""),1.2996505E7)</f>
        <v>12996505</v>
      </c>
      <c r="I1462" s="7">
        <f>IFERROR(__xludf.DUMMYFUNCTION("""COMPUTED_VALUE"""),3.512082991E9)</f>
        <v>3512082991</v>
      </c>
      <c r="J1462" s="7" t="str">
        <f>IFERROR(__xludf.DUMMYFUNCTION("""COMPUTED_VALUE"""),"Iba al manantial ")</f>
        <v>Iba al manantial </v>
      </c>
      <c r="K1462" s="7" t="str">
        <f>IFERROR(__xludf.DUMMYFUNCTION("""COMPUTED_VALUE"""),"Obra social")</f>
        <v>Obra social</v>
      </c>
      <c r="L1462" s="7"/>
      <c r="M1462" s="7" t="str">
        <f>IFERROR(__xludf.DUMMYFUNCTION("""COMPUTED_VALUE"""),"Si")</f>
        <v>Si</v>
      </c>
      <c r="N1462" s="7" t="str">
        <f>IFERROR(__xludf.DUMMYFUNCTION("""COMPUTED_VALUE"""),"Caminata en cinta ")</f>
        <v>Caminata en cinta </v>
      </c>
      <c r="O1462" s="7" t="str">
        <f>IFERROR(__xludf.DUMMYFUNCTION("""COMPUTED_VALUE"""),"3 a 5 veces por semana")</f>
        <v>3 a 5 veces por semana</v>
      </c>
      <c r="P1462" s="7"/>
      <c r="Q1462" s="7" t="str">
        <f>IFERROR(__xludf.DUMMYFUNCTION("""COMPUTED_VALUE"""),"DASPU")</f>
        <v>DASPU</v>
      </c>
      <c r="R1462" s="7"/>
      <c r="S1462" s="7"/>
    </row>
    <row r="1463">
      <c r="C1463" s="19">
        <f>IFERROR(__xludf.DUMMYFUNCTION("""COMPUTED_VALUE"""),46073.540152581016)</f>
        <v>46073.54015</v>
      </c>
      <c r="D1463" s="7" t="str">
        <f>IFERROR(__xludf.DUMMYFUNCTION("""COMPUTED_VALUE"""),"Herrera")</f>
        <v>Herrera</v>
      </c>
      <c r="E1463" s="7" t="str">
        <f>IFERROR(__xludf.DUMMYFUNCTION("""COMPUTED_VALUE"""),"Antonella")</f>
        <v>Antonella</v>
      </c>
      <c r="F1463" s="7" t="str">
        <f>IFERROR(__xludf.DUMMYFUNCTION("""COMPUTED_VALUE"""),"hantonella952@gmail.com")</f>
        <v>hantonella952@gmail.com</v>
      </c>
      <c r="G1463" s="20">
        <f>IFERROR(__xludf.DUMMYFUNCTION("""COMPUTED_VALUE"""),37871.0)</f>
        <v>37871</v>
      </c>
      <c r="H1463" s="7">
        <f>IFERROR(__xludf.DUMMYFUNCTION("""COMPUTED_VALUE"""),4.5082742E7)</f>
        <v>45082742</v>
      </c>
      <c r="I1463" s="7">
        <f>IFERROR(__xludf.DUMMYFUNCTION("""COMPUTED_VALUE"""),3.512042844E9)</f>
        <v>3512042844</v>
      </c>
      <c r="J1463" s="7" t="str">
        <f>IFERROR(__xludf.DUMMYFUNCTION("""COMPUTED_VALUE"""),"Cartilla Obra Social")</f>
        <v>Cartilla Obra Social</v>
      </c>
      <c r="K1463" s="7" t="str">
        <f>IFERROR(__xludf.DUMMYFUNCTION("""COMPUTED_VALUE"""),"Obra social")</f>
        <v>Obra social</v>
      </c>
      <c r="L1463" s="7"/>
      <c r="M1463" s="7" t="str">
        <f>IFERROR(__xludf.DUMMYFUNCTION("""COMPUTED_VALUE"""),"No")</f>
        <v>No</v>
      </c>
      <c r="N1463" s="7"/>
      <c r="O1463" s="7"/>
      <c r="P1463" s="7"/>
      <c r="Q1463" s="7" t="str">
        <f>IFERROR(__xludf.DUMMYFUNCTION("""COMPUTED_VALUE"""),"PREVENCIÓN")</f>
        <v>PREVENCIÓN</v>
      </c>
      <c r="R1463" s="7"/>
      <c r="S1463" s="7"/>
    </row>
    <row r="1464">
      <c r="C1464" s="19">
        <f>IFERROR(__xludf.DUMMYFUNCTION("""COMPUTED_VALUE"""),46073.57104166667)</f>
        <v>46073.57104</v>
      </c>
      <c r="D1464" s="7" t="str">
        <f>IFERROR(__xludf.DUMMYFUNCTION("""COMPUTED_VALUE"""),"SCOPPA")</f>
        <v>SCOPPA</v>
      </c>
      <c r="E1464" s="7" t="str">
        <f>IFERROR(__xludf.DUMMYFUNCTION("""COMPUTED_VALUE"""),"JUAN MANUEL")</f>
        <v>JUAN MANUEL</v>
      </c>
      <c r="F1464" s="7" t="str">
        <f>IFERROR(__xludf.DUMMYFUNCTION("""COMPUTED_VALUE"""),"jms.agent@gmail.com")</f>
        <v>jms.agent@gmail.com</v>
      </c>
      <c r="G1464" s="20">
        <f>IFERROR(__xludf.DUMMYFUNCTION("""COMPUTED_VALUE"""),31024.0)</f>
        <v>31024</v>
      </c>
      <c r="H1464" s="7">
        <f>IFERROR(__xludf.DUMMYFUNCTION("""COMPUTED_VALUE"""),3.1314235E7)</f>
        <v>31314235</v>
      </c>
      <c r="I1464" s="7">
        <f>IFERROR(__xludf.DUMMYFUNCTION("""COMPUTED_VALUE"""),3.517577317E9)</f>
        <v>3517577317</v>
      </c>
      <c r="J1464" s="7" t="str">
        <f>IFERROR(__xludf.DUMMYFUNCTION("""COMPUTED_VALUE"""),"Recomendación")</f>
        <v>Recomendación</v>
      </c>
      <c r="K1464" s="7" t="str">
        <f>IFERROR(__xludf.DUMMYFUNCTION("""COMPUTED_VALUE"""),"Obra social")</f>
        <v>Obra social</v>
      </c>
      <c r="L1464" s="7"/>
      <c r="M1464" s="7" t="str">
        <f>IFERROR(__xludf.DUMMYFUNCTION("""COMPUTED_VALUE"""),"Si")</f>
        <v>Si</v>
      </c>
      <c r="N1464" s="7" t="str">
        <f>IFERROR(__xludf.DUMMYFUNCTION("""COMPUTED_VALUE"""),"PADEL Y GYM MUY POCO")</f>
        <v>PADEL Y GYM MUY POCO</v>
      </c>
      <c r="O1464" s="7" t="str">
        <f>IFERROR(__xludf.DUMMYFUNCTION("""COMPUTED_VALUE"""),"1 a 2 veces por semana")</f>
        <v>1 a 2 veces por semana</v>
      </c>
      <c r="P1464" s="7"/>
      <c r="Q1464" s="7" t="str">
        <f>IFERROR(__xludf.DUMMYFUNCTION("""COMPUTED_VALUE"""),"FEDERADA SALUD PLAN 2000")</f>
        <v>FEDERADA SALUD PLAN 2000</v>
      </c>
      <c r="R1464" s="7"/>
      <c r="S1464" s="7"/>
    </row>
    <row r="1465">
      <c r="C1465" s="19">
        <f>IFERROR(__xludf.DUMMYFUNCTION("""COMPUTED_VALUE"""),46073.70404524305)</f>
        <v>46073.70405</v>
      </c>
      <c r="D1465" s="7" t="str">
        <f>IFERROR(__xludf.DUMMYFUNCTION("""COMPUTED_VALUE"""),"ramirez")</f>
        <v>ramirez</v>
      </c>
      <c r="E1465" s="7" t="str">
        <f>IFERROR(__xludf.DUMMYFUNCTION("""COMPUTED_VALUE"""),"paulina")</f>
        <v>paulina</v>
      </c>
      <c r="F1465" s="7" t="str">
        <f>IFERROR(__xludf.DUMMYFUNCTION("""COMPUTED_VALUE"""),"paulinaramirez1407@gmail.com")</f>
        <v>paulinaramirez1407@gmail.com</v>
      </c>
      <c r="G1465" s="20">
        <f>IFERROR(__xludf.DUMMYFUNCTION("""COMPUTED_VALUE"""),39155.0)</f>
        <v>39155</v>
      </c>
      <c r="H1465" s="7">
        <f>IFERROR(__xludf.DUMMYFUNCTION("""COMPUTED_VALUE"""),4.7662786E7)</f>
        <v>47662786</v>
      </c>
      <c r="I1465" s="7">
        <f>IFERROR(__xludf.DUMMYFUNCTION("""COMPUTED_VALUE"""),3.513325725E9)</f>
        <v>3513325725</v>
      </c>
      <c r="J1465" s="7" t="str">
        <f>IFERROR(__xludf.DUMMYFUNCTION("""COMPUTED_VALUE"""),"Voy al gym Manantial")</f>
        <v>Voy al gym Manantial</v>
      </c>
      <c r="K1465" s="7" t="str">
        <f>IFERROR(__xludf.DUMMYFUNCTION("""COMPUTED_VALUE"""),"Obra social")</f>
        <v>Obra social</v>
      </c>
      <c r="L1465" s="7"/>
      <c r="M1465" s="7" t="str">
        <f>IFERROR(__xludf.DUMMYFUNCTION("""COMPUTED_VALUE"""),"Si")</f>
        <v>Si</v>
      </c>
      <c r="N1465" s="7" t="str">
        <f>IFERROR(__xludf.DUMMYFUNCTION("""COMPUTED_VALUE"""),"hockey")</f>
        <v>hockey</v>
      </c>
      <c r="O1465" s="7" t="str">
        <f>IFERROR(__xludf.DUMMYFUNCTION("""COMPUTED_VALUE"""),"3 a 5 veces por semana")</f>
        <v>3 a 5 veces por semana</v>
      </c>
      <c r="P1465" s="7"/>
      <c r="Q1465" s="7" t="str">
        <f>IFERROR(__xludf.DUMMYFUNCTION("""COMPUTED_VALUE"""),"SANCOR")</f>
        <v>SANCOR</v>
      </c>
      <c r="R1465" s="7"/>
      <c r="S1465" s="7"/>
    </row>
    <row r="1466">
      <c r="C1466" s="19">
        <f>IFERROR(__xludf.DUMMYFUNCTION("""COMPUTED_VALUE"""),46074.53616988426)</f>
        <v>46074.53617</v>
      </c>
      <c r="D1466" s="7" t="str">
        <f>IFERROR(__xludf.DUMMYFUNCTION("""COMPUTED_VALUE"""),"Maidana")</f>
        <v>Maidana</v>
      </c>
      <c r="E1466" s="7" t="str">
        <f>IFERROR(__xludf.DUMMYFUNCTION("""COMPUTED_VALUE"""),"Misael Alejandro")</f>
        <v>Misael Alejandro</v>
      </c>
      <c r="F1466" s="7" t="str">
        <f>IFERROR(__xludf.DUMMYFUNCTION("""COMPUTED_VALUE"""),"misaelmaidana05@gmail.com")</f>
        <v>misaelmaidana05@gmail.com</v>
      </c>
      <c r="G1466" s="20">
        <f>IFERROR(__xludf.DUMMYFUNCTION("""COMPUTED_VALUE"""),34764.0)</f>
        <v>34764</v>
      </c>
      <c r="H1466" s="7">
        <f>IFERROR(__xludf.DUMMYFUNCTION("""COMPUTED_VALUE"""),3.8648464E7)</f>
        <v>38648464</v>
      </c>
      <c r="I1466" s="7">
        <f>IFERROR(__xludf.DUMMYFUNCTION("""COMPUTED_VALUE"""),3.516188386E9)</f>
        <v>3516188386</v>
      </c>
      <c r="J1466" s="7" t="str">
        <f>IFERROR(__xludf.DUMMYFUNCTION("""COMPUTED_VALUE"""),"Recomendación")</f>
        <v>Recomendación</v>
      </c>
      <c r="K1466" s="7" t="str">
        <f>IFERROR(__xludf.DUMMYFUNCTION("""COMPUTED_VALUE"""),"Obra social")</f>
        <v>Obra social</v>
      </c>
      <c r="L1466" s="7"/>
      <c r="M1466" s="7" t="str">
        <f>IFERROR(__xludf.DUMMYFUNCTION("""COMPUTED_VALUE"""),"Si")</f>
        <v>Si</v>
      </c>
      <c r="N1466" s="7" t="str">
        <f>IFERROR(__xludf.DUMMYFUNCTION("""COMPUTED_VALUE"""),"natacion")</f>
        <v>natacion</v>
      </c>
      <c r="O1466" s="7" t="str">
        <f>IFERROR(__xludf.DUMMYFUNCTION("""COMPUTED_VALUE"""),"1 a 2 veces por semana")</f>
        <v>1 a 2 veces por semana</v>
      </c>
      <c r="P1466" s="7"/>
      <c r="Q1466" s="7" t="str">
        <f>IFERROR(__xludf.DUMMYFUNCTION("""COMPUTED_VALUE"""),"swiss medical")</f>
        <v>swiss medical</v>
      </c>
      <c r="R1466" s="7"/>
      <c r="S1466" s="7"/>
    </row>
    <row r="1467">
      <c r="C1467" s="19">
        <f>IFERROR(__xludf.DUMMYFUNCTION("""COMPUTED_VALUE"""),46076.70825009259)</f>
        <v>46076.70825</v>
      </c>
      <c r="D1467" s="7" t="str">
        <f>IFERROR(__xludf.DUMMYFUNCTION("""COMPUTED_VALUE"""),"Marchisio ")</f>
        <v>Marchisio </v>
      </c>
      <c r="E1467" s="7" t="str">
        <f>IFERROR(__xludf.DUMMYFUNCTION("""COMPUTED_VALUE"""),"Cristina ")</f>
        <v>Cristina </v>
      </c>
      <c r="F1467" s="7" t="str">
        <f>IFERROR(__xludf.DUMMYFUNCTION("""COMPUTED_VALUE"""),"cristinamarchisio5@gmail.com")</f>
        <v>cristinamarchisio5@gmail.com</v>
      </c>
      <c r="G1467" s="20">
        <f>IFERROR(__xludf.DUMMYFUNCTION("""COMPUTED_VALUE"""),46054.0)</f>
        <v>46054</v>
      </c>
      <c r="H1467" s="7">
        <f>IFERROR(__xludf.DUMMYFUNCTION("""COMPUTED_VALUE"""),1.3822705E7)</f>
        <v>13822705</v>
      </c>
      <c r="I1467" s="7">
        <f>IFERROR(__xludf.DUMMYFUNCTION("""COMPUTED_VALUE"""),3.515126599E9)</f>
        <v>3515126599</v>
      </c>
      <c r="J1467" s="7" t="str">
        <f>IFERROR(__xludf.DUMMYFUNCTION("""COMPUTED_VALUE"""),"PAMI ")</f>
        <v>PAMI </v>
      </c>
      <c r="K1467" s="7" t="str">
        <f>IFERROR(__xludf.DUMMYFUNCTION("""COMPUTED_VALUE"""),"Particular")</f>
        <v>Particular</v>
      </c>
      <c r="L1467" s="7"/>
      <c r="M1467" s="7" t="str">
        <f>IFERROR(__xludf.DUMMYFUNCTION("""COMPUTED_VALUE"""),"Si")</f>
        <v>Si</v>
      </c>
      <c r="N1467" s="7" t="str">
        <f>IFERROR(__xludf.DUMMYFUNCTION("""COMPUTED_VALUE"""),"Aguayin")</f>
        <v>Aguayin</v>
      </c>
      <c r="O1467" s="7" t="str">
        <f>IFERROR(__xludf.DUMMYFUNCTION("""COMPUTED_VALUE"""),"1 a 2 veces por semana")</f>
        <v>1 a 2 veces por semana</v>
      </c>
      <c r="P1467" s="7"/>
      <c r="Q1467" s="7"/>
      <c r="R1467" s="7"/>
      <c r="S1467" s="7"/>
    </row>
    <row r="1468">
      <c r="C1468" s="19">
        <f>IFERROR(__xludf.DUMMYFUNCTION("""COMPUTED_VALUE"""),46077.3858490162)</f>
        <v>46077.38585</v>
      </c>
      <c r="D1468" s="7" t="str">
        <f>IFERROR(__xludf.DUMMYFUNCTION("""COMPUTED_VALUE"""),"CHAIJ")</f>
        <v>CHAIJ</v>
      </c>
      <c r="E1468" s="7" t="str">
        <f>IFERROR(__xludf.DUMMYFUNCTION("""COMPUTED_VALUE"""),"JORGE ADRIAN")</f>
        <v>JORGE ADRIAN</v>
      </c>
      <c r="F1468" s="7" t="str">
        <f>IFERROR(__xludf.DUMMYFUNCTION("""COMPUTED_VALUE"""),"adrian.chaij@gmail.com")</f>
        <v>adrian.chaij@gmail.com</v>
      </c>
      <c r="G1468" s="20">
        <f>IFERROR(__xludf.DUMMYFUNCTION("""COMPUTED_VALUE"""),34018.0)</f>
        <v>34018</v>
      </c>
      <c r="H1468" s="7">
        <f>IFERROR(__xludf.DUMMYFUNCTION("""COMPUTED_VALUE"""),3.7315733E7)</f>
        <v>37315733</v>
      </c>
      <c r="I1468" s="7">
        <f>IFERROR(__xludf.DUMMYFUNCTION("""COMPUTED_VALUE"""),3.518035483E9)</f>
        <v>3518035483</v>
      </c>
      <c r="J1468" s="7" t="str">
        <f>IFERROR(__xludf.DUMMYFUNCTION("""COMPUTED_VALUE"""),"Google")</f>
        <v>Google</v>
      </c>
      <c r="K1468" s="7" t="str">
        <f>IFERROR(__xludf.DUMMYFUNCTION("""COMPUTED_VALUE"""),"Obra social")</f>
        <v>Obra social</v>
      </c>
      <c r="L1468" s="7"/>
      <c r="M1468" s="7" t="str">
        <f>IFERROR(__xludf.DUMMYFUNCTION("""COMPUTED_VALUE"""),"Si")</f>
        <v>Si</v>
      </c>
      <c r="N1468" s="7" t="str">
        <f>IFERROR(__xludf.DUMMYFUNCTION("""COMPUTED_VALUE"""),"NATACION")</f>
        <v>NATACION</v>
      </c>
      <c r="O1468" s="7" t="str">
        <f>IFERROR(__xludf.DUMMYFUNCTION("""COMPUTED_VALUE"""),"1 a 2 veces por semana")</f>
        <v>1 a 2 veces por semana</v>
      </c>
      <c r="P1468" s="7"/>
      <c r="Q1468" s="7" t="str">
        <f>IFERROR(__xludf.DUMMYFUNCTION("""COMPUTED_VALUE"""),"SANCOR")</f>
        <v>SANCOR</v>
      </c>
      <c r="R1468" s="7"/>
      <c r="S1468" s="7"/>
    </row>
    <row r="1469">
      <c r="C1469" s="19">
        <f>IFERROR(__xludf.DUMMYFUNCTION("""COMPUTED_VALUE"""),46077.42405288194)</f>
        <v>46077.42405</v>
      </c>
      <c r="D1469" s="7" t="str">
        <f>IFERROR(__xludf.DUMMYFUNCTION("""COMPUTED_VALUE"""),"Mottura")</f>
        <v>Mottura</v>
      </c>
      <c r="E1469" s="7" t="str">
        <f>IFERROR(__xludf.DUMMYFUNCTION("""COMPUTED_VALUE"""),"Valentino")</f>
        <v>Valentino</v>
      </c>
      <c r="F1469" s="7" t="str">
        <f>IFERROR(__xludf.DUMMYFUNCTION("""COMPUTED_VALUE"""),"vmottura@gmail.com")</f>
        <v>vmottura@gmail.com</v>
      </c>
      <c r="G1469" s="20">
        <f>IFERROR(__xludf.DUMMYFUNCTION("""COMPUTED_VALUE"""),35766.0)</f>
        <v>35766</v>
      </c>
      <c r="H1469" s="7">
        <f>IFERROR(__xludf.DUMMYFUNCTION("""COMPUTED_VALUE"""),4.0802517E7)</f>
        <v>40802517</v>
      </c>
      <c r="I1469" s="7">
        <f>IFERROR(__xludf.DUMMYFUNCTION("""COMPUTED_VALUE"""),3.517404946E9)</f>
        <v>3517404946</v>
      </c>
      <c r="J1469" s="7" t="str">
        <f>IFERROR(__xludf.DUMMYFUNCTION("""COMPUTED_VALUE"""),"Recomendación")</f>
        <v>Recomendación</v>
      </c>
      <c r="K1469" s="7" t="str">
        <f>IFERROR(__xludf.DUMMYFUNCTION("""COMPUTED_VALUE"""),"Obra social")</f>
        <v>Obra social</v>
      </c>
      <c r="L1469" s="7"/>
      <c r="M1469" s="7" t="str">
        <f>IFERROR(__xludf.DUMMYFUNCTION("""COMPUTED_VALUE"""),"Si")</f>
        <v>Si</v>
      </c>
      <c r="N1469" s="7" t="str">
        <f>IFERROR(__xludf.DUMMYFUNCTION("""COMPUTED_VALUE"""),"Padel+Tenis+Crossfit")</f>
        <v>Padel+Tenis+Crossfit</v>
      </c>
      <c r="O1469" s="7" t="str">
        <f>IFERROR(__xludf.DUMMYFUNCTION("""COMPUTED_VALUE"""),"6 a 7 veces por semana")</f>
        <v>6 a 7 veces por semana</v>
      </c>
      <c r="P1469" s="7"/>
      <c r="Q1469" s="7" t="str">
        <f>IFERROR(__xludf.DUMMYFUNCTION("""COMPUTED_VALUE"""),"SANCOR")</f>
        <v>SANCOR</v>
      </c>
      <c r="R1469" s="7"/>
      <c r="S1469" s="7"/>
    </row>
    <row r="1470">
      <c r="C1470" s="19">
        <f>IFERROR(__xludf.DUMMYFUNCTION("""COMPUTED_VALUE"""),46077.64329049768)</f>
        <v>46077.64329</v>
      </c>
      <c r="D1470" s="7" t="str">
        <f>IFERROR(__xludf.DUMMYFUNCTION("""COMPUTED_VALUE"""),"Oberto")</f>
        <v>Oberto</v>
      </c>
      <c r="E1470" s="7" t="str">
        <f>IFERROR(__xludf.DUMMYFUNCTION("""COMPUTED_VALUE"""),"Fede")</f>
        <v>Fede</v>
      </c>
      <c r="F1470" s="7" t="str">
        <f>IFERROR(__xludf.DUMMYFUNCTION("""COMPUTED_VALUE"""),"foberto86@gmail.com")</f>
        <v>foberto86@gmail.com</v>
      </c>
      <c r="G1470" s="20">
        <f>IFERROR(__xludf.DUMMYFUNCTION("""COMPUTED_VALUE"""),36132.0)</f>
        <v>36132</v>
      </c>
      <c r="H1470" s="7">
        <f>IFERROR(__xludf.DUMMYFUNCTION("""COMPUTED_VALUE"""),4.1680993E7)</f>
        <v>41680993</v>
      </c>
      <c r="I1470" s="7">
        <f>IFERROR(__xludf.DUMMYFUNCTION("""COMPUTED_VALUE"""),3.517643209E9)</f>
        <v>3517643209</v>
      </c>
      <c r="J1470" s="7" t="str">
        <f>IFERROR(__xludf.DUMMYFUNCTION("""COMPUTED_VALUE"""),"Voy al gym Manantial")</f>
        <v>Voy al gym Manantial</v>
      </c>
      <c r="K1470" s="7" t="str">
        <f>IFERROR(__xludf.DUMMYFUNCTION("""COMPUTED_VALUE"""),"Obra social")</f>
        <v>Obra social</v>
      </c>
      <c r="L1470" s="7"/>
      <c r="M1470" s="7" t="str">
        <f>IFERROR(__xludf.DUMMYFUNCTION("""COMPUTED_VALUE"""),"No")</f>
        <v>No</v>
      </c>
      <c r="N1470" s="7"/>
      <c r="O1470" s="7"/>
      <c r="P1470" s="7"/>
      <c r="Q1470" s="7" t="str">
        <f>IFERROR(__xludf.DUMMYFUNCTION("""COMPUTED_VALUE"""),"SANCOR")</f>
        <v>SANCOR</v>
      </c>
      <c r="R1470" s="7"/>
      <c r="S1470" s="7"/>
    </row>
    <row r="1471">
      <c r="C1471" s="19">
        <f>IFERROR(__xludf.DUMMYFUNCTION("""COMPUTED_VALUE"""),46077.65299673611)</f>
        <v>46077.653</v>
      </c>
      <c r="D1471" s="7" t="str">
        <f>IFERROR(__xludf.DUMMYFUNCTION("""COMPUTED_VALUE"""),"Diaz")</f>
        <v>Diaz</v>
      </c>
      <c r="E1471" s="7" t="str">
        <f>IFERROR(__xludf.DUMMYFUNCTION("""COMPUTED_VALUE"""),"Leonel")</f>
        <v>Leonel</v>
      </c>
      <c r="F1471" s="7" t="str">
        <f>IFERROR(__xludf.DUMMYFUNCTION("""COMPUTED_VALUE"""),"dleodiaz9@gmail.com")</f>
        <v>dleodiaz9@gmail.com</v>
      </c>
      <c r="G1471" s="20">
        <f>IFERROR(__xludf.DUMMYFUNCTION("""COMPUTED_VALUE"""),33435.0)</f>
        <v>33435</v>
      </c>
      <c r="H1471" s="7">
        <f>IFERROR(__xludf.DUMMYFUNCTION("""COMPUTED_VALUE"""),3.5673168E7)</f>
        <v>35673168</v>
      </c>
      <c r="I1471" s="7">
        <f>IFERROR(__xludf.DUMMYFUNCTION("""COMPUTED_VALUE"""),3.549435259E9)</f>
        <v>3549435259</v>
      </c>
      <c r="J1471" s="7" t="str">
        <f>IFERROR(__xludf.DUMMYFUNCTION("""COMPUTED_VALUE"""),"Google")</f>
        <v>Google</v>
      </c>
      <c r="K1471" s="7" t="str">
        <f>IFERROR(__xludf.DUMMYFUNCTION("""COMPUTED_VALUE"""),"Obra social")</f>
        <v>Obra social</v>
      </c>
      <c r="L1471" s="7"/>
      <c r="M1471" s="7" t="str">
        <f>IFERROR(__xludf.DUMMYFUNCTION("""COMPUTED_VALUE"""),"Si")</f>
        <v>Si</v>
      </c>
      <c r="N1471" s="7" t="str">
        <f>IFERROR(__xludf.DUMMYFUNCTION("""COMPUTED_VALUE"""),"Gimnasio")</f>
        <v>Gimnasio</v>
      </c>
      <c r="O1471" s="7" t="str">
        <f>IFERROR(__xludf.DUMMYFUNCTION("""COMPUTED_VALUE"""),"3 a 5 veces por semana")</f>
        <v>3 a 5 veces por semana</v>
      </c>
      <c r="P1471" s="7"/>
      <c r="Q1471" s="7" t="str">
        <f>IFERROR(__xludf.DUMMYFUNCTION("""COMPUTED_VALUE"""),"SANCOR")</f>
        <v>SANCOR</v>
      </c>
      <c r="R1471" s="7"/>
      <c r="S1471" s="7"/>
    </row>
    <row r="1472">
      <c r="C1472" s="19">
        <f>IFERROR(__xludf.DUMMYFUNCTION("""COMPUTED_VALUE"""),46077.813080127315)</f>
        <v>46077.81308</v>
      </c>
      <c r="D1472" s="7" t="str">
        <f>IFERROR(__xludf.DUMMYFUNCTION("""COMPUTED_VALUE"""),"Ludueña")</f>
        <v>Ludueña</v>
      </c>
      <c r="E1472" s="7" t="str">
        <f>IFERROR(__xludf.DUMMYFUNCTION("""COMPUTED_VALUE"""),"Contanza")</f>
        <v>Contanza</v>
      </c>
      <c r="F1472" s="7" t="str">
        <f>IFERROR(__xludf.DUMMYFUNCTION("""COMPUTED_VALUE"""),"paolamoli28@gmail.com")</f>
        <v>paolamoli28@gmail.com</v>
      </c>
      <c r="G1472" s="20">
        <f>IFERROR(__xludf.DUMMYFUNCTION("""COMPUTED_VALUE"""),40998.0)</f>
        <v>40998</v>
      </c>
      <c r="H1472" s="7">
        <f>IFERROR(__xludf.DUMMYFUNCTION("""COMPUTED_VALUE"""),5.215705E7)</f>
        <v>52157050</v>
      </c>
      <c r="I1472" s="7">
        <f>IFERROR(__xludf.DUMMYFUNCTION("""COMPUTED_VALUE"""),3.513115361E9)</f>
        <v>3513115361</v>
      </c>
      <c r="J1472" s="7" t="str">
        <f>IFERROR(__xludf.DUMMYFUNCTION("""COMPUTED_VALUE"""),"Recomendación")</f>
        <v>Recomendación</v>
      </c>
      <c r="K1472" s="7" t="str">
        <f>IFERROR(__xludf.DUMMYFUNCTION("""COMPUTED_VALUE"""),"Particular")</f>
        <v>Particular</v>
      </c>
      <c r="L1472" s="7"/>
      <c r="M1472" s="7" t="str">
        <f>IFERROR(__xludf.DUMMYFUNCTION("""COMPUTED_VALUE"""),"No")</f>
        <v>No</v>
      </c>
      <c r="N1472" s="7"/>
      <c r="O1472" s="7"/>
      <c r="P1472" s="7"/>
      <c r="Q1472" s="7"/>
      <c r="R1472" s="7"/>
      <c r="S1472" s="7"/>
    </row>
    <row r="1473">
      <c r="C1473" s="19">
        <f>IFERROR(__xludf.DUMMYFUNCTION("""COMPUTED_VALUE"""),46078.72855193287)</f>
        <v>46078.72855</v>
      </c>
      <c r="D1473" s="7" t="str">
        <f>IFERROR(__xludf.DUMMYFUNCTION("""COMPUTED_VALUE"""),"Roure")</f>
        <v>Roure</v>
      </c>
      <c r="E1473" s="7" t="str">
        <f>IFERROR(__xludf.DUMMYFUNCTION("""COMPUTED_VALUE"""),"Cesar")</f>
        <v>Cesar</v>
      </c>
      <c r="F1473" s="7"/>
      <c r="G1473" s="20">
        <f>IFERROR(__xludf.DUMMYFUNCTION("""COMPUTED_VALUE"""),33822.0)</f>
        <v>33822</v>
      </c>
      <c r="H1473" s="7">
        <f>IFERROR(__xludf.DUMMYFUNCTION("""COMPUTED_VALUE"""),3.6358699E7)</f>
        <v>36358699</v>
      </c>
      <c r="I1473" s="7">
        <f>IFERROR(__xludf.DUMMYFUNCTION("""COMPUTED_VALUE"""),3.512695588E9)</f>
        <v>3512695588</v>
      </c>
      <c r="J1473" s="7" t="str">
        <f>IFERROR(__xludf.DUMMYFUNCTION("""COMPUTED_VALUE"""),"Gimnasio")</f>
        <v>Gimnasio</v>
      </c>
      <c r="K1473" s="7" t="str">
        <f>IFERROR(__xludf.DUMMYFUNCTION("""COMPUTED_VALUE"""),"Obra social")</f>
        <v>Obra social</v>
      </c>
      <c r="L1473" s="7"/>
      <c r="M1473" s="7" t="str">
        <f>IFERROR(__xludf.DUMMYFUNCTION("""COMPUTED_VALUE"""),"Si")</f>
        <v>Si</v>
      </c>
      <c r="N1473" s="7" t="str">
        <f>IFERROR(__xludf.DUMMYFUNCTION("""COMPUTED_VALUE"""),"Gimnasio")</f>
        <v>Gimnasio</v>
      </c>
      <c r="O1473" s="7" t="str">
        <f>IFERROR(__xludf.DUMMYFUNCTION("""COMPUTED_VALUE"""),"3 a 5 veces por semana")</f>
        <v>3 a 5 veces por semana</v>
      </c>
      <c r="P1473" s="7"/>
      <c r="Q1473" s="7"/>
      <c r="R1473" s="7"/>
      <c r="S1473" s="7"/>
    </row>
    <row r="1474">
      <c r="C1474" s="19">
        <f>IFERROR(__xludf.DUMMYFUNCTION("""COMPUTED_VALUE"""),46078.84733372685)</f>
        <v>46078.84733</v>
      </c>
      <c r="D1474" s="7" t="str">
        <f>IFERROR(__xludf.DUMMYFUNCTION("""COMPUTED_VALUE"""),"villareal ")</f>
        <v>villareal </v>
      </c>
      <c r="E1474" s="7" t="str">
        <f>IFERROR(__xludf.DUMMYFUNCTION("""COMPUTED_VALUE"""),"nicolas ")</f>
        <v>nicolas </v>
      </c>
      <c r="F1474" s="7" t="str">
        <f>IFERROR(__xludf.DUMMYFUNCTION("""COMPUTED_VALUE"""),"nicolasvillarealcrc@gmail.com")</f>
        <v>nicolasvillarealcrc@gmail.com</v>
      </c>
      <c r="G1474" s="20">
        <f>IFERROR(__xludf.DUMMYFUNCTION("""COMPUTED_VALUE"""),36206.0)</f>
        <v>36206</v>
      </c>
      <c r="H1474" s="7">
        <f>IFERROR(__xludf.DUMMYFUNCTION("""COMPUTED_VALUE"""),4.1962137E7)</f>
        <v>41962137</v>
      </c>
      <c r="I1474" s="7">
        <f>IFERROR(__xludf.DUMMYFUNCTION("""COMPUTED_VALUE"""),3.513066864E9)</f>
        <v>3513066864</v>
      </c>
      <c r="J1474" s="7" t="str">
        <f>IFERROR(__xludf.DUMMYFUNCTION("""COMPUTED_VALUE"""),"Juega al rugby en CRC ")</f>
        <v>Juega al rugby en CRC </v>
      </c>
      <c r="K1474" s="7" t="str">
        <f>IFERROR(__xludf.DUMMYFUNCTION("""COMPUTED_VALUE"""),"Particular")</f>
        <v>Particular</v>
      </c>
      <c r="L1474" s="7"/>
      <c r="M1474" s="7" t="str">
        <f>IFERROR(__xludf.DUMMYFUNCTION("""COMPUTED_VALUE"""),"Si")</f>
        <v>Si</v>
      </c>
      <c r="N1474" s="7" t="str">
        <f>IFERROR(__xludf.DUMMYFUNCTION("""COMPUTED_VALUE"""),"Rugby")</f>
        <v>Rugby</v>
      </c>
      <c r="O1474" s="7" t="str">
        <f>IFERROR(__xludf.DUMMYFUNCTION("""COMPUTED_VALUE"""),"6 a 7 veces por semana")</f>
        <v>6 a 7 veces por semana</v>
      </c>
      <c r="P1474" s="7"/>
      <c r="Q1474" s="7"/>
      <c r="R1474" s="7"/>
      <c r="S1474" s="7"/>
    </row>
    <row r="1475">
      <c r="C1475" s="19">
        <f>IFERROR(__xludf.DUMMYFUNCTION("""COMPUTED_VALUE"""),46079.41570099537)</f>
        <v>46079.4157</v>
      </c>
      <c r="D1475" s="7" t="str">
        <f>IFERROR(__xludf.DUMMYFUNCTION("""COMPUTED_VALUE"""),"Amaya")</f>
        <v>Amaya</v>
      </c>
      <c r="E1475" s="7" t="str">
        <f>IFERROR(__xludf.DUMMYFUNCTION("""COMPUTED_VALUE"""),"Javier")</f>
        <v>Javier</v>
      </c>
      <c r="F1475" s="7" t="str">
        <f>IFERROR(__xludf.DUMMYFUNCTION("""COMPUTED_VALUE"""),"amayajavier@hotmail.com")</f>
        <v>amayajavier@hotmail.com</v>
      </c>
      <c r="G1475" s="20">
        <f>IFERROR(__xludf.DUMMYFUNCTION("""COMPUTED_VALUE"""),22158.0)</f>
        <v>22158</v>
      </c>
      <c r="H1475" s="7">
        <f>IFERROR(__xludf.DUMMYFUNCTION("""COMPUTED_VALUE"""),1.4154021E7)</f>
        <v>14154021</v>
      </c>
      <c r="I1475" s="7">
        <f>IFERROR(__xludf.DUMMYFUNCTION("""COMPUTED_VALUE"""),3.515162502E9)</f>
        <v>3515162502</v>
      </c>
      <c r="J1475" s="7" t="str">
        <f>IFERROR(__xludf.DUMMYFUNCTION("""COMPUTED_VALUE"""),"Gimnasio")</f>
        <v>Gimnasio</v>
      </c>
      <c r="K1475" s="7" t="str">
        <f>IFERROR(__xludf.DUMMYFUNCTION("""COMPUTED_VALUE"""),"Particular")</f>
        <v>Particular</v>
      </c>
      <c r="L1475" s="7"/>
      <c r="M1475" s="7" t="str">
        <f>IFERROR(__xludf.DUMMYFUNCTION("""COMPUTED_VALUE"""),"Si")</f>
        <v>Si</v>
      </c>
      <c r="N1475" s="7" t="str">
        <f>IFERROR(__xludf.DUMMYFUNCTION("""COMPUTED_VALUE"""),"Gimnasio")</f>
        <v>Gimnasio</v>
      </c>
      <c r="O1475" s="7" t="str">
        <f>IFERROR(__xludf.DUMMYFUNCTION("""COMPUTED_VALUE"""),"3 a 5 veces por semana")</f>
        <v>3 a 5 veces por semana</v>
      </c>
      <c r="P1475" s="7"/>
      <c r="Q1475" s="7"/>
      <c r="R1475" s="7"/>
      <c r="S1475" s="7"/>
    </row>
    <row r="1476">
      <c r="C1476" s="19">
        <f>IFERROR(__xludf.DUMMYFUNCTION("""COMPUTED_VALUE"""),46079.719060393516)</f>
        <v>46079.71906</v>
      </c>
      <c r="D1476" s="7" t="str">
        <f>IFERROR(__xludf.DUMMYFUNCTION("""COMPUTED_VALUE"""),"Jurczyszyn")</f>
        <v>Jurczyszyn</v>
      </c>
      <c r="E1476" s="7" t="str">
        <f>IFERROR(__xludf.DUMMYFUNCTION("""COMPUTED_VALUE"""),"Tomas Agustin")</f>
        <v>Tomas Agustin</v>
      </c>
      <c r="F1476" s="7" t="str">
        <f>IFERROR(__xludf.DUMMYFUNCTION("""COMPUTED_VALUE"""),"tomas.jurczyszyn@gmail.com")</f>
        <v>tomas.jurczyszyn@gmail.com</v>
      </c>
      <c r="G1476" s="20">
        <f>IFERROR(__xludf.DUMMYFUNCTION("""COMPUTED_VALUE"""),34931.0)</f>
        <v>34931</v>
      </c>
      <c r="H1476" s="7">
        <f>IFERROR(__xludf.DUMMYFUNCTION("""COMPUTED_VALUE"""),3.9068231E7)</f>
        <v>39068231</v>
      </c>
      <c r="I1476" s="7">
        <f>IFERROR(__xludf.DUMMYFUNCTION("""COMPUTED_VALUE"""),3.516882098E9)</f>
        <v>3516882098</v>
      </c>
      <c r="J1476" s="7" t="str">
        <f>IFERROR(__xludf.DUMMYFUNCTION("""COMPUTED_VALUE"""),"Google")</f>
        <v>Google</v>
      </c>
      <c r="K1476" s="7" t="str">
        <f>IFERROR(__xludf.DUMMYFUNCTION("""COMPUTED_VALUE"""),"Obra social")</f>
        <v>Obra social</v>
      </c>
      <c r="L1476" s="7"/>
      <c r="M1476" s="7" t="str">
        <f>IFERROR(__xludf.DUMMYFUNCTION("""COMPUTED_VALUE"""),"Si")</f>
        <v>Si</v>
      </c>
      <c r="N1476" s="7" t="str">
        <f>IFERROR(__xludf.DUMMYFUNCTION("""COMPUTED_VALUE"""),"Natacion ")</f>
        <v>Natacion </v>
      </c>
      <c r="O1476" s="7" t="str">
        <f>IFERROR(__xludf.DUMMYFUNCTION("""COMPUTED_VALUE"""),"1 a 2 veces por semana")</f>
        <v>1 a 2 veces por semana</v>
      </c>
      <c r="P1476" s="7"/>
      <c r="Q1476" s="7" t="str">
        <f>IFERROR(__xludf.DUMMYFUNCTION("""COMPUTED_VALUE"""),"Osde")</f>
        <v>Osde</v>
      </c>
      <c r="R1476" s="7"/>
      <c r="S1476" s="7"/>
    </row>
    <row r="1477">
      <c r="C1477" s="19">
        <f>IFERROR(__xludf.DUMMYFUNCTION("""COMPUTED_VALUE"""),46080.58597458333)</f>
        <v>46080.58597</v>
      </c>
      <c r="D1477" s="7" t="str">
        <f>IFERROR(__xludf.DUMMYFUNCTION("""COMPUTED_VALUE"""),"Sara")</f>
        <v>Sara</v>
      </c>
      <c r="E1477" s="7" t="str">
        <f>IFERROR(__xludf.DUMMYFUNCTION("""COMPUTED_VALUE"""),"Mirta Agustina")</f>
        <v>Mirta Agustina</v>
      </c>
      <c r="F1477" s="7" t="str">
        <f>IFERROR(__xludf.DUMMYFUNCTION("""COMPUTED_VALUE"""),"laura.contreras.sara@gmail.com")</f>
        <v>laura.contreras.sara@gmail.com</v>
      </c>
      <c r="G1477" s="20">
        <f>IFERROR(__xludf.DUMMYFUNCTION("""COMPUTED_VALUE"""),46080.0)</f>
        <v>46080</v>
      </c>
      <c r="H1477" s="7">
        <f>IFERROR(__xludf.DUMMYFUNCTION("""COMPUTED_VALUE"""),6523776.0)</f>
        <v>6523776</v>
      </c>
      <c r="I1477" s="7">
        <f>IFERROR(__xludf.DUMMYFUNCTION("""COMPUTED_VALUE"""),3.516850952E9)</f>
        <v>3516850952</v>
      </c>
      <c r="J1477" s="7" t="str">
        <f>IFERROR(__xludf.DUMMYFUNCTION("""COMPUTED_VALUE"""),"Cartilla Obra Social")</f>
        <v>Cartilla Obra Social</v>
      </c>
      <c r="K1477" s="7" t="str">
        <f>IFERROR(__xludf.DUMMYFUNCTION("""COMPUTED_VALUE"""),"Obra social")</f>
        <v>Obra social</v>
      </c>
      <c r="L1477" s="7"/>
      <c r="M1477" s="7" t="str">
        <f>IFERROR(__xludf.DUMMYFUNCTION("""COMPUTED_VALUE"""),"No")</f>
        <v>No</v>
      </c>
      <c r="N1477" s="7"/>
      <c r="O1477" s="7"/>
      <c r="P1477" s="7"/>
      <c r="Q1477" s="7" t="str">
        <f>IFERROR(__xludf.DUMMYFUNCTION("""COMPUTED_VALUE"""),"APROSS")</f>
        <v>APROSS</v>
      </c>
      <c r="R1477" s="7"/>
      <c r="S1477" s="7"/>
    </row>
    <row r="1478">
      <c r="C1478" s="19">
        <f>IFERROR(__xludf.DUMMYFUNCTION("""COMPUTED_VALUE"""),46085.64901706019)</f>
        <v>46085.64902</v>
      </c>
      <c r="D1478" s="7" t="str">
        <f>IFERROR(__xludf.DUMMYFUNCTION("""COMPUTED_VALUE"""),"FIGUEROA ")</f>
        <v>FIGUEROA </v>
      </c>
      <c r="E1478" s="7" t="str">
        <f>IFERROR(__xludf.DUMMYFUNCTION("""COMPUTED_VALUE"""),"Celina ")</f>
        <v>Celina </v>
      </c>
      <c r="F1478" s="7" t="str">
        <f>IFERROR(__xludf.DUMMYFUNCTION("""COMPUTED_VALUE"""),"celi6044@gmail.com")</f>
        <v>celi6044@gmail.com</v>
      </c>
      <c r="G1478" s="20">
        <f>IFERROR(__xludf.DUMMYFUNCTION("""COMPUTED_VALUE"""),33236.0)</f>
        <v>33236</v>
      </c>
      <c r="H1478" s="7">
        <f>IFERROR(__xludf.DUMMYFUNCTION("""COMPUTED_VALUE"""),3.5574057E7)</f>
        <v>35574057</v>
      </c>
      <c r="I1478" s="7">
        <f>IFERROR(__xludf.DUMMYFUNCTION("""COMPUTED_VALUE"""),3.515439463E9)</f>
        <v>3515439463</v>
      </c>
      <c r="J1478" s="7" t="str">
        <f>IFERROR(__xludf.DUMMYFUNCTION("""COMPUTED_VALUE"""),"Recomendación")</f>
        <v>Recomendación</v>
      </c>
      <c r="K1478" s="7" t="str">
        <f>IFERROR(__xludf.DUMMYFUNCTION("""COMPUTED_VALUE"""),"Obra social")</f>
        <v>Obra social</v>
      </c>
      <c r="L1478" s="7"/>
      <c r="M1478" s="7" t="str">
        <f>IFERROR(__xludf.DUMMYFUNCTION("""COMPUTED_VALUE"""),"No")</f>
        <v>No</v>
      </c>
      <c r="N1478" s="7"/>
      <c r="O1478" s="7"/>
      <c r="P1478" s="7"/>
      <c r="Q1478" s="7" t="str">
        <f>IFERROR(__xludf.DUMMYFUNCTION("""COMPUTED_VALUE"""),"medife")</f>
        <v>medife</v>
      </c>
      <c r="R1478" s="7"/>
      <c r="S1478" s="7"/>
    </row>
    <row r="1479">
      <c r="C1479" s="19">
        <f>IFERROR(__xludf.DUMMYFUNCTION("""COMPUTED_VALUE"""),46085.665301354165)</f>
        <v>46085.6653</v>
      </c>
      <c r="D1479" s="7" t="str">
        <f>IFERROR(__xludf.DUMMYFUNCTION("""COMPUTED_VALUE"""),"Acosta")</f>
        <v>Acosta</v>
      </c>
      <c r="E1479" s="7" t="str">
        <f>IFERROR(__xludf.DUMMYFUNCTION("""COMPUTED_VALUE"""),"Vanina")</f>
        <v>Vanina</v>
      </c>
      <c r="F1479" s="7" t="str">
        <f>IFERROR(__xludf.DUMMYFUNCTION("""COMPUTED_VALUE"""),"Profevaninaacosta@gmail.com")</f>
        <v>Profevaninaacosta@gmail.com</v>
      </c>
      <c r="G1479" s="20">
        <f>IFERROR(__xludf.DUMMYFUNCTION("""COMPUTED_VALUE"""),27767.0)</f>
        <v>27767</v>
      </c>
      <c r="H1479" s="7">
        <f>IFERROR(__xludf.DUMMYFUNCTION("""COMPUTED_VALUE"""),2.5080793E7)</f>
        <v>25080793</v>
      </c>
      <c r="I1479" s="7">
        <f>IFERROR(__xludf.DUMMYFUNCTION("""COMPUTED_VALUE"""),3.513821363E9)</f>
        <v>3513821363</v>
      </c>
      <c r="J1479" s="7" t="str">
        <f>IFERROR(__xludf.DUMMYFUNCTION("""COMPUTED_VALUE"""),"Cartilla Obra Social")</f>
        <v>Cartilla Obra Social</v>
      </c>
      <c r="K1479" s="7" t="str">
        <f>IFERROR(__xludf.DUMMYFUNCTION("""COMPUTED_VALUE"""),"Obra social")</f>
        <v>Obra social</v>
      </c>
      <c r="L1479" s="7"/>
      <c r="M1479" s="7" t="str">
        <f>IFERROR(__xludf.DUMMYFUNCTION("""COMPUTED_VALUE"""),"No")</f>
        <v>No</v>
      </c>
      <c r="N1479" s="7"/>
      <c r="O1479" s="7"/>
      <c r="P1479" s="7"/>
      <c r="Q1479" s="7" t="str">
        <f>IFERROR(__xludf.DUMMYFUNCTION("""COMPUTED_VALUE"""),"APROSS")</f>
        <v>APROSS</v>
      </c>
      <c r="R1479" s="7"/>
      <c r="S1479" s="7"/>
    </row>
    <row r="1480">
      <c r="C1480" s="19">
        <f>IFERROR(__xludf.DUMMYFUNCTION("""COMPUTED_VALUE"""),46085.7971153588)</f>
        <v>46085.79712</v>
      </c>
      <c r="D1480" s="7" t="str">
        <f>IFERROR(__xludf.DUMMYFUNCTION("""COMPUTED_VALUE"""),"MAIDANA ")</f>
        <v>MAIDANA </v>
      </c>
      <c r="E1480" s="7" t="str">
        <f>IFERROR(__xludf.DUMMYFUNCTION("""COMPUTED_VALUE"""),"CECILIA INÉS ")</f>
        <v>CECILIA INÉS </v>
      </c>
      <c r="F1480" s="7" t="str">
        <f>IFERROR(__xludf.DUMMYFUNCTION("""COMPUTED_VALUE"""),"cecimaidana@hotmail.com")</f>
        <v>cecimaidana@hotmail.com</v>
      </c>
      <c r="G1480" s="20">
        <f>IFERROR(__xludf.DUMMYFUNCTION("""COMPUTED_VALUE"""),23057.0)</f>
        <v>23057</v>
      </c>
      <c r="H1480" s="21">
        <f>IFERROR(__xludf.DUMMYFUNCTION("""COMPUTED_VALUE"""),1.6508261E7)</f>
        <v>16508261</v>
      </c>
      <c r="I1480" s="7">
        <f>IFERROR(__xludf.DUMMYFUNCTION("""COMPUTED_VALUE"""),3.517573231E9)</f>
        <v>3517573231</v>
      </c>
      <c r="J1480" s="7" t="str">
        <f>IFERROR(__xludf.DUMMYFUNCTION("""COMPUTED_VALUE"""),"Recomendación")</f>
        <v>Recomendación</v>
      </c>
      <c r="K1480" s="7" t="str">
        <f>IFERROR(__xludf.DUMMYFUNCTION("""COMPUTED_VALUE"""),"Obra social")</f>
        <v>Obra social</v>
      </c>
      <c r="L1480" s="7"/>
      <c r="M1480" s="7" t="str">
        <f>IFERROR(__xludf.DUMMYFUNCTION("""COMPUTED_VALUE"""),"Si")</f>
        <v>Si</v>
      </c>
      <c r="N1480" s="7" t="str">
        <f>IFERROR(__xludf.DUMMYFUNCTION("""COMPUTED_VALUE"""),"Pilates")</f>
        <v>Pilates</v>
      </c>
      <c r="O1480" s="7" t="str">
        <f>IFERROR(__xludf.DUMMYFUNCTION("""COMPUTED_VALUE"""),"3 a 5 veces por semana")</f>
        <v>3 a 5 veces por semana</v>
      </c>
      <c r="P1480" s="7"/>
      <c r="Q1480" s="7" t="str">
        <f>IFERROR(__xludf.DUMMYFUNCTION("""COMPUTED_VALUE"""),"Union Personal")</f>
        <v>Union Personal</v>
      </c>
      <c r="R1480" s="7"/>
      <c r="S1480" s="7"/>
    </row>
    <row r="1481">
      <c r="C1481" s="19">
        <f>IFERROR(__xludf.DUMMYFUNCTION("""COMPUTED_VALUE"""),46085.81366296296)</f>
        <v>46085.81366</v>
      </c>
      <c r="D1481" s="7" t="str">
        <f>IFERROR(__xludf.DUMMYFUNCTION("""COMPUTED_VALUE"""),"Bartolini ")</f>
        <v>Bartolini </v>
      </c>
      <c r="E1481" s="7" t="str">
        <f>IFERROR(__xludf.DUMMYFUNCTION("""COMPUTED_VALUE"""),"Daniela Alejandra ")</f>
        <v>Daniela Alejandra </v>
      </c>
      <c r="F1481" s="7" t="str">
        <f>IFERROR(__xludf.DUMMYFUNCTION("""COMPUTED_VALUE"""),"dbartolini45@gmail.com")</f>
        <v>dbartolini45@gmail.com</v>
      </c>
      <c r="G1481" s="20">
        <f>IFERROR(__xludf.DUMMYFUNCTION("""COMPUTED_VALUE"""),32147.0)</f>
        <v>32147</v>
      </c>
      <c r="H1481" s="7">
        <f>IFERROR(__xludf.DUMMYFUNCTION("""COMPUTED_VALUE"""),3.3389276E7)</f>
        <v>33389276</v>
      </c>
      <c r="I1481" s="7">
        <f>IFERROR(__xludf.DUMMYFUNCTION("""COMPUTED_VALUE"""),3.512192023E9)</f>
        <v>3512192023</v>
      </c>
      <c r="J1481" s="7" t="str">
        <f>IFERROR(__xludf.DUMMYFUNCTION("""COMPUTED_VALUE"""),"Gimnasio")</f>
        <v>Gimnasio</v>
      </c>
      <c r="K1481" s="7" t="str">
        <f>IFERROR(__xludf.DUMMYFUNCTION("""COMPUTED_VALUE"""),"Particular")</f>
        <v>Particular</v>
      </c>
      <c r="L1481" s="7"/>
      <c r="M1481" s="7" t="str">
        <f>IFERROR(__xludf.DUMMYFUNCTION("""COMPUTED_VALUE"""),"Si")</f>
        <v>Si</v>
      </c>
      <c r="N1481" s="7" t="str">
        <f>IFERROR(__xludf.DUMMYFUNCTION("""COMPUTED_VALUE"""),"Gimnasio")</f>
        <v>Gimnasio</v>
      </c>
      <c r="O1481" s="7" t="str">
        <f>IFERROR(__xludf.DUMMYFUNCTION("""COMPUTED_VALUE"""),"3 a 5 veces por semana")</f>
        <v>3 a 5 veces por semana</v>
      </c>
      <c r="P1481" s="7"/>
      <c r="Q1481" s="7"/>
      <c r="R1481" s="7"/>
      <c r="S1481" s="7"/>
    </row>
    <row r="1482">
      <c r="C1482" s="19">
        <f>IFERROR(__xludf.DUMMYFUNCTION("""COMPUTED_VALUE"""),46086.714829108794)</f>
        <v>46086.71483</v>
      </c>
      <c r="D1482" s="7" t="str">
        <f>IFERROR(__xludf.DUMMYFUNCTION("""COMPUTED_VALUE"""),"Perez ")</f>
        <v>Perez </v>
      </c>
      <c r="E1482" s="7" t="str">
        <f>IFERROR(__xludf.DUMMYFUNCTION("""COMPUTED_VALUE"""),"Walter ")</f>
        <v>Walter </v>
      </c>
      <c r="F1482" s="7" t="str">
        <f>IFERROR(__xludf.DUMMYFUNCTION("""COMPUTED_VALUE"""),"walter1809perez@gmail.com")</f>
        <v>walter1809perez@gmail.com</v>
      </c>
      <c r="G1482" s="20">
        <f>IFERROR(__xludf.DUMMYFUNCTION("""COMPUTED_VALUE"""),23607.0)</f>
        <v>23607</v>
      </c>
      <c r="H1482" s="7">
        <f>IFERROR(__xludf.DUMMYFUNCTION("""COMPUTED_VALUE"""),1.7011812E7)</f>
        <v>17011812</v>
      </c>
      <c r="I1482" s="7">
        <f>IFERROR(__xludf.DUMMYFUNCTION("""COMPUTED_VALUE"""),3.51628895E9)</f>
        <v>3516288950</v>
      </c>
      <c r="J1482" s="7" t="str">
        <f>IFERROR(__xludf.DUMMYFUNCTION("""COMPUTED_VALUE"""),"Recomendación")</f>
        <v>Recomendación</v>
      </c>
      <c r="K1482" s="7" t="str">
        <f>IFERROR(__xludf.DUMMYFUNCTION("""COMPUTED_VALUE"""),"Obra social")</f>
        <v>Obra social</v>
      </c>
      <c r="L1482" s="7"/>
      <c r="M1482" s="7" t="str">
        <f>IFERROR(__xludf.DUMMYFUNCTION("""COMPUTED_VALUE"""),"Si")</f>
        <v>Si</v>
      </c>
      <c r="N1482" s="7" t="str">
        <f>IFERROR(__xludf.DUMMYFUNCTION("""COMPUTED_VALUE"""),"natación y yoga ")</f>
        <v>natación y yoga </v>
      </c>
      <c r="O1482" s="7" t="str">
        <f>IFERROR(__xludf.DUMMYFUNCTION("""COMPUTED_VALUE"""),"3 a 5 veces por semana")</f>
        <v>3 a 5 veces por semana</v>
      </c>
      <c r="P1482" s="7"/>
      <c r="Q1482" s="7" t="str">
        <f>IFERROR(__xludf.DUMMYFUNCTION("""COMPUTED_VALUE"""),"APROSS")</f>
        <v>APROSS</v>
      </c>
      <c r="R1482" s="7"/>
      <c r="S1482" s="7"/>
    </row>
    <row r="1483">
      <c r="C1483" s="19">
        <f>IFERROR(__xludf.DUMMYFUNCTION("""COMPUTED_VALUE"""),46086.810159953704)</f>
        <v>46086.81016</v>
      </c>
      <c r="D1483" s="7" t="str">
        <f>IFERROR(__xludf.DUMMYFUNCTION("""COMPUTED_VALUE"""),"Bonayuti")</f>
        <v>Bonayuti</v>
      </c>
      <c r="E1483" s="7" t="str">
        <f>IFERROR(__xludf.DUMMYFUNCTION("""COMPUTED_VALUE"""),"Florencia")</f>
        <v>Florencia</v>
      </c>
      <c r="F1483" s="7" t="str">
        <f>IFERROR(__xludf.DUMMYFUNCTION("""COMPUTED_VALUE"""),"florencia.bonayuti@gmail.com")</f>
        <v>florencia.bonayuti@gmail.com</v>
      </c>
      <c r="G1483" s="20">
        <f>IFERROR(__xludf.DUMMYFUNCTION("""COMPUTED_VALUE"""),27871.0)</f>
        <v>27871</v>
      </c>
      <c r="H1483" s="7">
        <f>IFERROR(__xludf.DUMMYFUNCTION("""COMPUTED_VALUE"""),2.5267194E7)</f>
        <v>25267194</v>
      </c>
      <c r="I1483" s="7">
        <f>IFERROR(__xludf.DUMMYFUNCTION("""COMPUTED_VALUE"""),3.512383839E9)</f>
        <v>3512383839</v>
      </c>
      <c r="J1483" s="7" t="str">
        <f>IFERROR(__xludf.DUMMYFUNCTION("""COMPUTED_VALUE"""),"Gimnasio")</f>
        <v>Gimnasio</v>
      </c>
      <c r="K1483" s="7" t="str">
        <f>IFERROR(__xludf.DUMMYFUNCTION("""COMPUTED_VALUE"""),"Particular")</f>
        <v>Particular</v>
      </c>
      <c r="L1483" s="7"/>
      <c r="M1483" s="7" t="str">
        <f>IFERROR(__xludf.DUMMYFUNCTION("""COMPUTED_VALUE"""),"Si")</f>
        <v>Si</v>
      </c>
      <c r="N1483" s="7" t="str">
        <f>IFERROR(__xludf.DUMMYFUNCTION("""COMPUTED_VALUE"""),"Padel+ Gimnasio")</f>
        <v>Padel+ Gimnasio</v>
      </c>
      <c r="O1483" s="7" t="str">
        <f>IFERROR(__xludf.DUMMYFUNCTION("""COMPUTED_VALUE"""),"3 a 5 veces por semana")</f>
        <v>3 a 5 veces por semana</v>
      </c>
      <c r="P1483" s="7"/>
      <c r="Q1483" s="7"/>
      <c r="R1483" s="7"/>
      <c r="S1483" s="7"/>
    </row>
    <row r="1484">
      <c r="C1484" s="19">
        <f>IFERROR(__xludf.DUMMYFUNCTION("""COMPUTED_VALUE"""),46087.36979327546)</f>
        <v>46087.36979</v>
      </c>
      <c r="D1484" s="7" t="str">
        <f>IFERROR(__xludf.DUMMYFUNCTION("""COMPUTED_VALUE"""),"Sam Sam")</f>
        <v>Sam Sam</v>
      </c>
      <c r="E1484" s="7" t="str">
        <f>IFERROR(__xludf.DUMMYFUNCTION("""COMPUTED_VALUE"""),"Nahuel")</f>
        <v>Nahuel</v>
      </c>
      <c r="F1484" s="7" t="str">
        <f>IFERROR(__xludf.DUMMYFUNCTION("""COMPUTED_VALUE"""),"samsamgalera1@gmail.com")</f>
        <v>samsamgalera1@gmail.com</v>
      </c>
      <c r="G1484" s="20">
        <f>IFERROR(__xludf.DUMMYFUNCTION("""COMPUTED_VALUE"""),37282.0)</f>
        <v>37282</v>
      </c>
      <c r="H1484" s="7">
        <f>IFERROR(__xludf.DUMMYFUNCTION("""COMPUTED_VALUE"""),4.3812763E7)</f>
        <v>43812763</v>
      </c>
      <c r="I1484" s="7">
        <f>IFERROR(__xludf.DUMMYFUNCTION("""COMPUTED_VALUE"""),3.516750888E9)</f>
        <v>3516750888</v>
      </c>
      <c r="J1484" s="7" t="str">
        <f>IFERROR(__xludf.DUMMYFUNCTION("""COMPUTED_VALUE"""),"Recomendación")</f>
        <v>Recomendación</v>
      </c>
      <c r="K1484" s="7" t="str">
        <f>IFERROR(__xludf.DUMMYFUNCTION("""COMPUTED_VALUE"""),"Obra social")</f>
        <v>Obra social</v>
      </c>
      <c r="L1484" s="7"/>
      <c r="M1484" s="7" t="str">
        <f>IFERROR(__xludf.DUMMYFUNCTION("""COMPUTED_VALUE"""),"Si")</f>
        <v>Si</v>
      </c>
      <c r="N1484" s="7" t="str">
        <f>IFERROR(__xludf.DUMMYFUNCTION("""COMPUTED_VALUE"""),"Fútbol")</f>
        <v>Fútbol</v>
      </c>
      <c r="O1484" s="7" t="str">
        <f>IFERROR(__xludf.DUMMYFUNCTION("""COMPUTED_VALUE"""),"3 a 5 veces por semana")</f>
        <v>3 a 5 veces por semana</v>
      </c>
      <c r="P1484" s="7"/>
      <c r="Q1484" s="7" t="str">
        <f>IFERROR(__xludf.DUMMYFUNCTION("""COMPUTED_VALUE"""),"PREVENCIÓN")</f>
        <v>PREVENCIÓN</v>
      </c>
      <c r="R1484" s="7"/>
      <c r="S1484" s="7"/>
    </row>
    <row r="1485">
      <c r="C1485" s="19">
        <f>IFERROR(__xludf.DUMMYFUNCTION("""COMPUTED_VALUE"""),46087.64092837963)</f>
        <v>46087.64093</v>
      </c>
      <c r="D1485" s="7" t="str">
        <f>IFERROR(__xludf.DUMMYFUNCTION("""COMPUTED_VALUE"""),"Lopez")</f>
        <v>Lopez</v>
      </c>
      <c r="E1485" s="7" t="str">
        <f>IFERROR(__xludf.DUMMYFUNCTION("""COMPUTED_VALUE"""),"Matias")</f>
        <v>Matias</v>
      </c>
      <c r="F1485" s="7" t="str">
        <f>IFERROR(__xludf.DUMMYFUNCTION("""COMPUTED_VALUE"""),"tankelopezcab@gmail.com")</f>
        <v>tankelopezcab@gmail.com</v>
      </c>
      <c r="G1485" s="20">
        <f>IFERROR(__xludf.DUMMYFUNCTION("""COMPUTED_VALUE"""),35571.0)</f>
        <v>35571</v>
      </c>
      <c r="H1485" s="7">
        <f>IFERROR(__xludf.DUMMYFUNCTION("""COMPUTED_VALUE"""),4.0662539E7)</f>
        <v>40662539</v>
      </c>
      <c r="I1485" s="7">
        <f>IFERROR(__xludf.DUMMYFUNCTION("""COMPUTED_VALUE"""),3.515915468E9)</f>
        <v>3515915468</v>
      </c>
      <c r="J1485" s="7" t="str">
        <f>IFERROR(__xludf.DUMMYFUNCTION("""COMPUTED_VALUE"""),"Recomendación")</f>
        <v>Recomendación</v>
      </c>
      <c r="K1485" s="7" t="str">
        <f>IFERROR(__xludf.DUMMYFUNCTION("""COMPUTED_VALUE"""),"Particular")</f>
        <v>Particular</v>
      </c>
      <c r="L1485" s="7"/>
      <c r="M1485" s="7" t="str">
        <f>IFERROR(__xludf.DUMMYFUNCTION("""COMPUTED_VALUE"""),"Si")</f>
        <v>Si</v>
      </c>
      <c r="N1485" s="7" t="str">
        <f>IFERROR(__xludf.DUMMYFUNCTION("""COMPUTED_VALUE"""),"Fútbol")</f>
        <v>Fútbol</v>
      </c>
      <c r="O1485" s="7" t="str">
        <f>IFERROR(__xludf.DUMMYFUNCTION("""COMPUTED_VALUE"""),"3 a 5 veces por semana")</f>
        <v>3 a 5 veces por semana</v>
      </c>
      <c r="P1485" s="7"/>
      <c r="Q1485" s="7"/>
      <c r="R1485" s="7"/>
      <c r="S1485" s="7"/>
    </row>
    <row r="1486">
      <c r="C1486" s="19">
        <f>IFERROR(__xludf.DUMMYFUNCTION("""COMPUTED_VALUE"""),46091.41964953704)</f>
        <v>46091.41965</v>
      </c>
      <c r="D1486" s="7" t="str">
        <f>IFERROR(__xludf.DUMMYFUNCTION("""COMPUTED_VALUE"""),"dalpino")</f>
        <v>dalpino</v>
      </c>
      <c r="E1486" s="7" t="str">
        <f>IFERROR(__xludf.DUMMYFUNCTION("""COMPUTED_VALUE"""),"rocio")</f>
        <v>rocio</v>
      </c>
      <c r="F1486" s="7" t="str">
        <f>IFERROR(__xludf.DUMMYFUNCTION("""COMPUTED_VALUE"""),"rociodalpino@gmail.com")</f>
        <v>rociodalpino@gmail.com</v>
      </c>
      <c r="G1486" s="20">
        <f>IFERROR(__xludf.DUMMYFUNCTION("""COMPUTED_VALUE"""),32707.0)</f>
        <v>32707</v>
      </c>
      <c r="H1486" s="7">
        <f>IFERROR(__xludf.DUMMYFUNCTION("""COMPUTED_VALUE"""),3.4601511E7)</f>
        <v>34601511</v>
      </c>
      <c r="I1486" s="7">
        <f>IFERROR(__xludf.DUMMYFUNCTION("""COMPUTED_VALUE"""),3.513064473E9)</f>
        <v>3513064473</v>
      </c>
      <c r="J1486" s="7" t="str">
        <f>IFERROR(__xludf.DUMMYFUNCTION("""COMPUTED_VALUE"""),"Google")</f>
        <v>Google</v>
      </c>
      <c r="K1486" s="7" t="str">
        <f>IFERROR(__xludf.DUMMYFUNCTION("""COMPUTED_VALUE"""),"Obra social")</f>
        <v>Obra social</v>
      </c>
      <c r="L1486" s="7"/>
      <c r="M1486" s="7" t="str">
        <f>IFERROR(__xludf.DUMMYFUNCTION("""COMPUTED_VALUE"""),"Si")</f>
        <v>Si</v>
      </c>
      <c r="N1486" s="7" t="str">
        <f>IFERROR(__xludf.DUMMYFUNCTION("""COMPUTED_VALUE"""),"Running")</f>
        <v>Running</v>
      </c>
      <c r="O1486" s="7" t="str">
        <f>IFERROR(__xludf.DUMMYFUNCTION("""COMPUTED_VALUE"""),"6 a 7 veces por semana")</f>
        <v>6 a 7 veces por semana</v>
      </c>
      <c r="P1486" s="7"/>
      <c r="Q1486" s="7" t="str">
        <f>IFERROR(__xludf.DUMMYFUNCTION("""COMPUTED_VALUE"""),"CPCE")</f>
        <v>CPCE</v>
      </c>
      <c r="R1486" s="7"/>
      <c r="S1486" s="7"/>
    </row>
    <row r="1487">
      <c r="C1487" s="19">
        <f>IFERROR(__xludf.DUMMYFUNCTION("""COMPUTED_VALUE"""),46091.747058090274)</f>
        <v>46091.74706</v>
      </c>
      <c r="D1487" s="7" t="str">
        <f>IFERROR(__xludf.DUMMYFUNCTION("""COMPUTED_VALUE"""),"Alcalde")</f>
        <v>Alcalde</v>
      </c>
      <c r="E1487" s="7" t="str">
        <f>IFERROR(__xludf.DUMMYFUNCTION("""COMPUTED_VALUE"""),"Mariana Andrea")</f>
        <v>Mariana Andrea</v>
      </c>
      <c r="F1487" s="7" t="str">
        <f>IFERROR(__xludf.DUMMYFUNCTION("""COMPUTED_VALUE"""),"mariana_alcalde@yahoo.com.ar")</f>
        <v>mariana_alcalde@yahoo.com.ar</v>
      </c>
      <c r="G1487" s="20">
        <f>IFERROR(__xludf.DUMMYFUNCTION("""COMPUTED_VALUE"""),27927.0)</f>
        <v>27927</v>
      </c>
      <c r="H1487" s="7">
        <f>IFERROR(__xludf.DUMMYFUNCTION("""COMPUTED_VALUE"""),2.524633E7)</f>
        <v>25246330</v>
      </c>
      <c r="I1487" s="7">
        <f>IFERROR(__xludf.DUMMYFUNCTION("""COMPUTED_VALUE"""),3.515554897E9)</f>
        <v>3515554897</v>
      </c>
      <c r="J1487" s="7" t="str">
        <f>IFERROR(__xludf.DUMMYFUNCTION("""COMPUTED_VALUE"""),"Gimnasio")</f>
        <v>Gimnasio</v>
      </c>
      <c r="K1487" s="7" t="str">
        <f>IFERROR(__xludf.DUMMYFUNCTION("""COMPUTED_VALUE"""),"Obra social")</f>
        <v>Obra social</v>
      </c>
      <c r="L1487" s="7"/>
      <c r="M1487" s="7" t="str">
        <f>IFERROR(__xludf.DUMMYFUNCTION("""COMPUTED_VALUE"""),"Si")</f>
        <v>Si</v>
      </c>
      <c r="N1487" s="7" t="str">
        <f>IFERROR(__xludf.DUMMYFUNCTION("""COMPUTED_VALUE"""),"Gimnasio")</f>
        <v>Gimnasio</v>
      </c>
      <c r="O1487" s="7" t="str">
        <f>IFERROR(__xludf.DUMMYFUNCTION("""COMPUTED_VALUE"""),"3 a 5 veces por semana")</f>
        <v>3 a 5 veces por semana</v>
      </c>
      <c r="P1487" s="7"/>
      <c r="Q1487" s="7" t="str">
        <f>IFERROR(__xludf.DUMMYFUNCTION("""COMPUTED_VALUE"""),"CPCE")</f>
        <v>CPCE</v>
      </c>
      <c r="R1487" s="7"/>
      <c r="S1487" s="7"/>
    </row>
    <row r="1488">
      <c r="C1488" s="19">
        <f>IFERROR(__xludf.DUMMYFUNCTION("""COMPUTED_VALUE"""),46092.41949655092)</f>
        <v>46092.4195</v>
      </c>
      <c r="D1488" s="7" t="str">
        <f>IFERROR(__xludf.DUMMYFUNCTION("""COMPUTED_VALUE"""),"Cordova ")</f>
        <v>Cordova </v>
      </c>
      <c r="E1488" s="7" t="str">
        <f>IFERROR(__xludf.DUMMYFUNCTION("""COMPUTED_VALUE"""),"Manuel Alberto ")</f>
        <v>Manuel Alberto </v>
      </c>
      <c r="F1488" s="7" t="str">
        <f>IFERROR(__xludf.DUMMYFUNCTION("""COMPUTED_VALUE"""),"Betocordova@hotmail.com")</f>
        <v>Betocordova@hotmail.com</v>
      </c>
      <c r="G1488" s="20">
        <f>IFERROR(__xludf.DUMMYFUNCTION("""COMPUTED_VALUE"""),30439.0)</f>
        <v>30439</v>
      </c>
      <c r="H1488" s="7">
        <f>IFERROR(__xludf.DUMMYFUNCTION("""COMPUTED_VALUE"""),1.8804092E7)</f>
        <v>18804092</v>
      </c>
      <c r="I1488" s="7">
        <f>IFERROR(__xludf.DUMMYFUNCTION("""COMPUTED_VALUE"""),3.516152531E9)</f>
        <v>3516152531</v>
      </c>
      <c r="J1488" s="7" t="str">
        <f>IFERROR(__xludf.DUMMYFUNCTION("""COMPUTED_VALUE"""),"Recomendación")</f>
        <v>Recomendación</v>
      </c>
      <c r="K1488" s="7" t="str">
        <f>IFERROR(__xludf.DUMMYFUNCTION("""COMPUTED_VALUE"""),"Obra social")</f>
        <v>Obra social</v>
      </c>
      <c r="L1488" s="7"/>
      <c r="M1488" s="7" t="str">
        <f>IFERROR(__xludf.DUMMYFUNCTION("""COMPUTED_VALUE"""),"Si")</f>
        <v>Si</v>
      </c>
      <c r="N1488" s="7" t="str">
        <f>IFERROR(__xludf.DUMMYFUNCTION("""COMPUTED_VALUE"""),"Crossfit")</f>
        <v>Crossfit</v>
      </c>
      <c r="O1488" s="7" t="str">
        <f>IFERROR(__xludf.DUMMYFUNCTION("""COMPUTED_VALUE"""),"3 a 5 veces por semana")</f>
        <v>3 a 5 veces por semana</v>
      </c>
      <c r="P1488" s="7"/>
      <c r="Q1488" s="7" t="str">
        <f>IFERROR(__xludf.DUMMYFUNCTION("""COMPUTED_VALUE"""),"PREVENCIÓN")</f>
        <v>PREVENCIÓN</v>
      </c>
      <c r="R1488" s="7"/>
      <c r="S1488" s="7"/>
    </row>
    <row r="1489">
      <c r="C1489" s="19">
        <f>IFERROR(__xludf.DUMMYFUNCTION("""COMPUTED_VALUE"""),46092.490179189816)</f>
        <v>46092.49018</v>
      </c>
      <c r="D1489" s="7" t="str">
        <f>IFERROR(__xludf.DUMMYFUNCTION("""COMPUTED_VALUE"""),"Rodriguez ")</f>
        <v>Rodriguez </v>
      </c>
      <c r="E1489" s="7" t="str">
        <f>IFERROR(__xludf.DUMMYFUNCTION("""COMPUTED_VALUE"""),"Florencia ")</f>
        <v>Florencia </v>
      </c>
      <c r="F1489" s="7" t="str">
        <f>IFERROR(__xludf.DUMMYFUNCTION("""COMPUTED_VALUE"""),"florencia.rod05@gmail.com")</f>
        <v>florencia.rod05@gmail.com</v>
      </c>
      <c r="G1489" s="20">
        <f>IFERROR(__xludf.DUMMYFUNCTION("""COMPUTED_VALUE"""),38551.0)</f>
        <v>38551</v>
      </c>
      <c r="H1489" s="7">
        <f>IFERROR(__xludf.DUMMYFUNCTION("""COMPUTED_VALUE"""),4.665794E7)</f>
        <v>46657940</v>
      </c>
      <c r="I1489" s="7">
        <f>IFERROR(__xludf.DUMMYFUNCTION("""COMPUTED_VALUE"""),3.513254453E9)</f>
        <v>3513254453</v>
      </c>
      <c r="J1489" s="7" t="str">
        <f>IFERROR(__xludf.DUMMYFUNCTION("""COMPUTED_VALUE"""),"Gimnasio")</f>
        <v>Gimnasio</v>
      </c>
      <c r="K1489" s="7" t="str">
        <f>IFERROR(__xludf.DUMMYFUNCTION("""COMPUTED_VALUE"""),"Obra social")</f>
        <v>Obra social</v>
      </c>
      <c r="L1489" s="7"/>
      <c r="M1489" s="7" t="str">
        <f>IFERROR(__xludf.DUMMYFUNCTION("""COMPUTED_VALUE"""),"Si")</f>
        <v>Si</v>
      </c>
      <c r="N1489" s="7" t="str">
        <f>IFERROR(__xludf.DUMMYFUNCTION("""COMPUTED_VALUE"""),"Gimnasio")</f>
        <v>Gimnasio</v>
      </c>
      <c r="O1489" s="7" t="str">
        <f>IFERROR(__xludf.DUMMYFUNCTION("""COMPUTED_VALUE"""),"3 a 5 veces por semana")</f>
        <v>3 a 5 veces por semana</v>
      </c>
      <c r="P1489" s="7"/>
      <c r="Q1489" s="7" t="str">
        <f>IFERROR(__xludf.DUMMYFUNCTION("""COMPUTED_VALUE"""),"SANCOR")</f>
        <v>SANCOR</v>
      </c>
      <c r="R1489" s="7"/>
      <c r="S1489" s="7"/>
    </row>
    <row r="1490">
      <c r="C1490" s="19">
        <f>IFERROR(__xludf.DUMMYFUNCTION("""COMPUTED_VALUE"""),46092.69646334491)</f>
        <v>46092.69646</v>
      </c>
      <c r="D1490" s="7" t="str">
        <f>IFERROR(__xludf.DUMMYFUNCTION("""COMPUTED_VALUE"""),"Fenoglio ")</f>
        <v>Fenoglio </v>
      </c>
      <c r="E1490" s="7" t="str">
        <f>IFERROR(__xludf.DUMMYFUNCTION("""COMPUTED_VALUE"""),"Jesica Muriel")</f>
        <v>Jesica Muriel</v>
      </c>
      <c r="F1490" s="7" t="str">
        <f>IFERROR(__xludf.DUMMYFUNCTION("""COMPUTED_VALUE"""),"Jesicafenoglio@gmail.com")</f>
        <v>Jesicafenoglio@gmail.com</v>
      </c>
      <c r="G1490" s="20">
        <f>IFERROR(__xludf.DUMMYFUNCTION("""COMPUTED_VALUE"""),32687.0)</f>
        <v>32687</v>
      </c>
      <c r="H1490" s="7">
        <f>IFERROR(__xludf.DUMMYFUNCTION("""COMPUTED_VALUE"""),3.43456E7)</f>
        <v>34345600</v>
      </c>
      <c r="I1490" s="7">
        <f>IFERROR(__xludf.DUMMYFUNCTION("""COMPUTED_VALUE"""),3.513793456E9)</f>
        <v>3513793456</v>
      </c>
      <c r="J1490" s="7" t="str">
        <f>IFERROR(__xludf.DUMMYFUNCTION("""COMPUTED_VALUE"""),"Recomendación")</f>
        <v>Recomendación</v>
      </c>
      <c r="K1490" s="7" t="str">
        <f>IFERROR(__xludf.DUMMYFUNCTION("""COMPUTED_VALUE"""),"Obra social")</f>
        <v>Obra social</v>
      </c>
      <c r="L1490" s="7"/>
      <c r="M1490" s="7" t="str">
        <f>IFERROR(__xludf.DUMMYFUNCTION("""COMPUTED_VALUE"""),"No")</f>
        <v>No</v>
      </c>
      <c r="N1490" s="7"/>
      <c r="O1490" s="7"/>
      <c r="P1490" s="7"/>
      <c r="Q1490" s="7" t="str">
        <f>IFERROR(__xludf.DUMMYFUNCTION("""COMPUTED_VALUE"""),"APROSS")</f>
        <v>APROSS</v>
      </c>
      <c r="R1490" s="7"/>
      <c r="S1490" s="7"/>
    </row>
    <row r="1491">
      <c r="C1491" s="19">
        <f>IFERROR(__xludf.DUMMYFUNCTION("""COMPUTED_VALUE"""),46092.71588451389)</f>
        <v>46092.71588</v>
      </c>
      <c r="D1491" s="7" t="str">
        <f>IFERROR(__xludf.DUMMYFUNCTION("""COMPUTED_VALUE"""),"Schroeder")</f>
        <v>Schroeder</v>
      </c>
      <c r="E1491" s="7" t="str">
        <f>IFERROR(__xludf.DUMMYFUNCTION("""COMPUTED_VALUE"""),"Valeria")</f>
        <v>Valeria</v>
      </c>
      <c r="F1491" s="7" t="str">
        <f>IFERROR(__xludf.DUMMYFUNCTION("""COMPUTED_VALUE"""),"valita55ar@yahoo.com.ar")</f>
        <v>valita55ar@yahoo.com.ar</v>
      </c>
      <c r="G1491" s="20">
        <f>IFERROR(__xludf.DUMMYFUNCTION("""COMPUTED_VALUE"""),28342.0)</f>
        <v>28342</v>
      </c>
      <c r="H1491" s="7">
        <f>IFERROR(__xludf.DUMMYFUNCTION("""COMPUTED_VALUE"""),1.8777513E7)</f>
        <v>18777513</v>
      </c>
      <c r="I1491" s="7">
        <f>IFERROR(__xludf.DUMMYFUNCTION("""COMPUTED_VALUE"""),3.516204567E9)</f>
        <v>3516204567</v>
      </c>
      <c r="J1491" s="7" t="str">
        <f>IFERROR(__xludf.DUMMYFUNCTION("""COMPUTED_VALUE"""),"Gimnasio")</f>
        <v>Gimnasio</v>
      </c>
      <c r="K1491" s="7" t="str">
        <f>IFERROR(__xludf.DUMMYFUNCTION("""COMPUTED_VALUE"""),"Obra social")</f>
        <v>Obra social</v>
      </c>
      <c r="L1491" s="7"/>
      <c r="M1491" s="7" t="str">
        <f>IFERROR(__xludf.DUMMYFUNCTION("""COMPUTED_VALUE"""),"Si")</f>
        <v>Si</v>
      </c>
      <c r="N1491" s="7" t="str">
        <f>IFERROR(__xludf.DUMMYFUNCTION("""COMPUTED_VALUE"""),"Gimnasio")</f>
        <v>Gimnasio</v>
      </c>
      <c r="O1491" s="7" t="str">
        <f>IFERROR(__xludf.DUMMYFUNCTION("""COMPUTED_VALUE"""),"3 a 5 veces por semana")</f>
        <v>3 a 5 veces por semana</v>
      </c>
      <c r="P1491" s="7"/>
      <c r="Q1491" s="7" t="str">
        <f>IFERROR(__xludf.DUMMYFUNCTION("""COMPUTED_VALUE"""),"Medife")</f>
        <v>Medife</v>
      </c>
      <c r="R1491" s="7"/>
      <c r="S1491" s="7"/>
    </row>
    <row r="1492">
      <c r="C1492" s="19">
        <f>IFERROR(__xludf.DUMMYFUNCTION("""COMPUTED_VALUE"""),46092.82257201389)</f>
        <v>46092.82257</v>
      </c>
      <c r="D1492" s="7" t="str">
        <f>IFERROR(__xludf.DUMMYFUNCTION("""COMPUTED_VALUE"""),"Madoery")</f>
        <v>Madoery</v>
      </c>
      <c r="E1492" s="7" t="str">
        <f>IFERROR(__xludf.DUMMYFUNCTION("""COMPUTED_VALUE"""),"Federico")</f>
        <v>Federico</v>
      </c>
      <c r="F1492" s="7" t="str">
        <f>IFERROR(__xludf.DUMMYFUNCTION("""COMPUTED_VALUE"""),"frmaldovery@gmail.com")</f>
        <v>frmaldovery@gmail.com</v>
      </c>
      <c r="G1492" s="20">
        <f>IFERROR(__xludf.DUMMYFUNCTION("""COMPUTED_VALUE"""),18092.0)</f>
        <v>18092</v>
      </c>
      <c r="H1492" s="7">
        <f>IFERROR(__xludf.DUMMYFUNCTION("""COMPUTED_VALUE"""),5534784.0)</f>
        <v>5534784</v>
      </c>
      <c r="I1492" s="7">
        <f>IFERROR(__xludf.DUMMYFUNCTION("""COMPUTED_VALUE"""),3.515052553E9)</f>
        <v>3515052553</v>
      </c>
      <c r="J1492" s="7" t="str">
        <f>IFERROR(__xludf.DUMMYFUNCTION("""COMPUTED_VALUE"""),"Dr Pedraza ITC")</f>
        <v>Dr Pedraza ITC</v>
      </c>
      <c r="K1492" s="7" t="str">
        <f>IFERROR(__xludf.DUMMYFUNCTION("""COMPUTED_VALUE"""),"Obra social")</f>
        <v>Obra social</v>
      </c>
      <c r="L1492" s="7"/>
      <c r="M1492" s="7" t="str">
        <f>IFERROR(__xludf.DUMMYFUNCTION("""COMPUTED_VALUE"""),"Si")</f>
        <v>Si</v>
      </c>
      <c r="N1492" s="7" t="str">
        <f>IFERROR(__xludf.DUMMYFUNCTION("""COMPUTED_VALUE"""),"Tenis")</f>
        <v>Tenis</v>
      </c>
      <c r="O1492" s="7" t="str">
        <f>IFERROR(__xludf.DUMMYFUNCTION("""COMPUTED_VALUE"""),"1 a 2 veces por semana")</f>
        <v>1 a 2 veces por semana</v>
      </c>
      <c r="P1492" s="7"/>
      <c r="Q1492" s="7" t="str">
        <f>IFERROR(__xludf.DUMMYFUNCTION("""COMPUTED_VALUE"""),"APROSS")</f>
        <v>APROSS</v>
      </c>
      <c r="R1492" s="7"/>
      <c r="S1492" s="7"/>
    </row>
    <row r="1493">
      <c r="C1493" s="19">
        <f>IFERROR(__xludf.DUMMYFUNCTION("""COMPUTED_VALUE"""),46093.448049756946)</f>
        <v>46093.44805</v>
      </c>
      <c r="D1493" s="7" t="str">
        <f>IFERROR(__xludf.DUMMYFUNCTION("""COMPUTED_VALUE"""),"BAZAN")</f>
        <v>BAZAN</v>
      </c>
      <c r="E1493" s="7" t="str">
        <f>IFERROR(__xludf.DUMMYFUNCTION("""COMPUTED_VALUE"""),"Juan Carlos")</f>
        <v>Juan Carlos</v>
      </c>
      <c r="F1493" s="7"/>
      <c r="G1493" s="20">
        <f>IFERROR(__xludf.DUMMYFUNCTION("""COMPUTED_VALUE"""),19934.0)</f>
        <v>19934</v>
      </c>
      <c r="H1493" s="7">
        <f>IFERROR(__xludf.DUMMYFUNCTION("""COMPUTED_VALUE"""),1.1188474E7)</f>
        <v>11188474</v>
      </c>
      <c r="I1493" s="7">
        <f>IFERROR(__xludf.DUMMYFUNCTION("""COMPUTED_VALUE"""),3.513289569E9)</f>
        <v>3513289569</v>
      </c>
      <c r="J1493" s="7" t="str">
        <f>IFERROR(__xludf.DUMMYFUNCTION("""COMPUTED_VALUE"""),"Recomendación")</f>
        <v>Recomendación</v>
      </c>
      <c r="K1493" s="7" t="str">
        <f>IFERROR(__xludf.DUMMYFUNCTION("""COMPUTED_VALUE"""),"Particular")</f>
        <v>Particular</v>
      </c>
      <c r="L1493" s="7"/>
      <c r="M1493" s="7" t="str">
        <f>IFERROR(__xludf.DUMMYFUNCTION("""COMPUTED_VALUE"""),"No")</f>
        <v>No</v>
      </c>
      <c r="N1493" s="7"/>
      <c r="O1493" s="7"/>
      <c r="P1493" s="7"/>
      <c r="Q1493" s="7"/>
      <c r="R1493" s="7"/>
      <c r="S1493" s="7"/>
    </row>
    <row r="1494">
      <c r="C1494" s="19">
        <f>IFERROR(__xludf.DUMMYFUNCTION("""COMPUTED_VALUE"""),46093.477837025464)</f>
        <v>46093.47784</v>
      </c>
      <c r="D1494" s="7" t="str">
        <f>IFERROR(__xludf.DUMMYFUNCTION("""COMPUTED_VALUE"""),"Ottaviani")</f>
        <v>Ottaviani</v>
      </c>
      <c r="E1494" s="7" t="str">
        <f>IFERROR(__xludf.DUMMYFUNCTION("""COMPUTED_VALUE"""),"Marcela")</f>
        <v>Marcela</v>
      </c>
      <c r="F1494" s="7" t="str">
        <f>IFERROR(__xludf.DUMMYFUNCTION("""COMPUTED_VALUE"""),"ottavianimarce@gmail.com")</f>
        <v>ottavianimarce@gmail.com</v>
      </c>
      <c r="G1494" s="20">
        <f>IFERROR(__xludf.DUMMYFUNCTION("""COMPUTED_VALUE"""),23983.0)</f>
        <v>23983</v>
      </c>
      <c r="H1494" s="7">
        <f>IFERROR(__xludf.DUMMYFUNCTION("""COMPUTED_VALUE"""),1.8176234E7)</f>
        <v>18176234</v>
      </c>
      <c r="I1494" s="7">
        <f>IFERROR(__xludf.DUMMYFUNCTION("""COMPUTED_VALUE"""),3.515948982E9)</f>
        <v>3515948982</v>
      </c>
      <c r="J1494" s="7" t="str">
        <f>IFERROR(__xludf.DUMMYFUNCTION("""COMPUTED_VALUE"""),"Recomendación")</f>
        <v>Recomendación</v>
      </c>
      <c r="K1494" s="7" t="str">
        <f>IFERROR(__xludf.DUMMYFUNCTION("""COMPUTED_VALUE"""),"Obra social")</f>
        <v>Obra social</v>
      </c>
      <c r="L1494" s="7"/>
      <c r="M1494" s="7" t="str">
        <f>IFERROR(__xludf.DUMMYFUNCTION("""COMPUTED_VALUE"""),"Si")</f>
        <v>Si</v>
      </c>
      <c r="N1494" s="7" t="str">
        <f>IFERROR(__xludf.DUMMYFUNCTION("""COMPUTED_VALUE"""),"Gimnasio")</f>
        <v>Gimnasio</v>
      </c>
      <c r="O1494" s="7" t="str">
        <f>IFERROR(__xludf.DUMMYFUNCTION("""COMPUTED_VALUE"""),"3 a 5 veces por semana")</f>
        <v>3 a 5 veces por semana</v>
      </c>
      <c r="P1494" s="7"/>
      <c r="Q1494" s="7" t="str">
        <f>IFERROR(__xludf.DUMMYFUNCTION("""COMPUTED_VALUE"""),"Medife")</f>
        <v>Medife</v>
      </c>
      <c r="R1494" s="7"/>
      <c r="S1494" s="7"/>
    </row>
    <row r="1495">
      <c r="C1495" s="19">
        <f>IFERROR(__xludf.DUMMYFUNCTION("""COMPUTED_VALUE"""),46093.72621853009)</f>
        <v>46093.72622</v>
      </c>
      <c r="D1495" s="7" t="str">
        <f>IFERROR(__xludf.DUMMYFUNCTION("""COMPUTED_VALUE"""),"Olguin")</f>
        <v>Olguin</v>
      </c>
      <c r="E1495" s="7" t="str">
        <f>IFERROR(__xludf.DUMMYFUNCTION("""COMPUTED_VALUE"""),"Ricardo")</f>
        <v>Ricardo</v>
      </c>
      <c r="F1495" s="7" t="str">
        <f>IFERROR(__xludf.DUMMYFUNCTION("""COMPUTED_VALUE"""),"rolguings08@hotmail.com")</f>
        <v>rolguings08@hotmail.com</v>
      </c>
      <c r="G1495" s="20">
        <f>IFERROR(__xludf.DUMMYFUNCTION("""COMPUTED_VALUE"""),20270.0)</f>
        <v>20270</v>
      </c>
      <c r="H1495" s="7">
        <f>IFERROR(__xludf.DUMMYFUNCTION("""COMPUTED_VALUE"""),1.1748826E7)</f>
        <v>11748826</v>
      </c>
      <c r="I1495" s="7">
        <f>IFERROR(__xludf.DUMMYFUNCTION("""COMPUTED_VALUE"""),3.512216193E9)</f>
        <v>3512216193</v>
      </c>
      <c r="J1495" s="7" t="str">
        <f>IFERROR(__xludf.DUMMYFUNCTION("""COMPUTED_VALUE"""),"Google")</f>
        <v>Google</v>
      </c>
      <c r="K1495" s="7" t="str">
        <f>IFERROR(__xludf.DUMMYFUNCTION("""COMPUTED_VALUE"""),"Particular")</f>
        <v>Particular</v>
      </c>
      <c r="L1495" s="7"/>
      <c r="M1495" s="7" t="str">
        <f>IFERROR(__xludf.DUMMYFUNCTION("""COMPUTED_VALUE"""),"No")</f>
        <v>No</v>
      </c>
      <c r="N1495" s="7"/>
      <c r="O1495" s="7"/>
      <c r="P1495" s="7"/>
      <c r="Q1495" s="7"/>
      <c r="R1495" s="7"/>
      <c r="S1495" s="7"/>
    </row>
    <row r="1496">
      <c r="C1496" s="19">
        <f>IFERROR(__xludf.DUMMYFUNCTION("""COMPUTED_VALUE"""),46093.787385601856)</f>
        <v>46093.78739</v>
      </c>
      <c r="D1496" s="7" t="str">
        <f>IFERROR(__xludf.DUMMYFUNCTION("""COMPUTED_VALUE"""),"García Aresca")</f>
        <v>García Aresca</v>
      </c>
      <c r="E1496" s="7" t="str">
        <f>IFERROR(__xludf.DUMMYFUNCTION("""COMPUTED_VALUE"""),"Juliana")</f>
        <v>Juliana</v>
      </c>
      <c r="F1496" s="7" t="str">
        <f>IFERROR(__xludf.DUMMYFUNCTION("""COMPUTED_VALUE"""),"mjuliana8@hotmail.com")</f>
        <v>mjuliana8@hotmail.com</v>
      </c>
      <c r="G1496" s="20">
        <f>IFERROR(__xludf.DUMMYFUNCTION("""COMPUTED_VALUE"""),27196.0)</f>
        <v>27196</v>
      </c>
      <c r="H1496" s="7">
        <f>IFERROR(__xludf.DUMMYFUNCTION("""COMPUTED_VALUE"""),2.3935261E7)</f>
        <v>23935261</v>
      </c>
      <c r="I1496" s="7">
        <f>IFERROR(__xludf.DUMMYFUNCTION("""COMPUTED_VALUE"""),3.516850005E9)</f>
        <v>3516850005</v>
      </c>
      <c r="J1496" s="7" t="str">
        <f>IFERROR(__xludf.DUMMYFUNCTION("""COMPUTED_VALUE"""),"Gimnasio")</f>
        <v>Gimnasio</v>
      </c>
      <c r="K1496" s="7" t="str">
        <f>IFERROR(__xludf.DUMMYFUNCTION("""COMPUTED_VALUE"""),"Obra social")</f>
        <v>Obra social</v>
      </c>
      <c r="L1496" s="7"/>
      <c r="M1496" s="7" t="str">
        <f>IFERROR(__xludf.DUMMYFUNCTION("""COMPUTED_VALUE"""),"Si")</f>
        <v>Si</v>
      </c>
      <c r="N1496" s="7" t="str">
        <f>IFERROR(__xludf.DUMMYFUNCTION("""COMPUTED_VALUE"""),"Gimnasio")</f>
        <v>Gimnasio</v>
      </c>
      <c r="O1496" s="7" t="str">
        <f>IFERROR(__xludf.DUMMYFUNCTION("""COMPUTED_VALUE"""),"3 a 5 veces por semana")</f>
        <v>3 a 5 veces por semana</v>
      </c>
      <c r="P1496" s="7"/>
      <c r="Q1496" s="7" t="str">
        <f>IFERROR(__xludf.DUMMYFUNCTION("""COMPUTED_VALUE"""),"APROSS")</f>
        <v>APROSS</v>
      </c>
      <c r="R1496" s="7"/>
      <c r="S1496" s="7"/>
    </row>
    <row r="1497">
      <c r="C1497" s="19">
        <f>IFERROR(__xludf.DUMMYFUNCTION("""COMPUTED_VALUE"""),46094.49715216435)</f>
        <v>46094.49715</v>
      </c>
      <c r="D1497" s="7" t="str">
        <f>IFERROR(__xludf.DUMMYFUNCTION("""COMPUTED_VALUE"""),"Racca")</f>
        <v>Racca</v>
      </c>
      <c r="E1497" s="7" t="str">
        <f>IFERROR(__xludf.DUMMYFUNCTION("""COMPUTED_VALUE"""),"Tomas")</f>
        <v>Tomas</v>
      </c>
      <c r="F1497" s="7" t="str">
        <f>IFERROR(__xludf.DUMMYFUNCTION("""COMPUTED_VALUE"""),"tomass.racca@gmail.com")</f>
        <v>tomass.racca@gmail.com</v>
      </c>
      <c r="G1497" s="20">
        <f>IFERROR(__xludf.DUMMYFUNCTION("""COMPUTED_VALUE"""),38070.0)</f>
        <v>38070</v>
      </c>
      <c r="H1497" s="7">
        <f>IFERROR(__xludf.DUMMYFUNCTION("""COMPUTED_VALUE"""),4.540936E7)</f>
        <v>45409360</v>
      </c>
      <c r="I1497" s="7">
        <f>IFERROR(__xludf.DUMMYFUNCTION("""COMPUTED_VALUE"""),3.51232474E9)</f>
        <v>3512324740</v>
      </c>
      <c r="J1497" s="7" t="str">
        <f>IFERROR(__xludf.DUMMYFUNCTION("""COMPUTED_VALUE"""),"Recomendación")</f>
        <v>Recomendación</v>
      </c>
      <c r="K1497" s="7" t="str">
        <f>IFERROR(__xludf.DUMMYFUNCTION("""COMPUTED_VALUE"""),"Obra social")</f>
        <v>Obra social</v>
      </c>
      <c r="L1497" s="7"/>
      <c r="M1497" s="7" t="str">
        <f>IFERROR(__xludf.DUMMYFUNCTION("""COMPUTED_VALUE"""),"Si")</f>
        <v>Si</v>
      </c>
      <c r="N1497" s="7" t="str">
        <f>IFERROR(__xludf.DUMMYFUNCTION("""COMPUTED_VALUE"""),"Rugby")</f>
        <v>Rugby</v>
      </c>
      <c r="O1497" s="7" t="str">
        <f>IFERROR(__xludf.DUMMYFUNCTION("""COMPUTED_VALUE"""),"1 a 2 veces por semana")</f>
        <v>1 a 2 veces por semana</v>
      </c>
      <c r="P1497" s="7"/>
      <c r="Q1497" s="7" t="str">
        <f>IFERROR(__xludf.DUMMYFUNCTION("""COMPUTED_VALUE"""),"Osde")</f>
        <v>Osde</v>
      </c>
      <c r="R1497" s="7"/>
      <c r="S1497" s="7"/>
    </row>
    <row r="1498">
      <c r="C1498" s="19">
        <f>IFERROR(__xludf.DUMMYFUNCTION("""COMPUTED_VALUE"""),46097.45182290509)</f>
        <v>46097.45182</v>
      </c>
      <c r="D1498" s="7" t="str">
        <f>IFERROR(__xludf.DUMMYFUNCTION("""COMPUTED_VALUE"""),"Villalba ")</f>
        <v>Villalba </v>
      </c>
      <c r="E1498" s="7" t="str">
        <f>IFERROR(__xludf.DUMMYFUNCTION("""COMPUTED_VALUE"""),"Aida Hortensia ")</f>
        <v>Aida Hortensia </v>
      </c>
      <c r="F1498" s="7" t="str">
        <f>IFERROR(__xludf.DUMMYFUNCTION("""COMPUTED_VALUE"""),"mararitavelazquez@gmail.com")</f>
        <v>mararitavelazquez@gmail.com</v>
      </c>
      <c r="G1498" s="20">
        <f>IFERROR(__xludf.DUMMYFUNCTION("""COMPUTED_VALUE"""),18768.0)</f>
        <v>18768</v>
      </c>
      <c r="H1498" s="7">
        <f>IFERROR(__xludf.DUMMYFUNCTION("""COMPUTED_VALUE"""),6680299.0)</f>
        <v>6680299</v>
      </c>
      <c r="I1498" s="7">
        <f>IFERROR(__xludf.DUMMYFUNCTION("""COMPUTED_VALUE"""),3.516064044E9)</f>
        <v>3516064044</v>
      </c>
      <c r="J1498" s="7" t="str">
        <f>IFERROR(__xludf.DUMMYFUNCTION("""COMPUTED_VALUE"""),"Recomendación")</f>
        <v>Recomendación</v>
      </c>
      <c r="K1498" s="7" t="str">
        <f>IFERROR(__xludf.DUMMYFUNCTION("""COMPUTED_VALUE"""),"Particular")</f>
        <v>Particular</v>
      </c>
      <c r="L1498" s="7"/>
      <c r="M1498" s="7" t="str">
        <f>IFERROR(__xludf.DUMMYFUNCTION("""COMPUTED_VALUE"""),"Si")</f>
        <v>Si</v>
      </c>
      <c r="N1498" s="7" t="str">
        <f>IFERROR(__xludf.DUMMYFUNCTION("""COMPUTED_VALUE"""),"Natación ")</f>
        <v>Natación </v>
      </c>
      <c r="O1498" s="7" t="str">
        <f>IFERROR(__xludf.DUMMYFUNCTION("""COMPUTED_VALUE"""),"1 a 2 veces por semana")</f>
        <v>1 a 2 veces por semana</v>
      </c>
      <c r="P1498" s="7"/>
      <c r="Q1498" s="7"/>
      <c r="R1498" s="7"/>
      <c r="S1498" s="7"/>
    </row>
    <row r="1499">
      <c r="C1499" s="19">
        <f>IFERROR(__xludf.DUMMYFUNCTION("""COMPUTED_VALUE"""),46097.459993854165)</f>
        <v>46097.45999</v>
      </c>
      <c r="D1499" s="7" t="str">
        <f>IFERROR(__xludf.DUMMYFUNCTION("""COMPUTED_VALUE"""),"Villalba")</f>
        <v>Villalba</v>
      </c>
      <c r="E1499" s="7" t="str">
        <f>IFERROR(__xludf.DUMMYFUNCTION("""COMPUTED_VALUE"""),"Aida Hortensia")</f>
        <v>Aida Hortensia</v>
      </c>
      <c r="F1499" s="7" t="str">
        <f>IFERROR(__xludf.DUMMYFUNCTION("""COMPUTED_VALUE"""),"darobravi@gmail.com")</f>
        <v>darobravi@gmail.com</v>
      </c>
      <c r="G1499" s="20">
        <f>IFERROR(__xludf.DUMMYFUNCTION("""COMPUTED_VALUE"""),18768.0)</f>
        <v>18768</v>
      </c>
      <c r="H1499" s="7">
        <f>IFERROR(__xludf.DUMMYFUNCTION("""COMPUTED_VALUE"""),3.3381435E7)</f>
        <v>33381435</v>
      </c>
      <c r="I1499" s="7">
        <f>IFERROR(__xludf.DUMMYFUNCTION("""COMPUTED_VALUE"""),3.516064044E9)</f>
        <v>3516064044</v>
      </c>
      <c r="J1499" s="7" t="str">
        <f>IFERROR(__xludf.DUMMYFUNCTION("""COMPUTED_VALUE"""),"Recomendación")</f>
        <v>Recomendación</v>
      </c>
      <c r="K1499" s="7" t="str">
        <f>IFERROR(__xludf.DUMMYFUNCTION("""COMPUTED_VALUE"""),"Particular")</f>
        <v>Particular</v>
      </c>
      <c r="L1499" s="7"/>
      <c r="M1499" s="7" t="str">
        <f>IFERROR(__xludf.DUMMYFUNCTION("""COMPUTED_VALUE"""),"Si")</f>
        <v>Si</v>
      </c>
      <c r="N1499" s="7" t="str">
        <f>IFERROR(__xludf.DUMMYFUNCTION("""COMPUTED_VALUE"""),"Pileta")</f>
        <v>Pileta</v>
      </c>
      <c r="O1499" s="7" t="str">
        <f>IFERROR(__xludf.DUMMYFUNCTION("""COMPUTED_VALUE"""),"1 a 2 veces por semana")</f>
        <v>1 a 2 veces por semana</v>
      </c>
      <c r="P1499" s="7"/>
      <c r="Q1499" s="7"/>
      <c r="R1499" s="7"/>
      <c r="S1499" s="7"/>
    </row>
    <row r="1500">
      <c r="C1500" s="19">
        <f>IFERROR(__xludf.DUMMYFUNCTION("""COMPUTED_VALUE"""),46097.64107626157)</f>
        <v>46097.64108</v>
      </c>
      <c r="D1500" s="7" t="str">
        <f>IFERROR(__xludf.DUMMYFUNCTION("""COMPUTED_VALUE"""),"Lascano")</f>
        <v>Lascano</v>
      </c>
      <c r="E1500" s="7" t="str">
        <f>IFERROR(__xludf.DUMMYFUNCTION("""COMPUTED_VALUE"""),"Raul")</f>
        <v>Raul</v>
      </c>
      <c r="F1500" s="7" t="str">
        <f>IFERROR(__xludf.DUMMYFUNCTION("""COMPUTED_VALUE"""),"Rmlascano@gmail.com")</f>
        <v>Rmlascano@gmail.com</v>
      </c>
      <c r="G1500" s="20">
        <f>IFERROR(__xludf.DUMMYFUNCTION("""COMPUTED_VALUE"""),20159.0)</f>
        <v>20159</v>
      </c>
      <c r="H1500" s="7">
        <f>IFERROR(__xludf.DUMMYFUNCTION("""COMPUTED_VALUE"""),1.1558008E7)</f>
        <v>11558008</v>
      </c>
      <c r="I1500" s="7">
        <f>IFERROR(__xludf.DUMMYFUNCTION("""COMPUTED_VALUE"""),3.5159119E9)</f>
        <v>3515911900</v>
      </c>
      <c r="J1500" s="7" t="str">
        <f>IFERROR(__xludf.DUMMYFUNCTION("""COMPUTED_VALUE"""),"Recomendación")</f>
        <v>Recomendación</v>
      </c>
      <c r="K1500" s="7" t="str">
        <f>IFERROR(__xludf.DUMMYFUNCTION("""COMPUTED_VALUE"""),"Particular")</f>
        <v>Particular</v>
      </c>
      <c r="L1500" s="7"/>
      <c r="M1500" s="7" t="str">
        <f>IFERROR(__xludf.DUMMYFUNCTION("""COMPUTED_VALUE"""),"No")</f>
        <v>No</v>
      </c>
      <c r="N1500" s="7"/>
      <c r="O1500" s="7"/>
      <c r="P1500" s="7"/>
      <c r="Q1500" s="7"/>
      <c r="R1500" s="7"/>
      <c r="S1500" s="7"/>
    </row>
    <row r="1501">
      <c r="C1501" s="19">
        <f>IFERROR(__xludf.DUMMYFUNCTION("""COMPUTED_VALUE"""),46097.85608814815)</f>
        <v>46097.85609</v>
      </c>
      <c r="D1501" s="7" t="str">
        <f>IFERROR(__xludf.DUMMYFUNCTION("""COMPUTED_VALUE"""),"Palacios ")</f>
        <v>Palacios </v>
      </c>
      <c r="E1501" s="7" t="str">
        <f>IFERROR(__xludf.DUMMYFUNCTION("""COMPUTED_VALUE"""),"Sandra ")</f>
        <v>Sandra </v>
      </c>
      <c r="F1501" s="7" t="str">
        <f>IFERROR(__xludf.DUMMYFUNCTION("""COMPUTED_VALUE"""),"Sandrapalacios2009@hotmail.com")</f>
        <v>Sandrapalacios2009@hotmail.com</v>
      </c>
      <c r="G1501" s="20">
        <f>IFERROR(__xludf.DUMMYFUNCTION("""COMPUTED_VALUE"""),23896.0)</f>
        <v>23896</v>
      </c>
      <c r="H1501" s="7">
        <f>IFERROR(__xludf.DUMMYFUNCTION("""COMPUTED_VALUE"""),1.8329936E7)</f>
        <v>18329936</v>
      </c>
      <c r="I1501" s="7">
        <f>IFERROR(__xludf.DUMMYFUNCTION("""COMPUTED_VALUE"""),3.518058246E9)</f>
        <v>3518058246</v>
      </c>
      <c r="J1501" s="7" t="str">
        <f>IFERROR(__xludf.DUMMYFUNCTION("""COMPUTED_VALUE"""),"Instagram")</f>
        <v>Instagram</v>
      </c>
      <c r="K1501" s="7" t="str">
        <f>IFERROR(__xludf.DUMMYFUNCTION("""COMPUTED_VALUE"""),"Obra social")</f>
        <v>Obra social</v>
      </c>
      <c r="L1501" s="7"/>
      <c r="M1501" s="7" t="str">
        <f>IFERROR(__xludf.DUMMYFUNCTION("""COMPUTED_VALUE"""),"Si")</f>
        <v>Si</v>
      </c>
      <c r="N1501" s="7" t="str">
        <f>IFERROR(__xludf.DUMMYFUNCTION("""COMPUTED_VALUE"""),"Aquagym")</f>
        <v>Aquagym</v>
      </c>
      <c r="O1501" s="7" t="str">
        <f>IFERROR(__xludf.DUMMYFUNCTION("""COMPUTED_VALUE"""),"3 a 5 veces por semana")</f>
        <v>3 a 5 veces por semana</v>
      </c>
      <c r="P1501" s="7"/>
      <c r="Q1501" s="7" t="str">
        <f>IFERROR(__xludf.DUMMYFUNCTION("""COMPUTED_VALUE"""),"APROSS")</f>
        <v>APROSS</v>
      </c>
      <c r="R1501" s="7"/>
      <c r="S1501" s="7"/>
    </row>
    <row r="1502">
      <c r="C1502" s="19">
        <f>IFERROR(__xludf.DUMMYFUNCTION("""COMPUTED_VALUE"""),46098.456354849535)</f>
        <v>46098.45635</v>
      </c>
      <c r="D1502" s="7" t="str">
        <f>IFERROR(__xludf.DUMMYFUNCTION("""COMPUTED_VALUE"""),"Fantini")</f>
        <v>Fantini</v>
      </c>
      <c r="E1502" s="7" t="str">
        <f>IFERROR(__xludf.DUMMYFUNCTION("""COMPUTED_VALUE"""),"Joaquin ")</f>
        <v>Joaquin </v>
      </c>
      <c r="F1502" s="7" t="str">
        <f>IFERROR(__xludf.DUMMYFUNCTION("""COMPUTED_VALUE"""),"tinfantini@gmail.com")</f>
        <v>tinfantini@gmail.com</v>
      </c>
      <c r="G1502" s="20">
        <f>IFERROR(__xludf.DUMMYFUNCTION("""COMPUTED_VALUE"""),38477.0)</f>
        <v>38477</v>
      </c>
      <c r="H1502" s="7">
        <f>IFERROR(__xludf.DUMMYFUNCTION("""COMPUTED_VALUE"""),4.6452257E7)</f>
        <v>46452257</v>
      </c>
      <c r="I1502" s="7">
        <f>IFERROR(__xludf.DUMMYFUNCTION("""COMPUTED_VALUE"""),3.513250822E9)</f>
        <v>3513250822</v>
      </c>
      <c r="J1502" s="7" t="str">
        <f>IFERROR(__xludf.DUMMYFUNCTION("""COMPUTED_VALUE"""),"Gimnasio")</f>
        <v>Gimnasio</v>
      </c>
      <c r="K1502" s="7" t="str">
        <f>IFERROR(__xludf.DUMMYFUNCTION("""COMPUTED_VALUE"""),"Obra social")</f>
        <v>Obra social</v>
      </c>
      <c r="L1502" s="7"/>
      <c r="M1502" s="7" t="str">
        <f>IFERROR(__xludf.DUMMYFUNCTION("""COMPUTED_VALUE"""),"Si")</f>
        <v>Si</v>
      </c>
      <c r="N1502" s="7" t="str">
        <f>IFERROR(__xludf.DUMMYFUNCTION("""COMPUTED_VALUE"""),"Fútbol")</f>
        <v>Fútbol</v>
      </c>
      <c r="O1502" s="7" t="str">
        <f>IFERROR(__xludf.DUMMYFUNCTION("""COMPUTED_VALUE"""),"3 a 5 veces por semana")</f>
        <v>3 a 5 veces por semana</v>
      </c>
      <c r="P1502" s="7"/>
      <c r="Q1502" s="7" t="str">
        <f>IFERROR(__xludf.DUMMYFUNCTION("""COMPUTED_VALUE"""),"APROSS")</f>
        <v>APROSS</v>
      </c>
      <c r="R1502" s="7"/>
      <c r="S1502" s="7"/>
    </row>
    <row r="1503">
      <c r="C1503" s="19">
        <f>IFERROR(__xludf.DUMMYFUNCTION("""COMPUTED_VALUE"""),46098.5319918287)</f>
        <v>46098.53199</v>
      </c>
      <c r="D1503" s="7" t="str">
        <f>IFERROR(__xludf.DUMMYFUNCTION("""COMPUTED_VALUE"""),"Puricelli ")</f>
        <v>Puricelli </v>
      </c>
      <c r="E1503" s="7" t="str">
        <f>IFERROR(__xludf.DUMMYFUNCTION("""COMPUTED_VALUE"""),"Cesar Ivan ")</f>
        <v>Cesar Ivan </v>
      </c>
      <c r="F1503" s="7" t="str">
        <f>IFERROR(__xludf.DUMMYFUNCTION("""COMPUTED_VALUE"""),"pypdesinfecciones@gmail.com")</f>
        <v>pypdesinfecciones@gmail.com</v>
      </c>
      <c r="G1503" s="20">
        <f>IFERROR(__xludf.DUMMYFUNCTION("""COMPUTED_VALUE"""),30098.0)</f>
        <v>30098</v>
      </c>
      <c r="H1503" s="7">
        <f>IFERROR(__xludf.DUMMYFUNCTION("""COMPUTED_VALUE"""),2.9402494E7)</f>
        <v>29402494</v>
      </c>
      <c r="I1503" s="7">
        <f>IFERROR(__xludf.DUMMYFUNCTION("""COMPUTED_VALUE"""),3.516864279E9)</f>
        <v>3516864279</v>
      </c>
      <c r="J1503" s="7" t="str">
        <f>IFERROR(__xludf.DUMMYFUNCTION("""COMPUTED_VALUE"""),"Recomendación")</f>
        <v>Recomendación</v>
      </c>
      <c r="K1503" s="7" t="str">
        <f>IFERROR(__xludf.DUMMYFUNCTION("""COMPUTED_VALUE"""),"Particular")</f>
        <v>Particular</v>
      </c>
      <c r="L1503" s="7"/>
      <c r="M1503" s="7" t="str">
        <f>IFERROR(__xludf.DUMMYFUNCTION("""COMPUTED_VALUE"""),"Si")</f>
        <v>Si</v>
      </c>
      <c r="N1503" s="7" t="str">
        <f>IFERROR(__xludf.DUMMYFUNCTION("""COMPUTED_VALUE"""),"Fútbol")</f>
        <v>Fútbol</v>
      </c>
      <c r="O1503" s="7" t="str">
        <f>IFERROR(__xludf.DUMMYFUNCTION("""COMPUTED_VALUE"""),"1 a 2 veces por semana")</f>
        <v>1 a 2 veces por semana</v>
      </c>
      <c r="P1503" s="7"/>
      <c r="Q1503" s="7"/>
      <c r="R1503" s="7"/>
      <c r="S1503" s="7"/>
    </row>
    <row r="1504">
      <c r="C1504" s="19">
        <f>IFERROR(__xludf.DUMMYFUNCTION("""COMPUTED_VALUE"""),46098.76140282408)</f>
        <v>46098.7614</v>
      </c>
      <c r="D1504" s="7" t="str">
        <f>IFERROR(__xludf.DUMMYFUNCTION("""COMPUTED_VALUE"""),"ALZATE")</f>
        <v>ALZATE</v>
      </c>
      <c r="E1504" s="7" t="str">
        <f>IFERROR(__xludf.DUMMYFUNCTION("""COMPUTED_VALUE"""),"Laura")</f>
        <v>Laura</v>
      </c>
      <c r="F1504" s="7"/>
      <c r="G1504" s="20">
        <f>IFERROR(__xludf.DUMMYFUNCTION("""COMPUTED_VALUE"""),40194.0)</f>
        <v>40194</v>
      </c>
      <c r="H1504" s="7">
        <f>IFERROR(__xludf.DUMMYFUNCTION("""COMPUTED_VALUE"""),9.6464205E7)</f>
        <v>96464205</v>
      </c>
      <c r="I1504" s="7">
        <f>IFERROR(__xludf.DUMMYFUNCTION("""COMPUTED_VALUE"""),1.171897196E9)</f>
        <v>1171897196</v>
      </c>
      <c r="J1504" s="7" t="str">
        <f>IFERROR(__xludf.DUMMYFUNCTION("""COMPUTED_VALUE"""),"Google")</f>
        <v>Google</v>
      </c>
      <c r="K1504" s="7" t="str">
        <f>IFERROR(__xludf.DUMMYFUNCTION("""COMPUTED_VALUE"""),"Particular")</f>
        <v>Particular</v>
      </c>
      <c r="L1504" s="7"/>
      <c r="M1504" s="7" t="str">
        <f>IFERROR(__xludf.DUMMYFUNCTION("""COMPUTED_VALUE"""),"Si")</f>
        <v>Si</v>
      </c>
      <c r="N1504" s="7" t="str">
        <f>IFERROR(__xludf.DUMMYFUNCTION("""COMPUTED_VALUE"""),"Baile")</f>
        <v>Baile</v>
      </c>
      <c r="O1504" s="7" t="str">
        <f>IFERROR(__xludf.DUMMYFUNCTION("""COMPUTED_VALUE"""),"6 a 7 veces por semana")</f>
        <v>6 a 7 veces por semana</v>
      </c>
      <c r="P1504" s="7"/>
      <c r="Q1504" s="7"/>
      <c r="R1504" s="7"/>
      <c r="S1504" s="7"/>
    </row>
    <row r="1505">
      <c r="C1505" s="19">
        <f>IFERROR(__xludf.DUMMYFUNCTION("""COMPUTED_VALUE"""),46099.40749027778)</f>
        <v>46099.40749</v>
      </c>
      <c r="D1505" s="7" t="str">
        <f>IFERROR(__xludf.DUMMYFUNCTION("""COMPUTED_VALUE"""),"DANGELO")</f>
        <v>DANGELO</v>
      </c>
      <c r="E1505" s="7" t="str">
        <f>IFERROR(__xludf.DUMMYFUNCTION("""COMPUTED_VALUE"""),"Peter")</f>
        <v>Peter</v>
      </c>
      <c r="F1505" s="7" t="str">
        <f>IFERROR(__xludf.DUMMYFUNCTION("""COMPUTED_VALUE"""),"peter.dangelo0@gmail.com")</f>
        <v>peter.dangelo0@gmail.com</v>
      </c>
      <c r="G1505" s="20">
        <f>IFERROR(__xludf.DUMMYFUNCTION("""COMPUTED_VALUE"""),20320.0)</f>
        <v>20320</v>
      </c>
      <c r="H1505" s="7">
        <f>IFERROR(__xludf.DUMMYFUNCTION("""COMPUTED_VALUE"""),1.1865742E7)</f>
        <v>11865742</v>
      </c>
      <c r="I1505" s="7">
        <f>IFERROR(__xludf.DUMMYFUNCTION("""COMPUTED_VALUE"""),3.51537156E9)</f>
        <v>3515371560</v>
      </c>
      <c r="J1505" s="7" t="str">
        <f>IFERROR(__xludf.DUMMYFUNCTION("""COMPUTED_VALUE"""),"Google")</f>
        <v>Google</v>
      </c>
      <c r="K1505" s="7" t="str">
        <f>IFERROR(__xludf.DUMMYFUNCTION("""COMPUTED_VALUE"""),"Particular")</f>
        <v>Particular</v>
      </c>
      <c r="L1505" s="7"/>
      <c r="M1505" s="7" t="str">
        <f>IFERROR(__xludf.DUMMYFUNCTION("""COMPUTED_VALUE"""),"Si")</f>
        <v>Si</v>
      </c>
      <c r="N1505" s="7" t="str">
        <f>IFERROR(__xludf.DUMMYFUNCTION("""COMPUTED_VALUE"""),"Caminata")</f>
        <v>Caminata</v>
      </c>
      <c r="O1505" s="7" t="str">
        <f>IFERROR(__xludf.DUMMYFUNCTION("""COMPUTED_VALUE"""),"6 a 7 veces por semana")</f>
        <v>6 a 7 veces por semana</v>
      </c>
      <c r="P1505" s="7"/>
      <c r="Q1505" s="7"/>
      <c r="R1505" s="7"/>
      <c r="S1505" s="7"/>
    </row>
    <row r="1506">
      <c r="C1506" s="19">
        <f>IFERROR(__xludf.DUMMYFUNCTION("""COMPUTED_VALUE"""),46099.423862662035)</f>
        <v>46099.42386</v>
      </c>
      <c r="D1506" s="7" t="str">
        <f>IFERROR(__xludf.DUMMYFUNCTION("""COMPUTED_VALUE"""),"MASINI")</f>
        <v>MASINI</v>
      </c>
      <c r="E1506" s="7" t="str">
        <f>IFERROR(__xludf.DUMMYFUNCTION("""COMPUTED_VALUE"""),"Osvaldo")</f>
        <v>Osvaldo</v>
      </c>
      <c r="F1506" s="7" t="str">
        <f>IFERROR(__xludf.DUMMYFUNCTION("""COMPUTED_VALUE"""),"osvaldomasini@gmail..com")</f>
        <v>osvaldomasini@gmail..com</v>
      </c>
      <c r="G1506" s="20">
        <f>IFERROR(__xludf.DUMMYFUNCTION("""COMPUTED_VALUE"""),21405.0)</f>
        <v>21405</v>
      </c>
      <c r="H1506" s="7">
        <f>IFERROR(__xludf.DUMMYFUNCTION("""COMPUTED_VALUE"""),1.2613553E7)</f>
        <v>12613553</v>
      </c>
      <c r="I1506" s="7">
        <f>IFERROR(__xludf.DUMMYFUNCTION("""COMPUTED_VALUE"""),3.513420761E9)</f>
        <v>3513420761</v>
      </c>
      <c r="J1506" s="7" t="str">
        <f>IFERROR(__xludf.DUMMYFUNCTION("""COMPUTED_VALUE"""),"Recomendación")</f>
        <v>Recomendación</v>
      </c>
      <c r="K1506" s="7" t="str">
        <f>IFERROR(__xludf.DUMMYFUNCTION("""COMPUTED_VALUE"""),"Particular")</f>
        <v>Particular</v>
      </c>
      <c r="L1506" s="7"/>
      <c r="M1506" s="7" t="str">
        <f>IFERROR(__xludf.DUMMYFUNCTION("""COMPUTED_VALUE"""),"Si")</f>
        <v>Si</v>
      </c>
      <c r="N1506" s="7" t="str">
        <f>IFERROR(__xludf.DUMMYFUNCTION("""COMPUTED_VALUE"""),"TPA+Natacion")</f>
        <v>TPA+Natacion</v>
      </c>
      <c r="O1506" s="7" t="str">
        <f>IFERROR(__xludf.DUMMYFUNCTION("""COMPUTED_VALUE"""),"3 a 5 veces por semana")</f>
        <v>3 a 5 veces por semana</v>
      </c>
      <c r="P1506" s="7"/>
      <c r="Q1506" s="7"/>
      <c r="R1506" s="7"/>
      <c r="S1506" s="7"/>
    </row>
    <row r="1507">
      <c r="C1507" s="19">
        <f>IFERROR(__xludf.DUMMYFUNCTION("""COMPUTED_VALUE"""),46099.460923819446)</f>
        <v>46099.46092</v>
      </c>
      <c r="D1507" s="7" t="str">
        <f>IFERROR(__xludf.DUMMYFUNCTION("""COMPUTED_VALUE"""),"Vives Llompart")</f>
        <v>Vives Llompart</v>
      </c>
      <c r="E1507" s="7" t="str">
        <f>IFERROR(__xludf.DUMMYFUNCTION("""COMPUTED_VALUE"""),"Mauro")</f>
        <v>Mauro</v>
      </c>
      <c r="F1507" s="7" t="str">
        <f>IFERROR(__xludf.DUMMYFUNCTION("""COMPUTED_VALUE"""),"lumall@hotmail.com")</f>
        <v>lumall@hotmail.com</v>
      </c>
      <c r="G1507" s="20">
        <f>IFERROR(__xludf.DUMMYFUNCTION("""COMPUTED_VALUE"""),41312.0)</f>
        <v>41312</v>
      </c>
      <c r="H1507" s="7">
        <f>IFERROR(__xludf.DUMMYFUNCTION("""COMPUTED_VALUE"""),3.2121298E7)</f>
        <v>32121298</v>
      </c>
      <c r="I1507" s="7">
        <f>IFERROR(__xludf.DUMMYFUNCTION("""COMPUTED_VALUE"""),3.513073325E9)</f>
        <v>3513073325</v>
      </c>
      <c r="J1507" s="7" t="str">
        <f>IFERROR(__xludf.DUMMYFUNCTION("""COMPUTED_VALUE"""),"Recomendación")</f>
        <v>Recomendación</v>
      </c>
      <c r="K1507" s="7" t="str">
        <f>IFERROR(__xludf.DUMMYFUNCTION("""COMPUTED_VALUE"""),"Particular")</f>
        <v>Particular</v>
      </c>
      <c r="L1507" s="7"/>
      <c r="M1507" s="7" t="str">
        <f>IFERROR(__xludf.DUMMYFUNCTION("""COMPUTED_VALUE"""),"Si")</f>
        <v>Si</v>
      </c>
      <c r="N1507" s="7" t="str">
        <f>IFERROR(__xludf.DUMMYFUNCTION("""COMPUTED_VALUE"""),"Fútbol")</f>
        <v>Fútbol</v>
      </c>
      <c r="O1507" s="7" t="str">
        <f>IFERROR(__xludf.DUMMYFUNCTION("""COMPUTED_VALUE"""),"3 a 5 veces por semana")</f>
        <v>3 a 5 veces por semana</v>
      </c>
      <c r="P1507" s="7"/>
      <c r="Q1507" s="7"/>
      <c r="R1507" s="7"/>
      <c r="S1507" s="7"/>
    </row>
    <row r="1508">
      <c r="C1508" s="19">
        <f>IFERROR(__xludf.DUMMYFUNCTION("""COMPUTED_VALUE"""),46099.49455670139)</f>
        <v>46099.49456</v>
      </c>
      <c r="D1508" s="7" t="str">
        <f>IFERROR(__xludf.DUMMYFUNCTION("""COMPUTED_VALUE"""),"CURELLICH")</f>
        <v>CURELLICH</v>
      </c>
      <c r="E1508" s="7" t="str">
        <f>IFERROR(__xludf.DUMMYFUNCTION("""COMPUTED_VALUE"""),"CRISTIAN IVAN")</f>
        <v>CRISTIAN IVAN</v>
      </c>
      <c r="F1508" s="7" t="str">
        <f>IFERROR(__xludf.DUMMYFUNCTION("""COMPUTED_VALUE"""),"cristiancurellich@gmail.com")</f>
        <v>cristiancurellich@gmail.com</v>
      </c>
      <c r="G1508" s="20">
        <f>IFERROR(__xludf.DUMMYFUNCTION("""COMPUTED_VALUE"""),31695.0)</f>
        <v>31695</v>
      </c>
      <c r="H1508" s="7">
        <f>IFERROR(__xludf.DUMMYFUNCTION("""COMPUTED_VALUE"""),3.2494799E7)</f>
        <v>32494799</v>
      </c>
      <c r="I1508" s="7">
        <f>IFERROR(__xludf.DUMMYFUNCTION("""COMPUTED_VALUE"""),3.515296065E9)</f>
        <v>3515296065</v>
      </c>
      <c r="J1508" s="7" t="str">
        <f>IFERROR(__xludf.DUMMYFUNCTION("""COMPUTED_VALUE"""),"Recomendación")</f>
        <v>Recomendación</v>
      </c>
      <c r="K1508" s="7" t="str">
        <f>IFERROR(__xludf.DUMMYFUNCTION("""COMPUTED_VALUE"""),"Obra social")</f>
        <v>Obra social</v>
      </c>
      <c r="L1508" s="7"/>
      <c r="M1508" s="7" t="str">
        <f>IFERROR(__xludf.DUMMYFUNCTION("""COMPUTED_VALUE"""),"Si")</f>
        <v>Si</v>
      </c>
      <c r="N1508" s="7" t="str">
        <f>IFERROR(__xludf.DUMMYFUNCTION("""COMPUTED_VALUE"""),"Gimnasio")</f>
        <v>Gimnasio</v>
      </c>
      <c r="O1508" s="7" t="str">
        <f>IFERROR(__xludf.DUMMYFUNCTION("""COMPUTED_VALUE"""),"3 a 5 veces por semana")</f>
        <v>3 a 5 veces por semana</v>
      </c>
      <c r="P1508" s="7"/>
      <c r="Q1508" s="7" t="str">
        <f>IFERROR(__xludf.DUMMYFUNCTION("""COMPUTED_VALUE"""),"swiss medical por reintegro")</f>
        <v>swiss medical por reintegro</v>
      </c>
      <c r="R1508" s="7"/>
      <c r="S1508" s="7"/>
    </row>
    <row r="1509">
      <c r="C1509" s="19">
        <f>IFERROR(__xludf.DUMMYFUNCTION("""COMPUTED_VALUE"""),46099.71037710649)</f>
        <v>46099.71038</v>
      </c>
      <c r="D1509" s="7" t="str">
        <f>IFERROR(__xludf.DUMMYFUNCTION("""COMPUTED_VALUE"""),"PAEZ")</f>
        <v>PAEZ</v>
      </c>
      <c r="E1509" s="7" t="str">
        <f>IFERROR(__xludf.DUMMYFUNCTION("""COMPUTED_VALUE"""),"Blanca Nieve")</f>
        <v>Blanca Nieve</v>
      </c>
      <c r="F1509" s="7" t="str">
        <f>IFERROR(__xludf.DUMMYFUNCTION("""COMPUTED_VALUE"""),"blancarosapaez@hotmail.com")</f>
        <v>blancarosapaez@hotmail.com</v>
      </c>
      <c r="G1509" s="20">
        <f>IFERROR(__xludf.DUMMYFUNCTION("""COMPUTED_VALUE"""),14117.0)</f>
        <v>14117</v>
      </c>
      <c r="H1509" s="7">
        <f>IFERROR(__xludf.DUMMYFUNCTION("""COMPUTED_VALUE"""),4383840.0)</f>
        <v>4383840</v>
      </c>
      <c r="I1509" s="7">
        <f>IFERROR(__xludf.DUMMYFUNCTION("""COMPUTED_VALUE"""),3.516697179E9)</f>
        <v>3516697179</v>
      </c>
      <c r="J1509" s="7" t="str">
        <f>IFERROR(__xludf.DUMMYFUNCTION("""COMPUTED_VALUE"""),"Facebook")</f>
        <v>Facebook</v>
      </c>
      <c r="K1509" s="7" t="str">
        <f>IFERROR(__xludf.DUMMYFUNCTION("""COMPUTED_VALUE"""),"Particular")</f>
        <v>Particular</v>
      </c>
      <c r="L1509" s="7"/>
      <c r="M1509" s="7" t="str">
        <f>IFERROR(__xludf.DUMMYFUNCTION("""COMPUTED_VALUE"""),"No")</f>
        <v>No</v>
      </c>
      <c r="N1509" s="7"/>
      <c r="O1509" s="7"/>
      <c r="P1509" s="7"/>
      <c r="Q1509" s="7"/>
      <c r="R1509" s="7"/>
      <c r="S1509" s="7"/>
    </row>
    <row r="1510">
      <c r="C1510" s="19">
        <f>IFERROR(__xludf.DUMMYFUNCTION("""COMPUTED_VALUE"""),46100.431917939815)</f>
        <v>46100.43192</v>
      </c>
      <c r="D1510" s="7" t="str">
        <f>IFERROR(__xludf.DUMMYFUNCTION("""COMPUTED_VALUE"""),"Falon")</f>
        <v>Falon</v>
      </c>
      <c r="E1510" s="7" t="str">
        <f>IFERROR(__xludf.DUMMYFUNCTION("""COMPUTED_VALUE"""),"Luisa")</f>
        <v>Luisa</v>
      </c>
      <c r="F1510" s="7" t="str">
        <f>IFERROR(__xludf.DUMMYFUNCTION("""COMPUTED_VALUE"""),"lizzyfalon09@gmail.com")</f>
        <v>lizzyfalon09@gmail.com</v>
      </c>
      <c r="G1510" s="20">
        <f>IFERROR(__xludf.DUMMYFUNCTION("""COMPUTED_VALUE"""),22023.0)</f>
        <v>22023</v>
      </c>
      <c r="H1510" s="7">
        <f>IFERROR(__xludf.DUMMYFUNCTION("""COMPUTED_VALUE"""),1.4293712E7)</f>
        <v>14293712</v>
      </c>
      <c r="I1510" s="7">
        <f>IFERROR(__xludf.DUMMYFUNCTION("""COMPUTED_VALUE"""),3.515941872E9)</f>
        <v>3515941872</v>
      </c>
      <c r="J1510" s="7" t="str">
        <f>IFERROR(__xludf.DUMMYFUNCTION("""COMPUTED_VALUE"""),"Recomendación")</f>
        <v>Recomendación</v>
      </c>
      <c r="K1510" s="7" t="str">
        <f>IFERROR(__xludf.DUMMYFUNCTION("""COMPUTED_VALUE"""),"Obra social")</f>
        <v>Obra social</v>
      </c>
      <c r="L1510" s="7"/>
      <c r="M1510" s="7" t="str">
        <f>IFERROR(__xludf.DUMMYFUNCTION("""COMPUTED_VALUE"""),"Si")</f>
        <v>Si</v>
      </c>
      <c r="N1510" s="7" t="str">
        <f>IFERROR(__xludf.DUMMYFUNCTION("""COMPUTED_VALUE"""),"Caminata")</f>
        <v>Caminata</v>
      </c>
      <c r="O1510" s="7" t="str">
        <f>IFERROR(__xludf.DUMMYFUNCTION("""COMPUTED_VALUE"""),"3 a 5 veces por semana")</f>
        <v>3 a 5 veces por semana</v>
      </c>
      <c r="P1510" s="7"/>
      <c r="Q1510" s="7" t="str">
        <f>IFERROR(__xludf.DUMMYFUNCTION("""COMPUTED_VALUE"""),"DASPU")</f>
        <v>DASPU</v>
      </c>
      <c r="R1510" s="7"/>
      <c r="S1510" s="7"/>
    </row>
    <row r="1511">
      <c r="C1511" s="19">
        <f>IFERROR(__xludf.DUMMYFUNCTION("""COMPUTED_VALUE"""),46100.73645789352)</f>
        <v>46100.73646</v>
      </c>
      <c r="D1511" s="7" t="str">
        <f>IFERROR(__xludf.DUMMYFUNCTION("""COMPUTED_VALUE"""),"Tapia")</f>
        <v>Tapia</v>
      </c>
      <c r="E1511" s="7" t="str">
        <f>IFERROR(__xludf.DUMMYFUNCTION("""COMPUTED_VALUE"""),"Mauricio")</f>
        <v>Mauricio</v>
      </c>
      <c r="F1511" s="7" t="str">
        <f>IFERROR(__xludf.DUMMYFUNCTION("""COMPUTED_VALUE"""),"mauriciotapiagm@gmail.com")</f>
        <v>mauriciotapiagm@gmail.com</v>
      </c>
      <c r="G1511" s="20">
        <f>IFERROR(__xludf.DUMMYFUNCTION("""COMPUTED_VALUE"""),34127.0)</f>
        <v>34127</v>
      </c>
      <c r="H1511" s="7">
        <f>IFERROR(__xludf.DUMMYFUNCTION("""COMPUTED_VALUE"""),3.7733022E7)</f>
        <v>37733022</v>
      </c>
      <c r="I1511" s="7">
        <f>IFERROR(__xludf.DUMMYFUNCTION("""COMPUTED_VALUE"""),3.518679766E9)</f>
        <v>3518679766</v>
      </c>
      <c r="J1511" s="7" t="str">
        <f>IFERROR(__xludf.DUMMYFUNCTION("""COMPUTED_VALUE"""),"Recomendación")</f>
        <v>Recomendación</v>
      </c>
      <c r="K1511" s="7" t="str">
        <f>IFERROR(__xludf.DUMMYFUNCTION("""COMPUTED_VALUE"""),"Obra social")</f>
        <v>Obra social</v>
      </c>
      <c r="L1511" s="7"/>
      <c r="M1511" s="7" t="str">
        <f>IFERROR(__xludf.DUMMYFUNCTION("""COMPUTED_VALUE"""),"Si")</f>
        <v>Si</v>
      </c>
      <c r="N1511" s="7" t="str">
        <f>IFERROR(__xludf.DUMMYFUNCTION("""COMPUTED_VALUE"""),"Gimnasio y Futbol")</f>
        <v>Gimnasio y Futbol</v>
      </c>
      <c r="O1511" s="7" t="str">
        <f>IFERROR(__xludf.DUMMYFUNCTION("""COMPUTED_VALUE"""),"3 a 5 veces por semana")</f>
        <v>3 a 5 veces por semana</v>
      </c>
      <c r="P1511" s="7"/>
      <c r="Q1511" s="7" t="str">
        <f>IFERROR(__xludf.DUMMYFUNCTION("""COMPUTED_VALUE"""),"Medife")</f>
        <v>Medife</v>
      </c>
      <c r="R1511" s="7"/>
      <c r="S1511" s="7"/>
    </row>
    <row r="1512">
      <c r="C1512" s="19">
        <f>IFERROR(__xludf.DUMMYFUNCTION("""COMPUTED_VALUE"""),46100.75372001158)</f>
        <v>46100.75372</v>
      </c>
      <c r="D1512" s="7" t="str">
        <f>IFERROR(__xludf.DUMMYFUNCTION("""COMPUTED_VALUE"""),"Arraya")</f>
        <v>Arraya</v>
      </c>
      <c r="E1512" s="7" t="str">
        <f>IFERROR(__xludf.DUMMYFUNCTION("""COMPUTED_VALUE"""),"Guillermo")</f>
        <v>Guillermo</v>
      </c>
      <c r="F1512" s="7" t="str">
        <f>IFERROR(__xludf.DUMMYFUNCTION("""COMPUTED_VALUE"""),"guillermo.arraya@gmail.com")</f>
        <v>guillermo.arraya@gmail.com</v>
      </c>
      <c r="G1512" s="20">
        <f>IFERROR(__xludf.DUMMYFUNCTION("""COMPUTED_VALUE"""),32945.0)</f>
        <v>32945</v>
      </c>
      <c r="H1512" s="7">
        <f>IFERROR(__xludf.DUMMYFUNCTION("""COMPUTED_VALUE"""),3.5089424E7)</f>
        <v>35089424</v>
      </c>
      <c r="I1512" s="7">
        <f>IFERROR(__xludf.DUMMYFUNCTION("""COMPUTED_VALUE"""),3.513905826E9)</f>
        <v>3513905826</v>
      </c>
      <c r="J1512" s="7" t="str">
        <f>IFERROR(__xludf.DUMMYFUNCTION("""COMPUTED_VALUE"""),"Recomendación")</f>
        <v>Recomendación</v>
      </c>
      <c r="K1512" s="7" t="str">
        <f>IFERROR(__xludf.DUMMYFUNCTION("""COMPUTED_VALUE"""),"Obra social")</f>
        <v>Obra social</v>
      </c>
      <c r="L1512" s="7"/>
      <c r="M1512" s="7" t="str">
        <f>IFERROR(__xludf.DUMMYFUNCTION("""COMPUTED_VALUE"""),"Si")</f>
        <v>Si</v>
      </c>
      <c r="N1512" s="7" t="str">
        <f>IFERROR(__xludf.DUMMYFUNCTION("""COMPUTED_VALUE"""),"Running")</f>
        <v>Running</v>
      </c>
      <c r="O1512" s="7" t="str">
        <f>IFERROR(__xludf.DUMMYFUNCTION("""COMPUTED_VALUE"""),"3 a 5 veces por semana")</f>
        <v>3 a 5 veces por semana</v>
      </c>
      <c r="P1512" s="7"/>
      <c r="Q1512" s="7" t="str">
        <f>IFERROR(__xludf.DUMMYFUNCTION("""COMPUTED_VALUE"""),"SANCOR")</f>
        <v>SANCOR</v>
      </c>
      <c r="R1512" s="7"/>
      <c r="S1512" s="7"/>
    </row>
    <row r="1513">
      <c r="C1513" s="19">
        <f>IFERROR(__xludf.DUMMYFUNCTION("""COMPUTED_VALUE"""),46101.425765277774)</f>
        <v>46101.42577</v>
      </c>
      <c r="D1513" s="7" t="str">
        <f>IFERROR(__xludf.DUMMYFUNCTION("""COMPUTED_VALUE"""),"kellerban")</f>
        <v>kellerban</v>
      </c>
      <c r="E1513" s="7" t="str">
        <f>IFERROR(__xludf.DUMMYFUNCTION("""COMPUTED_VALUE"""),"Victoria")</f>
        <v>Victoria</v>
      </c>
      <c r="F1513" s="7"/>
      <c r="G1513" s="20">
        <f>IFERROR(__xludf.DUMMYFUNCTION("""COMPUTED_VALUE"""),34785.0)</f>
        <v>34785</v>
      </c>
      <c r="H1513" s="7">
        <f>IFERROR(__xludf.DUMMYFUNCTION("""COMPUTED_VALUE"""),9.474605E7)</f>
        <v>94746050</v>
      </c>
      <c r="I1513" s="7">
        <f>IFERROR(__xludf.DUMMYFUNCTION("""COMPUTED_VALUE"""),3.517629788E9)</f>
        <v>3517629788</v>
      </c>
      <c r="J1513" s="7" t="str">
        <f>IFERROR(__xludf.DUMMYFUNCTION("""COMPUTED_VALUE"""),"Gimnasio")</f>
        <v>Gimnasio</v>
      </c>
      <c r="K1513" s="7" t="str">
        <f>IFERROR(__xludf.DUMMYFUNCTION("""COMPUTED_VALUE"""),"Obra social")</f>
        <v>Obra social</v>
      </c>
      <c r="L1513" s="7"/>
      <c r="M1513" s="7" t="str">
        <f>IFERROR(__xludf.DUMMYFUNCTION("""COMPUTED_VALUE"""),"Si")</f>
        <v>Si</v>
      </c>
      <c r="N1513" s="7" t="str">
        <f>IFERROR(__xludf.DUMMYFUNCTION("""COMPUTED_VALUE"""),"Gimnasio")</f>
        <v>Gimnasio</v>
      </c>
      <c r="O1513" s="7" t="str">
        <f>IFERROR(__xludf.DUMMYFUNCTION("""COMPUTED_VALUE"""),"3 a 5 veces por semana")</f>
        <v>3 a 5 veces por semana</v>
      </c>
      <c r="P1513" s="7"/>
      <c r="Q1513" s="7" t="str">
        <f>IFERROR(__xludf.DUMMYFUNCTION("""COMPUTED_VALUE"""),"PREVENCIÓN")</f>
        <v>PREVENCIÓN</v>
      </c>
      <c r="R1513" s="7"/>
      <c r="S1513" s="7"/>
    </row>
    <row r="1514">
      <c r="C1514" s="19">
        <f>IFERROR(__xludf.DUMMYFUNCTION("""COMPUTED_VALUE"""),46101.464362824074)</f>
        <v>46101.46436</v>
      </c>
      <c r="D1514" s="7" t="str">
        <f>IFERROR(__xludf.DUMMYFUNCTION("""COMPUTED_VALUE"""),"Nores")</f>
        <v>Nores</v>
      </c>
      <c r="E1514" s="7" t="str">
        <f>IFERROR(__xludf.DUMMYFUNCTION("""COMPUTED_VALUE"""),"Guillermo Jose")</f>
        <v>Guillermo Jose</v>
      </c>
      <c r="F1514" s="7" t="str">
        <f>IFERROR(__xludf.DUMMYFUNCTION("""COMPUTED_VALUE"""),"ludemmel@gmail.com")</f>
        <v>ludemmel@gmail.com</v>
      </c>
      <c r="G1514" s="20">
        <f>IFERROR(__xludf.DUMMYFUNCTION("""COMPUTED_VALUE"""),40660.0)</f>
        <v>40660</v>
      </c>
      <c r="H1514" s="7">
        <f>IFERROR(__xludf.DUMMYFUNCTION("""COMPUTED_VALUE"""),5.0936222E7)</f>
        <v>50936222</v>
      </c>
      <c r="I1514" s="7">
        <f>IFERROR(__xludf.DUMMYFUNCTION("""COMPUTED_VALUE"""),3.515641903E9)</f>
        <v>3515641903</v>
      </c>
      <c r="J1514" s="7" t="str">
        <f>IFERROR(__xludf.DUMMYFUNCTION("""COMPUTED_VALUE"""),"Recomendación")</f>
        <v>Recomendación</v>
      </c>
      <c r="K1514" s="7" t="str">
        <f>IFERROR(__xludf.DUMMYFUNCTION("""COMPUTED_VALUE"""),"Obra social")</f>
        <v>Obra social</v>
      </c>
      <c r="L1514" s="7"/>
      <c r="M1514" s="7" t="str">
        <f>IFERROR(__xludf.DUMMYFUNCTION("""COMPUTED_VALUE"""),"Si")</f>
        <v>Si</v>
      </c>
      <c r="N1514" s="7" t="str">
        <f>IFERROR(__xludf.DUMMYFUNCTION("""COMPUTED_VALUE"""),"Gimasio y rugby")</f>
        <v>Gimasio y rugby</v>
      </c>
      <c r="O1514" s="7" t="str">
        <f>IFERROR(__xludf.DUMMYFUNCTION("""COMPUTED_VALUE"""),"3 a 5 veces por semana")</f>
        <v>3 a 5 veces por semana</v>
      </c>
      <c r="P1514" s="7"/>
      <c r="Q1514" s="7" t="str">
        <f>IFERROR(__xludf.DUMMYFUNCTION("""COMPUTED_VALUE"""),"PREVENCIÓN")</f>
        <v>PREVENCIÓN</v>
      </c>
      <c r="R1514" s="7"/>
      <c r="S1514" s="7"/>
    </row>
    <row r="1515">
      <c r="C1515" s="19">
        <f>IFERROR(__xludf.DUMMYFUNCTION("""COMPUTED_VALUE"""),46103.57559555555)</f>
        <v>46103.5756</v>
      </c>
      <c r="D1515" s="7" t="str">
        <f>IFERROR(__xludf.DUMMYFUNCTION("""COMPUTED_VALUE"""),"Casas Pavon")</f>
        <v>Casas Pavon</v>
      </c>
      <c r="E1515" s="7" t="str">
        <f>IFERROR(__xludf.DUMMYFUNCTION("""COMPUTED_VALUE"""),"Martin Miguel")</f>
        <v>Martin Miguel</v>
      </c>
      <c r="F1515" s="7" t="str">
        <f>IFERROR(__xludf.DUMMYFUNCTION("""COMPUTED_VALUE"""),"Martincasas399@gmail.com")</f>
        <v>Martincasas399@gmail.com</v>
      </c>
      <c r="G1515" s="20">
        <f>IFERROR(__xludf.DUMMYFUNCTION("""COMPUTED_VALUE"""),39487.0)</f>
        <v>39487</v>
      </c>
      <c r="H1515" s="7">
        <f>IFERROR(__xludf.DUMMYFUNCTION("""COMPUTED_VALUE"""),4.7819675E7)</f>
        <v>47819675</v>
      </c>
      <c r="I1515" s="7">
        <f>IFERROR(__xludf.DUMMYFUNCTION("""COMPUTED_VALUE"""),3.512023299E9)</f>
        <v>3512023299</v>
      </c>
      <c r="J1515" s="7" t="str">
        <f>IFERROR(__xludf.DUMMYFUNCTION("""COMPUTED_VALUE"""),"Gimnasio")</f>
        <v>Gimnasio</v>
      </c>
      <c r="K1515" s="7" t="str">
        <f>IFERROR(__xludf.DUMMYFUNCTION("""COMPUTED_VALUE"""),"Particular")</f>
        <v>Particular</v>
      </c>
      <c r="L1515" s="7"/>
      <c r="M1515" s="7" t="str">
        <f>IFERROR(__xludf.DUMMYFUNCTION("""COMPUTED_VALUE"""),"Si")</f>
        <v>Si</v>
      </c>
      <c r="N1515" s="7" t="str">
        <f>IFERROR(__xludf.DUMMYFUNCTION("""COMPUTED_VALUE"""),"Gimnasio")</f>
        <v>Gimnasio</v>
      </c>
      <c r="O1515" s="7" t="str">
        <f>IFERROR(__xludf.DUMMYFUNCTION("""COMPUTED_VALUE"""),"3 a 5 veces por semana")</f>
        <v>3 a 5 veces por semana</v>
      </c>
      <c r="P1515" s="7"/>
      <c r="Q1515" s="7"/>
      <c r="R1515" s="7"/>
      <c r="S1515" s="7"/>
    </row>
    <row r="1516">
      <c r="C1516" s="19">
        <f>IFERROR(__xludf.DUMMYFUNCTION("""COMPUTED_VALUE"""),46103.748613738426)</f>
        <v>46103.74861</v>
      </c>
      <c r="D1516" s="7" t="str">
        <f>IFERROR(__xludf.DUMMYFUNCTION("""COMPUTED_VALUE"""),"Guzman")</f>
        <v>Guzman</v>
      </c>
      <c r="E1516" s="7" t="str">
        <f>IFERROR(__xludf.DUMMYFUNCTION("""COMPUTED_VALUE"""),"Regina")</f>
        <v>Regina</v>
      </c>
      <c r="F1516" s="7" t="str">
        <f>IFERROR(__xludf.DUMMYFUNCTION("""COMPUTED_VALUE"""),"Pupiguzman4@gmail.com")</f>
        <v>Pupiguzman4@gmail.com</v>
      </c>
      <c r="G1516" s="20">
        <f>IFERROR(__xludf.DUMMYFUNCTION("""COMPUTED_VALUE"""),32244.0)</f>
        <v>32244</v>
      </c>
      <c r="H1516" s="7">
        <f>IFERROR(__xludf.DUMMYFUNCTION("""COMPUTED_VALUE"""),3.3700013E7)</f>
        <v>33700013</v>
      </c>
      <c r="I1516" s="7">
        <f>IFERROR(__xludf.DUMMYFUNCTION("""COMPUTED_VALUE"""),3.518725353E9)</f>
        <v>3518725353</v>
      </c>
      <c r="J1516" s="7" t="str">
        <f>IFERROR(__xludf.DUMMYFUNCTION("""COMPUTED_VALUE"""),"Recomendación")</f>
        <v>Recomendación</v>
      </c>
      <c r="K1516" s="7" t="str">
        <f>IFERROR(__xludf.DUMMYFUNCTION("""COMPUTED_VALUE"""),"Particular")</f>
        <v>Particular</v>
      </c>
      <c r="L1516" s="7"/>
      <c r="M1516" s="7" t="str">
        <f>IFERROR(__xludf.DUMMYFUNCTION("""COMPUTED_VALUE"""),"Si")</f>
        <v>Si</v>
      </c>
      <c r="N1516" s="7" t="str">
        <f>IFERROR(__xludf.DUMMYFUNCTION("""COMPUTED_VALUE"""),"Voley")</f>
        <v>Voley</v>
      </c>
      <c r="O1516" s="7" t="str">
        <f>IFERROR(__xludf.DUMMYFUNCTION("""COMPUTED_VALUE"""),"3 a 5 veces por semana")</f>
        <v>3 a 5 veces por semana</v>
      </c>
      <c r="P1516" s="7"/>
      <c r="Q1516" s="7"/>
      <c r="R1516" s="7"/>
      <c r="S1516" s="7"/>
    </row>
    <row r="1517">
      <c r="C1517" s="19">
        <f>IFERROR(__xludf.DUMMYFUNCTION("""COMPUTED_VALUE"""),46106.460447199075)</f>
        <v>46106.46045</v>
      </c>
      <c r="D1517" s="7" t="str">
        <f>IFERROR(__xludf.DUMMYFUNCTION("""COMPUTED_VALUE"""),"Oliva")</f>
        <v>Oliva</v>
      </c>
      <c r="E1517" s="7" t="str">
        <f>IFERROR(__xludf.DUMMYFUNCTION("""COMPUTED_VALUE"""),"Lucio")</f>
        <v>Lucio</v>
      </c>
      <c r="F1517" s="7" t="str">
        <f>IFERROR(__xludf.DUMMYFUNCTION("""COMPUTED_VALUE"""),"luchooliva.04@gmail.com")</f>
        <v>luchooliva.04@gmail.com</v>
      </c>
      <c r="G1517" s="20">
        <f>IFERROR(__xludf.DUMMYFUNCTION("""COMPUTED_VALUE"""),37866.0)</f>
        <v>37866</v>
      </c>
      <c r="H1517" s="7">
        <f>IFERROR(__xludf.DUMMYFUNCTION("""COMPUTED_VALUE"""),4.4970035E7)</f>
        <v>44970035</v>
      </c>
      <c r="I1517" s="7">
        <f>IFERROR(__xludf.DUMMYFUNCTION("""COMPUTED_VALUE"""),3.517531042E9)</f>
        <v>3517531042</v>
      </c>
      <c r="J1517" s="7" t="str">
        <f>IFERROR(__xludf.DUMMYFUNCTION("""COMPUTED_VALUE"""),"Instagram")</f>
        <v>Instagram</v>
      </c>
      <c r="K1517" s="7" t="str">
        <f>IFERROR(__xludf.DUMMYFUNCTION("""COMPUTED_VALUE"""),"Obra social")</f>
        <v>Obra social</v>
      </c>
      <c r="L1517" s="7"/>
      <c r="M1517" s="7" t="str">
        <f>IFERROR(__xludf.DUMMYFUNCTION("""COMPUTED_VALUE"""),"Si")</f>
        <v>Si</v>
      </c>
      <c r="N1517" s="7" t="str">
        <f>IFERROR(__xludf.DUMMYFUNCTION("""COMPUTED_VALUE"""),"Fútbol")</f>
        <v>Fútbol</v>
      </c>
      <c r="O1517" s="7" t="str">
        <f>IFERROR(__xludf.DUMMYFUNCTION("""COMPUTED_VALUE"""),"3 a 5 veces por semana")</f>
        <v>3 a 5 veces por semana</v>
      </c>
      <c r="P1517" s="7"/>
      <c r="Q1517" s="7" t="str">
        <f>IFERROR(__xludf.DUMMYFUNCTION("""COMPUTED_VALUE"""),"DASPU")</f>
        <v>DASPU</v>
      </c>
      <c r="R1517" s="7"/>
      <c r="S1517" s="7"/>
    </row>
    <row r="1518">
      <c r="C1518" s="19">
        <f>IFERROR(__xludf.DUMMYFUNCTION("""COMPUTED_VALUE"""),46106.65065260416)</f>
        <v>46106.65065</v>
      </c>
      <c r="D1518" s="7" t="str">
        <f>IFERROR(__xludf.DUMMYFUNCTION("""COMPUTED_VALUE"""),"Pautasso")</f>
        <v>Pautasso</v>
      </c>
      <c r="E1518" s="7" t="str">
        <f>IFERROR(__xludf.DUMMYFUNCTION("""COMPUTED_VALUE"""),"Francesca")</f>
        <v>Francesca</v>
      </c>
      <c r="F1518" s="7" t="str">
        <f>IFERROR(__xludf.DUMMYFUNCTION("""COMPUTED_VALUE"""),"yaninasaldivarrossetto@gmail.com")</f>
        <v>yaninasaldivarrossetto@gmail.com</v>
      </c>
      <c r="G1518" s="20">
        <f>IFERROR(__xludf.DUMMYFUNCTION("""COMPUTED_VALUE"""),41270.0)</f>
        <v>41270</v>
      </c>
      <c r="H1518" s="7">
        <f>IFERROR(__xludf.DUMMYFUNCTION("""COMPUTED_VALUE"""),5.2469084E7)</f>
        <v>52469084</v>
      </c>
      <c r="I1518" s="7">
        <f>IFERROR(__xludf.DUMMYFUNCTION("""COMPUTED_VALUE"""),3.516134808E9)</f>
        <v>3516134808</v>
      </c>
      <c r="J1518" s="7" t="str">
        <f>IFERROR(__xludf.DUMMYFUNCTION("""COMPUTED_VALUE"""),"Google")</f>
        <v>Google</v>
      </c>
      <c r="K1518" s="7" t="str">
        <f>IFERROR(__xludf.DUMMYFUNCTION("""COMPUTED_VALUE"""),"Particular")</f>
        <v>Particular</v>
      </c>
      <c r="L1518" s="7"/>
      <c r="M1518" s="7" t="str">
        <f>IFERROR(__xludf.DUMMYFUNCTION("""COMPUTED_VALUE"""),"Si")</f>
        <v>Si</v>
      </c>
      <c r="N1518" s="7" t="str">
        <f>IFERROR(__xludf.DUMMYFUNCTION("""COMPUTED_VALUE"""),"Voley")</f>
        <v>Voley</v>
      </c>
      <c r="O1518" s="7" t="str">
        <f>IFERROR(__xludf.DUMMYFUNCTION("""COMPUTED_VALUE"""),"3 a 5 veces por semana")</f>
        <v>3 a 5 veces por semana</v>
      </c>
      <c r="P1518" s="7"/>
      <c r="Q1518" s="7"/>
      <c r="R1518" s="7"/>
      <c r="S1518" s="7"/>
    </row>
    <row r="1519">
      <c r="C1519" s="19">
        <f>IFERROR(__xludf.DUMMYFUNCTION("""COMPUTED_VALUE"""),46106.71766380787)</f>
        <v>46106.71766</v>
      </c>
      <c r="D1519" s="7" t="str">
        <f>IFERROR(__xludf.DUMMYFUNCTION("""COMPUTED_VALUE"""),"Depaul")</f>
        <v>Depaul</v>
      </c>
      <c r="E1519" s="7" t="str">
        <f>IFERROR(__xludf.DUMMYFUNCTION("""COMPUTED_VALUE"""),"Francisco Joaquin")</f>
        <v>Francisco Joaquin</v>
      </c>
      <c r="F1519" s="7" t="str">
        <f>IFERROR(__xludf.DUMMYFUNCTION("""COMPUTED_VALUE"""),"joaquidepaul@gmail.com")</f>
        <v>joaquidepaul@gmail.com</v>
      </c>
      <c r="G1519" s="20">
        <f>IFERROR(__xludf.DUMMYFUNCTION("""COMPUTED_VALUE"""),35222.0)</f>
        <v>35222</v>
      </c>
      <c r="H1519" s="7">
        <f>IFERROR(__xludf.DUMMYFUNCTION("""COMPUTED_VALUE"""),3.968953E7)</f>
        <v>39689530</v>
      </c>
      <c r="I1519" s="7">
        <f>IFERROR(__xludf.DUMMYFUNCTION("""COMPUTED_VALUE"""),3.517680759E9)</f>
        <v>3517680759</v>
      </c>
      <c r="J1519" s="7" t="str">
        <f>IFERROR(__xludf.DUMMYFUNCTION("""COMPUTED_VALUE"""),"Recomendación")</f>
        <v>Recomendación</v>
      </c>
      <c r="K1519" s="7" t="str">
        <f>IFERROR(__xludf.DUMMYFUNCTION("""COMPUTED_VALUE"""),"Obra social")</f>
        <v>Obra social</v>
      </c>
      <c r="L1519" s="7"/>
      <c r="M1519" s="7" t="str">
        <f>IFERROR(__xludf.DUMMYFUNCTION("""COMPUTED_VALUE"""),"Si")</f>
        <v>Si</v>
      </c>
      <c r="N1519" s="7" t="str">
        <f>IFERROR(__xludf.DUMMYFUNCTION("""COMPUTED_VALUE"""),"Tenis+Gimnasio")</f>
        <v>Tenis+Gimnasio</v>
      </c>
      <c r="O1519" s="7" t="str">
        <f>IFERROR(__xludf.DUMMYFUNCTION("""COMPUTED_VALUE"""),"3 a 5 veces por semana")</f>
        <v>3 a 5 veces por semana</v>
      </c>
      <c r="P1519" s="7"/>
      <c r="Q1519" s="7" t="str">
        <f>IFERROR(__xludf.DUMMYFUNCTION("""COMPUTED_VALUE"""),"SANCOR")</f>
        <v>SANCOR</v>
      </c>
      <c r="R1519" s="7"/>
      <c r="S1519" s="7"/>
    </row>
    <row r="1520">
      <c r="C1520" s="19">
        <f>IFERROR(__xludf.DUMMYFUNCTION("""COMPUTED_VALUE"""),46107.40406202547)</f>
        <v>46107.40406</v>
      </c>
      <c r="D1520" s="7" t="str">
        <f>IFERROR(__xludf.DUMMYFUNCTION("""COMPUTED_VALUE"""),"Omalley")</f>
        <v>Omalley</v>
      </c>
      <c r="E1520" s="7" t="str">
        <f>IFERROR(__xludf.DUMMYFUNCTION("""COMPUTED_VALUE"""),"Mick")</f>
        <v>Mick</v>
      </c>
      <c r="F1520" s="7" t="str">
        <f>IFERROR(__xludf.DUMMYFUNCTION("""COMPUTED_VALUE"""),"Omalleymick6363@gmail.com")</f>
        <v>Omalleymick6363@gmail.com</v>
      </c>
      <c r="G1520" s="20">
        <f>IFERROR(__xludf.DUMMYFUNCTION("""COMPUTED_VALUE"""),23340.0)</f>
        <v>23340</v>
      </c>
      <c r="H1520" s="7" t="str">
        <f>IFERROR(__xludf.DUMMYFUNCTION("""COMPUTED_VALUE"""),"PB46743")</f>
        <v>PB46743</v>
      </c>
      <c r="I1520" s="7">
        <f>IFERROR(__xludf.DUMMYFUNCTION("""COMPUTED_VALUE"""),6.1418622508E10)</f>
        <v>61418622508</v>
      </c>
      <c r="J1520" s="7" t="str">
        <f>IFERROR(__xludf.DUMMYFUNCTION("""COMPUTED_VALUE"""),"Gimnasio")</f>
        <v>Gimnasio</v>
      </c>
      <c r="K1520" s="7" t="str">
        <f>IFERROR(__xludf.DUMMYFUNCTION("""COMPUTED_VALUE"""),"Particular")</f>
        <v>Particular</v>
      </c>
      <c r="L1520" s="7"/>
      <c r="M1520" s="7" t="str">
        <f>IFERROR(__xludf.DUMMYFUNCTION("""COMPUTED_VALUE"""),"Si")</f>
        <v>Si</v>
      </c>
      <c r="N1520" s="7"/>
      <c r="O1520" s="7" t="str">
        <f>IFERROR(__xludf.DUMMYFUNCTION("""COMPUTED_VALUE"""),"1 a 2 veces por semana")</f>
        <v>1 a 2 veces por semana</v>
      </c>
      <c r="P1520" s="7"/>
      <c r="Q1520" s="7"/>
      <c r="R1520" s="7"/>
      <c r="S1520" s="7"/>
    </row>
    <row r="1521">
      <c r="C1521" s="19">
        <f>IFERROR(__xludf.DUMMYFUNCTION("""COMPUTED_VALUE"""),46107.70205537037)</f>
        <v>46107.70206</v>
      </c>
      <c r="D1521" s="7" t="str">
        <f>IFERROR(__xludf.DUMMYFUNCTION("""COMPUTED_VALUE"""),"López ")</f>
        <v>López </v>
      </c>
      <c r="E1521" s="7" t="str">
        <f>IFERROR(__xludf.DUMMYFUNCTION("""COMPUTED_VALUE"""),"Sandra ")</f>
        <v>Sandra </v>
      </c>
      <c r="F1521" s="7" t="str">
        <f>IFERROR(__xludf.DUMMYFUNCTION("""COMPUTED_VALUE"""),"2017lopezsandra@gmail.com")</f>
        <v>2017lopezsandra@gmail.com</v>
      </c>
      <c r="G1521" s="20">
        <f>IFERROR(__xludf.DUMMYFUNCTION("""COMPUTED_VALUE"""),-670059.0)</f>
        <v>-670059</v>
      </c>
      <c r="H1521" s="7">
        <f>IFERROR(__xludf.DUMMYFUNCTION("""COMPUTED_VALUE"""),1.729297E7)</f>
        <v>17292970</v>
      </c>
      <c r="I1521" s="7">
        <f>IFERROR(__xludf.DUMMYFUNCTION("""COMPUTED_VALUE"""),3.515922386E9)</f>
        <v>3515922386</v>
      </c>
      <c r="J1521" s="7" t="str">
        <f>IFERROR(__xludf.DUMMYFUNCTION("""COMPUTED_VALUE"""),"Instagram")</f>
        <v>Instagram</v>
      </c>
      <c r="K1521" s="7" t="str">
        <f>IFERROR(__xludf.DUMMYFUNCTION("""COMPUTED_VALUE"""),"Obra social")</f>
        <v>Obra social</v>
      </c>
      <c r="L1521" s="7"/>
      <c r="M1521" s="7" t="str">
        <f>IFERROR(__xludf.DUMMYFUNCTION("""COMPUTED_VALUE"""),"Si")</f>
        <v>Si</v>
      </c>
      <c r="N1521" s="7" t="str">
        <f>IFERROR(__xludf.DUMMYFUNCTION("""COMPUTED_VALUE"""),"Natacion ")</f>
        <v>Natacion </v>
      </c>
      <c r="O1521" s="7" t="str">
        <f>IFERROR(__xludf.DUMMYFUNCTION("""COMPUTED_VALUE"""),"3 a 5 veces por semana")</f>
        <v>3 a 5 veces por semana</v>
      </c>
      <c r="P1521" s="7"/>
      <c r="Q1521" s="7" t="str">
        <f>IFERROR(__xludf.DUMMYFUNCTION("""COMPUTED_VALUE"""),"APROSS")</f>
        <v>APROSS</v>
      </c>
      <c r="R1521" s="7"/>
      <c r="S1521" s="7"/>
    </row>
    <row r="1522">
      <c r="C1522" s="19">
        <f>IFERROR(__xludf.DUMMYFUNCTION("""COMPUTED_VALUE"""),46107.82112175926)</f>
        <v>46107.82112</v>
      </c>
      <c r="D1522" s="7" t="str">
        <f>IFERROR(__xludf.DUMMYFUNCTION("""COMPUTED_VALUE"""),"WERNER ")</f>
        <v>WERNER </v>
      </c>
      <c r="E1522" s="7" t="str">
        <f>IFERROR(__xludf.DUMMYFUNCTION("""COMPUTED_VALUE"""),"Alejandro ")</f>
        <v>Alejandro </v>
      </c>
      <c r="F1522" s="7" t="str">
        <f>IFERROR(__xludf.DUMMYFUNCTION("""COMPUTED_VALUE"""),"alejandromarianowerner@gmail.com")</f>
        <v>alejandromarianowerner@gmail.com</v>
      </c>
      <c r="G1522" s="20">
        <f>IFERROR(__xludf.DUMMYFUNCTION("""COMPUTED_VALUE"""),27896.0)</f>
        <v>27896</v>
      </c>
      <c r="H1522" s="7">
        <f>IFERROR(__xludf.DUMMYFUNCTION("""COMPUTED_VALUE"""),2.5268139E7)</f>
        <v>25268139</v>
      </c>
      <c r="I1522" s="7">
        <f>IFERROR(__xludf.DUMMYFUNCTION("""COMPUTED_VALUE"""),3.512375274E9)</f>
        <v>3512375274</v>
      </c>
      <c r="J1522" s="7" t="str">
        <f>IFERROR(__xludf.DUMMYFUNCTION("""COMPUTED_VALUE"""),"Recomendación")</f>
        <v>Recomendación</v>
      </c>
      <c r="K1522" s="7" t="str">
        <f>IFERROR(__xludf.DUMMYFUNCTION("""COMPUTED_VALUE"""),"Obra social")</f>
        <v>Obra social</v>
      </c>
      <c r="L1522" s="7"/>
      <c r="M1522" s="7" t="str">
        <f>IFERROR(__xludf.DUMMYFUNCTION("""COMPUTED_VALUE"""),"Si")</f>
        <v>Si</v>
      </c>
      <c r="N1522" s="7" t="str">
        <f>IFERROR(__xludf.DUMMYFUNCTION("""COMPUTED_VALUE"""),"tenis, gimnasio")</f>
        <v>tenis, gimnasio</v>
      </c>
      <c r="O1522" s="7" t="str">
        <f>IFERROR(__xludf.DUMMYFUNCTION("""COMPUTED_VALUE"""),"3 a 5 veces por semana")</f>
        <v>3 a 5 veces por semana</v>
      </c>
      <c r="P1522" s="7"/>
      <c r="Q1522" s="7" t="str">
        <f>IFERROR(__xludf.DUMMYFUNCTION("""COMPUTED_VALUE"""),"PREVENCIÓN")</f>
        <v>PREVENCIÓN</v>
      </c>
      <c r="R1522" s="7"/>
      <c r="S1522" s="7"/>
    </row>
    <row r="1523">
      <c r="C1523" s="19">
        <f>IFERROR(__xludf.DUMMYFUNCTION("""COMPUTED_VALUE"""),46108.72320422454)</f>
        <v>46108.7232</v>
      </c>
      <c r="D1523" s="7" t="str">
        <f>IFERROR(__xludf.DUMMYFUNCTION("""COMPUTED_VALUE"""),"Frias")</f>
        <v>Frias</v>
      </c>
      <c r="E1523" s="7" t="str">
        <f>IFERROR(__xludf.DUMMYFUNCTION("""COMPUTED_VALUE"""),"Jorge")</f>
        <v>Jorge</v>
      </c>
      <c r="F1523" s="7" t="str">
        <f>IFERROR(__xludf.DUMMYFUNCTION("""COMPUTED_VALUE"""),"jorgeluisfrias@gmail.com")</f>
        <v>jorgeluisfrias@gmail.com</v>
      </c>
      <c r="G1523" s="20">
        <f>IFERROR(__xludf.DUMMYFUNCTION("""COMPUTED_VALUE"""),29704.0)</f>
        <v>29704</v>
      </c>
      <c r="H1523" s="7">
        <f>IFERROR(__xludf.DUMMYFUNCTION("""COMPUTED_VALUE"""),2.8502657E7)</f>
        <v>28502657</v>
      </c>
      <c r="I1523" s="7">
        <f>IFERROR(__xludf.DUMMYFUNCTION("""COMPUTED_VALUE"""),3.516985602E9)</f>
        <v>3516985602</v>
      </c>
      <c r="J1523" s="7" t="str">
        <f>IFERROR(__xludf.DUMMYFUNCTION("""COMPUTED_VALUE"""),"Google")</f>
        <v>Google</v>
      </c>
      <c r="K1523" s="7" t="str">
        <f>IFERROR(__xludf.DUMMYFUNCTION("""COMPUTED_VALUE"""),"Obra social")</f>
        <v>Obra social</v>
      </c>
      <c r="L1523" s="7"/>
      <c r="M1523" s="7" t="str">
        <f>IFERROR(__xludf.DUMMYFUNCTION("""COMPUTED_VALUE"""),"Si")</f>
        <v>Si</v>
      </c>
      <c r="N1523" s="7" t="str">
        <f>IFERROR(__xludf.DUMMYFUNCTION("""COMPUTED_VALUE"""),"Running")</f>
        <v>Running</v>
      </c>
      <c r="O1523" s="7" t="str">
        <f>IFERROR(__xludf.DUMMYFUNCTION("""COMPUTED_VALUE"""),"3 a 5 veces por semana")</f>
        <v>3 a 5 veces por semana</v>
      </c>
      <c r="P1523" s="7"/>
      <c r="Q1523" s="7" t="str">
        <f>IFERROR(__xludf.DUMMYFUNCTION("""COMPUTED_VALUE"""),"APROSS")</f>
        <v>APROSS</v>
      </c>
      <c r="R1523" s="7"/>
      <c r="S1523" s="7"/>
    </row>
    <row r="1524">
      <c r="C1524" s="19">
        <f>IFERROR(__xludf.DUMMYFUNCTION("""COMPUTED_VALUE"""),46108.77819686342)</f>
        <v>46108.7782</v>
      </c>
      <c r="D1524" s="7" t="str">
        <f>IFERROR(__xludf.DUMMYFUNCTION("""COMPUTED_VALUE"""),"Soto")</f>
        <v>Soto</v>
      </c>
      <c r="E1524" s="7" t="str">
        <f>IFERROR(__xludf.DUMMYFUNCTION("""COMPUTED_VALUE"""),"Octavio")</f>
        <v>Octavio</v>
      </c>
      <c r="F1524" s="7"/>
      <c r="G1524" s="20">
        <f>IFERROR(__xludf.DUMMYFUNCTION("""COMPUTED_VALUE"""),37673.0)</f>
        <v>37673</v>
      </c>
      <c r="H1524" s="7">
        <f>IFERROR(__xludf.DUMMYFUNCTION("""COMPUTED_VALUE"""),5.3075923E7)</f>
        <v>53075923</v>
      </c>
      <c r="I1524" s="7">
        <f>IFERROR(__xludf.DUMMYFUNCTION("""COMPUTED_VALUE"""),3.515087821E9)</f>
        <v>3515087821</v>
      </c>
      <c r="J1524" s="7" t="str">
        <f>IFERROR(__xludf.DUMMYFUNCTION("""COMPUTED_VALUE"""),"Recomendación")</f>
        <v>Recomendación</v>
      </c>
      <c r="K1524" s="7" t="str">
        <f>IFERROR(__xludf.DUMMYFUNCTION("""COMPUTED_VALUE"""),"Particular")</f>
        <v>Particular</v>
      </c>
      <c r="L1524" s="7"/>
      <c r="M1524" s="7" t="str">
        <f>IFERROR(__xludf.DUMMYFUNCTION("""COMPUTED_VALUE"""),"Si")</f>
        <v>Si</v>
      </c>
      <c r="N1524" s="7" t="str">
        <f>IFERROR(__xludf.DUMMYFUNCTION("""COMPUTED_VALUE"""),"Fútbol")</f>
        <v>Fútbol</v>
      </c>
      <c r="O1524" s="7" t="str">
        <f>IFERROR(__xludf.DUMMYFUNCTION("""COMPUTED_VALUE"""),"3 a 5 veces por semana")</f>
        <v>3 a 5 veces por semana</v>
      </c>
      <c r="P1524" s="7"/>
      <c r="Q1524" s="7"/>
      <c r="R1524" s="7"/>
      <c r="S1524" s="7"/>
    </row>
    <row r="1525">
      <c r="C1525" s="19">
        <f>IFERROR(__xludf.DUMMYFUNCTION("""COMPUTED_VALUE"""),46110.90652037037)</f>
        <v>46110.90652</v>
      </c>
      <c r="D1525" s="7" t="str">
        <f>IFERROR(__xludf.DUMMYFUNCTION("""COMPUTED_VALUE"""),"Flores Perazzone")</f>
        <v>Flores Perazzone</v>
      </c>
      <c r="E1525" s="7" t="str">
        <f>IFERROR(__xludf.DUMMYFUNCTION("""COMPUTED_VALUE"""),"Valeria Alejandra")</f>
        <v>Valeria Alejandra</v>
      </c>
      <c r="F1525" s="7" t="str">
        <f>IFERROR(__xludf.DUMMYFUNCTION("""COMPUTED_VALUE"""),"valeriafperazzone@gmail.com")</f>
        <v>valeriafperazzone@gmail.com</v>
      </c>
      <c r="G1525" s="20">
        <f>IFERROR(__xludf.DUMMYFUNCTION("""COMPUTED_VALUE"""),29460.0)</f>
        <v>29460</v>
      </c>
      <c r="H1525" s="7">
        <f>IFERROR(__xludf.DUMMYFUNCTION("""COMPUTED_VALUE"""),2.7695691E7)</f>
        <v>27695691</v>
      </c>
      <c r="I1525" s="7">
        <f>IFERROR(__xludf.DUMMYFUNCTION("""COMPUTED_VALUE"""),3.512121366E9)</f>
        <v>3512121366</v>
      </c>
      <c r="J1525" s="7" t="str">
        <f>IFERROR(__xludf.DUMMYFUNCTION("""COMPUTED_VALUE"""),"Recomendación")</f>
        <v>Recomendación</v>
      </c>
      <c r="K1525" s="7" t="str">
        <f>IFERROR(__xludf.DUMMYFUNCTION("""COMPUTED_VALUE"""),"Obra social")</f>
        <v>Obra social</v>
      </c>
      <c r="L1525" s="7"/>
      <c r="M1525" s="7" t="str">
        <f>IFERROR(__xludf.DUMMYFUNCTION("""COMPUTED_VALUE"""),"Si")</f>
        <v>Si</v>
      </c>
      <c r="N1525" s="7" t="str">
        <f>IFERROR(__xludf.DUMMYFUNCTION("""COMPUTED_VALUE"""),"Gimnasio")</f>
        <v>Gimnasio</v>
      </c>
      <c r="O1525" s="7" t="str">
        <f>IFERROR(__xludf.DUMMYFUNCTION("""COMPUTED_VALUE"""),"1 a 2 veces por semana")</f>
        <v>1 a 2 veces por semana</v>
      </c>
      <c r="P1525" s="7"/>
      <c r="Q1525" s="7" t="str">
        <f>IFERROR(__xludf.DUMMYFUNCTION("""COMPUTED_VALUE"""),"APROSS")</f>
        <v>APROSS</v>
      </c>
      <c r="R1525" s="7"/>
      <c r="S1525" s="7"/>
    </row>
    <row r="1526">
      <c r="C1526" s="19">
        <f>IFERROR(__xludf.DUMMYFUNCTION("""COMPUTED_VALUE"""),46111.38020482639)</f>
        <v>46111.3802</v>
      </c>
      <c r="D1526" s="7" t="str">
        <f>IFERROR(__xludf.DUMMYFUNCTION("""COMPUTED_VALUE"""),"Moreno")</f>
        <v>Moreno</v>
      </c>
      <c r="E1526" s="7" t="str">
        <f>IFERROR(__xludf.DUMMYFUNCTION("""COMPUTED_VALUE"""),"Roque ")</f>
        <v>Roque </v>
      </c>
      <c r="F1526" s="7" t="str">
        <f>IFERROR(__xludf.DUMMYFUNCTION("""COMPUTED_VALUE"""),"roquetenis@gmail.com")</f>
        <v>roquetenis@gmail.com</v>
      </c>
      <c r="G1526" s="20">
        <f>IFERROR(__xludf.DUMMYFUNCTION("""COMPUTED_VALUE"""),28788.0)</f>
        <v>28788</v>
      </c>
      <c r="H1526" s="7">
        <f>IFERROR(__xludf.DUMMYFUNCTION("""COMPUTED_VALUE"""),2.6905125E7)</f>
        <v>26905125</v>
      </c>
      <c r="I1526" s="7">
        <f>IFERROR(__xludf.DUMMYFUNCTION("""COMPUTED_VALUE"""),3.51106577E8)</f>
        <v>351106577</v>
      </c>
      <c r="J1526" s="7" t="str">
        <f>IFERROR(__xludf.DUMMYFUNCTION("""COMPUTED_VALUE""")," Amigo")</f>
        <v> Amigo</v>
      </c>
      <c r="K1526" s="7" t="str">
        <f>IFERROR(__xludf.DUMMYFUNCTION("""COMPUTED_VALUE"""),"Particular")</f>
        <v>Particular</v>
      </c>
      <c r="L1526" s="7"/>
      <c r="M1526" s="7" t="str">
        <f>IFERROR(__xludf.DUMMYFUNCTION("""COMPUTED_VALUE"""),"Si")</f>
        <v>Si</v>
      </c>
      <c r="N1526" s="7" t="str">
        <f>IFERROR(__xludf.DUMMYFUNCTION("""COMPUTED_VALUE"""),"Padel")</f>
        <v>Padel</v>
      </c>
      <c r="O1526" s="7" t="str">
        <f>IFERROR(__xludf.DUMMYFUNCTION("""COMPUTED_VALUE"""),"3 a 5 veces por semana")</f>
        <v>3 a 5 veces por semana</v>
      </c>
      <c r="P1526" s="7"/>
      <c r="Q1526" s="7"/>
      <c r="R1526" s="7"/>
      <c r="S1526" s="7"/>
    </row>
    <row r="1527">
      <c r="C1527" s="19">
        <f>IFERROR(__xludf.DUMMYFUNCTION("""COMPUTED_VALUE"""),46111.54800556713)</f>
        <v>46111.54801</v>
      </c>
      <c r="D1527" s="7" t="str">
        <f>IFERROR(__xludf.DUMMYFUNCTION("""COMPUTED_VALUE"""),"Santucho ")</f>
        <v>Santucho </v>
      </c>
      <c r="E1527" s="7" t="str">
        <f>IFERROR(__xludf.DUMMYFUNCTION("""COMPUTED_VALUE"""),"Maximiliano ")</f>
        <v>Maximiliano </v>
      </c>
      <c r="F1527" s="7" t="str">
        <f>IFERROR(__xludf.DUMMYFUNCTION("""COMPUTED_VALUE"""),"maximilianosantucho229@gmail.com")</f>
        <v>maximilianosantucho229@gmail.com</v>
      </c>
      <c r="G1527" s="20">
        <f>IFERROR(__xludf.DUMMYFUNCTION("""COMPUTED_VALUE"""),34103.0)</f>
        <v>34103</v>
      </c>
      <c r="H1527" s="7">
        <f>IFERROR(__xludf.DUMMYFUNCTION("""COMPUTED_VALUE"""),3.7475354E7)</f>
        <v>37475354</v>
      </c>
      <c r="I1527" s="7">
        <f>IFERROR(__xludf.DUMMYFUNCTION("""COMPUTED_VALUE"""),3.512169653E9)</f>
        <v>3512169653</v>
      </c>
      <c r="J1527" s="7" t="str">
        <f>IFERROR(__xludf.DUMMYFUNCTION("""COMPUTED_VALUE"""),"Recomendación")</f>
        <v>Recomendación</v>
      </c>
      <c r="K1527" s="7" t="str">
        <f>IFERROR(__xludf.DUMMYFUNCTION("""COMPUTED_VALUE"""),"Obra social")</f>
        <v>Obra social</v>
      </c>
      <c r="L1527" s="7"/>
      <c r="M1527" s="7" t="str">
        <f>IFERROR(__xludf.DUMMYFUNCTION("""COMPUTED_VALUE"""),"Si")</f>
        <v>Si</v>
      </c>
      <c r="N1527" s="7" t="str">
        <f>IFERROR(__xludf.DUMMYFUNCTION("""COMPUTED_VALUE"""),"Fútbol")</f>
        <v>Fútbol</v>
      </c>
      <c r="O1527" s="7" t="str">
        <f>IFERROR(__xludf.DUMMYFUNCTION("""COMPUTED_VALUE"""),"3 a 5 veces por semana")</f>
        <v>3 a 5 veces por semana</v>
      </c>
      <c r="P1527" s="7"/>
      <c r="Q1527" s="7" t="str">
        <f>IFERROR(__xludf.DUMMYFUNCTION("""COMPUTED_VALUE"""),"APROSS")</f>
        <v>APROSS</v>
      </c>
      <c r="R1527" s="7"/>
      <c r="S1527" s="7"/>
    </row>
    <row r="1528">
      <c r="C1528" s="19">
        <f>IFERROR(__xludf.DUMMYFUNCTION("""COMPUTED_VALUE"""),46111.67540972222)</f>
        <v>46111.67541</v>
      </c>
      <c r="D1528" s="7" t="str">
        <f>IFERROR(__xludf.DUMMYFUNCTION("""COMPUTED_VALUE"""),"Frankel")</f>
        <v>Frankel</v>
      </c>
      <c r="E1528" s="7" t="str">
        <f>IFERROR(__xludf.DUMMYFUNCTION("""COMPUTED_VALUE"""),"Marco Dolv")</f>
        <v>Marco Dolv</v>
      </c>
      <c r="F1528" s="7"/>
      <c r="G1528" s="20">
        <f>IFERROR(__xludf.DUMMYFUNCTION("""COMPUTED_VALUE"""),19486.0)</f>
        <v>19486</v>
      </c>
      <c r="H1528" s="7">
        <f>IFERROR(__xludf.DUMMYFUNCTION("""COMPUTED_VALUE"""),9.2353839E7)</f>
        <v>92353839</v>
      </c>
      <c r="I1528" s="7">
        <f>IFERROR(__xludf.DUMMYFUNCTION("""COMPUTED_VALUE"""),3.512456257E9)</f>
        <v>3512456257</v>
      </c>
      <c r="J1528" s="7" t="str">
        <f>IFERROR(__xludf.DUMMYFUNCTION("""COMPUTED_VALUE"""),"Recomendación")</f>
        <v>Recomendación</v>
      </c>
      <c r="K1528" s="7" t="str">
        <f>IFERROR(__xludf.DUMMYFUNCTION("""COMPUTED_VALUE"""),"Particular")</f>
        <v>Particular</v>
      </c>
      <c r="L1528" s="7"/>
      <c r="M1528" s="7" t="str">
        <f>IFERROR(__xludf.DUMMYFUNCTION("""COMPUTED_VALUE"""),"Si")</f>
        <v>Si</v>
      </c>
      <c r="N1528" s="7" t="str">
        <f>IFERROR(__xludf.DUMMYFUNCTION("""COMPUTED_VALUE"""),"Fútbol")</f>
        <v>Fútbol</v>
      </c>
      <c r="O1528" s="7" t="str">
        <f>IFERROR(__xludf.DUMMYFUNCTION("""COMPUTED_VALUE"""),"1 a 2 veces por semana")</f>
        <v>1 a 2 veces por semana</v>
      </c>
      <c r="P1528" s="7"/>
      <c r="Q1528" s="7"/>
      <c r="R1528" s="7"/>
      <c r="S1528" s="7"/>
    </row>
    <row r="1529">
      <c r="C1529" s="19">
        <f>IFERROR(__xludf.DUMMYFUNCTION("""COMPUTED_VALUE"""),46111.81267680555)</f>
        <v>46111.81268</v>
      </c>
      <c r="D1529" s="7" t="str">
        <f>IFERROR(__xludf.DUMMYFUNCTION("""COMPUTED_VALUE"""),"Pace")</f>
        <v>Pace</v>
      </c>
      <c r="E1529" s="7" t="str">
        <f>IFERROR(__xludf.DUMMYFUNCTION("""COMPUTED_VALUE"""),"Maria florencia")</f>
        <v>Maria florencia</v>
      </c>
      <c r="F1529" s="7" t="str">
        <f>IFERROR(__xludf.DUMMYFUNCTION("""COMPUTED_VALUE"""),"Paceflorencia.lic@gmail.com")</f>
        <v>Paceflorencia.lic@gmail.com</v>
      </c>
      <c r="G1529" s="20">
        <f>IFERROR(__xludf.DUMMYFUNCTION("""COMPUTED_VALUE"""),32852.0)</f>
        <v>32852</v>
      </c>
      <c r="H1529" s="7">
        <f>IFERROR(__xludf.DUMMYFUNCTION("""COMPUTED_VALUE"""),3.4908496E7)</f>
        <v>34908496</v>
      </c>
      <c r="I1529" s="7">
        <f>IFERROR(__xludf.DUMMYFUNCTION("""COMPUTED_VALUE"""),3.516596058E9)</f>
        <v>3516596058</v>
      </c>
      <c r="J1529" s="7" t="str">
        <f>IFERROR(__xludf.DUMMYFUNCTION("""COMPUTED_VALUE"""),"Gimnasio")</f>
        <v>Gimnasio</v>
      </c>
      <c r="K1529" s="7" t="str">
        <f>IFERROR(__xludf.DUMMYFUNCTION("""COMPUTED_VALUE"""),"Obra social")</f>
        <v>Obra social</v>
      </c>
      <c r="L1529" s="7"/>
      <c r="M1529" s="7" t="str">
        <f>IFERROR(__xludf.DUMMYFUNCTION("""COMPUTED_VALUE"""),"Si")</f>
        <v>Si</v>
      </c>
      <c r="N1529" s="7" t="str">
        <f>IFERROR(__xludf.DUMMYFUNCTION("""COMPUTED_VALUE"""),"Gimnasio")</f>
        <v>Gimnasio</v>
      </c>
      <c r="O1529" s="7" t="str">
        <f>IFERROR(__xludf.DUMMYFUNCTION("""COMPUTED_VALUE"""),"3 a 5 veces por semana")</f>
        <v>3 a 5 veces por semana</v>
      </c>
      <c r="P1529" s="7"/>
      <c r="Q1529" s="7" t="str">
        <f>IFERROR(__xludf.DUMMYFUNCTION("""COMPUTED_VALUE"""),"Medife")</f>
        <v>Medife</v>
      </c>
      <c r="R1529" s="7"/>
      <c r="S1529" s="7"/>
    </row>
    <row r="1530">
      <c r="C1530" s="19">
        <f>IFERROR(__xludf.DUMMYFUNCTION("""COMPUTED_VALUE"""),46112.433403877316)</f>
        <v>46112.4334</v>
      </c>
      <c r="D1530" s="7" t="str">
        <f>IFERROR(__xludf.DUMMYFUNCTION("""COMPUTED_VALUE"""),"Vilte")</f>
        <v>Vilte</v>
      </c>
      <c r="E1530" s="7" t="str">
        <f>IFERROR(__xludf.DUMMYFUNCTION("""COMPUTED_VALUE"""),"Isidora")</f>
        <v>Isidora</v>
      </c>
      <c r="F1530" s="7" t="str">
        <f>IFERROR(__xludf.DUMMYFUNCTION("""COMPUTED_VALUE"""),"britos.macarena1994@gmail.com")</f>
        <v>britos.macarena1994@gmail.com</v>
      </c>
      <c r="G1530" s="20">
        <f>IFERROR(__xludf.DUMMYFUNCTION("""COMPUTED_VALUE"""),19818.0)</f>
        <v>19818</v>
      </c>
      <c r="H1530" s="7">
        <f>IFERROR(__xludf.DUMMYFUNCTION("""COMPUTED_VALUE"""),1.166311E7)</f>
        <v>11663110</v>
      </c>
      <c r="I1530" s="7">
        <f>IFERROR(__xludf.DUMMYFUNCTION("""COMPUTED_VALUE"""),3.513721994E9)</f>
        <v>3513721994</v>
      </c>
      <c r="J1530" s="7" t="str">
        <f>IFERROR(__xludf.DUMMYFUNCTION("""COMPUTED_VALUE"""),"Google")</f>
        <v>Google</v>
      </c>
      <c r="K1530" s="7" t="str">
        <f>IFERROR(__xludf.DUMMYFUNCTION("""COMPUTED_VALUE"""),"Particular")</f>
        <v>Particular</v>
      </c>
      <c r="L1530" s="7"/>
      <c r="M1530" s="7" t="str">
        <f>IFERROR(__xludf.DUMMYFUNCTION("""COMPUTED_VALUE"""),"Si")</f>
        <v>Si</v>
      </c>
      <c r="N1530" s="7" t="str">
        <f>IFERROR(__xludf.DUMMYFUNCTION("""COMPUTED_VALUE"""),"Yoga")</f>
        <v>Yoga</v>
      </c>
      <c r="O1530" s="7" t="str">
        <f>IFERROR(__xludf.DUMMYFUNCTION("""COMPUTED_VALUE"""),"1 a 2 veces por semana")</f>
        <v>1 a 2 veces por semana</v>
      </c>
      <c r="P1530" s="7"/>
      <c r="Q1530" s="7"/>
      <c r="R1530" s="7"/>
      <c r="S1530" s="7"/>
    </row>
    <row r="1531">
      <c r="C1531" s="19">
        <f>IFERROR(__xludf.DUMMYFUNCTION("""COMPUTED_VALUE"""),46113.38407226852)</f>
        <v>46113.38407</v>
      </c>
      <c r="D1531" s="7" t="str">
        <f>IFERROR(__xludf.DUMMYFUNCTION("""COMPUTED_VALUE"""),"Berra")</f>
        <v>Berra</v>
      </c>
      <c r="E1531" s="7" t="str">
        <f>IFERROR(__xludf.DUMMYFUNCTION("""COMPUTED_VALUE"""),"gabriel")</f>
        <v>gabriel</v>
      </c>
      <c r="F1531" s="7"/>
      <c r="G1531" s="20">
        <f>IFERROR(__xludf.DUMMYFUNCTION("""COMPUTED_VALUE"""),30109.0)</f>
        <v>30109</v>
      </c>
      <c r="H1531" s="7">
        <f>IFERROR(__xludf.DUMMYFUNCTION("""COMPUTED_VALUE"""),2.9456495E7)</f>
        <v>29456495</v>
      </c>
      <c r="I1531" s="7">
        <f>IFERROR(__xludf.DUMMYFUNCTION("""COMPUTED_VALUE"""),3.513085985E9)</f>
        <v>3513085985</v>
      </c>
      <c r="J1531" s="7" t="str">
        <f>IFERROR(__xludf.DUMMYFUNCTION("""COMPUTED_VALUE"""),"Gimnasio")</f>
        <v>Gimnasio</v>
      </c>
      <c r="K1531" s="7" t="str">
        <f>IFERROR(__xludf.DUMMYFUNCTION("""COMPUTED_VALUE"""),"Particular")</f>
        <v>Particular</v>
      </c>
      <c r="L1531" s="7"/>
      <c r="M1531" s="7" t="str">
        <f>IFERROR(__xludf.DUMMYFUNCTION("""COMPUTED_VALUE"""),"Si")</f>
        <v>Si</v>
      </c>
      <c r="N1531" s="7" t="str">
        <f>IFERROR(__xludf.DUMMYFUNCTION("""COMPUTED_VALUE"""),"Gimnasio")</f>
        <v>Gimnasio</v>
      </c>
      <c r="O1531" s="7" t="str">
        <f>IFERROR(__xludf.DUMMYFUNCTION("""COMPUTED_VALUE"""),"3 a 5 veces por semana")</f>
        <v>3 a 5 veces por semana</v>
      </c>
      <c r="P1531" s="7"/>
      <c r="Q1531" s="7"/>
      <c r="R1531" s="7"/>
      <c r="S1531" s="7"/>
    </row>
    <row r="1532">
      <c r="C1532" s="19">
        <f>IFERROR(__xludf.DUMMYFUNCTION("""COMPUTED_VALUE"""),46113.51009951389)</f>
        <v>46113.5101</v>
      </c>
      <c r="D1532" s="7" t="str">
        <f>IFERROR(__xludf.DUMMYFUNCTION("""COMPUTED_VALUE"""),"Piacenza ")</f>
        <v>Piacenza </v>
      </c>
      <c r="E1532" s="7" t="str">
        <f>IFERROR(__xludf.DUMMYFUNCTION("""COMPUTED_VALUE"""),"Gaston ")</f>
        <v>Gaston </v>
      </c>
      <c r="F1532" s="7" t="str">
        <f>IFERROR(__xludf.DUMMYFUNCTION("""COMPUTED_VALUE"""),"Piacenzagastonhugo@gmail.com")</f>
        <v>Piacenzagastonhugo@gmail.com</v>
      </c>
      <c r="G1532" s="20">
        <f>IFERROR(__xludf.DUMMYFUNCTION("""COMPUTED_VALUE"""),36998.0)</f>
        <v>36998</v>
      </c>
      <c r="H1532" s="7">
        <f>IFERROR(__xludf.DUMMYFUNCTION("""COMPUTED_VALUE"""),4.3277648E7)</f>
        <v>43277648</v>
      </c>
      <c r="I1532" s="7">
        <f>IFERROR(__xludf.DUMMYFUNCTION("""COMPUTED_VALUE"""),3.827400958E9)</f>
        <v>3827400958</v>
      </c>
      <c r="J1532" s="7" t="str">
        <f>IFERROR(__xludf.DUMMYFUNCTION("""COMPUTED_VALUE"""),"Instagram")</f>
        <v>Instagram</v>
      </c>
      <c r="K1532" s="7" t="str">
        <f>IFERROR(__xludf.DUMMYFUNCTION("""COMPUTED_VALUE"""),"Particular")</f>
        <v>Particular</v>
      </c>
      <c r="L1532" s="7"/>
      <c r="M1532" s="7" t="str">
        <f>IFERROR(__xludf.DUMMYFUNCTION("""COMPUTED_VALUE"""),"No")</f>
        <v>No</v>
      </c>
      <c r="N1532" s="7"/>
      <c r="O1532" s="7"/>
      <c r="P1532" s="7"/>
      <c r="Q1532" s="7"/>
      <c r="R1532" s="7"/>
      <c r="S1532" s="7"/>
    </row>
    <row r="1533">
      <c r="C1533" s="19">
        <f>IFERROR(__xludf.DUMMYFUNCTION("""COMPUTED_VALUE"""),46113.658639409725)</f>
        <v>46113.65864</v>
      </c>
      <c r="D1533" s="7" t="str">
        <f>IFERROR(__xludf.DUMMYFUNCTION("""COMPUTED_VALUE"""),"Ramires")</f>
        <v>Ramires</v>
      </c>
      <c r="E1533" s="7" t="str">
        <f>IFERROR(__xludf.DUMMYFUNCTION("""COMPUTED_VALUE"""),"Camila")</f>
        <v>Camila</v>
      </c>
      <c r="F1533" s="7" t="str">
        <f>IFERROR(__xludf.DUMMYFUNCTION("""COMPUTED_VALUE"""),"camirmoreno5@gmail.com")</f>
        <v>camirmoreno5@gmail.com</v>
      </c>
      <c r="G1533" s="20">
        <f>IFERROR(__xludf.DUMMYFUNCTION("""COMPUTED_VALUE"""),34554.0)</f>
        <v>34554</v>
      </c>
      <c r="H1533" s="7">
        <f>IFERROR(__xludf.DUMMYFUNCTION("""COMPUTED_VALUE"""),3.8409904E7)</f>
        <v>38409904</v>
      </c>
      <c r="I1533" s="7">
        <f>IFERROR(__xludf.DUMMYFUNCTION("""COMPUTED_VALUE"""),3.516814748E9)</f>
        <v>3516814748</v>
      </c>
      <c r="J1533" s="7" t="str">
        <f>IFERROR(__xludf.DUMMYFUNCTION("""COMPUTED_VALUE"""),"Google")</f>
        <v>Google</v>
      </c>
      <c r="K1533" s="7" t="str">
        <f>IFERROR(__xludf.DUMMYFUNCTION("""COMPUTED_VALUE"""),"Particular")</f>
        <v>Particular</v>
      </c>
      <c r="L1533" s="7"/>
      <c r="M1533" s="7" t="str">
        <f>IFERROR(__xludf.DUMMYFUNCTION("""COMPUTED_VALUE"""),"Si")</f>
        <v>Si</v>
      </c>
      <c r="N1533" s="7" t="str">
        <f>IFERROR(__xludf.DUMMYFUNCTION("""COMPUTED_VALUE"""),"Gimnasio")</f>
        <v>Gimnasio</v>
      </c>
      <c r="O1533" s="7" t="str">
        <f>IFERROR(__xludf.DUMMYFUNCTION("""COMPUTED_VALUE"""),"1 a 2 veces por semana")</f>
        <v>1 a 2 veces por semana</v>
      </c>
      <c r="P1533" s="7"/>
      <c r="Q1533" s="7"/>
      <c r="R1533" s="7"/>
      <c r="S1533" s="7"/>
    </row>
    <row r="1534">
      <c r="C1534" s="19">
        <f>IFERROR(__xludf.DUMMYFUNCTION("""COMPUTED_VALUE"""),46113.66550087963)</f>
        <v>46113.6655</v>
      </c>
      <c r="D1534" s="7" t="str">
        <f>IFERROR(__xludf.DUMMYFUNCTION("""COMPUTED_VALUE"""),"Torres")</f>
        <v>Torres</v>
      </c>
      <c r="E1534" s="7" t="str">
        <f>IFERROR(__xludf.DUMMYFUNCTION("""COMPUTED_VALUE"""),"Marcelo")</f>
        <v>Marcelo</v>
      </c>
      <c r="F1534" s="7" t="str">
        <f>IFERROR(__xludf.DUMMYFUNCTION("""COMPUTED_VALUE"""),"rodritorres2006@gmail.com")</f>
        <v>rodritorres2006@gmail.com</v>
      </c>
      <c r="G1534" s="20">
        <f>IFERROR(__xludf.DUMMYFUNCTION("""COMPUTED_VALUE"""),29395.0)</f>
        <v>29395</v>
      </c>
      <c r="H1534" s="7">
        <f>IFERROR(__xludf.DUMMYFUNCTION("""COMPUTED_VALUE"""),2.8118402E7)</f>
        <v>28118402</v>
      </c>
      <c r="I1534" s="7">
        <f>IFERROR(__xludf.DUMMYFUNCTION("""COMPUTED_VALUE"""),3.543607392E9)</f>
        <v>3543607392</v>
      </c>
      <c r="J1534" s="7" t="str">
        <f>IFERROR(__xludf.DUMMYFUNCTION("""COMPUTED_VALUE"""),"Google")</f>
        <v>Google</v>
      </c>
      <c r="K1534" s="7" t="str">
        <f>IFERROR(__xludf.DUMMYFUNCTION("""COMPUTED_VALUE"""),"Particular")</f>
        <v>Particular</v>
      </c>
      <c r="L1534" s="7"/>
      <c r="M1534" s="7" t="str">
        <f>IFERROR(__xludf.DUMMYFUNCTION("""COMPUTED_VALUE"""),"No")</f>
        <v>No</v>
      </c>
      <c r="N1534" s="7"/>
      <c r="O1534" s="7"/>
      <c r="P1534" s="7"/>
      <c r="Q1534" s="7"/>
      <c r="R1534" s="7"/>
      <c r="S1534" s="7"/>
    </row>
    <row r="1535">
      <c r="C1535" s="19">
        <f>IFERROR(__xludf.DUMMYFUNCTION("""COMPUTED_VALUE"""),46113.70142709491)</f>
        <v>46113.70143</v>
      </c>
      <c r="D1535" s="7" t="str">
        <f>IFERROR(__xludf.DUMMYFUNCTION("""COMPUTED_VALUE"""),"Montesco")</f>
        <v>Montesco</v>
      </c>
      <c r="E1535" s="7" t="str">
        <f>IFERROR(__xludf.DUMMYFUNCTION("""COMPUTED_VALUE"""),"Jose Francisco")</f>
        <v>Jose Francisco</v>
      </c>
      <c r="F1535" s="7" t="str">
        <f>IFERROR(__xludf.DUMMYFUNCTION("""COMPUTED_VALUE"""),"joseiacc21@hotmail.com")</f>
        <v>joseiacc21@hotmail.com</v>
      </c>
      <c r="G1535" s="20">
        <f>IFERROR(__xludf.DUMMYFUNCTION("""COMPUTED_VALUE"""),30231.0)</f>
        <v>30231</v>
      </c>
      <c r="H1535" s="7">
        <f>IFERROR(__xludf.DUMMYFUNCTION("""COMPUTED_VALUE"""),2.9712331E7)</f>
        <v>29712331</v>
      </c>
      <c r="I1535" s="7">
        <f>IFERROR(__xludf.DUMMYFUNCTION("""COMPUTED_VALUE"""),3.516427743E9)</f>
        <v>3516427743</v>
      </c>
      <c r="J1535" s="7" t="str">
        <f>IFERROR(__xludf.DUMMYFUNCTION("""COMPUTED_VALUE"""),"Gimnasio")</f>
        <v>Gimnasio</v>
      </c>
      <c r="K1535" s="7" t="str">
        <f>IFERROR(__xludf.DUMMYFUNCTION("""COMPUTED_VALUE"""),"Particular")</f>
        <v>Particular</v>
      </c>
      <c r="L1535" s="7"/>
      <c r="M1535" s="7" t="str">
        <f>IFERROR(__xludf.DUMMYFUNCTION("""COMPUTED_VALUE"""),"Si")</f>
        <v>Si</v>
      </c>
      <c r="N1535" s="7" t="str">
        <f>IFERROR(__xludf.DUMMYFUNCTION("""COMPUTED_VALUE"""),"Gimnasio+Futbol")</f>
        <v>Gimnasio+Futbol</v>
      </c>
      <c r="O1535" s="7" t="str">
        <f>IFERROR(__xludf.DUMMYFUNCTION("""COMPUTED_VALUE"""),"3 a 5 veces por semana")</f>
        <v>3 a 5 veces por semana</v>
      </c>
      <c r="P1535" s="7"/>
      <c r="Q1535" s="7"/>
      <c r="R1535" s="7"/>
      <c r="S1535" s="7"/>
    </row>
    <row r="1536">
      <c r="C1536" s="19">
        <f>IFERROR(__xludf.DUMMYFUNCTION("""COMPUTED_VALUE"""),46113.73431450232)</f>
        <v>46113.73431</v>
      </c>
      <c r="D1536" s="7" t="str">
        <f>IFERROR(__xludf.DUMMYFUNCTION("""COMPUTED_VALUE"""),"Cordoba ")</f>
        <v>Cordoba </v>
      </c>
      <c r="E1536" s="7" t="str">
        <f>IFERROR(__xludf.DUMMYFUNCTION("""COMPUTED_VALUE"""),"María Cristina ")</f>
        <v>María Cristina </v>
      </c>
      <c r="F1536" s="7" t="str">
        <f>IFERROR(__xludf.DUMMYFUNCTION("""COMPUTED_VALUE"""),"mcristina.cordoba48@gmail.com")</f>
        <v>mcristina.cordoba48@gmail.com</v>
      </c>
      <c r="G1536" s="20">
        <f>IFERROR(__xludf.DUMMYFUNCTION("""COMPUTED_VALUE"""),46136.0)</f>
        <v>46136</v>
      </c>
      <c r="H1536" s="7">
        <f>IFERROR(__xludf.DUMMYFUNCTION("""COMPUTED_VALUE"""),5748270.0)</f>
        <v>5748270</v>
      </c>
      <c r="I1536" s="7">
        <f>IFERROR(__xludf.DUMMYFUNCTION("""COMPUTED_VALUE"""),3.541573138E9)</f>
        <v>3541573138</v>
      </c>
      <c r="J1536" s="7" t="str">
        <f>IFERROR(__xludf.DUMMYFUNCTION("""COMPUTED_VALUE"""),"Facebook")</f>
        <v>Facebook</v>
      </c>
      <c r="K1536" s="7" t="str">
        <f>IFERROR(__xludf.DUMMYFUNCTION("""COMPUTED_VALUE"""),"Particular")</f>
        <v>Particular</v>
      </c>
      <c r="L1536" s="7"/>
      <c r="M1536" s="7" t="str">
        <f>IFERROR(__xludf.DUMMYFUNCTION("""COMPUTED_VALUE"""),"Si")</f>
        <v>Si</v>
      </c>
      <c r="N1536" s="7"/>
      <c r="O1536" s="7" t="str">
        <f>IFERROR(__xludf.DUMMYFUNCTION("""COMPUTED_VALUE"""),"1 a 2 veces por semana")</f>
        <v>1 a 2 veces por semana</v>
      </c>
      <c r="P1536" s="7"/>
      <c r="Q1536" s="7"/>
      <c r="R1536" s="7"/>
      <c r="S1536" s="7"/>
    </row>
    <row r="1537">
      <c r="C1537" s="19">
        <f>IFERROR(__xludf.DUMMYFUNCTION("""COMPUTED_VALUE"""),46113.82396648148)</f>
        <v>46113.82397</v>
      </c>
      <c r="D1537" s="7" t="str">
        <f>IFERROR(__xludf.DUMMYFUNCTION("""COMPUTED_VALUE"""),"parra")</f>
        <v>parra</v>
      </c>
      <c r="E1537" s="7" t="str">
        <f>IFERROR(__xludf.DUMMYFUNCTION("""COMPUTED_VALUE"""),"mauricio german")</f>
        <v>mauricio german</v>
      </c>
      <c r="F1537" s="7" t="str">
        <f>IFERROR(__xludf.DUMMYFUNCTION("""COMPUTED_VALUE"""),"mauriciooparra40@gmail.com")</f>
        <v>mauriciooparra40@gmail.com</v>
      </c>
      <c r="G1537" s="20">
        <f>IFERROR(__xludf.DUMMYFUNCTION("""COMPUTED_VALUE"""),33917.0)</f>
        <v>33917</v>
      </c>
      <c r="H1537" s="7">
        <f>IFERROR(__xludf.DUMMYFUNCTION("""COMPUTED_VALUE"""),3.6431649E7)</f>
        <v>36431649</v>
      </c>
      <c r="I1537" s="7">
        <f>IFERROR(__xludf.DUMMYFUNCTION("""COMPUTED_VALUE"""),3.513781992E9)</f>
        <v>3513781992</v>
      </c>
      <c r="J1537" s="7" t="str">
        <f>IFERROR(__xludf.DUMMYFUNCTION("""COMPUTED_VALUE"""),"Google")</f>
        <v>Google</v>
      </c>
      <c r="K1537" s="7" t="str">
        <f>IFERROR(__xludf.DUMMYFUNCTION("""COMPUTED_VALUE"""),"Obra social")</f>
        <v>Obra social</v>
      </c>
      <c r="L1537" s="7"/>
      <c r="M1537" s="7" t="str">
        <f>IFERROR(__xludf.DUMMYFUNCTION("""COMPUTED_VALUE"""),"Si")</f>
        <v>Si</v>
      </c>
      <c r="N1537" s="7" t="str">
        <f>IFERROR(__xludf.DUMMYFUNCTION("""COMPUTED_VALUE"""),"Running")</f>
        <v>Running</v>
      </c>
      <c r="O1537" s="7" t="str">
        <f>IFERROR(__xludf.DUMMYFUNCTION("""COMPUTED_VALUE"""),"3 a 5 veces por semana")</f>
        <v>3 a 5 veces por semana</v>
      </c>
      <c r="P1537" s="7"/>
      <c r="Q1537" s="7" t="str">
        <f>IFERROR(__xludf.DUMMYFUNCTION("""COMPUTED_VALUE"""),"SANCOR")</f>
        <v>SANCOR</v>
      </c>
      <c r="R1537" s="7"/>
      <c r="S1537" s="7"/>
    </row>
    <row r="1538">
      <c r="C1538" s="19">
        <f>IFERROR(__xludf.DUMMYFUNCTION("""COMPUTED_VALUE"""),46118.669995613425)</f>
        <v>46118.67</v>
      </c>
      <c r="D1538" s="7" t="str">
        <f>IFERROR(__xludf.DUMMYFUNCTION("""COMPUTED_VALUE"""),"TORRES")</f>
        <v>TORRES</v>
      </c>
      <c r="E1538" s="7" t="str">
        <f>IFERROR(__xludf.DUMMYFUNCTION("""COMPUTED_VALUE"""),"Marcelo")</f>
        <v>Marcelo</v>
      </c>
      <c r="F1538" s="7"/>
      <c r="G1538" s="20">
        <f>IFERROR(__xludf.DUMMYFUNCTION("""COMPUTED_VALUE"""),28856.0)</f>
        <v>28856</v>
      </c>
      <c r="H1538" s="7">
        <f>IFERROR(__xludf.DUMMYFUNCTION("""COMPUTED_VALUE"""),2.8118402E7)</f>
        <v>28118402</v>
      </c>
      <c r="I1538" s="7">
        <f>IFERROR(__xludf.DUMMYFUNCTION("""COMPUTED_VALUE"""),3.543607392E9)</f>
        <v>3543607392</v>
      </c>
      <c r="J1538" s="7" t="str">
        <f>IFERROR(__xludf.DUMMYFUNCTION("""COMPUTED_VALUE"""),"Recomendación")</f>
        <v>Recomendación</v>
      </c>
      <c r="K1538" s="7" t="str">
        <f>IFERROR(__xludf.DUMMYFUNCTION("""COMPUTED_VALUE"""),"Particular")</f>
        <v>Particular</v>
      </c>
      <c r="L1538" s="7"/>
      <c r="M1538" s="7" t="str">
        <f>IFERROR(__xludf.DUMMYFUNCTION("""COMPUTED_VALUE"""),"No")</f>
        <v>No</v>
      </c>
      <c r="N1538" s="7"/>
      <c r="O1538" s="7"/>
      <c r="P1538" s="7"/>
      <c r="Q1538" s="7"/>
      <c r="R1538" s="7"/>
      <c r="S1538" s="7"/>
    </row>
    <row r="1539">
      <c r="C1539" s="19">
        <f>IFERROR(__xludf.DUMMYFUNCTION("""COMPUTED_VALUE"""),46118.827896319446)</f>
        <v>46118.8279</v>
      </c>
      <c r="D1539" s="7" t="str">
        <f>IFERROR(__xludf.DUMMYFUNCTION("""COMPUTED_VALUE"""),"Molina")</f>
        <v>Molina</v>
      </c>
      <c r="E1539" s="7" t="str">
        <f>IFERROR(__xludf.DUMMYFUNCTION("""COMPUTED_VALUE"""),"Luciana")</f>
        <v>Luciana</v>
      </c>
      <c r="F1539" s="7" t="str">
        <f>IFERROR(__xludf.DUMMYFUNCTION("""COMPUTED_VALUE"""),"lucianamolina1990@gmail.com")</f>
        <v>lucianamolina1990@gmail.com</v>
      </c>
      <c r="G1539" s="20">
        <f>IFERROR(__xludf.DUMMYFUNCTION("""COMPUTED_VALUE"""),32965.0)</f>
        <v>32965</v>
      </c>
      <c r="H1539" s="7">
        <f>IFERROR(__xludf.DUMMYFUNCTION("""COMPUTED_VALUE"""),3.5179255E7)</f>
        <v>35179255</v>
      </c>
      <c r="I1539" s="7">
        <f>IFERROR(__xludf.DUMMYFUNCTION("""COMPUTED_VALUE"""),3.512245384E9)</f>
        <v>3512245384</v>
      </c>
      <c r="J1539" s="7" t="str">
        <f>IFERROR(__xludf.DUMMYFUNCTION("""COMPUTED_VALUE"""),"Recomendación")</f>
        <v>Recomendación</v>
      </c>
      <c r="K1539" s="7" t="str">
        <f>IFERROR(__xludf.DUMMYFUNCTION("""COMPUTED_VALUE"""),"Particular")</f>
        <v>Particular</v>
      </c>
      <c r="L1539" s="7"/>
      <c r="M1539" s="7" t="str">
        <f>IFERROR(__xludf.DUMMYFUNCTION("""COMPUTED_VALUE"""),"Si")</f>
        <v>Si</v>
      </c>
      <c r="N1539" s="7" t="str">
        <f>IFERROR(__xludf.DUMMYFUNCTION("""COMPUTED_VALUE"""),"Futbol y pilates")</f>
        <v>Futbol y pilates</v>
      </c>
      <c r="O1539" s="7" t="str">
        <f>IFERROR(__xludf.DUMMYFUNCTION("""COMPUTED_VALUE"""),"3 a 5 veces por semana")</f>
        <v>3 a 5 veces por semana</v>
      </c>
      <c r="P1539" s="7"/>
      <c r="Q1539" s="7"/>
      <c r="R1539" s="7"/>
      <c r="S1539" s="7"/>
    </row>
    <row r="1540">
      <c r="C1540" s="19">
        <f>IFERROR(__xludf.DUMMYFUNCTION("""COMPUTED_VALUE"""),46119.432365347224)</f>
        <v>46119.43237</v>
      </c>
      <c r="D1540" s="7" t="str">
        <f>IFERROR(__xludf.DUMMYFUNCTION("""COMPUTED_VALUE"""),"Masini")</f>
        <v>Masini</v>
      </c>
      <c r="E1540" s="7" t="str">
        <f>IFERROR(__xludf.DUMMYFUNCTION("""COMPUTED_VALUE"""),"Erica")</f>
        <v>Erica</v>
      </c>
      <c r="F1540" s="7"/>
      <c r="G1540" s="20">
        <f>IFERROR(__xludf.DUMMYFUNCTION("""COMPUTED_VALUE"""),32777.0)</f>
        <v>32777</v>
      </c>
      <c r="H1540" s="7">
        <f>IFERROR(__xludf.DUMMYFUNCTION("""COMPUTED_VALUE"""),3.4768768E7)</f>
        <v>34768768</v>
      </c>
      <c r="I1540" s="7">
        <f>IFERROR(__xludf.DUMMYFUNCTION("""COMPUTED_VALUE"""),3.516426757E9)</f>
        <v>3516426757</v>
      </c>
      <c r="J1540" s="7" t="str">
        <f>IFERROR(__xludf.DUMMYFUNCTION("""COMPUTED_VALUE"""),"Recomendación")</f>
        <v>Recomendación</v>
      </c>
      <c r="K1540" s="7" t="str">
        <f>IFERROR(__xludf.DUMMYFUNCTION("""COMPUTED_VALUE"""),"Particular")</f>
        <v>Particular</v>
      </c>
      <c r="L1540" s="7"/>
      <c r="M1540" s="7" t="str">
        <f>IFERROR(__xludf.DUMMYFUNCTION("""COMPUTED_VALUE"""),"Si")</f>
        <v>Si</v>
      </c>
      <c r="N1540" s="7"/>
      <c r="O1540" s="7" t="str">
        <f>IFERROR(__xludf.DUMMYFUNCTION("""COMPUTED_VALUE"""),"1 a 2 veces por semana")</f>
        <v>1 a 2 veces por semana</v>
      </c>
      <c r="P1540" s="7"/>
      <c r="Q1540" s="7"/>
      <c r="R1540" s="7"/>
      <c r="S1540" s="7"/>
    </row>
    <row r="1541">
      <c r="C1541" s="19">
        <f>IFERROR(__xludf.DUMMYFUNCTION("""COMPUTED_VALUE"""),46119.676428217594)</f>
        <v>46119.67643</v>
      </c>
      <c r="D1541" s="7" t="str">
        <f>IFERROR(__xludf.DUMMYFUNCTION("""COMPUTED_VALUE"""),"VEGA, BALAT")</f>
        <v>VEGA, BALAT</v>
      </c>
      <c r="E1541" s="7" t="str">
        <f>IFERROR(__xludf.DUMMYFUNCTION("""COMPUTED_VALUE"""),"Leticia ")</f>
        <v>Leticia </v>
      </c>
      <c r="F1541" s="7" t="str">
        <f>IFERROR(__xludf.DUMMYFUNCTION("""COMPUTED_VALUE"""),"Lety1818@hotmail.com")</f>
        <v>Lety1818@hotmail.com</v>
      </c>
      <c r="G1541" s="20">
        <f>IFERROR(__xludf.DUMMYFUNCTION("""COMPUTED_VALUE"""),30541.0)</f>
        <v>30541</v>
      </c>
      <c r="H1541" s="7">
        <f>IFERROR(__xludf.DUMMYFUNCTION("""COMPUTED_VALUE"""),3.0331816E7)</f>
        <v>30331816</v>
      </c>
      <c r="I1541" s="7">
        <f>IFERROR(__xludf.DUMMYFUNCTION("""COMPUTED_VALUE"""),3.51299758E8)</f>
        <v>351299758</v>
      </c>
      <c r="J1541" s="7" t="str">
        <f>IFERROR(__xludf.DUMMYFUNCTION("""COMPUTED_VALUE"""),"Gimnasio")</f>
        <v>Gimnasio</v>
      </c>
      <c r="K1541" s="7" t="str">
        <f>IFERROR(__xludf.DUMMYFUNCTION("""COMPUTED_VALUE"""),"Particular")</f>
        <v>Particular</v>
      </c>
      <c r="L1541" s="7"/>
      <c r="M1541" s="7" t="str">
        <f>IFERROR(__xludf.DUMMYFUNCTION("""COMPUTED_VALUE"""),"No")</f>
        <v>No</v>
      </c>
      <c r="N1541" s="7"/>
      <c r="O1541" s="7"/>
      <c r="P1541" s="7"/>
      <c r="Q1541" s="7"/>
      <c r="R1541" s="7"/>
      <c r="S1541" s="7"/>
    </row>
    <row r="1542">
      <c r="C1542" s="19">
        <f>IFERROR(__xludf.DUMMYFUNCTION("""COMPUTED_VALUE"""),46119.69934232639)</f>
        <v>46119.69934</v>
      </c>
      <c r="D1542" s="7" t="str">
        <f>IFERROR(__xludf.DUMMYFUNCTION("""COMPUTED_VALUE"""),"ROLOTTI")</f>
        <v>ROLOTTI</v>
      </c>
      <c r="E1542" s="7" t="str">
        <f>IFERROR(__xludf.DUMMYFUNCTION("""COMPUTED_VALUE"""),"TRINIDAD")</f>
        <v>TRINIDAD</v>
      </c>
      <c r="F1542" s="7" t="str">
        <f>IFERROR(__xludf.DUMMYFUNCTION("""COMPUTED_VALUE"""),"rolottitrinidad@gmail.com")</f>
        <v>rolottitrinidad@gmail.com</v>
      </c>
      <c r="G1542" s="20">
        <f>IFERROR(__xludf.DUMMYFUNCTION("""COMPUTED_VALUE"""),38535.0)</f>
        <v>38535</v>
      </c>
      <c r="H1542" s="7">
        <f>IFERROR(__xludf.DUMMYFUNCTION("""COMPUTED_VALUE"""),4.6127485E7)</f>
        <v>46127485</v>
      </c>
      <c r="I1542" s="7">
        <f>IFERROR(__xludf.DUMMYFUNCTION("""COMPUTED_VALUE"""),3.512036872E9)</f>
        <v>3512036872</v>
      </c>
      <c r="J1542" s="7" t="str">
        <f>IFERROR(__xludf.DUMMYFUNCTION("""COMPUTED_VALUE"""),"Recomendación")</f>
        <v>Recomendación</v>
      </c>
      <c r="K1542" s="7" t="str">
        <f>IFERROR(__xludf.DUMMYFUNCTION("""COMPUTED_VALUE"""),"Obra social")</f>
        <v>Obra social</v>
      </c>
      <c r="L1542" s="7"/>
      <c r="M1542" s="7" t="str">
        <f>IFERROR(__xludf.DUMMYFUNCTION("""COMPUTED_VALUE"""),"Si")</f>
        <v>Si</v>
      </c>
      <c r="N1542" s="7" t="str">
        <f>IFERROR(__xludf.DUMMYFUNCTION("""COMPUTED_VALUE"""),"Fútbol")</f>
        <v>Fútbol</v>
      </c>
      <c r="O1542" s="7" t="str">
        <f>IFERROR(__xludf.DUMMYFUNCTION("""COMPUTED_VALUE"""),"3 a 5 veces por semana")</f>
        <v>3 a 5 veces por semana</v>
      </c>
      <c r="P1542" s="7"/>
      <c r="Q1542" s="7" t="str">
        <f>IFERROR(__xludf.DUMMYFUNCTION("""COMPUTED_VALUE"""),"CPCE")</f>
        <v>CPCE</v>
      </c>
      <c r="R1542" s="7"/>
      <c r="S1542" s="7"/>
    </row>
    <row r="1543">
      <c r="C1543" s="19">
        <f>IFERROR(__xludf.DUMMYFUNCTION("""COMPUTED_VALUE"""),46121.55307552083)</f>
        <v>46121.55308</v>
      </c>
      <c r="D1543" s="7" t="str">
        <f>IFERROR(__xludf.DUMMYFUNCTION("""COMPUTED_VALUE"""),"Roberts")</f>
        <v>Roberts</v>
      </c>
      <c r="E1543" s="7" t="str">
        <f>IFERROR(__xludf.DUMMYFUNCTION("""COMPUTED_VALUE"""),"Andrea monica")</f>
        <v>Andrea monica</v>
      </c>
      <c r="F1543" s="7" t="str">
        <f>IFERROR(__xludf.DUMMYFUNCTION("""COMPUTED_VALUE"""),"andreamroberts28@gmail.com")</f>
        <v>andreamroberts28@gmail.com</v>
      </c>
      <c r="G1543" s="20">
        <f>IFERROR(__xludf.DUMMYFUNCTION("""COMPUTED_VALUE"""),25777.0)</f>
        <v>25777</v>
      </c>
      <c r="H1543" s="7">
        <f>IFERROR(__xludf.DUMMYFUNCTION("""COMPUTED_VALUE"""),2.1629318E7)</f>
        <v>21629318</v>
      </c>
      <c r="I1543" s="7">
        <f>IFERROR(__xludf.DUMMYFUNCTION("""COMPUTED_VALUE"""),3.515224541E9)</f>
        <v>3515224541</v>
      </c>
      <c r="J1543" s="7" t="str">
        <f>IFERROR(__xludf.DUMMYFUNCTION("""COMPUTED_VALUE"""),"Recomendación")</f>
        <v>Recomendación</v>
      </c>
      <c r="K1543" s="7" t="str">
        <f>IFERROR(__xludf.DUMMYFUNCTION("""COMPUTED_VALUE"""),"Particular")</f>
        <v>Particular</v>
      </c>
      <c r="L1543" s="7"/>
      <c r="M1543" s="7" t="str">
        <f>IFERROR(__xludf.DUMMYFUNCTION("""COMPUTED_VALUE"""),"Si")</f>
        <v>Si</v>
      </c>
      <c r="N1543" s="7" t="str">
        <f>IFERROR(__xludf.DUMMYFUNCTION("""COMPUTED_VALUE"""),"Gimnasio")</f>
        <v>Gimnasio</v>
      </c>
      <c r="O1543" s="7" t="str">
        <f>IFERROR(__xludf.DUMMYFUNCTION("""COMPUTED_VALUE"""),"3 a 5 veces por semana")</f>
        <v>3 a 5 veces por semana</v>
      </c>
      <c r="P1543" s="7"/>
      <c r="Q1543" s="7"/>
      <c r="R1543" s="7"/>
      <c r="S1543" s="7"/>
    </row>
    <row r="1544">
      <c r="C1544" s="19">
        <f>IFERROR(__xludf.DUMMYFUNCTION("""COMPUTED_VALUE"""),46121.59708502315)</f>
        <v>46121.59709</v>
      </c>
      <c r="D1544" s="7" t="str">
        <f>IFERROR(__xludf.DUMMYFUNCTION("""COMPUTED_VALUE"""),"Jaime ")</f>
        <v>Jaime </v>
      </c>
      <c r="E1544" s="7" t="str">
        <f>IFERROR(__xludf.DUMMYFUNCTION("""COMPUTED_VALUE"""),"Fidel Adolfo")</f>
        <v>Fidel Adolfo</v>
      </c>
      <c r="F1544" s="7" t="str">
        <f>IFERROR(__xludf.DUMMYFUNCTION("""COMPUTED_VALUE"""),"filijaime42@gmail.com")</f>
        <v>filijaime42@gmail.com</v>
      </c>
      <c r="G1544" s="20">
        <f>IFERROR(__xludf.DUMMYFUNCTION("""COMPUTED_VALUE"""),24925.0)</f>
        <v>24925</v>
      </c>
      <c r="H1544" s="7">
        <f>IFERROR(__xludf.DUMMYFUNCTION("""COMPUTED_VALUE"""),2.0345212E7)</f>
        <v>20345212</v>
      </c>
      <c r="I1544" s="7">
        <f>IFERROR(__xludf.DUMMYFUNCTION("""COMPUTED_VALUE"""),3.516841508E9)</f>
        <v>3516841508</v>
      </c>
      <c r="J1544" s="7" t="str">
        <f>IFERROR(__xludf.DUMMYFUNCTION("""COMPUTED_VALUE"""),"Instagram")</f>
        <v>Instagram</v>
      </c>
      <c r="K1544" s="7" t="str">
        <f>IFERROR(__xludf.DUMMYFUNCTION("""COMPUTED_VALUE"""),"Particular")</f>
        <v>Particular</v>
      </c>
      <c r="L1544" s="7"/>
      <c r="M1544" s="7" t="str">
        <f>IFERROR(__xludf.DUMMYFUNCTION("""COMPUTED_VALUE"""),"No")</f>
        <v>No</v>
      </c>
      <c r="N1544" s="7"/>
      <c r="O1544" s="7"/>
      <c r="P1544" s="7"/>
      <c r="Q1544" s="7"/>
      <c r="R1544" s="7"/>
      <c r="S1544" s="7"/>
    </row>
    <row r="1545">
      <c r="C1545" s="19">
        <f>IFERROR(__xludf.DUMMYFUNCTION("""COMPUTED_VALUE"""),46121.82777200232)</f>
        <v>46121.82777</v>
      </c>
      <c r="D1545" s="7" t="str">
        <f>IFERROR(__xludf.DUMMYFUNCTION("""COMPUTED_VALUE"""),"PALACIOS")</f>
        <v>PALACIOS</v>
      </c>
      <c r="E1545" s="7" t="str">
        <f>IFERROR(__xludf.DUMMYFUNCTION("""COMPUTED_VALUE"""),"Ana Paula ")</f>
        <v>Ana Paula </v>
      </c>
      <c r="F1545" s="7" t="str">
        <f>IFERROR(__xludf.DUMMYFUNCTION("""COMPUTED_VALUE"""),"anapaulapalacios17@gmail.com ")</f>
        <v>anapaulapalacios17@gmail.com </v>
      </c>
      <c r="G1545" s="20">
        <f>IFERROR(__xludf.DUMMYFUNCTION("""COMPUTED_VALUE"""),38594.0)</f>
        <v>38594</v>
      </c>
      <c r="H1545" s="7">
        <f>IFERROR(__xludf.DUMMYFUNCTION("""COMPUTED_VALUE"""),4.6127662E7)</f>
        <v>46127662</v>
      </c>
      <c r="I1545" s="7">
        <f>IFERROR(__xludf.DUMMYFUNCTION("""COMPUTED_VALUE"""),3.517357423E9)</f>
        <v>3517357423</v>
      </c>
      <c r="J1545" s="7" t="str">
        <f>IFERROR(__xludf.DUMMYFUNCTION("""COMPUTED_VALUE"""),"ya venia con nosotros ")</f>
        <v>ya venia con nosotros </v>
      </c>
      <c r="K1545" s="7" t="str">
        <f>IFERROR(__xludf.DUMMYFUNCTION("""COMPUTED_VALUE"""),"Obra social")</f>
        <v>Obra social</v>
      </c>
      <c r="L1545" s="7"/>
      <c r="M1545" s="7" t="str">
        <f>IFERROR(__xludf.DUMMYFUNCTION("""COMPUTED_VALUE"""),"Si")</f>
        <v>Si</v>
      </c>
      <c r="N1545" s="7" t="str">
        <f>IFERROR(__xludf.DUMMYFUNCTION("""COMPUTED_VALUE"""),"pilates ")</f>
        <v>pilates </v>
      </c>
      <c r="O1545" s="7" t="str">
        <f>IFERROR(__xludf.DUMMYFUNCTION("""COMPUTED_VALUE"""),"3 a 5 veces por semana")</f>
        <v>3 a 5 veces por semana</v>
      </c>
      <c r="P1545" s="7"/>
      <c r="Q1545" s="7" t="str">
        <f>IFERROR(__xludf.DUMMYFUNCTION("""COMPUTED_VALUE"""),"APROSS")</f>
        <v>APROSS</v>
      </c>
      <c r="R1545" s="7"/>
      <c r="S1545" s="7"/>
    </row>
    <row r="1546">
      <c r="C1546" s="19">
        <f>IFERROR(__xludf.DUMMYFUNCTION("""COMPUTED_VALUE"""),46121.9003353125)</f>
        <v>46121.90034</v>
      </c>
      <c r="D1546" s="7" t="str">
        <f>IFERROR(__xludf.DUMMYFUNCTION("""COMPUTED_VALUE"""),"Carretero")</f>
        <v>Carretero</v>
      </c>
      <c r="E1546" s="7" t="str">
        <f>IFERROR(__xludf.DUMMYFUNCTION("""COMPUTED_VALUE"""),"Julieta ")</f>
        <v>Julieta </v>
      </c>
      <c r="F1546" s="7" t="str">
        <f>IFERROR(__xludf.DUMMYFUNCTION("""COMPUTED_VALUE"""),"julietacarretero@gmail.com")</f>
        <v>julietacarretero@gmail.com</v>
      </c>
      <c r="G1546" s="20">
        <f>IFERROR(__xludf.DUMMYFUNCTION("""COMPUTED_VALUE"""),28651.0)</f>
        <v>28651</v>
      </c>
      <c r="H1546" s="7">
        <f>IFERROR(__xludf.DUMMYFUNCTION("""COMPUTED_VALUE"""),2.6484892E7)</f>
        <v>26484892</v>
      </c>
      <c r="I1546" s="7">
        <f>IFERROR(__xludf.DUMMYFUNCTION("""COMPUTED_VALUE"""),3.51247092E9)</f>
        <v>3512470920</v>
      </c>
      <c r="J1546" s="7" t="str">
        <f>IFERROR(__xludf.DUMMYFUNCTION("""COMPUTED_VALUE"""),"Recomendación")</f>
        <v>Recomendación</v>
      </c>
      <c r="K1546" s="7" t="str">
        <f>IFERROR(__xludf.DUMMYFUNCTION("""COMPUTED_VALUE"""),"Obra social")</f>
        <v>Obra social</v>
      </c>
      <c r="L1546" s="7"/>
      <c r="M1546" s="7" t="str">
        <f>IFERROR(__xludf.DUMMYFUNCTION("""COMPUTED_VALUE"""),"Si")</f>
        <v>Si</v>
      </c>
      <c r="N1546" s="7" t="str">
        <f>IFERROR(__xludf.DUMMYFUNCTION("""COMPUTED_VALUE"""),"Gimnasio")</f>
        <v>Gimnasio</v>
      </c>
      <c r="O1546" s="7" t="str">
        <f>IFERROR(__xludf.DUMMYFUNCTION("""COMPUTED_VALUE"""),"1 a 2 veces por semana")</f>
        <v>1 a 2 veces por semana</v>
      </c>
      <c r="P1546" s="7"/>
      <c r="Q1546" s="7" t="str">
        <f>IFERROR(__xludf.DUMMYFUNCTION("""COMPUTED_VALUE"""),"DASPU")</f>
        <v>DASPU</v>
      </c>
      <c r="R1546" s="7"/>
      <c r="S1546" s="7"/>
    </row>
    <row r="1547">
      <c r="C1547" s="19">
        <f>IFERROR(__xludf.DUMMYFUNCTION("""COMPUTED_VALUE"""),46122.47198476852)</f>
        <v>46122.47198</v>
      </c>
      <c r="D1547" s="7" t="str">
        <f>IFERROR(__xludf.DUMMYFUNCTION("""COMPUTED_VALUE"""),"Acosta")</f>
        <v>Acosta</v>
      </c>
      <c r="E1547" s="7" t="str">
        <f>IFERROR(__xludf.DUMMYFUNCTION("""COMPUTED_VALUE"""),"Lucas")</f>
        <v>Lucas</v>
      </c>
      <c r="F1547" s="7" t="str">
        <f>IFERROR(__xludf.DUMMYFUNCTION("""COMPUTED_VALUE"""),"mauricioacostalucas15@gmail.com")</f>
        <v>mauricioacostalucas15@gmail.com</v>
      </c>
      <c r="G1547" s="20">
        <f>IFERROR(__xludf.DUMMYFUNCTION("""COMPUTED_VALUE"""),34770.0)</f>
        <v>34770</v>
      </c>
      <c r="H1547" s="7">
        <f>IFERROR(__xludf.DUMMYFUNCTION("""COMPUTED_VALUE"""),3.8009408E7)</f>
        <v>38009408</v>
      </c>
      <c r="I1547" s="7">
        <f>IFERROR(__xludf.DUMMYFUNCTION("""COMPUTED_VALUE"""),2.364222018E9)</f>
        <v>2364222018</v>
      </c>
      <c r="J1547" s="7" t="str">
        <f>IFERROR(__xludf.DUMMYFUNCTION("""COMPUTED_VALUE"""),"Recomendación")</f>
        <v>Recomendación</v>
      </c>
      <c r="K1547" s="7" t="str">
        <f>IFERROR(__xludf.DUMMYFUNCTION("""COMPUTED_VALUE"""),"Particular")</f>
        <v>Particular</v>
      </c>
      <c r="L1547" s="7"/>
      <c r="M1547" s="7" t="str">
        <f>IFERROR(__xludf.DUMMYFUNCTION("""COMPUTED_VALUE"""),"Si")</f>
        <v>Si</v>
      </c>
      <c r="N1547" s="7" t="str">
        <f>IFERROR(__xludf.DUMMYFUNCTION("""COMPUTED_VALUE"""),"Fútbol")</f>
        <v>Fútbol</v>
      </c>
      <c r="O1547" s="7" t="str">
        <f>IFERROR(__xludf.DUMMYFUNCTION("""COMPUTED_VALUE"""),"6 a 7 veces por semana")</f>
        <v>6 a 7 veces por semana</v>
      </c>
      <c r="P1547" s="7"/>
      <c r="Q1547" s="7"/>
      <c r="R1547" s="7"/>
      <c r="S1547" s="7"/>
    </row>
    <row r="1548">
      <c r="C1548" s="19">
        <f>IFERROR(__xludf.DUMMYFUNCTION("""COMPUTED_VALUE"""),46122.73249119213)</f>
        <v>46122.73249</v>
      </c>
      <c r="D1548" s="7" t="str">
        <f>IFERROR(__xludf.DUMMYFUNCTION("""COMPUTED_VALUE"""),"Alzate")</f>
        <v>Alzate</v>
      </c>
      <c r="E1548" s="7" t="str">
        <f>IFERROR(__xludf.DUMMYFUNCTION("""COMPUTED_VALUE"""),"Cesar")</f>
        <v>Cesar</v>
      </c>
      <c r="F1548" s="7"/>
      <c r="G1548" s="20">
        <f>IFERROR(__xludf.DUMMYFUNCTION("""COMPUTED_VALUE"""),28317.0)</f>
        <v>28317</v>
      </c>
      <c r="H1548" s="7">
        <f>IFERROR(__xludf.DUMMYFUNCTION("""COMPUTED_VALUE"""),9.6437093E7)</f>
        <v>96437093</v>
      </c>
      <c r="I1548" s="7">
        <f>IFERROR(__xludf.DUMMYFUNCTION("""COMPUTED_VALUE"""),3.51218254E9)</f>
        <v>3512182540</v>
      </c>
      <c r="J1548" s="7" t="str">
        <f>IFERROR(__xludf.DUMMYFUNCTION("""COMPUTED_VALUE"""),"Google")</f>
        <v>Google</v>
      </c>
      <c r="K1548" s="7" t="str">
        <f>IFERROR(__xludf.DUMMYFUNCTION("""COMPUTED_VALUE"""),"Particular")</f>
        <v>Particular</v>
      </c>
      <c r="L1548" s="7"/>
      <c r="M1548" s="7" t="str">
        <f>IFERROR(__xludf.DUMMYFUNCTION("""COMPUTED_VALUE"""),"Si")</f>
        <v>Si</v>
      </c>
      <c r="N1548" s="7" t="str">
        <f>IFERROR(__xludf.DUMMYFUNCTION("""COMPUTED_VALUE"""),"Fútbol")</f>
        <v>Fútbol</v>
      </c>
      <c r="O1548" s="7" t="str">
        <f>IFERROR(__xludf.DUMMYFUNCTION("""COMPUTED_VALUE"""),"1 a 2 veces por semana")</f>
        <v>1 a 2 veces por semana</v>
      </c>
      <c r="P1548" s="7"/>
      <c r="Q1548" s="7"/>
      <c r="R1548" s="7"/>
      <c r="S1548" s="7"/>
    </row>
    <row r="1549">
      <c r="C1549" s="19">
        <f>IFERROR(__xludf.DUMMYFUNCTION("""COMPUTED_VALUE"""),46125.54914700231)</f>
        <v>46125.54915</v>
      </c>
      <c r="D1549" s="7" t="str">
        <f>IFERROR(__xludf.DUMMYFUNCTION("""COMPUTED_VALUE"""),"Juncos")</f>
        <v>Juncos</v>
      </c>
      <c r="E1549" s="7" t="str">
        <f>IFERROR(__xludf.DUMMYFUNCTION("""COMPUTED_VALUE"""),"Ramiro")</f>
        <v>Ramiro</v>
      </c>
      <c r="F1549" s="7" t="str">
        <f>IFERROR(__xludf.DUMMYFUNCTION("""COMPUTED_VALUE"""),"rami")</f>
        <v>rami</v>
      </c>
      <c r="G1549" s="20">
        <f>IFERROR(__xludf.DUMMYFUNCTION("""COMPUTED_VALUE"""),28711.0)</f>
        <v>28711</v>
      </c>
      <c r="H1549" s="21">
        <f>IFERROR(__xludf.DUMMYFUNCTION("""COMPUTED_VALUE"""),2.681422E7)</f>
        <v>26814220</v>
      </c>
      <c r="I1549" s="7">
        <f>IFERROR(__xludf.DUMMYFUNCTION("""COMPUTED_VALUE"""),3.513873607E9)</f>
        <v>3513873607</v>
      </c>
      <c r="J1549" s="7" t="str">
        <f>IFERROR(__xludf.DUMMYFUNCTION("""COMPUTED_VALUE"""),"Gimnasio")</f>
        <v>Gimnasio</v>
      </c>
      <c r="K1549" s="7" t="str">
        <f>IFERROR(__xludf.DUMMYFUNCTION("""COMPUTED_VALUE"""),"Obra social")</f>
        <v>Obra social</v>
      </c>
      <c r="L1549" s="7"/>
      <c r="M1549" s="7" t="str">
        <f>IFERROR(__xludf.DUMMYFUNCTION("""COMPUTED_VALUE"""),"Si")</f>
        <v>Si</v>
      </c>
      <c r="N1549" s="7" t="str">
        <f>IFERROR(__xludf.DUMMYFUNCTION("""COMPUTED_VALUE"""),"Gimnasio")</f>
        <v>Gimnasio</v>
      </c>
      <c r="O1549" s="7" t="str">
        <f>IFERROR(__xludf.DUMMYFUNCTION("""COMPUTED_VALUE"""),"3 a 5 veces por semana")</f>
        <v>3 a 5 veces por semana</v>
      </c>
      <c r="P1549" s="7"/>
      <c r="Q1549" s="7"/>
      <c r="R1549" s="7"/>
      <c r="S1549" s="7"/>
    </row>
    <row r="1550">
      <c r="C1550" s="19">
        <f>IFERROR(__xludf.DUMMYFUNCTION("""COMPUTED_VALUE"""),46125.6978540625)</f>
        <v>46125.69785</v>
      </c>
      <c r="D1550" s="7" t="str">
        <f>IFERROR(__xludf.DUMMYFUNCTION("""COMPUTED_VALUE"""),"tulian ")</f>
        <v>tulian </v>
      </c>
      <c r="E1550" s="7" t="str">
        <f>IFERROR(__xludf.DUMMYFUNCTION("""COMPUTED_VALUE"""),"Valeria")</f>
        <v>Valeria</v>
      </c>
      <c r="F1550" s="7" t="str">
        <f>IFERROR(__xludf.DUMMYFUNCTION("""COMPUTED_VALUE"""),"Valetulian1@gmail.com")</f>
        <v>Valetulian1@gmail.com</v>
      </c>
      <c r="G1550" s="20">
        <f>IFERROR(__xludf.DUMMYFUNCTION("""COMPUTED_VALUE"""),29539.0)</f>
        <v>29539</v>
      </c>
      <c r="H1550" s="7">
        <f>IFERROR(__xludf.DUMMYFUNCTION("""COMPUTED_VALUE"""),2.827149E7)</f>
        <v>28271490</v>
      </c>
      <c r="I1550" s="7">
        <f>IFERROR(__xludf.DUMMYFUNCTION("""COMPUTED_VALUE"""),3.51388329E9)</f>
        <v>3513883290</v>
      </c>
      <c r="J1550" s="7" t="str">
        <f>IFERROR(__xludf.DUMMYFUNCTION("""COMPUTED_VALUE"""),"Gimnasio")</f>
        <v>Gimnasio</v>
      </c>
      <c r="K1550" s="7" t="str">
        <f>IFERROR(__xludf.DUMMYFUNCTION("""COMPUTED_VALUE"""),"Particular")</f>
        <v>Particular</v>
      </c>
      <c r="L1550" s="7"/>
      <c r="M1550" s="7" t="str">
        <f>IFERROR(__xludf.DUMMYFUNCTION("""COMPUTED_VALUE"""),"Si")</f>
        <v>Si</v>
      </c>
      <c r="N1550" s="7" t="str">
        <f>IFERROR(__xludf.DUMMYFUNCTION("""COMPUTED_VALUE"""),"Musculación")</f>
        <v>Musculación</v>
      </c>
      <c r="O1550" s="7" t="str">
        <f>IFERROR(__xludf.DUMMYFUNCTION("""COMPUTED_VALUE"""),"3 a 5 veces por semana")</f>
        <v>3 a 5 veces por semana</v>
      </c>
      <c r="P1550" s="7"/>
      <c r="Q1550" s="7"/>
      <c r="R1550" s="7"/>
      <c r="S1550" s="7"/>
    </row>
    <row r="1551">
      <c r="C1551" s="19">
        <f>IFERROR(__xludf.DUMMYFUNCTION("""COMPUTED_VALUE"""),46127.4330438426)</f>
        <v>46127.43304</v>
      </c>
      <c r="D1551" s="7" t="str">
        <f>IFERROR(__xludf.DUMMYFUNCTION("""COMPUTED_VALUE"""),"Domina")</f>
        <v>Domina</v>
      </c>
      <c r="E1551" s="7" t="str">
        <f>IFERROR(__xludf.DUMMYFUNCTION("""COMPUTED_VALUE"""),"Martín ")</f>
        <v>Martín </v>
      </c>
      <c r="F1551" s="7" t="str">
        <f>IFERROR(__xludf.DUMMYFUNCTION("""COMPUTED_VALUE"""),"Martindomina07@gmail.com")</f>
        <v>Martindomina07@gmail.com</v>
      </c>
      <c r="G1551" s="20">
        <f>IFERROR(__xludf.DUMMYFUNCTION("""COMPUTED_VALUE"""),30596.0)</f>
        <v>30596</v>
      </c>
      <c r="H1551" s="7">
        <f>IFERROR(__xludf.DUMMYFUNCTION("""COMPUTED_VALUE"""),3.0472062E7)</f>
        <v>30472062</v>
      </c>
      <c r="I1551" s="7">
        <f>IFERROR(__xludf.DUMMYFUNCTION("""COMPUTED_VALUE"""),3.515557773E9)</f>
        <v>3515557773</v>
      </c>
      <c r="J1551" s="7" t="str">
        <f>IFERROR(__xludf.DUMMYFUNCTION("""COMPUTED_VALUE"""),"Gimnasio")</f>
        <v>Gimnasio</v>
      </c>
      <c r="K1551" s="7" t="str">
        <f>IFERROR(__xludf.DUMMYFUNCTION("""COMPUTED_VALUE"""),"Particular")</f>
        <v>Particular</v>
      </c>
      <c r="L1551" s="7"/>
      <c r="M1551" s="7" t="str">
        <f>IFERROR(__xludf.DUMMYFUNCTION("""COMPUTED_VALUE"""),"Si")</f>
        <v>Si</v>
      </c>
      <c r="N1551" s="7" t="str">
        <f>IFERROR(__xludf.DUMMYFUNCTION("""COMPUTED_VALUE"""),"Gimnasio")</f>
        <v>Gimnasio</v>
      </c>
      <c r="O1551" s="7" t="str">
        <f>IFERROR(__xludf.DUMMYFUNCTION("""COMPUTED_VALUE"""),"3 a 5 veces por semana")</f>
        <v>3 a 5 veces por semana</v>
      </c>
      <c r="P1551" s="7"/>
      <c r="Q1551" s="7"/>
      <c r="R1551" s="7"/>
      <c r="S1551" s="7"/>
    </row>
    <row r="1552">
      <c r="C1552" s="19">
        <f>IFERROR(__xludf.DUMMYFUNCTION("""COMPUTED_VALUE"""),46127.48048846065)</f>
        <v>46127.48049</v>
      </c>
      <c r="D1552" s="7" t="str">
        <f>IFERROR(__xludf.DUMMYFUNCTION("""COMPUTED_VALUE"""),"Ponce")</f>
        <v>Ponce</v>
      </c>
      <c r="E1552" s="7" t="str">
        <f>IFERROR(__xludf.DUMMYFUNCTION("""COMPUTED_VALUE"""),"María Florencia ")</f>
        <v>María Florencia </v>
      </c>
      <c r="F1552" s="7" t="str">
        <f>IFERROR(__xludf.DUMMYFUNCTION("""COMPUTED_VALUE"""),"poncemariaflorencia@gmail.com")</f>
        <v>poncemariaflorencia@gmail.com</v>
      </c>
      <c r="G1552" s="20">
        <f>IFERROR(__xludf.DUMMYFUNCTION("""COMPUTED_VALUE"""),28992.0)</f>
        <v>28992</v>
      </c>
      <c r="H1552" s="7">
        <f>IFERROR(__xludf.DUMMYFUNCTION("""COMPUTED_VALUE"""),2.7360369E7)</f>
        <v>27360369</v>
      </c>
      <c r="I1552" s="7">
        <f>IFERROR(__xludf.DUMMYFUNCTION("""COMPUTED_VALUE"""),3.513984687E9)</f>
        <v>3513984687</v>
      </c>
      <c r="J1552" s="7" t="str">
        <f>IFERROR(__xludf.DUMMYFUNCTION("""COMPUTED_VALUE"""),"Google")</f>
        <v>Google</v>
      </c>
      <c r="K1552" s="7" t="str">
        <f>IFERROR(__xludf.DUMMYFUNCTION("""COMPUTED_VALUE"""),"Obra social")</f>
        <v>Obra social</v>
      </c>
      <c r="L1552" s="7"/>
      <c r="M1552" s="7" t="str">
        <f>IFERROR(__xludf.DUMMYFUNCTION("""COMPUTED_VALUE"""),"Si")</f>
        <v>Si</v>
      </c>
      <c r="N1552" s="7" t="str">
        <f>IFERROR(__xludf.DUMMYFUNCTION("""COMPUTED_VALUE"""),"Baile")</f>
        <v>Baile</v>
      </c>
      <c r="O1552" s="7" t="str">
        <f>IFERROR(__xludf.DUMMYFUNCTION("""COMPUTED_VALUE"""),"1 a 2 veces por semana")</f>
        <v>1 a 2 veces por semana</v>
      </c>
      <c r="P1552" s="7"/>
      <c r="Q1552" s="7" t="str">
        <f>IFERROR(__xludf.DUMMYFUNCTION("""COMPUTED_VALUE"""),"APROSS")</f>
        <v>APROSS</v>
      </c>
      <c r="R1552" s="7"/>
      <c r="S1552" s="7"/>
    </row>
    <row r="1553">
      <c r="C1553" s="19">
        <f>IFERROR(__xludf.DUMMYFUNCTION("""COMPUTED_VALUE"""),46127.481610138886)</f>
        <v>46127.48161</v>
      </c>
      <c r="D1553" s="7" t="str">
        <f>IFERROR(__xludf.DUMMYFUNCTION("""COMPUTED_VALUE"""),"Moreira ")</f>
        <v>Moreira </v>
      </c>
      <c r="E1553" s="7" t="str">
        <f>IFERROR(__xludf.DUMMYFUNCTION("""COMPUTED_VALUE"""),"Lucas Manuel")</f>
        <v>Lucas Manuel</v>
      </c>
      <c r="F1553" s="7" t="str">
        <f>IFERROR(__xludf.DUMMYFUNCTION("""COMPUTED_VALUE"""),"lucaasmoreira1996@gmail.com")</f>
        <v>lucaasmoreira1996@gmail.com</v>
      </c>
      <c r="G1553" s="20">
        <f>IFERROR(__xludf.DUMMYFUNCTION("""COMPUTED_VALUE"""),35391.0)</f>
        <v>35391</v>
      </c>
      <c r="H1553" s="7">
        <f>IFERROR(__xludf.DUMMYFUNCTION("""COMPUTED_VALUE"""),3.9937188E7)</f>
        <v>39937188</v>
      </c>
      <c r="I1553" s="7">
        <f>IFERROR(__xludf.DUMMYFUNCTION("""COMPUTED_VALUE"""),3.515512472E9)</f>
        <v>3515512472</v>
      </c>
      <c r="J1553" s="7" t="str">
        <f>IFERROR(__xludf.DUMMYFUNCTION("""COMPUTED_VALUE"""),"Instagram")</f>
        <v>Instagram</v>
      </c>
      <c r="K1553" s="7" t="str">
        <f>IFERROR(__xludf.DUMMYFUNCTION("""COMPUTED_VALUE"""),"Obra social")</f>
        <v>Obra social</v>
      </c>
      <c r="L1553" s="7"/>
      <c r="M1553" s="7" t="str">
        <f>IFERROR(__xludf.DUMMYFUNCTION("""COMPUTED_VALUE"""),"Si")</f>
        <v>Si</v>
      </c>
      <c r="N1553" s="7" t="str">
        <f>IFERROR(__xludf.DUMMYFUNCTION("""COMPUTED_VALUE"""),"Fútbol")</f>
        <v>Fútbol</v>
      </c>
      <c r="O1553" s="7" t="str">
        <f>IFERROR(__xludf.DUMMYFUNCTION("""COMPUTED_VALUE"""),"1 a 2 veces por semana")</f>
        <v>1 a 2 veces por semana</v>
      </c>
      <c r="P1553" s="7"/>
      <c r="Q1553" s="7" t="str">
        <f>IFERROR(__xludf.DUMMYFUNCTION("""COMPUTED_VALUE"""),"SANCOR")</f>
        <v>SANCOR</v>
      </c>
      <c r="R1553" s="7"/>
      <c r="S1553" s="7"/>
    </row>
    <row r="1554">
      <c r="C1554" s="19">
        <f>IFERROR(__xludf.DUMMYFUNCTION("""COMPUTED_VALUE"""),46127.49526974537)</f>
        <v>46127.49527</v>
      </c>
      <c r="D1554" s="7" t="str">
        <f>IFERROR(__xludf.DUMMYFUNCTION("""COMPUTED_VALUE"""),"PEREYRA")</f>
        <v>PEREYRA</v>
      </c>
      <c r="E1554" s="7" t="str">
        <f>IFERROR(__xludf.DUMMYFUNCTION("""COMPUTED_VALUE"""),"Nora")</f>
        <v>Nora</v>
      </c>
      <c r="F1554" s="7" t="str">
        <f>IFERROR(__xludf.DUMMYFUNCTION("""COMPUTED_VALUE"""),"Pereyran@hotmail.com")</f>
        <v>Pereyran@hotmail.com</v>
      </c>
      <c r="G1554" s="20">
        <f>IFERROR(__xludf.DUMMYFUNCTION("""COMPUTED_VALUE"""),21087.0)</f>
        <v>21087</v>
      </c>
      <c r="H1554" s="7">
        <f>IFERROR(__xludf.DUMMYFUNCTION("""COMPUTED_VALUE"""),1.3510267E7)</f>
        <v>13510267</v>
      </c>
      <c r="I1554" s="7">
        <f>IFERROR(__xludf.DUMMYFUNCTION("""COMPUTED_VALUE"""),3.512376701E9)</f>
        <v>3512376701</v>
      </c>
      <c r="J1554" s="7" t="str">
        <f>IFERROR(__xludf.DUMMYFUNCTION("""COMPUTED_VALUE"""),"Cartilla Obra Social")</f>
        <v>Cartilla Obra Social</v>
      </c>
      <c r="K1554" s="7" t="str">
        <f>IFERROR(__xludf.DUMMYFUNCTION("""COMPUTED_VALUE"""),"Obra social")</f>
        <v>Obra social</v>
      </c>
      <c r="L1554" s="7"/>
      <c r="M1554" s="7" t="str">
        <f>IFERROR(__xludf.DUMMYFUNCTION("""COMPUTED_VALUE"""),"No")</f>
        <v>No</v>
      </c>
      <c r="N1554" s="7"/>
      <c r="O1554" s="7"/>
      <c r="P1554" s="7"/>
      <c r="Q1554" s="7" t="str">
        <f>IFERROR(__xludf.DUMMYFUNCTION("""COMPUTED_VALUE"""),"APROSS")</f>
        <v>APROSS</v>
      </c>
      <c r="R1554" s="7"/>
      <c r="S1554" s="7"/>
    </row>
    <row r="1555">
      <c r="C1555" s="19">
        <f>IFERROR(__xludf.DUMMYFUNCTION("""COMPUTED_VALUE"""),46127.699130127316)</f>
        <v>46127.69913</v>
      </c>
      <c r="D1555" s="7" t="str">
        <f>IFERROR(__xludf.DUMMYFUNCTION("""COMPUTED_VALUE"""),"Garcia")</f>
        <v>Garcia</v>
      </c>
      <c r="E1555" s="7" t="str">
        <f>IFERROR(__xludf.DUMMYFUNCTION("""COMPUTED_VALUE"""),"Maria Eugenia")</f>
        <v>Maria Eugenia</v>
      </c>
      <c r="F1555" s="7" t="str">
        <f>IFERROR(__xludf.DUMMYFUNCTION("""COMPUTED_VALUE"""),"gareuge@hotmail.com")</f>
        <v>gareuge@hotmail.com</v>
      </c>
      <c r="G1555" s="20">
        <f>IFERROR(__xludf.DUMMYFUNCTION("""COMPUTED_VALUE"""),29497.0)</f>
        <v>29497</v>
      </c>
      <c r="H1555" s="7">
        <f>IFERROR(__xludf.DUMMYFUNCTION("""COMPUTED_VALUE"""),2.8344979E7)</f>
        <v>28344979</v>
      </c>
      <c r="I1555" s="7">
        <f>IFERROR(__xludf.DUMMYFUNCTION("""COMPUTED_VALUE"""),3.512061634E9)</f>
        <v>3512061634</v>
      </c>
      <c r="J1555" s="7" t="str">
        <f>IFERROR(__xludf.DUMMYFUNCTION("""COMPUTED_VALUE"""),"Instagram")</f>
        <v>Instagram</v>
      </c>
      <c r="K1555" s="7" t="str">
        <f>IFERROR(__xludf.DUMMYFUNCTION("""COMPUTED_VALUE"""),"Particular")</f>
        <v>Particular</v>
      </c>
      <c r="L1555" s="7"/>
      <c r="M1555" s="7" t="str">
        <f>IFERROR(__xludf.DUMMYFUNCTION("""COMPUTED_VALUE"""),"Si")</f>
        <v>Si</v>
      </c>
      <c r="N1555" s="7" t="str">
        <f>IFERROR(__xludf.DUMMYFUNCTION("""COMPUTED_VALUE"""),"hockey")</f>
        <v>hockey</v>
      </c>
      <c r="O1555" s="7" t="str">
        <f>IFERROR(__xludf.DUMMYFUNCTION("""COMPUTED_VALUE"""),"1 a 2 veces por semana")</f>
        <v>1 a 2 veces por semana</v>
      </c>
      <c r="P1555" s="7"/>
      <c r="Q1555" s="7"/>
      <c r="R1555" s="7"/>
      <c r="S1555" s="7"/>
    </row>
    <row r="1556">
      <c r="C1556" s="19">
        <f>IFERROR(__xludf.DUMMYFUNCTION("""COMPUTED_VALUE"""),46128.55127314815)</f>
        <v>46128.55127</v>
      </c>
      <c r="D1556" s="7" t="str">
        <f>IFERROR(__xludf.DUMMYFUNCTION("""COMPUTED_VALUE"""),"Avalos")</f>
        <v>Avalos</v>
      </c>
      <c r="E1556" s="7" t="str">
        <f>IFERROR(__xludf.DUMMYFUNCTION("""COMPUTED_VALUE"""),"Gustavo")</f>
        <v>Gustavo</v>
      </c>
      <c r="F1556" s="7" t="str">
        <f>IFERROR(__xludf.DUMMYFUNCTION("""COMPUTED_VALUE"""),"adalbertoavalos36@gmail.com")</f>
        <v>adalbertoavalos36@gmail.com</v>
      </c>
      <c r="G1556" s="20">
        <f>IFERROR(__xludf.DUMMYFUNCTION("""COMPUTED_VALUE"""),23048.0)</f>
        <v>23048</v>
      </c>
      <c r="H1556" s="7">
        <f>IFERROR(__xludf.DUMMYFUNCTION("""COMPUTED_VALUE"""),1.6334764E7)</f>
        <v>16334764</v>
      </c>
      <c r="I1556" s="7">
        <f>IFERROR(__xludf.DUMMYFUNCTION("""COMPUTED_VALUE"""),3.513470096E9)</f>
        <v>3513470096</v>
      </c>
      <c r="J1556" s="7" t="str">
        <f>IFERROR(__xludf.DUMMYFUNCTION("""COMPUTED_VALUE"""),"Google")</f>
        <v>Google</v>
      </c>
      <c r="K1556" s="7" t="str">
        <f>IFERROR(__xludf.DUMMYFUNCTION("""COMPUTED_VALUE"""),"Particular")</f>
        <v>Particular</v>
      </c>
      <c r="L1556" s="7"/>
      <c r="M1556" s="7" t="str">
        <f>IFERROR(__xludf.DUMMYFUNCTION("""COMPUTED_VALUE"""),"No")</f>
        <v>No</v>
      </c>
      <c r="N1556" s="7"/>
      <c r="O1556" s="7"/>
      <c r="P1556" s="7"/>
      <c r="Q1556" s="7"/>
      <c r="R1556" s="7"/>
      <c r="S1556" s="7"/>
    </row>
    <row r="1557">
      <c r="C1557" s="19">
        <f>IFERROR(__xludf.DUMMYFUNCTION("""COMPUTED_VALUE"""),46128.65691009259)</f>
        <v>46128.65691</v>
      </c>
      <c r="D1557" s="7" t="str">
        <f>IFERROR(__xludf.DUMMYFUNCTION("""COMPUTED_VALUE"""),"Romero ")</f>
        <v>Romero </v>
      </c>
      <c r="E1557" s="7" t="str">
        <f>IFERROR(__xludf.DUMMYFUNCTION("""COMPUTED_VALUE"""),"Ignacio ")</f>
        <v>Ignacio </v>
      </c>
      <c r="F1557" s="7" t="str">
        <f>IFERROR(__xludf.DUMMYFUNCTION("""COMPUTED_VALUE"""),"juana060185@gmail.com")</f>
        <v>juana060185@gmail.com</v>
      </c>
      <c r="G1557" s="20">
        <f>IFERROR(__xludf.DUMMYFUNCTION("""COMPUTED_VALUE"""),39804.0)</f>
        <v>39804</v>
      </c>
      <c r="H1557" s="7">
        <f>IFERROR(__xludf.DUMMYFUNCTION("""COMPUTED_VALUE"""),4.8720547E7)</f>
        <v>48720547</v>
      </c>
      <c r="I1557" s="7">
        <f>IFERROR(__xludf.DUMMYFUNCTION("""COMPUTED_VALUE"""),3.51659482E9)</f>
        <v>3516594820</v>
      </c>
      <c r="J1557" s="7" t="str">
        <f>IFERROR(__xludf.DUMMYFUNCTION("""COMPUTED_VALUE"""),"Instagram")</f>
        <v>Instagram</v>
      </c>
      <c r="K1557" s="7" t="str">
        <f>IFERROR(__xludf.DUMMYFUNCTION("""COMPUTED_VALUE"""),"Obra social")</f>
        <v>Obra social</v>
      </c>
      <c r="L1557" s="7"/>
      <c r="M1557" s="7" t="str">
        <f>IFERROR(__xludf.DUMMYFUNCTION("""COMPUTED_VALUE"""),"No")</f>
        <v>No</v>
      </c>
      <c r="N1557" s="7"/>
      <c r="O1557" s="7"/>
      <c r="P1557" s="7"/>
      <c r="Q1557" s="7" t="str">
        <f>IFERROR(__xludf.DUMMYFUNCTION("""COMPUTED_VALUE"""),"APROSS")</f>
        <v>APROSS</v>
      </c>
      <c r="R1557" s="7"/>
      <c r="S1557" s="7"/>
    </row>
    <row r="1558">
      <c r="C1558" s="19">
        <f>IFERROR(__xludf.DUMMYFUNCTION("""COMPUTED_VALUE"""),46129.45179717593)</f>
        <v>46129.4518</v>
      </c>
      <c r="D1558" s="7" t="str">
        <f>IFERROR(__xludf.DUMMYFUNCTION("""COMPUTED_VALUE"""),"Avalos")</f>
        <v>Avalos</v>
      </c>
      <c r="E1558" s="7" t="str">
        <f>IFERROR(__xludf.DUMMYFUNCTION("""COMPUTED_VALUE"""),"Gustavo Adalberto")</f>
        <v>Gustavo Adalberto</v>
      </c>
      <c r="F1558" s="7"/>
      <c r="G1558" s="20">
        <f>IFERROR(__xludf.DUMMYFUNCTION("""COMPUTED_VALUE"""),23048.0)</f>
        <v>23048</v>
      </c>
      <c r="H1558" s="7">
        <f>IFERROR(__xludf.DUMMYFUNCTION("""COMPUTED_VALUE"""),1.6334764E7)</f>
        <v>16334764</v>
      </c>
      <c r="I1558" s="7">
        <f>IFERROR(__xludf.DUMMYFUNCTION("""COMPUTED_VALUE"""),3.513470096E9)</f>
        <v>3513470096</v>
      </c>
      <c r="J1558" s="7" t="str">
        <f>IFERROR(__xludf.DUMMYFUNCTION("""COMPUTED_VALUE"""),"Recomendación")</f>
        <v>Recomendación</v>
      </c>
      <c r="K1558" s="7" t="str">
        <f>IFERROR(__xludf.DUMMYFUNCTION("""COMPUTED_VALUE"""),"Obra social")</f>
        <v>Obra social</v>
      </c>
      <c r="L1558" s="7"/>
      <c r="M1558" s="7" t="str">
        <f>IFERROR(__xludf.DUMMYFUNCTION("""COMPUTED_VALUE"""),"Si")</f>
        <v>Si</v>
      </c>
      <c r="N1558" s="7" t="str">
        <f>IFERROR(__xludf.DUMMYFUNCTION("""COMPUTED_VALUE"""),"Gimnasio")</f>
        <v>Gimnasio</v>
      </c>
      <c r="O1558" s="7" t="str">
        <f>IFERROR(__xludf.DUMMYFUNCTION("""COMPUTED_VALUE"""),"1 a 2 veces por semana")</f>
        <v>1 a 2 veces por semana</v>
      </c>
      <c r="P1558" s="7"/>
      <c r="Q1558" s="7" t="str">
        <f>IFERROR(__xludf.DUMMYFUNCTION("""COMPUTED_VALUE"""),"apm")</f>
        <v>apm</v>
      </c>
      <c r="R1558" s="7"/>
      <c r="S1558" s="7"/>
    </row>
    <row r="1559">
      <c r="C1559" s="19">
        <f>IFERROR(__xludf.DUMMYFUNCTION("""COMPUTED_VALUE"""),46129.50698068287)</f>
        <v>46129.50698</v>
      </c>
      <c r="D1559" s="7" t="str">
        <f>IFERROR(__xludf.DUMMYFUNCTION("""COMPUTED_VALUE"""),"ayala")</f>
        <v>ayala</v>
      </c>
      <c r="E1559" s="7" t="str">
        <f>IFERROR(__xludf.DUMMYFUNCTION("""COMPUTED_VALUE"""),"damian")</f>
        <v>damian</v>
      </c>
      <c r="F1559" s="7" t="str">
        <f>IFERROR(__xludf.DUMMYFUNCTION("""COMPUTED_VALUE"""),"damianayala4266@gmail.com")</f>
        <v>damianayala4266@gmail.com</v>
      </c>
      <c r="G1559" s="20">
        <f>IFERROR(__xludf.DUMMYFUNCTION("""COMPUTED_VALUE"""),29251.0)</f>
        <v>29251</v>
      </c>
      <c r="H1559" s="7">
        <f>IFERROR(__xludf.DUMMYFUNCTION("""COMPUTED_VALUE"""),2.8064266E7)</f>
        <v>28064266</v>
      </c>
      <c r="I1559" s="7">
        <f>IFERROR(__xludf.DUMMYFUNCTION("""COMPUTED_VALUE"""),3.518019469E9)</f>
        <v>3518019469</v>
      </c>
      <c r="J1559" s="7" t="str">
        <f>IFERROR(__xludf.DUMMYFUNCTION("""COMPUTED_VALUE"""),"Gimnasio")</f>
        <v>Gimnasio</v>
      </c>
      <c r="K1559" s="7" t="str">
        <f>IFERROR(__xludf.DUMMYFUNCTION("""COMPUTED_VALUE"""),"Particular")</f>
        <v>Particular</v>
      </c>
      <c r="L1559" s="7"/>
      <c r="M1559" s="7" t="str">
        <f>IFERROR(__xludf.DUMMYFUNCTION("""COMPUTED_VALUE"""),"Si")</f>
        <v>Si</v>
      </c>
      <c r="N1559" s="7" t="str">
        <f>IFERROR(__xludf.DUMMYFUNCTION("""COMPUTED_VALUE"""),"Gimnasio")</f>
        <v>Gimnasio</v>
      </c>
      <c r="O1559" s="7" t="str">
        <f>IFERROR(__xludf.DUMMYFUNCTION("""COMPUTED_VALUE"""),"3 a 5 veces por semana")</f>
        <v>3 a 5 veces por semana</v>
      </c>
      <c r="P1559" s="7"/>
      <c r="Q1559" s="7"/>
      <c r="R1559" s="7"/>
      <c r="S1559" s="7"/>
    </row>
    <row r="1560">
      <c r="C1560" s="19">
        <f>IFERROR(__xludf.DUMMYFUNCTION("""COMPUTED_VALUE"""),46129.71871829861)</f>
        <v>46129.71872</v>
      </c>
      <c r="D1560" s="7" t="str">
        <f>IFERROR(__xludf.DUMMYFUNCTION("""COMPUTED_VALUE"""),"Jordan ")</f>
        <v>Jordan </v>
      </c>
      <c r="E1560" s="7" t="str">
        <f>IFERROR(__xludf.DUMMYFUNCTION("""COMPUTED_VALUE"""),"Rodrigo")</f>
        <v>Rodrigo</v>
      </c>
      <c r="F1560" s="7" t="str">
        <f>IFERROR(__xludf.DUMMYFUNCTION("""COMPUTED_VALUE"""),"rodrigojordan77@gmail.com")</f>
        <v>rodrigojordan77@gmail.com</v>
      </c>
      <c r="G1560" s="20">
        <f>IFERROR(__xludf.DUMMYFUNCTION("""COMPUTED_VALUE"""),28493.0)</f>
        <v>28493</v>
      </c>
      <c r="H1560" s="7">
        <f>IFERROR(__xludf.DUMMYFUNCTION("""COMPUTED_VALUE"""),2.618109E7)</f>
        <v>26181090</v>
      </c>
      <c r="I1560" s="7">
        <f>IFERROR(__xludf.DUMMYFUNCTION("""COMPUTED_VALUE"""),3.51609882E9)</f>
        <v>3516098820</v>
      </c>
      <c r="J1560" s="7" t="str">
        <f>IFERROR(__xludf.DUMMYFUNCTION("""COMPUTED_VALUE"""),"Gimnasio")</f>
        <v>Gimnasio</v>
      </c>
      <c r="K1560" s="7" t="str">
        <f>IFERROR(__xludf.DUMMYFUNCTION("""COMPUTED_VALUE"""),"Particular")</f>
        <v>Particular</v>
      </c>
      <c r="L1560" s="7"/>
      <c r="M1560" s="7" t="str">
        <f>IFERROR(__xludf.DUMMYFUNCTION("""COMPUTED_VALUE"""),"Si")</f>
        <v>Si</v>
      </c>
      <c r="N1560" s="7" t="str">
        <f>IFERROR(__xludf.DUMMYFUNCTION("""COMPUTED_VALUE"""),"Fútbol")</f>
        <v>Fútbol</v>
      </c>
      <c r="O1560" s="7" t="str">
        <f>IFERROR(__xludf.DUMMYFUNCTION("""COMPUTED_VALUE"""),"3 a 5 veces por semana")</f>
        <v>3 a 5 veces por semana</v>
      </c>
      <c r="P1560" s="7"/>
      <c r="Q1560" s="7"/>
      <c r="R1560" s="7"/>
      <c r="S1560" s="7"/>
    </row>
    <row r="1561">
      <c r="C1561" s="19">
        <f>IFERROR(__xludf.DUMMYFUNCTION("""COMPUTED_VALUE"""),46132.4807028588)</f>
        <v>46132.4807</v>
      </c>
      <c r="D1561" s="7" t="str">
        <f>IFERROR(__xludf.DUMMYFUNCTION("""COMPUTED_VALUE"""),"Leguizamon ")</f>
        <v>Leguizamon </v>
      </c>
      <c r="E1561" s="7" t="str">
        <f>IFERROR(__xludf.DUMMYFUNCTION("""COMPUTED_VALUE"""),"Ezequiel ")</f>
        <v>Ezequiel </v>
      </c>
      <c r="F1561" s="7" t="str">
        <f>IFERROR(__xludf.DUMMYFUNCTION("""COMPUTED_VALUE"""),"escuderosilvia32@gmail.com")</f>
        <v>escuderosilvia32@gmail.com</v>
      </c>
      <c r="G1561" s="20">
        <f>IFERROR(__xludf.DUMMYFUNCTION("""COMPUTED_VALUE"""),38846.0)</f>
        <v>38846</v>
      </c>
      <c r="H1561" s="7">
        <f>IFERROR(__xludf.DUMMYFUNCTION("""COMPUTED_VALUE"""),4.7265027E7)</f>
        <v>47265027</v>
      </c>
      <c r="I1561" s="7">
        <f>IFERROR(__xludf.DUMMYFUNCTION("""COMPUTED_VALUE"""),3.51209591E9)</f>
        <v>3512095910</v>
      </c>
      <c r="J1561" s="7" t="str">
        <f>IFERROR(__xludf.DUMMYFUNCTION("""COMPUTED_VALUE"""),"Google")</f>
        <v>Google</v>
      </c>
      <c r="K1561" s="7" t="str">
        <f>IFERROR(__xludf.DUMMYFUNCTION("""COMPUTED_VALUE"""),"Obra social")</f>
        <v>Obra social</v>
      </c>
      <c r="L1561" s="7"/>
      <c r="M1561" s="7" t="str">
        <f>IFERROR(__xludf.DUMMYFUNCTION("""COMPUTED_VALUE"""),"No")</f>
        <v>No</v>
      </c>
      <c r="N1561" s="7"/>
      <c r="O1561" s="7"/>
      <c r="P1561" s="7"/>
      <c r="Q1561" s="7" t="str">
        <f>IFERROR(__xludf.DUMMYFUNCTION("""COMPUTED_VALUE"""),"APROSS")</f>
        <v>APROSS</v>
      </c>
      <c r="R1561" s="7"/>
      <c r="S1561" s="7"/>
    </row>
    <row r="1562">
      <c r="C1562" s="19">
        <f>IFERROR(__xludf.DUMMYFUNCTION("""COMPUTED_VALUE"""),46132.50029403935)</f>
        <v>46132.50029</v>
      </c>
      <c r="D1562" s="7" t="str">
        <f>IFERROR(__xludf.DUMMYFUNCTION("""COMPUTED_VALUE"""),"Peralta")</f>
        <v>Peralta</v>
      </c>
      <c r="E1562" s="7" t="str">
        <f>IFERROR(__xludf.DUMMYFUNCTION("""COMPUTED_VALUE"""),"Diego")</f>
        <v>Diego</v>
      </c>
      <c r="F1562" s="7" t="str">
        <f>IFERROR(__xludf.DUMMYFUNCTION("""COMPUTED_VALUE"""),"diegoperaltaturin@gmail.com")</f>
        <v>diegoperaltaturin@gmail.com</v>
      </c>
      <c r="G1562" s="20">
        <f>IFERROR(__xludf.DUMMYFUNCTION("""COMPUTED_VALUE"""),27822.0)</f>
        <v>27822</v>
      </c>
      <c r="H1562" s="7">
        <f>IFERROR(__xludf.DUMMYFUNCTION("""COMPUTED_VALUE"""),2.5203029E7)</f>
        <v>25203029</v>
      </c>
      <c r="I1562" s="7">
        <f>IFERROR(__xludf.DUMMYFUNCTION("""COMPUTED_VALUE"""),3.5132156E9)</f>
        <v>3513215600</v>
      </c>
      <c r="J1562" s="7" t="str">
        <f>IFERROR(__xludf.DUMMYFUNCTION("""COMPUTED_VALUE"""),"Gimnasio")</f>
        <v>Gimnasio</v>
      </c>
      <c r="K1562" s="7" t="str">
        <f>IFERROR(__xludf.DUMMYFUNCTION("""COMPUTED_VALUE"""),"Obra social")</f>
        <v>Obra social</v>
      </c>
      <c r="L1562" s="7"/>
      <c r="M1562" s="7" t="str">
        <f>IFERROR(__xludf.DUMMYFUNCTION("""COMPUTED_VALUE"""),"Si")</f>
        <v>Si</v>
      </c>
      <c r="N1562" s="7" t="str">
        <f>IFERROR(__xludf.DUMMYFUNCTION("""COMPUTED_VALUE"""),"Gimnasio")</f>
        <v>Gimnasio</v>
      </c>
      <c r="O1562" s="7" t="str">
        <f>IFERROR(__xludf.DUMMYFUNCTION("""COMPUTED_VALUE"""),"3 a 5 veces por semana")</f>
        <v>3 a 5 veces por semana</v>
      </c>
      <c r="P1562" s="7"/>
      <c r="Q1562" s="7" t="str">
        <f>IFERROR(__xludf.DUMMYFUNCTION("""COMPUTED_VALUE"""),"UNIMED")</f>
        <v>UNIMED</v>
      </c>
      <c r="R1562" s="7"/>
      <c r="S1562" s="7"/>
    </row>
    <row r="1563">
      <c r="C1563" s="19">
        <f>IFERROR(__xludf.DUMMYFUNCTION("""COMPUTED_VALUE"""),46132.79344188658)</f>
        <v>46132.79344</v>
      </c>
      <c r="D1563" s="7" t="str">
        <f>IFERROR(__xludf.DUMMYFUNCTION("""COMPUTED_VALUE"""),"Zurita")</f>
        <v>Zurita</v>
      </c>
      <c r="E1563" s="7" t="str">
        <f>IFERROR(__xludf.DUMMYFUNCTION("""COMPUTED_VALUE"""),"Nicolás")</f>
        <v>Nicolás</v>
      </c>
      <c r="F1563" s="7" t="str">
        <f>IFERROR(__xludf.DUMMYFUNCTION("""COMPUTED_VALUE"""),"nicozurita04@gmail.com")</f>
        <v>nicozurita04@gmail.com</v>
      </c>
      <c r="G1563" s="20">
        <f>IFERROR(__xludf.DUMMYFUNCTION("""COMPUTED_VALUE"""),38096.0)</f>
        <v>38096</v>
      </c>
      <c r="H1563" s="7">
        <f>IFERROR(__xludf.DUMMYFUNCTION("""COMPUTED_VALUE"""),4.5488271E7)</f>
        <v>45488271</v>
      </c>
      <c r="I1563" s="7">
        <f>IFERROR(__xludf.DUMMYFUNCTION("""COMPUTED_VALUE"""),3.51522336E9)</f>
        <v>3515223360</v>
      </c>
      <c r="J1563" s="7" t="str">
        <f>IFERROR(__xludf.DUMMYFUNCTION("""COMPUTED_VALUE"""),"Gimnasio")</f>
        <v>Gimnasio</v>
      </c>
      <c r="K1563" s="7" t="str">
        <f>IFERROR(__xludf.DUMMYFUNCTION("""COMPUTED_VALUE"""),"Particular")</f>
        <v>Particular</v>
      </c>
      <c r="L1563" s="7"/>
      <c r="M1563" s="7" t="str">
        <f>IFERROR(__xludf.DUMMYFUNCTION("""COMPUTED_VALUE"""),"Si")</f>
        <v>Si</v>
      </c>
      <c r="N1563" s="7" t="str">
        <f>IFERROR(__xludf.DUMMYFUNCTION("""COMPUTED_VALUE"""),"Fútbol")</f>
        <v>Fútbol</v>
      </c>
      <c r="O1563" s="7" t="str">
        <f>IFERROR(__xludf.DUMMYFUNCTION("""COMPUTED_VALUE"""),"3 a 5 veces por semana")</f>
        <v>3 a 5 veces por semana</v>
      </c>
      <c r="P1563" s="7"/>
      <c r="Q1563" s="7"/>
      <c r="R1563" s="7"/>
      <c r="S1563" s="7"/>
    </row>
    <row r="1564">
      <c r="C1564" s="19">
        <f>IFERROR(__xludf.DUMMYFUNCTION("""COMPUTED_VALUE"""),46133.00090049769)</f>
        <v>46133.0009</v>
      </c>
      <c r="D1564" s="7" t="str">
        <f>IFERROR(__xludf.DUMMYFUNCTION("""COMPUTED_VALUE"""),"Almirón ")</f>
        <v>Almirón </v>
      </c>
      <c r="E1564" s="7" t="str">
        <f>IFERROR(__xludf.DUMMYFUNCTION("""COMPUTED_VALUE"""),"Matías ")</f>
        <v>Matías </v>
      </c>
      <c r="F1564" s="7" t="str">
        <f>IFERROR(__xludf.DUMMYFUNCTION("""COMPUTED_VALUE"""),"almironmatiass@gmail.com")</f>
        <v>almironmatiass@gmail.com</v>
      </c>
      <c r="G1564" s="20">
        <f>IFERROR(__xludf.DUMMYFUNCTION("""COMPUTED_VALUE"""),33304.0)</f>
        <v>33304</v>
      </c>
      <c r="H1564" s="7">
        <f>IFERROR(__xludf.DUMMYFUNCTION("""COMPUTED_VALUE"""),3.5577094E7)</f>
        <v>35577094</v>
      </c>
      <c r="I1564" s="7">
        <f>IFERROR(__xludf.DUMMYFUNCTION("""COMPUTED_VALUE"""),3.516324164E9)</f>
        <v>3516324164</v>
      </c>
      <c r="J1564" s="7" t="str">
        <f>IFERROR(__xludf.DUMMYFUNCTION("""COMPUTED_VALUE"""),"Google")</f>
        <v>Google</v>
      </c>
      <c r="K1564" s="7" t="str">
        <f>IFERROR(__xludf.DUMMYFUNCTION("""COMPUTED_VALUE"""),"Obra social")</f>
        <v>Obra social</v>
      </c>
      <c r="L1564" s="7"/>
      <c r="M1564" s="7" t="str">
        <f>IFERROR(__xludf.DUMMYFUNCTION("""COMPUTED_VALUE"""),"Si")</f>
        <v>Si</v>
      </c>
      <c r="N1564" s="7" t="str">
        <f>IFERROR(__xludf.DUMMYFUNCTION("""COMPUTED_VALUE"""),"Running")</f>
        <v>Running</v>
      </c>
      <c r="O1564" s="7" t="str">
        <f>IFERROR(__xludf.DUMMYFUNCTION("""COMPUTED_VALUE"""),"3 a 5 veces por semana")</f>
        <v>3 a 5 veces por semana</v>
      </c>
      <c r="P1564" s="7"/>
      <c r="Q1564" s="7" t="str">
        <f>IFERROR(__xludf.DUMMYFUNCTION("""COMPUTED_VALUE"""),"Swiss Medical")</f>
        <v>Swiss Medical</v>
      </c>
      <c r="R1564" s="7"/>
      <c r="S1564" s="7"/>
    </row>
    <row r="1565">
      <c r="C1565" s="19">
        <f>IFERROR(__xludf.DUMMYFUNCTION("""COMPUTED_VALUE"""),46133.44159416667)</f>
        <v>46133.44159</v>
      </c>
      <c r="D1565" s="7" t="str">
        <f>IFERROR(__xludf.DUMMYFUNCTION("""COMPUTED_VALUE"""),"Medina")</f>
        <v>Medina</v>
      </c>
      <c r="E1565" s="7" t="str">
        <f>IFERROR(__xludf.DUMMYFUNCTION("""COMPUTED_VALUE"""),"Norma del Valle")</f>
        <v>Norma del Valle</v>
      </c>
      <c r="F1565" s="7" t="str">
        <f>IFERROR(__xludf.DUMMYFUNCTION("""COMPUTED_VALUE"""),"normamjuarez@gmail.com")</f>
        <v>normamjuarez@gmail.com</v>
      </c>
      <c r="G1565" s="20">
        <f>IFERROR(__xludf.DUMMYFUNCTION("""COMPUTED_VALUE"""),19073.0)</f>
        <v>19073</v>
      </c>
      <c r="H1565" s="7">
        <f>IFERROR(__xludf.DUMMYFUNCTION("""COMPUTED_VALUE"""),1.0402809E7)</f>
        <v>10402809</v>
      </c>
      <c r="I1565" s="7">
        <f>IFERROR(__xludf.DUMMYFUNCTION("""COMPUTED_VALUE"""),3.815019455E9)</f>
        <v>3815019455</v>
      </c>
      <c r="J1565" s="7" t="str">
        <f>IFERROR(__xludf.DUMMYFUNCTION("""COMPUTED_VALUE"""),"Google")</f>
        <v>Google</v>
      </c>
      <c r="K1565" s="7" t="str">
        <f>IFERROR(__xludf.DUMMYFUNCTION("""COMPUTED_VALUE"""),"Obra social")</f>
        <v>Obra social</v>
      </c>
      <c r="L1565" s="7"/>
      <c r="M1565" s="7" t="str">
        <f>IFERROR(__xludf.DUMMYFUNCTION("""COMPUTED_VALUE"""),"No")</f>
        <v>No</v>
      </c>
      <c r="N1565" s="7"/>
      <c r="O1565" s="7"/>
      <c r="P1565" s="7"/>
      <c r="Q1565" s="7" t="str">
        <f>IFERROR(__xludf.DUMMYFUNCTION("""COMPUTED_VALUE"""),"Jerarquico Salud")</f>
        <v>Jerarquico Salud</v>
      </c>
      <c r="R1565" s="7"/>
      <c r="S1565" s="7"/>
    </row>
    <row r="1566">
      <c r="C1566" s="19">
        <f>IFERROR(__xludf.DUMMYFUNCTION("""COMPUTED_VALUE"""),46133.48528584491)</f>
        <v>46133.48529</v>
      </c>
      <c r="D1566" s="7" t="str">
        <f>IFERROR(__xludf.DUMMYFUNCTION("""COMPUTED_VALUE"""),"Pizarro")</f>
        <v>Pizarro</v>
      </c>
      <c r="E1566" s="7" t="str">
        <f>IFERROR(__xludf.DUMMYFUNCTION("""COMPUTED_VALUE"""),"Omar")</f>
        <v>Omar</v>
      </c>
      <c r="F1566" s="7" t="str">
        <f>IFERROR(__xludf.DUMMYFUNCTION("""COMPUTED_VALUE"""),"Omar@peype.com")</f>
        <v>Omar@peype.com</v>
      </c>
      <c r="G1566" s="20">
        <f>IFERROR(__xludf.DUMMYFUNCTION("""COMPUTED_VALUE"""),13929.0)</f>
        <v>13929</v>
      </c>
      <c r="H1566" s="7">
        <f>IFERROR(__xludf.DUMMYFUNCTION("""COMPUTED_VALUE"""),6503558.0)</f>
        <v>6503558</v>
      </c>
      <c r="I1566" s="7">
        <f>IFERROR(__xludf.DUMMYFUNCTION("""COMPUTED_VALUE"""),3.515054694E9)</f>
        <v>3515054694</v>
      </c>
      <c r="J1566" s="7" t="str">
        <f>IFERROR(__xludf.DUMMYFUNCTION("""COMPUTED_VALUE"""),"Facebook")</f>
        <v>Facebook</v>
      </c>
      <c r="K1566" s="7" t="str">
        <f>IFERROR(__xludf.DUMMYFUNCTION("""COMPUTED_VALUE"""),"Particular")</f>
        <v>Particular</v>
      </c>
      <c r="L1566" s="7"/>
      <c r="M1566" s="7" t="str">
        <f>IFERROR(__xludf.DUMMYFUNCTION("""COMPUTED_VALUE"""),"No")</f>
        <v>No</v>
      </c>
      <c r="N1566" s="7"/>
      <c r="O1566" s="7"/>
      <c r="P1566" s="7"/>
      <c r="Q1566" s="7"/>
      <c r="R1566" s="7"/>
      <c r="S1566" s="7"/>
    </row>
    <row r="1567">
      <c r="C1567" s="19">
        <f>IFERROR(__xludf.DUMMYFUNCTION("""COMPUTED_VALUE"""),46133.49660293982)</f>
        <v>46133.4966</v>
      </c>
      <c r="D1567" s="7" t="str">
        <f>IFERROR(__xludf.DUMMYFUNCTION("""COMPUTED_VALUE"""),"Quevedo")</f>
        <v>Quevedo</v>
      </c>
      <c r="E1567" s="7" t="str">
        <f>IFERROR(__xludf.DUMMYFUNCTION("""COMPUTED_VALUE"""),"Jose")</f>
        <v>Jose</v>
      </c>
      <c r="F1567" s="7" t="str">
        <f>IFERROR(__xludf.DUMMYFUNCTION("""COMPUTED_VALUE"""),"Jose.l.quevedo16@gmail.com")</f>
        <v>Jose.l.quevedo16@gmail.com</v>
      </c>
      <c r="G1567" s="20">
        <f>IFERROR(__xludf.DUMMYFUNCTION("""COMPUTED_VALUE"""),35617.0)</f>
        <v>35617</v>
      </c>
      <c r="H1567" s="7">
        <f>IFERROR(__xludf.DUMMYFUNCTION("""COMPUTED_VALUE"""),4.0028419E7)</f>
        <v>40028419</v>
      </c>
      <c r="I1567" s="7">
        <f>IFERROR(__xludf.DUMMYFUNCTION("""COMPUTED_VALUE"""),3.51506687E9)</f>
        <v>3515066870</v>
      </c>
      <c r="J1567" s="7" t="str">
        <f>IFERROR(__xludf.DUMMYFUNCTION("""COMPUTED_VALUE"""),"Google")</f>
        <v>Google</v>
      </c>
      <c r="K1567" s="7" t="str">
        <f>IFERROR(__xludf.DUMMYFUNCTION("""COMPUTED_VALUE"""),"Particular")</f>
        <v>Particular</v>
      </c>
      <c r="L1567" s="7"/>
      <c r="M1567" s="7" t="str">
        <f>IFERROR(__xludf.DUMMYFUNCTION("""COMPUTED_VALUE"""),"Si")</f>
        <v>Si</v>
      </c>
      <c r="N1567" s="7" t="str">
        <f>IFERROR(__xludf.DUMMYFUNCTION("""COMPUTED_VALUE"""),"Gimnasio")</f>
        <v>Gimnasio</v>
      </c>
      <c r="O1567" s="7" t="str">
        <f>IFERROR(__xludf.DUMMYFUNCTION("""COMPUTED_VALUE"""),"1 a 2 veces por semana")</f>
        <v>1 a 2 veces por semana</v>
      </c>
      <c r="P1567" s="7"/>
      <c r="Q1567" s="7"/>
      <c r="R1567" s="7"/>
      <c r="S1567" s="7"/>
    </row>
    <row r="1568">
      <c r="C1568" s="19">
        <f>IFERROR(__xludf.DUMMYFUNCTION("""COMPUTED_VALUE"""),46133.722965243054)</f>
        <v>46133.72297</v>
      </c>
      <c r="D1568" s="7" t="str">
        <f>IFERROR(__xludf.DUMMYFUNCTION("""COMPUTED_VALUE"""),"Peralta")</f>
        <v>Peralta</v>
      </c>
      <c r="E1568" s="7" t="str">
        <f>IFERROR(__xludf.DUMMYFUNCTION("""COMPUTED_VALUE"""),"Diego")</f>
        <v>Diego</v>
      </c>
      <c r="F1568" s="7"/>
      <c r="G1568" s="20">
        <f>IFERROR(__xludf.DUMMYFUNCTION("""COMPUTED_VALUE"""),27822.0)</f>
        <v>27822</v>
      </c>
      <c r="H1568" s="7">
        <f>IFERROR(__xludf.DUMMYFUNCTION("""COMPUTED_VALUE"""),2.5203029E7)</f>
        <v>25203029</v>
      </c>
      <c r="I1568" s="7">
        <f>IFERROR(__xludf.DUMMYFUNCTION("""COMPUTED_VALUE"""),3.5132156E9)</f>
        <v>3513215600</v>
      </c>
      <c r="J1568" s="7" t="str">
        <f>IFERROR(__xludf.DUMMYFUNCTION("""COMPUTED_VALUE"""),"Gimnasio")</f>
        <v>Gimnasio</v>
      </c>
      <c r="K1568" s="7" t="str">
        <f>IFERROR(__xludf.DUMMYFUNCTION("""COMPUTED_VALUE"""),"Obra social")</f>
        <v>Obra social</v>
      </c>
      <c r="L1568" s="7"/>
      <c r="M1568" s="7" t="str">
        <f>IFERROR(__xludf.DUMMYFUNCTION("""COMPUTED_VALUE"""),"Si")</f>
        <v>Si</v>
      </c>
      <c r="N1568" s="7" t="str">
        <f>IFERROR(__xludf.DUMMYFUNCTION("""COMPUTED_VALUE"""),"Gimnasio")</f>
        <v>Gimnasio</v>
      </c>
      <c r="O1568" s="7" t="str">
        <f>IFERROR(__xludf.DUMMYFUNCTION("""COMPUTED_VALUE"""),"1 a 2 veces por semana")</f>
        <v>1 a 2 veces por semana</v>
      </c>
      <c r="P1568" s="7"/>
      <c r="Q1568" s="7"/>
      <c r="R1568" s="7"/>
      <c r="S1568" s="7"/>
    </row>
    <row r="1569">
      <c r="C1569" s="19">
        <f>IFERROR(__xludf.DUMMYFUNCTION("""COMPUTED_VALUE"""),46133.76345721065)</f>
        <v>46133.76346</v>
      </c>
      <c r="D1569" s="7" t="str">
        <f>IFERROR(__xludf.DUMMYFUNCTION("""COMPUTED_VALUE"""),"Jaimes Rondine")</f>
        <v>Jaimes Rondine</v>
      </c>
      <c r="E1569" s="7" t="str">
        <f>IFERROR(__xludf.DUMMYFUNCTION("""COMPUTED_VALUE"""),"Maria de los Angeles")</f>
        <v>Maria de los Angeles</v>
      </c>
      <c r="F1569" s="7" t="str">
        <f>IFERROR(__xludf.DUMMYFUNCTION("""COMPUTED_VALUE"""),"mjrondine@unc.edu.ar")</f>
        <v>mjrondine@unc.edu.ar</v>
      </c>
      <c r="G1569" s="20">
        <f>IFERROR(__xludf.DUMMYFUNCTION("""COMPUTED_VALUE"""),28978.0)</f>
        <v>28978</v>
      </c>
      <c r="H1569" s="7">
        <f>IFERROR(__xludf.DUMMYFUNCTION("""COMPUTED_VALUE"""),2.7390999E7)</f>
        <v>27390999</v>
      </c>
      <c r="I1569" s="7">
        <f>IFERROR(__xludf.DUMMYFUNCTION("""COMPUTED_VALUE"""),3.5150738E9)</f>
        <v>3515073800</v>
      </c>
      <c r="J1569" s="7" t="str">
        <f>IFERROR(__xludf.DUMMYFUNCTION("""COMPUTED_VALUE"""),"Google")</f>
        <v>Google</v>
      </c>
      <c r="K1569" s="7" t="str">
        <f>IFERROR(__xludf.DUMMYFUNCTION("""COMPUTED_VALUE"""),"Obra social")</f>
        <v>Obra social</v>
      </c>
      <c r="L1569" s="7"/>
      <c r="M1569" s="7" t="str">
        <f>IFERROR(__xludf.DUMMYFUNCTION("""COMPUTED_VALUE"""),"Si")</f>
        <v>Si</v>
      </c>
      <c r="N1569" s="7" t="str">
        <f>IFERROR(__xludf.DUMMYFUNCTION("""COMPUTED_VALUE"""),"Caminata")</f>
        <v>Caminata</v>
      </c>
      <c r="O1569" s="7" t="str">
        <f>IFERROR(__xludf.DUMMYFUNCTION("""COMPUTED_VALUE"""),"3 a 5 veces por semana")</f>
        <v>3 a 5 veces por semana</v>
      </c>
      <c r="P1569" s="7"/>
      <c r="Q1569" s="7" t="str">
        <f>IFERROR(__xludf.DUMMYFUNCTION("""COMPUTED_VALUE"""),"DASPU")</f>
        <v>DASPU</v>
      </c>
      <c r="R1569" s="7"/>
      <c r="S1569" s="7"/>
    </row>
    <row r="1570">
      <c r="C1570" s="19">
        <f>IFERROR(__xludf.DUMMYFUNCTION("""COMPUTED_VALUE"""),46134.47162377315)</f>
        <v>46134.47162</v>
      </c>
      <c r="D1570" s="7" t="str">
        <f>IFERROR(__xludf.DUMMYFUNCTION("""COMPUTED_VALUE"""),"Regis")</f>
        <v>Regis</v>
      </c>
      <c r="E1570" s="7" t="str">
        <f>IFERROR(__xludf.DUMMYFUNCTION("""COMPUTED_VALUE"""),"Aylen")</f>
        <v>Aylen</v>
      </c>
      <c r="F1570" s="7" t="str">
        <f>IFERROR(__xludf.DUMMYFUNCTION("""COMPUTED_VALUE"""),"saylenr@gmail.com")</f>
        <v>saylenr@gmail.com</v>
      </c>
      <c r="G1570" s="20">
        <f>IFERROR(__xludf.DUMMYFUNCTION("""COMPUTED_VALUE"""),34394.0)</f>
        <v>34394</v>
      </c>
      <c r="H1570" s="7">
        <f>IFERROR(__xludf.DUMMYFUNCTION("""COMPUTED_VALUE"""),3.8106906E7)</f>
        <v>38106906</v>
      </c>
      <c r="I1570" s="7">
        <f>IFERROR(__xludf.DUMMYFUNCTION("""COMPUTED_VALUE"""),3.51234008E9)</f>
        <v>3512340080</v>
      </c>
      <c r="J1570" s="7" t="str">
        <f>IFERROR(__xludf.DUMMYFUNCTION("""COMPUTED_VALUE"""),"Ya fui paciente ")</f>
        <v>Ya fui paciente </v>
      </c>
      <c r="K1570" s="7" t="str">
        <f>IFERROR(__xludf.DUMMYFUNCTION("""COMPUTED_VALUE"""),"Obra social")</f>
        <v>Obra social</v>
      </c>
      <c r="L1570" s="7"/>
      <c r="M1570" s="7" t="str">
        <f>IFERROR(__xludf.DUMMYFUNCTION("""COMPUTED_VALUE"""),"Si")</f>
        <v>Si</v>
      </c>
      <c r="N1570" s="7" t="str">
        <f>IFERROR(__xludf.DUMMYFUNCTION("""COMPUTED_VALUE"""),"Pilates y padel")</f>
        <v>Pilates y padel</v>
      </c>
      <c r="O1570" s="7" t="str">
        <f>IFERROR(__xludf.DUMMYFUNCTION("""COMPUTED_VALUE"""),"1 a 2 veces por semana")</f>
        <v>1 a 2 veces por semana</v>
      </c>
      <c r="P1570" s="7"/>
      <c r="Q1570" s="7" t="str">
        <f>IFERROR(__xludf.DUMMYFUNCTION("""COMPUTED_VALUE"""),"PREVENCIÓN")</f>
        <v>PREVENCIÓN</v>
      </c>
      <c r="R1570" s="7"/>
      <c r="S1570" s="7"/>
    </row>
    <row r="1571">
      <c r="C1571" s="19">
        <f>IFERROR(__xludf.DUMMYFUNCTION("""COMPUTED_VALUE"""),46134.69236744213)</f>
        <v>46134.69237</v>
      </c>
      <c r="D1571" s="7" t="str">
        <f>IFERROR(__xludf.DUMMYFUNCTION("""COMPUTED_VALUE"""),"Juarez")</f>
        <v>Juarez</v>
      </c>
      <c r="E1571" s="7" t="str">
        <f>IFERROR(__xludf.DUMMYFUNCTION("""COMPUTED_VALUE"""),"Hector")</f>
        <v>Hector</v>
      </c>
      <c r="F1571" s="7"/>
      <c r="G1571" s="20">
        <f>IFERROR(__xludf.DUMMYFUNCTION("""COMPUTED_VALUE"""),18900.0)</f>
        <v>18900</v>
      </c>
      <c r="H1571" s="7">
        <f>IFERROR(__xludf.DUMMYFUNCTION("""COMPUTED_VALUE"""),1.0012138E7)</f>
        <v>10012138</v>
      </c>
      <c r="I1571" s="7">
        <f>IFERROR(__xludf.DUMMYFUNCTION("""COMPUTED_VALUE"""),3.516557277E9)</f>
        <v>3516557277</v>
      </c>
      <c r="J1571" s="7" t="str">
        <f>IFERROR(__xludf.DUMMYFUNCTION("""COMPUTED_VALUE"""),"Recomendación")</f>
        <v>Recomendación</v>
      </c>
      <c r="K1571" s="7" t="str">
        <f>IFERROR(__xludf.DUMMYFUNCTION("""COMPUTED_VALUE"""),"Obra social")</f>
        <v>Obra social</v>
      </c>
      <c r="L1571" s="7"/>
      <c r="M1571" s="7" t="str">
        <f>IFERROR(__xludf.DUMMYFUNCTION("""COMPUTED_VALUE"""),"No")</f>
        <v>No</v>
      </c>
      <c r="N1571" s="7"/>
      <c r="O1571" s="7"/>
      <c r="P1571" s="7"/>
      <c r="Q1571" s="7" t="str">
        <f>IFERROR(__xludf.DUMMYFUNCTION("""COMPUTED_VALUE"""),"Jerárquicos Salud ")</f>
        <v>Jerárquicos Salud </v>
      </c>
      <c r="R1571" s="7"/>
      <c r="S1571" s="7"/>
    </row>
    <row r="1572">
      <c r="C1572" s="19">
        <f>IFERROR(__xludf.DUMMYFUNCTION("""COMPUTED_VALUE"""),46134.77231596065)</f>
        <v>46134.77232</v>
      </c>
      <c r="D1572" s="7" t="str">
        <f>IFERROR(__xludf.DUMMYFUNCTION("""COMPUTED_VALUE"""),"Obando")</f>
        <v>Obando</v>
      </c>
      <c r="E1572" s="7" t="str">
        <f>IFERROR(__xludf.DUMMYFUNCTION("""COMPUTED_VALUE"""),"Silvio")</f>
        <v>Silvio</v>
      </c>
      <c r="F1572" s="7"/>
      <c r="G1572" s="20">
        <f>IFERROR(__xludf.DUMMYFUNCTION("""COMPUTED_VALUE"""),27991.0)</f>
        <v>27991</v>
      </c>
      <c r="H1572" s="7">
        <f>IFERROR(__xludf.DUMMYFUNCTION("""COMPUTED_VALUE"""),2.5471325E7)</f>
        <v>25471325</v>
      </c>
      <c r="I1572" s="7">
        <f>IFERROR(__xludf.DUMMYFUNCTION("""COMPUTED_VALUE"""),3.512340362E9)</f>
        <v>3512340362</v>
      </c>
      <c r="J1572" s="7" t="str">
        <f>IFERROR(__xludf.DUMMYFUNCTION("""COMPUTED_VALUE"""),"Gimnasio")</f>
        <v>Gimnasio</v>
      </c>
      <c r="K1572" s="7" t="str">
        <f>IFERROR(__xludf.DUMMYFUNCTION("""COMPUTED_VALUE"""),"Particular")</f>
        <v>Particular</v>
      </c>
      <c r="L1572" s="7"/>
      <c r="M1572" s="7" t="str">
        <f>IFERROR(__xludf.DUMMYFUNCTION("""COMPUTED_VALUE"""),"Si")</f>
        <v>Si</v>
      </c>
      <c r="N1572" s="7" t="str">
        <f>IFERROR(__xludf.DUMMYFUNCTION("""COMPUTED_VALUE"""),"Gimnasio")</f>
        <v>Gimnasio</v>
      </c>
      <c r="O1572" s="7" t="str">
        <f>IFERROR(__xludf.DUMMYFUNCTION("""COMPUTED_VALUE"""),"1 a 2 veces por semana")</f>
        <v>1 a 2 veces por semana</v>
      </c>
      <c r="P1572" s="7"/>
      <c r="Q1572" s="7"/>
      <c r="R1572" s="7"/>
      <c r="S1572" s="7"/>
    </row>
    <row r="1573">
      <c r="C1573" s="19">
        <f>IFERROR(__xludf.DUMMYFUNCTION("""COMPUTED_VALUE"""),46135.509083310186)</f>
        <v>46135.50908</v>
      </c>
      <c r="D1573" s="7" t="str">
        <f>IFERROR(__xludf.DUMMYFUNCTION("""COMPUTED_VALUE"""),"Camargo ")</f>
        <v>Camargo </v>
      </c>
      <c r="E1573" s="7" t="str">
        <f>IFERROR(__xludf.DUMMYFUNCTION("""COMPUTED_VALUE"""),"María Elena ")</f>
        <v>María Elena </v>
      </c>
      <c r="F1573" s="7" t="str">
        <f>IFERROR(__xludf.DUMMYFUNCTION("""COMPUTED_VALUE"""),"mariacamargo8865@gmail.com")</f>
        <v>mariacamargo8865@gmail.com</v>
      </c>
      <c r="G1573" s="20">
        <f>IFERROR(__xludf.DUMMYFUNCTION("""COMPUTED_VALUE"""),46177.0)</f>
        <v>46177</v>
      </c>
      <c r="H1573" s="7">
        <f>IFERROR(__xludf.DUMMYFUNCTION("""COMPUTED_VALUE"""),3.5257885E7)</f>
        <v>35257885</v>
      </c>
      <c r="I1573" s="7">
        <f>IFERROR(__xludf.DUMMYFUNCTION("""COMPUTED_VALUE"""),3.516479408E9)</f>
        <v>3516479408</v>
      </c>
      <c r="J1573" s="7" t="str">
        <f>IFERROR(__xludf.DUMMYFUNCTION("""COMPUTED_VALUE"""),"Recomendación")</f>
        <v>Recomendación</v>
      </c>
      <c r="K1573" s="7" t="str">
        <f>IFERROR(__xludf.DUMMYFUNCTION("""COMPUTED_VALUE"""),"Particular")</f>
        <v>Particular</v>
      </c>
      <c r="L1573" s="7"/>
      <c r="M1573" s="7" t="str">
        <f>IFERROR(__xludf.DUMMYFUNCTION("""COMPUTED_VALUE"""),"Si")</f>
        <v>Si</v>
      </c>
      <c r="N1573" s="7" t="str">
        <f>IFERROR(__xludf.DUMMYFUNCTION("""COMPUTED_VALUE"""),"Gimnasio")</f>
        <v>Gimnasio</v>
      </c>
      <c r="O1573" s="7" t="str">
        <f>IFERROR(__xludf.DUMMYFUNCTION("""COMPUTED_VALUE"""),"3 a 5 veces por semana")</f>
        <v>3 a 5 veces por semana</v>
      </c>
      <c r="P1573" s="7"/>
      <c r="Q1573" s="7"/>
      <c r="R1573" s="7"/>
      <c r="S1573" s="7"/>
    </row>
    <row r="1574">
      <c r="C1574" s="19">
        <f>IFERROR(__xludf.DUMMYFUNCTION("""COMPUTED_VALUE"""),46135.5845421875)</f>
        <v>46135.58454</v>
      </c>
      <c r="D1574" s="7" t="str">
        <f>IFERROR(__xludf.DUMMYFUNCTION("""COMPUTED_VALUE"""),"L’Argentiere Caresano")</f>
        <v>L’Argentiere Caresano</v>
      </c>
      <c r="E1574" s="7" t="str">
        <f>IFERROR(__xludf.DUMMYFUNCTION("""COMPUTED_VALUE"""),"Delfina")</f>
        <v>Delfina</v>
      </c>
      <c r="F1574" s="7" t="str">
        <f>IFERROR(__xludf.DUMMYFUNCTION("""COMPUTED_VALUE"""),"paucare@hotmail.com")</f>
        <v>paucare@hotmail.com</v>
      </c>
      <c r="G1574" s="20">
        <f>IFERROR(__xludf.DUMMYFUNCTION("""COMPUTED_VALUE"""),40654.0)</f>
        <v>40654</v>
      </c>
      <c r="H1574" s="21">
        <f>IFERROR(__xludf.DUMMYFUNCTION("""COMPUTED_VALUE"""),5.093914E7)</f>
        <v>50939140</v>
      </c>
      <c r="I1574" s="7">
        <f>IFERROR(__xludf.DUMMYFUNCTION("""COMPUTED_VALUE"""),3.513424965E9)</f>
        <v>3513424965</v>
      </c>
      <c r="J1574" s="7" t="str">
        <f>IFERROR(__xludf.DUMMYFUNCTION("""COMPUTED_VALUE"""),"Google")</f>
        <v>Google</v>
      </c>
      <c r="K1574" s="7" t="str">
        <f>IFERROR(__xludf.DUMMYFUNCTION("""COMPUTED_VALUE"""),"Obra social")</f>
        <v>Obra social</v>
      </c>
      <c r="L1574" s="7"/>
      <c r="M1574" s="7" t="str">
        <f>IFERROR(__xludf.DUMMYFUNCTION("""COMPUTED_VALUE"""),"Si")</f>
        <v>Si</v>
      </c>
      <c r="N1574" s="7" t="str">
        <f>IFERROR(__xludf.DUMMYFUNCTION("""COMPUTED_VALUE"""),"Gimnasia artística ")</f>
        <v>Gimnasia artística </v>
      </c>
      <c r="O1574" s="7" t="str">
        <f>IFERROR(__xludf.DUMMYFUNCTION("""COMPUTED_VALUE"""),"3 a 5 veces por semana")</f>
        <v>3 a 5 veces por semana</v>
      </c>
      <c r="P1574" s="7"/>
      <c r="Q1574" s="7" t="str">
        <f>IFERROR(__xludf.DUMMYFUNCTION("""COMPUTED_VALUE"""),"Caja de abogados")</f>
        <v>Caja de abogados</v>
      </c>
      <c r="R1574" s="7"/>
      <c r="S1574" s="7"/>
    </row>
    <row r="1575">
      <c r="C1575" s="19">
        <f>IFERROR(__xludf.DUMMYFUNCTION("""COMPUTED_VALUE"""),46135.75939731482)</f>
        <v>46135.7594</v>
      </c>
      <c r="D1575" s="7" t="str">
        <f>IFERROR(__xludf.DUMMYFUNCTION("""COMPUTED_VALUE"""),"Hadad")</f>
        <v>Hadad</v>
      </c>
      <c r="E1575" s="7" t="str">
        <f>IFERROR(__xludf.DUMMYFUNCTION("""COMPUTED_VALUE"""),"Stefan")</f>
        <v>Stefan</v>
      </c>
      <c r="F1575" s="7" t="str">
        <f>IFERROR(__xludf.DUMMYFUNCTION("""COMPUTED_VALUE"""),"stefanh279@gmail.com")</f>
        <v>stefanh279@gmail.com</v>
      </c>
      <c r="G1575" s="20">
        <f>IFERROR(__xludf.DUMMYFUNCTION("""COMPUTED_VALUE"""),35793.0)</f>
        <v>35793</v>
      </c>
      <c r="H1575" s="7">
        <f>IFERROR(__xludf.DUMMYFUNCTION("""COMPUTED_VALUE"""),4.0835434E7)</f>
        <v>40835434</v>
      </c>
      <c r="I1575" s="7">
        <f>IFERROR(__xludf.DUMMYFUNCTION("""COMPUTED_VALUE"""),3.517640021E9)</f>
        <v>3517640021</v>
      </c>
      <c r="J1575" s="7" t="str">
        <f>IFERROR(__xludf.DUMMYFUNCTION("""COMPUTED_VALUE"""),"Recomendación")</f>
        <v>Recomendación</v>
      </c>
      <c r="K1575" s="7" t="str">
        <f>IFERROR(__xludf.DUMMYFUNCTION("""COMPUTED_VALUE"""),"Particular")</f>
        <v>Particular</v>
      </c>
      <c r="L1575" s="7"/>
      <c r="M1575" s="7" t="str">
        <f>IFERROR(__xludf.DUMMYFUNCTION("""COMPUTED_VALUE"""),"Si")</f>
        <v>Si</v>
      </c>
      <c r="N1575" s="7" t="str">
        <f>IFERROR(__xludf.DUMMYFUNCTION("""COMPUTED_VALUE"""),"Fútbol")</f>
        <v>Fútbol</v>
      </c>
      <c r="O1575" s="7" t="str">
        <f>IFERROR(__xludf.DUMMYFUNCTION("""COMPUTED_VALUE"""),"3 a 5 veces por semana")</f>
        <v>3 a 5 veces por semana</v>
      </c>
      <c r="P1575" s="7"/>
      <c r="Q1575" s="7"/>
      <c r="R1575" s="7"/>
      <c r="S1575" s="7"/>
    </row>
    <row r="1576">
      <c r="C1576" s="19">
        <f>IFERROR(__xludf.DUMMYFUNCTION("""COMPUTED_VALUE"""),46135.781591226856)</f>
        <v>46135.78159</v>
      </c>
      <c r="D1576" s="7" t="str">
        <f>IFERROR(__xludf.DUMMYFUNCTION("""COMPUTED_VALUE"""),"Gomez ")</f>
        <v>Gomez </v>
      </c>
      <c r="E1576" s="7" t="str">
        <f>IFERROR(__xludf.DUMMYFUNCTION("""COMPUTED_VALUE"""),"Hugo Angel10")</f>
        <v>Hugo Angel10</v>
      </c>
      <c r="F1576" s="7" t="str">
        <f>IFERROR(__xludf.DUMMYFUNCTION("""COMPUTED_VALUE"""),"h_gmz@hotmail.com")</f>
        <v>h_gmz@hotmail.com</v>
      </c>
      <c r="G1576" s="20">
        <f>IFERROR(__xludf.DUMMYFUNCTION("""COMPUTED_VALUE"""),16478.0)</f>
        <v>16478</v>
      </c>
      <c r="H1576" s="7">
        <f>IFERROR(__xludf.DUMMYFUNCTION("""COMPUTED_VALUE"""),7754593.0)</f>
        <v>7754593</v>
      </c>
      <c r="I1576" s="7">
        <f>IFERROR(__xludf.DUMMYFUNCTION("""COMPUTED_VALUE"""),3.515443823E9)</f>
        <v>3515443823</v>
      </c>
      <c r="J1576" s="7" t="str">
        <f>IFERROR(__xludf.DUMMYFUNCTION("""COMPUTED_VALUE"""),"Recomendación")</f>
        <v>Recomendación</v>
      </c>
      <c r="K1576" s="7" t="str">
        <f>IFERROR(__xludf.DUMMYFUNCTION("""COMPUTED_VALUE"""),"Particular")</f>
        <v>Particular</v>
      </c>
      <c r="L1576" s="7"/>
      <c r="M1576" s="7" t="str">
        <f>IFERROR(__xludf.DUMMYFUNCTION("""COMPUTED_VALUE"""),"Si")</f>
        <v>Si</v>
      </c>
      <c r="N1576" s="7" t="str">
        <f>IFERROR(__xludf.DUMMYFUNCTION("""COMPUTED_VALUE"""),"Adultos")</f>
        <v>Adultos</v>
      </c>
      <c r="O1576" s="7" t="str">
        <f>IFERROR(__xludf.DUMMYFUNCTION("""COMPUTED_VALUE"""),"1 a 2 veces por semana")</f>
        <v>1 a 2 veces por semana</v>
      </c>
      <c r="P1576" s="7"/>
      <c r="Q1576" s="7"/>
      <c r="R1576" s="7"/>
      <c r="S1576" s="7"/>
    </row>
    <row r="1577">
      <c r="C1577" s="19">
        <f>IFERROR(__xludf.DUMMYFUNCTION("""COMPUTED_VALUE"""),46135.82879384259)</f>
        <v>46135.82879</v>
      </c>
      <c r="D1577" s="7" t="str">
        <f>IFERROR(__xludf.DUMMYFUNCTION("""COMPUTED_VALUE"""),"Rossa")</f>
        <v>Rossa</v>
      </c>
      <c r="E1577" s="7" t="str">
        <f>IFERROR(__xludf.DUMMYFUNCTION("""COMPUTED_VALUE"""),"Victoria")</f>
        <v>Victoria</v>
      </c>
      <c r="F1577" s="7" t="str">
        <f>IFERROR(__xludf.DUMMYFUNCTION("""COMPUTED_VALUE"""),"vickyrossa07@gmail.com")</f>
        <v>vickyrossa07@gmail.com</v>
      </c>
      <c r="G1577" s="20">
        <f>IFERROR(__xludf.DUMMYFUNCTION("""COMPUTED_VALUE"""),37497.0)</f>
        <v>37497</v>
      </c>
      <c r="H1577" s="7">
        <f>IFERROR(__xludf.DUMMYFUNCTION("""COMPUTED_VALUE"""),4.434615E7)</f>
        <v>44346150</v>
      </c>
      <c r="I1577" s="7">
        <f>IFERROR(__xludf.DUMMYFUNCTION("""COMPUTED_VALUE"""),3.517570132E9)</f>
        <v>3517570132</v>
      </c>
      <c r="J1577" s="7" t="str">
        <f>IFERROR(__xludf.DUMMYFUNCTION("""COMPUTED_VALUE"""),"Gimnasio")</f>
        <v>Gimnasio</v>
      </c>
      <c r="K1577" s="7" t="str">
        <f>IFERROR(__xludf.DUMMYFUNCTION("""COMPUTED_VALUE"""),"Obra social")</f>
        <v>Obra social</v>
      </c>
      <c r="L1577" s="7"/>
      <c r="M1577" s="7" t="str">
        <f>IFERROR(__xludf.DUMMYFUNCTION("""COMPUTED_VALUE"""),"Si")</f>
        <v>Si</v>
      </c>
      <c r="N1577" s="7" t="str">
        <f>IFERROR(__xludf.DUMMYFUNCTION("""COMPUTED_VALUE"""),"Gimnasio y running ")</f>
        <v>Gimnasio y running </v>
      </c>
      <c r="O1577" s="7" t="str">
        <f>IFERROR(__xludf.DUMMYFUNCTION("""COMPUTED_VALUE"""),"3 a 5 veces por semana")</f>
        <v>3 a 5 veces por semana</v>
      </c>
      <c r="P1577" s="7"/>
      <c r="Q1577" s="7" t="str">
        <f>IFERROR(__xludf.DUMMYFUNCTION("""COMPUTED_VALUE"""),"PREVENCIÓN")</f>
        <v>PREVENCIÓN</v>
      </c>
      <c r="R1577" s="7"/>
      <c r="S1577" s="7"/>
    </row>
    <row r="1578">
      <c r="C1578" s="19">
        <f>IFERROR(__xludf.DUMMYFUNCTION("""COMPUTED_VALUE"""),46136.42291283565)</f>
        <v>46136.42291</v>
      </c>
      <c r="D1578" s="7" t="str">
        <f>IFERROR(__xludf.DUMMYFUNCTION("""COMPUTED_VALUE"""),"Nau")</f>
        <v>Nau</v>
      </c>
      <c r="E1578" s="7" t="str">
        <f>IFERROR(__xludf.DUMMYFUNCTION("""COMPUTED_VALUE"""),"Elisa Verónica ")</f>
        <v>Elisa Verónica </v>
      </c>
      <c r="F1578" s="7" t="str">
        <f>IFERROR(__xludf.DUMMYFUNCTION("""COMPUTED_VALUE"""),"lisanaumor@gmail.com")</f>
        <v>lisanaumor@gmail.com</v>
      </c>
      <c r="G1578" s="20">
        <f>IFERROR(__xludf.DUMMYFUNCTION("""COMPUTED_VALUE"""),23511.0)</f>
        <v>23511</v>
      </c>
      <c r="H1578" s="7">
        <f>IFERROR(__xludf.DUMMYFUNCTION("""COMPUTED_VALUE"""),1.6742696E7)</f>
        <v>16742696</v>
      </c>
      <c r="I1578" s="7">
        <f>IFERROR(__xludf.DUMMYFUNCTION("""COMPUTED_VALUE"""),3.517632848E9)</f>
        <v>3517632848</v>
      </c>
      <c r="J1578" s="7" t="str">
        <f>IFERROR(__xludf.DUMMYFUNCTION("""COMPUTED_VALUE"""),"Gimnasio")</f>
        <v>Gimnasio</v>
      </c>
      <c r="K1578" s="7" t="str">
        <f>IFERROR(__xludf.DUMMYFUNCTION("""COMPUTED_VALUE"""),"Particular")</f>
        <v>Particular</v>
      </c>
      <c r="L1578" s="7"/>
      <c r="M1578" s="7" t="str">
        <f>IFERROR(__xludf.DUMMYFUNCTION("""COMPUTED_VALUE"""),"Si")</f>
        <v>Si</v>
      </c>
      <c r="N1578" s="7" t="str">
        <f>IFERROR(__xludf.DUMMYFUNCTION("""COMPUTED_VALUE"""),"Gimnasio")</f>
        <v>Gimnasio</v>
      </c>
      <c r="O1578" s="7" t="str">
        <f>IFERROR(__xludf.DUMMYFUNCTION("""COMPUTED_VALUE"""),"3 a 5 veces por semana")</f>
        <v>3 a 5 veces por semana</v>
      </c>
      <c r="P1578" s="7"/>
      <c r="Q1578" s="7"/>
      <c r="R1578" s="7"/>
      <c r="S1578" s="7"/>
    </row>
    <row r="1579">
      <c r="C1579" s="19">
        <f>IFERROR(__xludf.DUMMYFUNCTION("""COMPUTED_VALUE"""),46136.68065019676)</f>
        <v>46136.68065</v>
      </c>
      <c r="D1579" s="7" t="str">
        <f>IFERROR(__xludf.DUMMYFUNCTION("""COMPUTED_VALUE"""),"Vergara")</f>
        <v>Vergara</v>
      </c>
      <c r="E1579" s="7" t="str">
        <f>IFERROR(__xludf.DUMMYFUNCTION("""COMPUTED_VALUE"""),"Gabriela")</f>
        <v>Gabriela</v>
      </c>
      <c r="F1579" s="7" t="str">
        <f>IFERROR(__xludf.DUMMYFUNCTION("""COMPUTED_VALUE"""),"gabriela.verg87@gmail.com")</f>
        <v>gabriela.verg87@gmail.com</v>
      </c>
      <c r="G1579" s="20">
        <f>IFERROR(__xludf.DUMMYFUNCTION("""COMPUTED_VALUE"""),25648.0)</f>
        <v>25648</v>
      </c>
      <c r="H1579" s="7">
        <f>IFERROR(__xludf.DUMMYFUNCTION("""COMPUTED_VALUE"""),2.1398363E7)</f>
        <v>21398363</v>
      </c>
      <c r="I1579" s="7">
        <f>IFERROR(__xludf.DUMMYFUNCTION("""COMPUTED_VALUE"""),3.515606974E9)</f>
        <v>3515606974</v>
      </c>
      <c r="J1579" s="7" t="str">
        <f>IFERROR(__xludf.DUMMYFUNCTION("""COMPUTED_VALUE"""),"Instagram")</f>
        <v>Instagram</v>
      </c>
      <c r="K1579" s="7" t="str">
        <f>IFERROR(__xludf.DUMMYFUNCTION("""COMPUTED_VALUE"""),"Particular")</f>
        <v>Particular</v>
      </c>
      <c r="L1579" s="7"/>
      <c r="M1579" s="7" t="str">
        <f>IFERROR(__xludf.DUMMYFUNCTION("""COMPUTED_VALUE"""),"No")</f>
        <v>No</v>
      </c>
      <c r="N1579" s="7"/>
      <c r="O1579" s="7"/>
      <c r="P1579" s="7"/>
      <c r="Q1579" s="7"/>
      <c r="R1579" s="7"/>
      <c r="S1579" s="7"/>
    </row>
    <row r="1580">
      <c r="C1580" s="19">
        <f>IFERROR(__xludf.DUMMYFUNCTION("""COMPUTED_VALUE"""),46136.79525701389)</f>
        <v>46136.79526</v>
      </c>
      <c r="D1580" s="7" t="str">
        <f>IFERROR(__xludf.DUMMYFUNCTION("""COMPUTED_VALUE"""),"Avila")</f>
        <v>Avila</v>
      </c>
      <c r="E1580" s="7" t="str">
        <f>IFERROR(__xludf.DUMMYFUNCTION("""COMPUTED_VALUE"""),"Susana del Carmen ")</f>
        <v>Susana del Carmen </v>
      </c>
      <c r="F1580" s="7" t="str">
        <f>IFERROR(__xludf.DUMMYFUNCTION("""COMPUTED_VALUE"""),"Suavila17@gmeil.com")</f>
        <v>Suavila17@gmeil.com</v>
      </c>
      <c r="G1580" s="20">
        <f>IFERROR(__xludf.DUMMYFUNCTION("""COMPUTED_VALUE"""),46137.0)</f>
        <v>46137</v>
      </c>
      <c r="H1580" s="7">
        <f>IFERROR(__xludf.DUMMYFUNCTION("""COMPUTED_VALUE"""),1.1562566E7)</f>
        <v>11562566</v>
      </c>
      <c r="I1580" s="7">
        <f>IFERROR(__xludf.DUMMYFUNCTION("""COMPUTED_VALUE"""),3.512567775E9)</f>
        <v>3512567775</v>
      </c>
      <c r="J1580" s="7" t="str">
        <f>IFERROR(__xludf.DUMMYFUNCTION("""COMPUTED_VALUE"""),"Recomendación")</f>
        <v>Recomendación</v>
      </c>
      <c r="K1580" s="7" t="str">
        <f>IFERROR(__xludf.DUMMYFUNCTION("""COMPUTED_VALUE"""),"Particular")</f>
        <v>Particular</v>
      </c>
      <c r="L1580" s="7"/>
      <c r="M1580" s="7" t="str">
        <f>IFERROR(__xludf.DUMMYFUNCTION("""COMPUTED_VALUE"""),"Si")</f>
        <v>Si</v>
      </c>
      <c r="N1580" s="7" t="str">
        <f>IFERROR(__xludf.DUMMYFUNCTION("""COMPUTED_VALUE"""),"Aguayin ")</f>
        <v>Aguayin </v>
      </c>
      <c r="O1580" s="7" t="str">
        <f>IFERROR(__xludf.DUMMYFUNCTION("""COMPUTED_VALUE"""),"1 a 2 veces por semana")</f>
        <v>1 a 2 veces por semana</v>
      </c>
      <c r="P1580" s="7"/>
      <c r="Q1580" s="7"/>
      <c r="R1580" s="7"/>
      <c r="S1580" s="7"/>
    </row>
    <row r="1581">
      <c r="C1581" s="19">
        <f>IFERROR(__xludf.DUMMYFUNCTION("""COMPUTED_VALUE"""),46140.535276932875)</f>
        <v>46140.53528</v>
      </c>
      <c r="D1581" s="7" t="str">
        <f>IFERROR(__xludf.DUMMYFUNCTION("""COMPUTED_VALUE"""),"FERNANDEZ")</f>
        <v>FERNANDEZ</v>
      </c>
      <c r="E1581" s="7" t="str">
        <f>IFERROR(__xludf.DUMMYFUNCTION("""COMPUTED_VALUE"""),"MARIA DEL HUERTO")</f>
        <v>MARIA DEL HUERTO</v>
      </c>
      <c r="F1581" s="7" t="str">
        <f>IFERROR(__xludf.DUMMYFUNCTION("""COMPUTED_VALUE"""),"fernandezmariadelhuero@gmail.com")</f>
        <v>fernandezmariadelhuero@gmail.com</v>
      </c>
      <c r="G1581" s="20">
        <f>IFERROR(__xludf.DUMMYFUNCTION("""COMPUTED_VALUE"""),22464.0)</f>
        <v>22464</v>
      </c>
      <c r="H1581" s="7">
        <f>IFERROR(__xludf.DUMMYFUNCTION("""COMPUTED_VALUE"""),1.4488091E7)</f>
        <v>14488091</v>
      </c>
      <c r="I1581" s="7">
        <f>IFERROR(__xludf.DUMMYFUNCTION("""COMPUTED_VALUE"""),3.51633103E9)</f>
        <v>3516331030</v>
      </c>
      <c r="J1581" s="7" t="str">
        <f>IFERROR(__xludf.DUMMYFUNCTION("""COMPUTED_VALUE"""),"Recomendación")</f>
        <v>Recomendación</v>
      </c>
      <c r="K1581" s="7" t="str">
        <f>IFERROR(__xludf.DUMMYFUNCTION("""COMPUTED_VALUE"""),"Obra social")</f>
        <v>Obra social</v>
      </c>
      <c r="L1581" s="7"/>
      <c r="M1581" s="7" t="str">
        <f>IFERROR(__xludf.DUMMYFUNCTION("""COMPUTED_VALUE"""),"Si")</f>
        <v>Si</v>
      </c>
      <c r="N1581" s="7" t="str">
        <f>IFERROR(__xludf.DUMMYFUNCTION("""COMPUTED_VALUE"""),"Gimnasio")</f>
        <v>Gimnasio</v>
      </c>
      <c r="O1581" s="7" t="str">
        <f>IFERROR(__xludf.DUMMYFUNCTION("""COMPUTED_VALUE"""),"3 a 5 veces por semana")</f>
        <v>3 a 5 veces por semana</v>
      </c>
      <c r="P1581" s="7"/>
      <c r="Q1581" s="7" t="str">
        <f>IFERROR(__xludf.DUMMYFUNCTION("""COMPUTED_VALUE"""),"APROSS")</f>
        <v>APROSS</v>
      </c>
      <c r="R1581" s="7"/>
      <c r="S1581" s="7"/>
    </row>
    <row r="1582">
      <c r="C1582" s="19">
        <f>IFERROR(__xludf.DUMMYFUNCTION("""COMPUTED_VALUE"""),46140.77991982639)</f>
        <v>46140.77992</v>
      </c>
      <c r="D1582" s="7" t="str">
        <f>IFERROR(__xludf.DUMMYFUNCTION("""COMPUTED_VALUE"""),"Bolognese")</f>
        <v>Bolognese</v>
      </c>
      <c r="E1582" s="7" t="str">
        <f>IFERROR(__xludf.DUMMYFUNCTION("""COMPUTED_VALUE"""),"leonel maximiliano ")</f>
        <v>leonel maximiliano </v>
      </c>
      <c r="F1582" s="7" t="str">
        <f>IFERROR(__xludf.DUMMYFUNCTION("""COMPUTED_VALUE"""),"maxilbolog07@gmail.com")</f>
        <v>maxilbolog07@gmail.com</v>
      </c>
      <c r="G1582" s="20">
        <f>IFERROR(__xludf.DUMMYFUNCTION("""COMPUTED_VALUE"""),39118.0)</f>
        <v>39118</v>
      </c>
      <c r="H1582" s="7">
        <f>IFERROR(__xludf.DUMMYFUNCTION("""COMPUTED_VALUE"""),4.730351E7)</f>
        <v>47303510</v>
      </c>
      <c r="I1582" s="7">
        <f>IFERROR(__xludf.DUMMYFUNCTION("""COMPUTED_VALUE"""),3.513925491E9)</f>
        <v>3513925491</v>
      </c>
      <c r="J1582" s="7" t="str">
        <f>IFERROR(__xludf.DUMMYFUNCTION("""COMPUTED_VALUE"""),"Gimnasio")</f>
        <v>Gimnasio</v>
      </c>
      <c r="K1582" s="7" t="str">
        <f>IFERROR(__xludf.DUMMYFUNCTION("""COMPUTED_VALUE"""),"Obra social")</f>
        <v>Obra social</v>
      </c>
      <c r="L1582" s="7"/>
      <c r="M1582" s="7" t="str">
        <f>IFERROR(__xludf.DUMMYFUNCTION("""COMPUTED_VALUE"""),"Si")</f>
        <v>Si</v>
      </c>
      <c r="N1582" s="7" t="str">
        <f>IFERROR(__xludf.DUMMYFUNCTION("""COMPUTED_VALUE"""),"hockey ")</f>
        <v>hockey </v>
      </c>
      <c r="O1582" s="7" t="str">
        <f>IFERROR(__xludf.DUMMYFUNCTION("""COMPUTED_VALUE"""),"3 a 5 veces por semana")</f>
        <v>3 a 5 veces por semana</v>
      </c>
      <c r="P1582" s="7"/>
      <c r="Q1582" s="7" t="str">
        <f>IFERROR(__xludf.DUMMYFUNCTION("""COMPUTED_VALUE"""),"APROSS")</f>
        <v>APROSS</v>
      </c>
      <c r="R1582" s="7"/>
      <c r="S1582" s="7"/>
    </row>
    <row r="1583">
      <c r="C1583" s="19">
        <f>IFERROR(__xludf.DUMMYFUNCTION("""COMPUTED_VALUE"""),46141.40454263889)</f>
        <v>46141.40454</v>
      </c>
      <c r="D1583" s="7" t="str">
        <f>IFERROR(__xludf.DUMMYFUNCTION("""COMPUTED_VALUE"""),"Pirazzini")</f>
        <v>Pirazzini</v>
      </c>
      <c r="E1583" s="7" t="str">
        <f>IFERROR(__xludf.DUMMYFUNCTION("""COMPUTED_VALUE"""),"Daniel")</f>
        <v>Daniel</v>
      </c>
      <c r="F1583" s="7" t="str">
        <f>IFERROR(__xludf.DUMMYFUNCTION("""COMPUTED_VALUE"""),"dpirazzini@gmail.com")</f>
        <v>dpirazzini@gmail.com</v>
      </c>
      <c r="G1583" s="20">
        <f>IFERROR(__xludf.DUMMYFUNCTION("""COMPUTED_VALUE"""),30816.0)</f>
        <v>30816</v>
      </c>
      <c r="H1583" s="7">
        <f>IFERROR(__xludf.DUMMYFUNCTION("""COMPUTED_VALUE"""),3.096918E7)</f>
        <v>30969180</v>
      </c>
      <c r="I1583" s="7">
        <f>IFERROR(__xludf.DUMMYFUNCTION("""COMPUTED_VALUE"""),3.516425777E9)</f>
        <v>3516425777</v>
      </c>
      <c r="J1583" s="7" t="str">
        <f>IFERROR(__xludf.DUMMYFUNCTION("""COMPUTED_VALUE"""),"Gimnasio")</f>
        <v>Gimnasio</v>
      </c>
      <c r="K1583" s="7" t="str">
        <f>IFERROR(__xludf.DUMMYFUNCTION("""COMPUTED_VALUE"""),"Obra social")</f>
        <v>Obra social</v>
      </c>
      <c r="L1583" s="7"/>
      <c r="M1583" s="7" t="str">
        <f>IFERROR(__xludf.DUMMYFUNCTION("""COMPUTED_VALUE"""),"Si")</f>
        <v>Si</v>
      </c>
      <c r="N1583" s="7" t="str">
        <f>IFERROR(__xludf.DUMMYFUNCTION("""COMPUTED_VALUE"""),"Gimnasio")</f>
        <v>Gimnasio</v>
      </c>
      <c r="O1583" s="7" t="str">
        <f>IFERROR(__xludf.DUMMYFUNCTION("""COMPUTED_VALUE"""),"3 a 5 veces por semana")</f>
        <v>3 a 5 veces por semana</v>
      </c>
      <c r="P1583" s="7"/>
      <c r="Q1583" s="7" t="str">
        <f>IFERROR(__xludf.DUMMYFUNCTION("""COMPUTED_VALUE"""),"SANCOR")</f>
        <v>SANCOR</v>
      </c>
      <c r="R1583" s="7"/>
      <c r="S1583" s="7"/>
    </row>
    <row r="1584">
      <c r="C1584" s="19">
        <f>IFERROR(__xludf.DUMMYFUNCTION("""COMPUTED_VALUE"""),46141.491789293985)</f>
        <v>46141.49179</v>
      </c>
      <c r="D1584" s="7" t="str">
        <f>IFERROR(__xludf.DUMMYFUNCTION("""COMPUTED_VALUE"""),"Fernandez")</f>
        <v>Fernandez</v>
      </c>
      <c r="E1584" s="7" t="str">
        <f>IFERROR(__xludf.DUMMYFUNCTION("""COMPUTED_VALUE"""),"Marite")</f>
        <v>Marite</v>
      </c>
      <c r="F1584" s="7"/>
      <c r="G1584" s="20">
        <f>IFERROR(__xludf.DUMMYFUNCTION("""COMPUTED_VALUE"""),22464.0)</f>
        <v>22464</v>
      </c>
      <c r="H1584" s="7">
        <f>IFERROR(__xludf.DUMMYFUNCTION("""COMPUTED_VALUE"""),1.4488091E7)</f>
        <v>14488091</v>
      </c>
      <c r="I1584" s="7">
        <f>IFERROR(__xludf.DUMMYFUNCTION("""COMPUTED_VALUE"""),3.51633103E9)</f>
        <v>3516331030</v>
      </c>
      <c r="J1584" s="7" t="str">
        <f>IFERROR(__xludf.DUMMYFUNCTION("""COMPUTED_VALUE"""),"Recomendación")</f>
        <v>Recomendación</v>
      </c>
      <c r="K1584" s="7" t="str">
        <f>IFERROR(__xludf.DUMMYFUNCTION("""COMPUTED_VALUE"""),"Obra social")</f>
        <v>Obra social</v>
      </c>
      <c r="L1584" s="7"/>
      <c r="M1584" s="7" t="str">
        <f>IFERROR(__xludf.DUMMYFUNCTION("""COMPUTED_VALUE"""),"Si")</f>
        <v>Si</v>
      </c>
      <c r="N1584" s="7" t="str">
        <f>IFERROR(__xludf.DUMMYFUNCTION("""COMPUTED_VALUE"""),"Gimnasio")</f>
        <v>Gimnasio</v>
      </c>
      <c r="O1584" s="7" t="str">
        <f>IFERROR(__xludf.DUMMYFUNCTION("""COMPUTED_VALUE"""),"3 a 5 veces por semana")</f>
        <v>3 a 5 veces por semana</v>
      </c>
      <c r="P1584" s="7"/>
      <c r="Q1584" s="7" t="str">
        <f>IFERROR(__xludf.DUMMYFUNCTION("""COMPUTED_VALUE"""),"APROSS")</f>
        <v>APROSS</v>
      </c>
      <c r="R1584" s="7"/>
      <c r="S1584" s="7"/>
    </row>
    <row r="1585">
      <c r="C1585" s="19">
        <f>IFERROR(__xludf.DUMMYFUNCTION("""COMPUTED_VALUE"""),46141.79337342593)</f>
        <v>46141.79337</v>
      </c>
      <c r="D1585" s="7" t="str">
        <f>IFERROR(__xludf.DUMMYFUNCTION("""COMPUTED_VALUE"""),"Rodríguez ")</f>
        <v>Rodríguez </v>
      </c>
      <c r="E1585" s="7" t="str">
        <f>IFERROR(__xludf.DUMMYFUNCTION("""COMPUTED_VALUE"""),"Flavia ")</f>
        <v>Flavia </v>
      </c>
      <c r="F1585" s="7" t="str">
        <f>IFERROR(__xludf.DUMMYFUNCTION("""COMPUTED_VALUE"""),"juana060185@gmail.com")</f>
        <v>juana060185@gmail.com</v>
      </c>
      <c r="G1585" s="20">
        <f>IFERROR(__xludf.DUMMYFUNCTION("""COMPUTED_VALUE"""),31053.0)</f>
        <v>31053</v>
      </c>
      <c r="H1585" s="7">
        <f>IFERROR(__xludf.DUMMYFUNCTION("""COMPUTED_VALUE"""),3.1356213E7)</f>
        <v>31356213</v>
      </c>
      <c r="I1585" s="7">
        <f>IFERROR(__xludf.DUMMYFUNCTION("""COMPUTED_VALUE"""),3.51659482E9)</f>
        <v>3516594820</v>
      </c>
      <c r="J1585" s="7" t="str">
        <f>IFERROR(__xludf.DUMMYFUNCTION("""COMPUTED_VALUE"""),"Recomendación")</f>
        <v>Recomendación</v>
      </c>
      <c r="K1585" s="7" t="str">
        <f>IFERROR(__xludf.DUMMYFUNCTION("""COMPUTED_VALUE"""),"Obra social")</f>
        <v>Obra social</v>
      </c>
      <c r="L1585" s="7"/>
      <c r="M1585" s="7" t="str">
        <f>IFERROR(__xludf.DUMMYFUNCTION("""COMPUTED_VALUE"""),"No")</f>
        <v>No</v>
      </c>
      <c r="N1585" s="7"/>
      <c r="O1585" s="7"/>
      <c r="P1585" s="7"/>
      <c r="Q1585" s="7" t="str">
        <f>IFERROR(__xludf.DUMMYFUNCTION("""COMPUTED_VALUE"""),"APROSS")</f>
        <v>APROSS</v>
      </c>
      <c r="R1585" s="7"/>
      <c r="S1585" s="7"/>
    </row>
    <row r="1586">
      <c r="C1586" s="19">
        <f>IFERROR(__xludf.DUMMYFUNCTION("""COMPUTED_VALUE"""),46141.83716439815)</f>
        <v>46141.83716</v>
      </c>
      <c r="D1586" s="7" t="str">
        <f>IFERROR(__xludf.DUMMYFUNCTION("""COMPUTED_VALUE"""),"Di Raimondo ")</f>
        <v>Di Raimondo </v>
      </c>
      <c r="E1586" s="7" t="str">
        <f>IFERROR(__xludf.DUMMYFUNCTION("""COMPUTED_VALUE"""),"Fabiana ")</f>
        <v>Fabiana </v>
      </c>
      <c r="F1586" s="7" t="str">
        <f>IFERROR(__xludf.DUMMYFUNCTION("""COMPUTED_VALUE"""),"Fabi_diraimondo@hotmail.com")</f>
        <v>Fabi_diraimondo@hotmail.com</v>
      </c>
      <c r="G1586" s="20">
        <f>IFERROR(__xludf.DUMMYFUNCTION("""COMPUTED_VALUE"""),25776.0)</f>
        <v>25776</v>
      </c>
      <c r="H1586" s="7">
        <f>IFERROR(__xludf.DUMMYFUNCTION("""COMPUTED_VALUE"""),2.1755112E7)</f>
        <v>21755112</v>
      </c>
      <c r="I1586" s="7">
        <f>IFERROR(__xludf.DUMMYFUNCTION("""COMPUTED_VALUE"""),3.513402324E9)</f>
        <v>3513402324</v>
      </c>
      <c r="J1586" s="7" t="str">
        <f>IFERROR(__xludf.DUMMYFUNCTION("""COMPUTED_VALUE"""),"Recomendación")</f>
        <v>Recomendación</v>
      </c>
      <c r="K1586" s="7" t="str">
        <f>IFERROR(__xludf.DUMMYFUNCTION("""COMPUTED_VALUE"""),"Particular")</f>
        <v>Particular</v>
      </c>
      <c r="L1586" s="7"/>
      <c r="M1586" s="7" t="str">
        <f>IFERROR(__xludf.DUMMYFUNCTION("""COMPUTED_VALUE"""),"No")</f>
        <v>No</v>
      </c>
      <c r="N1586" s="7"/>
      <c r="O1586" s="7"/>
      <c r="P1586" s="7"/>
      <c r="Q1586" s="7"/>
      <c r="R1586" s="7"/>
      <c r="S1586" s="7"/>
    </row>
    <row r="1587">
      <c r="C1587" s="19">
        <f>IFERROR(__xludf.DUMMYFUNCTION("""COMPUTED_VALUE"""),46142.46504758102)</f>
        <v>46142.46505</v>
      </c>
      <c r="D1587" s="7" t="str">
        <f>IFERROR(__xludf.DUMMYFUNCTION("""COMPUTED_VALUE"""),"Campos")</f>
        <v>Campos</v>
      </c>
      <c r="E1587" s="7" t="str">
        <f>IFERROR(__xludf.DUMMYFUNCTION("""COMPUTED_VALUE"""),"Nelida")</f>
        <v>Nelida</v>
      </c>
      <c r="F1587" s="7" t="str">
        <f>IFERROR(__xludf.DUMMYFUNCTION("""COMPUTED_VALUE"""),"-")</f>
        <v>-</v>
      </c>
      <c r="G1587" s="20">
        <f>IFERROR(__xludf.DUMMYFUNCTION("""COMPUTED_VALUE"""),20006.0)</f>
        <v>20006</v>
      </c>
      <c r="H1587" s="7">
        <f>IFERROR(__xludf.DUMMYFUNCTION("""COMPUTED_VALUE"""),1.1359142E7)</f>
        <v>11359142</v>
      </c>
      <c r="I1587" s="7">
        <f>IFERROR(__xludf.DUMMYFUNCTION("""COMPUTED_VALUE"""),3.513039836E9)</f>
        <v>3513039836</v>
      </c>
      <c r="J1587" s="7" t="str">
        <f>IFERROR(__xludf.DUMMYFUNCTION("""COMPUTED_VALUE"""),"Gimnasio")</f>
        <v>Gimnasio</v>
      </c>
      <c r="K1587" s="7" t="str">
        <f>IFERROR(__xludf.DUMMYFUNCTION("""COMPUTED_VALUE"""),"Obra social")</f>
        <v>Obra social</v>
      </c>
      <c r="L1587" s="7"/>
      <c r="M1587" s="7" t="str">
        <f>IFERROR(__xludf.DUMMYFUNCTION("""COMPUTED_VALUE"""),"No")</f>
        <v>No</v>
      </c>
      <c r="N1587" s="7"/>
      <c r="O1587" s="7"/>
      <c r="P1587" s="7"/>
      <c r="Q1587" s="7" t="str">
        <f>IFERROR(__xludf.DUMMYFUNCTION("""COMPUTED_VALUE"""),"APROSS")</f>
        <v>APROSS</v>
      </c>
      <c r="R1587" s="7"/>
      <c r="S1587" s="7"/>
    </row>
    <row r="1588">
      <c r="C1588" s="19">
        <f>IFERROR(__xludf.DUMMYFUNCTION("""COMPUTED_VALUE"""),46142.50983577546)</f>
        <v>46142.50984</v>
      </c>
      <c r="D1588" s="7" t="str">
        <f>IFERROR(__xludf.DUMMYFUNCTION("""COMPUTED_VALUE"""),"GIECO")</f>
        <v>GIECO</v>
      </c>
      <c r="E1588" s="7" t="str">
        <f>IFERROR(__xludf.DUMMYFUNCTION("""COMPUTED_VALUE"""),"Rosa Mabel")</f>
        <v>Rosa Mabel</v>
      </c>
      <c r="F1588" s="7" t="str">
        <f>IFERROR(__xludf.DUMMYFUNCTION("""COMPUTED_VALUE"""),"mabegieco@gmail.com")</f>
        <v>mabegieco@gmail.com</v>
      </c>
      <c r="G1588" s="20">
        <f>IFERROR(__xludf.DUMMYFUNCTION("""COMPUTED_VALUE"""),15801.0)</f>
        <v>15801</v>
      </c>
      <c r="H1588" s="7">
        <f>IFERROR(__xludf.DUMMYFUNCTION("""COMPUTED_VALUE"""),4736714.0)</f>
        <v>4736714</v>
      </c>
      <c r="I1588" s="7">
        <f>IFERROR(__xludf.DUMMYFUNCTION("""COMPUTED_VALUE"""),3.513569813E9)</f>
        <v>3513569813</v>
      </c>
      <c r="J1588" s="7" t="str">
        <f>IFERROR(__xludf.DUMMYFUNCTION("""COMPUTED_VALUE"""),"Recomendación")</f>
        <v>Recomendación</v>
      </c>
      <c r="K1588" s="7" t="str">
        <f>IFERROR(__xludf.DUMMYFUNCTION("""COMPUTED_VALUE"""),"Obra social")</f>
        <v>Obra social</v>
      </c>
      <c r="L1588" s="7"/>
      <c r="M1588" s="7" t="str">
        <f>IFERROR(__xludf.DUMMYFUNCTION("""COMPUTED_VALUE"""),"No")</f>
        <v>No</v>
      </c>
      <c r="N1588" s="7"/>
      <c r="O1588" s="7"/>
      <c r="P1588" s="7"/>
      <c r="Q1588" s="7" t="str">
        <f>IFERROR(__xludf.DUMMYFUNCTION("""COMPUTED_VALUE"""),"APROSS")</f>
        <v>APROSS</v>
      </c>
      <c r="R1588" s="7"/>
      <c r="S1588" s="7"/>
    </row>
    <row r="1589">
      <c r="C1589" s="19">
        <f>IFERROR(__xludf.DUMMYFUNCTION("""COMPUTED_VALUE"""),46142.72129976852)</f>
        <v>46142.7213</v>
      </c>
      <c r="D1589" s="7" t="str">
        <f>IFERROR(__xludf.DUMMYFUNCTION("""COMPUTED_VALUE"""),"mondino ")</f>
        <v>mondino </v>
      </c>
      <c r="E1589" s="7" t="str">
        <f>IFERROR(__xludf.DUMMYFUNCTION("""COMPUTED_VALUE"""),"federico ")</f>
        <v>federico </v>
      </c>
      <c r="F1589" s="7" t="str">
        <f>IFERROR(__xludf.DUMMYFUNCTION("""COMPUTED_VALUE"""),"federicomondino@gmail.com ")</f>
        <v>federicomondino@gmail.com </v>
      </c>
      <c r="G1589" s="20">
        <f>IFERROR(__xludf.DUMMYFUNCTION("""COMPUTED_VALUE"""),29913.0)</f>
        <v>29913</v>
      </c>
      <c r="H1589" s="7">
        <f>IFERROR(__xludf.DUMMYFUNCTION("""COMPUTED_VALUE"""),2.8207047E7)</f>
        <v>28207047</v>
      </c>
      <c r="I1589" s="7">
        <f>IFERROR(__xludf.DUMMYFUNCTION("""COMPUTED_VALUE"""),3.516542005E9)</f>
        <v>3516542005</v>
      </c>
      <c r="J1589" s="7" t="str">
        <f>IFERROR(__xludf.DUMMYFUNCTION("""COMPUTED_VALUE"""),"Gimnasio")</f>
        <v>Gimnasio</v>
      </c>
      <c r="K1589" s="7" t="str">
        <f>IFERROR(__xludf.DUMMYFUNCTION("""COMPUTED_VALUE"""),"Obra social")</f>
        <v>Obra social</v>
      </c>
      <c r="L1589" s="7"/>
      <c r="M1589" s="7" t="str">
        <f>IFERROR(__xludf.DUMMYFUNCTION("""COMPUTED_VALUE"""),"Si")</f>
        <v>Si</v>
      </c>
      <c r="N1589" s="7" t="str">
        <f>IFERROR(__xludf.DUMMYFUNCTION("""COMPUTED_VALUE"""),"padel")</f>
        <v>padel</v>
      </c>
      <c r="O1589" s="7" t="str">
        <f>IFERROR(__xludf.DUMMYFUNCTION("""COMPUTED_VALUE"""),"3 a 5 veces por semana")</f>
        <v>3 a 5 veces por semana</v>
      </c>
      <c r="P1589" s="7"/>
      <c r="Q1589" s="7" t="str">
        <f>IFERROR(__xludf.DUMMYFUNCTION("""COMPUTED_VALUE"""),"PREVENCIÓN")</f>
        <v>PREVENCIÓN</v>
      </c>
      <c r="R1589" s="7"/>
      <c r="S1589" s="7"/>
    </row>
    <row r="1590">
      <c r="C1590" s="19">
        <f>IFERROR(__xludf.DUMMYFUNCTION("""COMPUTED_VALUE"""),46144.712053125)</f>
        <v>46144.71205</v>
      </c>
      <c r="D1590" s="7" t="str">
        <f>IFERROR(__xludf.DUMMYFUNCTION("""COMPUTED_VALUE"""),"Peano")</f>
        <v>Peano</v>
      </c>
      <c r="E1590" s="7" t="str">
        <f>IFERROR(__xludf.DUMMYFUNCTION("""COMPUTED_VALUE"""),"Fabricio")</f>
        <v>Fabricio</v>
      </c>
      <c r="F1590" s="7" t="str">
        <f>IFERROR(__xludf.DUMMYFUNCTION("""COMPUTED_VALUE"""),"fabripeano@gmail.com")</f>
        <v>fabripeano@gmail.com</v>
      </c>
      <c r="G1590" s="20">
        <f>IFERROR(__xludf.DUMMYFUNCTION("""COMPUTED_VALUE"""),33269.0)</f>
        <v>33269</v>
      </c>
      <c r="H1590" s="7">
        <f>IFERROR(__xludf.DUMMYFUNCTION("""COMPUTED_VALUE"""),3.5576224E7)</f>
        <v>35576224</v>
      </c>
      <c r="I1590" s="7">
        <f>IFERROR(__xludf.DUMMYFUNCTION("""COMPUTED_VALUE"""),3.512388048E9)</f>
        <v>3512388048</v>
      </c>
      <c r="J1590" s="7" t="str">
        <f>IFERROR(__xludf.DUMMYFUNCTION("""COMPUTED_VALUE"""),"Instagram")</f>
        <v>Instagram</v>
      </c>
      <c r="K1590" s="7" t="str">
        <f>IFERROR(__xludf.DUMMYFUNCTION("""COMPUTED_VALUE"""),"Particular")</f>
        <v>Particular</v>
      </c>
      <c r="L1590" s="7"/>
      <c r="M1590" s="7" t="str">
        <f>IFERROR(__xludf.DUMMYFUNCTION("""COMPUTED_VALUE"""),"No")</f>
        <v>No</v>
      </c>
      <c r="N1590" s="7"/>
      <c r="O1590" s="7"/>
      <c r="P1590" s="7"/>
      <c r="Q1590" s="7"/>
      <c r="R1590" s="7"/>
      <c r="S1590" s="7"/>
    </row>
    <row r="1591">
      <c r="C1591" s="19">
        <f>IFERROR(__xludf.DUMMYFUNCTION("""COMPUTED_VALUE"""),46146.394023009256)</f>
        <v>46146.39402</v>
      </c>
      <c r="D1591" s="7" t="str">
        <f>IFERROR(__xludf.DUMMYFUNCTION("""COMPUTED_VALUE"""),"Rufeil Sandrigo")</f>
        <v>Rufeil Sandrigo</v>
      </c>
      <c r="E1591" s="7" t="str">
        <f>IFERROR(__xludf.DUMMYFUNCTION("""COMPUTED_VALUE"""),"Catalina")</f>
        <v>Catalina</v>
      </c>
      <c r="F1591" s="7" t="str">
        <f>IFERROR(__xludf.DUMMYFUNCTION("""COMPUTED_VALUE"""),"erufeil@hotmail.com")</f>
        <v>erufeil@hotmail.com</v>
      </c>
      <c r="G1591" s="20">
        <f>IFERROR(__xludf.DUMMYFUNCTION("""COMPUTED_VALUE"""),41085.0)</f>
        <v>41085</v>
      </c>
      <c r="H1591" s="7">
        <f>IFERROR(__xludf.DUMMYFUNCTION("""COMPUTED_VALUE"""),5.2229267E7)</f>
        <v>52229267</v>
      </c>
      <c r="I1591" s="7">
        <f>IFERROR(__xludf.DUMMYFUNCTION("""COMPUTED_VALUE"""),3.516599994E9)</f>
        <v>3516599994</v>
      </c>
      <c r="J1591" s="7" t="str">
        <f>IFERROR(__xludf.DUMMYFUNCTION("""COMPUTED_VALUE"""),"Emanuel Asinari")</f>
        <v>Emanuel Asinari</v>
      </c>
      <c r="K1591" s="7" t="str">
        <f>IFERROR(__xludf.DUMMYFUNCTION("""COMPUTED_VALUE"""),"Obra social")</f>
        <v>Obra social</v>
      </c>
      <c r="L1591" s="7"/>
      <c r="M1591" s="7" t="str">
        <f>IFERROR(__xludf.DUMMYFUNCTION("""COMPUTED_VALUE"""),"Si")</f>
        <v>Si</v>
      </c>
      <c r="N1591" s="7" t="str">
        <f>IFERROR(__xludf.DUMMYFUNCTION("""COMPUTED_VALUE"""),"Taek-wondo")</f>
        <v>Taek-wondo</v>
      </c>
      <c r="O1591" s="7" t="str">
        <f>IFERROR(__xludf.DUMMYFUNCTION("""COMPUTED_VALUE"""),"1 a 2 veces por semana")</f>
        <v>1 a 2 veces por semana</v>
      </c>
      <c r="P1591" s="7"/>
      <c r="Q1591" s="7" t="str">
        <f>IFERROR(__xludf.DUMMYFUNCTION("""COMPUTED_VALUE"""),"APROSS")</f>
        <v>APROSS</v>
      </c>
      <c r="R1591" s="7"/>
      <c r="S1591" s="7"/>
    </row>
    <row r="1592">
      <c r="C1592" s="19">
        <f>IFERROR(__xludf.DUMMYFUNCTION("""COMPUTED_VALUE"""),46146.42056642361)</f>
        <v>46146.42057</v>
      </c>
      <c r="D1592" s="7" t="str">
        <f>IFERROR(__xludf.DUMMYFUNCTION("""COMPUTED_VALUE"""),"Gallerano casartelli")</f>
        <v>Gallerano casartelli</v>
      </c>
      <c r="E1592" s="7" t="str">
        <f>IFERROR(__xludf.DUMMYFUNCTION("""COMPUTED_VALUE"""),"Julio vicente ")</f>
        <v>Julio vicente </v>
      </c>
      <c r="F1592" s="7" t="str">
        <f>IFERROR(__xludf.DUMMYFUNCTION("""COMPUTED_VALUE"""),"Juliogallerano1978@gmail.comJuliogallerano1978")</f>
        <v>Juliogallerano1978@gmail.comJuliogallerano1978</v>
      </c>
      <c r="G1592" s="20">
        <f>IFERROR(__xludf.DUMMYFUNCTION("""COMPUTED_VALUE"""),28572.0)</f>
        <v>28572</v>
      </c>
      <c r="H1592" s="7">
        <f>IFERROR(__xludf.DUMMYFUNCTION("""COMPUTED_VALUE"""),2.6896505E7)</f>
        <v>26896505</v>
      </c>
      <c r="I1592" s="7">
        <f>IFERROR(__xludf.DUMMYFUNCTION("""COMPUTED_VALUE"""),3.516543636E9)</f>
        <v>3516543636</v>
      </c>
      <c r="J1592" s="7" t="str">
        <f>IFERROR(__xludf.DUMMYFUNCTION("""COMPUTED_VALUE"""),"Google")</f>
        <v>Google</v>
      </c>
      <c r="K1592" s="7" t="str">
        <f>IFERROR(__xludf.DUMMYFUNCTION("""COMPUTED_VALUE"""),"Obra social")</f>
        <v>Obra social</v>
      </c>
      <c r="L1592" s="7"/>
      <c r="M1592" s="7" t="str">
        <f>IFERROR(__xludf.DUMMYFUNCTION("""COMPUTED_VALUE"""),"No")</f>
        <v>No</v>
      </c>
      <c r="N1592" s="7"/>
      <c r="O1592" s="7"/>
      <c r="P1592" s="7"/>
      <c r="Q1592" s="7" t="str">
        <f>IFERROR(__xludf.DUMMYFUNCTION("""COMPUTED_VALUE"""),"SANCOR")</f>
        <v>SANCOR</v>
      </c>
      <c r="R1592" s="7"/>
      <c r="S1592" s="7"/>
    </row>
    <row r="1593">
      <c r="C1593" s="19">
        <f>IFERROR(__xludf.DUMMYFUNCTION("""COMPUTED_VALUE"""),46146.47356832176)</f>
        <v>46146.47357</v>
      </c>
      <c r="D1593" s="7" t="str">
        <f>IFERROR(__xludf.DUMMYFUNCTION("""COMPUTED_VALUE"""),"Velazco")</f>
        <v>Velazco</v>
      </c>
      <c r="E1593" s="7" t="str">
        <f>IFERROR(__xludf.DUMMYFUNCTION("""COMPUTED_VALUE"""),"Claudia")</f>
        <v>Claudia</v>
      </c>
      <c r="F1593" s="7" t="str">
        <f>IFERROR(__xludf.DUMMYFUNCTION("""COMPUTED_VALUE"""),"clvelazco71@gmail.com")</f>
        <v>clvelazco71@gmail.com</v>
      </c>
      <c r="G1593" s="20">
        <f>IFERROR(__xludf.DUMMYFUNCTION("""COMPUTED_VALUE"""),27271.0)</f>
        <v>27271</v>
      </c>
      <c r="H1593" s="7">
        <f>IFERROR(__xludf.DUMMYFUNCTION("""COMPUTED_VALUE"""),2.2371209E7)</f>
        <v>22371209</v>
      </c>
      <c r="I1593" s="7">
        <f>IFERROR(__xludf.DUMMYFUNCTION("""COMPUTED_VALUE"""),3.513944088E9)</f>
        <v>3513944088</v>
      </c>
      <c r="J1593" s="7" t="str">
        <f>IFERROR(__xludf.DUMMYFUNCTION("""COMPUTED_VALUE"""),"Familiar ")</f>
        <v>Familiar </v>
      </c>
      <c r="K1593" s="7" t="str">
        <f>IFERROR(__xludf.DUMMYFUNCTION("""COMPUTED_VALUE"""),"Obra social")</f>
        <v>Obra social</v>
      </c>
      <c r="L1593" s="7"/>
      <c r="M1593" s="7" t="str">
        <f>IFERROR(__xludf.DUMMYFUNCTION("""COMPUTED_VALUE"""),"Si")</f>
        <v>Si</v>
      </c>
      <c r="N1593" s="7" t="str">
        <f>IFERROR(__xludf.DUMMYFUNCTION("""COMPUTED_VALUE"""),"Pilates")</f>
        <v>Pilates</v>
      </c>
      <c r="O1593" s="7" t="str">
        <f>IFERROR(__xludf.DUMMYFUNCTION("""COMPUTED_VALUE"""),"1 a 2 veces por semana")</f>
        <v>1 a 2 veces por semana</v>
      </c>
      <c r="P1593" s="7"/>
      <c r="Q1593" s="7" t="str">
        <f>IFERROR(__xludf.DUMMYFUNCTION("""COMPUTED_VALUE"""),"APROSS")</f>
        <v>APROSS</v>
      </c>
      <c r="R1593" s="7"/>
      <c r="S1593" s="7"/>
    </row>
    <row r="1594">
      <c r="C1594" s="19">
        <f>IFERROR(__xludf.DUMMYFUNCTION("""COMPUTED_VALUE"""),46146.51287532407)</f>
        <v>46146.51288</v>
      </c>
      <c r="D1594" s="7" t="str">
        <f>IFERROR(__xludf.DUMMYFUNCTION("""COMPUTED_VALUE"""),"Herrera")</f>
        <v>Herrera</v>
      </c>
      <c r="E1594" s="7" t="str">
        <f>IFERROR(__xludf.DUMMYFUNCTION("""COMPUTED_VALUE"""),"Eliana")</f>
        <v>Eliana</v>
      </c>
      <c r="F1594" s="7" t="str">
        <f>IFERROR(__xludf.DUMMYFUNCTION("""COMPUTED_VALUE"""),"eherrerasir@gmail.com")</f>
        <v>eherrerasir@gmail.com</v>
      </c>
      <c r="G1594" s="20">
        <f>IFERROR(__xludf.DUMMYFUNCTION("""COMPUTED_VALUE"""),32952.0)</f>
        <v>32952</v>
      </c>
      <c r="H1594" s="7">
        <f>IFERROR(__xludf.DUMMYFUNCTION("""COMPUTED_VALUE"""),3.5570214E7)</f>
        <v>35570214</v>
      </c>
      <c r="I1594" s="7">
        <f>IFERROR(__xludf.DUMMYFUNCTION("""COMPUTED_VALUE"""),2.966612677E9)</f>
        <v>2966612677</v>
      </c>
      <c r="J1594" s="7" t="str">
        <f>IFERROR(__xludf.DUMMYFUNCTION("""COMPUTED_VALUE"""),"Google")</f>
        <v>Google</v>
      </c>
      <c r="K1594" s="7" t="str">
        <f>IFERROR(__xludf.DUMMYFUNCTION("""COMPUTED_VALUE"""),"Obra social")</f>
        <v>Obra social</v>
      </c>
      <c r="L1594" s="7"/>
      <c r="M1594" s="7" t="str">
        <f>IFERROR(__xludf.DUMMYFUNCTION("""COMPUTED_VALUE"""),"Si")</f>
        <v>Si</v>
      </c>
      <c r="N1594" s="7" t="str">
        <f>IFERROR(__xludf.DUMMYFUNCTION("""COMPUTED_VALUE"""),"Hockey ")</f>
        <v>Hockey </v>
      </c>
      <c r="O1594" s="7" t="str">
        <f>IFERROR(__xludf.DUMMYFUNCTION("""COMPUTED_VALUE"""),"1 a 2 veces por semana")</f>
        <v>1 a 2 veces por semana</v>
      </c>
      <c r="P1594" s="7"/>
      <c r="Q1594" s="7" t="str">
        <f>IFERROR(__xludf.DUMMYFUNCTION("""COMPUTED_VALUE"""),"Omint ")</f>
        <v>Omint </v>
      </c>
      <c r="R1594" s="7"/>
      <c r="S1594" s="7"/>
    </row>
    <row r="1595">
      <c r="C1595" s="19">
        <f>IFERROR(__xludf.DUMMYFUNCTION("""COMPUTED_VALUE"""),46146.58744752315)</f>
        <v>46146.58745</v>
      </c>
      <c r="D1595" s="7" t="str">
        <f>IFERROR(__xludf.DUMMYFUNCTION("""COMPUTED_VALUE"""),"Sakalian")</f>
        <v>Sakalian</v>
      </c>
      <c r="E1595" s="7" t="str">
        <f>IFERROR(__xludf.DUMMYFUNCTION("""COMPUTED_VALUE"""),"Luca")</f>
        <v>Luca</v>
      </c>
      <c r="F1595" s="7" t="str">
        <f>IFERROR(__xludf.DUMMYFUNCTION("""COMPUTED_VALUE"""),"lucasakalian03@gmail.com")</f>
        <v>lucasakalian03@gmail.com</v>
      </c>
      <c r="G1595" s="20">
        <f>IFERROR(__xludf.DUMMYFUNCTION("""COMPUTED_VALUE"""),37950.0)</f>
        <v>37950</v>
      </c>
      <c r="H1595" s="7">
        <f>IFERROR(__xludf.DUMMYFUNCTION("""COMPUTED_VALUE"""),4.5083188E7)</f>
        <v>45083188</v>
      </c>
      <c r="I1595" s="7">
        <f>IFERROR(__xludf.DUMMYFUNCTION("""COMPUTED_VALUE"""),3.512809382E9)</f>
        <v>3512809382</v>
      </c>
      <c r="J1595" s="7" t="str">
        <f>IFERROR(__xludf.DUMMYFUNCTION("""COMPUTED_VALUE"""),"Google")</f>
        <v>Google</v>
      </c>
      <c r="K1595" s="7" t="str">
        <f>IFERROR(__xludf.DUMMYFUNCTION("""COMPUTED_VALUE"""),"Particular")</f>
        <v>Particular</v>
      </c>
      <c r="L1595" s="7"/>
      <c r="M1595" s="7" t="str">
        <f>IFERROR(__xludf.DUMMYFUNCTION("""COMPUTED_VALUE"""),"Si")</f>
        <v>Si</v>
      </c>
      <c r="N1595" s="7" t="str">
        <f>IFERROR(__xludf.DUMMYFUNCTION("""COMPUTED_VALUE"""),"Futbol sala")</f>
        <v>Futbol sala</v>
      </c>
      <c r="O1595" s="7" t="str">
        <f>IFERROR(__xludf.DUMMYFUNCTION("""COMPUTED_VALUE"""),"3 a 5 veces por semana")</f>
        <v>3 a 5 veces por semana</v>
      </c>
      <c r="P1595" s="7"/>
      <c r="Q1595" s="7"/>
      <c r="R1595" s="7"/>
      <c r="S1595" s="7"/>
    </row>
    <row r="1596">
      <c r="C1596" s="19">
        <f>IFERROR(__xludf.DUMMYFUNCTION("""COMPUTED_VALUE"""),46146.593601863424)</f>
        <v>46146.5936</v>
      </c>
      <c r="D1596" s="7" t="str">
        <f>IFERROR(__xludf.DUMMYFUNCTION("""COMPUTED_VALUE"""),"Solorzano")</f>
        <v>Solorzano</v>
      </c>
      <c r="E1596" s="7" t="str">
        <f>IFERROR(__xludf.DUMMYFUNCTION("""COMPUTED_VALUE"""),"Ignacio")</f>
        <v>Ignacio</v>
      </c>
      <c r="F1596" s="7" t="str">
        <f>IFERROR(__xludf.DUMMYFUNCTION("""COMPUTED_VALUE"""),"nacho-solorzano@hotmail.com")</f>
        <v>nacho-solorzano@hotmail.com</v>
      </c>
      <c r="G1596" s="20">
        <f>IFERROR(__xludf.DUMMYFUNCTION("""COMPUTED_VALUE"""),35641.0)</f>
        <v>35641</v>
      </c>
      <c r="H1596" s="7">
        <f>IFERROR(__xludf.DUMMYFUNCTION("""COMPUTED_VALUE"""),9.4763973E7)</f>
        <v>94763973</v>
      </c>
      <c r="I1596" s="7">
        <f>IFERROR(__xludf.DUMMYFUNCTION("""COMPUTED_VALUE"""),3.51511268E9)</f>
        <v>3515112680</v>
      </c>
      <c r="J1596" s="7" t="str">
        <f>IFERROR(__xludf.DUMMYFUNCTION("""COMPUTED_VALUE"""),"Google")</f>
        <v>Google</v>
      </c>
      <c r="K1596" s="7" t="str">
        <f>IFERROR(__xludf.DUMMYFUNCTION("""COMPUTED_VALUE"""),"Obra social")</f>
        <v>Obra social</v>
      </c>
      <c r="L1596" s="7"/>
      <c r="M1596" s="7" t="str">
        <f>IFERROR(__xludf.DUMMYFUNCTION("""COMPUTED_VALUE"""),"Si")</f>
        <v>Si</v>
      </c>
      <c r="N1596" s="7" t="str">
        <f>IFERROR(__xludf.DUMMYFUNCTION("""COMPUTED_VALUE"""),"Running")</f>
        <v>Running</v>
      </c>
      <c r="O1596" s="7" t="str">
        <f>IFERROR(__xludf.DUMMYFUNCTION("""COMPUTED_VALUE"""),"3 a 5 veces por semana")</f>
        <v>3 a 5 veces por semana</v>
      </c>
      <c r="P1596" s="7"/>
      <c r="Q1596" s="7" t="str">
        <f>IFERROR(__xludf.DUMMYFUNCTION("""COMPUTED_VALUE"""),"osde")</f>
        <v>osde</v>
      </c>
      <c r="R1596" s="7"/>
      <c r="S1596" s="7"/>
    </row>
    <row r="1597">
      <c r="C1597" s="19">
        <f>IFERROR(__xludf.DUMMYFUNCTION("""COMPUTED_VALUE"""),46146.61156380787)</f>
        <v>46146.61156</v>
      </c>
      <c r="D1597" s="7" t="str">
        <f>IFERROR(__xludf.DUMMYFUNCTION("""COMPUTED_VALUE"""),"San Pedro")</f>
        <v>San Pedro</v>
      </c>
      <c r="E1597" s="7" t="str">
        <f>IFERROR(__xludf.DUMMYFUNCTION("""COMPUTED_VALUE"""),"Maria Amelia ")</f>
        <v>Maria Amelia </v>
      </c>
      <c r="F1597" s="7" t="str">
        <f>IFERROR(__xludf.DUMMYFUNCTION("""COMPUTED_VALUE"""),"mariaamelia.sanpedro@gmail.com")</f>
        <v>mariaamelia.sanpedro@gmail.com</v>
      </c>
      <c r="G1597" s="20">
        <f>IFERROR(__xludf.DUMMYFUNCTION("""COMPUTED_VALUE"""),25503.0)</f>
        <v>25503</v>
      </c>
      <c r="H1597" s="7">
        <f>IFERROR(__xludf.DUMMYFUNCTION("""COMPUTED_VALUE"""),2.0997773E7)</f>
        <v>20997773</v>
      </c>
      <c r="I1597" s="7">
        <f>IFERROR(__xludf.DUMMYFUNCTION("""COMPUTED_VALUE"""),3.512196006E9)</f>
        <v>3512196006</v>
      </c>
      <c r="J1597" s="7" t="str">
        <f>IFERROR(__xludf.DUMMYFUNCTION("""COMPUTED_VALUE"""),"Recomendación")</f>
        <v>Recomendación</v>
      </c>
      <c r="K1597" s="7" t="str">
        <f>IFERROR(__xludf.DUMMYFUNCTION("""COMPUTED_VALUE"""),"Particular")</f>
        <v>Particular</v>
      </c>
      <c r="L1597" s="7"/>
      <c r="M1597" s="7" t="str">
        <f>IFERROR(__xludf.DUMMYFUNCTION("""COMPUTED_VALUE"""),"No")</f>
        <v>No</v>
      </c>
      <c r="N1597" s="7"/>
      <c r="O1597" s="7"/>
      <c r="P1597" s="7"/>
      <c r="Q1597" s="7"/>
      <c r="R1597" s="7"/>
      <c r="S1597" s="7"/>
    </row>
    <row r="1598">
      <c r="C1598" s="19">
        <f>IFERROR(__xludf.DUMMYFUNCTION("""COMPUTED_VALUE"""),46147.386067604166)</f>
        <v>46147.38607</v>
      </c>
      <c r="D1598" s="7" t="str">
        <f>IFERROR(__xludf.DUMMYFUNCTION("""COMPUTED_VALUE"""),"nuin")</f>
        <v>nuin</v>
      </c>
      <c r="E1598" s="7" t="str">
        <f>IFERROR(__xludf.DUMMYFUNCTION("""COMPUTED_VALUE"""),"anabela")</f>
        <v>anabela</v>
      </c>
      <c r="F1598" s="7" t="str">
        <f>IFERROR(__xludf.DUMMYFUNCTION("""COMPUTED_VALUE"""),"ananuin87@gmail.com")</f>
        <v>ananuin87@gmail.com</v>
      </c>
      <c r="G1598" s="20">
        <f>IFERROR(__xludf.DUMMYFUNCTION("""COMPUTED_VALUE"""),31791.0)</f>
        <v>31791</v>
      </c>
      <c r="H1598" s="7">
        <f>IFERROR(__xludf.DUMMYFUNCTION("""COMPUTED_VALUE"""),3.2863739E7)</f>
        <v>32863739</v>
      </c>
      <c r="I1598" s="7">
        <f>IFERROR(__xludf.DUMMYFUNCTION("""COMPUTED_VALUE"""),3.516481398E9)</f>
        <v>3516481398</v>
      </c>
      <c r="J1598" s="7" t="str">
        <f>IFERROR(__xludf.DUMMYFUNCTION("""COMPUTED_VALUE"""),"Gimnasio")</f>
        <v>Gimnasio</v>
      </c>
      <c r="K1598" s="7" t="str">
        <f>IFERROR(__xludf.DUMMYFUNCTION("""COMPUTED_VALUE"""),"Obra social")</f>
        <v>Obra social</v>
      </c>
      <c r="L1598" s="7"/>
      <c r="M1598" s="7" t="str">
        <f>IFERROR(__xludf.DUMMYFUNCTION("""COMPUTED_VALUE"""),"Si")</f>
        <v>Si</v>
      </c>
      <c r="N1598" s="7" t="str">
        <f>IFERROR(__xludf.DUMMYFUNCTION("""COMPUTED_VALUE"""),"Gimnasio")</f>
        <v>Gimnasio</v>
      </c>
      <c r="O1598" s="7" t="str">
        <f>IFERROR(__xludf.DUMMYFUNCTION("""COMPUTED_VALUE"""),"1 a 2 veces por semana")</f>
        <v>1 a 2 veces por semana</v>
      </c>
      <c r="P1598" s="7"/>
      <c r="Q1598" s="7" t="str">
        <f>IFERROR(__xludf.DUMMYFUNCTION("""COMPUTED_VALUE"""),"medife")</f>
        <v>medife</v>
      </c>
      <c r="R1598" s="7"/>
      <c r="S1598" s="7"/>
    </row>
    <row r="1599">
      <c r="C1599" s="19">
        <f>IFERROR(__xludf.DUMMYFUNCTION("""COMPUTED_VALUE"""),46147.515678090276)</f>
        <v>46147.51568</v>
      </c>
      <c r="D1599" s="7" t="str">
        <f>IFERROR(__xludf.DUMMYFUNCTION("""COMPUTED_VALUE"""),"GOMEZ")</f>
        <v>GOMEZ</v>
      </c>
      <c r="E1599" s="7" t="str">
        <f>IFERROR(__xludf.DUMMYFUNCTION("""COMPUTED_VALUE"""),"MATIAS GABRIEL")</f>
        <v>MATIAS GABRIEL</v>
      </c>
      <c r="F1599" s="7" t="str">
        <f>IFERROR(__xludf.DUMMYFUNCTION("""COMPUTED_VALUE"""),"matiasgom96@gmail.com")</f>
        <v>matiasgom96@gmail.com</v>
      </c>
      <c r="G1599" s="20">
        <f>IFERROR(__xludf.DUMMYFUNCTION("""COMPUTED_VALUE"""),35312.0)</f>
        <v>35312</v>
      </c>
      <c r="H1599" s="7">
        <f>IFERROR(__xludf.DUMMYFUNCTION("""COMPUTED_VALUE"""),3.9230594E7)</f>
        <v>39230594</v>
      </c>
      <c r="I1599" s="7">
        <f>IFERROR(__xludf.DUMMYFUNCTION("""COMPUTED_VALUE"""),3.884795436E9)</f>
        <v>3884795436</v>
      </c>
      <c r="J1599" s="7" t="str">
        <f>IFERROR(__xludf.DUMMYFUNCTION("""COMPUTED_VALUE"""),"Cartilla Obra Social")</f>
        <v>Cartilla Obra Social</v>
      </c>
      <c r="K1599" s="7" t="str">
        <f>IFERROR(__xludf.DUMMYFUNCTION("""COMPUTED_VALUE"""),"Obra social")</f>
        <v>Obra social</v>
      </c>
      <c r="L1599" s="7"/>
      <c r="M1599" s="7" t="str">
        <f>IFERROR(__xludf.DUMMYFUNCTION("""COMPUTED_VALUE"""),"Si")</f>
        <v>Si</v>
      </c>
      <c r="N1599" s="7" t="str">
        <f>IFERROR(__xludf.DUMMYFUNCTION("""COMPUTED_VALUE"""),"Gimnasio")</f>
        <v>Gimnasio</v>
      </c>
      <c r="O1599" s="7" t="str">
        <f>IFERROR(__xludf.DUMMYFUNCTION("""COMPUTED_VALUE"""),"3 a 5 veces por semana")</f>
        <v>3 a 5 veces por semana</v>
      </c>
      <c r="P1599" s="7"/>
      <c r="Q1599" s="7" t="str">
        <f>IFERROR(__xludf.DUMMYFUNCTION("""COMPUTED_VALUE"""),"SCIS")</f>
        <v>SCIS</v>
      </c>
      <c r="R1599" s="7"/>
      <c r="S1599" s="7"/>
    </row>
    <row r="1600">
      <c r="C1600" s="19">
        <f>IFERROR(__xludf.DUMMYFUNCTION("""COMPUTED_VALUE"""),46147.81768092593)</f>
        <v>46147.81768</v>
      </c>
      <c r="D1600" s="7" t="str">
        <f>IFERROR(__xludf.DUMMYFUNCTION("""COMPUTED_VALUE"""),"Hadad")</f>
        <v>Hadad</v>
      </c>
      <c r="E1600" s="7" t="str">
        <f>IFERROR(__xludf.DUMMYFUNCTION("""COMPUTED_VALUE"""),"Joaquin")</f>
        <v>Joaquin</v>
      </c>
      <c r="F1600" s="7" t="str">
        <f>IFERROR(__xludf.DUMMYFUNCTION("""COMPUTED_VALUE"""),"diegohadad10@gmail.com")</f>
        <v>diegohadad10@gmail.com</v>
      </c>
      <c r="G1600" s="20">
        <f>IFERROR(__xludf.DUMMYFUNCTION("""COMPUTED_VALUE"""),41338.0)</f>
        <v>41338</v>
      </c>
      <c r="H1600" s="7">
        <f>IFERROR(__xludf.DUMMYFUNCTION("""COMPUTED_VALUE"""),5.3098626E7)</f>
        <v>53098626</v>
      </c>
      <c r="I1600" s="7">
        <f>IFERROR(__xludf.DUMMYFUNCTION("""COMPUTED_VALUE"""),3.512458679E9)</f>
        <v>3512458679</v>
      </c>
      <c r="J1600" s="7" t="str">
        <f>IFERROR(__xludf.DUMMYFUNCTION("""COMPUTED_VALUE"""),"Recomendación")</f>
        <v>Recomendación</v>
      </c>
      <c r="K1600" s="7" t="str">
        <f>IFERROR(__xludf.DUMMYFUNCTION("""COMPUTED_VALUE"""),"Particular")</f>
        <v>Particular</v>
      </c>
      <c r="L1600" s="7"/>
      <c r="M1600" s="7" t="str">
        <f>IFERROR(__xludf.DUMMYFUNCTION("""COMPUTED_VALUE"""),"Si")</f>
        <v>Si</v>
      </c>
      <c r="N1600" s="7" t="str">
        <f>IFERROR(__xludf.DUMMYFUNCTION("""COMPUTED_VALUE"""),"Rugby")</f>
        <v>Rugby</v>
      </c>
      <c r="O1600" s="7" t="str">
        <f>IFERROR(__xludf.DUMMYFUNCTION("""COMPUTED_VALUE"""),"3 a 5 veces por semana")</f>
        <v>3 a 5 veces por semana</v>
      </c>
      <c r="P1600" s="7"/>
      <c r="Q1600" s="7"/>
      <c r="R1600" s="7"/>
      <c r="S1600" s="7"/>
    </row>
    <row r="1601">
      <c r="C1601" s="19">
        <f>IFERROR(__xludf.DUMMYFUNCTION("""COMPUTED_VALUE"""),46147.81916643518)</f>
        <v>46147.81917</v>
      </c>
      <c r="D1601" s="7" t="str">
        <f>IFERROR(__xludf.DUMMYFUNCTION("""COMPUTED_VALUE"""),"BRIZUELA ")</f>
        <v>BRIZUELA </v>
      </c>
      <c r="E1601" s="7" t="str">
        <f>IFERROR(__xludf.DUMMYFUNCTION("""COMPUTED_VALUE"""),"Fernando ")</f>
        <v>Fernando </v>
      </c>
      <c r="F1601" s="7" t="str">
        <f>IFERROR(__xludf.DUMMYFUNCTION("""COMPUTED_VALUE"""),"fernandobrizuela15@hotmail.com")</f>
        <v>fernandobrizuela15@hotmail.com</v>
      </c>
      <c r="G1601" s="20">
        <f>IFERROR(__xludf.DUMMYFUNCTION("""COMPUTED_VALUE"""),26802.0)</f>
        <v>26802</v>
      </c>
      <c r="H1601" s="7">
        <f>IFERROR(__xludf.DUMMYFUNCTION("""COMPUTED_VALUE"""),2.3459965E7)</f>
        <v>23459965</v>
      </c>
      <c r="I1601" s="7">
        <f>IFERROR(__xludf.DUMMYFUNCTION("""COMPUTED_VALUE"""),3.516377067E9)</f>
        <v>3516377067</v>
      </c>
      <c r="J1601" s="7" t="str">
        <f>IFERROR(__xludf.DUMMYFUNCTION("""COMPUTED_VALUE"""),"Instagram")</f>
        <v>Instagram</v>
      </c>
      <c r="K1601" s="7" t="str">
        <f>IFERROR(__xludf.DUMMYFUNCTION("""COMPUTED_VALUE"""),"Obra social")</f>
        <v>Obra social</v>
      </c>
      <c r="L1601" s="7"/>
      <c r="M1601" s="7" t="str">
        <f>IFERROR(__xludf.DUMMYFUNCTION("""COMPUTED_VALUE"""),"No")</f>
        <v>No</v>
      </c>
      <c r="N1601" s="7"/>
      <c r="O1601" s="7"/>
      <c r="P1601" s="7"/>
      <c r="Q1601" s="7" t="str">
        <f>IFERROR(__xludf.DUMMYFUNCTION("""COMPUTED_VALUE"""),"Boreal ")</f>
        <v>Boreal </v>
      </c>
      <c r="R1601" s="7"/>
      <c r="S1601" s="7"/>
    </row>
    <row r="1602">
      <c r="C1602" s="19">
        <f>IFERROR(__xludf.DUMMYFUNCTION("""COMPUTED_VALUE"""),46148.37793336806)</f>
        <v>46148.37793</v>
      </c>
      <c r="D1602" s="7" t="str">
        <f>IFERROR(__xludf.DUMMYFUNCTION("""COMPUTED_VALUE"""),"Modica")</f>
        <v>Modica</v>
      </c>
      <c r="E1602" s="7" t="str">
        <f>IFERROR(__xludf.DUMMYFUNCTION("""COMPUTED_VALUE"""),"Nelida")</f>
        <v>Nelida</v>
      </c>
      <c r="F1602" s="7" t="str">
        <f>IFERROR(__xludf.DUMMYFUNCTION("""COMPUTED_VALUE"""),"Chochimodica@gmail.com")</f>
        <v>Chochimodica@gmail.com</v>
      </c>
      <c r="G1602" s="20">
        <f>IFERROR(__xludf.DUMMYFUNCTION("""COMPUTED_VALUE"""),15984.0)</f>
        <v>15984</v>
      </c>
      <c r="H1602" s="7">
        <f>IFERROR(__xludf.DUMMYFUNCTION("""COMPUTED_VALUE"""),4788687.0)</f>
        <v>4788687</v>
      </c>
      <c r="I1602" s="7">
        <f>IFERROR(__xludf.DUMMYFUNCTION("""COMPUTED_VALUE"""),3.513448011E9)</f>
        <v>3513448011</v>
      </c>
      <c r="J1602" s="7" t="str">
        <f>IFERROR(__xludf.DUMMYFUNCTION("""COMPUTED_VALUE"""),"Recomendación")</f>
        <v>Recomendación</v>
      </c>
      <c r="K1602" s="7" t="str">
        <f>IFERROR(__xludf.DUMMYFUNCTION("""COMPUTED_VALUE"""),"Particular")</f>
        <v>Particular</v>
      </c>
      <c r="L1602" s="7"/>
      <c r="M1602" s="7" t="str">
        <f>IFERROR(__xludf.DUMMYFUNCTION("""COMPUTED_VALUE"""),"No")</f>
        <v>No</v>
      </c>
      <c r="N1602" s="7"/>
      <c r="O1602" s="7"/>
      <c r="P1602" s="7"/>
      <c r="Q1602" s="7"/>
      <c r="R1602" s="7"/>
      <c r="S1602" s="7"/>
    </row>
    <row r="1603">
      <c r="C1603" s="19">
        <f>IFERROR(__xludf.DUMMYFUNCTION("""COMPUTED_VALUE"""),46148.426650995374)</f>
        <v>46148.42665</v>
      </c>
      <c r="D1603" s="7" t="str">
        <f>IFERROR(__xludf.DUMMYFUNCTION("""COMPUTED_VALUE"""),"Mainardi")</f>
        <v>Mainardi</v>
      </c>
      <c r="E1603" s="7" t="str">
        <f>IFERROR(__xludf.DUMMYFUNCTION("""COMPUTED_VALUE"""),"Daniel")</f>
        <v>Daniel</v>
      </c>
      <c r="F1603" s="7" t="str">
        <f>IFERROR(__xludf.DUMMYFUNCTION("""COMPUTED_VALUE"""),"danielmainardi@gmail.com")</f>
        <v>danielmainardi@gmail.com</v>
      </c>
      <c r="G1603" s="20">
        <f>IFERROR(__xludf.DUMMYFUNCTION("""COMPUTED_VALUE"""),24264.0)</f>
        <v>24264</v>
      </c>
      <c r="H1603" s="7">
        <f>IFERROR(__xludf.DUMMYFUNCTION("""COMPUTED_VALUE"""),1.7628135E7)</f>
        <v>17628135</v>
      </c>
      <c r="I1603" s="7">
        <f>IFERROR(__xludf.DUMMYFUNCTION("""COMPUTED_VALUE"""),3.515636325E9)</f>
        <v>3515636325</v>
      </c>
      <c r="J1603" s="7" t="str">
        <f>IFERROR(__xludf.DUMMYFUNCTION("""COMPUTED_VALUE"""),"recomendado por Dra Pacher")</f>
        <v>recomendado por Dra Pacher</v>
      </c>
      <c r="K1603" s="7" t="str">
        <f>IFERROR(__xludf.DUMMYFUNCTION("""COMPUTED_VALUE"""),"Particular")</f>
        <v>Particular</v>
      </c>
      <c r="L1603" s="7"/>
      <c r="M1603" s="7" t="str">
        <f>IFERROR(__xludf.DUMMYFUNCTION("""COMPUTED_VALUE"""),"No")</f>
        <v>No</v>
      </c>
      <c r="N1603" s="7"/>
      <c r="O1603" s="7"/>
      <c r="P1603" s="7"/>
      <c r="Q1603" s="7"/>
      <c r="R1603" s="7"/>
      <c r="S1603" s="7"/>
    </row>
    <row r="1604">
      <c r="C1604" s="19">
        <f>IFERROR(__xludf.DUMMYFUNCTION("""COMPUTED_VALUE"""),46148.43533940973)</f>
        <v>46148.43534</v>
      </c>
      <c r="D1604" s="7" t="str">
        <f>IFERROR(__xludf.DUMMYFUNCTION("""COMPUTED_VALUE"""),"Ferreyra ")</f>
        <v>Ferreyra </v>
      </c>
      <c r="E1604" s="7" t="str">
        <f>IFERROR(__xludf.DUMMYFUNCTION("""COMPUTED_VALUE"""),"Sonia")</f>
        <v>Sonia</v>
      </c>
      <c r="F1604" s="7" t="str">
        <f>IFERROR(__xludf.DUMMYFUNCTION("""COMPUTED_VALUE"""),"sole40097@gmail.com")</f>
        <v>sole40097@gmail.com</v>
      </c>
      <c r="G1604" s="20">
        <f>IFERROR(__xludf.DUMMYFUNCTION("""COMPUTED_VALUE"""),26507.0)</f>
        <v>26507</v>
      </c>
      <c r="H1604" s="7">
        <f>IFERROR(__xludf.DUMMYFUNCTION("""COMPUTED_VALUE"""),2.4172823E7)</f>
        <v>24172823</v>
      </c>
      <c r="I1604" s="7">
        <f>IFERROR(__xludf.DUMMYFUNCTION("""COMPUTED_VALUE"""),3.512500689E9)</f>
        <v>3512500689</v>
      </c>
      <c r="J1604" s="7" t="str">
        <f>IFERROR(__xludf.DUMMYFUNCTION("""COMPUTED_VALUE"""),"Instagram")</f>
        <v>Instagram</v>
      </c>
      <c r="K1604" s="7" t="str">
        <f>IFERROR(__xludf.DUMMYFUNCTION("""COMPUTED_VALUE"""),"Particular")</f>
        <v>Particular</v>
      </c>
      <c r="L1604" s="7"/>
      <c r="M1604" s="7" t="str">
        <f>IFERROR(__xludf.DUMMYFUNCTION("""COMPUTED_VALUE"""),"No")</f>
        <v>No</v>
      </c>
      <c r="N1604" s="7"/>
      <c r="O1604" s="7"/>
      <c r="P1604" s="7"/>
      <c r="Q1604" s="7"/>
      <c r="R1604" s="7"/>
      <c r="S1604" s="7"/>
    </row>
    <row r="1605">
      <c r="C1605" s="19">
        <f>IFERROR(__xludf.DUMMYFUNCTION("""COMPUTED_VALUE"""),46148.599365173606)</f>
        <v>46148.59937</v>
      </c>
      <c r="D1605" s="7" t="str">
        <f>IFERROR(__xludf.DUMMYFUNCTION("""COMPUTED_VALUE"""),"Bogdanova")</f>
        <v>Bogdanova</v>
      </c>
      <c r="E1605" s="7" t="str">
        <f>IFERROR(__xludf.DUMMYFUNCTION("""COMPUTED_VALUE"""),"Lia")</f>
        <v>Lia</v>
      </c>
      <c r="F1605" s="7" t="str">
        <f>IFERROR(__xludf.DUMMYFUNCTION("""COMPUTED_VALUE"""),"glowlady2014@gmail.com")</f>
        <v>glowlady2014@gmail.com</v>
      </c>
      <c r="G1605" s="20">
        <f>IFERROR(__xludf.DUMMYFUNCTION("""COMPUTED_VALUE"""),29245.0)</f>
        <v>29245</v>
      </c>
      <c r="H1605" s="7">
        <f>IFERROR(__xludf.DUMMYFUNCTION("""COMPUTED_VALUE"""),7.69015062E8)</f>
        <v>769015062</v>
      </c>
      <c r="I1605" s="7">
        <f>IFERROR(__xludf.DUMMYFUNCTION("""COMPUTED_VALUE"""),1.137975791E9)</f>
        <v>1137975791</v>
      </c>
      <c r="J1605" s="7" t="str">
        <f>IFERROR(__xludf.DUMMYFUNCTION("""COMPUTED_VALUE"""),"Google")</f>
        <v>Google</v>
      </c>
      <c r="K1605" s="7" t="str">
        <f>IFERROR(__xludf.DUMMYFUNCTION("""COMPUTED_VALUE"""),"Particular")</f>
        <v>Particular</v>
      </c>
      <c r="L1605" s="7"/>
      <c r="M1605" s="7" t="str">
        <f>IFERROR(__xludf.DUMMYFUNCTION("""COMPUTED_VALUE"""),"No")</f>
        <v>No</v>
      </c>
      <c r="N1605" s="7"/>
      <c r="O1605" s="7"/>
      <c r="P1605" s="7"/>
      <c r="Q1605" s="7"/>
      <c r="R1605" s="7"/>
      <c r="S1605" s="7"/>
    </row>
    <row r="1606">
      <c r="C1606" s="19">
        <f>IFERROR(__xludf.DUMMYFUNCTION("""COMPUTED_VALUE"""),46148.71465127315)</f>
        <v>46148.71465</v>
      </c>
      <c r="D1606" s="7" t="str">
        <f>IFERROR(__xludf.DUMMYFUNCTION("""COMPUTED_VALUE"""),"Berardo")</f>
        <v>Berardo</v>
      </c>
      <c r="E1606" s="7" t="str">
        <f>IFERROR(__xludf.DUMMYFUNCTION("""COMPUTED_VALUE"""),"Maria")</f>
        <v>Maria</v>
      </c>
      <c r="F1606" s="7" t="str">
        <f>IFERROR(__xludf.DUMMYFUNCTION("""COMPUTED_VALUE"""),"marisa_berardo@hotmail.com")</f>
        <v>marisa_berardo@hotmail.com</v>
      </c>
      <c r="G1606" s="20">
        <f>IFERROR(__xludf.DUMMYFUNCTION("""COMPUTED_VALUE"""),18082.0)</f>
        <v>18082</v>
      </c>
      <c r="H1606" s="7">
        <f>IFERROR(__xludf.DUMMYFUNCTION("""COMPUTED_VALUE"""),5995286.0)</f>
        <v>5995286</v>
      </c>
      <c r="I1606" s="7">
        <f>IFERROR(__xludf.DUMMYFUNCTION("""COMPUTED_VALUE"""),3.518050049E9)</f>
        <v>3518050049</v>
      </c>
      <c r="J1606" s="7" t="str">
        <f>IFERROR(__xludf.DUMMYFUNCTION("""COMPUTED_VALUE"""),"Google")</f>
        <v>Google</v>
      </c>
      <c r="K1606" s="7" t="str">
        <f>IFERROR(__xludf.DUMMYFUNCTION("""COMPUTED_VALUE"""),"Obra social")</f>
        <v>Obra social</v>
      </c>
      <c r="L1606" s="7"/>
      <c r="M1606" s="7" t="str">
        <f>IFERROR(__xludf.DUMMYFUNCTION("""COMPUTED_VALUE"""),"Si")</f>
        <v>Si</v>
      </c>
      <c r="N1606" s="7"/>
      <c r="O1606" s="7" t="str">
        <f>IFERROR(__xludf.DUMMYFUNCTION("""COMPUTED_VALUE"""),"1 a 2 veces por semana")</f>
        <v>1 a 2 veces por semana</v>
      </c>
      <c r="P1606" s="7"/>
      <c r="Q1606" s="7" t="str">
        <f>IFERROR(__xludf.DUMMYFUNCTION("""COMPUTED_VALUE"""),"APROSS")</f>
        <v>APROSS</v>
      </c>
      <c r="R1606" s="7"/>
      <c r="S1606" s="7"/>
    </row>
    <row r="1607">
      <c r="C1607" s="19">
        <f>IFERROR(__xludf.DUMMYFUNCTION("""COMPUTED_VALUE"""),46148.767464652774)</f>
        <v>46148.76746</v>
      </c>
      <c r="D1607" s="7" t="str">
        <f>IFERROR(__xludf.DUMMYFUNCTION("""COMPUTED_VALUE"""),"Abrego")</f>
        <v>Abrego</v>
      </c>
      <c r="E1607" s="7" t="str">
        <f>IFERROR(__xludf.DUMMYFUNCTION("""COMPUTED_VALUE"""),"María Ester")</f>
        <v>María Ester</v>
      </c>
      <c r="F1607" s="7" t="str">
        <f>IFERROR(__xludf.DUMMYFUNCTION("""COMPUTED_VALUE"""),"maruabrego61@gmail.com ")</f>
        <v>maruabrego61@gmail.com </v>
      </c>
      <c r="G1607" s="20">
        <f>IFERROR(__xludf.DUMMYFUNCTION("""COMPUTED_VALUE"""),22364.0)</f>
        <v>22364</v>
      </c>
      <c r="H1607" s="7">
        <f>IFERROR(__xludf.DUMMYFUNCTION("""COMPUTED_VALUE"""),1.4537205E7)</f>
        <v>14537205</v>
      </c>
      <c r="I1607" s="7">
        <f>IFERROR(__xludf.DUMMYFUNCTION("""COMPUTED_VALUE"""),3.512594757E9)</f>
        <v>3512594757</v>
      </c>
      <c r="J1607" s="7" t="str">
        <f>IFERROR(__xludf.DUMMYFUNCTION("""COMPUTED_VALUE"""),"Instagram")</f>
        <v>Instagram</v>
      </c>
      <c r="K1607" s="7" t="str">
        <f>IFERROR(__xludf.DUMMYFUNCTION("""COMPUTED_VALUE"""),"Particular")</f>
        <v>Particular</v>
      </c>
      <c r="L1607" s="7"/>
      <c r="M1607" s="7" t="str">
        <f>IFERROR(__xludf.DUMMYFUNCTION("""COMPUTED_VALUE"""),"Si")</f>
        <v>Si</v>
      </c>
      <c r="N1607" s="7" t="str">
        <f>IFERROR(__xludf.DUMMYFUNCTION("""COMPUTED_VALUE"""),"Yoga")</f>
        <v>Yoga</v>
      </c>
      <c r="O1607" s="7" t="str">
        <f>IFERROR(__xludf.DUMMYFUNCTION("""COMPUTED_VALUE"""),"1 a 2 veces por semana")</f>
        <v>1 a 2 veces por semana</v>
      </c>
      <c r="P1607" s="7"/>
      <c r="Q1607" s="7"/>
      <c r="R1607" s="7"/>
      <c r="S1607" s="7"/>
    </row>
    <row r="1608">
      <c r="C1608" s="19">
        <f>IFERROR(__xludf.DUMMYFUNCTION("""COMPUTED_VALUE"""),46148.796254456014)</f>
        <v>46148.79625</v>
      </c>
      <c r="D1608" s="7" t="str">
        <f>IFERROR(__xludf.DUMMYFUNCTION("""COMPUTED_VALUE"""),"Alvarez")</f>
        <v>Alvarez</v>
      </c>
      <c r="E1608" s="7" t="str">
        <f>IFERROR(__xludf.DUMMYFUNCTION("""COMPUTED_VALUE"""),"María Ximena")</f>
        <v>María Ximena</v>
      </c>
      <c r="F1608" s="7" t="str">
        <f>IFERROR(__xludf.DUMMYFUNCTION("""COMPUTED_VALUE"""),"alvarez.xime@gmail.com")</f>
        <v>alvarez.xime@gmail.com</v>
      </c>
      <c r="G1608" s="20">
        <f>IFERROR(__xludf.DUMMYFUNCTION("""COMPUTED_VALUE"""),29602.0)</f>
        <v>29602</v>
      </c>
      <c r="H1608" s="7">
        <f>IFERROR(__xludf.DUMMYFUNCTION("""COMPUTED_VALUE"""),2.843222E7)</f>
        <v>28432220</v>
      </c>
      <c r="I1608" s="7">
        <f>IFERROR(__xludf.DUMMYFUNCTION("""COMPUTED_VALUE"""),3.515902406E9)</f>
        <v>3515902406</v>
      </c>
      <c r="J1608" s="7" t="str">
        <f>IFERROR(__xludf.DUMMYFUNCTION("""COMPUTED_VALUE"""),"Google")</f>
        <v>Google</v>
      </c>
      <c r="K1608" s="7" t="str">
        <f>IFERROR(__xludf.DUMMYFUNCTION("""COMPUTED_VALUE"""),"Obra social")</f>
        <v>Obra social</v>
      </c>
      <c r="L1608" s="7"/>
      <c r="M1608" s="7" t="str">
        <f>IFERROR(__xludf.DUMMYFUNCTION("""COMPUTED_VALUE"""),"Si")</f>
        <v>Si</v>
      </c>
      <c r="N1608" s="7" t="str">
        <f>IFERROR(__xludf.DUMMYFUNCTION("""COMPUTED_VALUE"""),"Running")</f>
        <v>Running</v>
      </c>
      <c r="O1608" s="7" t="str">
        <f>IFERROR(__xludf.DUMMYFUNCTION("""COMPUTED_VALUE"""),"3 a 5 veces por semana")</f>
        <v>3 a 5 veces por semana</v>
      </c>
      <c r="P1608" s="7"/>
      <c r="Q1608" s="7" t="str">
        <f>IFERROR(__xludf.DUMMYFUNCTION("""COMPUTED_VALUE"""),"DASPU")</f>
        <v>DASPU</v>
      </c>
      <c r="R1608" s="7"/>
      <c r="S1608" s="7"/>
    </row>
    <row r="1609">
      <c r="C1609" s="19">
        <f>IFERROR(__xludf.DUMMYFUNCTION("""COMPUTED_VALUE"""),46149.45519653935)</f>
        <v>46149.4552</v>
      </c>
      <c r="D1609" s="7" t="str">
        <f>IFERROR(__xludf.DUMMYFUNCTION("""COMPUTED_VALUE"""),"Jordan")</f>
        <v>Jordan</v>
      </c>
      <c r="E1609" s="7" t="str">
        <f>IFERROR(__xludf.DUMMYFUNCTION("""COMPUTED_VALUE"""),"Lucas")</f>
        <v>Lucas</v>
      </c>
      <c r="F1609" s="7" t="str">
        <f>IFERROR(__xludf.DUMMYFUNCTION("""COMPUTED_VALUE"""),"jordanlucase@gmail.com")</f>
        <v>jordanlucase@gmail.com</v>
      </c>
      <c r="G1609" s="20">
        <f>IFERROR(__xludf.DUMMYFUNCTION("""COMPUTED_VALUE"""),34847.0)</f>
        <v>34847</v>
      </c>
      <c r="H1609" s="7">
        <f>IFERROR(__xludf.DUMMYFUNCTION("""COMPUTED_VALUE"""),3.9071927E7)</f>
        <v>39071927</v>
      </c>
      <c r="I1609" s="7">
        <f>IFERROR(__xludf.DUMMYFUNCTION("""COMPUTED_VALUE"""),3.512517952E9)</f>
        <v>3512517952</v>
      </c>
      <c r="J1609" s="7" t="str">
        <f>IFERROR(__xludf.DUMMYFUNCTION("""COMPUTED_VALUE"""),"Gimnasio")</f>
        <v>Gimnasio</v>
      </c>
      <c r="K1609" s="7" t="str">
        <f>IFERROR(__xludf.DUMMYFUNCTION("""COMPUTED_VALUE"""),"Obra social")</f>
        <v>Obra social</v>
      </c>
      <c r="L1609" s="7"/>
      <c r="M1609" s="7" t="str">
        <f>IFERROR(__xludf.DUMMYFUNCTION("""COMPUTED_VALUE"""),"Si")</f>
        <v>Si</v>
      </c>
      <c r="N1609" s="7" t="str">
        <f>IFERROR(__xludf.DUMMYFUNCTION("""COMPUTED_VALUE"""),"Gimnasio, Futbol, Padel, Kitesurf")</f>
        <v>Gimnasio, Futbol, Padel, Kitesurf</v>
      </c>
      <c r="O1609" s="7" t="str">
        <f>IFERROR(__xludf.DUMMYFUNCTION("""COMPUTED_VALUE"""),"6 a 7 veces por semana")</f>
        <v>6 a 7 veces por semana</v>
      </c>
      <c r="P1609" s="7"/>
      <c r="Q1609" s="7" t="str">
        <f>IFERROR(__xludf.DUMMYFUNCTION("""COMPUTED_VALUE"""),"CPCE")</f>
        <v>CPCE</v>
      </c>
      <c r="R1609" s="7"/>
      <c r="S1609" s="7"/>
    </row>
    <row r="1610">
      <c r="C1610" s="19">
        <f>IFERROR(__xludf.DUMMYFUNCTION("""COMPUTED_VALUE"""),46149.52122002315)</f>
        <v>46149.52122</v>
      </c>
      <c r="D1610" s="7" t="str">
        <f>IFERROR(__xludf.DUMMYFUNCTION("""COMPUTED_VALUE"""),"Buccolini")</f>
        <v>Buccolini</v>
      </c>
      <c r="E1610" s="7" t="str">
        <f>IFERROR(__xludf.DUMMYFUNCTION("""COMPUTED_VALUE"""),"Tomás ")</f>
        <v>Tomás </v>
      </c>
      <c r="F1610" s="7" t="str">
        <f>IFERROR(__xludf.DUMMYFUNCTION("""COMPUTED_VALUE"""),"tomastrebeta@gmail.com")</f>
        <v>tomastrebeta@gmail.com</v>
      </c>
      <c r="G1610" s="20">
        <f>IFERROR(__xludf.DUMMYFUNCTION("""COMPUTED_VALUE"""),31781.0)</f>
        <v>31781</v>
      </c>
      <c r="H1610" s="7">
        <f>IFERROR(__xludf.DUMMYFUNCTION("""COMPUTED_VALUE"""),3.2683995E7)</f>
        <v>32683995</v>
      </c>
      <c r="I1610" s="7">
        <f>IFERROR(__xludf.DUMMYFUNCTION("""COMPUTED_VALUE"""),3.512300992E9)</f>
        <v>3512300992</v>
      </c>
      <c r="J1610" s="7" t="str">
        <f>IFERROR(__xludf.DUMMYFUNCTION("""COMPUTED_VALUE"""),"Gimnasio")</f>
        <v>Gimnasio</v>
      </c>
      <c r="K1610" s="7" t="str">
        <f>IFERROR(__xludf.DUMMYFUNCTION("""COMPUTED_VALUE"""),"Obra social")</f>
        <v>Obra social</v>
      </c>
      <c r="L1610" s="7"/>
      <c r="M1610" s="7" t="str">
        <f>IFERROR(__xludf.DUMMYFUNCTION("""COMPUTED_VALUE"""),"Si")</f>
        <v>Si</v>
      </c>
      <c r="N1610" s="7" t="str">
        <f>IFERROR(__xludf.DUMMYFUNCTION("""COMPUTED_VALUE"""),"Enduro")</f>
        <v>Enduro</v>
      </c>
      <c r="O1610" s="7" t="str">
        <f>IFERROR(__xludf.DUMMYFUNCTION("""COMPUTED_VALUE"""),"1 a 2 veces por semana")</f>
        <v>1 a 2 veces por semana</v>
      </c>
      <c r="P1610" s="7"/>
      <c r="Q1610" s="7" t="str">
        <f>IFERROR(__xludf.DUMMYFUNCTION("""COMPUTED_VALUE"""),"PREVENCIÓN")</f>
        <v>PREVENCIÓN</v>
      </c>
      <c r="R1610" s="7"/>
      <c r="S1610" s="7"/>
    </row>
    <row r="1611">
      <c r="C1611" s="19">
        <f>IFERROR(__xludf.DUMMYFUNCTION("""COMPUTED_VALUE"""),46150.573169814816)</f>
        <v>46150.57317</v>
      </c>
      <c r="D1611" s="7" t="str">
        <f>IFERROR(__xludf.DUMMYFUNCTION("""COMPUTED_VALUE"""),"Diaz")</f>
        <v>Diaz</v>
      </c>
      <c r="E1611" s="7" t="str">
        <f>IFERROR(__xludf.DUMMYFUNCTION("""COMPUTED_VALUE"""),"Macarena")</f>
        <v>Macarena</v>
      </c>
      <c r="F1611" s="7" t="str">
        <f>IFERROR(__xludf.DUMMYFUNCTION("""COMPUTED_VALUE"""),"diaz.macarena.rocio@gmail.com")</f>
        <v>diaz.macarena.rocio@gmail.com</v>
      </c>
      <c r="G1611" s="20">
        <f>IFERROR(__xludf.DUMMYFUNCTION("""COMPUTED_VALUE"""),28696.0)</f>
        <v>28696</v>
      </c>
      <c r="H1611" s="7">
        <f>IFERROR(__xludf.DUMMYFUNCTION("""COMPUTED_VALUE"""),2.6673486E7)</f>
        <v>26673486</v>
      </c>
      <c r="I1611" s="7">
        <f>IFERROR(__xludf.DUMMYFUNCTION("""COMPUTED_VALUE"""),3.516008011E9)</f>
        <v>3516008011</v>
      </c>
      <c r="J1611" s="7" t="str">
        <f>IFERROR(__xludf.DUMMYFUNCTION("""COMPUTED_VALUE"""),"Gimnasio")</f>
        <v>Gimnasio</v>
      </c>
      <c r="K1611" s="7" t="str">
        <f>IFERROR(__xludf.DUMMYFUNCTION("""COMPUTED_VALUE"""),"Obra social")</f>
        <v>Obra social</v>
      </c>
      <c r="L1611" s="7"/>
      <c r="M1611" s="7" t="str">
        <f>IFERROR(__xludf.DUMMYFUNCTION("""COMPUTED_VALUE"""),"Si")</f>
        <v>Si</v>
      </c>
      <c r="N1611" s="7" t="str">
        <f>IFERROR(__xludf.DUMMYFUNCTION("""COMPUTED_VALUE"""),"Gimnasio")</f>
        <v>Gimnasio</v>
      </c>
      <c r="O1611" s="7" t="str">
        <f>IFERROR(__xludf.DUMMYFUNCTION("""COMPUTED_VALUE"""),"1 a 2 veces por semana")</f>
        <v>1 a 2 veces por semana</v>
      </c>
      <c r="P1611" s="7"/>
      <c r="Q1611" s="7" t="str">
        <f>IFERROR(__xludf.DUMMYFUNCTION("""COMPUTED_VALUE"""),"SANCOR")</f>
        <v>SANCOR</v>
      </c>
      <c r="R1611" s="7"/>
      <c r="S1611" s="7"/>
    </row>
    <row r="1612">
      <c r="C1612" s="19">
        <f>IFERROR(__xludf.DUMMYFUNCTION("""COMPUTED_VALUE"""),46150.68242256944)</f>
        <v>46150.68242</v>
      </c>
      <c r="D1612" s="7" t="str">
        <f>IFERROR(__xludf.DUMMYFUNCTION("""COMPUTED_VALUE"""),"Cerezo")</f>
        <v>Cerezo</v>
      </c>
      <c r="E1612" s="7" t="str">
        <f>IFERROR(__xludf.DUMMYFUNCTION("""COMPUTED_VALUE"""),"Gustavo")</f>
        <v>Gustavo</v>
      </c>
      <c r="F1612" s="7" t="str">
        <f>IFERROR(__xludf.DUMMYFUNCTION("""COMPUTED_VALUE"""),"gustavom.cerezo@gmail.com")</f>
        <v>gustavom.cerezo@gmail.com</v>
      </c>
      <c r="G1612" s="20">
        <f>IFERROR(__xludf.DUMMYFUNCTION("""COMPUTED_VALUE"""),21369.0)</f>
        <v>21369</v>
      </c>
      <c r="H1612" s="7">
        <f>IFERROR(__xludf.DUMMYFUNCTION("""COMPUTED_VALUE"""),1.2612197E7)</f>
        <v>12612197</v>
      </c>
      <c r="I1612" s="7">
        <f>IFERROR(__xludf.DUMMYFUNCTION("""COMPUTED_VALUE"""),3.512204663E9)</f>
        <v>3512204663</v>
      </c>
      <c r="J1612" s="7" t="str">
        <f>IFERROR(__xludf.DUMMYFUNCTION("""COMPUTED_VALUE"""),"Gimnasio")</f>
        <v>Gimnasio</v>
      </c>
      <c r="K1612" s="7" t="str">
        <f>IFERROR(__xludf.DUMMYFUNCTION("""COMPUTED_VALUE"""),"Particular")</f>
        <v>Particular</v>
      </c>
      <c r="L1612" s="7"/>
      <c r="M1612" s="7" t="str">
        <f>IFERROR(__xludf.DUMMYFUNCTION("""COMPUTED_VALUE"""),"Si")</f>
        <v>Si</v>
      </c>
      <c r="N1612" s="7" t="str">
        <f>IFERROR(__xludf.DUMMYFUNCTION("""COMPUTED_VALUE"""),"Gimnasio")</f>
        <v>Gimnasio</v>
      </c>
      <c r="O1612" s="7" t="str">
        <f>IFERROR(__xludf.DUMMYFUNCTION("""COMPUTED_VALUE"""),"3 a 5 veces por semana")</f>
        <v>3 a 5 veces por semana</v>
      </c>
      <c r="P1612" s="7"/>
      <c r="Q1612" s="7"/>
      <c r="R1612" s="7"/>
      <c r="S1612" s="7"/>
    </row>
    <row r="1613">
      <c r="C1613" s="19">
        <f>IFERROR(__xludf.DUMMYFUNCTION("""COMPUTED_VALUE"""),46150.77214774306)</f>
        <v>46150.77215</v>
      </c>
      <c r="D1613" s="7" t="str">
        <f>IFERROR(__xludf.DUMMYFUNCTION("""COMPUTED_VALUE"""),"Elkin Moreno")</f>
        <v>Elkin Moreno</v>
      </c>
      <c r="E1613" s="7" t="str">
        <f>IFERROR(__xludf.DUMMYFUNCTION("""COMPUTED_VALUE"""),"Carlos Ernesto")</f>
        <v>Carlos Ernesto</v>
      </c>
      <c r="F1613" s="7"/>
      <c r="G1613" s="20">
        <f>IFERROR(__xludf.DUMMYFUNCTION("""COMPUTED_VALUE"""),18320.0)</f>
        <v>18320</v>
      </c>
      <c r="H1613" s="7">
        <f>IFERROR(__xludf.DUMMYFUNCTION("""COMPUTED_VALUE"""),8277611.0)</f>
        <v>8277611</v>
      </c>
      <c r="I1613" s="7">
        <f>IFERROR(__xludf.DUMMYFUNCTION("""COMPUTED_VALUE"""),3.514599777E9)</f>
        <v>3514599777</v>
      </c>
      <c r="J1613" s="7" t="str">
        <f>IFERROR(__xludf.DUMMYFUNCTION("""COMPUTED_VALUE"""),"Recomendación")</f>
        <v>Recomendación</v>
      </c>
      <c r="K1613" s="7" t="str">
        <f>IFERROR(__xludf.DUMMYFUNCTION("""COMPUTED_VALUE"""),"Obra social")</f>
        <v>Obra social</v>
      </c>
      <c r="L1613" s="7"/>
      <c r="M1613" s="7"/>
      <c r="N1613" s="7"/>
      <c r="O1613" s="7"/>
      <c r="P1613" s="7"/>
      <c r="Q1613" s="7" t="str">
        <f>IFERROR(__xludf.DUMMYFUNCTION("""COMPUTED_VALUE"""),"Ciencias economicas")</f>
        <v>Ciencias economicas</v>
      </c>
      <c r="R1613" s="7"/>
      <c r="S1613" s="7"/>
    </row>
    <row r="1614">
      <c r="C1614" s="19">
        <f>IFERROR(__xludf.DUMMYFUNCTION("""COMPUTED_VALUE"""),46150.79184327547)</f>
        <v>46150.79184</v>
      </c>
      <c r="D1614" s="7" t="str">
        <f>IFERROR(__xludf.DUMMYFUNCTION("""COMPUTED_VALUE"""),"Gasparini")</f>
        <v>Gasparini</v>
      </c>
      <c r="E1614" s="7" t="str">
        <f>IFERROR(__xludf.DUMMYFUNCTION("""COMPUTED_VALUE"""),"Manuel")</f>
        <v>Manuel</v>
      </c>
      <c r="F1614" s="7" t="str">
        <f>IFERROR(__xludf.DUMMYFUNCTION("""COMPUTED_VALUE"""),"manugaspa2019@gmail.com")</f>
        <v>manugaspa2019@gmail.com</v>
      </c>
      <c r="G1614" s="20">
        <f>IFERROR(__xludf.DUMMYFUNCTION("""COMPUTED_VALUE"""),40144.0)</f>
        <v>40144</v>
      </c>
      <c r="H1614" s="7">
        <f>IFERROR(__xludf.DUMMYFUNCTION("""COMPUTED_VALUE"""),4.9619103E7)</f>
        <v>49619103</v>
      </c>
      <c r="I1614" s="7">
        <f>IFERROR(__xludf.DUMMYFUNCTION("""COMPUTED_VALUE"""),3.472622432E9)</f>
        <v>3472622432</v>
      </c>
      <c r="J1614" s="7" t="str">
        <f>IFERROR(__xludf.DUMMYFUNCTION("""COMPUTED_VALUE"""),"Recomendación")</f>
        <v>Recomendación</v>
      </c>
      <c r="K1614" s="7" t="str">
        <f>IFERROR(__xludf.DUMMYFUNCTION("""COMPUTED_VALUE"""),"Particular")</f>
        <v>Particular</v>
      </c>
      <c r="L1614" s="7"/>
      <c r="M1614" s="7" t="str">
        <f>IFERROR(__xludf.DUMMYFUNCTION("""COMPUTED_VALUE"""),"Si")</f>
        <v>Si</v>
      </c>
      <c r="N1614" s="7" t="str">
        <f>IFERROR(__xludf.DUMMYFUNCTION("""COMPUTED_VALUE"""),"Futbol profesional")</f>
        <v>Futbol profesional</v>
      </c>
      <c r="O1614" s="7" t="str">
        <f>IFERROR(__xludf.DUMMYFUNCTION("""COMPUTED_VALUE"""),"6 a 7 veces por semana")</f>
        <v>6 a 7 veces por semana</v>
      </c>
      <c r="P1614" s="7"/>
      <c r="Q1614" s="7"/>
      <c r="R1614" s="7"/>
      <c r="S1614" s="7"/>
    </row>
    <row r="1615">
      <c r="C1615" s="19">
        <f>IFERROR(__xludf.DUMMYFUNCTION("""COMPUTED_VALUE"""),46153.42252194445)</f>
        <v>46153.42252</v>
      </c>
      <c r="D1615" s="7" t="str">
        <f>IFERROR(__xludf.DUMMYFUNCTION("""COMPUTED_VALUE"""),"Toloza")</f>
        <v>Toloza</v>
      </c>
      <c r="E1615" s="7" t="str">
        <f>IFERROR(__xludf.DUMMYFUNCTION("""COMPUTED_VALUE"""),"Mayra mabel ")</f>
        <v>Mayra mabel </v>
      </c>
      <c r="F1615" s="7" t="str">
        <f>IFERROR(__xludf.DUMMYFUNCTION("""COMPUTED_VALUE"""),"mayratolozamabel@gmail.com")</f>
        <v>mayratolozamabel@gmail.com</v>
      </c>
      <c r="G1615" s="20">
        <f>IFERROR(__xludf.DUMMYFUNCTION("""COMPUTED_VALUE"""),-657508.0)</f>
        <v>-657508</v>
      </c>
      <c r="H1615" s="7">
        <f>IFERROR(__xludf.DUMMYFUNCTION("""COMPUTED_VALUE"""),4.240187E7)</f>
        <v>42401870</v>
      </c>
      <c r="I1615" s="7">
        <f>IFERROR(__xludf.DUMMYFUNCTION("""COMPUTED_VALUE"""),3.516528281E9)</f>
        <v>3516528281</v>
      </c>
      <c r="J1615" s="7" t="str">
        <f>IFERROR(__xludf.DUMMYFUNCTION("""COMPUTED_VALUE"""),"Instagram")</f>
        <v>Instagram</v>
      </c>
      <c r="K1615" s="7" t="str">
        <f>IFERROR(__xludf.DUMMYFUNCTION("""COMPUTED_VALUE"""),"Particular")</f>
        <v>Particular</v>
      </c>
      <c r="L1615" s="7"/>
      <c r="M1615" s="7" t="str">
        <f>IFERROR(__xludf.DUMMYFUNCTION("""COMPUTED_VALUE"""),"No")</f>
        <v>No</v>
      </c>
      <c r="N1615" s="7"/>
      <c r="O1615" s="7"/>
      <c r="P1615" s="7"/>
      <c r="Q1615" s="7"/>
      <c r="R1615" s="7"/>
      <c r="S1615" s="7"/>
    </row>
    <row r="1616">
      <c r="C1616" s="19">
        <f>IFERROR(__xludf.DUMMYFUNCTION("""COMPUTED_VALUE"""),46153.44174429398)</f>
        <v>46153.44174</v>
      </c>
      <c r="D1616" s="7" t="str">
        <f>IFERROR(__xludf.DUMMYFUNCTION("""COMPUTED_VALUE"""),"moriconi")</f>
        <v>moriconi</v>
      </c>
      <c r="E1616" s="7" t="str">
        <f>IFERROR(__xludf.DUMMYFUNCTION("""COMPUTED_VALUE"""),"fernando")</f>
        <v>fernando</v>
      </c>
      <c r="F1616" s="7" t="str">
        <f>IFERROR(__xludf.DUMMYFUNCTION("""COMPUTED_VALUE"""),"nanimoriconi_@hotmail.com")</f>
        <v>nanimoriconi_@hotmail.com</v>
      </c>
      <c r="G1616" s="20">
        <f>IFERROR(__xludf.DUMMYFUNCTION("""COMPUTED_VALUE"""),28834.0)</f>
        <v>28834</v>
      </c>
      <c r="H1616" s="7">
        <f>IFERROR(__xludf.DUMMYFUNCTION("""COMPUTED_VALUE"""),2.7013814E7)</f>
        <v>27013814</v>
      </c>
      <c r="I1616" s="7">
        <f>IFERROR(__xludf.DUMMYFUNCTION("""COMPUTED_VALUE"""),3.513565201E9)</f>
        <v>3513565201</v>
      </c>
      <c r="J1616" s="7" t="str">
        <f>IFERROR(__xludf.DUMMYFUNCTION("""COMPUTED_VALUE"""),"Gimnasio")</f>
        <v>Gimnasio</v>
      </c>
      <c r="K1616" s="7" t="str">
        <f>IFERROR(__xludf.DUMMYFUNCTION("""COMPUTED_VALUE"""),"Particular")</f>
        <v>Particular</v>
      </c>
      <c r="L1616" s="7"/>
      <c r="M1616" s="7" t="str">
        <f>IFERROR(__xludf.DUMMYFUNCTION("""COMPUTED_VALUE"""),"Si")</f>
        <v>Si</v>
      </c>
      <c r="N1616" s="7" t="str">
        <f>IFERROR(__xludf.DUMMYFUNCTION("""COMPUTED_VALUE"""),"Fútbol")</f>
        <v>Fútbol</v>
      </c>
      <c r="O1616" s="7" t="str">
        <f>IFERROR(__xludf.DUMMYFUNCTION("""COMPUTED_VALUE"""),"3 a 5 veces por semana")</f>
        <v>3 a 5 veces por semana</v>
      </c>
      <c r="P1616" s="7"/>
      <c r="Q1616" s="7"/>
      <c r="R1616" s="7"/>
      <c r="S1616" s="7"/>
    </row>
    <row r="1617">
      <c r="C1617" s="19">
        <f>IFERROR(__xludf.DUMMYFUNCTION("""COMPUTED_VALUE"""),46154.47161078703)</f>
        <v>46154.47161</v>
      </c>
      <c r="D1617" s="7" t="str">
        <f>IFERROR(__xludf.DUMMYFUNCTION("""COMPUTED_VALUE"""),"Roldán")</f>
        <v>Roldán</v>
      </c>
      <c r="E1617" s="7" t="str">
        <f>IFERROR(__xludf.DUMMYFUNCTION("""COMPUTED_VALUE"""),"Josefina")</f>
        <v>Josefina</v>
      </c>
      <c r="F1617" s="7" t="str">
        <f>IFERROR(__xludf.DUMMYFUNCTION("""COMPUTED_VALUE"""),"artistica_josefina@hotmail.com")</f>
        <v>artistica_josefina@hotmail.com</v>
      </c>
      <c r="G1617" s="20">
        <f>IFERROR(__xludf.DUMMYFUNCTION("""COMPUTED_VALUE"""),23641.0)</f>
        <v>23641</v>
      </c>
      <c r="H1617" s="7">
        <f>IFERROR(__xludf.DUMMYFUNCTION("""COMPUTED_VALUE"""),1.7001279E7)</f>
        <v>17001279</v>
      </c>
      <c r="I1617" s="7">
        <f>IFERROR(__xludf.DUMMYFUNCTION("""COMPUTED_VALUE"""),3.513158967E9)</f>
        <v>3513158967</v>
      </c>
      <c r="J1617" s="7" t="str">
        <f>IFERROR(__xludf.DUMMYFUNCTION("""COMPUTED_VALUE"""),"Recomendación")</f>
        <v>Recomendación</v>
      </c>
      <c r="K1617" s="7" t="str">
        <f>IFERROR(__xludf.DUMMYFUNCTION("""COMPUTED_VALUE"""),"Particular")</f>
        <v>Particular</v>
      </c>
      <c r="L1617" s="7"/>
      <c r="M1617" s="7" t="str">
        <f>IFERROR(__xludf.DUMMYFUNCTION("""COMPUTED_VALUE"""),"Si")</f>
        <v>Si</v>
      </c>
      <c r="N1617" s="7" t="str">
        <f>IFERROR(__xludf.DUMMYFUNCTION("""COMPUTED_VALUE"""),"Pilates")</f>
        <v>Pilates</v>
      </c>
      <c r="O1617" s="7" t="str">
        <f>IFERROR(__xludf.DUMMYFUNCTION("""COMPUTED_VALUE"""),"1 a 2 veces por semana")</f>
        <v>1 a 2 veces por semana</v>
      </c>
      <c r="P1617" s="7"/>
      <c r="Q1617" s="7"/>
      <c r="R1617" s="7"/>
      <c r="S1617" s="7"/>
    </row>
    <row r="1618">
      <c r="C1618" s="19">
        <f>IFERROR(__xludf.DUMMYFUNCTION("""COMPUTED_VALUE"""),46154.58805140047)</f>
        <v>46154.58805</v>
      </c>
      <c r="D1618" s="7" t="str">
        <f>IFERROR(__xludf.DUMMYFUNCTION("""COMPUTED_VALUE"""),"Balanzino ")</f>
        <v>Balanzino </v>
      </c>
      <c r="E1618" s="7" t="str">
        <f>IFERROR(__xludf.DUMMYFUNCTION("""COMPUTED_VALUE"""),"Adrian ")</f>
        <v>Adrian </v>
      </c>
      <c r="F1618" s="7" t="str">
        <f>IFERROR(__xludf.DUMMYFUNCTION("""COMPUTED_VALUE"""),"adrianbalanzino@gmail.com")</f>
        <v>adrianbalanzino@gmail.com</v>
      </c>
      <c r="G1618" s="20">
        <f>IFERROR(__xludf.DUMMYFUNCTION("""COMPUTED_VALUE"""),25885.0)</f>
        <v>25885</v>
      </c>
      <c r="H1618" s="7">
        <f>IFERROR(__xludf.DUMMYFUNCTION("""COMPUTED_VALUE"""),2.1966276E7)</f>
        <v>21966276</v>
      </c>
      <c r="I1618" s="7">
        <f>IFERROR(__xludf.DUMMYFUNCTION("""COMPUTED_VALUE"""),3.516338409E9)</f>
        <v>3516338409</v>
      </c>
      <c r="J1618" s="7" t="str">
        <f>IFERROR(__xludf.DUMMYFUNCTION("""COMPUTED_VALUE"""),"Facebook")</f>
        <v>Facebook</v>
      </c>
      <c r="K1618" s="7" t="str">
        <f>IFERROR(__xludf.DUMMYFUNCTION("""COMPUTED_VALUE"""),"Particular")</f>
        <v>Particular</v>
      </c>
      <c r="L1618" s="7"/>
      <c r="M1618" s="7" t="str">
        <f>IFERROR(__xludf.DUMMYFUNCTION("""COMPUTED_VALUE"""),"No")</f>
        <v>No</v>
      </c>
      <c r="N1618" s="7"/>
      <c r="O1618" s="7"/>
      <c r="P1618" s="7"/>
      <c r="Q1618" s="7"/>
      <c r="R1618" s="7"/>
      <c r="S1618" s="7"/>
    </row>
    <row r="1619">
      <c r="C1619" s="19">
        <f>IFERROR(__xludf.DUMMYFUNCTION("""COMPUTED_VALUE"""),46154.77840539352)</f>
        <v>46154.77841</v>
      </c>
      <c r="D1619" s="7" t="str">
        <f>IFERROR(__xludf.DUMMYFUNCTION("""COMPUTED_VALUE"""),"Baudino")</f>
        <v>Baudino</v>
      </c>
      <c r="E1619" s="7" t="str">
        <f>IFERROR(__xludf.DUMMYFUNCTION("""COMPUTED_VALUE"""),"Juan Luis")</f>
        <v>Juan Luis</v>
      </c>
      <c r="F1619" s="7"/>
      <c r="G1619" s="20">
        <f>IFERROR(__xludf.DUMMYFUNCTION("""COMPUTED_VALUE"""),18300.0)</f>
        <v>18300</v>
      </c>
      <c r="H1619" s="7">
        <f>IFERROR(__xludf.DUMMYFUNCTION("""COMPUTED_VALUE"""),7891111.0)</f>
        <v>7891111</v>
      </c>
      <c r="I1619" s="7">
        <f>IFERROR(__xludf.DUMMYFUNCTION("""COMPUTED_VALUE"""),3.56241703E9)</f>
        <v>3562417030</v>
      </c>
      <c r="J1619" s="7" t="str">
        <f>IFERROR(__xludf.DUMMYFUNCTION("""COMPUTED_VALUE"""),"Recomendación")</f>
        <v>Recomendación</v>
      </c>
      <c r="K1619" s="7" t="str">
        <f>IFERROR(__xludf.DUMMYFUNCTION("""COMPUTED_VALUE"""),"Particular")</f>
        <v>Particular</v>
      </c>
      <c r="L1619" s="7"/>
      <c r="M1619" s="7" t="str">
        <f>IFERROR(__xludf.DUMMYFUNCTION("""COMPUTED_VALUE"""),"No")</f>
        <v>No</v>
      </c>
      <c r="N1619" s="7"/>
      <c r="O1619" s="7"/>
      <c r="P1619" s="7"/>
      <c r="Q1619" s="7"/>
      <c r="R1619" s="7"/>
      <c r="S1619" s="7"/>
    </row>
    <row r="1620">
      <c r="C1620" s="19">
        <f>IFERROR(__xludf.DUMMYFUNCTION("""COMPUTED_VALUE"""),46155.42581768519)</f>
        <v>46155.42582</v>
      </c>
      <c r="D1620" s="7" t="str">
        <f>IFERROR(__xludf.DUMMYFUNCTION("""COMPUTED_VALUE"""),"Isaía")</f>
        <v>Isaía</v>
      </c>
      <c r="E1620" s="7" t="str">
        <f>IFERROR(__xludf.DUMMYFUNCTION("""COMPUTED_VALUE"""),"Santiago Ramón")</f>
        <v>Santiago Ramón</v>
      </c>
      <c r="F1620" s="7" t="str">
        <f>IFERROR(__xludf.DUMMYFUNCTION("""COMPUTED_VALUE"""),"santiagoisaia@gmail.com")</f>
        <v>santiagoisaia@gmail.com</v>
      </c>
      <c r="G1620" s="20">
        <f>IFERROR(__xludf.DUMMYFUNCTION("""COMPUTED_VALUE"""),32407.0)</f>
        <v>32407</v>
      </c>
      <c r="H1620" s="7">
        <f>IFERROR(__xludf.DUMMYFUNCTION("""COMPUTED_VALUE"""),3.38926E7)</f>
        <v>33892600</v>
      </c>
      <c r="I1620" s="7">
        <f>IFERROR(__xludf.DUMMYFUNCTION("""COMPUTED_VALUE"""),3.518576794E9)</f>
        <v>3518576794</v>
      </c>
      <c r="J1620" s="7" t="str">
        <f>IFERROR(__xludf.DUMMYFUNCTION("""COMPUTED_VALUE"""),"Gimnasio")</f>
        <v>Gimnasio</v>
      </c>
      <c r="K1620" s="7" t="str">
        <f>IFERROR(__xludf.DUMMYFUNCTION("""COMPUTED_VALUE"""),"Obra social")</f>
        <v>Obra social</v>
      </c>
      <c r="L1620" s="7"/>
      <c r="M1620" s="7" t="str">
        <f>IFERROR(__xludf.DUMMYFUNCTION("""COMPUTED_VALUE"""),"Si")</f>
        <v>Si</v>
      </c>
      <c r="N1620" s="7" t="str">
        <f>IFERROR(__xludf.DUMMYFUNCTION("""COMPUTED_VALUE"""),"Gimnasio")</f>
        <v>Gimnasio</v>
      </c>
      <c r="O1620" s="7" t="str">
        <f>IFERROR(__xludf.DUMMYFUNCTION("""COMPUTED_VALUE"""),"3 a 5 veces por semana")</f>
        <v>3 a 5 veces por semana</v>
      </c>
      <c r="P1620" s="7"/>
      <c r="Q1620" s="7" t="str">
        <f>IFERROR(__xludf.DUMMYFUNCTION("""COMPUTED_VALUE"""),"Osde")</f>
        <v>Osde</v>
      </c>
      <c r="R1620" s="7"/>
      <c r="S1620" s="7"/>
    </row>
    <row r="1621">
      <c r="C1621" s="19">
        <f>IFERROR(__xludf.DUMMYFUNCTION("""COMPUTED_VALUE"""),46155.47521640046)</f>
        <v>46155.47522</v>
      </c>
      <c r="D1621" s="7" t="str">
        <f>IFERROR(__xludf.DUMMYFUNCTION("""COMPUTED_VALUE"""),"Viñes Cipollina ")</f>
        <v>Viñes Cipollina </v>
      </c>
      <c r="E1621" s="7" t="str">
        <f>IFERROR(__xludf.DUMMYFUNCTION("""COMPUTED_VALUE"""),"Jorge ")</f>
        <v>Jorge </v>
      </c>
      <c r="F1621" s="7" t="str">
        <f>IFERROR(__xludf.DUMMYFUNCTION("""COMPUTED_VALUE"""),"Jvinescipollina@gmail.com")</f>
        <v>Jvinescipollina@gmail.com</v>
      </c>
      <c r="G1621" s="20">
        <f>IFERROR(__xludf.DUMMYFUNCTION("""COMPUTED_VALUE"""),22278.0)</f>
        <v>22278</v>
      </c>
      <c r="H1621" s="7">
        <f>IFERROR(__xludf.DUMMYFUNCTION("""COMPUTED_VALUE"""),1.4273177E7)</f>
        <v>14273177</v>
      </c>
      <c r="I1621" s="7">
        <f>IFERROR(__xludf.DUMMYFUNCTION("""COMPUTED_VALUE"""),3.51634291E9)</f>
        <v>3516342910</v>
      </c>
      <c r="J1621" s="7" t="str">
        <f>IFERROR(__xludf.DUMMYFUNCTION("""COMPUTED_VALUE"""),"Recomendación")</f>
        <v>Recomendación</v>
      </c>
      <c r="K1621" s="7" t="str">
        <f>IFERROR(__xludf.DUMMYFUNCTION("""COMPUTED_VALUE"""),"Obra social")</f>
        <v>Obra social</v>
      </c>
      <c r="L1621" s="7"/>
      <c r="M1621" s="7" t="str">
        <f>IFERROR(__xludf.DUMMYFUNCTION("""COMPUTED_VALUE"""),"No")</f>
        <v>No</v>
      </c>
      <c r="N1621" s="7"/>
      <c r="O1621" s="7"/>
      <c r="P1621" s="7"/>
      <c r="Q1621" s="7" t="str">
        <f>IFERROR(__xludf.DUMMYFUNCTION("""COMPUTED_VALUE"""),"Swiss Medical")</f>
        <v>Swiss Medical</v>
      </c>
      <c r="R1621" s="7"/>
      <c r="S1621" s="7"/>
    </row>
    <row r="1622">
      <c r="C1622" s="19">
        <f>IFERROR(__xludf.DUMMYFUNCTION("""COMPUTED_VALUE"""),46155.647484120374)</f>
        <v>46155.64748</v>
      </c>
      <c r="D1622" s="7" t="str">
        <f>IFERROR(__xludf.DUMMYFUNCTION("""COMPUTED_VALUE"""),"Fernandez")</f>
        <v>Fernandez</v>
      </c>
      <c r="E1622" s="7" t="str">
        <f>IFERROR(__xludf.DUMMYFUNCTION("""COMPUTED_VALUE"""),"Lidia")</f>
        <v>Lidia</v>
      </c>
      <c r="F1622" s="7"/>
      <c r="G1622" s="20">
        <f>IFERROR(__xludf.DUMMYFUNCTION("""COMPUTED_VALUE"""),17960.0)</f>
        <v>17960</v>
      </c>
      <c r="H1622" s="7">
        <f>IFERROR(__xludf.DUMMYFUNCTION("""COMPUTED_VALUE"""),8.6065818E7)</f>
        <v>86065818</v>
      </c>
      <c r="I1622" s="7">
        <f>IFERROR(__xludf.DUMMYFUNCTION("""COMPUTED_VALUE"""),3.562417029E9)</f>
        <v>3562417029</v>
      </c>
      <c r="J1622" s="7" t="str">
        <f>IFERROR(__xludf.DUMMYFUNCTION("""COMPUTED_VALUE"""),"Recomendación")</f>
        <v>Recomendación</v>
      </c>
      <c r="K1622" s="7" t="str">
        <f>IFERROR(__xludf.DUMMYFUNCTION("""COMPUTED_VALUE"""),"Particular")</f>
        <v>Particular</v>
      </c>
      <c r="L1622" s="7"/>
      <c r="M1622" s="7" t="str">
        <f>IFERROR(__xludf.DUMMYFUNCTION("""COMPUTED_VALUE"""),"No")</f>
        <v>No</v>
      </c>
      <c r="N1622" s="7"/>
      <c r="O1622" s="7"/>
      <c r="P1622" s="7"/>
      <c r="Q1622" s="7"/>
      <c r="R1622" s="7"/>
      <c r="S1622" s="7"/>
    </row>
    <row r="1623">
      <c r="C1623" s="19">
        <f>IFERROR(__xludf.DUMMYFUNCTION("""COMPUTED_VALUE"""),46155.75372788194)</f>
        <v>46155.75373</v>
      </c>
      <c r="D1623" s="7" t="str">
        <f>IFERROR(__xludf.DUMMYFUNCTION("""COMPUTED_VALUE"""),"Fantin Quilaleo ")</f>
        <v>Fantin Quilaleo </v>
      </c>
      <c r="E1623" s="7" t="str">
        <f>IFERROR(__xludf.DUMMYFUNCTION("""COMPUTED_VALUE"""),"Matias")</f>
        <v>Matias</v>
      </c>
      <c r="F1623" s="7" t="str">
        <f>IFERROR(__xludf.DUMMYFUNCTION("""COMPUTED_VALUE"""),"alebquilaleo@gmail.com")</f>
        <v>alebquilaleo@gmail.com</v>
      </c>
      <c r="G1623" s="20">
        <f>IFERROR(__xludf.DUMMYFUNCTION("""COMPUTED_VALUE"""),41687.0)</f>
        <v>41687</v>
      </c>
      <c r="H1623" s="7">
        <f>IFERROR(__xludf.DUMMYFUNCTION("""COMPUTED_VALUE"""),5.350971E7)</f>
        <v>53509710</v>
      </c>
      <c r="I1623" s="7">
        <f>IFERROR(__xludf.DUMMYFUNCTION("""COMPUTED_VALUE"""),3.516123681E9)</f>
        <v>3516123681</v>
      </c>
      <c r="J1623" s="7" t="str">
        <f>IFERROR(__xludf.DUMMYFUNCTION("""COMPUTED_VALUE"""),"Recomendación")</f>
        <v>Recomendación</v>
      </c>
      <c r="K1623" s="7" t="str">
        <f>IFERROR(__xludf.DUMMYFUNCTION("""COMPUTED_VALUE"""),"Obra social")</f>
        <v>Obra social</v>
      </c>
      <c r="L1623" s="7"/>
      <c r="M1623" s="7" t="str">
        <f>IFERROR(__xludf.DUMMYFUNCTION("""COMPUTED_VALUE"""),"Si")</f>
        <v>Si</v>
      </c>
      <c r="N1623" s="7" t="str">
        <f>IFERROR(__xludf.DUMMYFUNCTION("""COMPUTED_VALUE"""),"Gimnasia deportiva")</f>
        <v>Gimnasia deportiva</v>
      </c>
      <c r="O1623" s="7" t="str">
        <f>IFERROR(__xludf.DUMMYFUNCTION("""COMPUTED_VALUE"""),"3 a 5 veces por semana")</f>
        <v>3 a 5 veces por semana</v>
      </c>
      <c r="P1623" s="7"/>
      <c r="Q1623" s="7" t="str">
        <f>IFERROR(__xludf.DUMMYFUNCTION("""COMPUTED_VALUE"""),"PREVENCIÓN")</f>
        <v>PREVENCIÓN</v>
      </c>
      <c r="R1623" s="7"/>
      <c r="S1623" s="7"/>
    </row>
    <row r="1624">
      <c r="C1624" s="19">
        <f>IFERROR(__xludf.DUMMYFUNCTION("""COMPUTED_VALUE"""),46156.49166612269)</f>
        <v>46156.49167</v>
      </c>
      <c r="D1624" s="7" t="str">
        <f>IFERROR(__xludf.DUMMYFUNCTION("""COMPUTED_VALUE"""),"Weihmüller ")</f>
        <v>Weihmüller </v>
      </c>
      <c r="E1624" s="7" t="str">
        <f>IFERROR(__xludf.DUMMYFUNCTION("""COMPUTED_VALUE"""),"María Eugenia ")</f>
        <v>María Eugenia </v>
      </c>
      <c r="F1624" s="7" t="str">
        <f>IFERROR(__xludf.DUMMYFUNCTION("""COMPUTED_VALUE"""),"meugeniaw1975@gmail.com")</f>
        <v>meugeniaw1975@gmail.com</v>
      </c>
      <c r="G1624" s="20">
        <f>IFERROR(__xludf.DUMMYFUNCTION("""COMPUTED_VALUE"""),27758.0)</f>
        <v>27758</v>
      </c>
      <c r="H1624" s="7">
        <f>IFERROR(__xludf.DUMMYFUNCTION("""COMPUTED_VALUE"""),2.491927E7)</f>
        <v>24919270</v>
      </c>
      <c r="I1624" s="7">
        <f>IFERROR(__xludf.DUMMYFUNCTION("""COMPUTED_VALUE"""),3.512585157E9)</f>
        <v>3512585157</v>
      </c>
      <c r="J1624" s="7" t="str">
        <f>IFERROR(__xludf.DUMMYFUNCTION("""COMPUTED_VALUE"""),"Instagram")</f>
        <v>Instagram</v>
      </c>
      <c r="K1624" s="7" t="str">
        <f>IFERROR(__xludf.DUMMYFUNCTION("""COMPUTED_VALUE"""),"Particular")</f>
        <v>Particular</v>
      </c>
      <c r="L1624" s="7"/>
      <c r="M1624" s="7" t="str">
        <f>IFERROR(__xludf.DUMMYFUNCTION("""COMPUTED_VALUE"""),"Si")</f>
        <v>Si</v>
      </c>
      <c r="N1624" s="7" t="str">
        <f>IFERROR(__xludf.DUMMYFUNCTION("""COMPUTED_VALUE"""),"Padel")</f>
        <v>Padel</v>
      </c>
      <c r="O1624" s="7" t="str">
        <f>IFERROR(__xludf.DUMMYFUNCTION("""COMPUTED_VALUE"""),"3 a 5 veces por semana")</f>
        <v>3 a 5 veces por semana</v>
      </c>
      <c r="P1624" s="7"/>
      <c r="Q1624" s="7"/>
      <c r="R1624" s="7"/>
      <c r="S1624" s="7"/>
    </row>
    <row r="1625">
      <c r="C1625" s="19">
        <f>IFERROR(__xludf.DUMMYFUNCTION("""COMPUTED_VALUE"""),46156.76690616898)</f>
        <v>46156.76691</v>
      </c>
      <c r="D1625" s="7" t="str">
        <f>IFERROR(__xludf.DUMMYFUNCTION("""COMPUTED_VALUE"""),"BOLOGNA")</f>
        <v>BOLOGNA</v>
      </c>
      <c r="E1625" s="7" t="str">
        <f>IFERROR(__xludf.DUMMYFUNCTION("""COMPUTED_VALUE"""),"Lucia")</f>
        <v>Lucia</v>
      </c>
      <c r="F1625" s="7" t="str">
        <f>IFERROR(__xludf.DUMMYFUNCTION("""COMPUTED_VALUE"""),"lucia.bologna@hotmail.com ")</f>
        <v>lucia.bologna@hotmail.com </v>
      </c>
      <c r="G1625" s="20">
        <f>IFERROR(__xludf.DUMMYFUNCTION("""COMPUTED_VALUE"""),16443.0)</f>
        <v>16443</v>
      </c>
      <c r="H1625" s="7">
        <f>IFERROR(__xludf.DUMMYFUNCTION("""COMPUTED_VALUE"""),9.3522875E7)</f>
        <v>93522875</v>
      </c>
      <c r="I1625" s="7">
        <f>IFERROR(__xludf.DUMMYFUNCTION("""COMPUTED_VALUE"""),3.513243743E9)</f>
        <v>3513243743</v>
      </c>
      <c r="J1625" s="7" t="str">
        <f>IFERROR(__xludf.DUMMYFUNCTION("""COMPUTED_VALUE"""),"Recomendación")</f>
        <v>Recomendación</v>
      </c>
      <c r="K1625" s="7" t="str">
        <f>IFERROR(__xludf.DUMMYFUNCTION("""COMPUTED_VALUE"""),"Particular")</f>
        <v>Particular</v>
      </c>
      <c r="L1625" s="7"/>
      <c r="M1625" s="7" t="str">
        <f>IFERROR(__xludf.DUMMYFUNCTION("""COMPUTED_VALUE"""),"No")</f>
        <v>No</v>
      </c>
      <c r="N1625" s="7"/>
      <c r="O1625" s="7"/>
      <c r="P1625" s="7"/>
      <c r="Q1625" s="7"/>
      <c r="R1625" s="7"/>
      <c r="S1625" s="7"/>
    </row>
    <row r="1626">
      <c r="C1626" s="19">
        <f>IFERROR(__xludf.DUMMYFUNCTION("""COMPUTED_VALUE"""),46157.65515925926)</f>
        <v>46157.65516</v>
      </c>
      <c r="D1626" s="7" t="str">
        <f>IFERROR(__xludf.DUMMYFUNCTION("""COMPUTED_VALUE"""),"Del Castillo ")</f>
        <v>Del Castillo </v>
      </c>
      <c r="E1626" s="7" t="str">
        <f>IFERROR(__xludf.DUMMYFUNCTION("""COMPUTED_VALUE"""),"Maricel")</f>
        <v>Maricel</v>
      </c>
      <c r="F1626" s="7" t="str">
        <f>IFERROR(__xludf.DUMMYFUNCTION("""COMPUTED_VALUE"""),"mariseledc@gmail.com")</f>
        <v>mariseledc@gmail.com</v>
      </c>
      <c r="G1626" s="20">
        <f>IFERROR(__xludf.DUMMYFUNCTION("""COMPUTED_VALUE"""),29621.0)</f>
        <v>29621</v>
      </c>
      <c r="H1626" s="7">
        <f>IFERROR(__xludf.DUMMYFUNCTION("""COMPUTED_VALUE"""),2.8651234E7)</f>
        <v>28651234</v>
      </c>
      <c r="I1626" s="7">
        <f>IFERROR(__xludf.DUMMYFUNCTION("""COMPUTED_VALUE"""),3.513925956E9)</f>
        <v>3513925956</v>
      </c>
      <c r="J1626" s="7" t="str">
        <f>IFERROR(__xludf.DUMMYFUNCTION("""COMPUTED_VALUE"""),"Recomendación")</f>
        <v>Recomendación</v>
      </c>
      <c r="K1626" s="7" t="str">
        <f>IFERROR(__xludf.DUMMYFUNCTION("""COMPUTED_VALUE"""),"Obra social")</f>
        <v>Obra social</v>
      </c>
      <c r="L1626" s="7"/>
      <c r="M1626" s="7" t="str">
        <f>IFERROR(__xludf.DUMMYFUNCTION("""COMPUTED_VALUE"""),"Si")</f>
        <v>Si</v>
      </c>
      <c r="N1626" s="7" t="str">
        <f>IFERROR(__xludf.DUMMYFUNCTION("""COMPUTED_VALUE"""),"Voley")</f>
        <v>Voley</v>
      </c>
      <c r="O1626" s="7" t="str">
        <f>IFERROR(__xludf.DUMMYFUNCTION("""COMPUTED_VALUE"""),"3 a 5 veces por semana")</f>
        <v>3 a 5 veces por semana</v>
      </c>
      <c r="P1626" s="7"/>
      <c r="Q1626" s="7" t="str">
        <f>IFERROR(__xludf.DUMMYFUNCTION("""COMPUTED_VALUE"""),"APROSS")</f>
        <v>APROSS</v>
      </c>
      <c r="R1626" s="7"/>
      <c r="S1626" s="7"/>
    </row>
    <row r="1627">
      <c r="C1627" s="19">
        <f>IFERROR(__xludf.DUMMYFUNCTION("""COMPUTED_VALUE"""),46157.75717803241)</f>
        <v>46157.75718</v>
      </c>
      <c r="D1627" s="7" t="str">
        <f>IFERROR(__xludf.DUMMYFUNCTION("""COMPUTED_VALUE"""),"Lesta")</f>
        <v>Lesta</v>
      </c>
      <c r="E1627" s="7" t="str">
        <f>IFERROR(__xludf.DUMMYFUNCTION("""COMPUTED_VALUE"""),"Liliana")</f>
        <v>Liliana</v>
      </c>
      <c r="F1627" s="7"/>
      <c r="G1627" s="20">
        <f>IFERROR(__xludf.DUMMYFUNCTION("""COMPUTED_VALUE"""),20916.0)</f>
        <v>20916</v>
      </c>
      <c r="H1627" s="7">
        <f>IFERROR(__xludf.DUMMYFUNCTION("""COMPUTED_VALUE"""),1.3152211E7)</f>
        <v>13152211</v>
      </c>
      <c r="I1627" s="7">
        <f>IFERROR(__xludf.DUMMYFUNCTION("""COMPUTED_VALUE"""),3.512017286E9)</f>
        <v>3512017286</v>
      </c>
      <c r="J1627" s="7" t="str">
        <f>IFERROR(__xludf.DUMMYFUNCTION("""COMPUTED_VALUE"""),"Recomendación")</f>
        <v>Recomendación</v>
      </c>
      <c r="K1627" s="7" t="str">
        <f>IFERROR(__xludf.DUMMYFUNCTION("""COMPUTED_VALUE"""),"Particular")</f>
        <v>Particular</v>
      </c>
      <c r="L1627" s="7"/>
      <c r="M1627" s="7" t="str">
        <f>IFERROR(__xludf.DUMMYFUNCTION("""COMPUTED_VALUE"""),"No")</f>
        <v>No</v>
      </c>
      <c r="N1627" s="7"/>
      <c r="O1627" s="7"/>
      <c r="P1627" s="7"/>
      <c r="Q1627" s="7"/>
      <c r="R1627" s="7"/>
      <c r="S1627" s="7"/>
    </row>
    <row r="1628">
      <c r="C1628" s="19">
        <f>IFERROR(__xludf.DUMMYFUNCTION("""COMPUTED_VALUE"""),46157.7869927662)</f>
        <v>46157.78699</v>
      </c>
      <c r="D1628" s="7" t="str">
        <f>IFERROR(__xludf.DUMMYFUNCTION("""COMPUTED_VALUE"""),"Barbetta")</f>
        <v>Barbetta</v>
      </c>
      <c r="E1628" s="7" t="str">
        <f>IFERROR(__xludf.DUMMYFUNCTION("""COMPUTED_VALUE"""),"Juan luis")</f>
        <v>Juan luis</v>
      </c>
      <c r="F1628" s="7" t="str">
        <f>IFERROR(__xludf.DUMMYFUNCTION("""COMPUTED_VALUE"""),"Juanbarbetta@gmail.com")</f>
        <v>Juanbarbetta@gmail.com</v>
      </c>
      <c r="G1628" s="20">
        <f>IFERROR(__xludf.DUMMYFUNCTION("""COMPUTED_VALUE"""),29541.0)</f>
        <v>29541</v>
      </c>
      <c r="H1628" s="7">
        <f>IFERROR(__xludf.DUMMYFUNCTION("""COMPUTED_VALUE"""),2.8442042E7)</f>
        <v>28442042</v>
      </c>
      <c r="I1628" s="7">
        <f>IFERROR(__xludf.DUMMYFUNCTION("""COMPUTED_VALUE"""),3.513904956E9)</f>
        <v>3513904956</v>
      </c>
      <c r="J1628" s="7" t="str">
        <f>IFERROR(__xludf.DUMMYFUNCTION("""COMPUTED_VALUE"""),"Recomendación")</f>
        <v>Recomendación</v>
      </c>
      <c r="K1628" s="7" t="str">
        <f>IFERROR(__xludf.DUMMYFUNCTION("""COMPUTED_VALUE"""),"Particular")</f>
        <v>Particular</v>
      </c>
      <c r="L1628" s="7"/>
      <c r="M1628" s="7" t="str">
        <f>IFERROR(__xludf.DUMMYFUNCTION("""COMPUTED_VALUE"""),"Si")</f>
        <v>Si</v>
      </c>
      <c r="N1628" s="7" t="str">
        <f>IFERROR(__xludf.DUMMYFUNCTION("""COMPUTED_VALUE"""),"Gimnasio ")</f>
        <v>Gimnasio </v>
      </c>
      <c r="O1628" s="7" t="str">
        <f>IFERROR(__xludf.DUMMYFUNCTION("""COMPUTED_VALUE"""),"3 a 5 veces por semana")</f>
        <v>3 a 5 veces por semana</v>
      </c>
      <c r="P1628" s="7"/>
      <c r="Q1628" s="7"/>
      <c r="R1628" s="7"/>
      <c r="S1628" s="7"/>
    </row>
    <row r="1629">
      <c r="C1629" s="19">
        <f>IFERROR(__xludf.DUMMYFUNCTION("""COMPUTED_VALUE"""),46160.47313237269)</f>
        <v>46160.47313</v>
      </c>
      <c r="D1629" s="7" t="str">
        <f>IFERROR(__xludf.DUMMYFUNCTION("""COMPUTED_VALUE"""),"BOAGLIO ")</f>
        <v>BOAGLIO </v>
      </c>
      <c r="E1629" s="7" t="str">
        <f>IFERROR(__xludf.DUMMYFUNCTION("""COMPUTED_VALUE"""),"Laura Leonor ")</f>
        <v>Laura Leonor </v>
      </c>
      <c r="F1629" s="7" t="str">
        <f>IFERROR(__xludf.DUMMYFUNCTION("""COMPUTED_VALUE"""),"lauraboaglio@gmail.com")</f>
        <v>lauraboaglio@gmail.com</v>
      </c>
      <c r="G1629" s="20">
        <f>IFERROR(__xludf.DUMMYFUNCTION("""COMPUTED_VALUE"""),19631.0)</f>
        <v>19631</v>
      </c>
      <c r="H1629" s="7">
        <f>IFERROR(__xludf.DUMMYFUNCTION("""COMPUTED_VALUE"""),1.1425834E7)</f>
        <v>11425834</v>
      </c>
      <c r="I1629" s="7">
        <f>IFERROR(__xludf.DUMMYFUNCTION("""COMPUTED_VALUE"""),3.513117477E9)</f>
        <v>3513117477</v>
      </c>
      <c r="J1629" s="7" t="str">
        <f>IFERROR(__xludf.DUMMYFUNCTION("""COMPUTED_VALUE"""),"Cartilla Obra Social")</f>
        <v>Cartilla Obra Social</v>
      </c>
      <c r="K1629" s="7" t="str">
        <f>IFERROR(__xludf.DUMMYFUNCTION("""COMPUTED_VALUE"""),"Obra social")</f>
        <v>Obra social</v>
      </c>
      <c r="L1629" s="7"/>
      <c r="M1629" s="7" t="str">
        <f>IFERROR(__xludf.DUMMYFUNCTION("""COMPUTED_VALUE"""),"No")</f>
        <v>No</v>
      </c>
      <c r="N1629" s="7"/>
      <c r="O1629" s="7"/>
      <c r="P1629" s="7"/>
      <c r="Q1629" s="7" t="str">
        <f>IFERROR(__xludf.DUMMYFUNCTION("""COMPUTED_VALUE"""),"DASPU")</f>
        <v>DASPU</v>
      </c>
      <c r="R1629" s="7"/>
      <c r="S1629" s="7"/>
    </row>
    <row r="1630">
      <c r="C1630" s="19">
        <f>IFERROR(__xludf.DUMMYFUNCTION("""COMPUTED_VALUE"""),46160.48110684028)</f>
        <v>46160.48111</v>
      </c>
      <c r="D1630" s="7" t="str">
        <f>IFERROR(__xludf.DUMMYFUNCTION("""COMPUTED_VALUE"""),"Rodriguez")</f>
        <v>Rodriguez</v>
      </c>
      <c r="E1630" s="7" t="str">
        <f>IFERROR(__xludf.DUMMYFUNCTION("""COMPUTED_VALUE"""),"Gabriel")</f>
        <v>Gabriel</v>
      </c>
      <c r="F1630" s="7" t="str">
        <f>IFERROR(__xludf.DUMMYFUNCTION("""COMPUTED_VALUE"""),"-")</f>
        <v>-</v>
      </c>
      <c r="G1630" s="20">
        <f>IFERROR(__xludf.DUMMYFUNCTION("""COMPUTED_VALUE"""),26694.0)</f>
        <v>26694</v>
      </c>
      <c r="H1630" s="7">
        <f>IFERROR(__xludf.DUMMYFUNCTION("""COMPUTED_VALUE"""),2.3195523E7)</f>
        <v>23195523</v>
      </c>
      <c r="I1630" s="7">
        <f>IFERROR(__xludf.DUMMYFUNCTION("""COMPUTED_VALUE"""),3.516297253E9)</f>
        <v>3516297253</v>
      </c>
      <c r="J1630" s="7" t="str">
        <f>IFERROR(__xludf.DUMMYFUNCTION("""COMPUTED_VALUE"""),"Facebook")</f>
        <v>Facebook</v>
      </c>
      <c r="K1630" s="7" t="str">
        <f>IFERROR(__xludf.DUMMYFUNCTION("""COMPUTED_VALUE"""),"Particular")</f>
        <v>Particular</v>
      </c>
      <c r="L1630" s="7"/>
      <c r="M1630" s="7" t="str">
        <f>IFERROR(__xludf.DUMMYFUNCTION("""COMPUTED_VALUE"""),"No")</f>
        <v>No</v>
      </c>
      <c r="N1630" s="7"/>
      <c r="O1630" s="7"/>
      <c r="P1630" s="7"/>
      <c r="Q1630" s="7"/>
      <c r="R1630" s="7"/>
      <c r="S1630" s="7"/>
    </row>
    <row r="1631">
      <c r="C1631" s="19">
        <f>IFERROR(__xludf.DUMMYFUNCTION("""COMPUTED_VALUE"""),46160.61805331019)</f>
        <v>46160.61805</v>
      </c>
      <c r="D1631" s="7" t="str">
        <f>IFERROR(__xludf.DUMMYFUNCTION("""COMPUTED_VALUE"""),"Chocobares ")</f>
        <v>Chocobares </v>
      </c>
      <c r="E1631" s="7" t="str">
        <f>IFERROR(__xludf.DUMMYFUNCTION("""COMPUTED_VALUE"""),"Gaston ")</f>
        <v>Gaston </v>
      </c>
      <c r="F1631" s="7" t="str">
        <f>IFERROR(__xludf.DUMMYFUNCTION("""COMPUTED_VALUE"""),"gastonchocobares@hotmail.com")</f>
        <v>gastonchocobares@hotmail.com</v>
      </c>
      <c r="G1631" s="20">
        <f>IFERROR(__xludf.DUMMYFUNCTION("""COMPUTED_VALUE"""),33326.0)</f>
        <v>33326</v>
      </c>
      <c r="H1631" s="7">
        <f>IFERROR(__xludf.DUMMYFUNCTION("""COMPUTED_VALUE"""),3.5579396E7)</f>
        <v>35579396</v>
      </c>
      <c r="I1631" s="7">
        <f>IFERROR(__xludf.DUMMYFUNCTION("""COMPUTED_VALUE"""),3.512340314E9)</f>
        <v>3512340314</v>
      </c>
      <c r="J1631" s="7" t="str">
        <f>IFERROR(__xludf.DUMMYFUNCTION("""COMPUTED_VALUE"""),"Recomendación")</f>
        <v>Recomendación</v>
      </c>
      <c r="K1631" s="7" t="str">
        <f>IFERROR(__xludf.DUMMYFUNCTION("""COMPUTED_VALUE"""),"Obra social")</f>
        <v>Obra social</v>
      </c>
      <c r="L1631" s="7"/>
      <c r="M1631" s="7" t="str">
        <f>IFERROR(__xludf.DUMMYFUNCTION("""COMPUTED_VALUE"""),"Si")</f>
        <v>Si</v>
      </c>
      <c r="N1631" s="7" t="str">
        <f>IFERROR(__xludf.DUMMYFUNCTION("""COMPUTED_VALUE"""),"Fútbol")</f>
        <v>Fútbol</v>
      </c>
      <c r="O1631" s="7" t="str">
        <f>IFERROR(__xludf.DUMMYFUNCTION("""COMPUTED_VALUE"""),"1 a 2 veces por semana")</f>
        <v>1 a 2 veces por semana</v>
      </c>
      <c r="P1631" s="7"/>
      <c r="Q1631" s="7" t="str">
        <f>IFERROR(__xludf.DUMMYFUNCTION("""COMPUTED_VALUE"""),"Medife")</f>
        <v>Medife</v>
      </c>
      <c r="R1631" s="7"/>
      <c r="S1631" s="7"/>
    </row>
    <row r="1632">
      <c r="C1632" s="19">
        <f>IFERROR(__xludf.DUMMYFUNCTION("""COMPUTED_VALUE"""),46160.675060381946)</f>
        <v>46160.67506</v>
      </c>
      <c r="D1632" s="7" t="str">
        <f>IFERROR(__xludf.DUMMYFUNCTION("""COMPUTED_VALUE"""),"Romero ")</f>
        <v>Romero </v>
      </c>
      <c r="E1632" s="7" t="str">
        <f>IFERROR(__xludf.DUMMYFUNCTION("""COMPUTED_VALUE"""),"Liliana Inés ")</f>
        <v>Liliana Inés </v>
      </c>
      <c r="F1632" s="7" t="str">
        <f>IFERROR(__xludf.DUMMYFUNCTION("""COMPUTED_VALUE"""),"Lilianaromer@gmail.com")</f>
        <v>Lilianaromer@gmail.com</v>
      </c>
      <c r="G1632" s="20">
        <f>IFERROR(__xludf.DUMMYFUNCTION("""COMPUTED_VALUE"""),19984.0)</f>
        <v>19984</v>
      </c>
      <c r="H1632" s="21">
        <f>IFERROR(__xludf.DUMMYFUNCTION("""COMPUTED_VALUE"""),1.1588684E7)</f>
        <v>11588684</v>
      </c>
      <c r="I1632" s="7">
        <f>IFERROR(__xludf.DUMMYFUNCTION("""COMPUTED_VALUE"""),3.51322603E9)</f>
        <v>3513226030</v>
      </c>
      <c r="J1632" s="7" t="str">
        <f>IFERROR(__xludf.DUMMYFUNCTION("""COMPUTED_VALUE"""),"Recomendación")</f>
        <v>Recomendación</v>
      </c>
      <c r="K1632" s="7" t="str">
        <f>IFERROR(__xludf.DUMMYFUNCTION("""COMPUTED_VALUE"""),"Obra social")</f>
        <v>Obra social</v>
      </c>
      <c r="L1632" s="7"/>
      <c r="M1632" s="7" t="str">
        <f>IFERROR(__xludf.DUMMYFUNCTION("""COMPUTED_VALUE"""),"Si")</f>
        <v>Si</v>
      </c>
      <c r="N1632" s="7" t="str">
        <f>IFERROR(__xludf.DUMMYFUNCTION("""COMPUTED_VALUE"""),"Natación")</f>
        <v>Natación</v>
      </c>
      <c r="O1632" s="7" t="str">
        <f>IFERROR(__xludf.DUMMYFUNCTION("""COMPUTED_VALUE"""),"1 a 2 veces por semana")</f>
        <v>1 a 2 veces por semana</v>
      </c>
      <c r="P1632" s="7"/>
      <c r="Q1632" s="7" t="str">
        <f>IFERROR(__xludf.DUMMYFUNCTION("""COMPUTED_VALUE"""),"APROSS")</f>
        <v>APROSS</v>
      </c>
      <c r="R1632" s="7"/>
      <c r="S1632" s="7"/>
    </row>
    <row r="1633">
      <c r="C1633" s="19">
        <f>IFERROR(__xludf.DUMMYFUNCTION("""COMPUTED_VALUE"""),46160.77869489584)</f>
        <v>46160.77869</v>
      </c>
      <c r="D1633" s="7" t="str">
        <f>IFERROR(__xludf.DUMMYFUNCTION("""COMPUTED_VALUE"""),"Loyola ")</f>
        <v>Loyola </v>
      </c>
      <c r="E1633" s="7" t="str">
        <f>IFERROR(__xludf.DUMMYFUNCTION("""COMPUTED_VALUE"""),"Rodrigo")</f>
        <v>Rodrigo</v>
      </c>
      <c r="F1633" s="7" t="str">
        <f>IFERROR(__xludf.DUMMYFUNCTION("""COMPUTED_VALUE"""),"Rodrigoloyolarivero@gmail.com")</f>
        <v>Rodrigoloyolarivero@gmail.com</v>
      </c>
      <c r="G1633" s="20">
        <f>IFERROR(__xludf.DUMMYFUNCTION("""COMPUTED_VALUE"""),35203.0)</f>
        <v>35203</v>
      </c>
      <c r="H1633" s="7">
        <f>IFERROR(__xludf.DUMMYFUNCTION("""COMPUTED_VALUE"""),3.962063E7)</f>
        <v>39620630</v>
      </c>
      <c r="I1633" s="7">
        <f>IFERROR(__xludf.DUMMYFUNCTION("""COMPUTED_VALUE"""),3.515932175E9)</f>
        <v>3515932175</v>
      </c>
      <c r="J1633" s="7" t="str">
        <f>IFERROR(__xludf.DUMMYFUNCTION("""COMPUTED_VALUE"""),"Recomendación")</f>
        <v>Recomendación</v>
      </c>
      <c r="K1633" s="7" t="str">
        <f>IFERROR(__xludf.DUMMYFUNCTION("""COMPUTED_VALUE"""),"Particular")</f>
        <v>Particular</v>
      </c>
      <c r="L1633" s="7"/>
      <c r="M1633" s="7" t="str">
        <f>IFERROR(__xludf.DUMMYFUNCTION("""COMPUTED_VALUE"""),"Si")</f>
        <v>Si</v>
      </c>
      <c r="N1633" s="7" t="str">
        <f>IFERROR(__xludf.DUMMYFUNCTION("""COMPUTED_VALUE"""),"Pádel Running Gimnasio Futbol")</f>
        <v>Pádel Running Gimnasio Futbol</v>
      </c>
      <c r="O1633" s="7" t="str">
        <f>IFERROR(__xludf.DUMMYFUNCTION("""COMPUTED_VALUE"""),"3 a 5 veces por semana")</f>
        <v>3 a 5 veces por semana</v>
      </c>
      <c r="P1633" s="7"/>
      <c r="Q1633" s="7"/>
      <c r="R1633" s="7"/>
      <c r="S1633" s="7"/>
    </row>
    <row r="1634">
      <c r="C1634" s="19">
        <f>IFERROR(__xludf.DUMMYFUNCTION("""COMPUTED_VALUE"""),46161.50617775463)</f>
        <v>46161.50618</v>
      </c>
      <c r="D1634" s="7" t="str">
        <f>IFERROR(__xludf.DUMMYFUNCTION("""COMPUTED_VALUE"""),"Sanchez ")</f>
        <v>Sanchez </v>
      </c>
      <c r="E1634" s="7" t="str">
        <f>IFERROR(__xludf.DUMMYFUNCTION("""COMPUTED_VALUE"""),"Maria Elizabeth ")</f>
        <v>Maria Elizabeth </v>
      </c>
      <c r="F1634" s="7" t="str">
        <f>IFERROR(__xludf.DUMMYFUNCTION("""COMPUTED_VALUE"""),"nene_eli@hotmail.com")</f>
        <v>nene_eli@hotmail.com</v>
      </c>
      <c r="G1634" s="20">
        <f>IFERROR(__xludf.DUMMYFUNCTION("""COMPUTED_VALUE"""),20520.0)</f>
        <v>20520</v>
      </c>
      <c r="H1634" s="7">
        <f>IFERROR(__xludf.DUMMYFUNCTION("""COMPUTED_VALUE"""),1.2745123E7)</f>
        <v>12745123</v>
      </c>
      <c r="I1634" s="7">
        <f>IFERROR(__xludf.DUMMYFUNCTION("""COMPUTED_VALUE"""),3.516536519E9)</f>
        <v>3516536519</v>
      </c>
      <c r="J1634" s="7" t="str">
        <f>IFERROR(__xludf.DUMMYFUNCTION("""COMPUTED_VALUE"""),"Instagram")</f>
        <v>Instagram</v>
      </c>
      <c r="K1634" s="7" t="str">
        <f>IFERROR(__xludf.DUMMYFUNCTION("""COMPUTED_VALUE"""),"Obra social")</f>
        <v>Obra social</v>
      </c>
      <c r="L1634" s="7"/>
      <c r="M1634" s="7" t="str">
        <f>IFERROR(__xludf.DUMMYFUNCTION("""COMPUTED_VALUE"""),"Si")</f>
        <v>Si</v>
      </c>
      <c r="N1634" s="7" t="str">
        <f>IFERROR(__xludf.DUMMYFUNCTION("""COMPUTED_VALUE"""),"Gimnasio")</f>
        <v>Gimnasio</v>
      </c>
      <c r="O1634" s="7" t="str">
        <f>IFERROR(__xludf.DUMMYFUNCTION("""COMPUTED_VALUE"""),"3 a 5 veces por semana")</f>
        <v>3 a 5 veces por semana</v>
      </c>
      <c r="P1634" s="7"/>
      <c r="Q1634" s="7" t="str">
        <f>IFERROR(__xludf.DUMMYFUNCTION("""COMPUTED_VALUE"""),"CPCE")</f>
        <v>CPCE</v>
      </c>
      <c r="R1634" s="7"/>
      <c r="S1634" s="7"/>
    </row>
    <row r="1635">
      <c r="C1635" s="19">
        <f>IFERROR(__xludf.DUMMYFUNCTION("""COMPUTED_VALUE"""),46161.60710350695)</f>
        <v>46161.6071</v>
      </c>
      <c r="D1635" s="7" t="str">
        <f>IFERROR(__xludf.DUMMYFUNCTION("""COMPUTED_VALUE"""),"Kardahi")</f>
        <v>Kardahi</v>
      </c>
      <c r="E1635" s="7" t="str">
        <f>IFERROR(__xludf.DUMMYFUNCTION("""COMPUTED_VALUE"""),"Julio Eduardo")</f>
        <v>Julio Eduardo</v>
      </c>
      <c r="F1635" s="7" t="str">
        <f>IFERROR(__xludf.DUMMYFUNCTION("""COMPUTED_VALUE"""),"eduardokardahi@gmail.com")</f>
        <v>eduardokardahi@gmail.com</v>
      </c>
      <c r="G1635" s="20">
        <f>IFERROR(__xludf.DUMMYFUNCTION("""COMPUTED_VALUE"""),29266.0)</f>
        <v>29266</v>
      </c>
      <c r="H1635" s="7">
        <f>IFERROR(__xludf.DUMMYFUNCTION("""COMPUTED_VALUE"""),2.7103321E7)</f>
        <v>27103321</v>
      </c>
      <c r="I1635" s="7">
        <f>IFERROR(__xludf.DUMMYFUNCTION("""COMPUTED_VALUE"""),3.517402905E9)</f>
        <v>3517402905</v>
      </c>
      <c r="J1635" s="7" t="str">
        <f>IFERROR(__xludf.DUMMYFUNCTION("""COMPUTED_VALUE"""),"Gimnasio")</f>
        <v>Gimnasio</v>
      </c>
      <c r="K1635" s="7" t="str">
        <f>IFERROR(__xludf.DUMMYFUNCTION("""COMPUTED_VALUE"""),"Obra social")</f>
        <v>Obra social</v>
      </c>
      <c r="L1635" s="7"/>
      <c r="M1635" s="7" t="str">
        <f>IFERROR(__xludf.DUMMYFUNCTION("""COMPUTED_VALUE"""),"Si")</f>
        <v>Si</v>
      </c>
      <c r="N1635" s="7" t="str">
        <f>IFERROR(__xludf.DUMMYFUNCTION("""COMPUTED_VALUE"""),"Tenis de mesa")</f>
        <v>Tenis de mesa</v>
      </c>
      <c r="O1635" s="7" t="str">
        <f>IFERROR(__xludf.DUMMYFUNCTION("""COMPUTED_VALUE"""),"3 a 5 veces por semana")</f>
        <v>3 a 5 veces por semana</v>
      </c>
      <c r="P1635" s="7"/>
      <c r="Q1635" s="7" t="str">
        <f>IFERROR(__xludf.DUMMYFUNCTION("""COMPUTED_VALUE"""),"APROSS")</f>
        <v>APROSS</v>
      </c>
      <c r="R1635" s="7"/>
      <c r="S1635" s="7"/>
    </row>
    <row r="1636">
      <c r="C1636" s="19">
        <f>IFERROR(__xludf.DUMMYFUNCTION("""COMPUTED_VALUE"""),46161.884675486115)</f>
        <v>46161.88468</v>
      </c>
      <c r="D1636" s="7" t="str">
        <f>IFERROR(__xludf.DUMMYFUNCTION("""COMPUTED_VALUE"""),"Perez")</f>
        <v>Perez</v>
      </c>
      <c r="E1636" s="7" t="str">
        <f>IFERROR(__xludf.DUMMYFUNCTION("""COMPUTED_VALUE"""),"Emilia del Carmen")</f>
        <v>Emilia del Carmen</v>
      </c>
      <c r="F1636" s="7" t="str">
        <f>IFERROR(__xludf.DUMMYFUNCTION("""COMPUTED_VALUE"""),"Emicarperez@.com")</f>
        <v>Emicarperez@.com</v>
      </c>
      <c r="G1636" s="20">
        <f>IFERROR(__xludf.DUMMYFUNCTION("""COMPUTED_VALUE"""),18525.0)</f>
        <v>18525</v>
      </c>
      <c r="H1636" s="7">
        <f>IFERROR(__xludf.DUMMYFUNCTION("""COMPUTED_VALUE"""),6383194.0)</f>
        <v>6383194</v>
      </c>
      <c r="I1636" s="7">
        <f>IFERROR(__xludf.DUMMYFUNCTION("""COMPUTED_VALUE"""),3.513112961E9)</f>
        <v>3513112961</v>
      </c>
      <c r="J1636" s="7" t="str">
        <f>IFERROR(__xludf.DUMMYFUNCTION("""COMPUTED_VALUE"""),"Facebook")</f>
        <v>Facebook</v>
      </c>
      <c r="K1636" s="7" t="str">
        <f>IFERROR(__xludf.DUMMYFUNCTION("""COMPUTED_VALUE"""),"Particular")</f>
        <v>Particular</v>
      </c>
      <c r="L1636" s="7"/>
      <c r="M1636" s="7" t="str">
        <f>IFERROR(__xludf.DUMMYFUNCTION("""COMPUTED_VALUE"""),"No")</f>
        <v>No</v>
      </c>
      <c r="N1636" s="7"/>
      <c r="O1636" s="7"/>
      <c r="P1636" s="7"/>
      <c r="Q1636" s="7"/>
      <c r="R1636" s="7"/>
      <c r="S1636" s="7"/>
    </row>
    <row r="1637">
      <c r="C1637" s="19">
        <f>IFERROR(__xludf.DUMMYFUNCTION("""COMPUTED_VALUE"""),46162.43748175926)</f>
        <v>46162.43748</v>
      </c>
      <c r="D1637" s="7" t="str">
        <f>IFERROR(__xludf.DUMMYFUNCTION("""COMPUTED_VALUE"""),"Godoy")</f>
        <v>Godoy</v>
      </c>
      <c r="E1637" s="7" t="str">
        <f>IFERROR(__xludf.DUMMYFUNCTION("""COMPUTED_VALUE"""),"Lucas Matias")</f>
        <v>Lucas Matias</v>
      </c>
      <c r="F1637" s="7" t="str">
        <f>IFERROR(__xludf.DUMMYFUNCTION("""COMPUTED_VALUE"""),"centroinmobiliariocba@gmail.com")</f>
        <v>centroinmobiliariocba@gmail.com</v>
      </c>
      <c r="G1637" s="20">
        <f>IFERROR(__xludf.DUMMYFUNCTION("""COMPUTED_VALUE"""),32800.0)</f>
        <v>32800</v>
      </c>
      <c r="H1637" s="7">
        <f>IFERROR(__xludf.DUMMYFUNCTION("""COMPUTED_VALUE"""),3.4838492E7)</f>
        <v>34838492</v>
      </c>
      <c r="I1637" s="7">
        <f>IFERROR(__xludf.DUMMYFUNCTION("""COMPUTED_VALUE"""),3.517415591E9)</f>
        <v>3517415591</v>
      </c>
      <c r="J1637" s="7" t="str">
        <f>IFERROR(__xludf.DUMMYFUNCTION("""COMPUTED_VALUE"""),"Recomendación")</f>
        <v>Recomendación</v>
      </c>
      <c r="K1637" s="7" t="str">
        <f>IFERROR(__xludf.DUMMYFUNCTION("""COMPUTED_VALUE"""),"Obra social")</f>
        <v>Obra social</v>
      </c>
      <c r="L1637" s="7"/>
      <c r="M1637" s="7" t="str">
        <f>IFERROR(__xludf.DUMMYFUNCTION("""COMPUTED_VALUE"""),"Si")</f>
        <v>Si</v>
      </c>
      <c r="N1637" s="7" t="str">
        <f>IFERROR(__xludf.DUMMYFUNCTION("""COMPUTED_VALUE"""),"Fútbol")</f>
        <v>Fútbol</v>
      </c>
      <c r="O1637" s="7" t="str">
        <f>IFERROR(__xludf.DUMMYFUNCTION("""COMPUTED_VALUE"""),"1 a 2 veces por semana")</f>
        <v>1 a 2 veces por semana</v>
      </c>
      <c r="P1637" s="7"/>
      <c r="Q1637" s="7" t="str">
        <f>IFERROR(__xludf.DUMMYFUNCTION("""COMPUTED_VALUE"""),"Medife")</f>
        <v>Medife</v>
      </c>
      <c r="R1637" s="7"/>
      <c r="S1637" s="7"/>
    </row>
    <row r="1638">
      <c r="C1638" s="19">
        <f>IFERROR(__xludf.DUMMYFUNCTION("""COMPUTED_VALUE"""),46162.46086871528)</f>
        <v>46162.46087</v>
      </c>
      <c r="D1638" s="7" t="str">
        <f>IFERROR(__xludf.DUMMYFUNCTION("""COMPUTED_VALUE"""),"Javif")</f>
        <v>Javif</v>
      </c>
      <c r="E1638" s="7" t="str">
        <f>IFERROR(__xludf.DUMMYFUNCTION("""COMPUTED_VALUE"""),"Jesica ")</f>
        <v>Jesica </v>
      </c>
      <c r="F1638" s="7" t="str">
        <f>IFERROR(__xludf.DUMMYFUNCTION("""COMPUTED_VALUE"""),"Jesi_32@hotmail.com")</f>
        <v>Jesi_32@hotmail.com</v>
      </c>
      <c r="G1638" s="20">
        <f>IFERROR(__xludf.DUMMYFUNCTION("""COMPUTED_VALUE"""),31712.0)</f>
        <v>31712</v>
      </c>
      <c r="H1638" s="7">
        <f>IFERROR(__xludf.DUMMYFUNCTION("""COMPUTED_VALUE"""),3.2540151E7)</f>
        <v>32540151</v>
      </c>
      <c r="I1638" s="7">
        <f>IFERROR(__xludf.DUMMYFUNCTION("""COMPUTED_VALUE"""),3.516113939E9)</f>
        <v>3516113939</v>
      </c>
      <c r="J1638" s="7" t="str">
        <f>IFERROR(__xludf.DUMMYFUNCTION("""COMPUTED_VALUE"""),"Recomendación")</f>
        <v>Recomendación</v>
      </c>
      <c r="K1638" s="7" t="str">
        <f>IFERROR(__xludf.DUMMYFUNCTION("""COMPUTED_VALUE"""),"Obra social")</f>
        <v>Obra social</v>
      </c>
      <c r="L1638" s="7"/>
      <c r="M1638" s="7" t="str">
        <f>IFERROR(__xludf.DUMMYFUNCTION("""COMPUTED_VALUE"""),"Si")</f>
        <v>Si</v>
      </c>
      <c r="N1638" s="7" t="str">
        <f>IFERROR(__xludf.DUMMYFUNCTION("""COMPUTED_VALUE"""),"Padel")</f>
        <v>Padel</v>
      </c>
      <c r="O1638" s="7" t="str">
        <f>IFERROR(__xludf.DUMMYFUNCTION("""COMPUTED_VALUE"""),"3 a 5 veces por semana")</f>
        <v>3 a 5 veces por semana</v>
      </c>
      <c r="P1638" s="7"/>
      <c r="Q1638" s="7" t="str">
        <f>IFERROR(__xludf.DUMMYFUNCTION("""COMPUTED_VALUE"""),"MEDIFÉ ")</f>
        <v>MEDIFÉ </v>
      </c>
      <c r="R1638" s="7"/>
      <c r="S1638" s="7"/>
    </row>
    <row r="1639">
      <c r="C1639" s="19">
        <f>IFERROR(__xludf.DUMMYFUNCTION("""COMPUTED_VALUE"""),46164.46399362269)</f>
        <v>46164.46399</v>
      </c>
      <c r="D1639" s="7" t="str">
        <f>IFERROR(__xludf.DUMMYFUNCTION("""COMPUTED_VALUE"""),"Gasser")</f>
        <v>Gasser</v>
      </c>
      <c r="E1639" s="7" t="str">
        <f>IFERROR(__xludf.DUMMYFUNCTION("""COMPUTED_VALUE"""),"Néstor ")</f>
        <v>Néstor </v>
      </c>
      <c r="F1639" s="7" t="str">
        <f>IFERROR(__xludf.DUMMYFUNCTION("""COMPUTED_VALUE"""),"Nhgassr@yahoo.com.ar")</f>
        <v>Nhgassr@yahoo.com.ar</v>
      </c>
      <c r="G1639" s="20">
        <f>IFERROR(__xludf.DUMMYFUNCTION("""COMPUTED_VALUE"""),18236.0)</f>
        <v>18236</v>
      </c>
      <c r="H1639" s="7">
        <f>IFERROR(__xludf.DUMMYFUNCTION("""COMPUTED_VALUE"""),8277101.0)</f>
        <v>8277101</v>
      </c>
      <c r="I1639" s="7">
        <f>IFERROR(__xludf.DUMMYFUNCTION("""COMPUTED_VALUE"""),3.513394228E9)</f>
        <v>3513394228</v>
      </c>
      <c r="J1639" s="7" t="str">
        <f>IFERROR(__xludf.DUMMYFUNCTION("""COMPUTED_VALUE"""),"Recomendación")</f>
        <v>Recomendación</v>
      </c>
      <c r="K1639" s="7" t="str">
        <f>IFERROR(__xludf.DUMMYFUNCTION("""COMPUTED_VALUE"""),"Obra social")</f>
        <v>Obra social</v>
      </c>
      <c r="L1639" s="7"/>
      <c r="M1639" s="7" t="str">
        <f>IFERROR(__xludf.DUMMYFUNCTION("""COMPUTED_VALUE"""),"Si")</f>
        <v>Si</v>
      </c>
      <c r="N1639" s="7" t="str">
        <f>IFERROR(__xludf.DUMMYFUNCTION("""COMPUTED_VALUE"""),"Gimnasio")</f>
        <v>Gimnasio</v>
      </c>
      <c r="O1639" s="7" t="str">
        <f>IFERROR(__xludf.DUMMYFUNCTION("""COMPUTED_VALUE"""),"3 a 5 veces por semana")</f>
        <v>3 a 5 veces por semana</v>
      </c>
      <c r="P1639" s="7"/>
      <c r="Q1639" s="7" t="str">
        <f>IFERROR(__xludf.DUMMYFUNCTION("""COMPUTED_VALUE"""),"CPCE")</f>
        <v>CPCE</v>
      </c>
      <c r="R1639" s="7"/>
      <c r="S1639" s="7"/>
    </row>
    <row r="1640">
      <c r="C1640" s="19">
        <f>IFERROR(__xludf.DUMMYFUNCTION("""COMPUTED_VALUE"""),46168.44420336805)</f>
        <v>46168.4442</v>
      </c>
      <c r="D1640" s="7" t="str">
        <f>IFERROR(__xludf.DUMMYFUNCTION("""COMPUTED_VALUE"""),"Menel")</f>
        <v>Menel</v>
      </c>
      <c r="E1640" s="7" t="str">
        <f>IFERROR(__xludf.DUMMYFUNCTION("""COMPUTED_VALUE"""),"Lilian")</f>
        <v>Lilian</v>
      </c>
      <c r="F1640" s="7" t="str">
        <f>IFERROR(__xludf.DUMMYFUNCTION("""COMPUTED_VALUE"""),"lilianmenel@hotmail.com")</f>
        <v>lilianmenel@hotmail.com</v>
      </c>
      <c r="G1640" s="20">
        <f>IFERROR(__xludf.DUMMYFUNCTION("""COMPUTED_VALUE"""),19063.0)</f>
        <v>19063</v>
      </c>
      <c r="H1640" s="7">
        <f>IFERROR(__xludf.DUMMYFUNCTION("""COMPUTED_VALUE"""),1.016837E7)</f>
        <v>10168370</v>
      </c>
      <c r="I1640" s="7">
        <f>IFERROR(__xludf.DUMMYFUNCTION("""COMPUTED_VALUE"""),3.512424969E9)</f>
        <v>3512424969</v>
      </c>
      <c r="J1640" s="7" t="str">
        <f>IFERROR(__xludf.DUMMYFUNCTION("""COMPUTED_VALUE"""),"Google")</f>
        <v>Google</v>
      </c>
      <c r="K1640" s="7" t="str">
        <f>IFERROR(__xludf.DUMMYFUNCTION("""COMPUTED_VALUE"""),"Obra social")</f>
        <v>Obra social</v>
      </c>
      <c r="L1640" s="7"/>
      <c r="M1640" s="7" t="str">
        <f>IFERROR(__xludf.DUMMYFUNCTION("""COMPUTED_VALUE"""),"No")</f>
        <v>No</v>
      </c>
      <c r="N1640" s="7"/>
      <c r="O1640" s="7"/>
      <c r="P1640" s="7"/>
      <c r="Q1640" s="7" t="str">
        <f>IFERROR(__xludf.DUMMYFUNCTION("""COMPUTED_VALUE"""),"CPCE")</f>
        <v>CPCE</v>
      </c>
      <c r="R1640" s="7"/>
      <c r="S1640" s="7"/>
    </row>
    <row r="1641">
      <c r="C1641" s="19">
        <f>IFERROR(__xludf.DUMMYFUNCTION("""COMPUTED_VALUE"""),46169.42838287037)</f>
        <v>46169.42838</v>
      </c>
      <c r="D1641" s="7" t="str">
        <f>IFERROR(__xludf.DUMMYFUNCTION("""COMPUTED_VALUE"""),"Alvarez")</f>
        <v>Alvarez</v>
      </c>
      <c r="E1641" s="7" t="str">
        <f>IFERROR(__xludf.DUMMYFUNCTION("""COMPUTED_VALUE"""),"Victoria ")</f>
        <v>Victoria </v>
      </c>
      <c r="F1641" s="7" t="str">
        <f>IFERROR(__xludf.DUMMYFUNCTION("""COMPUTED_VALUE"""),"victorialvarez91@gmail.com")</f>
        <v>victorialvarez91@gmail.com</v>
      </c>
      <c r="G1641" s="20">
        <f>IFERROR(__xludf.DUMMYFUNCTION("""COMPUTED_VALUE"""),33432.0)</f>
        <v>33432</v>
      </c>
      <c r="H1641" s="7">
        <f>IFERROR(__xludf.DUMMYFUNCTION("""COMPUTED_VALUE"""),3.6447745E7)</f>
        <v>36447745</v>
      </c>
      <c r="I1641" s="7">
        <f>IFERROR(__xludf.DUMMYFUNCTION("""COMPUTED_VALUE"""),3.516318103E9)</f>
        <v>3516318103</v>
      </c>
      <c r="J1641" s="7" t="str">
        <f>IFERROR(__xludf.DUMMYFUNCTION("""COMPUTED_VALUE"""),"Recomendación")</f>
        <v>Recomendación</v>
      </c>
      <c r="K1641" s="7" t="str">
        <f>IFERROR(__xludf.DUMMYFUNCTION("""COMPUTED_VALUE"""),"Particular")</f>
        <v>Particular</v>
      </c>
      <c r="L1641" s="7"/>
      <c r="M1641" s="7" t="str">
        <f>IFERROR(__xludf.DUMMYFUNCTION("""COMPUTED_VALUE"""),"Si")</f>
        <v>Si</v>
      </c>
      <c r="N1641" s="7" t="str">
        <f>IFERROR(__xludf.DUMMYFUNCTION("""COMPUTED_VALUE"""),"Gimnasio")</f>
        <v>Gimnasio</v>
      </c>
      <c r="O1641" s="7" t="str">
        <f>IFERROR(__xludf.DUMMYFUNCTION("""COMPUTED_VALUE"""),"3 a 5 veces por semana")</f>
        <v>3 a 5 veces por semana</v>
      </c>
      <c r="P1641" s="7"/>
      <c r="Q1641" s="7"/>
      <c r="R1641" s="7"/>
      <c r="S1641" s="7"/>
    </row>
    <row r="1642">
      <c r="C1642" s="19">
        <f>IFERROR(__xludf.DUMMYFUNCTION("""COMPUTED_VALUE"""),46169.43895869213)</f>
        <v>46169.43896</v>
      </c>
      <c r="D1642" s="7" t="str">
        <f>IFERROR(__xludf.DUMMYFUNCTION("""COMPUTED_VALUE"""),"Ledesma")</f>
        <v>Ledesma</v>
      </c>
      <c r="E1642" s="7" t="str">
        <f>IFERROR(__xludf.DUMMYFUNCTION("""COMPUTED_VALUE"""),"Daniela")</f>
        <v>Daniela</v>
      </c>
      <c r="F1642" s="7" t="str">
        <f>IFERROR(__xludf.DUMMYFUNCTION("""COMPUTED_VALUE"""),"danii.ledes@live.com.ar")</f>
        <v>danii.ledes@live.com.ar</v>
      </c>
      <c r="G1642" s="20">
        <f>IFERROR(__xludf.DUMMYFUNCTION("""COMPUTED_VALUE"""),32441.0)</f>
        <v>32441</v>
      </c>
      <c r="H1642" s="7">
        <f>IFERROR(__xludf.DUMMYFUNCTION("""COMPUTED_VALUE"""),3.4094396E7)</f>
        <v>34094396</v>
      </c>
      <c r="I1642" s="7">
        <f>IFERROR(__xludf.DUMMYFUNCTION("""COMPUTED_VALUE"""),3.513862188E9)</f>
        <v>3513862188</v>
      </c>
      <c r="J1642" s="7" t="str">
        <f>IFERROR(__xludf.DUMMYFUNCTION("""COMPUTED_VALUE"""),"Recomendación")</f>
        <v>Recomendación</v>
      </c>
      <c r="K1642" s="7" t="str">
        <f>IFERROR(__xludf.DUMMYFUNCTION("""COMPUTED_VALUE"""),"Particular")</f>
        <v>Particular</v>
      </c>
      <c r="L1642" s="7"/>
      <c r="M1642" s="7" t="str">
        <f>IFERROR(__xludf.DUMMYFUNCTION("""COMPUTED_VALUE"""),"Si")</f>
        <v>Si</v>
      </c>
      <c r="N1642" s="7" t="str">
        <f>IFERROR(__xludf.DUMMYFUNCTION("""COMPUTED_VALUE"""),"Fútbol")</f>
        <v>Fútbol</v>
      </c>
      <c r="O1642" s="7" t="str">
        <f>IFERROR(__xludf.DUMMYFUNCTION("""COMPUTED_VALUE"""),"3 a 5 veces por semana")</f>
        <v>3 a 5 veces por semana</v>
      </c>
      <c r="P1642" s="7"/>
      <c r="Q1642" s="7"/>
      <c r="R1642" s="7"/>
      <c r="S1642" s="7"/>
    </row>
    <row r="1643">
      <c r="C1643" s="19">
        <f>IFERROR(__xludf.DUMMYFUNCTION("""COMPUTED_VALUE"""),46169.60749332176)</f>
        <v>46169.60749</v>
      </c>
      <c r="D1643" s="7" t="str">
        <f>IFERROR(__xludf.DUMMYFUNCTION("""COMPUTED_VALUE"""),"Flores")</f>
        <v>Flores</v>
      </c>
      <c r="E1643" s="7" t="str">
        <f>IFERROR(__xludf.DUMMYFUNCTION("""COMPUTED_VALUE"""),"Yago bautista")</f>
        <v>Yago bautista</v>
      </c>
      <c r="F1643" s="7" t="str">
        <f>IFERROR(__xludf.DUMMYFUNCTION("""COMPUTED_VALUE"""),"fransuarez1912@gmail.com")</f>
        <v>fransuarez1912@gmail.com</v>
      </c>
      <c r="G1643" s="20">
        <f>IFERROR(__xludf.DUMMYFUNCTION("""COMPUTED_VALUE"""),40388.0)</f>
        <v>40388</v>
      </c>
      <c r="H1643" s="7">
        <f>IFERROR(__xludf.DUMMYFUNCTION("""COMPUTED_VALUE"""),5.0331297E7)</f>
        <v>50331297</v>
      </c>
      <c r="I1643" s="7">
        <f>IFERROR(__xludf.DUMMYFUNCTION("""COMPUTED_VALUE"""),3.541631179E9)</f>
        <v>3541631179</v>
      </c>
      <c r="J1643" s="7" t="str">
        <f>IFERROR(__xludf.DUMMYFUNCTION("""COMPUTED_VALUE"""),"Google")</f>
        <v>Google</v>
      </c>
      <c r="K1643" s="7" t="str">
        <f>IFERROR(__xludf.DUMMYFUNCTION("""COMPUTED_VALUE"""),"Particular")</f>
        <v>Particular</v>
      </c>
      <c r="L1643" s="7"/>
      <c r="M1643" s="7" t="str">
        <f>IFERROR(__xludf.DUMMYFUNCTION("""COMPUTED_VALUE"""),"Si")</f>
        <v>Si</v>
      </c>
      <c r="N1643" s="7" t="str">
        <f>IFERROR(__xludf.DUMMYFUNCTION("""COMPUTED_VALUE"""),"boxeo")</f>
        <v>boxeo</v>
      </c>
      <c r="O1643" s="7" t="str">
        <f>IFERROR(__xludf.DUMMYFUNCTION("""COMPUTED_VALUE"""),"3 a 5 veces por semana")</f>
        <v>3 a 5 veces por semana</v>
      </c>
      <c r="P1643" s="7"/>
      <c r="Q1643" s="7"/>
      <c r="R1643" s="7"/>
      <c r="S1643" s="7"/>
    </row>
    <row r="1644">
      <c r="C1644" s="19">
        <f>IFERROR(__xludf.DUMMYFUNCTION("""COMPUTED_VALUE"""),46169.747561006945)</f>
        <v>46169.74756</v>
      </c>
      <c r="D1644" s="7" t="str">
        <f>IFERROR(__xludf.DUMMYFUNCTION("""COMPUTED_VALUE"""),"PRINZI ")</f>
        <v>PRINZI </v>
      </c>
      <c r="E1644" s="7" t="str">
        <f>IFERROR(__xludf.DUMMYFUNCTION("""COMPUTED_VALUE"""),"Omar ")</f>
        <v>Omar </v>
      </c>
      <c r="F1644" s="7" t="str">
        <f>IFERROR(__xludf.DUMMYFUNCTION("""COMPUTED_VALUE"""),"oprinzi@gmail.com ")</f>
        <v>oprinzi@gmail.com </v>
      </c>
      <c r="G1644" s="20">
        <f>IFERROR(__xludf.DUMMYFUNCTION("""COMPUTED_VALUE"""),22452.0)</f>
        <v>22452</v>
      </c>
      <c r="H1644" s="7">
        <f>IFERROR(__xludf.DUMMYFUNCTION("""COMPUTED_VALUE"""),1.4578769E7)</f>
        <v>14578769</v>
      </c>
      <c r="I1644" s="7">
        <f>IFERROR(__xludf.DUMMYFUNCTION("""COMPUTED_VALUE"""),3.515632327E9)</f>
        <v>3515632327</v>
      </c>
      <c r="J1644" s="7" t="str">
        <f>IFERROR(__xludf.DUMMYFUNCTION("""COMPUTED_VALUE"""),"Recomendación")</f>
        <v>Recomendación</v>
      </c>
      <c r="K1644" s="7" t="str">
        <f>IFERROR(__xludf.DUMMYFUNCTION("""COMPUTED_VALUE"""),"Obra social")</f>
        <v>Obra social</v>
      </c>
      <c r="L1644" s="7"/>
      <c r="M1644" s="7" t="str">
        <f>IFERROR(__xludf.DUMMYFUNCTION("""COMPUTED_VALUE"""),"No")</f>
        <v>No</v>
      </c>
      <c r="N1644" s="7"/>
      <c r="O1644" s="7"/>
      <c r="P1644" s="7"/>
      <c r="Q1644" s="7" t="str">
        <f>IFERROR(__xludf.DUMMYFUNCTION("""COMPUTED_VALUE"""),"medife")</f>
        <v>medife</v>
      </c>
      <c r="R1644" s="7"/>
      <c r="S1644" s="7"/>
    </row>
    <row r="1645">
      <c r="C1645" s="19">
        <f>IFERROR(__xludf.DUMMYFUNCTION("""COMPUTED_VALUE"""),46169.77466767361)</f>
        <v>46169.77467</v>
      </c>
      <c r="D1645" s="7" t="str">
        <f>IFERROR(__xludf.DUMMYFUNCTION("""COMPUTED_VALUE"""),"Fernández")</f>
        <v>Fernández</v>
      </c>
      <c r="E1645" s="7" t="str">
        <f>IFERROR(__xludf.DUMMYFUNCTION("""COMPUTED_VALUE"""),"Ricardo")</f>
        <v>Ricardo</v>
      </c>
      <c r="F1645" s="7" t="str">
        <f>IFERROR(__xludf.DUMMYFUNCTION("""COMPUTED_VALUE"""),"adolfofacu@yahoo.com.ar")</f>
        <v>adolfofacu@yahoo.com.ar</v>
      </c>
      <c r="G1645" s="20">
        <f>IFERROR(__xludf.DUMMYFUNCTION("""COMPUTED_VALUE"""),-667188.0)</f>
        <v>-667188</v>
      </c>
      <c r="H1645" s="7">
        <f>IFERROR(__xludf.DUMMYFUNCTION("""COMPUTED_VALUE"""),1.8082408E7)</f>
        <v>18082408</v>
      </c>
      <c r="I1645" s="7">
        <f>IFERROR(__xludf.DUMMYFUNCTION("""COMPUTED_VALUE"""),3.515209248E9)</f>
        <v>3515209248</v>
      </c>
      <c r="J1645" s="7" t="str">
        <f>IFERROR(__xludf.DUMMYFUNCTION("""COMPUTED_VALUE"""),"Google")</f>
        <v>Google</v>
      </c>
      <c r="K1645" s="7" t="str">
        <f>IFERROR(__xludf.DUMMYFUNCTION("""COMPUTED_VALUE"""),"Obra social")</f>
        <v>Obra social</v>
      </c>
      <c r="L1645" s="7"/>
      <c r="M1645" s="7" t="str">
        <f>IFERROR(__xludf.DUMMYFUNCTION("""COMPUTED_VALUE"""),"Si")</f>
        <v>Si</v>
      </c>
      <c r="N1645" s="7" t="str">
        <f>IFERROR(__xludf.DUMMYFUNCTION("""COMPUTED_VALUE"""),"Gimnasio")</f>
        <v>Gimnasio</v>
      </c>
      <c r="O1645" s="7" t="str">
        <f>IFERROR(__xludf.DUMMYFUNCTION("""COMPUTED_VALUE"""),"1 a 2 veces por semana")</f>
        <v>1 a 2 veces por semana</v>
      </c>
      <c r="P1645" s="7"/>
      <c r="Q1645" s="7" t="str">
        <f>IFERROR(__xludf.DUMMYFUNCTION("""COMPUTED_VALUE"""),"APROSS")</f>
        <v>APROSS</v>
      </c>
      <c r="R1645" s="7"/>
      <c r="S1645" s="7"/>
    </row>
    <row r="1646">
      <c r="C1646" s="19">
        <f>IFERROR(__xludf.DUMMYFUNCTION("""COMPUTED_VALUE"""),46170.51586167824)</f>
        <v>46170.51586</v>
      </c>
      <c r="D1646" s="7" t="str">
        <f>IFERROR(__xludf.DUMMYFUNCTION("""COMPUTED_VALUE"""),"Ludueña")</f>
        <v>Ludueña</v>
      </c>
      <c r="E1646" s="7" t="str">
        <f>IFERROR(__xludf.DUMMYFUNCTION("""COMPUTED_VALUE"""),"Cesar")</f>
        <v>Cesar</v>
      </c>
      <c r="F1646" s="7" t="str">
        <f>IFERROR(__xludf.DUMMYFUNCTION("""COMPUTED_VALUE"""),"cesarlu_92@hotmail.com")</f>
        <v>cesarlu_92@hotmail.com</v>
      </c>
      <c r="G1646" s="20">
        <f>IFERROR(__xludf.DUMMYFUNCTION("""COMPUTED_VALUE"""),33886.0)</f>
        <v>33886</v>
      </c>
      <c r="H1646" s="7">
        <f>IFERROR(__xludf.DUMMYFUNCTION("""COMPUTED_VALUE"""),3.6984247E7)</f>
        <v>36984247</v>
      </c>
      <c r="I1646" s="7">
        <f>IFERROR(__xludf.DUMMYFUNCTION("""COMPUTED_VALUE"""),3.516415421E9)</f>
        <v>3516415421</v>
      </c>
      <c r="J1646" s="7" t="str">
        <f>IFERROR(__xludf.DUMMYFUNCTION("""COMPUTED_VALUE"""),"Google")</f>
        <v>Google</v>
      </c>
      <c r="K1646" s="7" t="str">
        <f>IFERROR(__xludf.DUMMYFUNCTION("""COMPUTED_VALUE"""),"Obra social")</f>
        <v>Obra social</v>
      </c>
      <c r="L1646" s="7"/>
      <c r="M1646" s="7" t="str">
        <f>IFERROR(__xludf.DUMMYFUNCTION("""COMPUTED_VALUE"""),"Si")</f>
        <v>Si</v>
      </c>
      <c r="N1646" s="7" t="str">
        <f>IFERROR(__xludf.DUMMYFUNCTION("""COMPUTED_VALUE"""),"Running")</f>
        <v>Running</v>
      </c>
      <c r="O1646" s="7" t="str">
        <f>IFERROR(__xludf.DUMMYFUNCTION("""COMPUTED_VALUE"""),"3 a 5 veces por semana")</f>
        <v>3 a 5 veces por semana</v>
      </c>
      <c r="P1646" s="7"/>
      <c r="Q1646" s="7" t="str">
        <f>IFERROR(__xludf.DUMMYFUNCTION("""COMPUTED_VALUE"""),"SANCOR")</f>
        <v>SANCOR</v>
      </c>
      <c r="R1646" s="7"/>
      <c r="S1646" s="7"/>
    </row>
    <row r="1647">
      <c r="C1647" s="19">
        <f>IFERROR(__xludf.DUMMYFUNCTION("""COMPUTED_VALUE"""),46170.66092815972)</f>
        <v>46170.66093</v>
      </c>
      <c r="D1647" s="7" t="str">
        <f>IFERROR(__xludf.DUMMYFUNCTION("""COMPUTED_VALUE"""),"Bogananni")</f>
        <v>Bogananni</v>
      </c>
      <c r="E1647" s="7" t="str">
        <f>IFERROR(__xludf.DUMMYFUNCTION("""COMPUTED_VALUE"""),"Jose Luis")</f>
        <v>Jose Luis</v>
      </c>
      <c r="F1647" s="7"/>
      <c r="G1647" s="20">
        <f>IFERROR(__xludf.DUMMYFUNCTION("""COMPUTED_VALUE"""),20835.0)</f>
        <v>20835</v>
      </c>
      <c r="H1647" s="7">
        <f>IFERROR(__xludf.DUMMYFUNCTION("""COMPUTED_VALUE"""),1.2595061E7)</f>
        <v>12595061</v>
      </c>
      <c r="I1647" s="7">
        <f>IFERROR(__xludf.DUMMYFUNCTION("""COMPUTED_VALUE"""),3.515638687E9)</f>
        <v>3515638687</v>
      </c>
      <c r="J1647" s="7" t="str">
        <f>IFERROR(__xludf.DUMMYFUNCTION("""COMPUTED_VALUE"""),"Recomendación")</f>
        <v>Recomendación</v>
      </c>
      <c r="K1647" s="7" t="str">
        <f>IFERROR(__xludf.DUMMYFUNCTION("""COMPUTED_VALUE"""),"Particular")</f>
        <v>Particular</v>
      </c>
      <c r="L1647" s="7"/>
      <c r="M1647" s="7" t="str">
        <f>IFERROR(__xludf.DUMMYFUNCTION("""COMPUTED_VALUE"""),"No")</f>
        <v>No</v>
      </c>
      <c r="N1647" s="7"/>
      <c r="O1647" s="7"/>
      <c r="P1647" s="7"/>
      <c r="Q1647" s="7"/>
      <c r="R1647" s="7"/>
      <c r="S1647" s="7"/>
    </row>
    <row r="1648">
      <c r="C1648" s="19">
        <f>IFERROR(__xludf.DUMMYFUNCTION("""COMPUTED_VALUE"""),46170.72324743056)</f>
        <v>46170.72325</v>
      </c>
      <c r="D1648" s="7" t="str">
        <f>IFERROR(__xludf.DUMMYFUNCTION("""COMPUTED_VALUE"""),"Di Gregorio")</f>
        <v>Di Gregorio</v>
      </c>
      <c r="E1648" s="7" t="str">
        <f>IFERROR(__xludf.DUMMYFUNCTION("""COMPUTED_VALUE"""),"Matias")</f>
        <v>Matias</v>
      </c>
      <c r="F1648" s="7" t="str">
        <f>IFERROR(__xludf.DUMMYFUNCTION("""COMPUTED_VALUE"""),"Matias.p.digregorio@gmail.com")</f>
        <v>Matias.p.digregorio@gmail.com</v>
      </c>
      <c r="G1648" s="20">
        <f>IFERROR(__xludf.DUMMYFUNCTION("""COMPUTED_VALUE"""),35964.0)</f>
        <v>35964</v>
      </c>
      <c r="H1648" s="7">
        <f>IFERROR(__xludf.DUMMYFUNCTION("""COMPUTED_VALUE"""),4.1322569E7)</f>
        <v>41322569</v>
      </c>
      <c r="I1648" s="7">
        <f>IFERROR(__xludf.DUMMYFUNCTION("""COMPUTED_VALUE"""),3.512115516E9)</f>
        <v>3512115516</v>
      </c>
      <c r="J1648" s="7" t="str">
        <f>IFERROR(__xludf.DUMMYFUNCTION("""COMPUTED_VALUE"""),"Google")</f>
        <v>Google</v>
      </c>
      <c r="K1648" s="7" t="str">
        <f>IFERROR(__xludf.DUMMYFUNCTION("""COMPUTED_VALUE"""),"Particular")</f>
        <v>Particular</v>
      </c>
      <c r="L1648" s="7"/>
      <c r="M1648" s="7" t="str">
        <f>IFERROR(__xludf.DUMMYFUNCTION("""COMPUTED_VALUE"""),"Si")</f>
        <v>Si</v>
      </c>
      <c r="N1648" s="7" t="str">
        <f>IFERROR(__xludf.DUMMYFUNCTION("""COMPUTED_VALUE"""),"Running")</f>
        <v>Running</v>
      </c>
      <c r="O1648" s="7" t="str">
        <f>IFERROR(__xludf.DUMMYFUNCTION("""COMPUTED_VALUE"""),"3 a 5 veces por semana")</f>
        <v>3 a 5 veces por semana</v>
      </c>
      <c r="P1648" s="7"/>
      <c r="Q1648" s="7"/>
      <c r="R1648" s="7"/>
      <c r="S1648" s="7"/>
    </row>
    <row r="1649">
      <c r="C1649" s="19">
        <f>IFERROR(__xludf.DUMMYFUNCTION("""COMPUTED_VALUE"""),46170.74402104167)</f>
        <v>46170.74402</v>
      </c>
      <c r="D1649" s="7" t="str">
        <f>IFERROR(__xludf.DUMMYFUNCTION("""COMPUTED_VALUE"""),"Rivadeneira ")</f>
        <v>Rivadeneira </v>
      </c>
      <c r="E1649" s="7" t="str">
        <f>IFERROR(__xludf.DUMMYFUNCTION("""COMPUTED_VALUE"""),"Santos ")</f>
        <v>Santos </v>
      </c>
      <c r="F1649" s="7" t="str">
        <f>IFERROR(__xludf.DUMMYFUNCTION("""COMPUTED_VALUE"""),"patry-78@hotmail.com")</f>
        <v>patry-78@hotmail.com</v>
      </c>
      <c r="G1649" s="20">
        <f>IFERROR(__xludf.DUMMYFUNCTION("""COMPUTED_VALUE"""),17490.0)</f>
        <v>17490</v>
      </c>
      <c r="H1649" s="7">
        <f>IFERROR(__xludf.DUMMYFUNCTION("""COMPUTED_VALUE"""),4707669.0)</f>
        <v>4707669</v>
      </c>
      <c r="I1649" s="7" t="str">
        <f>IFERROR(__xludf.DUMMYFUNCTION("""COMPUTED_VALUE"""),"351-6687129 ")</f>
        <v>351-6687129 </v>
      </c>
      <c r="J1649" s="7" t="str">
        <f>IFERROR(__xludf.DUMMYFUNCTION("""COMPUTED_VALUE"""),"Recomendación")</f>
        <v>Recomendación</v>
      </c>
      <c r="K1649" s="7" t="str">
        <f>IFERROR(__xludf.DUMMYFUNCTION("""COMPUTED_VALUE"""),"Obra social")</f>
        <v>Obra social</v>
      </c>
      <c r="L1649" s="7"/>
      <c r="M1649" s="7" t="str">
        <f>IFERROR(__xludf.DUMMYFUNCTION("""COMPUTED_VALUE"""),"Si")</f>
        <v>Si</v>
      </c>
      <c r="N1649" s="7" t="str">
        <f>IFERROR(__xludf.DUMMYFUNCTION("""COMPUTED_VALUE"""),"Bicicleta fija, estiramientos, enlongacion, tjo con mancuernas, sentadilla en casa")</f>
        <v>Bicicleta fija, estiramientos, enlongacion, tjo con mancuernas, sentadilla en casa</v>
      </c>
      <c r="O1649" s="7" t="str">
        <f>IFERROR(__xludf.DUMMYFUNCTION("""COMPUTED_VALUE"""),"3 a 5 veces por semana")</f>
        <v>3 a 5 veces por semana</v>
      </c>
      <c r="P1649" s="7"/>
      <c r="Q1649" s="7" t="str">
        <f>IFERROR(__xludf.DUMMYFUNCTION("""COMPUTED_VALUE"""),"APROSS")</f>
        <v>APROSS</v>
      </c>
      <c r="R1649" s="7"/>
      <c r="S1649" s="7"/>
    </row>
    <row r="1650">
      <c r="C1650" s="19">
        <f>IFERROR(__xludf.DUMMYFUNCTION("""COMPUTED_VALUE"""),46171.50296583334)</f>
        <v>46171.50297</v>
      </c>
      <c r="D1650" s="7" t="str">
        <f>IFERROR(__xludf.DUMMYFUNCTION("""COMPUTED_VALUE"""),"Lagazzi")</f>
        <v>Lagazzi</v>
      </c>
      <c r="E1650" s="7" t="str">
        <f>IFERROR(__xludf.DUMMYFUNCTION("""COMPUTED_VALUE"""),"Juan")</f>
        <v>Juan</v>
      </c>
      <c r="F1650" s="7" t="str">
        <f>IFERROR(__xludf.DUMMYFUNCTION("""COMPUTED_VALUE"""),"lagazzi.juan@gmail.com")</f>
        <v>lagazzi.juan@gmail.com</v>
      </c>
      <c r="G1650" s="20">
        <f>IFERROR(__xludf.DUMMYFUNCTION("""COMPUTED_VALUE"""),31208.0)</f>
        <v>31208</v>
      </c>
      <c r="H1650" s="7">
        <f>IFERROR(__xludf.DUMMYFUNCTION("""COMPUTED_VALUE"""),3.1667747E7)</f>
        <v>31667747</v>
      </c>
      <c r="I1650" s="7">
        <f>IFERROR(__xludf.DUMMYFUNCTION("""COMPUTED_VALUE"""),3.515451956E9)</f>
        <v>3515451956</v>
      </c>
      <c r="J1650" s="7" t="str">
        <f>IFERROR(__xludf.DUMMYFUNCTION("""COMPUTED_VALUE"""),"Instagram")</f>
        <v>Instagram</v>
      </c>
      <c r="K1650" s="7" t="str">
        <f>IFERROR(__xludf.DUMMYFUNCTION("""COMPUTED_VALUE"""),"Particular")</f>
        <v>Particular</v>
      </c>
      <c r="L1650" s="7"/>
      <c r="M1650" s="7" t="str">
        <f>IFERROR(__xludf.DUMMYFUNCTION("""COMPUTED_VALUE"""),"Si")</f>
        <v>Si</v>
      </c>
      <c r="N1650" s="7" t="str">
        <f>IFERROR(__xludf.DUMMYFUNCTION("""COMPUTED_VALUE"""),"Fútbol")</f>
        <v>Fútbol</v>
      </c>
      <c r="O1650" s="7" t="str">
        <f>IFERROR(__xludf.DUMMYFUNCTION("""COMPUTED_VALUE"""),"1 a 2 veces por semana")</f>
        <v>1 a 2 veces por semana</v>
      </c>
      <c r="P1650" s="7"/>
      <c r="Q1650" s="7"/>
      <c r="R1650" s="7"/>
      <c r="S1650" s="7"/>
    </row>
    <row r="1651">
      <c r="C1651" s="19">
        <f>IFERROR(__xludf.DUMMYFUNCTION("""COMPUTED_VALUE"""),46174.40913994213)</f>
        <v>46174.40914</v>
      </c>
      <c r="D1651" s="7" t="str">
        <f>IFERROR(__xludf.DUMMYFUNCTION("""COMPUTED_VALUE"""),"Romero")</f>
        <v>Romero</v>
      </c>
      <c r="E1651" s="7" t="str">
        <f>IFERROR(__xludf.DUMMYFUNCTION("""COMPUTED_VALUE"""),"Rodrigo")</f>
        <v>Rodrigo</v>
      </c>
      <c r="F1651" s="7" t="str">
        <f>IFERROR(__xludf.DUMMYFUNCTION("""COMPUTED_VALUE"""),"albiazul.22@hotmail.com")</f>
        <v>albiazul.22@hotmail.com</v>
      </c>
      <c r="G1651" s="20">
        <f>IFERROR(__xludf.DUMMYFUNCTION("""COMPUTED_VALUE"""),29856.0)</f>
        <v>29856</v>
      </c>
      <c r="H1651" s="7">
        <f>IFERROR(__xludf.DUMMYFUNCTION("""COMPUTED_VALUE"""),2.9110758E7)</f>
        <v>29110758</v>
      </c>
      <c r="I1651" s="7">
        <f>IFERROR(__xludf.DUMMYFUNCTION("""COMPUTED_VALUE"""),3.513323434E9)</f>
        <v>3513323434</v>
      </c>
      <c r="J1651" s="7" t="str">
        <f>IFERROR(__xludf.DUMMYFUNCTION("""COMPUTED_VALUE"""),"Instagram")</f>
        <v>Instagram</v>
      </c>
      <c r="K1651" s="7" t="str">
        <f>IFERROR(__xludf.DUMMYFUNCTION("""COMPUTED_VALUE"""),"Particular")</f>
        <v>Particular</v>
      </c>
      <c r="L1651" s="7"/>
      <c r="M1651" s="7" t="str">
        <f>IFERROR(__xludf.DUMMYFUNCTION("""COMPUTED_VALUE"""),"Si")</f>
        <v>Si</v>
      </c>
      <c r="N1651" s="7" t="str">
        <f>IFERROR(__xludf.DUMMYFUNCTION("""COMPUTED_VALUE"""),"Futbol y gimnasio")</f>
        <v>Futbol y gimnasio</v>
      </c>
      <c r="O1651" s="7" t="str">
        <f>IFERROR(__xludf.DUMMYFUNCTION("""COMPUTED_VALUE"""),"3 a 5 veces por semana")</f>
        <v>3 a 5 veces por semana</v>
      </c>
      <c r="P1651" s="7"/>
      <c r="Q1651" s="7"/>
      <c r="R1651" s="7"/>
      <c r="S1651" s="7"/>
    </row>
    <row r="1652">
      <c r="C1652" s="19">
        <f>IFERROR(__xludf.DUMMYFUNCTION("""COMPUTED_VALUE"""),46174.42656266203)</f>
        <v>46174.42656</v>
      </c>
      <c r="D1652" s="7" t="str">
        <f>IFERROR(__xludf.DUMMYFUNCTION("""COMPUTED_VALUE"""),"Rodriguez")</f>
        <v>Rodriguez</v>
      </c>
      <c r="E1652" s="7" t="str">
        <f>IFERROR(__xludf.DUMMYFUNCTION("""COMPUTED_VALUE"""),"Florencia")</f>
        <v>Florencia</v>
      </c>
      <c r="F1652" s="7" t="str">
        <f>IFERROR(__xludf.DUMMYFUNCTION("""COMPUTED_VALUE"""),"flor-rodriguez@hotmail.com")</f>
        <v>flor-rodriguez@hotmail.com</v>
      </c>
      <c r="G1652" s="20">
        <f>IFERROR(__xludf.DUMMYFUNCTION("""COMPUTED_VALUE"""),30533.0)</f>
        <v>30533</v>
      </c>
      <c r="H1652" s="7">
        <f>IFERROR(__xludf.DUMMYFUNCTION("""COMPUTED_VALUE"""),3.0331885E7)</f>
        <v>30331885</v>
      </c>
      <c r="I1652" s="7">
        <f>IFERROR(__xludf.DUMMYFUNCTION("""COMPUTED_VALUE"""),3.513045143E9)</f>
        <v>3513045143</v>
      </c>
      <c r="J1652" s="7" t="str">
        <f>IFERROR(__xludf.DUMMYFUNCTION("""COMPUTED_VALUE"""),"Recomendacio")</f>
        <v>Recomendacio</v>
      </c>
      <c r="K1652" s="7" t="str">
        <f>IFERROR(__xludf.DUMMYFUNCTION("""COMPUTED_VALUE"""),"Particular")</f>
        <v>Particular</v>
      </c>
      <c r="L1652" s="7"/>
      <c r="M1652" s="7" t="str">
        <f>IFERROR(__xludf.DUMMYFUNCTION("""COMPUTED_VALUE"""),"Si")</f>
        <v>Si</v>
      </c>
      <c r="N1652" s="7" t="str">
        <f>IFERROR(__xludf.DUMMYFUNCTION("""COMPUTED_VALUE"""),"Zumba y gimnasio")</f>
        <v>Zumba y gimnasio</v>
      </c>
      <c r="O1652" s="7" t="str">
        <f>IFERROR(__xludf.DUMMYFUNCTION("""COMPUTED_VALUE"""),"3 a 5 veces por semana")</f>
        <v>3 a 5 veces por semana</v>
      </c>
      <c r="P1652" s="7"/>
      <c r="Q1652" s="7"/>
      <c r="R1652" s="7"/>
      <c r="S1652" s="7"/>
    </row>
    <row r="1653">
      <c r="C1653" s="19">
        <f>IFERROR(__xludf.DUMMYFUNCTION("""COMPUTED_VALUE"""),46175.46871003472)</f>
        <v>46175.46871</v>
      </c>
      <c r="D1653" s="7" t="str">
        <f>IFERROR(__xludf.DUMMYFUNCTION("""COMPUTED_VALUE"""),"Ferrero")</f>
        <v>Ferrero</v>
      </c>
      <c r="E1653" s="7" t="str">
        <f>IFERROR(__xludf.DUMMYFUNCTION("""COMPUTED_VALUE"""),"Rogelio")</f>
        <v>Rogelio</v>
      </c>
      <c r="F1653" s="7" t="str">
        <f>IFERROR(__xludf.DUMMYFUNCTION("""COMPUTED_VALUE"""),"rogelioferreromuruaga84@gmail.com")</f>
        <v>rogelioferreromuruaga84@gmail.com</v>
      </c>
      <c r="G1653" s="20">
        <f>IFERROR(__xludf.DUMMYFUNCTION("""COMPUTED_VALUE"""),37719.0)</f>
        <v>37719</v>
      </c>
      <c r="H1653" s="7">
        <f>IFERROR(__xludf.DUMMYFUNCTION("""COMPUTED_VALUE"""),4.4767506E7)</f>
        <v>44767506</v>
      </c>
      <c r="I1653" s="7">
        <f>IFERROR(__xludf.DUMMYFUNCTION("""COMPUTED_VALUE"""),3.51212767E9)</f>
        <v>3512127670</v>
      </c>
      <c r="J1653" s="7" t="str">
        <f>IFERROR(__xludf.DUMMYFUNCTION("""COMPUTED_VALUE"""),"Recomendación")</f>
        <v>Recomendación</v>
      </c>
      <c r="K1653" s="7" t="str">
        <f>IFERROR(__xludf.DUMMYFUNCTION("""COMPUTED_VALUE"""),"Obra social")</f>
        <v>Obra social</v>
      </c>
      <c r="L1653" s="7"/>
      <c r="M1653" s="7" t="str">
        <f>IFERROR(__xludf.DUMMYFUNCTION("""COMPUTED_VALUE"""),"No")</f>
        <v>No</v>
      </c>
      <c r="N1653" s="7"/>
      <c r="O1653" s="7"/>
      <c r="P1653" s="7"/>
      <c r="Q1653" s="7" t="str">
        <f>IFERROR(__xludf.DUMMYFUNCTION("""COMPUTED_VALUE"""),"APROSS")</f>
        <v>APROSS</v>
      </c>
      <c r="R1653" s="7"/>
      <c r="S1653" s="7"/>
    </row>
    <row r="1654">
      <c r="C1654" s="19">
        <f>IFERROR(__xludf.DUMMYFUNCTION("""COMPUTED_VALUE"""),46175.71662979167)</f>
        <v>46175.71663</v>
      </c>
      <c r="D1654" s="7" t="str">
        <f>IFERROR(__xludf.DUMMYFUNCTION("""COMPUTED_VALUE"""),"Prinzi")</f>
        <v>Prinzi</v>
      </c>
      <c r="E1654" s="7" t="str">
        <f>IFERROR(__xludf.DUMMYFUNCTION("""COMPUTED_VALUE"""),"Antonella")</f>
        <v>Antonella</v>
      </c>
      <c r="F1654" s="7" t="str">
        <f>IFERROR(__xludf.DUMMYFUNCTION("""COMPUTED_VALUE"""),"antoprinzi@gmail.com")</f>
        <v>antoprinzi@gmail.com</v>
      </c>
      <c r="G1654" s="20">
        <f>IFERROR(__xludf.DUMMYFUNCTION("""COMPUTED_VALUE"""),34502.0)</f>
        <v>34502</v>
      </c>
      <c r="H1654" s="7">
        <f>IFERROR(__xludf.DUMMYFUNCTION("""COMPUTED_VALUE"""),3.832912E7)</f>
        <v>38329120</v>
      </c>
      <c r="I1654" s="7">
        <f>IFERROR(__xludf.DUMMYFUNCTION("""COMPUTED_VALUE"""),3.518009075E9)</f>
        <v>3518009075</v>
      </c>
      <c r="J1654" s="7" t="str">
        <f>IFERROR(__xludf.DUMMYFUNCTION("""COMPUTED_VALUE"""),"Recomendación")</f>
        <v>Recomendación</v>
      </c>
      <c r="K1654" s="7" t="str">
        <f>IFERROR(__xludf.DUMMYFUNCTION("""COMPUTED_VALUE"""),"Obra social")</f>
        <v>Obra social</v>
      </c>
      <c r="L1654" s="7"/>
      <c r="M1654" s="7" t="str">
        <f>IFERROR(__xludf.DUMMYFUNCTION("""COMPUTED_VALUE"""),"Si")</f>
        <v>Si</v>
      </c>
      <c r="N1654" s="7" t="str">
        <f>IFERROR(__xludf.DUMMYFUNCTION("""COMPUTED_VALUE"""),"Tenis y tela")</f>
        <v>Tenis y tela</v>
      </c>
      <c r="O1654" s="7" t="str">
        <f>IFERROR(__xludf.DUMMYFUNCTION("""COMPUTED_VALUE"""),"3 a 5 veces por semana")</f>
        <v>3 a 5 veces por semana</v>
      </c>
      <c r="P1654" s="7"/>
      <c r="Q1654" s="7" t="str">
        <f>IFERROR(__xludf.DUMMYFUNCTION("""COMPUTED_VALUE"""),"Medife")</f>
        <v>Medife</v>
      </c>
      <c r="R1654" s="7"/>
      <c r="S1654" s="7"/>
    </row>
    <row r="1655">
      <c r="C1655" s="19">
        <f>IFERROR(__xludf.DUMMYFUNCTION("""COMPUTED_VALUE"""),46175.77998961805)</f>
        <v>46175.77999</v>
      </c>
      <c r="D1655" s="7" t="str">
        <f>IFERROR(__xludf.DUMMYFUNCTION("""COMPUTED_VALUE"""),"Navarro")</f>
        <v>Navarro</v>
      </c>
      <c r="E1655" s="7" t="str">
        <f>IFERROR(__xludf.DUMMYFUNCTION("""COMPUTED_VALUE"""),"Alejandra ")</f>
        <v>Alejandra </v>
      </c>
      <c r="F1655" s="7" t="str">
        <f>IFERROR(__xludf.DUMMYFUNCTION("""COMPUTED_VALUE"""),"alefundacioninfanciasegura@gmail.com")</f>
        <v>alefundacioninfanciasegura@gmail.com</v>
      </c>
      <c r="G1655" s="20">
        <f>IFERROR(__xludf.DUMMYFUNCTION("""COMPUTED_VALUE"""),27478.0)</f>
        <v>27478</v>
      </c>
      <c r="H1655" s="7">
        <f>IFERROR(__xludf.DUMMYFUNCTION("""COMPUTED_VALUE"""),2.4455938E7)</f>
        <v>24455938</v>
      </c>
      <c r="I1655" s="7" t="str">
        <f>IFERROR(__xludf.DUMMYFUNCTION("""COMPUTED_VALUE"""),"03512316482")</f>
        <v>03512316482</v>
      </c>
      <c r="J1655" s="7" t="str">
        <f>IFERROR(__xludf.DUMMYFUNCTION("""COMPUTED_VALUE"""),"Google")</f>
        <v>Google</v>
      </c>
      <c r="K1655" s="7" t="str">
        <f>IFERROR(__xludf.DUMMYFUNCTION("""COMPUTED_VALUE"""),"Particular")</f>
        <v>Particular</v>
      </c>
      <c r="L1655" s="7"/>
      <c r="M1655" s="7" t="str">
        <f>IFERROR(__xludf.DUMMYFUNCTION("""COMPUTED_VALUE"""),"No")</f>
        <v>No</v>
      </c>
      <c r="N1655" s="7"/>
      <c r="O1655" s="7"/>
      <c r="P1655" s="7"/>
      <c r="Q1655" s="7"/>
      <c r="R1655" s="7"/>
      <c r="S1655" s="7"/>
    </row>
    <row r="1656">
      <c r="C1656" s="19">
        <f>IFERROR(__xludf.DUMMYFUNCTION("""COMPUTED_VALUE"""),46176.45391283565)</f>
        <v>46176.45391</v>
      </c>
      <c r="D1656" s="7" t="str">
        <f>IFERROR(__xludf.DUMMYFUNCTION("""COMPUTED_VALUE"""),"BRITOS")</f>
        <v>BRITOS</v>
      </c>
      <c r="E1656" s="7" t="str">
        <f>IFERROR(__xludf.DUMMYFUNCTION("""COMPUTED_VALUE"""),"Miguel Angel")</f>
        <v>Miguel Angel</v>
      </c>
      <c r="F1656" s="7"/>
      <c r="G1656" s="20">
        <f>IFERROR(__xludf.DUMMYFUNCTION("""COMPUTED_VALUE"""),25269.0)</f>
        <v>25269</v>
      </c>
      <c r="H1656" s="7">
        <f>IFERROR(__xludf.DUMMYFUNCTION("""COMPUTED_VALUE"""),2.0784734E7)</f>
        <v>20784734</v>
      </c>
      <c r="I1656" s="7">
        <f>IFERROR(__xludf.DUMMYFUNCTION("""COMPUTED_VALUE"""),3.512313365E9)</f>
        <v>3512313365</v>
      </c>
      <c r="J1656" s="7" t="str">
        <f>IFERROR(__xludf.DUMMYFUNCTION("""COMPUTED_VALUE"""),"Recomendación")</f>
        <v>Recomendación</v>
      </c>
      <c r="K1656" s="7" t="str">
        <f>IFERROR(__xludf.DUMMYFUNCTION("""COMPUTED_VALUE"""),"Particular")</f>
        <v>Particular</v>
      </c>
      <c r="L1656" s="7"/>
      <c r="M1656" s="7" t="str">
        <f>IFERROR(__xludf.DUMMYFUNCTION("""COMPUTED_VALUE"""),"No")</f>
        <v>No</v>
      </c>
      <c r="N1656" s="7"/>
      <c r="O1656" s="7"/>
      <c r="P1656" s="7"/>
      <c r="Q1656" s="7"/>
      <c r="R1656" s="7"/>
      <c r="S1656" s="7"/>
    </row>
    <row r="1657">
      <c r="C1657" s="19">
        <f>IFERROR(__xludf.DUMMYFUNCTION("""COMPUTED_VALUE"""),46176.65928315972)</f>
        <v>46176.65928</v>
      </c>
      <c r="D1657" s="7" t="str">
        <f>IFERROR(__xludf.DUMMYFUNCTION("""COMPUTED_VALUE"""),"STUPIK")</f>
        <v>STUPIK</v>
      </c>
      <c r="E1657" s="7" t="str">
        <f>IFERROR(__xludf.DUMMYFUNCTION("""COMPUTED_VALUE"""),"Martina ")</f>
        <v>Martina </v>
      </c>
      <c r="F1657" s="7" t="str">
        <f>IFERROR(__xludf.DUMMYFUNCTION("""COMPUTED_VALUE"""),"axelivanst@gmail.com ")</f>
        <v>axelivanst@gmail.com </v>
      </c>
      <c r="G1657" s="20">
        <f>IFERROR(__xludf.DUMMYFUNCTION("""COMPUTED_VALUE"""),40483.0)</f>
        <v>40483</v>
      </c>
      <c r="H1657" s="7">
        <f>IFERROR(__xludf.DUMMYFUNCTION("""COMPUTED_VALUE"""),5.0626601E7)</f>
        <v>50626601</v>
      </c>
      <c r="I1657" s="7">
        <f>IFERROR(__xludf.DUMMYFUNCTION("""COMPUTED_VALUE"""),3.51547274E9)</f>
        <v>3515472740</v>
      </c>
      <c r="J1657" s="7" t="str">
        <f>IFERROR(__xludf.DUMMYFUNCTION("""COMPUTED_VALUE"""),"Gimnasio")</f>
        <v>Gimnasio</v>
      </c>
      <c r="K1657" s="7" t="str">
        <f>IFERROR(__xludf.DUMMYFUNCTION("""COMPUTED_VALUE"""),"Obra social")</f>
        <v>Obra social</v>
      </c>
      <c r="L1657" s="7"/>
      <c r="M1657" s="7" t="str">
        <f>IFERROR(__xludf.DUMMYFUNCTION("""COMPUTED_VALUE"""),"Si")</f>
        <v>Si</v>
      </c>
      <c r="N1657" s="7" t="str">
        <f>IFERROR(__xludf.DUMMYFUNCTION("""COMPUTED_VALUE"""),"Gimnasia deportiva ")</f>
        <v>Gimnasia deportiva </v>
      </c>
      <c r="O1657" s="7" t="str">
        <f>IFERROR(__xludf.DUMMYFUNCTION("""COMPUTED_VALUE"""),"3 a 5 veces por semana")</f>
        <v>3 a 5 veces por semana</v>
      </c>
      <c r="P1657" s="7"/>
      <c r="Q1657" s="7" t="str">
        <f>IFERROR(__xludf.DUMMYFUNCTION("""COMPUTED_VALUE"""),"SANCOR")</f>
        <v>SANCOR</v>
      </c>
      <c r="R1657" s="7"/>
      <c r="S1657" s="7"/>
    </row>
    <row r="1658">
      <c r="C1658" s="19">
        <f>IFERROR(__xludf.DUMMYFUNCTION("""COMPUTED_VALUE"""),46176.70342627315)</f>
        <v>46176.70343</v>
      </c>
      <c r="D1658" s="7" t="str">
        <f>IFERROR(__xludf.DUMMYFUNCTION("""COMPUTED_VALUE"""),"García ")</f>
        <v>García </v>
      </c>
      <c r="E1658" s="7" t="str">
        <f>IFERROR(__xludf.DUMMYFUNCTION("""COMPUTED_VALUE"""),"Piero ")</f>
        <v>Piero </v>
      </c>
      <c r="F1658" s="7" t="str">
        <f>IFERROR(__xludf.DUMMYFUNCTION("""COMPUTED_VALUE"""),"pinedoisa15@gmail.com")</f>
        <v>pinedoisa15@gmail.com</v>
      </c>
      <c r="G1658" s="20">
        <f>IFERROR(__xludf.DUMMYFUNCTION("""COMPUTED_VALUE"""),39980.0)</f>
        <v>39980</v>
      </c>
      <c r="H1658" s="7">
        <f>IFERROR(__xludf.DUMMYFUNCTION("""COMPUTED_VALUE"""),9.4906072E7)</f>
        <v>94906072</v>
      </c>
      <c r="I1658" s="7">
        <f>IFERROR(__xludf.DUMMYFUNCTION("""COMPUTED_VALUE"""),3.512339877E9)</f>
        <v>3512339877</v>
      </c>
      <c r="J1658" s="7" t="str">
        <f>IFERROR(__xludf.DUMMYFUNCTION("""COMPUTED_VALUE"""),"Recomendación")</f>
        <v>Recomendación</v>
      </c>
      <c r="K1658" s="7" t="str">
        <f>IFERROR(__xludf.DUMMYFUNCTION("""COMPUTED_VALUE"""),"Particular")</f>
        <v>Particular</v>
      </c>
      <c r="L1658" s="7"/>
      <c r="M1658" s="7" t="str">
        <f>IFERROR(__xludf.DUMMYFUNCTION("""COMPUTED_VALUE"""),"Si")</f>
        <v>Si</v>
      </c>
      <c r="N1658" s="7" t="str">
        <f>IFERROR(__xludf.DUMMYFUNCTION("""COMPUTED_VALUE"""),"Boxeo ")</f>
        <v>Boxeo </v>
      </c>
      <c r="O1658" s="7" t="str">
        <f>IFERROR(__xludf.DUMMYFUNCTION("""COMPUTED_VALUE"""),"3 a 5 veces por semana")</f>
        <v>3 a 5 veces por semana</v>
      </c>
      <c r="P1658" s="7"/>
      <c r="Q1658" s="7"/>
      <c r="R1658" s="7"/>
      <c r="S1658" s="7"/>
    </row>
    <row r="1659">
      <c r="C1659" s="19">
        <f>IFERROR(__xludf.DUMMYFUNCTION("""COMPUTED_VALUE"""),46178.47920195602)</f>
        <v>46178.4792</v>
      </c>
      <c r="D1659" s="7" t="str">
        <f>IFERROR(__xludf.DUMMYFUNCTION("""COMPUTED_VALUE"""),"Salomon")</f>
        <v>Salomon</v>
      </c>
      <c r="E1659" s="7" t="str">
        <f>IFERROR(__xludf.DUMMYFUNCTION("""COMPUTED_VALUE"""),"Norma Beatriz")</f>
        <v>Norma Beatriz</v>
      </c>
      <c r="F1659" s="7" t="str">
        <f>IFERROR(__xludf.DUMMYFUNCTION("""COMPUTED_VALUE"""),"normabsalomon@gmail.com")</f>
        <v>normabsalomon@gmail.com</v>
      </c>
      <c r="G1659" s="20">
        <f>IFERROR(__xludf.DUMMYFUNCTION("""COMPUTED_VALUE"""),18631.0)</f>
        <v>18631</v>
      </c>
      <c r="H1659" s="7">
        <f>IFERROR(__xludf.DUMMYFUNCTION("""COMPUTED_VALUE"""),6712751.0)</f>
        <v>6712751</v>
      </c>
      <c r="I1659" s="7">
        <f>IFERROR(__xludf.DUMMYFUNCTION("""COMPUTED_VALUE"""),3.516876882E9)</f>
        <v>3516876882</v>
      </c>
      <c r="J1659" s="7" t="str">
        <f>IFERROR(__xludf.DUMMYFUNCTION("""COMPUTED_VALUE"""),"Recomendación")</f>
        <v>Recomendación</v>
      </c>
      <c r="K1659" s="7" t="str">
        <f>IFERROR(__xludf.DUMMYFUNCTION("""COMPUTED_VALUE"""),"Obra social")</f>
        <v>Obra social</v>
      </c>
      <c r="L1659" s="7"/>
      <c r="M1659" s="7" t="str">
        <f>IFERROR(__xludf.DUMMYFUNCTION("""COMPUTED_VALUE"""),"No")</f>
        <v>No</v>
      </c>
      <c r="N1659" s="7"/>
      <c r="O1659" s="7"/>
      <c r="P1659" s="7"/>
      <c r="Q1659" s="7" t="str">
        <f>IFERROR(__xludf.DUMMYFUNCTION("""COMPUTED_VALUE"""),"APROSS")</f>
        <v>APROSS</v>
      </c>
      <c r="R1659" s="7"/>
      <c r="S1659" s="7"/>
    </row>
    <row r="1660">
      <c r="C1660" s="19">
        <f>IFERROR(__xludf.DUMMYFUNCTION("""COMPUTED_VALUE"""),46178.74487625)</f>
        <v>46178.74488</v>
      </c>
      <c r="D1660" s="7" t="str">
        <f>IFERROR(__xludf.DUMMYFUNCTION("""COMPUTED_VALUE"""),"Bususcovich")</f>
        <v>Bususcovich</v>
      </c>
      <c r="E1660" s="7" t="str">
        <f>IFERROR(__xludf.DUMMYFUNCTION("""COMPUTED_VALUE"""),"Huilen ")</f>
        <v>Huilen </v>
      </c>
      <c r="F1660" s="7" t="str">
        <f>IFERROR(__xludf.DUMMYFUNCTION("""COMPUTED_VALUE"""),"huillenbususcovich@gmail.com")</f>
        <v>huillenbususcovich@gmail.com</v>
      </c>
      <c r="G1660" s="20">
        <f>IFERROR(__xludf.DUMMYFUNCTION("""COMPUTED_VALUE"""),39352.0)</f>
        <v>39352</v>
      </c>
      <c r="H1660" s="7">
        <f>IFERROR(__xludf.DUMMYFUNCTION("""COMPUTED_VALUE"""),4.8361193E7)</f>
        <v>48361193</v>
      </c>
      <c r="I1660" s="7" t="str">
        <f>IFERROR(__xludf.DUMMYFUNCTION("""COMPUTED_VALUE"""),"11 54697728")</f>
        <v>11 54697728</v>
      </c>
      <c r="J1660" s="7" t="str">
        <f>IFERROR(__xludf.DUMMYFUNCTION("""COMPUTED_VALUE"""),"Gimnasio")</f>
        <v>Gimnasio</v>
      </c>
      <c r="K1660" s="7" t="str">
        <f>IFERROR(__xludf.DUMMYFUNCTION("""COMPUTED_VALUE"""),"Particular")</f>
        <v>Particular</v>
      </c>
      <c r="L1660" s="7"/>
      <c r="M1660" s="7" t="str">
        <f>IFERROR(__xludf.DUMMYFUNCTION("""COMPUTED_VALUE"""),"Si")</f>
        <v>Si</v>
      </c>
      <c r="N1660" s="7" t="str">
        <f>IFERROR(__xludf.DUMMYFUNCTION("""COMPUTED_VALUE"""),"Gimnasio")</f>
        <v>Gimnasio</v>
      </c>
      <c r="O1660" s="7" t="str">
        <f>IFERROR(__xludf.DUMMYFUNCTION("""COMPUTED_VALUE"""),"1 a 2 veces por semana")</f>
        <v>1 a 2 veces por semana</v>
      </c>
      <c r="P1660" s="7"/>
      <c r="Q1660" s="7"/>
      <c r="R1660" s="7"/>
      <c r="S1660" s="7"/>
    </row>
    <row r="1661"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</row>
    <row r="1662"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</row>
    <row r="1663"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</row>
    <row r="1664"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</row>
    <row r="1665"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</row>
    <row r="1666"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</row>
    <row r="1667"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</row>
    <row r="1668"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</row>
    <row r="1669"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</row>
    <row r="1670"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</row>
    <row r="1671"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</row>
    <row r="1672"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</row>
    <row r="1673"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</row>
    <row r="1674"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</row>
    <row r="1675"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</row>
    <row r="1676"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</row>
    <row r="1677"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</row>
    <row r="1678"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</row>
    <row r="1679"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</row>
    <row r="1680"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</row>
    <row r="1681"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</row>
    <row r="1682"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</row>
    <row r="1683"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</row>
    <row r="1684"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</row>
    <row r="1685"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</row>
    <row r="1686"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</row>
    <row r="1687"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</row>
    <row r="1688"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</row>
    <row r="1689"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</row>
    <row r="1690"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</row>
    <row r="1691"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</row>
    <row r="1692"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</row>
    <row r="1693"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</row>
    <row r="1694"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</row>
    <row r="1695"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</row>
    <row r="1696"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</row>
    <row r="1697"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</row>
    <row r="1698"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</row>
    <row r="1699"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</row>
    <row r="1700"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</row>
    <row r="1701"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</row>
    <row r="1702"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</row>
    <row r="1703"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</row>
    <row r="1704"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</row>
    <row r="1705"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</row>
    <row r="1706"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</row>
    <row r="1707"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</row>
    <row r="1708"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</row>
    <row r="1709"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</row>
    <row r="1710"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</row>
    <row r="1711"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</row>
    <row r="1712"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</row>
    <row r="1713"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</row>
    <row r="1714"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</row>
    <row r="1715"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</row>
    <row r="1716"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</row>
    <row r="1717"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</row>
    <row r="1718"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</row>
    <row r="1719"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</row>
    <row r="1720"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</row>
    <row r="1721"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</row>
    <row r="1722"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</row>
    <row r="1723"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</row>
    <row r="1724"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</row>
    <row r="1725"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</row>
    <row r="1726"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</row>
    <row r="1727"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</row>
    <row r="1728"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</row>
    <row r="1729"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</row>
    <row r="1730"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</row>
    <row r="1731"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</row>
    <row r="1732"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</row>
    <row r="1733"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</row>
    <row r="1734"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</row>
    <row r="1735"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</row>
    <row r="1736"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</row>
    <row r="1737"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</row>
    <row r="1738"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</row>
    <row r="1739"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</row>
    <row r="1740"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</row>
    <row r="1741"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</row>
    <row r="1742"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</row>
    <row r="1743"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</row>
    <row r="1744"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</row>
    <row r="1745"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</row>
    <row r="1746"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</row>
    <row r="1747"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</row>
    <row r="1748"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</row>
    <row r="1749"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</row>
    <row r="1750"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</row>
    <row r="1751"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</row>
    <row r="1752"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</row>
    <row r="1753"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</row>
    <row r="1754"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</row>
    <row r="1755"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</row>
    <row r="1756"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</row>
    <row r="1757"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</row>
    <row r="1758"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</row>
    <row r="1759"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</row>
    <row r="1760"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</row>
    <row r="1761"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</row>
    <row r="1762"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</row>
    <row r="1763"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</row>
    <row r="1764"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</row>
    <row r="1765"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</row>
    <row r="1766"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</row>
    <row r="1767"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</row>
    <row r="1768"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</row>
    <row r="1769"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</row>
    <row r="1770"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</row>
    <row r="1771"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</row>
    <row r="1772"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</row>
    <row r="1773"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</row>
    <row r="1774"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</row>
    <row r="1775"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</row>
    <row r="1776"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</row>
    <row r="1777"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</row>
    <row r="1778"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</row>
    <row r="1779"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</row>
    <row r="1780"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</row>
    <row r="1781"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</row>
    <row r="1782"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</row>
    <row r="1783"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</row>
    <row r="1784"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</row>
    <row r="1785"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</row>
    <row r="1786"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</row>
    <row r="1787"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</row>
    <row r="1788"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</row>
    <row r="1789"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</row>
    <row r="1790"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</row>
    <row r="1791"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</row>
    <row r="1792"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</row>
    <row r="1793"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</row>
    <row r="1794"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</row>
    <row r="1795"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</row>
    <row r="1796"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</row>
    <row r="1797"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</row>
    <row r="1798"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</row>
    <row r="1799"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</row>
    <row r="1800"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</row>
    <row r="1801"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</row>
    <row r="1802"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</row>
    <row r="1803"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</row>
    <row r="1804"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</row>
    <row r="1805"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</row>
    <row r="1806"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</row>
    <row r="1807"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</row>
    <row r="1808"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</row>
    <row r="1809"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</row>
    <row r="1810"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</row>
    <row r="1811"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</row>
    <row r="1812"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</row>
    <row r="1813"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</row>
    <row r="1814"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</row>
    <row r="1815"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</row>
    <row r="1816"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</row>
    <row r="1817"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</row>
    <row r="1818"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</row>
    <row r="1819"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</row>
    <row r="1820"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</row>
    <row r="1821"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</row>
    <row r="1822"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</row>
    <row r="1823"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</row>
    <row r="1824"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</row>
    <row r="1825"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</row>
    <row r="1826"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</row>
    <row r="1827"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</row>
    <row r="1828"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</row>
    <row r="1829"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</row>
    <row r="1830"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</row>
    <row r="1831"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</row>
    <row r="1832"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</row>
    <row r="1833"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</row>
    <row r="1834"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</row>
    <row r="1835"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</row>
    <row r="1836"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</row>
    <row r="1837"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</row>
    <row r="1838"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</row>
    <row r="1839"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</row>
    <row r="1840"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</row>
    <row r="1841"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</row>
    <row r="1842"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</row>
    <row r="1843"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</row>
    <row r="1844"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</row>
    <row r="1845"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</row>
    <row r="1846"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</row>
    <row r="1847"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</row>
    <row r="1848"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</row>
    <row r="1849"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</row>
    <row r="1850"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</row>
    <row r="1851"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</row>
    <row r="1852"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</row>
    <row r="1853"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</row>
    <row r="1854"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</row>
    <row r="1855"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</row>
    <row r="1856"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</row>
    <row r="1857"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</row>
    <row r="1858"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</row>
    <row r="1859"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</row>
    <row r="1860"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</row>
    <row r="1861"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</row>
    <row r="1862"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</row>
    <row r="1863"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</row>
    <row r="1864"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</row>
    <row r="1865"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</row>
    <row r="1866"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</row>
    <row r="1867"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</row>
    <row r="1868"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</row>
    <row r="1869"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</row>
    <row r="1870"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</row>
    <row r="1871"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</row>
    <row r="1872"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</row>
    <row r="1873"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</row>
    <row r="1874"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</row>
    <row r="1875"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</row>
    <row r="1876"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</row>
    <row r="1877"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</row>
    <row r="1878"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</row>
    <row r="1879"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</row>
    <row r="1880"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</row>
    <row r="1881"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</row>
    <row r="1882"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</row>
    <row r="1883"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</row>
    <row r="1884"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</row>
    <row r="1885"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</row>
    <row r="1886"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</row>
    <row r="1887"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</row>
    <row r="1888"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</row>
    <row r="1889"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</row>
    <row r="1890"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</row>
    <row r="1891"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</row>
    <row r="1892"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</row>
    <row r="1893"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</row>
    <row r="1894"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</row>
    <row r="1895"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</row>
    <row r="1896"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</row>
    <row r="1897"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</row>
    <row r="1898"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</row>
    <row r="1899"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</row>
    <row r="1900"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</row>
    <row r="1901"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</row>
    <row r="1902"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</row>
    <row r="1903"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</row>
    <row r="1904"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</row>
    <row r="1905"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</row>
    <row r="1906"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</row>
    <row r="1907"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</row>
    <row r="1908"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</row>
    <row r="1909"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</row>
    <row r="1910"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</row>
    <row r="1911"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</row>
    <row r="1912"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</row>
    <row r="1913"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</row>
    <row r="1914"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</row>
    <row r="1915"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</row>
    <row r="1916"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</row>
    <row r="1917"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</row>
    <row r="1918"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</row>
    <row r="1919"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</row>
    <row r="1920"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</row>
    <row r="1921"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</row>
    <row r="1922"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</row>
    <row r="1923"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</row>
    <row r="1924"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</row>
    <row r="1925"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</row>
    <row r="1926"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</row>
    <row r="1927"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</row>
    <row r="1928"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</row>
    <row r="1929"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</row>
    <row r="1930"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</row>
    <row r="1931"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</row>
    <row r="1932"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</row>
    <row r="1933"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</row>
    <row r="1934"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</row>
    <row r="1935"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</row>
    <row r="1936"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</row>
    <row r="1937"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</row>
    <row r="1938"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</row>
    <row r="1939"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</row>
    <row r="1940"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</row>
    <row r="1941"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</row>
    <row r="1942"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</row>
    <row r="1943"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</row>
    <row r="1944"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</row>
    <row r="1945"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</row>
    <row r="1946"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</row>
    <row r="1947"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</row>
    <row r="1948"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</row>
    <row r="1949"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</row>
    <row r="1950"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</row>
    <row r="1951"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</row>
    <row r="1952"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</row>
    <row r="1953"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</row>
    <row r="1954"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</row>
    <row r="1955"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</row>
    <row r="1956"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</row>
    <row r="1957"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</row>
    <row r="1958"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</row>
    <row r="1959"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</row>
    <row r="1960"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</row>
    <row r="1961"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</row>
    <row r="1962"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</row>
    <row r="1963"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</row>
    <row r="1964"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</row>
    <row r="1965"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</row>
    <row r="1966"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</row>
    <row r="1967"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</row>
    <row r="1968"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</row>
    <row r="1969"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</row>
    <row r="1970"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</row>
    <row r="1971"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</row>
    <row r="1972"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</row>
    <row r="1973"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</row>
    <row r="1974"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</row>
    <row r="1975"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</row>
    <row r="1976"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</row>
    <row r="1977"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</row>
    <row r="1978"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</row>
    <row r="1979"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</row>
    <row r="1980"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</row>
    <row r="1981"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</row>
    <row r="1982"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</row>
    <row r="1983"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</row>
    <row r="1984"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</row>
    <row r="1985"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</row>
    <row r="1986"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</row>
    <row r="1987"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</row>
    <row r="1988"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</row>
    <row r="1989"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</row>
    <row r="1990"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</row>
    <row r="1991"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</row>
    <row r="1992"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</row>
    <row r="1993"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</row>
    <row r="1994"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</row>
    <row r="1995"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</row>
    <row r="1996"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</row>
    <row r="1997"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</row>
    <row r="1998"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</row>
    <row r="1999"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</row>
    <row r="2000"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</row>
    <row r="2001"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</row>
    <row r="2002"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</row>
  </sheetData>
  <hyperlinks>
    <hyperlink r:id="rId1" ref="F514"/>
    <hyperlink r:id="rId2" ref="F870"/>
    <hyperlink r:id="rId3" ref="F1166"/>
    <hyperlink r:id="rId4" ref="F1304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</cols>
  <sheetData>
    <row r="1">
      <c r="A1" s="3" t="s">
        <v>7233</v>
      </c>
      <c r="B1" s="3" t="s">
        <v>7234</v>
      </c>
      <c r="D1" s="3" t="s">
        <v>7235</v>
      </c>
      <c r="F1" s="3" t="s">
        <v>7236</v>
      </c>
      <c r="H1" s="3" t="s">
        <v>7237</v>
      </c>
      <c r="J1" s="3" t="s">
        <v>954</v>
      </c>
      <c r="K1" s="27"/>
      <c r="L1" s="28" t="s">
        <v>7238</v>
      </c>
    </row>
    <row r="2">
      <c r="A2" s="3" t="s">
        <v>7239</v>
      </c>
      <c r="B2" s="3">
        <v>92000.0</v>
      </c>
      <c r="D2" s="3" t="s">
        <v>7240</v>
      </c>
      <c r="F2" s="3" t="s">
        <v>7241</v>
      </c>
      <c r="H2" s="3" t="s">
        <v>7242</v>
      </c>
      <c r="J2" s="3" t="s">
        <v>2087</v>
      </c>
      <c r="K2" s="27"/>
      <c r="L2" s="28" t="s">
        <v>7243</v>
      </c>
    </row>
    <row r="3">
      <c r="A3" s="3" t="s">
        <v>7244</v>
      </c>
      <c r="B3" s="3">
        <v>54000.0</v>
      </c>
      <c r="D3" s="3" t="s">
        <v>7245</v>
      </c>
      <c r="F3" s="3" t="s">
        <v>7246</v>
      </c>
      <c r="H3" s="3" t="s">
        <v>7247</v>
      </c>
      <c r="J3" s="3" t="s">
        <v>7248</v>
      </c>
      <c r="K3" s="27"/>
      <c r="L3" s="28" t="s">
        <v>7249</v>
      </c>
    </row>
    <row r="4">
      <c r="A4" s="3" t="s">
        <v>7250</v>
      </c>
      <c r="B4" s="3">
        <v>14000.0</v>
      </c>
      <c r="D4" s="3" t="s">
        <v>7251</v>
      </c>
      <c r="F4" s="3" t="s">
        <v>7252</v>
      </c>
      <c r="J4" s="3" t="s">
        <v>7253</v>
      </c>
      <c r="K4" s="27"/>
      <c r="L4" s="28" t="s">
        <v>7254</v>
      </c>
    </row>
    <row r="5">
      <c r="A5" s="3" t="s">
        <v>7255</v>
      </c>
      <c r="D5" s="3" t="s">
        <v>236</v>
      </c>
      <c r="J5" s="3" t="s">
        <v>287</v>
      </c>
      <c r="K5" s="27"/>
      <c r="L5" s="28" t="s">
        <v>7256</v>
      </c>
    </row>
    <row r="6">
      <c r="D6" s="3" t="s">
        <v>989</v>
      </c>
      <c r="J6" s="3" t="s">
        <v>625</v>
      </c>
      <c r="K6" s="27"/>
      <c r="L6" s="28" t="s">
        <v>7257</v>
      </c>
    </row>
    <row r="7">
      <c r="D7" s="3" t="s">
        <v>7258</v>
      </c>
      <c r="J7" s="3" t="s">
        <v>68</v>
      </c>
      <c r="K7" s="27"/>
      <c r="L7" s="28" t="s">
        <v>7259</v>
      </c>
    </row>
    <row r="8">
      <c r="J8" s="3" t="s">
        <v>7260</v>
      </c>
      <c r="K8" s="27"/>
      <c r="L8" s="28" t="s">
        <v>7261</v>
      </c>
    </row>
    <row r="9">
      <c r="K9" s="27"/>
      <c r="L9" s="27"/>
    </row>
    <row r="10">
      <c r="J10" s="3" t="s">
        <v>7262</v>
      </c>
      <c r="K10" s="28">
        <v>12620.0</v>
      </c>
      <c r="L10" s="28" t="s">
        <v>7238</v>
      </c>
    </row>
    <row r="11">
      <c r="J11" s="3" t="s">
        <v>7263</v>
      </c>
      <c r="K11" s="28">
        <v>10910.0</v>
      </c>
      <c r="L11" s="28" t="s">
        <v>7243</v>
      </c>
    </row>
    <row r="12">
      <c r="J12" s="3" t="s">
        <v>7264</v>
      </c>
      <c r="K12" s="28">
        <v>11830.0</v>
      </c>
      <c r="L12" s="28" t="s">
        <v>7249</v>
      </c>
    </row>
    <row r="13">
      <c r="J13" s="3" t="s">
        <v>7265</v>
      </c>
      <c r="K13" s="28">
        <v>9770.0</v>
      </c>
      <c r="L13" s="28" t="s">
        <v>7254</v>
      </c>
    </row>
    <row r="14">
      <c r="J14" s="3" t="s">
        <v>954</v>
      </c>
      <c r="K14" s="28">
        <v>14300.0</v>
      </c>
      <c r="L14" s="28" t="s">
        <v>7256</v>
      </c>
    </row>
    <row r="15">
      <c r="J15" s="3" t="s">
        <v>7266</v>
      </c>
      <c r="K15" s="28">
        <v>9950.0</v>
      </c>
      <c r="L15" s="28" t="s">
        <v>7257</v>
      </c>
    </row>
    <row r="16">
      <c r="J16" s="3" t="s">
        <v>7267</v>
      </c>
      <c r="K16" s="28">
        <v>11400.0</v>
      </c>
      <c r="L16" s="28" t="s">
        <v>7259</v>
      </c>
    </row>
    <row r="17">
      <c r="J17" s="3" t="s">
        <v>460</v>
      </c>
      <c r="K17" s="28">
        <v>10420.0</v>
      </c>
      <c r="L17" s="28" t="s">
        <v>7261</v>
      </c>
    </row>
    <row r="18">
      <c r="J18" s="3" t="s">
        <v>7268</v>
      </c>
      <c r="K18" s="28">
        <v>9010.0</v>
      </c>
      <c r="L18" s="28" t="s">
        <v>7238</v>
      </c>
    </row>
    <row r="19">
      <c r="J19" s="3" t="s">
        <v>7269</v>
      </c>
      <c r="K19" s="28">
        <v>12120.0</v>
      </c>
      <c r="L19" s="28" t="s">
        <v>7243</v>
      </c>
    </row>
    <row r="20">
      <c r="J20" s="3" t="s">
        <v>536</v>
      </c>
      <c r="K20" s="28">
        <v>9010.0</v>
      </c>
      <c r="L20" s="28" t="s">
        <v>7249</v>
      </c>
    </row>
    <row r="21">
      <c r="J21" s="3" t="s">
        <v>7270</v>
      </c>
      <c r="K21" s="28">
        <v>13010.0</v>
      </c>
      <c r="L21" s="28" t="s">
        <v>7254</v>
      </c>
    </row>
    <row r="22">
      <c r="J22" s="3" t="s">
        <v>7271</v>
      </c>
      <c r="K22" s="28">
        <v>16870.0</v>
      </c>
      <c r="L22" s="28" t="s">
        <v>7256</v>
      </c>
    </row>
    <row r="23">
      <c r="J23" s="3" t="s">
        <v>7272</v>
      </c>
      <c r="K23" s="28">
        <v>9010.0</v>
      </c>
      <c r="L23" s="28" t="s">
        <v>7257</v>
      </c>
    </row>
    <row r="24">
      <c r="J24" s="3" t="s">
        <v>2087</v>
      </c>
      <c r="K24" s="28">
        <v>14370.0</v>
      </c>
      <c r="L24" s="28" t="s">
        <v>7259</v>
      </c>
    </row>
    <row r="25">
      <c r="J25" s="3" t="s">
        <v>464</v>
      </c>
      <c r="K25" s="28">
        <v>11270.0</v>
      </c>
      <c r="L25" s="28" t="s">
        <v>7261</v>
      </c>
    </row>
    <row r="26">
      <c r="J26" s="3" t="s">
        <v>7273</v>
      </c>
      <c r="K26" s="28">
        <v>11550.0</v>
      </c>
      <c r="L26" s="28" t="s">
        <v>7238</v>
      </c>
    </row>
    <row r="27">
      <c r="J27" s="3" t="s">
        <v>7274</v>
      </c>
      <c r="K27" s="28">
        <v>15120.0</v>
      </c>
      <c r="L27" s="28" t="s">
        <v>7243</v>
      </c>
    </row>
    <row r="28">
      <c r="J28" s="3" t="s">
        <v>234</v>
      </c>
      <c r="K28" s="28">
        <v>10420.0</v>
      </c>
      <c r="L28" s="28" t="s">
        <v>7249</v>
      </c>
    </row>
    <row r="29">
      <c r="J29" s="3" t="s">
        <v>422</v>
      </c>
      <c r="K29" s="28">
        <v>9950.0</v>
      </c>
      <c r="L29" s="28" t="s">
        <v>7254</v>
      </c>
    </row>
    <row r="30">
      <c r="J30" s="3" t="s">
        <v>7275</v>
      </c>
      <c r="K30" s="28">
        <v>10890.0</v>
      </c>
      <c r="L30" s="28" t="s">
        <v>7256</v>
      </c>
    </row>
    <row r="31">
      <c r="J31" s="3" t="s">
        <v>879</v>
      </c>
      <c r="K31" s="28">
        <v>10330.0</v>
      </c>
      <c r="L31" s="28" t="s">
        <v>7257</v>
      </c>
    </row>
    <row r="32">
      <c r="J32" s="3" t="s">
        <v>7276</v>
      </c>
      <c r="K32" s="28">
        <v>14890.0</v>
      </c>
      <c r="L32" s="28" t="s">
        <v>7259</v>
      </c>
    </row>
    <row r="33">
      <c r="J33" s="3" t="s">
        <v>7277</v>
      </c>
      <c r="K33" s="28">
        <v>10890.0</v>
      </c>
      <c r="L33" s="28" t="s">
        <v>7261</v>
      </c>
    </row>
    <row r="34">
      <c r="J34" s="3" t="s">
        <v>7278</v>
      </c>
      <c r="K34" s="28">
        <v>10890.0</v>
      </c>
      <c r="L34" s="28" t="s">
        <v>7238</v>
      </c>
    </row>
    <row r="35">
      <c r="J35" s="3" t="s">
        <v>7279</v>
      </c>
      <c r="K35" s="28">
        <v>17000.0</v>
      </c>
      <c r="L35" s="28" t="s">
        <v>7243</v>
      </c>
    </row>
    <row r="36">
      <c r="J36" s="3" t="s">
        <v>7280</v>
      </c>
      <c r="K36" s="28">
        <v>10420.0</v>
      </c>
      <c r="L36" s="28" t="s">
        <v>7249</v>
      </c>
    </row>
    <row r="37">
      <c r="J37" s="3" t="s">
        <v>7281</v>
      </c>
      <c r="K37" s="28">
        <v>11830.0</v>
      </c>
      <c r="L37" s="28" t="s">
        <v>7254</v>
      </c>
    </row>
    <row r="38">
      <c r="J38" s="3" t="s">
        <v>7282</v>
      </c>
      <c r="K38" s="28">
        <v>12400.0</v>
      </c>
      <c r="L38" s="28" t="s">
        <v>7256</v>
      </c>
    </row>
    <row r="39">
      <c r="J39" s="3" t="s">
        <v>1813</v>
      </c>
      <c r="K39" s="28">
        <v>10710.0</v>
      </c>
      <c r="L39" s="28" t="s">
        <v>7257</v>
      </c>
    </row>
    <row r="40">
      <c r="J40" s="3" t="s">
        <v>287</v>
      </c>
      <c r="K40" s="28">
        <v>11360.0</v>
      </c>
      <c r="L40" s="28" t="s">
        <v>7259</v>
      </c>
    </row>
    <row r="41">
      <c r="J41" s="3" t="s">
        <v>7283</v>
      </c>
      <c r="K41" s="28">
        <v>16880.0</v>
      </c>
      <c r="L41" s="28" t="s">
        <v>7261</v>
      </c>
    </row>
    <row r="42">
      <c r="J42" s="3" t="s">
        <v>7284</v>
      </c>
      <c r="K42" s="28">
        <v>16400.0</v>
      </c>
      <c r="L42" s="28" t="s">
        <v>7238</v>
      </c>
    </row>
    <row r="43">
      <c r="J43" s="3" t="s">
        <v>7285</v>
      </c>
      <c r="K43" s="28">
        <v>11360.0</v>
      </c>
      <c r="L43" s="28" t="s">
        <v>7243</v>
      </c>
    </row>
    <row r="44">
      <c r="J44" s="3" t="s">
        <v>7286</v>
      </c>
      <c r="K44" s="28">
        <v>16790.0</v>
      </c>
      <c r="L44" s="28" t="s">
        <v>7249</v>
      </c>
    </row>
    <row r="45">
      <c r="J45" s="3" t="s">
        <v>7287</v>
      </c>
      <c r="K45" s="28">
        <v>10890.0</v>
      </c>
      <c r="L45" s="28" t="s">
        <v>7254</v>
      </c>
    </row>
    <row r="46">
      <c r="J46" s="3" t="s">
        <v>408</v>
      </c>
      <c r="K46" s="28">
        <v>8540.0</v>
      </c>
      <c r="L46" s="28" t="s">
        <v>7256</v>
      </c>
    </row>
    <row r="47">
      <c r="J47" s="3" t="s">
        <v>2129</v>
      </c>
      <c r="K47" s="28">
        <v>12300.0</v>
      </c>
      <c r="L47" s="28" t="s">
        <v>7257</v>
      </c>
    </row>
    <row r="48">
      <c r="J48" s="3" t="s">
        <v>7288</v>
      </c>
      <c r="K48" s="28">
        <v>16700.0</v>
      </c>
      <c r="L48" s="28" t="s">
        <v>7259</v>
      </c>
    </row>
    <row r="49">
      <c r="J49" s="3" t="s">
        <v>7289</v>
      </c>
      <c r="K49" s="28">
        <v>13340.0</v>
      </c>
      <c r="L49" s="28" t="s">
        <v>7261</v>
      </c>
    </row>
    <row r="50">
      <c r="J50" s="3" t="s">
        <v>7290</v>
      </c>
      <c r="K50" s="28">
        <v>11930.0</v>
      </c>
      <c r="L50" s="28" t="s">
        <v>7238</v>
      </c>
    </row>
    <row r="51">
      <c r="J51" s="3" t="s">
        <v>7291</v>
      </c>
      <c r="K51" s="28">
        <v>13240.0</v>
      </c>
      <c r="L51" s="28" t="s">
        <v>7243</v>
      </c>
    </row>
    <row r="52">
      <c r="J52" s="3" t="s">
        <v>310</v>
      </c>
      <c r="K52" s="28">
        <v>10420.0</v>
      </c>
      <c r="L52" s="28" t="s">
        <v>7249</v>
      </c>
    </row>
    <row r="53">
      <c r="J53" s="3" t="s">
        <v>7292</v>
      </c>
      <c r="K53" s="28">
        <v>11380.0</v>
      </c>
      <c r="L53" s="28" t="s">
        <v>7254</v>
      </c>
    </row>
    <row r="54">
      <c r="J54" s="3" t="s">
        <v>1283</v>
      </c>
      <c r="K54" s="28">
        <v>10420.0</v>
      </c>
      <c r="L54" s="28" t="s">
        <v>7256</v>
      </c>
    </row>
    <row r="55">
      <c r="J55" s="3" t="s">
        <v>7293</v>
      </c>
      <c r="K55" s="28">
        <v>16830.0</v>
      </c>
      <c r="L55" s="28" t="s">
        <v>7257</v>
      </c>
    </row>
    <row r="56">
      <c r="J56" s="3" t="s">
        <v>7294</v>
      </c>
      <c r="K56" s="28">
        <v>8540.0</v>
      </c>
      <c r="L56" s="28" t="s">
        <v>7259</v>
      </c>
    </row>
    <row r="57">
      <c r="J57" s="3" t="s">
        <v>592</v>
      </c>
      <c r="K57" s="28">
        <v>15880.0</v>
      </c>
      <c r="L57" s="28" t="s">
        <v>7261</v>
      </c>
    </row>
    <row r="58">
      <c r="J58" s="3" t="s">
        <v>7295</v>
      </c>
      <c r="K58" s="28">
        <v>15590.0</v>
      </c>
      <c r="L58" s="28" t="s">
        <v>7238</v>
      </c>
    </row>
    <row r="59">
      <c r="J59" s="3" t="s">
        <v>2300</v>
      </c>
      <c r="K59" s="28">
        <v>8260.0</v>
      </c>
      <c r="L59" s="28" t="s">
        <v>7243</v>
      </c>
    </row>
    <row r="60">
      <c r="J60" s="3" t="s">
        <v>7296</v>
      </c>
      <c r="K60" s="28">
        <v>12300.0</v>
      </c>
      <c r="L60" s="28" t="s">
        <v>7249</v>
      </c>
    </row>
    <row r="61">
      <c r="J61" s="3" t="s">
        <v>7297</v>
      </c>
      <c r="K61" s="28">
        <v>10610.0</v>
      </c>
      <c r="L61" s="28" t="s">
        <v>7254</v>
      </c>
    </row>
    <row r="62">
      <c r="J62" s="3" t="s">
        <v>7298</v>
      </c>
      <c r="K62" s="28">
        <v>10610.0</v>
      </c>
      <c r="L62" s="28" t="s">
        <v>7256</v>
      </c>
    </row>
    <row r="63">
      <c r="J63" s="3" t="s">
        <v>7299</v>
      </c>
      <c r="K63" s="28">
        <v>10710.0</v>
      </c>
      <c r="L63" s="28" t="s">
        <v>7257</v>
      </c>
    </row>
    <row r="64">
      <c r="J64" s="3" t="s">
        <v>7300</v>
      </c>
      <c r="K64" s="28">
        <v>9010.0</v>
      </c>
      <c r="L64" s="28" t="s">
        <v>7259</v>
      </c>
    </row>
    <row r="65">
      <c r="J65" s="3" t="s">
        <v>7301</v>
      </c>
      <c r="K65" s="28">
        <v>10240.0</v>
      </c>
      <c r="L65" s="28" t="s">
        <v>7261</v>
      </c>
    </row>
    <row r="66">
      <c r="J66" s="3" t="s">
        <v>7302</v>
      </c>
      <c r="K66" s="28">
        <v>10610.0</v>
      </c>
      <c r="L66" s="28" t="s">
        <v>7238</v>
      </c>
    </row>
    <row r="67">
      <c r="J67" s="3" t="s">
        <v>7253</v>
      </c>
      <c r="K67" s="28">
        <v>10990.0</v>
      </c>
      <c r="L67" s="28" t="s">
        <v>7243</v>
      </c>
    </row>
    <row r="68">
      <c r="J68" s="3" t="s">
        <v>7303</v>
      </c>
      <c r="K68" s="28">
        <v>11830.0</v>
      </c>
      <c r="L68" s="28" t="s">
        <v>7249</v>
      </c>
    </row>
    <row r="69">
      <c r="J69" s="3" t="s">
        <v>7304</v>
      </c>
      <c r="K69" s="28">
        <v>12300.0</v>
      </c>
      <c r="L69" s="28" t="s">
        <v>7254</v>
      </c>
    </row>
    <row r="70">
      <c r="J70" s="3" t="s">
        <v>1376</v>
      </c>
      <c r="K70" s="28">
        <v>14180.0</v>
      </c>
      <c r="L70" s="28" t="s">
        <v>7256</v>
      </c>
    </row>
    <row r="71">
      <c r="J71" s="3" t="s">
        <v>7305</v>
      </c>
      <c r="K71" s="28">
        <v>8540.0</v>
      </c>
      <c r="L71" s="28" t="s">
        <v>7257</v>
      </c>
    </row>
    <row r="72">
      <c r="J72" s="3" t="s">
        <v>291</v>
      </c>
      <c r="K72" s="28">
        <v>9480.0</v>
      </c>
      <c r="L72" s="28" t="s">
        <v>7259</v>
      </c>
    </row>
    <row r="73">
      <c r="J73" s="3" t="s">
        <v>7306</v>
      </c>
      <c r="K73" s="28">
        <v>9010.0</v>
      </c>
      <c r="L73" s="28" t="s">
        <v>7261</v>
      </c>
    </row>
    <row r="74">
      <c r="J74" s="3" t="s">
        <v>7307</v>
      </c>
      <c r="K74" s="28">
        <v>12770.0</v>
      </c>
      <c r="L74" s="28">
        <v>94700.0</v>
      </c>
    </row>
    <row r="75">
      <c r="J75" s="3" t="s">
        <v>7308</v>
      </c>
      <c r="K75" s="28">
        <v>11250.0</v>
      </c>
      <c r="L75" s="28">
        <v>79500.0</v>
      </c>
    </row>
    <row r="76">
      <c r="J76" s="3" t="s">
        <v>7309</v>
      </c>
      <c r="K76" s="28">
        <v>10800.0</v>
      </c>
      <c r="L76" s="28">
        <v>75000.0</v>
      </c>
    </row>
    <row r="77">
      <c r="J77" s="3" t="s">
        <v>7310</v>
      </c>
      <c r="K77" s="28">
        <v>13340.0</v>
      </c>
      <c r="L77" s="28">
        <v>100400.0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38"/>
    <col customWidth="1" min="3" max="3" width="28.88"/>
  </cols>
  <sheetData>
    <row r="3">
      <c r="A3" s="3"/>
      <c r="B3" s="3" t="s">
        <v>7311</v>
      </c>
      <c r="C3" s="29">
        <f>TODAY()</f>
        <v>46178</v>
      </c>
    </row>
    <row r="4">
      <c r="C4" s="30"/>
    </row>
    <row r="5">
      <c r="B5" s="3" t="s">
        <v>7312</v>
      </c>
      <c r="C5" s="31" t="s">
        <v>7242</v>
      </c>
    </row>
    <row r="6">
      <c r="C6" s="30"/>
    </row>
    <row r="7">
      <c r="B7" s="3" t="s">
        <v>7313</v>
      </c>
      <c r="C7" s="3" t="s">
        <v>236</v>
      </c>
    </row>
    <row r="8">
      <c r="B8" s="3"/>
      <c r="C8" s="31"/>
    </row>
    <row r="9">
      <c r="B9" s="3" t="s">
        <v>7314</v>
      </c>
      <c r="C9" s="31" t="s">
        <v>7315</v>
      </c>
    </row>
    <row r="10">
      <c r="C10" s="30"/>
    </row>
    <row r="11">
      <c r="B11" s="3" t="s">
        <v>7316</v>
      </c>
      <c r="C11" s="30" t="str">
        <f>IF(C9="","-",VLOOKUP(C9,'bd rtas'!$A$1:$L$1000,11,0))</f>
        <v>Obra social</v>
      </c>
    </row>
    <row r="12">
      <c r="C12" s="30"/>
    </row>
    <row r="13">
      <c r="B13" s="3" t="s">
        <v>7317</v>
      </c>
      <c r="C13" s="30" t="str">
        <f>IF(C9="","-",VLOOKUP(C9,'bd rtas'!$A$1:$L$1000,12,0))</f>
        <v>CPCE</v>
      </c>
    </row>
    <row r="14">
      <c r="C14" s="30"/>
    </row>
    <row r="15">
      <c r="B15" s="3" t="s">
        <v>7236</v>
      </c>
      <c r="C15" s="31" t="s">
        <v>7239</v>
      </c>
      <c r="G15" s="3" t="s">
        <v>7318</v>
      </c>
    </row>
    <row r="16">
      <c r="C16" s="30"/>
      <c r="G16" s="3" t="s">
        <v>7319</v>
      </c>
    </row>
    <row r="17">
      <c r="B17" s="3" t="str">
        <f>IF(C15="completa pago","Saldo Cliente","Precio actual")</f>
        <v>Precio actual</v>
      </c>
      <c r="C17" s="32" t="str">
        <f>IF(C15="completa pago",VLOOKUP(C9,'bd rtas'!$A$1:$B$1000,2,0),if(C11="obra social",VLOOKUP(C13,datos!$J$1:$L$300,3,0),IF(C15="","-",VLOOKUP(C15,datos!$A$1:$B$20,2,0))))</f>
        <v>$79.800</v>
      </c>
      <c r="G17" s="3" t="s">
        <v>7320</v>
      </c>
    </row>
    <row r="18">
      <c r="C18" s="30"/>
    </row>
    <row r="19">
      <c r="B19" s="3" t="s">
        <v>7321</v>
      </c>
      <c r="C19" s="33"/>
    </row>
    <row r="21">
      <c r="B21" s="3" t="s">
        <v>7322</v>
      </c>
      <c r="C21" s="33"/>
    </row>
    <row r="23">
      <c r="B23" s="3" t="s">
        <v>7236</v>
      </c>
      <c r="C23" s="3" t="s">
        <v>7252</v>
      </c>
    </row>
  </sheetData>
  <dataValidations>
    <dataValidation type="list" allowBlank="1" showErrorMessage="1" sqref="C7">
      <formula1>datos!$D$2:$D$18</formula1>
    </dataValidation>
    <dataValidation type="list" allowBlank="1" showErrorMessage="1" sqref="C15">
      <formula1>datos!$A$2:$A$20</formula1>
    </dataValidation>
    <dataValidation type="list" allowBlank="1" showInputMessage="1" showErrorMessage="1" prompt="Paciente no ingresado, llenar formulario de ingreso!" sqref="C9">
      <formula1>'bd rtas'!$A$2:$A$1000</formula1>
    </dataValidation>
    <dataValidation type="list" allowBlank="1" showErrorMessage="1" sqref="C23">
      <formula1>datos!$F$2:$F$18</formula1>
    </dataValidation>
    <dataValidation type="list" allowBlank="1" showErrorMessage="1" sqref="C5">
      <formula1>datos!$H$2:$H$6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7311</v>
      </c>
      <c r="B1" s="3" t="s">
        <v>7313</v>
      </c>
      <c r="C1" s="3" t="s">
        <v>7314</v>
      </c>
      <c r="D1" s="3" t="s">
        <v>7316</v>
      </c>
      <c r="E1" s="3" t="s">
        <v>7317</v>
      </c>
      <c r="F1" s="3" t="s">
        <v>7323</v>
      </c>
      <c r="G1" s="3" t="s">
        <v>7324</v>
      </c>
      <c r="H1" s="3" t="s">
        <v>7321</v>
      </c>
      <c r="I1" s="3" t="s">
        <v>7322</v>
      </c>
      <c r="J1" s="3" t="s">
        <v>7236</v>
      </c>
    </row>
    <row r="2">
      <c r="A2" s="20">
        <v>45610.0</v>
      </c>
      <c r="B2" s="6" t="s">
        <v>7242</v>
      </c>
      <c r="C2" s="6" t="s">
        <v>236</v>
      </c>
      <c r="D2" s="6" t="s">
        <v>7325</v>
      </c>
      <c r="E2" s="7" t="s">
        <v>22</v>
      </c>
      <c r="F2" s="7" t="s">
        <v>23</v>
      </c>
      <c r="G2" s="34" t="s">
        <v>7255</v>
      </c>
      <c r="H2" s="27">
        <v>60000.0</v>
      </c>
      <c r="I2" s="28"/>
      <c r="J2" s="6">
        <v>30000.0</v>
      </c>
    </row>
    <row r="3">
      <c r="A3" s="20">
        <v>45610.0</v>
      </c>
      <c r="B3" s="6" t="s">
        <v>7242</v>
      </c>
      <c r="C3" s="6" t="s">
        <v>236</v>
      </c>
      <c r="D3" s="6" t="s">
        <v>7325</v>
      </c>
      <c r="E3" s="7" t="s">
        <v>22</v>
      </c>
      <c r="F3" s="7" t="s">
        <v>23</v>
      </c>
      <c r="G3" s="34" t="s">
        <v>7239</v>
      </c>
      <c r="H3" s="27">
        <v>92000.0</v>
      </c>
      <c r="I3" s="28">
        <v>90000.0</v>
      </c>
      <c r="J3" s="6">
        <v>30000.0</v>
      </c>
    </row>
    <row r="4">
      <c r="A4" s="20"/>
      <c r="G4" s="35"/>
      <c r="H4" s="28"/>
      <c r="I4" s="28"/>
    </row>
    <row r="5">
      <c r="A5" s="20"/>
      <c r="G5" s="35"/>
      <c r="H5" s="28"/>
      <c r="I5" s="28"/>
    </row>
    <row r="6">
      <c r="A6" s="20"/>
      <c r="G6" s="35"/>
      <c r="H6" s="28"/>
      <c r="I6" s="28"/>
    </row>
    <row r="7">
      <c r="A7" s="20"/>
      <c r="G7" s="35"/>
      <c r="H7" s="28"/>
      <c r="I7" s="28"/>
    </row>
    <row r="8">
      <c r="A8" s="20"/>
      <c r="G8" s="35"/>
      <c r="H8" s="28"/>
      <c r="I8" s="28"/>
    </row>
    <row r="9">
      <c r="A9" s="20"/>
      <c r="G9" s="35"/>
      <c r="H9" s="28"/>
      <c r="I9" s="28"/>
    </row>
    <row r="10">
      <c r="A10" s="20"/>
      <c r="G10" s="35"/>
      <c r="H10" s="28"/>
      <c r="I10" s="28"/>
    </row>
    <row r="11">
      <c r="A11" s="20"/>
      <c r="G11" s="35"/>
      <c r="H11" s="28"/>
      <c r="I11" s="28"/>
    </row>
    <row r="12">
      <c r="A12" s="20"/>
      <c r="G12" s="35"/>
      <c r="H12" s="28"/>
      <c r="I12" s="28"/>
    </row>
    <row r="13">
      <c r="A13" s="20"/>
      <c r="G13" s="35"/>
      <c r="H13" s="28"/>
      <c r="I13" s="28"/>
    </row>
    <row r="14">
      <c r="A14" s="20"/>
      <c r="G14" s="35"/>
      <c r="H14" s="28"/>
      <c r="I14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IFERROR(__xludf.DUMMYFUNCTION("IMPORTRANGE(""https://docs.google.com/spreadsheets/d/12kvqJIRMwIbdJij1SSzWoe0yONYO-PFC9AnOnfLB8gA/edit?gid=1730897113#gid=1730897113"",""caja ingresos!a:j"")"),"Fecha")</f>
        <v>Fecha</v>
      </c>
      <c r="B1" s="7" t="str">
        <f>IFERROR(__xludf.DUMMYFUNCTION("""COMPUTED_VALUE"""),"Profesional")</f>
        <v>Profesional</v>
      </c>
      <c r="C1" s="7" t="str">
        <f>IFERROR(__xludf.DUMMYFUNCTION("""COMPUTED_VALUE"""),"Apellido y nombre")</f>
        <v>Apellido y nombre</v>
      </c>
      <c r="D1" s="7" t="str">
        <f>IFERROR(__xludf.DUMMYFUNCTION("""COMPUTED_VALUE"""),"Tipo paciente")</f>
        <v>Tipo paciente</v>
      </c>
      <c r="E1" s="7" t="str">
        <f>IFERROR(__xludf.DUMMYFUNCTION("""COMPUTED_VALUE"""),"Obra Social")</f>
        <v>Obra Social</v>
      </c>
      <c r="F1" s="7" t="str">
        <f>IFERROR(__xludf.DUMMYFUNCTION("""COMPUTED_VALUE"""),"Cantidad")</f>
        <v>Cantidad</v>
      </c>
      <c r="G1" s="7" t="str">
        <f>IFERROR(__xludf.DUMMYFUNCTION("""COMPUTED_VALUE"""),"Precio sugerido")</f>
        <v>Precio sugerido</v>
      </c>
      <c r="H1" s="7" t="str">
        <f>IFERROR(__xludf.DUMMYFUNCTION("""COMPUTED_VALUE"""),"Precio convenido")</f>
        <v>Precio convenido</v>
      </c>
      <c r="I1" s="7" t="str">
        <f>IFERROR(__xludf.DUMMYFUNCTION("""COMPUTED_VALUE"""),"Importe abonado")</f>
        <v>Importe abonado</v>
      </c>
      <c r="J1" s="7" t="str">
        <f>IFERROR(__xludf.DUMMYFUNCTION("""COMPUTED_VALUE"""),"Tipo de pago")</f>
        <v>Tipo de pago</v>
      </c>
      <c r="K1" s="36" t="s">
        <v>7232</v>
      </c>
    </row>
    <row r="2">
      <c r="A2" s="20">
        <f>IFERROR(__xludf.DUMMYFUNCTION("""COMPUTED_VALUE"""),45610.0)</f>
        <v>45610</v>
      </c>
      <c r="B2" s="7" t="str">
        <f>IFERROR(__xludf.DUMMYFUNCTION("""COMPUTED_VALUE"""),"RDB")</f>
        <v>RDB</v>
      </c>
      <c r="C2" s="7" t="str">
        <f>IFERROR(__xludf.DUMMYFUNCTION("""COMPUTED_VALUE"""),"Marcos")</f>
        <v>Marcos</v>
      </c>
      <c r="D2" s="7" t="str">
        <f>IFERROR(__xludf.DUMMYFUNCTION("""COMPUTED_VALUE"""),"Giménez, Fernando")</f>
        <v>Giménez, Fernando</v>
      </c>
      <c r="E2" s="7" t="str">
        <f>IFERROR(__xludf.DUMMYFUNCTION("""COMPUTED_VALUE"""),"Obra social")</f>
        <v>Obra social</v>
      </c>
      <c r="F2" s="7" t="str">
        <f>IFERROR(__xludf.DUMMYFUNCTION("""COMPUTED_VALUE"""),"APROSS")</f>
        <v>APROSS</v>
      </c>
      <c r="G2" s="35" t="str">
        <f>IFERROR(__xludf.DUMMYFUNCTION("""COMPUTED_VALUE"""),"Completa pago")</f>
        <v>Completa pago</v>
      </c>
      <c r="H2" s="27">
        <f>IFERROR(__xludf.DUMMYFUNCTION("""COMPUTED_VALUE"""),60000.0)</f>
        <v>60000</v>
      </c>
      <c r="I2" s="27"/>
      <c r="J2" s="7">
        <f>IFERROR(__xludf.DUMMYFUNCTION("""COMPUTED_VALUE"""),30000.0)</f>
        <v>30000</v>
      </c>
      <c r="K2" s="27">
        <f t="shared" ref="K2:K20" si="1">I2-J2</f>
        <v>-30000</v>
      </c>
    </row>
    <row r="3">
      <c r="A3" s="20">
        <f>IFERROR(__xludf.DUMMYFUNCTION("""COMPUTED_VALUE"""),45610.0)</f>
        <v>45610</v>
      </c>
      <c r="B3" s="7" t="str">
        <f>IFERROR(__xludf.DUMMYFUNCTION("""COMPUTED_VALUE"""),"RDB")</f>
        <v>RDB</v>
      </c>
      <c r="C3" s="7" t="str">
        <f>IFERROR(__xludf.DUMMYFUNCTION("""COMPUTED_VALUE"""),"Marcos")</f>
        <v>Marcos</v>
      </c>
      <c r="D3" s="7" t="str">
        <f>IFERROR(__xludf.DUMMYFUNCTION("""COMPUTED_VALUE"""),"Giménez, Fernando")</f>
        <v>Giménez, Fernando</v>
      </c>
      <c r="E3" s="7" t="str">
        <f>IFERROR(__xludf.DUMMYFUNCTION("""COMPUTED_VALUE"""),"Obra social")</f>
        <v>Obra social</v>
      </c>
      <c r="F3" s="7" t="str">
        <f>IFERROR(__xludf.DUMMYFUNCTION("""COMPUTED_VALUE"""),"APROSS")</f>
        <v>APROSS</v>
      </c>
      <c r="G3" s="35" t="str">
        <f>IFERROR(__xludf.DUMMYFUNCTION("""COMPUTED_VALUE"""),"10 sesiones")</f>
        <v>10 sesiones</v>
      </c>
      <c r="H3" s="27">
        <f>IFERROR(__xludf.DUMMYFUNCTION("""COMPUTED_VALUE"""),92000.0)</f>
        <v>92000</v>
      </c>
      <c r="I3" s="27">
        <f>IFERROR(__xludf.DUMMYFUNCTION("""COMPUTED_VALUE"""),90000.0)</f>
        <v>90000</v>
      </c>
      <c r="J3" s="7">
        <f>IFERROR(__xludf.DUMMYFUNCTION("""COMPUTED_VALUE"""),30000.0)</f>
        <v>30000</v>
      </c>
      <c r="K3" s="27">
        <f t="shared" si="1"/>
        <v>60000</v>
      </c>
    </row>
    <row r="4">
      <c r="A4" s="20"/>
      <c r="B4" s="7"/>
      <c r="C4" s="7"/>
      <c r="D4" s="7"/>
      <c r="E4" s="7"/>
      <c r="F4" s="7"/>
      <c r="G4" s="35"/>
      <c r="H4" s="27"/>
      <c r="I4" s="27"/>
      <c r="J4" s="7"/>
      <c r="K4" s="27">
        <f t="shared" si="1"/>
        <v>0</v>
      </c>
    </row>
    <row r="5">
      <c r="A5" s="20"/>
      <c r="B5" s="7"/>
      <c r="C5" s="7"/>
      <c r="D5" s="7"/>
      <c r="E5" s="7"/>
      <c r="F5" s="7"/>
      <c r="G5" s="35"/>
      <c r="H5" s="27"/>
      <c r="I5" s="27"/>
      <c r="J5" s="7"/>
      <c r="K5" s="27">
        <f t="shared" si="1"/>
        <v>0</v>
      </c>
    </row>
    <row r="6">
      <c r="A6" s="20"/>
      <c r="B6" s="7"/>
      <c r="C6" s="7"/>
      <c r="D6" s="7"/>
      <c r="E6" s="7"/>
      <c r="F6" s="7"/>
      <c r="G6" s="35"/>
      <c r="H6" s="27"/>
      <c r="I6" s="27"/>
      <c r="J6" s="7"/>
      <c r="K6" s="27">
        <f t="shared" si="1"/>
        <v>0</v>
      </c>
    </row>
    <row r="7">
      <c r="A7" s="20"/>
      <c r="B7" s="7"/>
      <c r="C7" s="7"/>
      <c r="D7" s="7"/>
      <c r="E7" s="7"/>
      <c r="F7" s="7"/>
      <c r="G7" s="35"/>
      <c r="H7" s="27"/>
      <c r="I7" s="27"/>
      <c r="J7" s="7"/>
      <c r="K7" s="27">
        <f t="shared" si="1"/>
        <v>0</v>
      </c>
    </row>
    <row r="8">
      <c r="A8" s="20"/>
      <c r="B8" s="7"/>
      <c r="C8" s="7"/>
      <c r="D8" s="7"/>
      <c r="E8" s="7"/>
      <c r="F8" s="7"/>
      <c r="G8" s="35"/>
      <c r="H8" s="27"/>
      <c r="I8" s="27"/>
      <c r="J8" s="7"/>
      <c r="K8" s="27">
        <f t="shared" si="1"/>
        <v>0</v>
      </c>
    </row>
    <row r="9">
      <c r="A9" s="20"/>
      <c r="B9" s="7"/>
      <c r="C9" s="7"/>
      <c r="D9" s="7"/>
      <c r="E9" s="7"/>
      <c r="F9" s="7"/>
      <c r="G9" s="35"/>
      <c r="H9" s="27"/>
      <c r="I9" s="27"/>
      <c r="J9" s="7"/>
      <c r="K9" s="27">
        <f t="shared" si="1"/>
        <v>0</v>
      </c>
    </row>
    <row r="10">
      <c r="A10" s="20"/>
      <c r="B10" s="7"/>
      <c r="C10" s="7"/>
      <c r="D10" s="7"/>
      <c r="E10" s="7"/>
      <c r="F10" s="7"/>
      <c r="G10" s="35"/>
      <c r="H10" s="27"/>
      <c r="I10" s="27"/>
      <c r="J10" s="7"/>
      <c r="K10" s="27">
        <f t="shared" si="1"/>
        <v>0</v>
      </c>
    </row>
    <row r="11">
      <c r="A11" s="20"/>
      <c r="B11" s="7"/>
      <c r="C11" s="7"/>
      <c r="D11" s="7"/>
      <c r="E11" s="7"/>
      <c r="F11" s="7"/>
      <c r="G11" s="35"/>
      <c r="H11" s="27"/>
      <c r="I11" s="27"/>
      <c r="J11" s="7"/>
      <c r="K11" s="27">
        <f t="shared" si="1"/>
        <v>0</v>
      </c>
    </row>
    <row r="12">
      <c r="A12" s="20"/>
      <c r="B12" s="7"/>
      <c r="C12" s="7"/>
      <c r="D12" s="7"/>
      <c r="E12" s="7"/>
      <c r="F12" s="7"/>
      <c r="G12" s="35"/>
      <c r="H12" s="27"/>
      <c r="I12" s="27"/>
      <c r="J12" s="7"/>
      <c r="K12" s="27">
        <f t="shared" si="1"/>
        <v>0</v>
      </c>
    </row>
    <row r="13">
      <c r="A13" s="20"/>
      <c r="B13" s="7"/>
      <c r="C13" s="7"/>
      <c r="D13" s="7"/>
      <c r="E13" s="7"/>
      <c r="F13" s="7"/>
      <c r="G13" s="35"/>
      <c r="H13" s="27"/>
      <c r="I13" s="27"/>
      <c r="J13" s="7"/>
      <c r="K13" s="27">
        <f t="shared" si="1"/>
        <v>0</v>
      </c>
    </row>
    <row r="14">
      <c r="A14" s="20"/>
      <c r="B14" s="7"/>
      <c r="C14" s="7"/>
      <c r="D14" s="7"/>
      <c r="E14" s="7"/>
      <c r="F14" s="7"/>
      <c r="G14" s="35"/>
      <c r="H14" s="27"/>
      <c r="I14" s="27"/>
      <c r="J14" s="7"/>
      <c r="K14" s="27">
        <f t="shared" si="1"/>
        <v>0</v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>
        <f t="shared" si="1"/>
        <v>0</v>
      </c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>
        <f t="shared" si="1"/>
        <v>0</v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>
        <f t="shared" si="1"/>
        <v>0</v>
      </c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>
        <f t="shared" si="1"/>
        <v>0</v>
      </c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>
        <f t="shared" si="1"/>
        <v>0</v>
      </c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>
        <f t="shared" si="1"/>
        <v>0</v>
      </c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15.75"/>
    <col customWidth="1" min="4" max="4" width="16.0"/>
    <col customWidth="1" min="5" max="6" width="15.75"/>
    <col customWidth="1" min="7" max="7" width="16.0"/>
    <col customWidth="1" min="8" max="8" width="15.75"/>
  </cols>
  <sheetData>
    <row r="7">
      <c r="A7" s="37" t="s">
        <v>7326</v>
      </c>
      <c r="B7" s="38"/>
      <c r="C7" s="38"/>
      <c r="D7" s="38"/>
      <c r="E7" s="38"/>
      <c r="F7" s="38"/>
      <c r="G7" s="38"/>
      <c r="H7" s="39"/>
    </row>
    <row r="8">
      <c r="A8" s="40" t="s">
        <v>7327</v>
      </c>
      <c r="B8" s="31">
        <v>14.0</v>
      </c>
      <c r="G8" s="3"/>
      <c r="H8" s="41"/>
    </row>
    <row r="9">
      <c r="A9" s="40"/>
      <c r="G9" s="3"/>
      <c r="H9" s="41"/>
    </row>
    <row r="10">
      <c r="A10" s="40" t="s">
        <v>7328</v>
      </c>
      <c r="B10" s="42" t="str">
        <f>VLOOKUP($B$8,'HOJA BASE DE DATOS (NO TOCAR!!)'!$A$1:$K$501,3,0)&amp;" "&amp;VLOOKUP($B$8,'HOJA BASE DE DATOS (NO TOCAR!!)'!$A$1:$K$501,4,0)</f>
        <v>Asinari Emanuel</v>
      </c>
      <c r="F10" s="3" t="s">
        <v>6</v>
      </c>
      <c r="G10" s="42">
        <f>VLOOKUP($B$8,'HOJA BASE DE DATOS (NO TOCAR!!)'!$A$1:$K$501,8,0)</f>
        <v>3516098550</v>
      </c>
      <c r="H10" s="43"/>
    </row>
    <row r="11">
      <c r="A11" s="40" t="s">
        <v>4</v>
      </c>
      <c r="B11" s="44">
        <f>VLOOKUP($B$8,'HOJA BASE DE DATOS (NO TOCAR!!)'!$A$1:$K$501,6,0)</f>
        <v>34338</v>
      </c>
      <c r="F11" s="3" t="s">
        <v>3</v>
      </c>
      <c r="G11" s="42" t="str">
        <f>VLOOKUP($B$8,'HOJA BASE DE DATOS (NO TOCAR!!)'!$A$1:$K$501,5,0)</f>
        <v>lic.pabloghibaudo@gmail.com</v>
      </c>
      <c r="H11" s="43"/>
    </row>
    <row r="12">
      <c r="A12" s="40" t="s">
        <v>5</v>
      </c>
      <c r="B12" s="45">
        <f>VLOOKUP($B$8,'HOJA BASE DE DATOS (NO TOCAR!!)'!$A$1:$K$501,7,0)</f>
        <v>38001813</v>
      </c>
      <c r="F12" s="3" t="s">
        <v>7329</v>
      </c>
      <c r="G12" s="42" t="str">
        <f>IF(VLOOKUP($B$8,'HOJA BASE DE DATOS (NO TOCAR!!)'!$A$1:$K$501,10,0)="PARTICULAR","PARTICULAR",VLOOKUP($B$8,'HOJA BASE DE DATOS (NO TOCAR!!)'!$A$1:$K$501,11,0))</f>
        <v>PARTICULAR</v>
      </c>
      <c r="H12" s="43"/>
    </row>
    <row r="13">
      <c r="A13" s="46"/>
      <c r="B13" s="47"/>
      <c r="C13" s="47"/>
      <c r="D13" s="47"/>
      <c r="E13" s="47"/>
      <c r="F13" s="47"/>
      <c r="G13" s="47"/>
      <c r="H13" s="48"/>
    </row>
    <row r="14">
      <c r="A14" s="37" t="s">
        <v>7330</v>
      </c>
      <c r="B14" s="38"/>
      <c r="C14" s="38"/>
      <c r="D14" s="38"/>
      <c r="E14" s="38"/>
      <c r="F14" s="38"/>
      <c r="G14" s="38"/>
      <c r="H14" s="39"/>
    </row>
    <row r="15">
      <c r="A15" s="49"/>
      <c r="H15" s="41"/>
    </row>
    <row r="16">
      <c r="A16" s="49"/>
      <c r="H16" s="41"/>
    </row>
    <row r="17">
      <c r="A17" s="49"/>
      <c r="H17" s="41"/>
    </row>
    <row r="18">
      <c r="A18" s="49"/>
      <c r="H18" s="41"/>
    </row>
    <row r="19">
      <c r="A19" s="49"/>
      <c r="H19" s="41"/>
    </row>
    <row r="20">
      <c r="A20" s="49"/>
      <c r="H20" s="41"/>
    </row>
    <row r="21">
      <c r="A21" s="49"/>
      <c r="H21" s="41"/>
    </row>
    <row r="22">
      <c r="A22" s="49"/>
      <c r="H22" s="41"/>
    </row>
    <row r="23">
      <c r="A23" s="46"/>
      <c r="B23" s="47"/>
      <c r="C23" s="47"/>
      <c r="D23" s="47"/>
      <c r="E23" s="47"/>
      <c r="F23" s="47"/>
      <c r="G23" s="47"/>
      <c r="H23" s="48"/>
    </row>
    <row r="24">
      <c r="A24" s="37" t="s">
        <v>7331</v>
      </c>
      <c r="B24" s="38"/>
      <c r="C24" s="38"/>
      <c r="D24" s="38"/>
      <c r="E24" s="38"/>
      <c r="F24" s="38"/>
      <c r="G24" s="38"/>
      <c r="H24" s="39"/>
    </row>
    <row r="25">
      <c r="A25" s="49"/>
      <c r="H25" s="41"/>
    </row>
    <row r="26">
      <c r="A26" s="49"/>
      <c r="H26" s="41"/>
    </row>
    <row r="27">
      <c r="A27" s="49"/>
      <c r="H27" s="41"/>
    </row>
    <row r="28">
      <c r="A28" s="49"/>
      <c r="H28" s="41"/>
    </row>
    <row r="29">
      <c r="A29" s="49"/>
      <c r="H29" s="41"/>
    </row>
    <row r="30">
      <c r="A30" s="49"/>
      <c r="H30" s="41"/>
    </row>
    <row r="31">
      <c r="A31" s="49"/>
      <c r="H31" s="41"/>
    </row>
    <row r="32">
      <c r="A32" s="49"/>
      <c r="H32" s="41"/>
    </row>
    <row r="33">
      <c r="A33" s="46"/>
      <c r="B33" s="47"/>
      <c r="C33" s="47"/>
      <c r="D33" s="47"/>
      <c r="E33" s="47"/>
      <c r="F33" s="47"/>
      <c r="G33" s="47"/>
      <c r="H33" s="48"/>
    </row>
    <row r="34">
      <c r="A34" s="37" t="s">
        <v>7332</v>
      </c>
      <c r="B34" s="38"/>
      <c r="C34" s="38"/>
      <c r="D34" s="38"/>
      <c r="E34" s="38"/>
      <c r="F34" s="38"/>
      <c r="G34" s="38"/>
      <c r="H34" s="39"/>
    </row>
    <row r="35" ht="33.0" customHeight="1">
      <c r="A35" s="50" t="s">
        <v>7333</v>
      </c>
      <c r="B35" s="51" t="s">
        <v>7334</v>
      </c>
      <c r="C35" s="52"/>
      <c r="D35" s="50" t="s">
        <v>7333</v>
      </c>
      <c r="E35" s="51" t="s">
        <v>7334</v>
      </c>
      <c r="F35" s="53"/>
      <c r="G35" s="54" t="s">
        <v>7333</v>
      </c>
      <c r="H35" s="55" t="s">
        <v>7334</v>
      </c>
    </row>
    <row r="36" ht="33.0" customHeight="1">
      <c r="A36" s="56">
        <v>1.0</v>
      </c>
      <c r="B36" s="57"/>
      <c r="C36" s="58"/>
      <c r="D36" s="56">
        <v>1.0</v>
      </c>
      <c r="E36" s="57"/>
      <c r="F36" s="58"/>
      <c r="G36" s="56">
        <v>1.0</v>
      </c>
      <c r="H36" s="59"/>
    </row>
    <row r="37" ht="33.0" customHeight="1">
      <c r="A37" s="57">
        <f t="shared" ref="A37:A45" si="1">A36+1</f>
        <v>2</v>
      </c>
      <c r="B37" s="57"/>
      <c r="C37" s="58"/>
      <c r="D37" s="57">
        <f t="shared" ref="D37:D45" si="2">D36+1</f>
        <v>2</v>
      </c>
      <c r="E37" s="57"/>
      <c r="F37" s="58"/>
      <c r="G37" s="57">
        <f t="shared" ref="G37:G45" si="3">G36+1</f>
        <v>2</v>
      </c>
      <c r="H37" s="59"/>
    </row>
    <row r="38" ht="33.0" customHeight="1">
      <c r="A38" s="57">
        <f t="shared" si="1"/>
        <v>3</v>
      </c>
      <c r="B38" s="57"/>
      <c r="C38" s="58"/>
      <c r="D38" s="57">
        <f t="shared" si="2"/>
        <v>3</v>
      </c>
      <c r="E38" s="57"/>
      <c r="F38" s="58"/>
      <c r="G38" s="57">
        <f t="shared" si="3"/>
        <v>3</v>
      </c>
      <c r="H38" s="59"/>
    </row>
    <row r="39" ht="33.0" customHeight="1">
      <c r="A39" s="57">
        <f t="shared" si="1"/>
        <v>4</v>
      </c>
      <c r="B39" s="57"/>
      <c r="C39" s="58"/>
      <c r="D39" s="57">
        <f t="shared" si="2"/>
        <v>4</v>
      </c>
      <c r="E39" s="57"/>
      <c r="F39" s="58"/>
      <c r="G39" s="57">
        <f t="shared" si="3"/>
        <v>4</v>
      </c>
      <c r="H39" s="59"/>
    </row>
    <row r="40" ht="33.0" customHeight="1">
      <c r="A40" s="57">
        <f t="shared" si="1"/>
        <v>5</v>
      </c>
      <c r="B40" s="57"/>
      <c r="C40" s="58"/>
      <c r="D40" s="57">
        <f t="shared" si="2"/>
        <v>5</v>
      </c>
      <c r="E40" s="57"/>
      <c r="F40" s="58"/>
      <c r="G40" s="57">
        <f t="shared" si="3"/>
        <v>5</v>
      </c>
      <c r="H40" s="59"/>
    </row>
    <row r="41" ht="33.0" customHeight="1">
      <c r="A41" s="57">
        <f t="shared" si="1"/>
        <v>6</v>
      </c>
      <c r="B41" s="57"/>
      <c r="C41" s="58"/>
      <c r="D41" s="57">
        <f t="shared" si="2"/>
        <v>6</v>
      </c>
      <c r="E41" s="57"/>
      <c r="F41" s="58"/>
      <c r="G41" s="57">
        <f t="shared" si="3"/>
        <v>6</v>
      </c>
      <c r="H41" s="59"/>
    </row>
    <row r="42" ht="33.0" customHeight="1">
      <c r="A42" s="57">
        <f t="shared" si="1"/>
        <v>7</v>
      </c>
      <c r="B42" s="57"/>
      <c r="C42" s="58"/>
      <c r="D42" s="57">
        <f t="shared" si="2"/>
        <v>7</v>
      </c>
      <c r="E42" s="57"/>
      <c r="F42" s="58"/>
      <c r="G42" s="57">
        <f t="shared" si="3"/>
        <v>7</v>
      </c>
      <c r="H42" s="59"/>
    </row>
    <row r="43" ht="33.0" customHeight="1">
      <c r="A43" s="57">
        <f t="shared" si="1"/>
        <v>8</v>
      </c>
      <c r="B43" s="57"/>
      <c r="C43" s="58"/>
      <c r="D43" s="57">
        <f t="shared" si="2"/>
        <v>8</v>
      </c>
      <c r="E43" s="57"/>
      <c r="F43" s="58"/>
      <c r="G43" s="57">
        <f t="shared" si="3"/>
        <v>8</v>
      </c>
      <c r="H43" s="59"/>
    </row>
    <row r="44" ht="33.0" customHeight="1">
      <c r="A44" s="57">
        <f t="shared" si="1"/>
        <v>9</v>
      </c>
      <c r="B44" s="57"/>
      <c r="C44" s="58"/>
      <c r="D44" s="57">
        <f t="shared" si="2"/>
        <v>9</v>
      </c>
      <c r="E44" s="57"/>
      <c r="F44" s="58"/>
      <c r="G44" s="57">
        <f t="shared" si="3"/>
        <v>9</v>
      </c>
      <c r="H44" s="59"/>
    </row>
    <row r="45" ht="33.0" customHeight="1">
      <c r="A45" s="57">
        <f t="shared" si="1"/>
        <v>10</v>
      </c>
      <c r="B45" s="57"/>
      <c r="C45" s="58"/>
      <c r="D45" s="57">
        <f t="shared" si="2"/>
        <v>10</v>
      </c>
      <c r="E45" s="57"/>
      <c r="F45" s="58"/>
      <c r="G45" s="57">
        <f t="shared" si="3"/>
        <v>10</v>
      </c>
      <c r="H45" s="59"/>
    </row>
    <row r="46" ht="31.5" customHeight="1">
      <c r="A46" s="60" t="s">
        <v>7335</v>
      </c>
      <c r="B46" s="59"/>
      <c r="C46" s="52"/>
      <c r="D46" s="60" t="s">
        <v>7335</v>
      </c>
      <c r="E46" s="59"/>
      <c r="F46" s="53"/>
      <c r="G46" s="60" t="s">
        <v>7335</v>
      </c>
      <c r="H46" s="59"/>
    </row>
    <row r="47" ht="31.5" customHeight="1">
      <c r="A47" s="61" t="s">
        <v>7241</v>
      </c>
      <c r="B47" s="59"/>
      <c r="C47" s="52"/>
      <c r="D47" s="61" t="s">
        <v>7241</v>
      </c>
      <c r="E47" s="59"/>
      <c r="F47" s="53"/>
      <c r="G47" s="61" t="s">
        <v>7241</v>
      </c>
      <c r="H47" s="59"/>
    </row>
  </sheetData>
  <mergeCells count="10">
    <mergeCell ref="A14:H14"/>
    <mergeCell ref="A24:H24"/>
    <mergeCell ref="A34:H34"/>
    <mergeCell ref="A7:H7"/>
    <mergeCell ref="B10:C10"/>
    <mergeCell ref="G10:H10"/>
    <mergeCell ref="B11:C11"/>
    <mergeCell ref="G11:H11"/>
    <mergeCell ref="B12:C12"/>
    <mergeCell ref="G12:H12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7327</v>
      </c>
      <c r="B1" s="7" t="str">
        <f>'Respuestas de formulario 1'!A1</f>
        <v>Marca temporal</v>
      </c>
      <c r="C1" s="7" t="str">
        <f>'Respuestas de formulario 1'!B1</f>
        <v>Apellido</v>
      </c>
      <c r="D1" s="7" t="str">
        <f>'Respuestas de formulario 1'!C1</f>
        <v>Nombre</v>
      </c>
      <c r="E1" s="7" t="str">
        <f>'Respuestas de formulario 1'!D1</f>
        <v>e-mail</v>
      </c>
      <c r="F1" s="7" t="str">
        <f>'Respuestas de formulario 1'!E1</f>
        <v>Fecha de nacimiento</v>
      </c>
      <c r="G1" s="7" t="str">
        <f>'Respuestas de formulario 1'!F1</f>
        <v>DNI</v>
      </c>
      <c r="H1" s="7" t="str">
        <f>'Respuestas de formulario 1'!G1</f>
        <v>Teléfono</v>
      </c>
      <c r="I1" s="7" t="str">
        <f>'Respuestas de formulario 1'!H1</f>
        <v>¿Cómo nos encontraste?</v>
      </c>
      <c r="J1" s="7" t="str">
        <f>'Respuestas de formulario 1'!I1</f>
        <v>¿Cómo te vas a atender?</v>
      </c>
      <c r="K1" s="7" t="str">
        <f>'Respuestas de formulario 1'!J1</f>
        <v>¿Cuál es tu obra social?</v>
      </c>
    </row>
    <row r="2">
      <c r="A2" s="3">
        <v>2.0</v>
      </c>
      <c r="B2" s="19">
        <f>'Respuestas de formulario 1'!A2</f>
        <v>44865.66299</v>
      </c>
      <c r="C2" s="7" t="str">
        <f>'Respuestas de formulario 1'!B2</f>
        <v>Llanos</v>
      </c>
      <c r="D2" s="7" t="str">
        <f>'Respuestas de formulario 1'!C2</f>
        <v>Cristian</v>
      </c>
      <c r="E2" s="7" t="str">
        <f>'Respuestas de formulario 1'!D2</f>
        <v>Cristian_kobe@hotmail.com </v>
      </c>
      <c r="F2" s="20">
        <f>'Respuestas de formulario 1'!E2</f>
        <v>31427</v>
      </c>
      <c r="G2" s="7">
        <f>'Respuestas de formulario 1'!F2</f>
        <v>32099118</v>
      </c>
      <c r="H2" s="7">
        <f>'Respuestas de formulario 1'!G2</f>
        <v>3518046736</v>
      </c>
      <c r="I2" s="7" t="str">
        <f>'Respuestas de formulario 1'!H2</f>
        <v>Google</v>
      </c>
      <c r="J2" s="7" t="str">
        <f>'Respuestas de formulario 1'!I2</f>
        <v>Obra social</v>
      </c>
      <c r="K2" s="7" t="str">
        <f>'Respuestas de formulario 1'!J2</f>
        <v>APROSS</v>
      </c>
    </row>
    <row r="3">
      <c r="A3" s="7">
        <f t="shared" ref="A3:A501" si="1">A2+1</f>
        <v>3</v>
      </c>
      <c r="B3" s="19">
        <f>'Respuestas de formulario 1'!A3</f>
        <v>44866.42481</v>
      </c>
      <c r="C3" s="7" t="str">
        <f>'Respuestas de formulario 1'!B3</f>
        <v>Leiva</v>
      </c>
      <c r="D3" s="7" t="str">
        <f>'Respuestas de formulario 1'!C3</f>
        <v>Nilda Carolina </v>
      </c>
      <c r="E3" s="7" t="str">
        <f>'Respuestas de formulario 1'!D3</f>
        <v>caroagus023@gmail.com</v>
      </c>
      <c r="F3" s="20">
        <f>'Respuestas de formulario 1'!E3</f>
        <v>29208</v>
      </c>
      <c r="G3" s="7">
        <f>'Respuestas de formulario 1'!F3</f>
        <v>27671982</v>
      </c>
      <c r="H3" s="7">
        <f>'Respuestas de formulario 1'!G3</f>
        <v>3513844529</v>
      </c>
      <c r="I3" s="7" t="str">
        <f>'Respuestas de formulario 1'!H3</f>
        <v>Recomendación</v>
      </c>
      <c r="J3" s="7" t="str">
        <f>'Respuestas de formulario 1'!I3</f>
        <v>Particular</v>
      </c>
      <c r="K3" s="7" t="str">
        <f>'Respuestas de formulario 1'!J3</f>
        <v/>
      </c>
    </row>
    <row r="4">
      <c r="A4" s="7">
        <f t="shared" si="1"/>
        <v>4</v>
      </c>
      <c r="B4" s="19">
        <f>'Respuestas de formulario 1'!A4</f>
        <v>44872.859</v>
      </c>
      <c r="C4" s="7" t="str">
        <f>'Respuestas de formulario 1'!B4</f>
        <v>Far</v>
      </c>
      <c r="D4" s="7" t="str">
        <f>'Respuestas de formulario 1'!C4</f>
        <v>Juan Manuel </v>
      </c>
      <c r="E4" s="7" t="str">
        <f>'Respuestas de formulario 1'!D4</f>
        <v>Manufar87@hotmail.com</v>
      </c>
      <c r="F4" s="20">
        <f>'Respuestas de formulario 1'!E4</f>
        <v>31894</v>
      </c>
      <c r="G4" s="7">
        <f>'Respuestas de formulario 1'!F4</f>
        <v>33082576</v>
      </c>
      <c r="H4" s="7">
        <f>'Respuestas de formulario 1'!G4</f>
        <v>3512006711</v>
      </c>
      <c r="I4" s="7" t="str">
        <f>'Respuestas de formulario 1'!H4</f>
        <v>Recomendación</v>
      </c>
      <c r="J4" s="7" t="str">
        <f>'Respuestas de formulario 1'!I4</f>
        <v>Particular</v>
      </c>
      <c r="K4" s="7" t="str">
        <f>'Respuestas de formulario 1'!J4</f>
        <v/>
      </c>
    </row>
    <row r="5">
      <c r="A5" s="7">
        <f t="shared" si="1"/>
        <v>5</v>
      </c>
      <c r="B5" s="19">
        <f>'Respuestas de formulario 1'!A5</f>
        <v>44879.65375</v>
      </c>
      <c r="C5" s="7" t="str">
        <f>'Respuestas de formulario 1'!B5</f>
        <v>Urquía </v>
      </c>
      <c r="D5" s="7" t="str">
        <f>'Respuestas de formulario 1'!C5</f>
        <v>Yohana</v>
      </c>
      <c r="E5" s="7" t="str">
        <f>'Respuestas de formulario 1'!D5</f>
        <v>yohana.urquia@gmail.com</v>
      </c>
      <c r="F5" s="20">
        <f>'Respuestas de formulario 1'!E5</f>
        <v>31206</v>
      </c>
      <c r="G5" s="7">
        <f>'Respuestas de formulario 1'!F5</f>
        <v>31647631</v>
      </c>
      <c r="H5" s="7">
        <f>'Respuestas de formulario 1'!G5</f>
        <v>3516299562</v>
      </c>
      <c r="I5" s="7" t="str">
        <f>'Respuestas de formulario 1'!H5</f>
        <v>Recomendación</v>
      </c>
      <c r="J5" s="7" t="str">
        <f>'Respuestas de formulario 1'!I5</f>
        <v>Particular</v>
      </c>
      <c r="K5" s="7" t="str">
        <f>'Respuestas de formulario 1'!J5</f>
        <v/>
      </c>
    </row>
    <row r="6">
      <c r="A6" s="7">
        <f t="shared" si="1"/>
        <v>6</v>
      </c>
      <c r="B6" s="19">
        <f>'Respuestas de formulario 1'!A6</f>
        <v>44879.67125</v>
      </c>
      <c r="C6" s="7" t="str">
        <f>'Respuestas de formulario 1'!B6</f>
        <v>Lopez</v>
      </c>
      <c r="D6" s="7" t="str">
        <f>'Respuestas de formulario 1'!C6</f>
        <v>Gonzalo Daniel</v>
      </c>
      <c r="E6" s="7" t="str">
        <f>'Respuestas de formulario 1'!D6</f>
        <v>Zonlopez10@gmail.com </v>
      </c>
      <c r="F6" s="20">
        <f>'Respuestas de formulario 1'!E6</f>
        <v>34623</v>
      </c>
      <c r="G6" s="7">
        <f>'Respuestas de formulario 1'!F6</f>
        <v>38501250</v>
      </c>
      <c r="H6" s="7">
        <f>'Respuestas de formulario 1'!G6</f>
        <v>3515186768</v>
      </c>
      <c r="I6" s="7" t="str">
        <f>'Respuestas de formulario 1'!H6</f>
        <v>Lo conozco al fabri de defensores</v>
      </c>
      <c r="J6" s="7" t="str">
        <f>'Respuestas de formulario 1'!I6</f>
        <v>Obra social</v>
      </c>
      <c r="K6" s="7" t="str">
        <f>'Respuestas de formulario 1'!J6</f>
        <v>APROSS</v>
      </c>
    </row>
    <row r="7">
      <c r="A7" s="7">
        <f t="shared" si="1"/>
        <v>7</v>
      </c>
      <c r="B7" s="19">
        <f>'Respuestas de formulario 1'!A7</f>
        <v>44880.4708</v>
      </c>
      <c r="C7" s="7" t="str">
        <f>'Respuestas de formulario 1'!B7</f>
        <v>Agüero </v>
      </c>
      <c r="D7" s="7" t="str">
        <f>'Respuestas de formulario 1'!C7</f>
        <v>Juan Manuel </v>
      </c>
      <c r="E7" s="7" t="str">
        <f>'Respuestas de formulario 1'!D7</f>
        <v>juanmamendiolaza@gmail.com </v>
      </c>
      <c r="F7" s="20">
        <f>'Respuestas de formulario 1'!E7</f>
        <v>31846</v>
      </c>
      <c r="G7" s="7">
        <f>'Respuestas de formulario 1'!F7</f>
        <v>32787354</v>
      </c>
      <c r="H7" s="7">
        <f>'Respuestas de formulario 1'!G7</f>
        <v>3516219534</v>
      </c>
      <c r="I7" s="7" t="str">
        <f>'Respuestas de formulario 1'!H7</f>
        <v>Google</v>
      </c>
      <c r="J7" s="7" t="str">
        <f>'Respuestas de formulario 1'!I7</f>
        <v>Particular</v>
      </c>
      <c r="K7" s="7" t="str">
        <f>'Respuestas de formulario 1'!J7</f>
        <v/>
      </c>
    </row>
    <row r="8">
      <c r="A8" s="7">
        <f t="shared" si="1"/>
        <v>8</v>
      </c>
      <c r="B8" s="19">
        <f>'Respuestas de formulario 1'!A8</f>
        <v>44880.50002</v>
      </c>
      <c r="C8" s="7" t="str">
        <f>'Respuestas de formulario 1'!B8</f>
        <v>Valdez </v>
      </c>
      <c r="D8" s="7" t="str">
        <f>'Respuestas de formulario 1'!C8</f>
        <v>Rubén </v>
      </c>
      <c r="E8" s="7" t="str">
        <f>'Respuestas de formulario 1'!D8</f>
        <v>Rubenavaldez930@gmail.com</v>
      </c>
      <c r="F8" s="20">
        <f>'Respuestas de formulario 1'!E8</f>
        <v>34161</v>
      </c>
      <c r="G8" s="7">
        <f>'Respuestas de formulario 1'!F8</f>
        <v>37733188</v>
      </c>
      <c r="H8" s="7">
        <f>'Respuestas de formulario 1'!G8</f>
        <v>3513374771</v>
      </c>
      <c r="I8" s="7" t="str">
        <f>'Respuestas de formulario 1'!H8</f>
        <v>Voy al gym Manantial</v>
      </c>
      <c r="J8" s="7" t="str">
        <f>'Respuestas de formulario 1'!I8</f>
        <v/>
      </c>
      <c r="K8" s="7" t="str">
        <f>'Respuestas de formulario 1'!J8</f>
        <v>APROSS</v>
      </c>
    </row>
    <row r="9">
      <c r="A9" s="7">
        <f t="shared" si="1"/>
        <v>9</v>
      </c>
      <c r="B9" s="19">
        <f>'Respuestas de formulario 1'!A9</f>
        <v>44881.41323</v>
      </c>
      <c r="C9" s="7" t="str">
        <f>'Respuestas de formulario 1'!B9</f>
        <v>Giménez</v>
      </c>
      <c r="D9" s="7" t="str">
        <f>'Respuestas de formulario 1'!C9</f>
        <v>Fernando</v>
      </c>
      <c r="E9" s="7" t="str">
        <f>'Respuestas de formulario 1'!D9</f>
        <v>gimenezfa@gmail.com</v>
      </c>
      <c r="F9" s="20">
        <f>'Respuestas de formulario 1'!E9</f>
        <v>35171</v>
      </c>
      <c r="G9" s="7">
        <f>'Respuestas de formulario 1'!F9</f>
        <v>30544064</v>
      </c>
      <c r="H9" s="7">
        <f>'Respuestas de formulario 1'!G9</f>
        <v>3516953672</v>
      </c>
      <c r="I9" s="7" t="str">
        <f>'Respuestas de formulario 1'!H9</f>
        <v>Recomendación</v>
      </c>
      <c r="J9" s="7" t="str">
        <f>'Respuestas de formulario 1'!I9</f>
        <v>Obra social</v>
      </c>
      <c r="K9" s="7" t="str">
        <f>'Respuestas de formulario 1'!J9</f>
        <v>APROSS</v>
      </c>
    </row>
    <row r="10">
      <c r="A10" s="7">
        <f t="shared" si="1"/>
        <v>10</v>
      </c>
      <c r="B10" s="19">
        <f>'Respuestas de formulario 1'!A10</f>
        <v>44881.49076</v>
      </c>
      <c r="C10" s="7" t="str">
        <f>'Respuestas de formulario 1'!B10</f>
        <v>JOHNSON</v>
      </c>
      <c r="D10" s="7" t="str">
        <f>'Respuestas de formulario 1'!C10</f>
        <v>GUILLERMO</v>
      </c>
      <c r="E10" s="7" t="str">
        <f>'Respuestas de formulario 1'!D10</f>
        <v>guillermorjohnson@gmail.com</v>
      </c>
      <c r="F10" s="20">
        <f>'Respuestas de formulario 1'!E10</f>
        <v>26996</v>
      </c>
      <c r="G10" s="7">
        <f>'Respuestas de formulario 1'!F10</f>
        <v>23683982</v>
      </c>
      <c r="H10" s="7">
        <f>'Respuestas de formulario 1'!G10</f>
        <v>3515138062</v>
      </c>
      <c r="I10" s="7" t="str">
        <f>'Respuestas de formulario 1'!H10</f>
        <v>Recomendación</v>
      </c>
      <c r="J10" s="7" t="str">
        <f>'Respuestas de formulario 1'!I10</f>
        <v>Obra social</v>
      </c>
      <c r="K10" s="7" t="str">
        <f>'Respuestas de formulario 1'!J10</f>
        <v>caja Notarial</v>
      </c>
    </row>
    <row r="11">
      <c r="A11" s="7">
        <f t="shared" si="1"/>
        <v>11</v>
      </c>
      <c r="B11" s="19">
        <f>'Respuestas de formulario 1'!A11</f>
        <v>44881.68835</v>
      </c>
      <c r="C11" s="7" t="str">
        <f>'Respuestas de formulario 1'!B11</f>
        <v>Carnevale</v>
      </c>
      <c r="D11" s="7" t="str">
        <f>'Respuestas de formulario 1'!C11</f>
        <v>Mariela</v>
      </c>
      <c r="E11" s="7" t="str">
        <f>'Respuestas de formulario 1'!D11</f>
        <v>marielacarnevale533@hotmail.com</v>
      </c>
      <c r="F11" s="20">
        <f>'Respuestas de formulario 1'!E11</f>
        <v>29629</v>
      </c>
      <c r="G11" s="7">
        <f>'Respuestas de formulario 1'!F11</f>
        <v>23683982</v>
      </c>
      <c r="H11" s="7">
        <f>'Respuestas de formulario 1'!G11</f>
        <v>3513040216</v>
      </c>
      <c r="I11" s="7" t="str">
        <f>'Respuestas de formulario 1'!H11</f>
        <v>Google</v>
      </c>
      <c r="J11" s="7" t="str">
        <f>'Respuestas de formulario 1'!I11</f>
        <v>Particular</v>
      </c>
      <c r="K11" s="7" t="str">
        <f>'Respuestas de formulario 1'!J11</f>
        <v/>
      </c>
    </row>
    <row r="12">
      <c r="A12" s="7">
        <f t="shared" si="1"/>
        <v>12</v>
      </c>
      <c r="B12" s="19">
        <f>'Respuestas de formulario 1'!A12</f>
        <v>44882.45962</v>
      </c>
      <c r="C12" s="7" t="str">
        <f>'Respuestas de formulario 1'!B12</f>
        <v>Isa Minuet</v>
      </c>
      <c r="D12" s="7" t="str">
        <f>'Respuestas de formulario 1'!C12</f>
        <v>Elías</v>
      </c>
      <c r="E12" s="7" t="str">
        <f>'Respuestas de formulario 1'!D12</f>
        <v>eliasisaa@gmail.com</v>
      </c>
      <c r="F12" s="20">
        <f>'Respuestas de formulario 1'!E12</f>
        <v>36108</v>
      </c>
      <c r="G12" s="7">
        <f>'Respuestas de formulario 1'!F12</f>
        <v>41019335</v>
      </c>
      <c r="H12" s="7">
        <f>'Respuestas de formulario 1'!G12</f>
        <v>3517580512</v>
      </c>
      <c r="I12" s="7" t="str">
        <f>'Respuestas de formulario 1'!H12</f>
        <v>Voy al gym Manantial</v>
      </c>
      <c r="J12" s="7" t="str">
        <f>'Respuestas de formulario 1'!I12</f>
        <v>Obra social</v>
      </c>
      <c r="K12" s="7" t="str">
        <f>'Respuestas de formulario 1'!J12</f>
        <v>SANCOR</v>
      </c>
    </row>
    <row r="13">
      <c r="A13" s="7">
        <f t="shared" si="1"/>
        <v>13</v>
      </c>
      <c r="B13" s="19">
        <f>'Respuestas de formulario 1'!A13</f>
        <v>44888.4136</v>
      </c>
      <c r="C13" s="7" t="str">
        <f>'Respuestas de formulario 1'!B13</f>
        <v>Ghibaudo</v>
      </c>
      <c r="D13" s="7" t="str">
        <f>'Respuestas de formulario 1'!C13</f>
        <v>Pablo</v>
      </c>
      <c r="E13" s="7" t="str">
        <f>'Respuestas de formulario 1'!D13</f>
        <v>lic.pabloghibaudo@gmail.com</v>
      </c>
      <c r="F13" s="20">
        <f>'Respuestas de formulario 1'!E13</f>
        <v>29137</v>
      </c>
      <c r="G13" s="7">
        <f>'Respuestas de formulario 1'!F13</f>
        <v>27267620</v>
      </c>
      <c r="H13" s="7">
        <f>'Respuestas de formulario 1'!G13</f>
        <v>3515528353</v>
      </c>
      <c r="I13" s="7" t="str">
        <f>'Respuestas de formulario 1'!H13</f>
        <v>Google</v>
      </c>
      <c r="J13" s="7" t="str">
        <f>'Respuestas de formulario 1'!I13</f>
        <v>Obra social</v>
      </c>
      <c r="K13" s="7" t="str">
        <f>'Respuestas de formulario 1'!J13</f>
        <v>APROSS</v>
      </c>
    </row>
    <row r="14">
      <c r="A14" s="7">
        <f t="shared" si="1"/>
        <v>14</v>
      </c>
      <c r="B14" s="19">
        <f>'Respuestas de formulario 1'!A14</f>
        <v>44889.8214</v>
      </c>
      <c r="C14" s="7" t="str">
        <f>'Respuestas de formulario 1'!B14</f>
        <v>Asinari</v>
      </c>
      <c r="D14" s="7" t="str">
        <f>'Respuestas de formulario 1'!C14</f>
        <v>Emanuel</v>
      </c>
      <c r="E14" s="7" t="str">
        <f>'Respuestas de formulario 1'!D14</f>
        <v>lic.pabloghibaudo@gmail.com</v>
      </c>
      <c r="F14" s="20">
        <f>'Respuestas de formulario 1'!E14</f>
        <v>34338</v>
      </c>
      <c r="G14" s="7">
        <f>'Respuestas de formulario 1'!F14</f>
        <v>38001813</v>
      </c>
      <c r="H14" s="7">
        <f>'Respuestas de formulario 1'!G14</f>
        <v>3516098550</v>
      </c>
      <c r="I14" s="7" t="str">
        <f>'Respuestas de formulario 1'!H14</f>
        <v>Soy amigo de la feliz pareja</v>
      </c>
      <c r="J14" s="7" t="str">
        <f>'Respuestas de formulario 1'!I14</f>
        <v>Particular</v>
      </c>
      <c r="K14" s="7" t="str">
        <f>'Respuestas de formulario 1'!J14</f>
        <v/>
      </c>
    </row>
    <row r="15">
      <c r="A15" s="7">
        <f t="shared" si="1"/>
        <v>15</v>
      </c>
      <c r="B15" s="19">
        <f>'Respuestas de formulario 1'!A15</f>
        <v>44890.79853</v>
      </c>
      <c r="C15" s="7" t="str">
        <f>'Respuestas de formulario 1'!B15</f>
        <v>Rivara</v>
      </c>
      <c r="D15" s="7" t="str">
        <f>'Respuestas de formulario 1'!C15</f>
        <v>Mauro Alejandro</v>
      </c>
      <c r="E15" s="7" t="str">
        <f>'Respuestas de formulario 1'!D15</f>
        <v>rivaramauro@hotmail.com</v>
      </c>
      <c r="F15" s="20">
        <f>'Respuestas de formulario 1'!E15</f>
        <v>22514</v>
      </c>
      <c r="G15" s="7">
        <f>'Respuestas de formulario 1'!F15</f>
        <v>14747390</v>
      </c>
      <c r="H15" s="7">
        <f>'Respuestas de formulario 1'!G15</f>
        <v>3516536874</v>
      </c>
      <c r="I15" s="7" t="str">
        <f>'Respuestas de formulario 1'!H15</f>
        <v>Recomendación</v>
      </c>
      <c r="J15" s="7" t="str">
        <f>'Respuestas de formulario 1'!I15</f>
        <v>Obra social</v>
      </c>
      <c r="K15" s="7" t="str">
        <f>'Respuestas de formulario 1'!J15</f>
        <v>CPCE</v>
      </c>
    </row>
    <row r="16">
      <c r="A16" s="7">
        <f t="shared" si="1"/>
        <v>16</v>
      </c>
      <c r="B16" s="19">
        <f>'Respuestas de formulario 1'!A16</f>
        <v>44891.47483</v>
      </c>
      <c r="C16" s="7" t="str">
        <f>'Respuestas de formulario 1'!B16</f>
        <v>Andino</v>
      </c>
      <c r="D16" s="7" t="str">
        <f>'Respuestas de formulario 1'!C16</f>
        <v>Guillermo Regino</v>
      </c>
      <c r="E16" s="7" t="str">
        <f>'Respuestas de formulario 1'!D16</f>
        <v>puchiandino1@gmail.com</v>
      </c>
      <c r="F16" s="20">
        <f>'Respuestas de formulario 1'!E16</f>
        <v>37207</v>
      </c>
      <c r="G16" s="7">
        <f>'Respuestas de formulario 1'!F16</f>
        <v>43693789</v>
      </c>
      <c r="H16" s="7">
        <f>'Respuestas de formulario 1'!G16</f>
        <v>3517014316</v>
      </c>
      <c r="I16" s="7" t="str">
        <f>'Respuestas de formulario 1'!H16</f>
        <v>Recomendación</v>
      </c>
      <c r="J16" s="7" t="str">
        <f>'Respuestas de formulario 1'!I16</f>
        <v>Obra social</v>
      </c>
      <c r="K16" s="7" t="str">
        <f>'Respuestas de formulario 1'!J16</f>
        <v>DASPU</v>
      </c>
    </row>
    <row r="17">
      <c r="A17" s="7">
        <f t="shared" si="1"/>
        <v>17</v>
      </c>
      <c r="B17" s="19">
        <f>'Respuestas de formulario 1'!A17</f>
        <v>44893.47072</v>
      </c>
      <c r="C17" s="7" t="str">
        <f>'Respuestas de formulario 1'!B17</f>
        <v>MUÑOZ</v>
      </c>
      <c r="D17" s="7" t="str">
        <f>'Respuestas de formulario 1'!C17</f>
        <v>Emery omar</v>
      </c>
      <c r="E17" s="7" t="str">
        <f>'Respuestas de formulario 1'!D17</f>
        <v>escribaniamunoz@gmail.com</v>
      </c>
      <c r="F17" s="20">
        <f>'Respuestas de formulario 1'!E17</f>
        <v>28950</v>
      </c>
      <c r="G17" s="7">
        <f>'Respuestas de formulario 1'!F17</f>
        <v>27303587</v>
      </c>
      <c r="H17" s="7">
        <f>'Respuestas de formulario 1'!G17</f>
        <v>3513493623</v>
      </c>
      <c r="I17" s="7" t="str">
        <f>'Respuestas de formulario 1'!H17</f>
        <v>Voy al gym Manantial</v>
      </c>
      <c r="J17" s="7" t="str">
        <f>'Respuestas de formulario 1'!I17</f>
        <v>Obra social</v>
      </c>
      <c r="K17" s="7" t="str">
        <f>'Respuestas de formulario 1'!J17</f>
        <v>CAJA NOTARIAL</v>
      </c>
    </row>
    <row r="18">
      <c r="A18" s="7">
        <f t="shared" si="1"/>
        <v>18</v>
      </c>
      <c r="B18" s="19">
        <f>'Respuestas de formulario 1'!A18</f>
        <v>44893.5012</v>
      </c>
      <c r="C18" s="7" t="str">
        <f>'Respuestas de formulario 1'!B18</f>
        <v>Boasso</v>
      </c>
      <c r="D18" s="7" t="str">
        <f>'Respuestas de formulario 1'!C18</f>
        <v>Lucas</v>
      </c>
      <c r="E18" s="7" t="str">
        <f>'Respuestas de formulario 1'!D18</f>
        <v>sosamariapia@hotmail.com </v>
      </c>
      <c r="F18" s="20">
        <f>'Respuestas de formulario 1'!E18</f>
        <v>42410</v>
      </c>
      <c r="G18" s="7">
        <f>'Respuestas de formulario 1'!F18</f>
        <v>55011829</v>
      </c>
      <c r="H18" s="7">
        <f>'Respuestas de formulario 1'!G18</f>
        <v>3516280350</v>
      </c>
      <c r="I18" s="7" t="str">
        <f>'Respuestas de formulario 1'!H18</f>
        <v>Google</v>
      </c>
      <c r="J18" s="7" t="str">
        <f>'Respuestas de formulario 1'!I18</f>
        <v>Obra social</v>
      </c>
      <c r="K18" s="7" t="str">
        <f>'Respuestas de formulario 1'!J18</f>
        <v>APROSS</v>
      </c>
    </row>
    <row r="19">
      <c r="A19" s="7">
        <f t="shared" si="1"/>
        <v>19</v>
      </c>
      <c r="B19" s="19">
        <f>'Respuestas de formulario 1'!A330</f>
        <v>45208.45583</v>
      </c>
      <c r="C19" s="7" t="str">
        <f>'Respuestas de formulario 1'!B330</f>
        <v>FERNANDEZ</v>
      </c>
      <c r="D19" s="7" t="str">
        <f>'Respuestas de formulario 1'!C330</f>
        <v>GABRIEL</v>
      </c>
      <c r="E19" s="7" t="str">
        <f>'Respuestas de formulario 1'!D330</f>
        <v>atito_04@hotmai.com</v>
      </c>
      <c r="F19" s="22">
        <f>'Respuestas de formulario 1'!E330</f>
        <v>22802</v>
      </c>
      <c r="G19" s="7">
        <f>'Respuestas de formulario 1'!F330</f>
        <v>16015575</v>
      </c>
      <c r="H19" s="7">
        <f>'Respuestas de formulario 1'!G330</f>
        <v>3513176900</v>
      </c>
      <c r="I19" s="7" t="str">
        <f>'Respuestas de formulario 1'!H330</f>
        <v>Medico</v>
      </c>
      <c r="J19" s="7" t="str">
        <f>'Respuestas de formulario 1'!I330</f>
        <v>Obra social</v>
      </c>
      <c r="K19" s="7" t="str">
        <f>'Respuestas de formulario 1'!J330</f>
        <v>Apross</v>
      </c>
    </row>
    <row r="20">
      <c r="A20" s="7">
        <f t="shared" si="1"/>
        <v>20</v>
      </c>
      <c r="B20" s="7" t="str">
        <f>'Respuestas de formulario 1'!A1661</f>
        <v/>
      </c>
      <c r="C20" s="7" t="str">
        <f>'Respuestas de formulario 1'!B1661</f>
        <v/>
      </c>
      <c r="D20" s="7" t="str">
        <f>'Respuestas de formulario 1'!C1661</f>
        <v/>
      </c>
      <c r="E20" s="7" t="str">
        <f>'Respuestas de formulario 1'!D1661</f>
        <v/>
      </c>
      <c r="F20" s="7" t="str">
        <f>'Respuestas de formulario 1'!E1661</f>
        <v/>
      </c>
      <c r="G20" s="7" t="str">
        <f>'Respuestas de formulario 1'!F1661</f>
        <v/>
      </c>
      <c r="H20" s="7" t="str">
        <f>'Respuestas de formulario 1'!G1661</f>
        <v/>
      </c>
      <c r="I20" s="7" t="str">
        <f>'Respuestas de formulario 1'!H1661</f>
        <v/>
      </c>
      <c r="J20" s="7" t="str">
        <f>'Respuestas de formulario 1'!I1661</f>
        <v/>
      </c>
      <c r="K20" s="7" t="str">
        <f>'Respuestas de formulario 1'!J1661</f>
        <v/>
      </c>
    </row>
    <row r="21">
      <c r="A21" s="7">
        <f t="shared" si="1"/>
        <v>21</v>
      </c>
      <c r="B21" s="7" t="str">
        <f>'Respuestas de formulario 1'!A1662</f>
        <v/>
      </c>
      <c r="C21" s="7" t="str">
        <f>'Respuestas de formulario 1'!B1662</f>
        <v/>
      </c>
      <c r="D21" s="7" t="str">
        <f>'Respuestas de formulario 1'!C1662</f>
        <v/>
      </c>
      <c r="E21" s="7" t="str">
        <f>'Respuestas de formulario 1'!D1662</f>
        <v/>
      </c>
      <c r="F21" s="7" t="str">
        <f>'Respuestas de formulario 1'!E1662</f>
        <v/>
      </c>
      <c r="G21" s="7" t="str">
        <f>'Respuestas de formulario 1'!F1662</f>
        <v/>
      </c>
      <c r="H21" s="7" t="str">
        <f>'Respuestas de formulario 1'!G1662</f>
        <v/>
      </c>
      <c r="I21" s="7" t="str">
        <f>'Respuestas de formulario 1'!H1662</f>
        <v/>
      </c>
      <c r="J21" s="7" t="str">
        <f>'Respuestas de formulario 1'!I1662</f>
        <v/>
      </c>
      <c r="K21" s="7" t="str">
        <f>'Respuestas de formulario 1'!J1662</f>
        <v/>
      </c>
    </row>
    <row r="22">
      <c r="A22" s="7">
        <f t="shared" si="1"/>
        <v>22</v>
      </c>
      <c r="B22" s="7" t="str">
        <f>'Respuestas de formulario 1'!A1663</f>
        <v/>
      </c>
      <c r="C22" s="7" t="str">
        <f>'Respuestas de formulario 1'!B1663</f>
        <v/>
      </c>
      <c r="D22" s="7" t="str">
        <f>'Respuestas de formulario 1'!C1663</f>
        <v/>
      </c>
      <c r="E22" s="7" t="str">
        <f>'Respuestas de formulario 1'!D1663</f>
        <v/>
      </c>
      <c r="F22" s="7" t="str">
        <f>'Respuestas de formulario 1'!E1663</f>
        <v/>
      </c>
      <c r="G22" s="7" t="str">
        <f>'Respuestas de formulario 1'!F1663</f>
        <v/>
      </c>
      <c r="H22" s="7" t="str">
        <f>'Respuestas de formulario 1'!G1663</f>
        <v/>
      </c>
      <c r="I22" s="7" t="str">
        <f>'Respuestas de formulario 1'!H1663</f>
        <v/>
      </c>
      <c r="J22" s="7" t="str">
        <f>'Respuestas de formulario 1'!I1663</f>
        <v/>
      </c>
      <c r="K22" s="7" t="str">
        <f>'Respuestas de formulario 1'!J1663</f>
        <v/>
      </c>
    </row>
    <row r="23">
      <c r="A23" s="7">
        <f t="shared" si="1"/>
        <v>23</v>
      </c>
      <c r="B23" s="7" t="str">
        <f>'Respuestas de formulario 1'!A1664</f>
        <v/>
      </c>
      <c r="C23" s="7" t="str">
        <f>'Respuestas de formulario 1'!B1664</f>
        <v/>
      </c>
      <c r="D23" s="7" t="str">
        <f>'Respuestas de formulario 1'!C1664</f>
        <v/>
      </c>
      <c r="E23" s="7" t="str">
        <f>'Respuestas de formulario 1'!D1664</f>
        <v/>
      </c>
      <c r="F23" s="7" t="str">
        <f>'Respuestas de formulario 1'!E1664</f>
        <v/>
      </c>
      <c r="G23" s="7" t="str">
        <f>'Respuestas de formulario 1'!F1664</f>
        <v/>
      </c>
      <c r="H23" s="7" t="str">
        <f>'Respuestas de formulario 1'!G1664</f>
        <v/>
      </c>
      <c r="I23" s="7" t="str">
        <f>'Respuestas de formulario 1'!H1664</f>
        <v/>
      </c>
      <c r="J23" s="7" t="str">
        <f>'Respuestas de formulario 1'!I1664</f>
        <v/>
      </c>
      <c r="K23" s="7" t="str">
        <f>'Respuestas de formulario 1'!J1664</f>
        <v/>
      </c>
    </row>
    <row r="24">
      <c r="A24" s="7">
        <f t="shared" si="1"/>
        <v>24</v>
      </c>
      <c r="B24" s="7" t="str">
        <f>'Respuestas de formulario 1'!A1665</f>
        <v/>
      </c>
      <c r="C24" s="7" t="str">
        <f>'Respuestas de formulario 1'!B1665</f>
        <v/>
      </c>
      <c r="D24" s="7" t="str">
        <f>'Respuestas de formulario 1'!C1665</f>
        <v/>
      </c>
      <c r="E24" s="7" t="str">
        <f>'Respuestas de formulario 1'!D1665</f>
        <v/>
      </c>
      <c r="F24" s="7" t="str">
        <f>'Respuestas de formulario 1'!E1665</f>
        <v/>
      </c>
      <c r="G24" s="7" t="str">
        <f>'Respuestas de formulario 1'!F1665</f>
        <v/>
      </c>
      <c r="H24" s="7" t="str">
        <f>'Respuestas de formulario 1'!G1665</f>
        <v/>
      </c>
      <c r="I24" s="7" t="str">
        <f>'Respuestas de formulario 1'!H1665</f>
        <v/>
      </c>
      <c r="J24" s="7" t="str">
        <f>'Respuestas de formulario 1'!I1665</f>
        <v/>
      </c>
      <c r="K24" s="7" t="str">
        <f>'Respuestas de formulario 1'!J1665</f>
        <v/>
      </c>
    </row>
    <row r="25">
      <c r="A25" s="7">
        <f t="shared" si="1"/>
        <v>25</v>
      </c>
      <c r="B25" s="7" t="str">
        <f>'Respuestas de formulario 1'!A1666</f>
        <v/>
      </c>
      <c r="C25" s="7" t="str">
        <f>'Respuestas de formulario 1'!B1666</f>
        <v/>
      </c>
      <c r="D25" s="7" t="str">
        <f>'Respuestas de formulario 1'!C1666</f>
        <v/>
      </c>
      <c r="E25" s="7" t="str">
        <f>'Respuestas de formulario 1'!D1666</f>
        <v/>
      </c>
      <c r="F25" s="7" t="str">
        <f>'Respuestas de formulario 1'!E1666</f>
        <v/>
      </c>
      <c r="G25" s="7" t="str">
        <f>'Respuestas de formulario 1'!F1666</f>
        <v/>
      </c>
      <c r="H25" s="7" t="str">
        <f>'Respuestas de formulario 1'!G1666</f>
        <v/>
      </c>
      <c r="I25" s="7" t="str">
        <f>'Respuestas de formulario 1'!H1666</f>
        <v/>
      </c>
      <c r="J25" s="7" t="str">
        <f>'Respuestas de formulario 1'!I1666</f>
        <v/>
      </c>
      <c r="K25" s="7" t="str">
        <f>'Respuestas de formulario 1'!J1666</f>
        <v/>
      </c>
    </row>
    <row r="26">
      <c r="A26" s="7">
        <f t="shared" si="1"/>
        <v>26</v>
      </c>
      <c r="B26" s="7" t="str">
        <f>'Respuestas de formulario 1'!A1667</f>
        <v/>
      </c>
      <c r="C26" s="7" t="str">
        <f>'Respuestas de formulario 1'!B1667</f>
        <v/>
      </c>
      <c r="D26" s="7" t="str">
        <f>'Respuestas de formulario 1'!C1667</f>
        <v/>
      </c>
      <c r="E26" s="7" t="str">
        <f>'Respuestas de formulario 1'!D1667</f>
        <v/>
      </c>
      <c r="F26" s="7" t="str">
        <f>'Respuestas de formulario 1'!E1667</f>
        <v/>
      </c>
      <c r="G26" s="7" t="str">
        <f>'Respuestas de formulario 1'!F1667</f>
        <v/>
      </c>
      <c r="H26" s="7" t="str">
        <f>'Respuestas de formulario 1'!G1667</f>
        <v/>
      </c>
      <c r="I26" s="7" t="str">
        <f>'Respuestas de formulario 1'!H1667</f>
        <v/>
      </c>
      <c r="J26" s="7" t="str">
        <f>'Respuestas de formulario 1'!I1667</f>
        <v/>
      </c>
      <c r="K26" s="7" t="str">
        <f>'Respuestas de formulario 1'!J1667</f>
        <v/>
      </c>
    </row>
    <row r="27">
      <c r="A27" s="7">
        <f t="shared" si="1"/>
        <v>27</v>
      </c>
      <c r="B27" s="7" t="str">
        <f>'Respuestas de formulario 1'!A1668</f>
        <v/>
      </c>
      <c r="C27" s="7" t="str">
        <f>'Respuestas de formulario 1'!B1668</f>
        <v/>
      </c>
      <c r="D27" s="7" t="str">
        <f>'Respuestas de formulario 1'!C1668</f>
        <v/>
      </c>
      <c r="E27" s="7" t="str">
        <f>'Respuestas de formulario 1'!D1668</f>
        <v/>
      </c>
      <c r="F27" s="7" t="str">
        <f>'Respuestas de formulario 1'!E1668</f>
        <v/>
      </c>
      <c r="G27" s="7" t="str">
        <f>'Respuestas de formulario 1'!F1668</f>
        <v/>
      </c>
      <c r="H27" s="7" t="str">
        <f>'Respuestas de formulario 1'!G1668</f>
        <v/>
      </c>
      <c r="I27" s="7" t="str">
        <f>'Respuestas de formulario 1'!H1668</f>
        <v/>
      </c>
      <c r="J27" s="7" t="str">
        <f>'Respuestas de formulario 1'!I1668</f>
        <v/>
      </c>
      <c r="K27" s="7" t="str">
        <f>'Respuestas de formulario 1'!J1668</f>
        <v/>
      </c>
    </row>
    <row r="28">
      <c r="A28" s="7">
        <f t="shared" si="1"/>
        <v>28</v>
      </c>
      <c r="B28" s="7" t="str">
        <f>'Respuestas de formulario 1'!A1669</f>
        <v/>
      </c>
      <c r="C28" s="7" t="str">
        <f>'Respuestas de formulario 1'!B1669</f>
        <v/>
      </c>
      <c r="D28" s="7" t="str">
        <f>'Respuestas de formulario 1'!C1669</f>
        <v/>
      </c>
      <c r="E28" s="7" t="str">
        <f>'Respuestas de formulario 1'!D1669</f>
        <v/>
      </c>
      <c r="F28" s="7" t="str">
        <f>'Respuestas de formulario 1'!E1669</f>
        <v/>
      </c>
      <c r="G28" s="7" t="str">
        <f>'Respuestas de formulario 1'!F1669</f>
        <v/>
      </c>
      <c r="H28" s="7" t="str">
        <f>'Respuestas de formulario 1'!G1669</f>
        <v/>
      </c>
      <c r="I28" s="7" t="str">
        <f>'Respuestas de formulario 1'!H1669</f>
        <v/>
      </c>
      <c r="J28" s="7" t="str">
        <f>'Respuestas de formulario 1'!I1669</f>
        <v/>
      </c>
      <c r="K28" s="7" t="str">
        <f>'Respuestas de formulario 1'!J1669</f>
        <v/>
      </c>
    </row>
    <row r="29">
      <c r="A29" s="7">
        <f t="shared" si="1"/>
        <v>29</v>
      </c>
      <c r="B29" s="7" t="str">
        <f>'Respuestas de formulario 1'!A1670</f>
        <v/>
      </c>
      <c r="C29" s="7" t="str">
        <f>'Respuestas de formulario 1'!B1670</f>
        <v/>
      </c>
      <c r="D29" s="7" t="str">
        <f>'Respuestas de formulario 1'!C1670</f>
        <v/>
      </c>
      <c r="E29" s="7" t="str">
        <f>'Respuestas de formulario 1'!D1670</f>
        <v/>
      </c>
      <c r="F29" s="7" t="str">
        <f>'Respuestas de formulario 1'!E1670</f>
        <v/>
      </c>
      <c r="G29" s="7" t="str">
        <f>'Respuestas de formulario 1'!F1670</f>
        <v/>
      </c>
      <c r="H29" s="7" t="str">
        <f>'Respuestas de formulario 1'!G1670</f>
        <v/>
      </c>
      <c r="I29" s="7" t="str">
        <f>'Respuestas de formulario 1'!H1670</f>
        <v/>
      </c>
      <c r="J29" s="7" t="str">
        <f>'Respuestas de formulario 1'!I1670</f>
        <v/>
      </c>
      <c r="K29" s="7" t="str">
        <f>'Respuestas de formulario 1'!J1670</f>
        <v/>
      </c>
    </row>
    <row r="30">
      <c r="A30" s="7">
        <f t="shared" si="1"/>
        <v>30</v>
      </c>
      <c r="B30" s="7" t="str">
        <f>'Respuestas de formulario 1'!A1671</f>
        <v/>
      </c>
      <c r="C30" s="7" t="str">
        <f>'Respuestas de formulario 1'!B1671</f>
        <v/>
      </c>
      <c r="D30" s="7" t="str">
        <f>'Respuestas de formulario 1'!C1671</f>
        <v/>
      </c>
      <c r="E30" s="7" t="str">
        <f>'Respuestas de formulario 1'!D1671</f>
        <v/>
      </c>
      <c r="F30" s="7" t="str">
        <f>'Respuestas de formulario 1'!E1671</f>
        <v/>
      </c>
      <c r="G30" s="7" t="str">
        <f>'Respuestas de formulario 1'!F1671</f>
        <v/>
      </c>
      <c r="H30" s="7" t="str">
        <f>'Respuestas de formulario 1'!G1671</f>
        <v/>
      </c>
      <c r="I30" s="7" t="str">
        <f>'Respuestas de formulario 1'!H1671</f>
        <v/>
      </c>
      <c r="J30" s="7" t="str">
        <f>'Respuestas de formulario 1'!I1671</f>
        <v/>
      </c>
      <c r="K30" s="7" t="str">
        <f>'Respuestas de formulario 1'!J1671</f>
        <v/>
      </c>
    </row>
    <row r="31">
      <c r="A31" s="7">
        <f t="shared" si="1"/>
        <v>31</v>
      </c>
      <c r="B31" s="7" t="str">
        <f>'Respuestas de formulario 1'!A1672</f>
        <v/>
      </c>
      <c r="C31" s="7" t="str">
        <f>'Respuestas de formulario 1'!B1672</f>
        <v/>
      </c>
      <c r="D31" s="7" t="str">
        <f>'Respuestas de formulario 1'!C1672</f>
        <v/>
      </c>
      <c r="E31" s="7" t="str">
        <f>'Respuestas de formulario 1'!D1672</f>
        <v/>
      </c>
      <c r="F31" s="7" t="str">
        <f>'Respuestas de formulario 1'!E1672</f>
        <v/>
      </c>
      <c r="G31" s="7" t="str">
        <f>'Respuestas de formulario 1'!F1672</f>
        <v/>
      </c>
      <c r="H31" s="7" t="str">
        <f>'Respuestas de formulario 1'!G1672</f>
        <v/>
      </c>
      <c r="I31" s="7" t="str">
        <f>'Respuestas de formulario 1'!H1672</f>
        <v/>
      </c>
      <c r="J31" s="7" t="str">
        <f>'Respuestas de formulario 1'!I1672</f>
        <v/>
      </c>
      <c r="K31" s="7" t="str">
        <f>'Respuestas de formulario 1'!J1672</f>
        <v/>
      </c>
    </row>
    <row r="32">
      <c r="A32" s="7">
        <f t="shared" si="1"/>
        <v>32</v>
      </c>
      <c r="B32" s="7" t="str">
        <f>'Respuestas de formulario 1'!A1673</f>
        <v/>
      </c>
      <c r="C32" s="7" t="str">
        <f>'Respuestas de formulario 1'!B1673</f>
        <v/>
      </c>
      <c r="D32" s="7" t="str">
        <f>'Respuestas de formulario 1'!C1673</f>
        <v/>
      </c>
      <c r="E32" s="7" t="str">
        <f>'Respuestas de formulario 1'!D1673</f>
        <v/>
      </c>
      <c r="F32" s="7" t="str">
        <f>'Respuestas de formulario 1'!E1673</f>
        <v/>
      </c>
      <c r="G32" s="7" t="str">
        <f>'Respuestas de formulario 1'!F1673</f>
        <v/>
      </c>
      <c r="H32" s="7" t="str">
        <f>'Respuestas de formulario 1'!G1673</f>
        <v/>
      </c>
      <c r="I32" s="7" t="str">
        <f>'Respuestas de formulario 1'!H1673</f>
        <v/>
      </c>
      <c r="J32" s="7" t="str">
        <f>'Respuestas de formulario 1'!I1673</f>
        <v/>
      </c>
      <c r="K32" s="7" t="str">
        <f>'Respuestas de formulario 1'!J1673</f>
        <v/>
      </c>
    </row>
    <row r="33">
      <c r="A33" s="7">
        <f t="shared" si="1"/>
        <v>33</v>
      </c>
      <c r="B33" s="7" t="str">
        <f>'Respuestas de formulario 1'!A1674</f>
        <v/>
      </c>
      <c r="C33" s="7" t="str">
        <f>'Respuestas de formulario 1'!B1674</f>
        <v/>
      </c>
      <c r="D33" s="7" t="str">
        <f>'Respuestas de formulario 1'!C1674</f>
        <v/>
      </c>
      <c r="E33" s="7" t="str">
        <f>'Respuestas de formulario 1'!D1674</f>
        <v/>
      </c>
      <c r="F33" s="7" t="str">
        <f>'Respuestas de formulario 1'!E1674</f>
        <v/>
      </c>
      <c r="G33" s="7" t="str">
        <f>'Respuestas de formulario 1'!F1674</f>
        <v/>
      </c>
      <c r="H33" s="7" t="str">
        <f>'Respuestas de formulario 1'!G1674</f>
        <v/>
      </c>
      <c r="I33" s="7" t="str">
        <f>'Respuestas de formulario 1'!H1674</f>
        <v/>
      </c>
      <c r="J33" s="7" t="str">
        <f>'Respuestas de formulario 1'!I1674</f>
        <v/>
      </c>
      <c r="K33" s="7" t="str">
        <f>'Respuestas de formulario 1'!J1674</f>
        <v/>
      </c>
    </row>
    <row r="34">
      <c r="A34" s="7">
        <f t="shared" si="1"/>
        <v>34</v>
      </c>
      <c r="B34" s="7" t="str">
        <f>'Respuestas de formulario 1'!A1675</f>
        <v/>
      </c>
      <c r="C34" s="7" t="str">
        <f>'Respuestas de formulario 1'!B1675</f>
        <v/>
      </c>
      <c r="D34" s="7" t="str">
        <f>'Respuestas de formulario 1'!C1675</f>
        <v/>
      </c>
      <c r="E34" s="7" t="str">
        <f>'Respuestas de formulario 1'!D1675</f>
        <v/>
      </c>
      <c r="F34" s="7" t="str">
        <f>'Respuestas de formulario 1'!E1675</f>
        <v/>
      </c>
      <c r="G34" s="7" t="str">
        <f>'Respuestas de formulario 1'!F1675</f>
        <v/>
      </c>
      <c r="H34" s="7" t="str">
        <f>'Respuestas de formulario 1'!G1675</f>
        <v/>
      </c>
      <c r="I34" s="7" t="str">
        <f>'Respuestas de formulario 1'!H1675</f>
        <v/>
      </c>
      <c r="J34" s="7" t="str">
        <f>'Respuestas de formulario 1'!I1675</f>
        <v/>
      </c>
      <c r="K34" s="7" t="str">
        <f>'Respuestas de formulario 1'!J1675</f>
        <v/>
      </c>
    </row>
    <row r="35">
      <c r="A35" s="7">
        <f t="shared" si="1"/>
        <v>35</v>
      </c>
      <c r="B35" s="7" t="str">
        <f>'Respuestas de formulario 1'!A1676</f>
        <v/>
      </c>
      <c r="C35" s="7" t="str">
        <f>'Respuestas de formulario 1'!B1676</f>
        <v/>
      </c>
      <c r="D35" s="7" t="str">
        <f>'Respuestas de formulario 1'!C1676</f>
        <v/>
      </c>
      <c r="E35" s="7" t="str">
        <f>'Respuestas de formulario 1'!D1676</f>
        <v/>
      </c>
      <c r="F35" s="7" t="str">
        <f>'Respuestas de formulario 1'!E1676</f>
        <v/>
      </c>
      <c r="G35" s="7" t="str">
        <f>'Respuestas de formulario 1'!F1676</f>
        <v/>
      </c>
      <c r="H35" s="7" t="str">
        <f>'Respuestas de formulario 1'!G1676</f>
        <v/>
      </c>
      <c r="I35" s="7" t="str">
        <f>'Respuestas de formulario 1'!H1676</f>
        <v/>
      </c>
      <c r="J35" s="7" t="str">
        <f>'Respuestas de formulario 1'!I1676</f>
        <v/>
      </c>
      <c r="K35" s="7" t="str">
        <f>'Respuestas de formulario 1'!J1676</f>
        <v/>
      </c>
    </row>
    <row r="36">
      <c r="A36" s="7">
        <f t="shared" si="1"/>
        <v>36</v>
      </c>
      <c r="B36" s="7" t="str">
        <f>'Respuestas de formulario 1'!A1677</f>
        <v/>
      </c>
      <c r="C36" s="7" t="str">
        <f>'Respuestas de formulario 1'!B1677</f>
        <v/>
      </c>
      <c r="D36" s="7" t="str">
        <f>'Respuestas de formulario 1'!C1677</f>
        <v/>
      </c>
      <c r="E36" s="7" t="str">
        <f>'Respuestas de formulario 1'!D1677</f>
        <v/>
      </c>
      <c r="F36" s="7" t="str">
        <f>'Respuestas de formulario 1'!E1677</f>
        <v/>
      </c>
      <c r="G36" s="7" t="str">
        <f>'Respuestas de formulario 1'!F1677</f>
        <v/>
      </c>
      <c r="H36" s="7" t="str">
        <f>'Respuestas de formulario 1'!G1677</f>
        <v/>
      </c>
      <c r="I36" s="7" t="str">
        <f>'Respuestas de formulario 1'!H1677</f>
        <v/>
      </c>
      <c r="J36" s="7" t="str">
        <f>'Respuestas de formulario 1'!I1677</f>
        <v/>
      </c>
      <c r="K36" s="7" t="str">
        <f>'Respuestas de formulario 1'!J1677</f>
        <v/>
      </c>
    </row>
    <row r="37">
      <c r="A37" s="7">
        <f t="shared" si="1"/>
        <v>37</v>
      </c>
      <c r="B37" s="7" t="str">
        <f>'Respuestas de formulario 1'!A1678</f>
        <v/>
      </c>
      <c r="C37" s="7" t="str">
        <f>'Respuestas de formulario 1'!B1678</f>
        <v/>
      </c>
      <c r="D37" s="7" t="str">
        <f>'Respuestas de formulario 1'!C1678</f>
        <v/>
      </c>
      <c r="E37" s="7" t="str">
        <f>'Respuestas de formulario 1'!D1678</f>
        <v/>
      </c>
      <c r="F37" s="7" t="str">
        <f>'Respuestas de formulario 1'!E1678</f>
        <v/>
      </c>
      <c r="G37" s="7" t="str">
        <f>'Respuestas de formulario 1'!F1678</f>
        <v/>
      </c>
      <c r="H37" s="7" t="str">
        <f>'Respuestas de formulario 1'!G1678</f>
        <v/>
      </c>
      <c r="I37" s="7" t="str">
        <f>'Respuestas de formulario 1'!H1678</f>
        <v/>
      </c>
      <c r="J37" s="7" t="str">
        <f>'Respuestas de formulario 1'!I1678</f>
        <v/>
      </c>
      <c r="K37" s="7" t="str">
        <f>'Respuestas de formulario 1'!J1678</f>
        <v/>
      </c>
    </row>
    <row r="38">
      <c r="A38" s="7">
        <f t="shared" si="1"/>
        <v>38</v>
      </c>
      <c r="B38" s="7" t="str">
        <f>'Respuestas de formulario 1'!A1679</f>
        <v/>
      </c>
      <c r="C38" s="7" t="str">
        <f>'Respuestas de formulario 1'!B1679</f>
        <v/>
      </c>
      <c r="D38" s="7" t="str">
        <f>'Respuestas de formulario 1'!C1679</f>
        <v/>
      </c>
      <c r="E38" s="7" t="str">
        <f>'Respuestas de formulario 1'!D1679</f>
        <v/>
      </c>
      <c r="F38" s="7" t="str">
        <f>'Respuestas de formulario 1'!E1679</f>
        <v/>
      </c>
      <c r="G38" s="7" t="str">
        <f>'Respuestas de formulario 1'!F1679</f>
        <v/>
      </c>
      <c r="H38" s="7" t="str">
        <f>'Respuestas de formulario 1'!G1679</f>
        <v/>
      </c>
      <c r="I38" s="7" t="str">
        <f>'Respuestas de formulario 1'!H1679</f>
        <v/>
      </c>
      <c r="J38" s="7" t="str">
        <f>'Respuestas de formulario 1'!I1679</f>
        <v/>
      </c>
      <c r="K38" s="7" t="str">
        <f>'Respuestas de formulario 1'!J1679</f>
        <v/>
      </c>
    </row>
    <row r="39">
      <c r="A39" s="7">
        <f t="shared" si="1"/>
        <v>39</v>
      </c>
      <c r="B39" s="7" t="str">
        <f>'Respuestas de formulario 1'!A1680</f>
        <v/>
      </c>
      <c r="C39" s="7" t="str">
        <f>'Respuestas de formulario 1'!B1680</f>
        <v/>
      </c>
      <c r="D39" s="7" t="str">
        <f>'Respuestas de formulario 1'!C1680</f>
        <v/>
      </c>
      <c r="E39" s="7" t="str">
        <f>'Respuestas de formulario 1'!D1680</f>
        <v/>
      </c>
      <c r="F39" s="7" t="str">
        <f>'Respuestas de formulario 1'!E1680</f>
        <v/>
      </c>
      <c r="G39" s="7" t="str">
        <f>'Respuestas de formulario 1'!F1680</f>
        <v/>
      </c>
      <c r="H39" s="7" t="str">
        <f>'Respuestas de formulario 1'!G1680</f>
        <v/>
      </c>
      <c r="I39" s="7" t="str">
        <f>'Respuestas de formulario 1'!H1680</f>
        <v/>
      </c>
      <c r="J39" s="7" t="str">
        <f>'Respuestas de formulario 1'!I1680</f>
        <v/>
      </c>
      <c r="K39" s="7" t="str">
        <f>'Respuestas de formulario 1'!J1680</f>
        <v/>
      </c>
    </row>
    <row r="40">
      <c r="A40" s="7">
        <f t="shared" si="1"/>
        <v>40</v>
      </c>
      <c r="B40" s="7" t="str">
        <f>'Respuestas de formulario 1'!A1681</f>
        <v/>
      </c>
      <c r="C40" s="7" t="str">
        <f>'Respuestas de formulario 1'!B1681</f>
        <v/>
      </c>
      <c r="D40" s="7" t="str">
        <f>'Respuestas de formulario 1'!C1681</f>
        <v/>
      </c>
      <c r="E40" s="7" t="str">
        <f>'Respuestas de formulario 1'!D1681</f>
        <v/>
      </c>
      <c r="F40" s="7" t="str">
        <f>'Respuestas de formulario 1'!E1681</f>
        <v/>
      </c>
      <c r="G40" s="7" t="str">
        <f>'Respuestas de formulario 1'!F1681</f>
        <v/>
      </c>
      <c r="H40" s="7" t="str">
        <f>'Respuestas de formulario 1'!G1681</f>
        <v/>
      </c>
      <c r="I40" s="7" t="str">
        <f>'Respuestas de formulario 1'!H1681</f>
        <v/>
      </c>
      <c r="J40" s="7" t="str">
        <f>'Respuestas de formulario 1'!I1681</f>
        <v/>
      </c>
      <c r="K40" s="7" t="str">
        <f>'Respuestas de formulario 1'!J1681</f>
        <v/>
      </c>
    </row>
    <row r="41">
      <c r="A41" s="7">
        <f t="shared" si="1"/>
        <v>41</v>
      </c>
      <c r="B41" s="7" t="str">
        <f>'Respuestas de formulario 1'!A1682</f>
        <v/>
      </c>
      <c r="C41" s="7" t="str">
        <f>'Respuestas de formulario 1'!B1682</f>
        <v/>
      </c>
      <c r="D41" s="7" t="str">
        <f>'Respuestas de formulario 1'!C1682</f>
        <v/>
      </c>
      <c r="E41" s="7" t="str">
        <f>'Respuestas de formulario 1'!D1682</f>
        <v/>
      </c>
      <c r="F41" s="7" t="str">
        <f>'Respuestas de formulario 1'!E1682</f>
        <v/>
      </c>
      <c r="G41" s="7" t="str">
        <f>'Respuestas de formulario 1'!F1682</f>
        <v/>
      </c>
      <c r="H41" s="7" t="str">
        <f>'Respuestas de formulario 1'!G1682</f>
        <v/>
      </c>
      <c r="I41" s="7" t="str">
        <f>'Respuestas de formulario 1'!H1682</f>
        <v/>
      </c>
      <c r="J41" s="7" t="str">
        <f>'Respuestas de formulario 1'!I1682</f>
        <v/>
      </c>
      <c r="K41" s="7" t="str">
        <f>'Respuestas de formulario 1'!J1682</f>
        <v/>
      </c>
    </row>
    <row r="42">
      <c r="A42" s="7">
        <f t="shared" si="1"/>
        <v>42</v>
      </c>
      <c r="B42" s="7" t="str">
        <f>'Respuestas de formulario 1'!A1683</f>
        <v/>
      </c>
      <c r="C42" s="7" t="str">
        <f>'Respuestas de formulario 1'!B1683</f>
        <v/>
      </c>
      <c r="D42" s="7" t="str">
        <f>'Respuestas de formulario 1'!C1683</f>
        <v/>
      </c>
      <c r="E42" s="7" t="str">
        <f>'Respuestas de formulario 1'!D1683</f>
        <v/>
      </c>
      <c r="F42" s="7" t="str">
        <f>'Respuestas de formulario 1'!E1683</f>
        <v/>
      </c>
      <c r="G42" s="7" t="str">
        <f>'Respuestas de formulario 1'!F1683</f>
        <v/>
      </c>
      <c r="H42" s="7" t="str">
        <f>'Respuestas de formulario 1'!G1683</f>
        <v/>
      </c>
      <c r="I42" s="7" t="str">
        <f>'Respuestas de formulario 1'!H1683</f>
        <v/>
      </c>
      <c r="J42" s="7" t="str">
        <f>'Respuestas de formulario 1'!I1683</f>
        <v/>
      </c>
      <c r="K42" s="7" t="str">
        <f>'Respuestas de formulario 1'!J1683</f>
        <v/>
      </c>
    </row>
    <row r="43">
      <c r="A43" s="7">
        <f t="shared" si="1"/>
        <v>43</v>
      </c>
      <c r="B43" s="7" t="str">
        <f>'Respuestas de formulario 1'!A1684</f>
        <v/>
      </c>
      <c r="C43" s="7" t="str">
        <f>'Respuestas de formulario 1'!B1684</f>
        <v/>
      </c>
      <c r="D43" s="7" t="str">
        <f>'Respuestas de formulario 1'!C1684</f>
        <v/>
      </c>
      <c r="E43" s="7" t="str">
        <f>'Respuestas de formulario 1'!D1684</f>
        <v/>
      </c>
      <c r="F43" s="7" t="str">
        <f>'Respuestas de formulario 1'!E1684</f>
        <v/>
      </c>
      <c r="G43" s="7" t="str">
        <f>'Respuestas de formulario 1'!F1684</f>
        <v/>
      </c>
      <c r="H43" s="7" t="str">
        <f>'Respuestas de formulario 1'!G1684</f>
        <v/>
      </c>
      <c r="I43" s="7" t="str">
        <f>'Respuestas de formulario 1'!H1684</f>
        <v/>
      </c>
      <c r="J43" s="7" t="str">
        <f>'Respuestas de formulario 1'!I1684</f>
        <v/>
      </c>
      <c r="K43" s="7" t="str">
        <f>'Respuestas de formulario 1'!J1684</f>
        <v/>
      </c>
    </row>
    <row r="44">
      <c r="A44" s="7">
        <f t="shared" si="1"/>
        <v>44</v>
      </c>
      <c r="B44" s="7" t="str">
        <f>'Respuestas de formulario 1'!A1685</f>
        <v/>
      </c>
      <c r="C44" s="7" t="str">
        <f>'Respuestas de formulario 1'!B1685</f>
        <v/>
      </c>
      <c r="D44" s="7" t="str">
        <f>'Respuestas de formulario 1'!C1685</f>
        <v/>
      </c>
      <c r="E44" s="7" t="str">
        <f>'Respuestas de formulario 1'!D1685</f>
        <v/>
      </c>
      <c r="F44" s="7" t="str">
        <f>'Respuestas de formulario 1'!E1685</f>
        <v/>
      </c>
      <c r="G44" s="7" t="str">
        <f>'Respuestas de formulario 1'!F1685</f>
        <v/>
      </c>
      <c r="H44" s="7" t="str">
        <f>'Respuestas de formulario 1'!G1685</f>
        <v/>
      </c>
      <c r="I44" s="7" t="str">
        <f>'Respuestas de formulario 1'!H1685</f>
        <v/>
      </c>
      <c r="J44" s="7" t="str">
        <f>'Respuestas de formulario 1'!I1685</f>
        <v/>
      </c>
      <c r="K44" s="7" t="str">
        <f>'Respuestas de formulario 1'!J1685</f>
        <v/>
      </c>
    </row>
    <row r="45">
      <c r="A45" s="7">
        <f t="shared" si="1"/>
        <v>45</v>
      </c>
      <c r="B45" s="7" t="str">
        <f>'Respuestas de formulario 1'!A1686</f>
        <v/>
      </c>
      <c r="C45" s="7" t="str">
        <f>'Respuestas de formulario 1'!B1686</f>
        <v/>
      </c>
      <c r="D45" s="7" t="str">
        <f>'Respuestas de formulario 1'!C1686</f>
        <v/>
      </c>
      <c r="E45" s="7" t="str">
        <f>'Respuestas de formulario 1'!D1686</f>
        <v/>
      </c>
      <c r="F45" s="7" t="str">
        <f>'Respuestas de formulario 1'!E1686</f>
        <v/>
      </c>
      <c r="G45" s="7" t="str">
        <f>'Respuestas de formulario 1'!F1686</f>
        <v/>
      </c>
      <c r="H45" s="7" t="str">
        <f>'Respuestas de formulario 1'!G1686</f>
        <v/>
      </c>
      <c r="I45" s="7" t="str">
        <f>'Respuestas de formulario 1'!H1686</f>
        <v/>
      </c>
      <c r="J45" s="7" t="str">
        <f>'Respuestas de formulario 1'!I1686</f>
        <v/>
      </c>
      <c r="K45" s="7" t="str">
        <f>'Respuestas de formulario 1'!J1686</f>
        <v/>
      </c>
    </row>
    <row r="46">
      <c r="A46" s="7">
        <f t="shared" si="1"/>
        <v>46</v>
      </c>
      <c r="B46" s="7" t="str">
        <f>'Respuestas de formulario 1'!A1687</f>
        <v/>
      </c>
      <c r="C46" s="7" t="str">
        <f>'Respuestas de formulario 1'!B1687</f>
        <v/>
      </c>
      <c r="D46" s="7" t="str">
        <f>'Respuestas de formulario 1'!C1687</f>
        <v/>
      </c>
      <c r="E46" s="7" t="str">
        <f>'Respuestas de formulario 1'!D1687</f>
        <v/>
      </c>
      <c r="F46" s="7" t="str">
        <f>'Respuestas de formulario 1'!E1687</f>
        <v/>
      </c>
      <c r="G46" s="7" t="str">
        <f>'Respuestas de formulario 1'!F1687</f>
        <v/>
      </c>
      <c r="H46" s="7" t="str">
        <f>'Respuestas de formulario 1'!G1687</f>
        <v/>
      </c>
      <c r="I46" s="7" t="str">
        <f>'Respuestas de formulario 1'!H1687</f>
        <v/>
      </c>
      <c r="J46" s="7" t="str">
        <f>'Respuestas de formulario 1'!I1687</f>
        <v/>
      </c>
      <c r="K46" s="7" t="str">
        <f>'Respuestas de formulario 1'!J1687</f>
        <v/>
      </c>
    </row>
    <row r="47">
      <c r="A47" s="7">
        <f t="shared" si="1"/>
        <v>47</v>
      </c>
      <c r="B47" s="7" t="str">
        <f>'Respuestas de formulario 1'!A1688</f>
        <v/>
      </c>
      <c r="C47" s="7" t="str">
        <f>'Respuestas de formulario 1'!B1688</f>
        <v/>
      </c>
      <c r="D47" s="7" t="str">
        <f>'Respuestas de formulario 1'!C1688</f>
        <v/>
      </c>
      <c r="E47" s="7" t="str">
        <f>'Respuestas de formulario 1'!D1688</f>
        <v/>
      </c>
      <c r="F47" s="7" t="str">
        <f>'Respuestas de formulario 1'!E1688</f>
        <v/>
      </c>
      <c r="G47" s="7" t="str">
        <f>'Respuestas de formulario 1'!F1688</f>
        <v/>
      </c>
      <c r="H47" s="7" t="str">
        <f>'Respuestas de formulario 1'!G1688</f>
        <v/>
      </c>
      <c r="I47" s="7" t="str">
        <f>'Respuestas de formulario 1'!H1688</f>
        <v/>
      </c>
      <c r="J47" s="7" t="str">
        <f>'Respuestas de formulario 1'!I1688</f>
        <v/>
      </c>
      <c r="K47" s="7" t="str">
        <f>'Respuestas de formulario 1'!J1688</f>
        <v/>
      </c>
    </row>
    <row r="48">
      <c r="A48" s="7">
        <f t="shared" si="1"/>
        <v>48</v>
      </c>
      <c r="B48" s="7" t="str">
        <f>'Respuestas de formulario 1'!A1689</f>
        <v/>
      </c>
      <c r="C48" s="7" t="str">
        <f>'Respuestas de formulario 1'!B1689</f>
        <v/>
      </c>
      <c r="D48" s="7" t="str">
        <f>'Respuestas de formulario 1'!C1689</f>
        <v/>
      </c>
      <c r="E48" s="7" t="str">
        <f>'Respuestas de formulario 1'!D1689</f>
        <v/>
      </c>
      <c r="F48" s="7" t="str">
        <f>'Respuestas de formulario 1'!E1689</f>
        <v/>
      </c>
      <c r="G48" s="7" t="str">
        <f>'Respuestas de formulario 1'!F1689</f>
        <v/>
      </c>
      <c r="H48" s="7" t="str">
        <f>'Respuestas de formulario 1'!G1689</f>
        <v/>
      </c>
      <c r="I48" s="7" t="str">
        <f>'Respuestas de formulario 1'!H1689</f>
        <v/>
      </c>
      <c r="J48" s="7" t="str">
        <f>'Respuestas de formulario 1'!I1689</f>
        <v/>
      </c>
      <c r="K48" s="7" t="str">
        <f>'Respuestas de formulario 1'!J1689</f>
        <v/>
      </c>
    </row>
    <row r="49">
      <c r="A49" s="7">
        <f t="shared" si="1"/>
        <v>49</v>
      </c>
      <c r="B49" s="7" t="str">
        <f>'Respuestas de formulario 1'!A1690</f>
        <v/>
      </c>
      <c r="C49" s="7" t="str">
        <f>'Respuestas de formulario 1'!B1690</f>
        <v/>
      </c>
      <c r="D49" s="7" t="str">
        <f>'Respuestas de formulario 1'!C1690</f>
        <v/>
      </c>
      <c r="E49" s="7" t="str">
        <f>'Respuestas de formulario 1'!D1690</f>
        <v/>
      </c>
      <c r="F49" s="7" t="str">
        <f>'Respuestas de formulario 1'!E1690</f>
        <v/>
      </c>
      <c r="G49" s="7" t="str">
        <f>'Respuestas de formulario 1'!F1690</f>
        <v/>
      </c>
      <c r="H49" s="7" t="str">
        <f>'Respuestas de formulario 1'!G1690</f>
        <v/>
      </c>
      <c r="I49" s="7" t="str">
        <f>'Respuestas de formulario 1'!H1690</f>
        <v/>
      </c>
      <c r="J49" s="7" t="str">
        <f>'Respuestas de formulario 1'!I1690</f>
        <v/>
      </c>
      <c r="K49" s="7" t="str">
        <f>'Respuestas de formulario 1'!J1690</f>
        <v/>
      </c>
    </row>
    <row r="50">
      <c r="A50" s="7">
        <f t="shared" si="1"/>
        <v>50</v>
      </c>
      <c r="B50" s="7" t="str">
        <f>'Respuestas de formulario 1'!A1691</f>
        <v/>
      </c>
      <c r="C50" s="7" t="str">
        <f>'Respuestas de formulario 1'!B1691</f>
        <v/>
      </c>
      <c r="D50" s="7" t="str">
        <f>'Respuestas de formulario 1'!C1691</f>
        <v/>
      </c>
      <c r="E50" s="7" t="str">
        <f>'Respuestas de formulario 1'!D1691</f>
        <v/>
      </c>
      <c r="F50" s="7" t="str">
        <f>'Respuestas de formulario 1'!E1691</f>
        <v/>
      </c>
      <c r="G50" s="7" t="str">
        <f>'Respuestas de formulario 1'!F1691</f>
        <v/>
      </c>
      <c r="H50" s="7" t="str">
        <f>'Respuestas de formulario 1'!G1691</f>
        <v/>
      </c>
      <c r="I50" s="7" t="str">
        <f>'Respuestas de formulario 1'!H1691</f>
        <v/>
      </c>
      <c r="J50" s="7" t="str">
        <f>'Respuestas de formulario 1'!I1691</f>
        <v/>
      </c>
      <c r="K50" s="7" t="str">
        <f>'Respuestas de formulario 1'!J1691</f>
        <v/>
      </c>
    </row>
    <row r="51">
      <c r="A51" s="7">
        <f t="shared" si="1"/>
        <v>51</v>
      </c>
      <c r="B51" s="7" t="str">
        <f>'Respuestas de formulario 1'!A1692</f>
        <v/>
      </c>
      <c r="C51" s="7" t="str">
        <f>'Respuestas de formulario 1'!B1692</f>
        <v/>
      </c>
      <c r="D51" s="7" t="str">
        <f>'Respuestas de formulario 1'!C1692</f>
        <v/>
      </c>
      <c r="E51" s="7" t="str">
        <f>'Respuestas de formulario 1'!D1692</f>
        <v/>
      </c>
      <c r="F51" s="7" t="str">
        <f>'Respuestas de formulario 1'!E1692</f>
        <v/>
      </c>
      <c r="G51" s="7" t="str">
        <f>'Respuestas de formulario 1'!F1692</f>
        <v/>
      </c>
      <c r="H51" s="7" t="str">
        <f>'Respuestas de formulario 1'!G1692</f>
        <v/>
      </c>
      <c r="I51" s="7" t="str">
        <f>'Respuestas de formulario 1'!H1692</f>
        <v/>
      </c>
      <c r="J51" s="7" t="str">
        <f>'Respuestas de formulario 1'!I1692</f>
        <v/>
      </c>
      <c r="K51" s="7" t="str">
        <f>'Respuestas de formulario 1'!J1692</f>
        <v/>
      </c>
    </row>
    <row r="52">
      <c r="A52" s="7">
        <f t="shared" si="1"/>
        <v>52</v>
      </c>
      <c r="B52" s="7" t="str">
        <f>'Respuestas de formulario 1'!A1693</f>
        <v/>
      </c>
      <c r="C52" s="7" t="str">
        <f>'Respuestas de formulario 1'!B1693</f>
        <v/>
      </c>
      <c r="D52" s="7" t="str">
        <f>'Respuestas de formulario 1'!C1693</f>
        <v/>
      </c>
      <c r="E52" s="7" t="str">
        <f>'Respuestas de formulario 1'!D1693</f>
        <v/>
      </c>
      <c r="F52" s="7" t="str">
        <f>'Respuestas de formulario 1'!E1693</f>
        <v/>
      </c>
      <c r="G52" s="7" t="str">
        <f>'Respuestas de formulario 1'!F1693</f>
        <v/>
      </c>
      <c r="H52" s="7" t="str">
        <f>'Respuestas de formulario 1'!G1693</f>
        <v/>
      </c>
      <c r="I52" s="7" t="str">
        <f>'Respuestas de formulario 1'!H1693</f>
        <v/>
      </c>
      <c r="J52" s="7" t="str">
        <f>'Respuestas de formulario 1'!I1693</f>
        <v/>
      </c>
      <c r="K52" s="7" t="str">
        <f>'Respuestas de formulario 1'!J1693</f>
        <v/>
      </c>
    </row>
    <row r="53">
      <c r="A53" s="7">
        <f t="shared" si="1"/>
        <v>53</v>
      </c>
      <c r="B53" s="7" t="str">
        <f>'Respuestas de formulario 1'!A1694</f>
        <v/>
      </c>
      <c r="C53" s="7" t="str">
        <f>'Respuestas de formulario 1'!B1694</f>
        <v/>
      </c>
      <c r="D53" s="7" t="str">
        <f>'Respuestas de formulario 1'!C1694</f>
        <v/>
      </c>
      <c r="E53" s="7" t="str">
        <f>'Respuestas de formulario 1'!D1694</f>
        <v/>
      </c>
      <c r="F53" s="7" t="str">
        <f>'Respuestas de formulario 1'!E1694</f>
        <v/>
      </c>
      <c r="G53" s="7" t="str">
        <f>'Respuestas de formulario 1'!F1694</f>
        <v/>
      </c>
      <c r="H53" s="7" t="str">
        <f>'Respuestas de formulario 1'!G1694</f>
        <v/>
      </c>
      <c r="I53" s="7" t="str">
        <f>'Respuestas de formulario 1'!H1694</f>
        <v/>
      </c>
      <c r="J53" s="7" t="str">
        <f>'Respuestas de formulario 1'!I1694</f>
        <v/>
      </c>
      <c r="K53" s="7" t="str">
        <f>'Respuestas de formulario 1'!J1694</f>
        <v/>
      </c>
    </row>
    <row r="54">
      <c r="A54" s="7">
        <f t="shared" si="1"/>
        <v>54</v>
      </c>
      <c r="B54" s="7" t="str">
        <f>'Respuestas de formulario 1'!A1695</f>
        <v/>
      </c>
      <c r="C54" s="7" t="str">
        <f>'Respuestas de formulario 1'!B1695</f>
        <v/>
      </c>
      <c r="D54" s="7" t="str">
        <f>'Respuestas de formulario 1'!C1695</f>
        <v/>
      </c>
      <c r="E54" s="7" t="str">
        <f>'Respuestas de formulario 1'!D1695</f>
        <v/>
      </c>
      <c r="F54" s="7" t="str">
        <f>'Respuestas de formulario 1'!E1695</f>
        <v/>
      </c>
      <c r="G54" s="7" t="str">
        <f>'Respuestas de formulario 1'!F1695</f>
        <v/>
      </c>
      <c r="H54" s="7" t="str">
        <f>'Respuestas de formulario 1'!G1695</f>
        <v/>
      </c>
      <c r="I54" s="7" t="str">
        <f>'Respuestas de formulario 1'!H1695</f>
        <v/>
      </c>
      <c r="J54" s="7" t="str">
        <f>'Respuestas de formulario 1'!I1695</f>
        <v/>
      </c>
      <c r="K54" s="7" t="str">
        <f>'Respuestas de formulario 1'!J1695</f>
        <v/>
      </c>
    </row>
    <row r="55">
      <c r="A55" s="7">
        <f t="shared" si="1"/>
        <v>55</v>
      </c>
      <c r="B55" s="7" t="str">
        <f>'Respuestas de formulario 1'!A1696</f>
        <v/>
      </c>
      <c r="C55" s="7" t="str">
        <f>'Respuestas de formulario 1'!B1696</f>
        <v/>
      </c>
      <c r="D55" s="7" t="str">
        <f>'Respuestas de formulario 1'!C1696</f>
        <v/>
      </c>
      <c r="E55" s="7" t="str">
        <f>'Respuestas de formulario 1'!D1696</f>
        <v/>
      </c>
      <c r="F55" s="7" t="str">
        <f>'Respuestas de formulario 1'!E1696</f>
        <v/>
      </c>
      <c r="G55" s="7" t="str">
        <f>'Respuestas de formulario 1'!F1696</f>
        <v/>
      </c>
      <c r="H55" s="7" t="str">
        <f>'Respuestas de formulario 1'!G1696</f>
        <v/>
      </c>
      <c r="I55" s="7" t="str">
        <f>'Respuestas de formulario 1'!H1696</f>
        <v/>
      </c>
      <c r="J55" s="7" t="str">
        <f>'Respuestas de formulario 1'!I1696</f>
        <v/>
      </c>
      <c r="K55" s="7" t="str">
        <f>'Respuestas de formulario 1'!J1696</f>
        <v/>
      </c>
    </row>
    <row r="56">
      <c r="A56" s="7">
        <f t="shared" si="1"/>
        <v>56</v>
      </c>
      <c r="B56" s="7" t="str">
        <f>'Respuestas de formulario 1'!A1697</f>
        <v/>
      </c>
      <c r="C56" s="7" t="str">
        <f>'Respuestas de formulario 1'!B1697</f>
        <v/>
      </c>
      <c r="D56" s="7" t="str">
        <f>'Respuestas de formulario 1'!C1697</f>
        <v/>
      </c>
      <c r="E56" s="7" t="str">
        <f>'Respuestas de formulario 1'!D1697</f>
        <v/>
      </c>
      <c r="F56" s="7" t="str">
        <f>'Respuestas de formulario 1'!E1697</f>
        <v/>
      </c>
      <c r="G56" s="7" t="str">
        <f>'Respuestas de formulario 1'!F1697</f>
        <v/>
      </c>
      <c r="H56" s="7" t="str">
        <f>'Respuestas de formulario 1'!G1697</f>
        <v/>
      </c>
      <c r="I56" s="7" t="str">
        <f>'Respuestas de formulario 1'!H1697</f>
        <v/>
      </c>
      <c r="J56" s="7" t="str">
        <f>'Respuestas de formulario 1'!I1697</f>
        <v/>
      </c>
      <c r="K56" s="7" t="str">
        <f>'Respuestas de formulario 1'!J1697</f>
        <v/>
      </c>
    </row>
    <row r="57">
      <c r="A57" s="7">
        <f t="shared" si="1"/>
        <v>57</v>
      </c>
      <c r="B57" s="7" t="str">
        <f>'Respuestas de formulario 1'!A1698</f>
        <v/>
      </c>
      <c r="C57" s="7" t="str">
        <f>'Respuestas de formulario 1'!B1698</f>
        <v/>
      </c>
      <c r="D57" s="7" t="str">
        <f>'Respuestas de formulario 1'!C1698</f>
        <v/>
      </c>
      <c r="E57" s="7" t="str">
        <f>'Respuestas de formulario 1'!D1698</f>
        <v/>
      </c>
      <c r="F57" s="7" t="str">
        <f>'Respuestas de formulario 1'!E1698</f>
        <v/>
      </c>
      <c r="G57" s="7" t="str">
        <f>'Respuestas de formulario 1'!F1698</f>
        <v/>
      </c>
      <c r="H57" s="7" t="str">
        <f>'Respuestas de formulario 1'!G1698</f>
        <v/>
      </c>
      <c r="I57" s="7" t="str">
        <f>'Respuestas de formulario 1'!H1698</f>
        <v/>
      </c>
      <c r="J57" s="7" t="str">
        <f>'Respuestas de formulario 1'!I1698</f>
        <v/>
      </c>
      <c r="K57" s="7" t="str">
        <f>'Respuestas de formulario 1'!J1698</f>
        <v/>
      </c>
    </row>
    <row r="58">
      <c r="A58" s="7">
        <f t="shared" si="1"/>
        <v>58</v>
      </c>
      <c r="B58" s="7" t="str">
        <f>'Respuestas de formulario 1'!A1699</f>
        <v/>
      </c>
      <c r="C58" s="7" t="str">
        <f>'Respuestas de formulario 1'!B1699</f>
        <v/>
      </c>
      <c r="D58" s="7" t="str">
        <f>'Respuestas de formulario 1'!C1699</f>
        <v/>
      </c>
      <c r="E58" s="7" t="str">
        <f>'Respuestas de formulario 1'!D1699</f>
        <v/>
      </c>
      <c r="F58" s="7" t="str">
        <f>'Respuestas de formulario 1'!E1699</f>
        <v/>
      </c>
      <c r="G58" s="7" t="str">
        <f>'Respuestas de formulario 1'!F1699</f>
        <v/>
      </c>
      <c r="H58" s="7" t="str">
        <f>'Respuestas de formulario 1'!G1699</f>
        <v/>
      </c>
      <c r="I58" s="7" t="str">
        <f>'Respuestas de formulario 1'!H1699</f>
        <v/>
      </c>
      <c r="J58" s="7" t="str">
        <f>'Respuestas de formulario 1'!I1699</f>
        <v/>
      </c>
      <c r="K58" s="7" t="str">
        <f>'Respuestas de formulario 1'!J1699</f>
        <v/>
      </c>
    </row>
    <row r="59">
      <c r="A59" s="7">
        <f t="shared" si="1"/>
        <v>59</v>
      </c>
      <c r="B59" s="7" t="str">
        <f>'Respuestas de formulario 1'!A1700</f>
        <v/>
      </c>
      <c r="C59" s="7" t="str">
        <f>'Respuestas de formulario 1'!B1700</f>
        <v/>
      </c>
      <c r="D59" s="7" t="str">
        <f>'Respuestas de formulario 1'!C1700</f>
        <v/>
      </c>
      <c r="E59" s="7" t="str">
        <f>'Respuestas de formulario 1'!D1700</f>
        <v/>
      </c>
      <c r="F59" s="7" t="str">
        <f>'Respuestas de formulario 1'!E1700</f>
        <v/>
      </c>
      <c r="G59" s="7" t="str">
        <f>'Respuestas de formulario 1'!F1700</f>
        <v/>
      </c>
      <c r="H59" s="7" t="str">
        <f>'Respuestas de formulario 1'!G1700</f>
        <v/>
      </c>
      <c r="I59" s="7" t="str">
        <f>'Respuestas de formulario 1'!H1700</f>
        <v/>
      </c>
      <c r="J59" s="7" t="str">
        <f>'Respuestas de formulario 1'!I1700</f>
        <v/>
      </c>
      <c r="K59" s="7" t="str">
        <f>'Respuestas de formulario 1'!J1700</f>
        <v/>
      </c>
    </row>
    <row r="60">
      <c r="A60" s="7">
        <f t="shared" si="1"/>
        <v>60</v>
      </c>
      <c r="B60" s="7" t="str">
        <f>'Respuestas de formulario 1'!A1701</f>
        <v/>
      </c>
      <c r="C60" s="7" t="str">
        <f>'Respuestas de formulario 1'!B1701</f>
        <v/>
      </c>
      <c r="D60" s="7" t="str">
        <f>'Respuestas de formulario 1'!C1701</f>
        <v/>
      </c>
      <c r="E60" s="7" t="str">
        <f>'Respuestas de formulario 1'!D1701</f>
        <v/>
      </c>
      <c r="F60" s="7" t="str">
        <f>'Respuestas de formulario 1'!E1701</f>
        <v/>
      </c>
      <c r="G60" s="7" t="str">
        <f>'Respuestas de formulario 1'!F1701</f>
        <v/>
      </c>
      <c r="H60" s="7" t="str">
        <f>'Respuestas de formulario 1'!G1701</f>
        <v/>
      </c>
      <c r="I60" s="7" t="str">
        <f>'Respuestas de formulario 1'!H1701</f>
        <v/>
      </c>
      <c r="J60" s="7" t="str">
        <f>'Respuestas de formulario 1'!I1701</f>
        <v/>
      </c>
      <c r="K60" s="7" t="str">
        <f>'Respuestas de formulario 1'!J1701</f>
        <v/>
      </c>
    </row>
    <row r="61">
      <c r="A61" s="7">
        <f t="shared" si="1"/>
        <v>61</v>
      </c>
      <c r="B61" s="7" t="str">
        <f>'Respuestas de formulario 1'!A1702</f>
        <v/>
      </c>
      <c r="C61" s="7" t="str">
        <f>'Respuestas de formulario 1'!B1702</f>
        <v/>
      </c>
      <c r="D61" s="7" t="str">
        <f>'Respuestas de formulario 1'!C1702</f>
        <v/>
      </c>
      <c r="E61" s="7" t="str">
        <f>'Respuestas de formulario 1'!D1702</f>
        <v/>
      </c>
      <c r="F61" s="7" t="str">
        <f>'Respuestas de formulario 1'!E1702</f>
        <v/>
      </c>
      <c r="G61" s="7" t="str">
        <f>'Respuestas de formulario 1'!F1702</f>
        <v/>
      </c>
      <c r="H61" s="7" t="str">
        <f>'Respuestas de formulario 1'!G1702</f>
        <v/>
      </c>
      <c r="I61" s="7" t="str">
        <f>'Respuestas de formulario 1'!H1702</f>
        <v/>
      </c>
      <c r="J61" s="7" t="str">
        <f>'Respuestas de formulario 1'!I1702</f>
        <v/>
      </c>
      <c r="K61" s="7" t="str">
        <f>'Respuestas de formulario 1'!J1702</f>
        <v/>
      </c>
    </row>
    <row r="62">
      <c r="A62" s="7">
        <f t="shared" si="1"/>
        <v>62</v>
      </c>
      <c r="B62" s="7" t="str">
        <f>'Respuestas de formulario 1'!A1703</f>
        <v/>
      </c>
      <c r="C62" s="7" t="str">
        <f>'Respuestas de formulario 1'!B1703</f>
        <v/>
      </c>
      <c r="D62" s="7" t="str">
        <f>'Respuestas de formulario 1'!C1703</f>
        <v/>
      </c>
      <c r="E62" s="7" t="str">
        <f>'Respuestas de formulario 1'!D1703</f>
        <v/>
      </c>
      <c r="F62" s="7" t="str">
        <f>'Respuestas de formulario 1'!E1703</f>
        <v/>
      </c>
      <c r="G62" s="7" t="str">
        <f>'Respuestas de formulario 1'!F1703</f>
        <v/>
      </c>
      <c r="H62" s="7" t="str">
        <f>'Respuestas de formulario 1'!G1703</f>
        <v/>
      </c>
      <c r="I62" s="7" t="str">
        <f>'Respuestas de formulario 1'!H1703</f>
        <v/>
      </c>
      <c r="J62" s="7" t="str">
        <f>'Respuestas de formulario 1'!I1703</f>
        <v/>
      </c>
      <c r="K62" s="7" t="str">
        <f>'Respuestas de formulario 1'!J1703</f>
        <v/>
      </c>
    </row>
    <row r="63">
      <c r="A63" s="7">
        <f t="shared" si="1"/>
        <v>63</v>
      </c>
      <c r="B63" s="7" t="str">
        <f>'Respuestas de formulario 1'!A1704</f>
        <v/>
      </c>
      <c r="C63" s="7" t="str">
        <f>'Respuestas de formulario 1'!B1704</f>
        <v/>
      </c>
      <c r="D63" s="7" t="str">
        <f>'Respuestas de formulario 1'!C1704</f>
        <v/>
      </c>
      <c r="E63" s="7" t="str">
        <f>'Respuestas de formulario 1'!D1704</f>
        <v/>
      </c>
      <c r="F63" s="7" t="str">
        <f>'Respuestas de formulario 1'!E1704</f>
        <v/>
      </c>
      <c r="G63" s="7" t="str">
        <f>'Respuestas de formulario 1'!F1704</f>
        <v/>
      </c>
      <c r="H63" s="7" t="str">
        <f>'Respuestas de formulario 1'!G1704</f>
        <v/>
      </c>
      <c r="I63" s="7" t="str">
        <f>'Respuestas de formulario 1'!H1704</f>
        <v/>
      </c>
      <c r="J63" s="7" t="str">
        <f>'Respuestas de formulario 1'!I1704</f>
        <v/>
      </c>
      <c r="K63" s="7" t="str">
        <f>'Respuestas de formulario 1'!J1704</f>
        <v/>
      </c>
    </row>
    <row r="64">
      <c r="A64" s="7">
        <f t="shared" si="1"/>
        <v>64</v>
      </c>
      <c r="B64" s="7" t="str">
        <f>'Respuestas de formulario 1'!A1705</f>
        <v/>
      </c>
      <c r="C64" s="7" t="str">
        <f>'Respuestas de formulario 1'!B1705</f>
        <v/>
      </c>
      <c r="D64" s="7" t="str">
        <f>'Respuestas de formulario 1'!C1705</f>
        <v/>
      </c>
      <c r="E64" s="7" t="str">
        <f>'Respuestas de formulario 1'!D1705</f>
        <v/>
      </c>
      <c r="F64" s="7" t="str">
        <f>'Respuestas de formulario 1'!E1705</f>
        <v/>
      </c>
      <c r="G64" s="7" t="str">
        <f>'Respuestas de formulario 1'!F1705</f>
        <v/>
      </c>
      <c r="H64" s="7" t="str">
        <f>'Respuestas de formulario 1'!G1705</f>
        <v/>
      </c>
      <c r="I64" s="7" t="str">
        <f>'Respuestas de formulario 1'!H1705</f>
        <v/>
      </c>
      <c r="J64" s="7" t="str">
        <f>'Respuestas de formulario 1'!I1705</f>
        <v/>
      </c>
      <c r="K64" s="7" t="str">
        <f>'Respuestas de formulario 1'!J1705</f>
        <v/>
      </c>
    </row>
    <row r="65">
      <c r="A65" s="7">
        <f t="shared" si="1"/>
        <v>65</v>
      </c>
      <c r="B65" s="7" t="str">
        <f>'Respuestas de formulario 1'!A1706</f>
        <v/>
      </c>
      <c r="C65" s="7" t="str">
        <f>'Respuestas de formulario 1'!B1706</f>
        <v/>
      </c>
      <c r="D65" s="7" t="str">
        <f>'Respuestas de formulario 1'!C1706</f>
        <v/>
      </c>
      <c r="E65" s="7" t="str">
        <f>'Respuestas de formulario 1'!D1706</f>
        <v/>
      </c>
      <c r="F65" s="7" t="str">
        <f>'Respuestas de formulario 1'!E1706</f>
        <v/>
      </c>
      <c r="G65" s="7" t="str">
        <f>'Respuestas de formulario 1'!F1706</f>
        <v/>
      </c>
      <c r="H65" s="7" t="str">
        <f>'Respuestas de formulario 1'!G1706</f>
        <v/>
      </c>
      <c r="I65" s="7" t="str">
        <f>'Respuestas de formulario 1'!H1706</f>
        <v/>
      </c>
      <c r="J65" s="7" t="str">
        <f>'Respuestas de formulario 1'!I1706</f>
        <v/>
      </c>
      <c r="K65" s="7" t="str">
        <f>'Respuestas de formulario 1'!J1706</f>
        <v/>
      </c>
    </row>
    <row r="66">
      <c r="A66" s="7">
        <f t="shared" si="1"/>
        <v>66</v>
      </c>
      <c r="B66" s="7" t="str">
        <f>'Respuestas de formulario 1'!A1707</f>
        <v/>
      </c>
      <c r="C66" s="7" t="str">
        <f>'Respuestas de formulario 1'!B1707</f>
        <v/>
      </c>
      <c r="D66" s="7" t="str">
        <f>'Respuestas de formulario 1'!C1707</f>
        <v/>
      </c>
      <c r="E66" s="7" t="str">
        <f>'Respuestas de formulario 1'!D1707</f>
        <v/>
      </c>
      <c r="F66" s="7" t="str">
        <f>'Respuestas de formulario 1'!E1707</f>
        <v/>
      </c>
      <c r="G66" s="7" t="str">
        <f>'Respuestas de formulario 1'!F1707</f>
        <v/>
      </c>
      <c r="H66" s="7" t="str">
        <f>'Respuestas de formulario 1'!G1707</f>
        <v/>
      </c>
      <c r="I66" s="7" t="str">
        <f>'Respuestas de formulario 1'!H1707</f>
        <v/>
      </c>
      <c r="J66" s="7" t="str">
        <f>'Respuestas de formulario 1'!I1707</f>
        <v/>
      </c>
      <c r="K66" s="7" t="str">
        <f>'Respuestas de formulario 1'!J1707</f>
        <v/>
      </c>
    </row>
    <row r="67">
      <c r="A67" s="7">
        <f t="shared" si="1"/>
        <v>67</v>
      </c>
      <c r="B67" s="7" t="str">
        <f>'Respuestas de formulario 1'!A1708</f>
        <v/>
      </c>
      <c r="C67" s="7" t="str">
        <f>'Respuestas de formulario 1'!B1708</f>
        <v/>
      </c>
      <c r="D67" s="7" t="str">
        <f>'Respuestas de formulario 1'!C1708</f>
        <v/>
      </c>
      <c r="E67" s="7" t="str">
        <f>'Respuestas de formulario 1'!D1708</f>
        <v/>
      </c>
      <c r="F67" s="7" t="str">
        <f>'Respuestas de formulario 1'!E1708</f>
        <v/>
      </c>
      <c r="G67" s="7" t="str">
        <f>'Respuestas de formulario 1'!F1708</f>
        <v/>
      </c>
      <c r="H67" s="7" t="str">
        <f>'Respuestas de formulario 1'!G1708</f>
        <v/>
      </c>
      <c r="I67" s="7" t="str">
        <f>'Respuestas de formulario 1'!H1708</f>
        <v/>
      </c>
      <c r="J67" s="7" t="str">
        <f>'Respuestas de formulario 1'!I1708</f>
        <v/>
      </c>
      <c r="K67" s="7" t="str">
        <f>'Respuestas de formulario 1'!J1708</f>
        <v/>
      </c>
    </row>
    <row r="68">
      <c r="A68" s="7">
        <f t="shared" si="1"/>
        <v>68</v>
      </c>
      <c r="B68" s="7" t="str">
        <f>'Respuestas de formulario 1'!A1709</f>
        <v/>
      </c>
      <c r="C68" s="7" t="str">
        <f>'Respuestas de formulario 1'!B1709</f>
        <v/>
      </c>
      <c r="D68" s="7" t="str">
        <f>'Respuestas de formulario 1'!C1709</f>
        <v/>
      </c>
      <c r="E68" s="7" t="str">
        <f>'Respuestas de formulario 1'!D1709</f>
        <v/>
      </c>
      <c r="F68" s="7" t="str">
        <f>'Respuestas de formulario 1'!E1709</f>
        <v/>
      </c>
      <c r="G68" s="7" t="str">
        <f>'Respuestas de formulario 1'!F1709</f>
        <v/>
      </c>
      <c r="H68" s="7" t="str">
        <f>'Respuestas de formulario 1'!G1709</f>
        <v/>
      </c>
      <c r="I68" s="7" t="str">
        <f>'Respuestas de formulario 1'!H1709</f>
        <v/>
      </c>
      <c r="J68" s="7" t="str">
        <f>'Respuestas de formulario 1'!I1709</f>
        <v/>
      </c>
      <c r="K68" s="7" t="str">
        <f>'Respuestas de formulario 1'!J1709</f>
        <v/>
      </c>
    </row>
    <row r="69">
      <c r="A69" s="7">
        <f t="shared" si="1"/>
        <v>69</v>
      </c>
      <c r="B69" s="7" t="str">
        <f>'Respuestas de formulario 1'!A1710</f>
        <v/>
      </c>
      <c r="C69" s="7" t="str">
        <f>'Respuestas de formulario 1'!B1710</f>
        <v/>
      </c>
      <c r="D69" s="7" t="str">
        <f>'Respuestas de formulario 1'!C1710</f>
        <v/>
      </c>
      <c r="E69" s="7" t="str">
        <f>'Respuestas de formulario 1'!D1710</f>
        <v/>
      </c>
      <c r="F69" s="7" t="str">
        <f>'Respuestas de formulario 1'!E1710</f>
        <v/>
      </c>
      <c r="G69" s="7" t="str">
        <f>'Respuestas de formulario 1'!F1710</f>
        <v/>
      </c>
      <c r="H69" s="7" t="str">
        <f>'Respuestas de formulario 1'!G1710</f>
        <v/>
      </c>
      <c r="I69" s="7" t="str">
        <f>'Respuestas de formulario 1'!H1710</f>
        <v/>
      </c>
      <c r="J69" s="7" t="str">
        <f>'Respuestas de formulario 1'!I1710</f>
        <v/>
      </c>
      <c r="K69" s="7" t="str">
        <f>'Respuestas de formulario 1'!J1710</f>
        <v/>
      </c>
    </row>
    <row r="70">
      <c r="A70" s="7">
        <f t="shared" si="1"/>
        <v>70</v>
      </c>
      <c r="B70" s="7" t="str">
        <f>'Respuestas de formulario 1'!A1711</f>
        <v/>
      </c>
      <c r="C70" s="7" t="str">
        <f>'Respuestas de formulario 1'!B1711</f>
        <v/>
      </c>
      <c r="D70" s="7" t="str">
        <f>'Respuestas de formulario 1'!C1711</f>
        <v/>
      </c>
      <c r="E70" s="7" t="str">
        <f>'Respuestas de formulario 1'!D1711</f>
        <v/>
      </c>
      <c r="F70" s="7" t="str">
        <f>'Respuestas de formulario 1'!E1711</f>
        <v/>
      </c>
      <c r="G70" s="7" t="str">
        <f>'Respuestas de formulario 1'!F1711</f>
        <v/>
      </c>
      <c r="H70" s="7" t="str">
        <f>'Respuestas de formulario 1'!G1711</f>
        <v/>
      </c>
      <c r="I70" s="7" t="str">
        <f>'Respuestas de formulario 1'!H1711</f>
        <v/>
      </c>
      <c r="J70" s="7" t="str">
        <f>'Respuestas de formulario 1'!I1711</f>
        <v/>
      </c>
      <c r="K70" s="7" t="str">
        <f>'Respuestas de formulario 1'!J1711</f>
        <v/>
      </c>
    </row>
    <row r="71">
      <c r="A71" s="7">
        <f t="shared" si="1"/>
        <v>71</v>
      </c>
      <c r="B71" s="7" t="str">
        <f>'Respuestas de formulario 1'!A1712</f>
        <v/>
      </c>
      <c r="C71" s="7" t="str">
        <f>'Respuestas de formulario 1'!B1712</f>
        <v/>
      </c>
      <c r="D71" s="7" t="str">
        <f>'Respuestas de formulario 1'!C1712</f>
        <v/>
      </c>
      <c r="E71" s="7" t="str">
        <f>'Respuestas de formulario 1'!D1712</f>
        <v/>
      </c>
      <c r="F71" s="7" t="str">
        <f>'Respuestas de formulario 1'!E1712</f>
        <v/>
      </c>
      <c r="G71" s="7" t="str">
        <f>'Respuestas de formulario 1'!F1712</f>
        <v/>
      </c>
      <c r="H71" s="7" t="str">
        <f>'Respuestas de formulario 1'!G1712</f>
        <v/>
      </c>
      <c r="I71" s="7" t="str">
        <f>'Respuestas de formulario 1'!H1712</f>
        <v/>
      </c>
      <c r="J71" s="7" t="str">
        <f>'Respuestas de formulario 1'!I1712</f>
        <v/>
      </c>
      <c r="K71" s="7" t="str">
        <f>'Respuestas de formulario 1'!J1712</f>
        <v/>
      </c>
    </row>
    <row r="72">
      <c r="A72" s="7">
        <f t="shared" si="1"/>
        <v>72</v>
      </c>
      <c r="B72" s="7" t="str">
        <f>'Respuestas de formulario 1'!A1713</f>
        <v/>
      </c>
      <c r="C72" s="7" t="str">
        <f>'Respuestas de formulario 1'!B1713</f>
        <v/>
      </c>
      <c r="D72" s="7" t="str">
        <f>'Respuestas de formulario 1'!C1713</f>
        <v/>
      </c>
      <c r="E72" s="7" t="str">
        <f>'Respuestas de formulario 1'!D1713</f>
        <v/>
      </c>
      <c r="F72" s="7" t="str">
        <f>'Respuestas de formulario 1'!E1713</f>
        <v/>
      </c>
      <c r="G72" s="7" t="str">
        <f>'Respuestas de formulario 1'!F1713</f>
        <v/>
      </c>
      <c r="H72" s="7" t="str">
        <f>'Respuestas de formulario 1'!G1713</f>
        <v/>
      </c>
      <c r="I72" s="7" t="str">
        <f>'Respuestas de formulario 1'!H1713</f>
        <v/>
      </c>
      <c r="J72" s="7" t="str">
        <f>'Respuestas de formulario 1'!I1713</f>
        <v/>
      </c>
      <c r="K72" s="7" t="str">
        <f>'Respuestas de formulario 1'!J1713</f>
        <v/>
      </c>
    </row>
    <row r="73">
      <c r="A73" s="7">
        <f t="shared" si="1"/>
        <v>73</v>
      </c>
      <c r="B73" s="7" t="str">
        <f>'Respuestas de formulario 1'!A1714</f>
        <v/>
      </c>
      <c r="C73" s="7" t="str">
        <f>'Respuestas de formulario 1'!B1714</f>
        <v/>
      </c>
      <c r="D73" s="7" t="str">
        <f>'Respuestas de formulario 1'!C1714</f>
        <v/>
      </c>
      <c r="E73" s="7" t="str">
        <f>'Respuestas de formulario 1'!D1714</f>
        <v/>
      </c>
      <c r="F73" s="7" t="str">
        <f>'Respuestas de formulario 1'!E1714</f>
        <v/>
      </c>
      <c r="G73" s="7" t="str">
        <f>'Respuestas de formulario 1'!F1714</f>
        <v/>
      </c>
      <c r="H73" s="7" t="str">
        <f>'Respuestas de formulario 1'!G1714</f>
        <v/>
      </c>
      <c r="I73" s="7" t="str">
        <f>'Respuestas de formulario 1'!H1714</f>
        <v/>
      </c>
      <c r="J73" s="7" t="str">
        <f>'Respuestas de formulario 1'!I1714</f>
        <v/>
      </c>
      <c r="K73" s="7" t="str">
        <f>'Respuestas de formulario 1'!J1714</f>
        <v/>
      </c>
    </row>
    <row r="74">
      <c r="A74" s="7">
        <f t="shared" si="1"/>
        <v>74</v>
      </c>
      <c r="B74" s="7" t="str">
        <f>'Respuestas de formulario 1'!A1715</f>
        <v/>
      </c>
      <c r="C74" s="7" t="str">
        <f>'Respuestas de formulario 1'!B1715</f>
        <v/>
      </c>
      <c r="D74" s="7" t="str">
        <f>'Respuestas de formulario 1'!C1715</f>
        <v/>
      </c>
      <c r="E74" s="7" t="str">
        <f>'Respuestas de formulario 1'!D1715</f>
        <v/>
      </c>
      <c r="F74" s="7" t="str">
        <f>'Respuestas de formulario 1'!E1715</f>
        <v/>
      </c>
      <c r="G74" s="7" t="str">
        <f>'Respuestas de formulario 1'!F1715</f>
        <v/>
      </c>
      <c r="H74" s="7" t="str">
        <f>'Respuestas de formulario 1'!G1715</f>
        <v/>
      </c>
      <c r="I74" s="7" t="str">
        <f>'Respuestas de formulario 1'!H1715</f>
        <v/>
      </c>
      <c r="J74" s="7" t="str">
        <f>'Respuestas de formulario 1'!I1715</f>
        <v/>
      </c>
      <c r="K74" s="7" t="str">
        <f>'Respuestas de formulario 1'!J1715</f>
        <v/>
      </c>
    </row>
    <row r="75">
      <c r="A75" s="7">
        <f t="shared" si="1"/>
        <v>75</v>
      </c>
      <c r="B75" s="7" t="str">
        <f>'Respuestas de formulario 1'!A1716</f>
        <v/>
      </c>
      <c r="C75" s="7" t="str">
        <f>'Respuestas de formulario 1'!B1716</f>
        <v/>
      </c>
      <c r="D75" s="7" t="str">
        <f>'Respuestas de formulario 1'!C1716</f>
        <v/>
      </c>
      <c r="E75" s="7" t="str">
        <f>'Respuestas de formulario 1'!D1716</f>
        <v/>
      </c>
      <c r="F75" s="7" t="str">
        <f>'Respuestas de formulario 1'!E1716</f>
        <v/>
      </c>
      <c r="G75" s="7" t="str">
        <f>'Respuestas de formulario 1'!F1716</f>
        <v/>
      </c>
      <c r="H75" s="7" t="str">
        <f>'Respuestas de formulario 1'!G1716</f>
        <v/>
      </c>
      <c r="I75" s="7" t="str">
        <f>'Respuestas de formulario 1'!H1716</f>
        <v/>
      </c>
      <c r="J75" s="7" t="str">
        <f>'Respuestas de formulario 1'!I1716</f>
        <v/>
      </c>
      <c r="K75" s="7" t="str">
        <f>'Respuestas de formulario 1'!J1716</f>
        <v/>
      </c>
    </row>
    <row r="76">
      <c r="A76" s="7">
        <f t="shared" si="1"/>
        <v>76</v>
      </c>
      <c r="B76" s="7" t="str">
        <f>'Respuestas de formulario 1'!A1717</f>
        <v/>
      </c>
      <c r="C76" s="7" t="str">
        <f>'Respuestas de formulario 1'!B1717</f>
        <v/>
      </c>
      <c r="D76" s="7" t="str">
        <f>'Respuestas de formulario 1'!C1717</f>
        <v/>
      </c>
      <c r="E76" s="7" t="str">
        <f>'Respuestas de formulario 1'!D1717</f>
        <v/>
      </c>
      <c r="F76" s="7" t="str">
        <f>'Respuestas de formulario 1'!E1717</f>
        <v/>
      </c>
      <c r="G76" s="7" t="str">
        <f>'Respuestas de formulario 1'!F1717</f>
        <v/>
      </c>
      <c r="H76" s="7" t="str">
        <f>'Respuestas de formulario 1'!G1717</f>
        <v/>
      </c>
      <c r="I76" s="7" t="str">
        <f>'Respuestas de formulario 1'!H1717</f>
        <v/>
      </c>
      <c r="J76" s="7" t="str">
        <f>'Respuestas de formulario 1'!I1717</f>
        <v/>
      </c>
      <c r="K76" s="7" t="str">
        <f>'Respuestas de formulario 1'!J1717</f>
        <v/>
      </c>
    </row>
    <row r="77">
      <c r="A77" s="7">
        <f t="shared" si="1"/>
        <v>77</v>
      </c>
      <c r="B77" s="7" t="str">
        <f>'Respuestas de formulario 1'!A1718</f>
        <v/>
      </c>
      <c r="C77" s="7" t="str">
        <f>'Respuestas de formulario 1'!B1718</f>
        <v/>
      </c>
      <c r="D77" s="7" t="str">
        <f>'Respuestas de formulario 1'!C1718</f>
        <v/>
      </c>
      <c r="E77" s="7" t="str">
        <f>'Respuestas de formulario 1'!D1718</f>
        <v/>
      </c>
      <c r="F77" s="7" t="str">
        <f>'Respuestas de formulario 1'!E1718</f>
        <v/>
      </c>
      <c r="G77" s="7" t="str">
        <f>'Respuestas de formulario 1'!F1718</f>
        <v/>
      </c>
      <c r="H77" s="7" t="str">
        <f>'Respuestas de formulario 1'!G1718</f>
        <v/>
      </c>
      <c r="I77" s="7" t="str">
        <f>'Respuestas de formulario 1'!H1718</f>
        <v/>
      </c>
      <c r="J77" s="7" t="str">
        <f>'Respuestas de formulario 1'!I1718</f>
        <v/>
      </c>
      <c r="K77" s="7" t="str">
        <f>'Respuestas de formulario 1'!J1718</f>
        <v/>
      </c>
    </row>
    <row r="78">
      <c r="A78" s="7">
        <f t="shared" si="1"/>
        <v>78</v>
      </c>
      <c r="B78" s="7" t="str">
        <f>'Respuestas de formulario 1'!A1719</f>
        <v/>
      </c>
      <c r="C78" s="7" t="str">
        <f>'Respuestas de formulario 1'!B1719</f>
        <v/>
      </c>
      <c r="D78" s="7" t="str">
        <f>'Respuestas de formulario 1'!C1719</f>
        <v/>
      </c>
      <c r="E78" s="7" t="str">
        <f>'Respuestas de formulario 1'!D1719</f>
        <v/>
      </c>
      <c r="F78" s="7" t="str">
        <f>'Respuestas de formulario 1'!E1719</f>
        <v/>
      </c>
      <c r="G78" s="7" t="str">
        <f>'Respuestas de formulario 1'!F1719</f>
        <v/>
      </c>
      <c r="H78" s="7" t="str">
        <f>'Respuestas de formulario 1'!G1719</f>
        <v/>
      </c>
      <c r="I78" s="7" t="str">
        <f>'Respuestas de formulario 1'!H1719</f>
        <v/>
      </c>
      <c r="J78" s="7" t="str">
        <f>'Respuestas de formulario 1'!I1719</f>
        <v/>
      </c>
      <c r="K78" s="7" t="str">
        <f>'Respuestas de formulario 1'!J1719</f>
        <v/>
      </c>
    </row>
    <row r="79">
      <c r="A79" s="7">
        <f t="shared" si="1"/>
        <v>79</v>
      </c>
      <c r="B79" s="7" t="str">
        <f>'Respuestas de formulario 1'!A1720</f>
        <v/>
      </c>
      <c r="C79" s="7" t="str">
        <f>'Respuestas de formulario 1'!B1720</f>
        <v/>
      </c>
      <c r="D79" s="7" t="str">
        <f>'Respuestas de formulario 1'!C1720</f>
        <v/>
      </c>
      <c r="E79" s="7" t="str">
        <f>'Respuestas de formulario 1'!D1720</f>
        <v/>
      </c>
      <c r="F79" s="7" t="str">
        <f>'Respuestas de formulario 1'!E1720</f>
        <v/>
      </c>
      <c r="G79" s="7" t="str">
        <f>'Respuestas de formulario 1'!F1720</f>
        <v/>
      </c>
      <c r="H79" s="7" t="str">
        <f>'Respuestas de formulario 1'!G1720</f>
        <v/>
      </c>
      <c r="I79" s="7" t="str">
        <f>'Respuestas de formulario 1'!H1720</f>
        <v/>
      </c>
      <c r="J79" s="7" t="str">
        <f>'Respuestas de formulario 1'!I1720</f>
        <v/>
      </c>
      <c r="K79" s="7" t="str">
        <f>'Respuestas de formulario 1'!J1720</f>
        <v/>
      </c>
    </row>
    <row r="80">
      <c r="A80" s="7">
        <f t="shared" si="1"/>
        <v>80</v>
      </c>
      <c r="B80" s="7" t="str">
        <f>'Respuestas de formulario 1'!A1721</f>
        <v/>
      </c>
      <c r="C80" s="7" t="str">
        <f>'Respuestas de formulario 1'!B1721</f>
        <v/>
      </c>
      <c r="D80" s="7" t="str">
        <f>'Respuestas de formulario 1'!C1721</f>
        <v/>
      </c>
      <c r="E80" s="7" t="str">
        <f>'Respuestas de formulario 1'!D1721</f>
        <v/>
      </c>
      <c r="F80" s="7" t="str">
        <f>'Respuestas de formulario 1'!E1721</f>
        <v/>
      </c>
      <c r="G80" s="7" t="str">
        <f>'Respuestas de formulario 1'!F1721</f>
        <v/>
      </c>
      <c r="H80" s="7" t="str">
        <f>'Respuestas de formulario 1'!G1721</f>
        <v/>
      </c>
      <c r="I80" s="7" t="str">
        <f>'Respuestas de formulario 1'!H1721</f>
        <v/>
      </c>
      <c r="J80" s="7" t="str">
        <f>'Respuestas de formulario 1'!I1721</f>
        <v/>
      </c>
      <c r="K80" s="7" t="str">
        <f>'Respuestas de formulario 1'!J1721</f>
        <v/>
      </c>
    </row>
    <row r="81">
      <c r="A81" s="7">
        <f t="shared" si="1"/>
        <v>81</v>
      </c>
      <c r="B81" s="7" t="str">
        <f>'Respuestas de formulario 1'!A1722</f>
        <v/>
      </c>
      <c r="C81" s="7" t="str">
        <f>'Respuestas de formulario 1'!B1722</f>
        <v/>
      </c>
      <c r="D81" s="7" t="str">
        <f>'Respuestas de formulario 1'!C1722</f>
        <v/>
      </c>
      <c r="E81" s="7" t="str">
        <f>'Respuestas de formulario 1'!D1722</f>
        <v/>
      </c>
      <c r="F81" s="7" t="str">
        <f>'Respuestas de formulario 1'!E1722</f>
        <v/>
      </c>
      <c r="G81" s="7" t="str">
        <f>'Respuestas de formulario 1'!F1722</f>
        <v/>
      </c>
      <c r="H81" s="7" t="str">
        <f>'Respuestas de formulario 1'!G1722</f>
        <v/>
      </c>
      <c r="I81" s="7" t="str">
        <f>'Respuestas de formulario 1'!H1722</f>
        <v/>
      </c>
      <c r="J81" s="7" t="str">
        <f>'Respuestas de formulario 1'!I1722</f>
        <v/>
      </c>
      <c r="K81" s="7" t="str">
        <f>'Respuestas de formulario 1'!J1722</f>
        <v/>
      </c>
    </row>
    <row r="82">
      <c r="A82" s="7">
        <f t="shared" si="1"/>
        <v>82</v>
      </c>
      <c r="B82" s="7" t="str">
        <f>'Respuestas de formulario 1'!A1723</f>
        <v/>
      </c>
      <c r="C82" s="7" t="str">
        <f>'Respuestas de formulario 1'!B1723</f>
        <v/>
      </c>
      <c r="D82" s="7" t="str">
        <f>'Respuestas de formulario 1'!C1723</f>
        <v/>
      </c>
      <c r="E82" s="7" t="str">
        <f>'Respuestas de formulario 1'!D1723</f>
        <v/>
      </c>
      <c r="F82" s="7" t="str">
        <f>'Respuestas de formulario 1'!E1723</f>
        <v/>
      </c>
      <c r="G82" s="7" t="str">
        <f>'Respuestas de formulario 1'!F1723</f>
        <v/>
      </c>
      <c r="H82" s="7" t="str">
        <f>'Respuestas de formulario 1'!G1723</f>
        <v/>
      </c>
      <c r="I82" s="7" t="str">
        <f>'Respuestas de formulario 1'!H1723</f>
        <v/>
      </c>
      <c r="J82" s="7" t="str">
        <f>'Respuestas de formulario 1'!I1723</f>
        <v/>
      </c>
      <c r="K82" s="7" t="str">
        <f>'Respuestas de formulario 1'!J1723</f>
        <v/>
      </c>
    </row>
    <row r="83">
      <c r="A83" s="7">
        <f t="shared" si="1"/>
        <v>83</v>
      </c>
      <c r="B83" s="7" t="str">
        <f>'Respuestas de formulario 1'!A1724</f>
        <v/>
      </c>
      <c r="C83" s="7" t="str">
        <f>'Respuestas de formulario 1'!B1724</f>
        <v/>
      </c>
      <c r="D83" s="7" t="str">
        <f>'Respuestas de formulario 1'!C1724</f>
        <v/>
      </c>
      <c r="E83" s="7" t="str">
        <f>'Respuestas de formulario 1'!D1724</f>
        <v/>
      </c>
      <c r="F83" s="7" t="str">
        <f>'Respuestas de formulario 1'!E1724</f>
        <v/>
      </c>
      <c r="G83" s="7" t="str">
        <f>'Respuestas de formulario 1'!F1724</f>
        <v/>
      </c>
      <c r="H83" s="7" t="str">
        <f>'Respuestas de formulario 1'!G1724</f>
        <v/>
      </c>
      <c r="I83" s="7" t="str">
        <f>'Respuestas de formulario 1'!H1724</f>
        <v/>
      </c>
      <c r="J83" s="7" t="str">
        <f>'Respuestas de formulario 1'!I1724</f>
        <v/>
      </c>
      <c r="K83" s="7" t="str">
        <f>'Respuestas de formulario 1'!J1724</f>
        <v/>
      </c>
    </row>
    <row r="84">
      <c r="A84" s="7">
        <f t="shared" si="1"/>
        <v>84</v>
      </c>
      <c r="B84" s="7" t="str">
        <f>'Respuestas de formulario 1'!A1725</f>
        <v/>
      </c>
      <c r="C84" s="7" t="str">
        <f>'Respuestas de formulario 1'!B1725</f>
        <v/>
      </c>
      <c r="D84" s="7" t="str">
        <f>'Respuestas de formulario 1'!C1725</f>
        <v/>
      </c>
      <c r="E84" s="7" t="str">
        <f>'Respuestas de formulario 1'!D1725</f>
        <v/>
      </c>
      <c r="F84" s="7" t="str">
        <f>'Respuestas de formulario 1'!E1725</f>
        <v/>
      </c>
      <c r="G84" s="7" t="str">
        <f>'Respuestas de formulario 1'!F1725</f>
        <v/>
      </c>
      <c r="H84" s="7" t="str">
        <f>'Respuestas de formulario 1'!G1725</f>
        <v/>
      </c>
      <c r="I84" s="7" t="str">
        <f>'Respuestas de formulario 1'!H1725</f>
        <v/>
      </c>
      <c r="J84" s="7" t="str">
        <f>'Respuestas de formulario 1'!I1725</f>
        <v/>
      </c>
      <c r="K84" s="7" t="str">
        <f>'Respuestas de formulario 1'!J1725</f>
        <v/>
      </c>
    </row>
    <row r="85">
      <c r="A85" s="7">
        <f t="shared" si="1"/>
        <v>85</v>
      </c>
      <c r="B85" s="7" t="str">
        <f>'Respuestas de formulario 1'!A1726</f>
        <v/>
      </c>
      <c r="C85" s="7" t="str">
        <f>'Respuestas de formulario 1'!B1726</f>
        <v/>
      </c>
      <c r="D85" s="7" t="str">
        <f>'Respuestas de formulario 1'!C1726</f>
        <v/>
      </c>
      <c r="E85" s="7" t="str">
        <f>'Respuestas de formulario 1'!D1726</f>
        <v/>
      </c>
      <c r="F85" s="7" t="str">
        <f>'Respuestas de formulario 1'!E1726</f>
        <v/>
      </c>
      <c r="G85" s="7" t="str">
        <f>'Respuestas de formulario 1'!F1726</f>
        <v/>
      </c>
      <c r="H85" s="7" t="str">
        <f>'Respuestas de formulario 1'!G1726</f>
        <v/>
      </c>
      <c r="I85" s="7" t="str">
        <f>'Respuestas de formulario 1'!H1726</f>
        <v/>
      </c>
      <c r="J85" s="7" t="str">
        <f>'Respuestas de formulario 1'!I1726</f>
        <v/>
      </c>
      <c r="K85" s="7" t="str">
        <f>'Respuestas de formulario 1'!J1726</f>
        <v/>
      </c>
    </row>
    <row r="86">
      <c r="A86" s="7">
        <f t="shared" si="1"/>
        <v>86</v>
      </c>
      <c r="B86" s="7" t="str">
        <f>'Respuestas de formulario 1'!A1727</f>
        <v/>
      </c>
      <c r="C86" s="7" t="str">
        <f>'Respuestas de formulario 1'!B1727</f>
        <v/>
      </c>
      <c r="D86" s="7" t="str">
        <f>'Respuestas de formulario 1'!C1727</f>
        <v/>
      </c>
      <c r="E86" s="7" t="str">
        <f>'Respuestas de formulario 1'!D1727</f>
        <v/>
      </c>
      <c r="F86" s="7" t="str">
        <f>'Respuestas de formulario 1'!E1727</f>
        <v/>
      </c>
      <c r="G86" s="7" t="str">
        <f>'Respuestas de formulario 1'!F1727</f>
        <v/>
      </c>
      <c r="H86" s="7" t="str">
        <f>'Respuestas de formulario 1'!G1727</f>
        <v/>
      </c>
      <c r="I86" s="7" t="str">
        <f>'Respuestas de formulario 1'!H1727</f>
        <v/>
      </c>
      <c r="J86" s="7" t="str">
        <f>'Respuestas de formulario 1'!I1727</f>
        <v/>
      </c>
      <c r="K86" s="7" t="str">
        <f>'Respuestas de formulario 1'!J1727</f>
        <v/>
      </c>
    </row>
    <row r="87">
      <c r="A87" s="7">
        <f t="shared" si="1"/>
        <v>87</v>
      </c>
      <c r="B87" s="7" t="str">
        <f>'Respuestas de formulario 1'!A1728</f>
        <v/>
      </c>
      <c r="C87" s="7" t="str">
        <f>'Respuestas de formulario 1'!B1728</f>
        <v/>
      </c>
      <c r="D87" s="7" t="str">
        <f>'Respuestas de formulario 1'!C1728</f>
        <v/>
      </c>
      <c r="E87" s="7" t="str">
        <f>'Respuestas de formulario 1'!D1728</f>
        <v/>
      </c>
      <c r="F87" s="7" t="str">
        <f>'Respuestas de formulario 1'!E1728</f>
        <v/>
      </c>
      <c r="G87" s="7" t="str">
        <f>'Respuestas de formulario 1'!F1728</f>
        <v/>
      </c>
      <c r="H87" s="7" t="str">
        <f>'Respuestas de formulario 1'!G1728</f>
        <v/>
      </c>
      <c r="I87" s="7" t="str">
        <f>'Respuestas de formulario 1'!H1728</f>
        <v/>
      </c>
      <c r="J87" s="7" t="str">
        <f>'Respuestas de formulario 1'!I1728</f>
        <v/>
      </c>
      <c r="K87" s="7" t="str">
        <f>'Respuestas de formulario 1'!J1728</f>
        <v/>
      </c>
    </row>
    <row r="88">
      <c r="A88" s="7">
        <f t="shared" si="1"/>
        <v>88</v>
      </c>
      <c r="B88" s="7" t="str">
        <f>'Respuestas de formulario 1'!A1729</f>
        <v/>
      </c>
      <c r="C88" s="7" t="str">
        <f>'Respuestas de formulario 1'!B1729</f>
        <v/>
      </c>
      <c r="D88" s="7" t="str">
        <f>'Respuestas de formulario 1'!C1729</f>
        <v/>
      </c>
      <c r="E88" s="7" t="str">
        <f>'Respuestas de formulario 1'!D1729</f>
        <v/>
      </c>
      <c r="F88" s="7" t="str">
        <f>'Respuestas de formulario 1'!E1729</f>
        <v/>
      </c>
      <c r="G88" s="7" t="str">
        <f>'Respuestas de formulario 1'!F1729</f>
        <v/>
      </c>
      <c r="H88" s="7" t="str">
        <f>'Respuestas de formulario 1'!G1729</f>
        <v/>
      </c>
      <c r="I88" s="7" t="str">
        <f>'Respuestas de formulario 1'!H1729</f>
        <v/>
      </c>
      <c r="J88" s="7" t="str">
        <f>'Respuestas de formulario 1'!I1729</f>
        <v/>
      </c>
      <c r="K88" s="7" t="str">
        <f>'Respuestas de formulario 1'!J1729</f>
        <v/>
      </c>
    </row>
    <row r="89">
      <c r="A89" s="7">
        <f t="shared" si="1"/>
        <v>89</v>
      </c>
      <c r="B89" s="7" t="str">
        <f>'Respuestas de formulario 1'!A1730</f>
        <v/>
      </c>
      <c r="C89" s="7" t="str">
        <f>'Respuestas de formulario 1'!B1730</f>
        <v/>
      </c>
      <c r="D89" s="7" t="str">
        <f>'Respuestas de formulario 1'!C1730</f>
        <v/>
      </c>
      <c r="E89" s="7" t="str">
        <f>'Respuestas de formulario 1'!D1730</f>
        <v/>
      </c>
      <c r="F89" s="7" t="str">
        <f>'Respuestas de formulario 1'!E1730</f>
        <v/>
      </c>
      <c r="G89" s="7" t="str">
        <f>'Respuestas de formulario 1'!F1730</f>
        <v/>
      </c>
      <c r="H89" s="7" t="str">
        <f>'Respuestas de formulario 1'!G1730</f>
        <v/>
      </c>
      <c r="I89" s="7" t="str">
        <f>'Respuestas de formulario 1'!H1730</f>
        <v/>
      </c>
      <c r="J89" s="7" t="str">
        <f>'Respuestas de formulario 1'!I1730</f>
        <v/>
      </c>
      <c r="K89" s="7" t="str">
        <f>'Respuestas de formulario 1'!J1730</f>
        <v/>
      </c>
    </row>
    <row r="90">
      <c r="A90" s="7">
        <f t="shared" si="1"/>
        <v>90</v>
      </c>
      <c r="B90" s="7" t="str">
        <f>'Respuestas de formulario 1'!A1731</f>
        <v/>
      </c>
      <c r="C90" s="7" t="str">
        <f>'Respuestas de formulario 1'!B1731</f>
        <v/>
      </c>
      <c r="D90" s="7" t="str">
        <f>'Respuestas de formulario 1'!C1731</f>
        <v/>
      </c>
      <c r="E90" s="7" t="str">
        <f>'Respuestas de formulario 1'!D1731</f>
        <v/>
      </c>
      <c r="F90" s="7" t="str">
        <f>'Respuestas de formulario 1'!E1731</f>
        <v/>
      </c>
      <c r="G90" s="7" t="str">
        <f>'Respuestas de formulario 1'!F1731</f>
        <v/>
      </c>
      <c r="H90" s="7" t="str">
        <f>'Respuestas de formulario 1'!G1731</f>
        <v/>
      </c>
      <c r="I90" s="7" t="str">
        <f>'Respuestas de formulario 1'!H1731</f>
        <v/>
      </c>
      <c r="J90" s="7" t="str">
        <f>'Respuestas de formulario 1'!I1731</f>
        <v/>
      </c>
      <c r="K90" s="7" t="str">
        <f>'Respuestas de formulario 1'!J1731</f>
        <v/>
      </c>
    </row>
    <row r="91">
      <c r="A91" s="7">
        <f t="shared" si="1"/>
        <v>91</v>
      </c>
      <c r="B91" s="7" t="str">
        <f>'Respuestas de formulario 1'!A1732</f>
        <v/>
      </c>
      <c r="C91" s="7" t="str">
        <f>'Respuestas de formulario 1'!B1732</f>
        <v/>
      </c>
      <c r="D91" s="7" t="str">
        <f>'Respuestas de formulario 1'!C1732</f>
        <v/>
      </c>
      <c r="E91" s="7" t="str">
        <f>'Respuestas de formulario 1'!D1732</f>
        <v/>
      </c>
      <c r="F91" s="7" t="str">
        <f>'Respuestas de formulario 1'!E1732</f>
        <v/>
      </c>
      <c r="G91" s="7" t="str">
        <f>'Respuestas de formulario 1'!F1732</f>
        <v/>
      </c>
      <c r="H91" s="7" t="str">
        <f>'Respuestas de formulario 1'!G1732</f>
        <v/>
      </c>
      <c r="I91" s="7" t="str">
        <f>'Respuestas de formulario 1'!H1732</f>
        <v/>
      </c>
      <c r="J91" s="7" t="str">
        <f>'Respuestas de formulario 1'!I1732</f>
        <v/>
      </c>
      <c r="K91" s="7" t="str">
        <f>'Respuestas de formulario 1'!J1732</f>
        <v/>
      </c>
    </row>
    <row r="92">
      <c r="A92" s="7">
        <f t="shared" si="1"/>
        <v>92</v>
      </c>
      <c r="B92" s="7" t="str">
        <f>'Respuestas de formulario 1'!A1733</f>
        <v/>
      </c>
      <c r="C92" s="7" t="str">
        <f>'Respuestas de formulario 1'!B1733</f>
        <v/>
      </c>
      <c r="D92" s="7" t="str">
        <f>'Respuestas de formulario 1'!C1733</f>
        <v/>
      </c>
      <c r="E92" s="7" t="str">
        <f>'Respuestas de formulario 1'!D1733</f>
        <v/>
      </c>
      <c r="F92" s="7" t="str">
        <f>'Respuestas de formulario 1'!E1733</f>
        <v/>
      </c>
      <c r="G92" s="7" t="str">
        <f>'Respuestas de formulario 1'!F1733</f>
        <v/>
      </c>
      <c r="H92" s="7" t="str">
        <f>'Respuestas de formulario 1'!G1733</f>
        <v/>
      </c>
      <c r="I92" s="7" t="str">
        <f>'Respuestas de formulario 1'!H1733</f>
        <v/>
      </c>
      <c r="J92" s="7" t="str">
        <f>'Respuestas de formulario 1'!I1733</f>
        <v/>
      </c>
      <c r="K92" s="7" t="str">
        <f>'Respuestas de formulario 1'!J1733</f>
        <v/>
      </c>
    </row>
    <row r="93">
      <c r="A93" s="7">
        <f t="shared" si="1"/>
        <v>93</v>
      </c>
      <c r="B93" s="7" t="str">
        <f>'Respuestas de formulario 1'!A1734</f>
        <v/>
      </c>
      <c r="C93" s="7" t="str">
        <f>'Respuestas de formulario 1'!B1734</f>
        <v/>
      </c>
      <c r="D93" s="7" t="str">
        <f>'Respuestas de formulario 1'!C1734</f>
        <v/>
      </c>
      <c r="E93" s="7" t="str">
        <f>'Respuestas de formulario 1'!D1734</f>
        <v/>
      </c>
      <c r="F93" s="7" t="str">
        <f>'Respuestas de formulario 1'!E1734</f>
        <v/>
      </c>
      <c r="G93" s="7" t="str">
        <f>'Respuestas de formulario 1'!F1734</f>
        <v/>
      </c>
      <c r="H93" s="7" t="str">
        <f>'Respuestas de formulario 1'!G1734</f>
        <v/>
      </c>
      <c r="I93" s="7" t="str">
        <f>'Respuestas de formulario 1'!H1734</f>
        <v/>
      </c>
      <c r="J93" s="7" t="str">
        <f>'Respuestas de formulario 1'!I1734</f>
        <v/>
      </c>
      <c r="K93" s="7" t="str">
        <f>'Respuestas de formulario 1'!J1734</f>
        <v/>
      </c>
    </row>
    <row r="94">
      <c r="A94" s="7">
        <f t="shared" si="1"/>
        <v>94</v>
      </c>
      <c r="B94" s="7" t="str">
        <f>'Respuestas de formulario 1'!A1735</f>
        <v/>
      </c>
      <c r="C94" s="7" t="str">
        <f>'Respuestas de formulario 1'!B1735</f>
        <v/>
      </c>
      <c r="D94" s="7" t="str">
        <f>'Respuestas de formulario 1'!C1735</f>
        <v/>
      </c>
      <c r="E94" s="7" t="str">
        <f>'Respuestas de formulario 1'!D1735</f>
        <v/>
      </c>
      <c r="F94" s="7" t="str">
        <f>'Respuestas de formulario 1'!E1735</f>
        <v/>
      </c>
      <c r="G94" s="7" t="str">
        <f>'Respuestas de formulario 1'!F1735</f>
        <v/>
      </c>
      <c r="H94" s="7" t="str">
        <f>'Respuestas de formulario 1'!G1735</f>
        <v/>
      </c>
      <c r="I94" s="7" t="str">
        <f>'Respuestas de formulario 1'!H1735</f>
        <v/>
      </c>
      <c r="J94" s="7" t="str">
        <f>'Respuestas de formulario 1'!I1735</f>
        <v/>
      </c>
      <c r="K94" s="7" t="str">
        <f>'Respuestas de formulario 1'!J1735</f>
        <v/>
      </c>
    </row>
    <row r="95">
      <c r="A95" s="7">
        <f t="shared" si="1"/>
        <v>95</v>
      </c>
      <c r="B95" s="7" t="str">
        <f>'Respuestas de formulario 1'!A1736</f>
        <v/>
      </c>
      <c r="C95" s="7" t="str">
        <f>'Respuestas de formulario 1'!B1736</f>
        <v/>
      </c>
      <c r="D95" s="7" t="str">
        <f>'Respuestas de formulario 1'!C1736</f>
        <v/>
      </c>
      <c r="E95" s="7" t="str">
        <f>'Respuestas de formulario 1'!D1736</f>
        <v/>
      </c>
      <c r="F95" s="7" t="str">
        <f>'Respuestas de formulario 1'!E1736</f>
        <v/>
      </c>
      <c r="G95" s="7" t="str">
        <f>'Respuestas de formulario 1'!F1736</f>
        <v/>
      </c>
      <c r="H95" s="7" t="str">
        <f>'Respuestas de formulario 1'!G1736</f>
        <v/>
      </c>
      <c r="I95" s="7" t="str">
        <f>'Respuestas de formulario 1'!H1736</f>
        <v/>
      </c>
      <c r="J95" s="7" t="str">
        <f>'Respuestas de formulario 1'!I1736</f>
        <v/>
      </c>
      <c r="K95" s="7" t="str">
        <f>'Respuestas de formulario 1'!J1736</f>
        <v/>
      </c>
    </row>
    <row r="96">
      <c r="A96" s="7">
        <f t="shared" si="1"/>
        <v>96</v>
      </c>
      <c r="B96" s="7" t="str">
        <f>'Respuestas de formulario 1'!A1737</f>
        <v/>
      </c>
      <c r="C96" s="7" t="str">
        <f>'Respuestas de formulario 1'!B1737</f>
        <v/>
      </c>
      <c r="D96" s="7" t="str">
        <f>'Respuestas de formulario 1'!C1737</f>
        <v/>
      </c>
      <c r="E96" s="7" t="str">
        <f>'Respuestas de formulario 1'!D1737</f>
        <v/>
      </c>
      <c r="F96" s="7" t="str">
        <f>'Respuestas de formulario 1'!E1737</f>
        <v/>
      </c>
      <c r="G96" s="7" t="str">
        <f>'Respuestas de formulario 1'!F1737</f>
        <v/>
      </c>
      <c r="H96" s="7" t="str">
        <f>'Respuestas de formulario 1'!G1737</f>
        <v/>
      </c>
      <c r="I96" s="7" t="str">
        <f>'Respuestas de formulario 1'!H1737</f>
        <v/>
      </c>
      <c r="J96" s="7" t="str">
        <f>'Respuestas de formulario 1'!I1737</f>
        <v/>
      </c>
      <c r="K96" s="7" t="str">
        <f>'Respuestas de formulario 1'!J1737</f>
        <v/>
      </c>
    </row>
    <row r="97">
      <c r="A97" s="7">
        <f t="shared" si="1"/>
        <v>97</v>
      </c>
      <c r="B97" s="7" t="str">
        <f>'Respuestas de formulario 1'!A1738</f>
        <v/>
      </c>
      <c r="C97" s="7" t="str">
        <f>'Respuestas de formulario 1'!B1738</f>
        <v/>
      </c>
      <c r="D97" s="7" t="str">
        <f>'Respuestas de formulario 1'!C1738</f>
        <v/>
      </c>
      <c r="E97" s="7" t="str">
        <f>'Respuestas de formulario 1'!D1738</f>
        <v/>
      </c>
      <c r="F97" s="7" t="str">
        <f>'Respuestas de formulario 1'!E1738</f>
        <v/>
      </c>
      <c r="G97" s="7" t="str">
        <f>'Respuestas de formulario 1'!F1738</f>
        <v/>
      </c>
      <c r="H97" s="7" t="str">
        <f>'Respuestas de formulario 1'!G1738</f>
        <v/>
      </c>
      <c r="I97" s="7" t="str">
        <f>'Respuestas de formulario 1'!H1738</f>
        <v/>
      </c>
      <c r="J97" s="7" t="str">
        <f>'Respuestas de formulario 1'!I1738</f>
        <v/>
      </c>
      <c r="K97" s="7" t="str">
        <f>'Respuestas de formulario 1'!J1738</f>
        <v/>
      </c>
    </row>
    <row r="98">
      <c r="A98" s="7">
        <f t="shared" si="1"/>
        <v>98</v>
      </c>
      <c r="B98" s="7" t="str">
        <f>'Respuestas de formulario 1'!A1739</f>
        <v/>
      </c>
      <c r="C98" s="7" t="str">
        <f>'Respuestas de formulario 1'!B1739</f>
        <v/>
      </c>
      <c r="D98" s="7" t="str">
        <f>'Respuestas de formulario 1'!C1739</f>
        <v/>
      </c>
      <c r="E98" s="7" t="str">
        <f>'Respuestas de formulario 1'!D1739</f>
        <v/>
      </c>
      <c r="F98" s="7" t="str">
        <f>'Respuestas de formulario 1'!E1739</f>
        <v/>
      </c>
      <c r="G98" s="7" t="str">
        <f>'Respuestas de formulario 1'!F1739</f>
        <v/>
      </c>
      <c r="H98" s="7" t="str">
        <f>'Respuestas de formulario 1'!G1739</f>
        <v/>
      </c>
      <c r="I98" s="7" t="str">
        <f>'Respuestas de formulario 1'!H1739</f>
        <v/>
      </c>
      <c r="J98" s="7" t="str">
        <f>'Respuestas de formulario 1'!I1739</f>
        <v/>
      </c>
      <c r="K98" s="7" t="str">
        <f>'Respuestas de formulario 1'!J1739</f>
        <v/>
      </c>
    </row>
    <row r="99">
      <c r="A99" s="7">
        <f t="shared" si="1"/>
        <v>99</v>
      </c>
      <c r="B99" s="7" t="str">
        <f>'Respuestas de formulario 1'!A1740</f>
        <v/>
      </c>
      <c r="C99" s="7" t="str">
        <f>'Respuestas de formulario 1'!B1740</f>
        <v/>
      </c>
      <c r="D99" s="7" t="str">
        <f>'Respuestas de formulario 1'!C1740</f>
        <v/>
      </c>
      <c r="E99" s="7" t="str">
        <f>'Respuestas de formulario 1'!D1740</f>
        <v/>
      </c>
      <c r="F99" s="7" t="str">
        <f>'Respuestas de formulario 1'!E1740</f>
        <v/>
      </c>
      <c r="G99" s="7" t="str">
        <f>'Respuestas de formulario 1'!F1740</f>
        <v/>
      </c>
      <c r="H99" s="7" t="str">
        <f>'Respuestas de formulario 1'!G1740</f>
        <v/>
      </c>
      <c r="I99" s="7" t="str">
        <f>'Respuestas de formulario 1'!H1740</f>
        <v/>
      </c>
      <c r="J99" s="7" t="str">
        <f>'Respuestas de formulario 1'!I1740</f>
        <v/>
      </c>
      <c r="K99" s="7" t="str">
        <f>'Respuestas de formulario 1'!J1740</f>
        <v/>
      </c>
    </row>
    <row r="100">
      <c r="A100" s="7">
        <f t="shared" si="1"/>
        <v>100</v>
      </c>
      <c r="B100" s="7" t="str">
        <f>'Respuestas de formulario 1'!A1741</f>
        <v/>
      </c>
      <c r="C100" s="7" t="str">
        <f>'Respuestas de formulario 1'!B1741</f>
        <v/>
      </c>
      <c r="D100" s="7" t="str">
        <f>'Respuestas de formulario 1'!C1741</f>
        <v/>
      </c>
      <c r="E100" s="7" t="str">
        <f>'Respuestas de formulario 1'!D1741</f>
        <v/>
      </c>
      <c r="F100" s="7" t="str">
        <f>'Respuestas de formulario 1'!E1741</f>
        <v/>
      </c>
      <c r="G100" s="7" t="str">
        <f>'Respuestas de formulario 1'!F1741</f>
        <v/>
      </c>
      <c r="H100" s="7" t="str">
        <f>'Respuestas de formulario 1'!G1741</f>
        <v/>
      </c>
      <c r="I100" s="7" t="str">
        <f>'Respuestas de formulario 1'!H1741</f>
        <v/>
      </c>
      <c r="J100" s="7" t="str">
        <f>'Respuestas de formulario 1'!I1741</f>
        <v/>
      </c>
      <c r="K100" s="7" t="str">
        <f>'Respuestas de formulario 1'!J1741</f>
        <v/>
      </c>
    </row>
    <row r="101">
      <c r="A101" s="7">
        <f t="shared" si="1"/>
        <v>101</v>
      </c>
      <c r="B101" s="7" t="str">
        <f>'Respuestas de formulario 1'!A1742</f>
        <v/>
      </c>
      <c r="C101" s="7" t="str">
        <f>'Respuestas de formulario 1'!B1742</f>
        <v/>
      </c>
      <c r="D101" s="7" t="str">
        <f>'Respuestas de formulario 1'!C1742</f>
        <v/>
      </c>
      <c r="E101" s="7" t="str">
        <f>'Respuestas de formulario 1'!D1742</f>
        <v/>
      </c>
      <c r="F101" s="7" t="str">
        <f>'Respuestas de formulario 1'!E1742</f>
        <v/>
      </c>
      <c r="G101" s="7" t="str">
        <f>'Respuestas de formulario 1'!F1742</f>
        <v/>
      </c>
      <c r="H101" s="7" t="str">
        <f>'Respuestas de formulario 1'!G1742</f>
        <v/>
      </c>
      <c r="I101" s="7" t="str">
        <f>'Respuestas de formulario 1'!H1742</f>
        <v/>
      </c>
      <c r="J101" s="7" t="str">
        <f>'Respuestas de formulario 1'!I1742</f>
        <v/>
      </c>
      <c r="K101" s="7" t="str">
        <f>'Respuestas de formulario 1'!J1742</f>
        <v/>
      </c>
    </row>
    <row r="102">
      <c r="A102" s="7">
        <f t="shared" si="1"/>
        <v>102</v>
      </c>
      <c r="B102" s="7" t="str">
        <f>'Respuestas de formulario 1'!A1743</f>
        <v/>
      </c>
      <c r="C102" s="7" t="str">
        <f>'Respuestas de formulario 1'!B1743</f>
        <v/>
      </c>
      <c r="D102" s="7" t="str">
        <f>'Respuestas de formulario 1'!C1743</f>
        <v/>
      </c>
      <c r="E102" s="7" t="str">
        <f>'Respuestas de formulario 1'!D1743</f>
        <v/>
      </c>
      <c r="F102" s="7" t="str">
        <f>'Respuestas de formulario 1'!E1743</f>
        <v/>
      </c>
      <c r="G102" s="7" t="str">
        <f>'Respuestas de formulario 1'!F1743</f>
        <v/>
      </c>
      <c r="H102" s="7" t="str">
        <f>'Respuestas de formulario 1'!G1743</f>
        <v/>
      </c>
      <c r="I102" s="7" t="str">
        <f>'Respuestas de formulario 1'!H1743</f>
        <v/>
      </c>
      <c r="J102" s="7" t="str">
        <f>'Respuestas de formulario 1'!I1743</f>
        <v/>
      </c>
      <c r="K102" s="7" t="str">
        <f>'Respuestas de formulario 1'!J1743</f>
        <v/>
      </c>
    </row>
    <row r="103">
      <c r="A103" s="7">
        <f t="shared" si="1"/>
        <v>103</v>
      </c>
      <c r="B103" s="7" t="str">
        <f>'Respuestas de formulario 1'!A1744</f>
        <v/>
      </c>
      <c r="C103" s="7" t="str">
        <f>'Respuestas de formulario 1'!B1744</f>
        <v/>
      </c>
      <c r="D103" s="7" t="str">
        <f>'Respuestas de formulario 1'!C1744</f>
        <v/>
      </c>
      <c r="E103" s="7" t="str">
        <f>'Respuestas de formulario 1'!D1744</f>
        <v/>
      </c>
      <c r="F103" s="7" t="str">
        <f>'Respuestas de formulario 1'!E1744</f>
        <v/>
      </c>
      <c r="G103" s="7" t="str">
        <f>'Respuestas de formulario 1'!F1744</f>
        <v/>
      </c>
      <c r="H103" s="7" t="str">
        <f>'Respuestas de formulario 1'!G1744</f>
        <v/>
      </c>
      <c r="I103" s="7" t="str">
        <f>'Respuestas de formulario 1'!H1744</f>
        <v/>
      </c>
      <c r="J103" s="7" t="str">
        <f>'Respuestas de formulario 1'!I1744</f>
        <v/>
      </c>
      <c r="K103" s="7" t="str">
        <f>'Respuestas de formulario 1'!J1744</f>
        <v/>
      </c>
    </row>
    <row r="104">
      <c r="A104" s="7">
        <f t="shared" si="1"/>
        <v>104</v>
      </c>
      <c r="B104" s="7" t="str">
        <f>'Respuestas de formulario 1'!A1745</f>
        <v/>
      </c>
      <c r="C104" s="7" t="str">
        <f>'Respuestas de formulario 1'!B1745</f>
        <v/>
      </c>
      <c r="D104" s="7" t="str">
        <f>'Respuestas de formulario 1'!C1745</f>
        <v/>
      </c>
      <c r="E104" s="7" t="str">
        <f>'Respuestas de formulario 1'!D1745</f>
        <v/>
      </c>
      <c r="F104" s="7" t="str">
        <f>'Respuestas de formulario 1'!E1745</f>
        <v/>
      </c>
      <c r="G104" s="7" t="str">
        <f>'Respuestas de formulario 1'!F1745</f>
        <v/>
      </c>
      <c r="H104" s="7" t="str">
        <f>'Respuestas de formulario 1'!G1745</f>
        <v/>
      </c>
      <c r="I104" s="7" t="str">
        <f>'Respuestas de formulario 1'!H1745</f>
        <v/>
      </c>
      <c r="J104" s="7" t="str">
        <f>'Respuestas de formulario 1'!I1745</f>
        <v/>
      </c>
      <c r="K104" s="7" t="str">
        <f>'Respuestas de formulario 1'!J1745</f>
        <v/>
      </c>
    </row>
    <row r="105">
      <c r="A105" s="7">
        <f t="shared" si="1"/>
        <v>105</v>
      </c>
      <c r="B105" s="7" t="str">
        <f>'Respuestas de formulario 1'!A1746</f>
        <v/>
      </c>
      <c r="C105" s="7" t="str">
        <f>'Respuestas de formulario 1'!B1746</f>
        <v/>
      </c>
      <c r="D105" s="7" t="str">
        <f>'Respuestas de formulario 1'!C1746</f>
        <v/>
      </c>
      <c r="E105" s="7" t="str">
        <f>'Respuestas de formulario 1'!D1746</f>
        <v/>
      </c>
      <c r="F105" s="7" t="str">
        <f>'Respuestas de formulario 1'!E1746</f>
        <v/>
      </c>
      <c r="G105" s="7" t="str">
        <f>'Respuestas de formulario 1'!F1746</f>
        <v/>
      </c>
      <c r="H105" s="7" t="str">
        <f>'Respuestas de formulario 1'!G1746</f>
        <v/>
      </c>
      <c r="I105" s="7" t="str">
        <f>'Respuestas de formulario 1'!H1746</f>
        <v/>
      </c>
      <c r="J105" s="7" t="str">
        <f>'Respuestas de formulario 1'!I1746</f>
        <v/>
      </c>
      <c r="K105" s="7" t="str">
        <f>'Respuestas de formulario 1'!J1746</f>
        <v/>
      </c>
    </row>
    <row r="106">
      <c r="A106" s="7">
        <f t="shared" si="1"/>
        <v>106</v>
      </c>
      <c r="B106" s="7" t="str">
        <f>'Respuestas de formulario 1'!A1747</f>
        <v/>
      </c>
      <c r="C106" s="7" t="str">
        <f>'Respuestas de formulario 1'!B1747</f>
        <v/>
      </c>
      <c r="D106" s="7" t="str">
        <f>'Respuestas de formulario 1'!C1747</f>
        <v/>
      </c>
      <c r="E106" s="7" t="str">
        <f>'Respuestas de formulario 1'!D1747</f>
        <v/>
      </c>
      <c r="F106" s="7" t="str">
        <f>'Respuestas de formulario 1'!E1747</f>
        <v/>
      </c>
      <c r="G106" s="7" t="str">
        <f>'Respuestas de formulario 1'!F1747</f>
        <v/>
      </c>
      <c r="H106" s="7" t="str">
        <f>'Respuestas de formulario 1'!G1747</f>
        <v/>
      </c>
      <c r="I106" s="7" t="str">
        <f>'Respuestas de formulario 1'!H1747</f>
        <v/>
      </c>
      <c r="J106" s="7" t="str">
        <f>'Respuestas de formulario 1'!I1747</f>
        <v/>
      </c>
      <c r="K106" s="7" t="str">
        <f>'Respuestas de formulario 1'!J1747</f>
        <v/>
      </c>
    </row>
    <row r="107">
      <c r="A107" s="7">
        <f t="shared" si="1"/>
        <v>107</v>
      </c>
      <c r="B107" s="7" t="str">
        <f>'Respuestas de formulario 1'!A1748</f>
        <v/>
      </c>
      <c r="C107" s="7" t="str">
        <f>'Respuestas de formulario 1'!B1748</f>
        <v/>
      </c>
      <c r="D107" s="7" t="str">
        <f>'Respuestas de formulario 1'!C1748</f>
        <v/>
      </c>
      <c r="E107" s="7" t="str">
        <f>'Respuestas de formulario 1'!D1748</f>
        <v/>
      </c>
      <c r="F107" s="7" t="str">
        <f>'Respuestas de formulario 1'!E1748</f>
        <v/>
      </c>
      <c r="G107" s="7" t="str">
        <f>'Respuestas de formulario 1'!F1748</f>
        <v/>
      </c>
      <c r="H107" s="7" t="str">
        <f>'Respuestas de formulario 1'!G1748</f>
        <v/>
      </c>
      <c r="I107" s="7" t="str">
        <f>'Respuestas de formulario 1'!H1748</f>
        <v/>
      </c>
      <c r="J107" s="7" t="str">
        <f>'Respuestas de formulario 1'!I1748</f>
        <v/>
      </c>
      <c r="K107" s="7" t="str">
        <f>'Respuestas de formulario 1'!J1748</f>
        <v/>
      </c>
    </row>
    <row r="108">
      <c r="A108" s="7">
        <f t="shared" si="1"/>
        <v>108</v>
      </c>
      <c r="B108" s="7" t="str">
        <f>'Respuestas de formulario 1'!A1749</f>
        <v/>
      </c>
      <c r="C108" s="7" t="str">
        <f>'Respuestas de formulario 1'!B1749</f>
        <v/>
      </c>
      <c r="D108" s="7" t="str">
        <f>'Respuestas de formulario 1'!C1749</f>
        <v/>
      </c>
      <c r="E108" s="7" t="str">
        <f>'Respuestas de formulario 1'!D1749</f>
        <v/>
      </c>
      <c r="F108" s="7" t="str">
        <f>'Respuestas de formulario 1'!E1749</f>
        <v/>
      </c>
      <c r="G108" s="7" t="str">
        <f>'Respuestas de formulario 1'!F1749</f>
        <v/>
      </c>
      <c r="H108" s="7" t="str">
        <f>'Respuestas de formulario 1'!G1749</f>
        <v/>
      </c>
      <c r="I108" s="7" t="str">
        <f>'Respuestas de formulario 1'!H1749</f>
        <v/>
      </c>
      <c r="J108" s="7" t="str">
        <f>'Respuestas de formulario 1'!I1749</f>
        <v/>
      </c>
      <c r="K108" s="7" t="str">
        <f>'Respuestas de formulario 1'!J1749</f>
        <v/>
      </c>
    </row>
    <row r="109">
      <c r="A109" s="7">
        <f t="shared" si="1"/>
        <v>109</v>
      </c>
      <c r="B109" s="7" t="str">
        <f>'Respuestas de formulario 1'!A1750</f>
        <v/>
      </c>
      <c r="C109" s="7" t="str">
        <f>'Respuestas de formulario 1'!B1750</f>
        <v/>
      </c>
      <c r="D109" s="7" t="str">
        <f>'Respuestas de formulario 1'!C1750</f>
        <v/>
      </c>
      <c r="E109" s="7" t="str">
        <f>'Respuestas de formulario 1'!D1750</f>
        <v/>
      </c>
      <c r="F109" s="7" t="str">
        <f>'Respuestas de formulario 1'!E1750</f>
        <v/>
      </c>
      <c r="G109" s="7" t="str">
        <f>'Respuestas de formulario 1'!F1750</f>
        <v/>
      </c>
      <c r="H109" s="7" t="str">
        <f>'Respuestas de formulario 1'!G1750</f>
        <v/>
      </c>
      <c r="I109" s="7" t="str">
        <f>'Respuestas de formulario 1'!H1750</f>
        <v/>
      </c>
      <c r="J109" s="7" t="str">
        <f>'Respuestas de formulario 1'!I1750</f>
        <v/>
      </c>
      <c r="K109" s="7" t="str">
        <f>'Respuestas de formulario 1'!J1750</f>
        <v/>
      </c>
    </row>
    <row r="110">
      <c r="A110" s="7">
        <f t="shared" si="1"/>
        <v>110</v>
      </c>
      <c r="B110" s="7" t="str">
        <f>'Respuestas de formulario 1'!A1751</f>
        <v/>
      </c>
      <c r="C110" s="7" t="str">
        <f>'Respuestas de formulario 1'!B1751</f>
        <v/>
      </c>
      <c r="D110" s="7" t="str">
        <f>'Respuestas de formulario 1'!C1751</f>
        <v/>
      </c>
      <c r="E110" s="7" t="str">
        <f>'Respuestas de formulario 1'!D1751</f>
        <v/>
      </c>
      <c r="F110" s="7" t="str">
        <f>'Respuestas de formulario 1'!E1751</f>
        <v/>
      </c>
      <c r="G110" s="7" t="str">
        <f>'Respuestas de formulario 1'!F1751</f>
        <v/>
      </c>
      <c r="H110" s="7" t="str">
        <f>'Respuestas de formulario 1'!G1751</f>
        <v/>
      </c>
      <c r="I110" s="7" t="str">
        <f>'Respuestas de formulario 1'!H1751</f>
        <v/>
      </c>
      <c r="J110" s="7" t="str">
        <f>'Respuestas de formulario 1'!I1751</f>
        <v/>
      </c>
      <c r="K110" s="7" t="str">
        <f>'Respuestas de formulario 1'!J1751</f>
        <v/>
      </c>
    </row>
    <row r="111">
      <c r="A111" s="7">
        <f t="shared" si="1"/>
        <v>111</v>
      </c>
      <c r="B111" s="7" t="str">
        <f>'Respuestas de formulario 1'!A1752</f>
        <v/>
      </c>
      <c r="C111" s="7" t="str">
        <f>'Respuestas de formulario 1'!B1752</f>
        <v/>
      </c>
      <c r="D111" s="7" t="str">
        <f>'Respuestas de formulario 1'!C1752</f>
        <v/>
      </c>
      <c r="E111" s="7" t="str">
        <f>'Respuestas de formulario 1'!D1752</f>
        <v/>
      </c>
      <c r="F111" s="7" t="str">
        <f>'Respuestas de formulario 1'!E1752</f>
        <v/>
      </c>
      <c r="G111" s="7" t="str">
        <f>'Respuestas de formulario 1'!F1752</f>
        <v/>
      </c>
      <c r="H111" s="7" t="str">
        <f>'Respuestas de formulario 1'!G1752</f>
        <v/>
      </c>
      <c r="I111" s="7" t="str">
        <f>'Respuestas de formulario 1'!H1752</f>
        <v/>
      </c>
      <c r="J111" s="7" t="str">
        <f>'Respuestas de formulario 1'!I1752</f>
        <v/>
      </c>
      <c r="K111" s="7" t="str">
        <f>'Respuestas de formulario 1'!J1752</f>
        <v/>
      </c>
    </row>
    <row r="112">
      <c r="A112" s="7">
        <f t="shared" si="1"/>
        <v>112</v>
      </c>
      <c r="B112" s="7" t="str">
        <f>'Respuestas de formulario 1'!A1753</f>
        <v/>
      </c>
      <c r="C112" s="7" t="str">
        <f>'Respuestas de formulario 1'!B1753</f>
        <v/>
      </c>
      <c r="D112" s="7" t="str">
        <f>'Respuestas de formulario 1'!C1753</f>
        <v/>
      </c>
      <c r="E112" s="7" t="str">
        <f>'Respuestas de formulario 1'!D1753</f>
        <v/>
      </c>
      <c r="F112" s="7" t="str">
        <f>'Respuestas de formulario 1'!E1753</f>
        <v/>
      </c>
      <c r="G112" s="7" t="str">
        <f>'Respuestas de formulario 1'!F1753</f>
        <v/>
      </c>
      <c r="H112" s="7" t="str">
        <f>'Respuestas de formulario 1'!G1753</f>
        <v/>
      </c>
      <c r="I112" s="7" t="str">
        <f>'Respuestas de formulario 1'!H1753</f>
        <v/>
      </c>
      <c r="J112" s="7" t="str">
        <f>'Respuestas de formulario 1'!I1753</f>
        <v/>
      </c>
      <c r="K112" s="7" t="str">
        <f>'Respuestas de formulario 1'!J1753</f>
        <v/>
      </c>
    </row>
    <row r="113">
      <c r="A113" s="7">
        <f t="shared" si="1"/>
        <v>113</v>
      </c>
      <c r="B113" s="7" t="str">
        <f>'Respuestas de formulario 1'!A1754</f>
        <v/>
      </c>
      <c r="C113" s="7" t="str">
        <f>'Respuestas de formulario 1'!B1754</f>
        <v/>
      </c>
      <c r="D113" s="7" t="str">
        <f>'Respuestas de formulario 1'!C1754</f>
        <v/>
      </c>
      <c r="E113" s="7" t="str">
        <f>'Respuestas de formulario 1'!D1754</f>
        <v/>
      </c>
      <c r="F113" s="7" t="str">
        <f>'Respuestas de formulario 1'!E1754</f>
        <v/>
      </c>
      <c r="G113" s="7" t="str">
        <f>'Respuestas de formulario 1'!F1754</f>
        <v/>
      </c>
      <c r="H113" s="7" t="str">
        <f>'Respuestas de formulario 1'!G1754</f>
        <v/>
      </c>
      <c r="I113" s="7" t="str">
        <f>'Respuestas de formulario 1'!H1754</f>
        <v/>
      </c>
      <c r="J113" s="7" t="str">
        <f>'Respuestas de formulario 1'!I1754</f>
        <v/>
      </c>
      <c r="K113" s="7" t="str">
        <f>'Respuestas de formulario 1'!J1754</f>
        <v/>
      </c>
    </row>
    <row r="114">
      <c r="A114" s="7">
        <f t="shared" si="1"/>
        <v>114</v>
      </c>
      <c r="B114" s="7" t="str">
        <f>'Respuestas de formulario 1'!A1755</f>
        <v/>
      </c>
      <c r="C114" s="7" t="str">
        <f>'Respuestas de formulario 1'!B1755</f>
        <v/>
      </c>
      <c r="D114" s="7" t="str">
        <f>'Respuestas de formulario 1'!C1755</f>
        <v/>
      </c>
      <c r="E114" s="7" t="str">
        <f>'Respuestas de formulario 1'!D1755</f>
        <v/>
      </c>
      <c r="F114" s="7" t="str">
        <f>'Respuestas de formulario 1'!E1755</f>
        <v/>
      </c>
      <c r="G114" s="7" t="str">
        <f>'Respuestas de formulario 1'!F1755</f>
        <v/>
      </c>
      <c r="H114" s="7" t="str">
        <f>'Respuestas de formulario 1'!G1755</f>
        <v/>
      </c>
      <c r="I114" s="7" t="str">
        <f>'Respuestas de formulario 1'!H1755</f>
        <v/>
      </c>
      <c r="J114" s="7" t="str">
        <f>'Respuestas de formulario 1'!I1755</f>
        <v/>
      </c>
      <c r="K114" s="7" t="str">
        <f>'Respuestas de formulario 1'!J1755</f>
        <v/>
      </c>
    </row>
    <row r="115">
      <c r="A115" s="7">
        <f t="shared" si="1"/>
        <v>115</v>
      </c>
      <c r="B115" s="7" t="str">
        <f>'Respuestas de formulario 1'!A1756</f>
        <v/>
      </c>
      <c r="C115" s="7" t="str">
        <f>'Respuestas de formulario 1'!B1756</f>
        <v/>
      </c>
      <c r="D115" s="7" t="str">
        <f>'Respuestas de formulario 1'!C1756</f>
        <v/>
      </c>
      <c r="E115" s="7" t="str">
        <f>'Respuestas de formulario 1'!D1756</f>
        <v/>
      </c>
      <c r="F115" s="7" t="str">
        <f>'Respuestas de formulario 1'!E1756</f>
        <v/>
      </c>
      <c r="G115" s="7" t="str">
        <f>'Respuestas de formulario 1'!F1756</f>
        <v/>
      </c>
      <c r="H115" s="7" t="str">
        <f>'Respuestas de formulario 1'!G1756</f>
        <v/>
      </c>
      <c r="I115" s="7" t="str">
        <f>'Respuestas de formulario 1'!H1756</f>
        <v/>
      </c>
      <c r="J115" s="7" t="str">
        <f>'Respuestas de formulario 1'!I1756</f>
        <v/>
      </c>
      <c r="K115" s="7" t="str">
        <f>'Respuestas de formulario 1'!J1756</f>
        <v/>
      </c>
    </row>
    <row r="116">
      <c r="A116" s="7">
        <f t="shared" si="1"/>
        <v>116</v>
      </c>
      <c r="B116" s="7" t="str">
        <f>'Respuestas de formulario 1'!A1757</f>
        <v/>
      </c>
      <c r="C116" s="7" t="str">
        <f>'Respuestas de formulario 1'!B1757</f>
        <v/>
      </c>
      <c r="D116" s="7" t="str">
        <f>'Respuestas de formulario 1'!C1757</f>
        <v/>
      </c>
      <c r="E116" s="7" t="str">
        <f>'Respuestas de formulario 1'!D1757</f>
        <v/>
      </c>
      <c r="F116" s="7" t="str">
        <f>'Respuestas de formulario 1'!E1757</f>
        <v/>
      </c>
      <c r="G116" s="7" t="str">
        <f>'Respuestas de formulario 1'!F1757</f>
        <v/>
      </c>
      <c r="H116" s="7" t="str">
        <f>'Respuestas de formulario 1'!G1757</f>
        <v/>
      </c>
      <c r="I116" s="7" t="str">
        <f>'Respuestas de formulario 1'!H1757</f>
        <v/>
      </c>
      <c r="J116" s="7" t="str">
        <f>'Respuestas de formulario 1'!I1757</f>
        <v/>
      </c>
      <c r="K116" s="7" t="str">
        <f>'Respuestas de formulario 1'!J1757</f>
        <v/>
      </c>
    </row>
    <row r="117">
      <c r="A117" s="7">
        <f t="shared" si="1"/>
        <v>117</v>
      </c>
      <c r="B117" s="7" t="str">
        <f>'Respuestas de formulario 1'!A1758</f>
        <v/>
      </c>
      <c r="C117" s="7" t="str">
        <f>'Respuestas de formulario 1'!B1758</f>
        <v/>
      </c>
      <c r="D117" s="7" t="str">
        <f>'Respuestas de formulario 1'!C1758</f>
        <v/>
      </c>
      <c r="E117" s="7" t="str">
        <f>'Respuestas de formulario 1'!D1758</f>
        <v/>
      </c>
      <c r="F117" s="7" t="str">
        <f>'Respuestas de formulario 1'!E1758</f>
        <v/>
      </c>
      <c r="G117" s="7" t="str">
        <f>'Respuestas de formulario 1'!F1758</f>
        <v/>
      </c>
      <c r="H117" s="7" t="str">
        <f>'Respuestas de formulario 1'!G1758</f>
        <v/>
      </c>
      <c r="I117" s="7" t="str">
        <f>'Respuestas de formulario 1'!H1758</f>
        <v/>
      </c>
      <c r="J117" s="7" t="str">
        <f>'Respuestas de formulario 1'!I1758</f>
        <v/>
      </c>
      <c r="K117" s="7" t="str">
        <f>'Respuestas de formulario 1'!J1758</f>
        <v/>
      </c>
    </row>
    <row r="118">
      <c r="A118" s="7">
        <f t="shared" si="1"/>
        <v>118</v>
      </c>
      <c r="B118" s="7" t="str">
        <f>'Respuestas de formulario 1'!A1759</f>
        <v/>
      </c>
      <c r="C118" s="7" t="str">
        <f>'Respuestas de formulario 1'!B1759</f>
        <v/>
      </c>
      <c r="D118" s="7" t="str">
        <f>'Respuestas de formulario 1'!C1759</f>
        <v/>
      </c>
      <c r="E118" s="7" t="str">
        <f>'Respuestas de formulario 1'!D1759</f>
        <v/>
      </c>
      <c r="F118" s="7" t="str">
        <f>'Respuestas de formulario 1'!E1759</f>
        <v/>
      </c>
      <c r="G118" s="7" t="str">
        <f>'Respuestas de formulario 1'!F1759</f>
        <v/>
      </c>
      <c r="H118" s="7" t="str">
        <f>'Respuestas de formulario 1'!G1759</f>
        <v/>
      </c>
      <c r="I118" s="7" t="str">
        <f>'Respuestas de formulario 1'!H1759</f>
        <v/>
      </c>
      <c r="J118" s="7" t="str">
        <f>'Respuestas de formulario 1'!I1759</f>
        <v/>
      </c>
      <c r="K118" s="7" t="str">
        <f>'Respuestas de formulario 1'!J1759</f>
        <v/>
      </c>
    </row>
    <row r="119">
      <c r="A119" s="7">
        <f t="shared" si="1"/>
        <v>119</v>
      </c>
      <c r="B119" s="7" t="str">
        <f>'Respuestas de formulario 1'!A2760</f>
        <v/>
      </c>
      <c r="C119" s="7" t="str">
        <f>'Respuestas de formulario 1'!B2760</f>
        <v/>
      </c>
      <c r="D119" s="7" t="str">
        <f>'Respuestas de formulario 1'!C2760</f>
        <v/>
      </c>
      <c r="E119" s="7" t="str">
        <f>'Respuestas de formulario 1'!D2760</f>
        <v/>
      </c>
      <c r="F119" s="7" t="str">
        <f>'Respuestas de formulario 1'!E2760</f>
        <v/>
      </c>
      <c r="G119" s="7" t="str">
        <f>'Respuestas de formulario 1'!F2760</f>
        <v/>
      </c>
      <c r="H119" s="7" t="str">
        <f>'Respuestas de formulario 1'!G2760</f>
        <v/>
      </c>
      <c r="I119" s="7" t="str">
        <f>'Respuestas de formulario 1'!H2760</f>
        <v/>
      </c>
      <c r="J119" s="7" t="str">
        <f>'Respuestas de formulario 1'!I2760</f>
        <v/>
      </c>
      <c r="K119" s="7" t="str">
        <f>'Respuestas de formulario 1'!J2760</f>
        <v/>
      </c>
    </row>
    <row r="120">
      <c r="A120" s="7">
        <f t="shared" si="1"/>
        <v>120</v>
      </c>
      <c r="B120" s="7" t="str">
        <f>'Respuestas de formulario 1'!A2761</f>
        <v/>
      </c>
      <c r="C120" s="7" t="str">
        <f>'Respuestas de formulario 1'!B2761</f>
        <v/>
      </c>
      <c r="D120" s="7" t="str">
        <f>'Respuestas de formulario 1'!C2761</f>
        <v/>
      </c>
      <c r="E120" s="7" t="str">
        <f>'Respuestas de formulario 1'!D2761</f>
        <v/>
      </c>
      <c r="F120" s="7" t="str">
        <f>'Respuestas de formulario 1'!E2761</f>
        <v/>
      </c>
      <c r="G120" s="7" t="str">
        <f>'Respuestas de formulario 1'!F2761</f>
        <v/>
      </c>
      <c r="H120" s="7" t="str">
        <f>'Respuestas de formulario 1'!G2761</f>
        <v/>
      </c>
      <c r="I120" s="7" t="str">
        <f>'Respuestas de formulario 1'!H2761</f>
        <v/>
      </c>
      <c r="J120" s="7" t="str">
        <f>'Respuestas de formulario 1'!I2761</f>
        <v/>
      </c>
      <c r="K120" s="7" t="str">
        <f>'Respuestas de formulario 1'!J2761</f>
        <v/>
      </c>
    </row>
    <row r="121">
      <c r="A121" s="7">
        <f t="shared" si="1"/>
        <v>121</v>
      </c>
      <c r="B121" s="7" t="str">
        <f>'Respuestas de formulario 1'!A2762</f>
        <v/>
      </c>
      <c r="C121" s="7" t="str">
        <f>'Respuestas de formulario 1'!B2762</f>
        <v/>
      </c>
      <c r="D121" s="7" t="str">
        <f>'Respuestas de formulario 1'!C2762</f>
        <v/>
      </c>
      <c r="E121" s="7" t="str">
        <f>'Respuestas de formulario 1'!D2762</f>
        <v/>
      </c>
      <c r="F121" s="7" t="str">
        <f>'Respuestas de formulario 1'!E2762</f>
        <v/>
      </c>
      <c r="G121" s="7" t="str">
        <f>'Respuestas de formulario 1'!F2762</f>
        <v/>
      </c>
      <c r="H121" s="7" t="str">
        <f>'Respuestas de formulario 1'!G2762</f>
        <v/>
      </c>
      <c r="I121" s="7" t="str">
        <f>'Respuestas de formulario 1'!H2762</f>
        <v/>
      </c>
      <c r="J121" s="7" t="str">
        <f>'Respuestas de formulario 1'!I2762</f>
        <v/>
      </c>
      <c r="K121" s="7" t="str">
        <f>'Respuestas de formulario 1'!J2762</f>
        <v/>
      </c>
    </row>
    <row r="122">
      <c r="A122" s="7">
        <f t="shared" si="1"/>
        <v>122</v>
      </c>
      <c r="B122" s="7" t="str">
        <f>'Respuestas de formulario 1'!A2763</f>
        <v/>
      </c>
      <c r="C122" s="7" t="str">
        <f>'Respuestas de formulario 1'!B2763</f>
        <v/>
      </c>
      <c r="D122" s="7" t="str">
        <f>'Respuestas de formulario 1'!C2763</f>
        <v/>
      </c>
      <c r="E122" s="7" t="str">
        <f>'Respuestas de formulario 1'!D2763</f>
        <v/>
      </c>
      <c r="F122" s="7" t="str">
        <f>'Respuestas de formulario 1'!E2763</f>
        <v/>
      </c>
      <c r="G122" s="7" t="str">
        <f>'Respuestas de formulario 1'!F2763</f>
        <v/>
      </c>
      <c r="H122" s="7" t="str">
        <f>'Respuestas de formulario 1'!G2763</f>
        <v/>
      </c>
      <c r="I122" s="7" t="str">
        <f>'Respuestas de formulario 1'!H2763</f>
        <v/>
      </c>
      <c r="J122" s="7" t="str">
        <f>'Respuestas de formulario 1'!I2763</f>
        <v/>
      </c>
      <c r="K122" s="7" t="str">
        <f>'Respuestas de formulario 1'!J2763</f>
        <v/>
      </c>
    </row>
    <row r="123">
      <c r="A123" s="7">
        <f t="shared" si="1"/>
        <v>123</v>
      </c>
      <c r="B123" s="7" t="str">
        <f>'Respuestas de formulario 1'!A2764</f>
        <v/>
      </c>
      <c r="C123" s="7" t="str">
        <f>'Respuestas de formulario 1'!B2764</f>
        <v/>
      </c>
      <c r="D123" s="7" t="str">
        <f>'Respuestas de formulario 1'!C2764</f>
        <v/>
      </c>
      <c r="E123" s="7" t="str">
        <f>'Respuestas de formulario 1'!D2764</f>
        <v/>
      </c>
      <c r="F123" s="7" t="str">
        <f>'Respuestas de formulario 1'!E2764</f>
        <v/>
      </c>
      <c r="G123" s="7" t="str">
        <f>'Respuestas de formulario 1'!F2764</f>
        <v/>
      </c>
      <c r="H123" s="7" t="str">
        <f>'Respuestas de formulario 1'!G2764</f>
        <v/>
      </c>
      <c r="I123" s="7" t="str">
        <f>'Respuestas de formulario 1'!H2764</f>
        <v/>
      </c>
      <c r="J123" s="7" t="str">
        <f>'Respuestas de formulario 1'!I2764</f>
        <v/>
      </c>
      <c r="K123" s="7" t="str">
        <f>'Respuestas de formulario 1'!J2764</f>
        <v/>
      </c>
    </row>
    <row r="124">
      <c r="A124" s="7">
        <f t="shared" si="1"/>
        <v>124</v>
      </c>
      <c r="B124" s="7" t="str">
        <f>'Respuestas de formulario 1'!A2765</f>
        <v/>
      </c>
      <c r="C124" s="7" t="str">
        <f>'Respuestas de formulario 1'!B2765</f>
        <v/>
      </c>
      <c r="D124" s="7" t="str">
        <f>'Respuestas de formulario 1'!C2765</f>
        <v/>
      </c>
      <c r="E124" s="7" t="str">
        <f>'Respuestas de formulario 1'!D2765</f>
        <v/>
      </c>
      <c r="F124" s="7" t="str">
        <f>'Respuestas de formulario 1'!E2765</f>
        <v/>
      </c>
      <c r="G124" s="7" t="str">
        <f>'Respuestas de formulario 1'!F2765</f>
        <v/>
      </c>
      <c r="H124" s="7" t="str">
        <f>'Respuestas de formulario 1'!G2765</f>
        <v/>
      </c>
      <c r="I124" s="7" t="str">
        <f>'Respuestas de formulario 1'!H2765</f>
        <v/>
      </c>
      <c r="J124" s="7" t="str">
        <f>'Respuestas de formulario 1'!I2765</f>
        <v/>
      </c>
      <c r="K124" s="7" t="str">
        <f>'Respuestas de formulario 1'!J2765</f>
        <v/>
      </c>
    </row>
    <row r="125">
      <c r="A125" s="7">
        <f t="shared" si="1"/>
        <v>125</v>
      </c>
      <c r="B125" s="7" t="str">
        <f>'Respuestas de formulario 1'!A2766</f>
        <v/>
      </c>
      <c r="C125" s="7" t="str">
        <f>'Respuestas de formulario 1'!B2766</f>
        <v/>
      </c>
      <c r="D125" s="7" t="str">
        <f>'Respuestas de formulario 1'!C2766</f>
        <v/>
      </c>
      <c r="E125" s="7" t="str">
        <f>'Respuestas de formulario 1'!D2766</f>
        <v/>
      </c>
      <c r="F125" s="7" t="str">
        <f>'Respuestas de formulario 1'!E2766</f>
        <v/>
      </c>
      <c r="G125" s="7" t="str">
        <f>'Respuestas de formulario 1'!F2766</f>
        <v/>
      </c>
      <c r="H125" s="7" t="str">
        <f>'Respuestas de formulario 1'!G2766</f>
        <v/>
      </c>
      <c r="I125" s="7" t="str">
        <f>'Respuestas de formulario 1'!H2766</f>
        <v/>
      </c>
      <c r="J125" s="7" t="str">
        <f>'Respuestas de formulario 1'!I2766</f>
        <v/>
      </c>
      <c r="K125" s="7" t="str">
        <f>'Respuestas de formulario 1'!J2766</f>
        <v/>
      </c>
    </row>
    <row r="126">
      <c r="A126" s="7">
        <f t="shared" si="1"/>
        <v>126</v>
      </c>
      <c r="B126" s="7" t="str">
        <f>'Respuestas de formulario 1'!A2767</f>
        <v/>
      </c>
      <c r="C126" s="7" t="str">
        <f>'Respuestas de formulario 1'!B2767</f>
        <v/>
      </c>
      <c r="D126" s="7" t="str">
        <f>'Respuestas de formulario 1'!C2767</f>
        <v/>
      </c>
      <c r="E126" s="7" t="str">
        <f>'Respuestas de formulario 1'!D2767</f>
        <v/>
      </c>
      <c r="F126" s="7" t="str">
        <f>'Respuestas de formulario 1'!E2767</f>
        <v/>
      </c>
      <c r="G126" s="7" t="str">
        <f>'Respuestas de formulario 1'!F2767</f>
        <v/>
      </c>
      <c r="H126" s="7" t="str">
        <f>'Respuestas de formulario 1'!G2767</f>
        <v/>
      </c>
      <c r="I126" s="7" t="str">
        <f>'Respuestas de formulario 1'!H2767</f>
        <v/>
      </c>
      <c r="J126" s="7" t="str">
        <f>'Respuestas de formulario 1'!I2767</f>
        <v/>
      </c>
      <c r="K126" s="7" t="str">
        <f>'Respuestas de formulario 1'!J2767</f>
        <v/>
      </c>
    </row>
    <row r="127">
      <c r="A127" s="7">
        <f t="shared" si="1"/>
        <v>127</v>
      </c>
      <c r="B127" s="7" t="str">
        <f>'Respuestas de formulario 1'!A2768</f>
        <v/>
      </c>
      <c r="C127" s="7" t="str">
        <f>'Respuestas de formulario 1'!B2768</f>
        <v/>
      </c>
      <c r="D127" s="7" t="str">
        <f>'Respuestas de formulario 1'!C2768</f>
        <v/>
      </c>
      <c r="E127" s="7" t="str">
        <f>'Respuestas de formulario 1'!D2768</f>
        <v/>
      </c>
      <c r="F127" s="7" t="str">
        <f>'Respuestas de formulario 1'!E2768</f>
        <v/>
      </c>
      <c r="G127" s="7" t="str">
        <f>'Respuestas de formulario 1'!F2768</f>
        <v/>
      </c>
      <c r="H127" s="7" t="str">
        <f>'Respuestas de formulario 1'!G2768</f>
        <v/>
      </c>
      <c r="I127" s="7" t="str">
        <f>'Respuestas de formulario 1'!H2768</f>
        <v/>
      </c>
      <c r="J127" s="7" t="str">
        <f>'Respuestas de formulario 1'!I2768</f>
        <v/>
      </c>
      <c r="K127" s="7" t="str">
        <f>'Respuestas de formulario 1'!J2768</f>
        <v/>
      </c>
    </row>
    <row r="128">
      <c r="A128" s="7">
        <f t="shared" si="1"/>
        <v>128</v>
      </c>
      <c r="B128" s="7" t="str">
        <f>'Respuestas de formulario 1'!A2769</f>
        <v/>
      </c>
      <c r="C128" s="7" t="str">
        <f>'Respuestas de formulario 1'!B2769</f>
        <v/>
      </c>
      <c r="D128" s="7" t="str">
        <f>'Respuestas de formulario 1'!C2769</f>
        <v/>
      </c>
      <c r="E128" s="7" t="str">
        <f>'Respuestas de formulario 1'!D2769</f>
        <v/>
      </c>
      <c r="F128" s="7" t="str">
        <f>'Respuestas de formulario 1'!E2769</f>
        <v/>
      </c>
      <c r="G128" s="7" t="str">
        <f>'Respuestas de formulario 1'!F2769</f>
        <v/>
      </c>
      <c r="H128" s="7" t="str">
        <f>'Respuestas de formulario 1'!G2769</f>
        <v/>
      </c>
      <c r="I128" s="7" t="str">
        <f>'Respuestas de formulario 1'!H2769</f>
        <v/>
      </c>
      <c r="J128" s="7" t="str">
        <f>'Respuestas de formulario 1'!I2769</f>
        <v/>
      </c>
      <c r="K128" s="7" t="str">
        <f>'Respuestas de formulario 1'!J2769</f>
        <v/>
      </c>
    </row>
    <row r="129">
      <c r="A129" s="7">
        <f t="shared" si="1"/>
        <v>129</v>
      </c>
      <c r="B129" s="7" t="str">
        <f>'Respuestas de formulario 1'!A2770</f>
        <v/>
      </c>
      <c r="C129" s="7" t="str">
        <f>'Respuestas de formulario 1'!B2770</f>
        <v/>
      </c>
      <c r="D129" s="7" t="str">
        <f>'Respuestas de formulario 1'!C2770</f>
        <v/>
      </c>
      <c r="E129" s="7" t="str">
        <f>'Respuestas de formulario 1'!D2770</f>
        <v/>
      </c>
      <c r="F129" s="7" t="str">
        <f>'Respuestas de formulario 1'!E2770</f>
        <v/>
      </c>
      <c r="G129" s="7" t="str">
        <f>'Respuestas de formulario 1'!F2770</f>
        <v/>
      </c>
      <c r="H129" s="7" t="str">
        <f>'Respuestas de formulario 1'!G2770</f>
        <v/>
      </c>
      <c r="I129" s="7" t="str">
        <f>'Respuestas de formulario 1'!H2770</f>
        <v/>
      </c>
      <c r="J129" s="7" t="str">
        <f>'Respuestas de formulario 1'!I2770</f>
        <v/>
      </c>
      <c r="K129" s="7" t="str">
        <f>'Respuestas de formulario 1'!J2770</f>
        <v/>
      </c>
    </row>
    <row r="130">
      <c r="A130" s="7">
        <f t="shared" si="1"/>
        <v>130</v>
      </c>
      <c r="B130" s="7" t="str">
        <f>'Respuestas de formulario 1'!A2771</f>
        <v/>
      </c>
      <c r="C130" s="7" t="str">
        <f>'Respuestas de formulario 1'!B2771</f>
        <v/>
      </c>
      <c r="D130" s="7" t="str">
        <f>'Respuestas de formulario 1'!C2771</f>
        <v/>
      </c>
      <c r="E130" s="7" t="str">
        <f>'Respuestas de formulario 1'!D2771</f>
        <v/>
      </c>
      <c r="F130" s="7" t="str">
        <f>'Respuestas de formulario 1'!E2771</f>
        <v/>
      </c>
      <c r="G130" s="7" t="str">
        <f>'Respuestas de formulario 1'!F2771</f>
        <v/>
      </c>
      <c r="H130" s="7" t="str">
        <f>'Respuestas de formulario 1'!G2771</f>
        <v/>
      </c>
      <c r="I130" s="7" t="str">
        <f>'Respuestas de formulario 1'!H2771</f>
        <v/>
      </c>
      <c r="J130" s="7" t="str">
        <f>'Respuestas de formulario 1'!I2771</f>
        <v/>
      </c>
      <c r="K130" s="7" t="str">
        <f>'Respuestas de formulario 1'!J2771</f>
        <v/>
      </c>
    </row>
    <row r="131">
      <c r="A131" s="7">
        <f t="shared" si="1"/>
        <v>131</v>
      </c>
      <c r="B131" s="7" t="str">
        <f>'Respuestas de formulario 1'!A2772</f>
        <v/>
      </c>
      <c r="C131" s="7" t="str">
        <f>'Respuestas de formulario 1'!B2772</f>
        <v/>
      </c>
      <c r="D131" s="7" t="str">
        <f>'Respuestas de formulario 1'!C2772</f>
        <v/>
      </c>
      <c r="E131" s="7" t="str">
        <f>'Respuestas de formulario 1'!D2772</f>
        <v/>
      </c>
      <c r="F131" s="7" t="str">
        <f>'Respuestas de formulario 1'!E2772</f>
        <v/>
      </c>
      <c r="G131" s="7" t="str">
        <f>'Respuestas de formulario 1'!F2772</f>
        <v/>
      </c>
      <c r="H131" s="7" t="str">
        <f>'Respuestas de formulario 1'!G2772</f>
        <v/>
      </c>
      <c r="I131" s="7" t="str">
        <f>'Respuestas de formulario 1'!H2772</f>
        <v/>
      </c>
      <c r="J131" s="7" t="str">
        <f>'Respuestas de formulario 1'!I2772</f>
        <v/>
      </c>
      <c r="K131" s="7" t="str">
        <f>'Respuestas de formulario 1'!J2772</f>
        <v/>
      </c>
    </row>
    <row r="132">
      <c r="A132" s="7">
        <f t="shared" si="1"/>
        <v>132</v>
      </c>
      <c r="B132" s="7" t="str">
        <f>'Respuestas de formulario 1'!A2773</f>
        <v/>
      </c>
      <c r="C132" s="7" t="str">
        <f>'Respuestas de formulario 1'!B2773</f>
        <v/>
      </c>
      <c r="D132" s="7" t="str">
        <f>'Respuestas de formulario 1'!C2773</f>
        <v/>
      </c>
      <c r="E132" s="7" t="str">
        <f>'Respuestas de formulario 1'!D2773</f>
        <v/>
      </c>
      <c r="F132" s="7" t="str">
        <f>'Respuestas de formulario 1'!E2773</f>
        <v/>
      </c>
      <c r="G132" s="7" t="str">
        <f>'Respuestas de formulario 1'!F2773</f>
        <v/>
      </c>
      <c r="H132" s="7" t="str">
        <f>'Respuestas de formulario 1'!G2773</f>
        <v/>
      </c>
      <c r="I132" s="7" t="str">
        <f>'Respuestas de formulario 1'!H2773</f>
        <v/>
      </c>
      <c r="J132" s="7" t="str">
        <f>'Respuestas de formulario 1'!I2773</f>
        <v/>
      </c>
      <c r="K132" s="7" t="str">
        <f>'Respuestas de formulario 1'!J2773</f>
        <v/>
      </c>
    </row>
    <row r="133">
      <c r="A133" s="7">
        <f t="shared" si="1"/>
        <v>133</v>
      </c>
      <c r="B133" s="7" t="str">
        <f>'Respuestas de formulario 1'!A2774</f>
        <v/>
      </c>
      <c r="C133" s="7" t="str">
        <f>'Respuestas de formulario 1'!B2774</f>
        <v/>
      </c>
      <c r="D133" s="7" t="str">
        <f>'Respuestas de formulario 1'!C2774</f>
        <v/>
      </c>
      <c r="E133" s="7" t="str">
        <f>'Respuestas de formulario 1'!D2774</f>
        <v/>
      </c>
      <c r="F133" s="7" t="str">
        <f>'Respuestas de formulario 1'!E2774</f>
        <v/>
      </c>
      <c r="G133" s="7" t="str">
        <f>'Respuestas de formulario 1'!F2774</f>
        <v/>
      </c>
      <c r="H133" s="7" t="str">
        <f>'Respuestas de formulario 1'!G2774</f>
        <v/>
      </c>
      <c r="I133" s="7" t="str">
        <f>'Respuestas de formulario 1'!H2774</f>
        <v/>
      </c>
      <c r="J133" s="7" t="str">
        <f>'Respuestas de formulario 1'!I2774</f>
        <v/>
      </c>
      <c r="K133" s="7" t="str">
        <f>'Respuestas de formulario 1'!J2774</f>
        <v/>
      </c>
    </row>
    <row r="134">
      <c r="A134" s="7">
        <f t="shared" si="1"/>
        <v>134</v>
      </c>
      <c r="B134" s="7" t="str">
        <f>'Respuestas de formulario 1'!A2775</f>
        <v/>
      </c>
      <c r="C134" s="7" t="str">
        <f>'Respuestas de formulario 1'!B2775</f>
        <v/>
      </c>
      <c r="D134" s="7" t="str">
        <f>'Respuestas de formulario 1'!C2775</f>
        <v/>
      </c>
      <c r="E134" s="7" t="str">
        <f>'Respuestas de formulario 1'!D2775</f>
        <v/>
      </c>
      <c r="F134" s="7" t="str">
        <f>'Respuestas de formulario 1'!E2775</f>
        <v/>
      </c>
      <c r="G134" s="7" t="str">
        <f>'Respuestas de formulario 1'!F2775</f>
        <v/>
      </c>
      <c r="H134" s="7" t="str">
        <f>'Respuestas de formulario 1'!G2775</f>
        <v/>
      </c>
      <c r="I134" s="7" t="str">
        <f>'Respuestas de formulario 1'!H2775</f>
        <v/>
      </c>
      <c r="J134" s="7" t="str">
        <f>'Respuestas de formulario 1'!I2775</f>
        <v/>
      </c>
      <c r="K134" s="7" t="str">
        <f>'Respuestas de formulario 1'!J2775</f>
        <v/>
      </c>
    </row>
    <row r="135">
      <c r="A135" s="7">
        <f t="shared" si="1"/>
        <v>135</v>
      </c>
      <c r="B135" s="7" t="str">
        <f>'Respuestas de formulario 1'!A2776</f>
        <v/>
      </c>
      <c r="C135" s="7" t="str">
        <f>'Respuestas de formulario 1'!B2776</f>
        <v/>
      </c>
      <c r="D135" s="7" t="str">
        <f>'Respuestas de formulario 1'!C2776</f>
        <v/>
      </c>
      <c r="E135" s="7" t="str">
        <f>'Respuestas de formulario 1'!D2776</f>
        <v/>
      </c>
      <c r="F135" s="7" t="str">
        <f>'Respuestas de formulario 1'!E2776</f>
        <v/>
      </c>
      <c r="G135" s="7" t="str">
        <f>'Respuestas de formulario 1'!F2776</f>
        <v/>
      </c>
      <c r="H135" s="7" t="str">
        <f>'Respuestas de formulario 1'!G2776</f>
        <v/>
      </c>
      <c r="I135" s="7" t="str">
        <f>'Respuestas de formulario 1'!H2776</f>
        <v/>
      </c>
      <c r="J135" s="7" t="str">
        <f>'Respuestas de formulario 1'!I2776</f>
        <v/>
      </c>
      <c r="K135" s="7" t="str">
        <f>'Respuestas de formulario 1'!J2776</f>
        <v/>
      </c>
    </row>
    <row r="136">
      <c r="A136" s="7">
        <f t="shared" si="1"/>
        <v>136</v>
      </c>
      <c r="B136" s="7" t="str">
        <f>'Respuestas de formulario 1'!A2777</f>
        <v/>
      </c>
      <c r="C136" s="7" t="str">
        <f>'Respuestas de formulario 1'!B2777</f>
        <v/>
      </c>
      <c r="D136" s="7" t="str">
        <f>'Respuestas de formulario 1'!C2777</f>
        <v/>
      </c>
      <c r="E136" s="7" t="str">
        <f>'Respuestas de formulario 1'!D2777</f>
        <v/>
      </c>
      <c r="F136" s="7" t="str">
        <f>'Respuestas de formulario 1'!E2777</f>
        <v/>
      </c>
      <c r="G136" s="7" t="str">
        <f>'Respuestas de formulario 1'!F2777</f>
        <v/>
      </c>
      <c r="H136" s="7" t="str">
        <f>'Respuestas de formulario 1'!G2777</f>
        <v/>
      </c>
      <c r="I136" s="7" t="str">
        <f>'Respuestas de formulario 1'!H2777</f>
        <v/>
      </c>
      <c r="J136" s="7" t="str">
        <f>'Respuestas de formulario 1'!I2777</f>
        <v/>
      </c>
      <c r="K136" s="7" t="str">
        <f>'Respuestas de formulario 1'!J2777</f>
        <v/>
      </c>
    </row>
    <row r="137">
      <c r="A137" s="7">
        <f t="shared" si="1"/>
        <v>137</v>
      </c>
      <c r="B137" s="7" t="str">
        <f>'Respuestas de formulario 1'!A2778</f>
        <v/>
      </c>
      <c r="C137" s="7" t="str">
        <f>'Respuestas de formulario 1'!B2778</f>
        <v/>
      </c>
      <c r="D137" s="7" t="str">
        <f>'Respuestas de formulario 1'!C2778</f>
        <v/>
      </c>
      <c r="E137" s="7" t="str">
        <f>'Respuestas de formulario 1'!D2778</f>
        <v/>
      </c>
      <c r="F137" s="7" t="str">
        <f>'Respuestas de formulario 1'!E2778</f>
        <v/>
      </c>
      <c r="G137" s="7" t="str">
        <f>'Respuestas de formulario 1'!F2778</f>
        <v/>
      </c>
      <c r="H137" s="7" t="str">
        <f>'Respuestas de formulario 1'!G2778</f>
        <v/>
      </c>
      <c r="I137" s="7" t="str">
        <f>'Respuestas de formulario 1'!H2778</f>
        <v/>
      </c>
      <c r="J137" s="7" t="str">
        <f>'Respuestas de formulario 1'!I2778</f>
        <v/>
      </c>
      <c r="K137" s="7" t="str">
        <f>'Respuestas de formulario 1'!J2778</f>
        <v/>
      </c>
    </row>
    <row r="138">
      <c r="A138" s="7">
        <f t="shared" si="1"/>
        <v>138</v>
      </c>
      <c r="B138" s="7" t="str">
        <f>'Respuestas de formulario 1'!A2779</f>
        <v/>
      </c>
      <c r="C138" s="7" t="str">
        <f>'Respuestas de formulario 1'!B2779</f>
        <v/>
      </c>
      <c r="D138" s="7" t="str">
        <f>'Respuestas de formulario 1'!C2779</f>
        <v/>
      </c>
      <c r="E138" s="7" t="str">
        <f>'Respuestas de formulario 1'!D2779</f>
        <v/>
      </c>
      <c r="F138" s="7" t="str">
        <f>'Respuestas de formulario 1'!E2779</f>
        <v/>
      </c>
      <c r="G138" s="7" t="str">
        <f>'Respuestas de formulario 1'!F2779</f>
        <v/>
      </c>
      <c r="H138" s="7" t="str">
        <f>'Respuestas de formulario 1'!G2779</f>
        <v/>
      </c>
      <c r="I138" s="7" t="str">
        <f>'Respuestas de formulario 1'!H2779</f>
        <v/>
      </c>
      <c r="J138" s="7" t="str">
        <f>'Respuestas de formulario 1'!I2779</f>
        <v/>
      </c>
      <c r="K138" s="7" t="str">
        <f>'Respuestas de formulario 1'!J2779</f>
        <v/>
      </c>
    </row>
    <row r="139">
      <c r="A139" s="7">
        <f t="shared" si="1"/>
        <v>139</v>
      </c>
      <c r="B139" s="7" t="str">
        <f>'Respuestas de formulario 1'!A2780</f>
        <v/>
      </c>
      <c r="C139" s="7" t="str">
        <f>'Respuestas de formulario 1'!B2780</f>
        <v/>
      </c>
      <c r="D139" s="7" t="str">
        <f>'Respuestas de formulario 1'!C2780</f>
        <v/>
      </c>
      <c r="E139" s="7" t="str">
        <f>'Respuestas de formulario 1'!D2780</f>
        <v/>
      </c>
      <c r="F139" s="7" t="str">
        <f>'Respuestas de formulario 1'!E2780</f>
        <v/>
      </c>
      <c r="G139" s="7" t="str">
        <f>'Respuestas de formulario 1'!F2780</f>
        <v/>
      </c>
      <c r="H139" s="7" t="str">
        <f>'Respuestas de formulario 1'!G2780</f>
        <v/>
      </c>
      <c r="I139" s="7" t="str">
        <f>'Respuestas de formulario 1'!H2780</f>
        <v/>
      </c>
      <c r="J139" s="7" t="str">
        <f>'Respuestas de formulario 1'!I2780</f>
        <v/>
      </c>
      <c r="K139" s="7" t="str">
        <f>'Respuestas de formulario 1'!J2780</f>
        <v/>
      </c>
    </row>
    <row r="140">
      <c r="A140" s="7">
        <f t="shared" si="1"/>
        <v>140</v>
      </c>
      <c r="B140" s="7" t="str">
        <f>'Respuestas de formulario 1'!A2781</f>
        <v/>
      </c>
      <c r="C140" s="7" t="str">
        <f>'Respuestas de formulario 1'!B2781</f>
        <v/>
      </c>
      <c r="D140" s="7" t="str">
        <f>'Respuestas de formulario 1'!C2781</f>
        <v/>
      </c>
      <c r="E140" s="7" t="str">
        <f>'Respuestas de formulario 1'!D2781</f>
        <v/>
      </c>
      <c r="F140" s="7" t="str">
        <f>'Respuestas de formulario 1'!E2781</f>
        <v/>
      </c>
      <c r="G140" s="7" t="str">
        <f>'Respuestas de formulario 1'!F2781</f>
        <v/>
      </c>
      <c r="H140" s="7" t="str">
        <f>'Respuestas de formulario 1'!G2781</f>
        <v/>
      </c>
      <c r="I140" s="7" t="str">
        <f>'Respuestas de formulario 1'!H2781</f>
        <v/>
      </c>
      <c r="J140" s="7" t="str">
        <f>'Respuestas de formulario 1'!I2781</f>
        <v/>
      </c>
      <c r="K140" s="7" t="str">
        <f>'Respuestas de formulario 1'!J2781</f>
        <v/>
      </c>
    </row>
    <row r="141">
      <c r="A141" s="7">
        <f t="shared" si="1"/>
        <v>141</v>
      </c>
      <c r="B141" s="7" t="str">
        <f>'Respuestas de formulario 1'!A2782</f>
        <v/>
      </c>
      <c r="C141" s="7" t="str">
        <f>'Respuestas de formulario 1'!B2782</f>
        <v/>
      </c>
      <c r="D141" s="7" t="str">
        <f>'Respuestas de formulario 1'!C2782</f>
        <v/>
      </c>
      <c r="E141" s="7" t="str">
        <f>'Respuestas de formulario 1'!D2782</f>
        <v/>
      </c>
      <c r="F141" s="7" t="str">
        <f>'Respuestas de formulario 1'!E2782</f>
        <v/>
      </c>
      <c r="G141" s="7" t="str">
        <f>'Respuestas de formulario 1'!F2782</f>
        <v/>
      </c>
      <c r="H141" s="7" t="str">
        <f>'Respuestas de formulario 1'!G2782</f>
        <v/>
      </c>
      <c r="I141" s="7" t="str">
        <f>'Respuestas de formulario 1'!H2782</f>
        <v/>
      </c>
      <c r="J141" s="7" t="str">
        <f>'Respuestas de formulario 1'!I2782</f>
        <v/>
      </c>
      <c r="K141" s="7" t="str">
        <f>'Respuestas de formulario 1'!J2782</f>
        <v/>
      </c>
    </row>
    <row r="142">
      <c r="A142" s="7">
        <f t="shared" si="1"/>
        <v>142</v>
      </c>
      <c r="B142" s="7" t="str">
        <f>'Respuestas de formulario 1'!A2783</f>
        <v/>
      </c>
      <c r="C142" s="7" t="str">
        <f>'Respuestas de formulario 1'!B2783</f>
        <v/>
      </c>
      <c r="D142" s="7" t="str">
        <f>'Respuestas de formulario 1'!C2783</f>
        <v/>
      </c>
      <c r="E142" s="7" t="str">
        <f>'Respuestas de formulario 1'!D2783</f>
        <v/>
      </c>
      <c r="F142" s="7" t="str">
        <f>'Respuestas de formulario 1'!E2783</f>
        <v/>
      </c>
      <c r="G142" s="7" t="str">
        <f>'Respuestas de formulario 1'!F2783</f>
        <v/>
      </c>
      <c r="H142" s="7" t="str">
        <f>'Respuestas de formulario 1'!G2783</f>
        <v/>
      </c>
      <c r="I142" s="7" t="str">
        <f>'Respuestas de formulario 1'!H2783</f>
        <v/>
      </c>
      <c r="J142" s="7" t="str">
        <f>'Respuestas de formulario 1'!I2783</f>
        <v/>
      </c>
      <c r="K142" s="7" t="str">
        <f>'Respuestas de formulario 1'!J2783</f>
        <v/>
      </c>
    </row>
    <row r="143">
      <c r="A143" s="7">
        <f t="shared" si="1"/>
        <v>143</v>
      </c>
      <c r="B143" s="7" t="str">
        <f>'Respuestas de formulario 1'!A2784</f>
        <v/>
      </c>
      <c r="C143" s="7" t="str">
        <f>'Respuestas de formulario 1'!B2784</f>
        <v/>
      </c>
      <c r="D143" s="7" t="str">
        <f>'Respuestas de formulario 1'!C2784</f>
        <v/>
      </c>
      <c r="E143" s="7" t="str">
        <f>'Respuestas de formulario 1'!D2784</f>
        <v/>
      </c>
      <c r="F143" s="7" t="str">
        <f>'Respuestas de formulario 1'!E2784</f>
        <v/>
      </c>
      <c r="G143" s="7" t="str">
        <f>'Respuestas de formulario 1'!F2784</f>
        <v/>
      </c>
      <c r="H143" s="7" t="str">
        <f>'Respuestas de formulario 1'!G2784</f>
        <v/>
      </c>
      <c r="I143" s="7" t="str">
        <f>'Respuestas de formulario 1'!H2784</f>
        <v/>
      </c>
      <c r="J143" s="7" t="str">
        <f>'Respuestas de formulario 1'!I2784</f>
        <v/>
      </c>
      <c r="K143" s="7" t="str">
        <f>'Respuestas de formulario 1'!J2784</f>
        <v/>
      </c>
    </row>
    <row r="144">
      <c r="A144" s="7">
        <f t="shared" si="1"/>
        <v>144</v>
      </c>
      <c r="B144" s="7" t="str">
        <f>'Respuestas de formulario 1'!A2785</f>
        <v/>
      </c>
      <c r="C144" s="7" t="str">
        <f>'Respuestas de formulario 1'!B2785</f>
        <v/>
      </c>
      <c r="D144" s="7" t="str">
        <f>'Respuestas de formulario 1'!C2785</f>
        <v/>
      </c>
      <c r="E144" s="7" t="str">
        <f>'Respuestas de formulario 1'!D2785</f>
        <v/>
      </c>
      <c r="F144" s="7" t="str">
        <f>'Respuestas de formulario 1'!E2785</f>
        <v/>
      </c>
      <c r="G144" s="7" t="str">
        <f>'Respuestas de formulario 1'!F2785</f>
        <v/>
      </c>
      <c r="H144" s="7" t="str">
        <f>'Respuestas de formulario 1'!G2785</f>
        <v/>
      </c>
      <c r="I144" s="7" t="str">
        <f>'Respuestas de formulario 1'!H2785</f>
        <v/>
      </c>
      <c r="J144" s="7" t="str">
        <f>'Respuestas de formulario 1'!I2785</f>
        <v/>
      </c>
      <c r="K144" s="7" t="str">
        <f>'Respuestas de formulario 1'!J2785</f>
        <v/>
      </c>
    </row>
    <row r="145">
      <c r="A145" s="7">
        <f t="shared" si="1"/>
        <v>145</v>
      </c>
      <c r="B145" s="7" t="str">
        <f>'Respuestas de formulario 1'!A2786</f>
        <v/>
      </c>
      <c r="C145" s="7" t="str">
        <f>'Respuestas de formulario 1'!B2786</f>
        <v/>
      </c>
      <c r="D145" s="7" t="str">
        <f>'Respuestas de formulario 1'!C2786</f>
        <v/>
      </c>
      <c r="E145" s="7" t="str">
        <f>'Respuestas de formulario 1'!D2786</f>
        <v/>
      </c>
      <c r="F145" s="7" t="str">
        <f>'Respuestas de formulario 1'!E2786</f>
        <v/>
      </c>
      <c r="G145" s="7" t="str">
        <f>'Respuestas de formulario 1'!F2786</f>
        <v/>
      </c>
      <c r="H145" s="7" t="str">
        <f>'Respuestas de formulario 1'!G2786</f>
        <v/>
      </c>
      <c r="I145" s="7" t="str">
        <f>'Respuestas de formulario 1'!H2786</f>
        <v/>
      </c>
      <c r="J145" s="7" t="str">
        <f>'Respuestas de formulario 1'!I2786</f>
        <v/>
      </c>
      <c r="K145" s="7" t="str">
        <f>'Respuestas de formulario 1'!J2786</f>
        <v/>
      </c>
    </row>
    <row r="146">
      <c r="A146" s="7">
        <f t="shared" si="1"/>
        <v>146</v>
      </c>
      <c r="B146" s="7" t="str">
        <f>'Respuestas de formulario 1'!A2787</f>
        <v/>
      </c>
      <c r="C146" s="7" t="str">
        <f>'Respuestas de formulario 1'!B2787</f>
        <v/>
      </c>
      <c r="D146" s="7" t="str">
        <f>'Respuestas de formulario 1'!C2787</f>
        <v/>
      </c>
      <c r="E146" s="7" t="str">
        <f>'Respuestas de formulario 1'!D2787</f>
        <v/>
      </c>
      <c r="F146" s="7" t="str">
        <f>'Respuestas de formulario 1'!E2787</f>
        <v/>
      </c>
      <c r="G146" s="7" t="str">
        <f>'Respuestas de formulario 1'!F2787</f>
        <v/>
      </c>
      <c r="H146" s="7" t="str">
        <f>'Respuestas de formulario 1'!G2787</f>
        <v/>
      </c>
      <c r="I146" s="7" t="str">
        <f>'Respuestas de formulario 1'!H2787</f>
        <v/>
      </c>
      <c r="J146" s="7" t="str">
        <f>'Respuestas de formulario 1'!I2787</f>
        <v/>
      </c>
      <c r="K146" s="7" t="str">
        <f>'Respuestas de formulario 1'!J2787</f>
        <v/>
      </c>
    </row>
    <row r="147">
      <c r="A147" s="7">
        <f t="shared" si="1"/>
        <v>147</v>
      </c>
      <c r="B147" s="7" t="str">
        <f>'Respuestas de formulario 1'!A2788</f>
        <v/>
      </c>
      <c r="C147" s="7" t="str">
        <f>'Respuestas de formulario 1'!B2788</f>
        <v/>
      </c>
      <c r="D147" s="7" t="str">
        <f>'Respuestas de formulario 1'!C2788</f>
        <v/>
      </c>
      <c r="E147" s="7" t="str">
        <f>'Respuestas de formulario 1'!D2788</f>
        <v/>
      </c>
      <c r="F147" s="7" t="str">
        <f>'Respuestas de formulario 1'!E2788</f>
        <v/>
      </c>
      <c r="G147" s="7" t="str">
        <f>'Respuestas de formulario 1'!F2788</f>
        <v/>
      </c>
      <c r="H147" s="7" t="str">
        <f>'Respuestas de formulario 1'!G2788</f>
        <v/>
      </c>
      <c r="I147" s="7" t="str">
        <f>'Respuestas de formulario 1'!H2788</f>
        <v/>
      </c>
      <c r="J147" s="7" t="str">
        <f>'Respuestas de formulario 1'!I2788</f>
        <v/>
      </c>
      <c r="K147" s="7" t="str">
        <f>'Respuestas de formulario 1'!J2788</f>
        <v/>
      </c>
    </row>
    <row r="148">
      <c r="A148" s="7">
        <f t="shared" si="1"/>
        <v>148</v>
      </c>
      <c r="B148" s="7" t="str">
        <f>'Respuestas de formulario 1'!A2789</f>
        <v/>
      </c>
      <c r="C148" s="7" t="str">
        <f>'Respuestas de formulario 1'!B2789</f>
        <v/>
      </c>
      <c r="D148" s="7" t="str">
        <f>'Respuestas de formulario 1'!C2789</f>
        <v/>
      </c>
      <c r="E148" s="7" t="str">
        <f>'Respuestas de formulario 1'!D2789</f>
        <v/>
      </c>
      <c r="F148" s="7" t="str">
        <f>'Respuestas de formulario 1'!E2789</f>
        <v/>
      </c>
      <c r="G148" s="7" t="str">
        <f>'Respuestas de formulario 1'!F2789</f>
        <v/>
      </c>
      <c r="H148" s="7" t="str">
        <f>'Respuestas de formulario 1'!G2789</f>
        <v/>
      </c>
      <c r="I148" s="7" t="str">
        <f>'Respuestas de formulario 1'!H2789</f>
        <v/>
      </c>
      <c r="J148" s="7" t="str">
        <f>'Respuestas de formulario 1'!I2789</f>
        <v/>
      </c>
      <c r="K148" s="7" t="str">
        <f>'Respuestas de formulario 1'!J2789</f>
        <v/>
      </c>
    </row>
    <row r="149">
      <c r="A149" s="7">
        <f t="shared" si="1"/>
        <v>149</v>
      </c>
      <c r="B149" s="7" t="str">
        <f>'Respuestas de formulario 1'!A2790</f>
        <v/>
      </c>
      <c r="C149" s="7" t="str">
        <f>'Respuestas de formulario 1'!B2790</f>
        <v/>
      </c>
      <c r="D149" s="7" t="str">
        <f>'Respuestas de formulario 1'!C2790</f>
        <v/>
      </c>
      <c r="E149" s="7" t="str">
        <f>'Respuestas de formulario 1'!D2790</f>
        <v/>
      </c>
      <c r="F149" s="7" t="str">
        <f>'Respuestas de formulario 1'!E2790</f>
        <v/>
      </c>
      <c r="G149" s="7" t="str">
        <f>'Respuestas de formulario 1'!F2790</f>
        <v/>
      </c>
      <c r="H149" s="7" t="str">
        <f>'Respuestas de formulario 1'!G2790</f>
        <v/>
      </c>
      <c r="I149" s="7" t="str">
        <f>'Respuestas de formulario 1'!H2790</f>
        <v/>
      </c>
      <c r="J149" s="7" t="str">
        <f>'Respuestas de formulario 1'!I2790</f>
        <v/>
      </c>
      <c r="K149" s="7" t="str">
        <f>'Respuestas de formulario 1'!J2790</f>
        <v/>
      </c>
    </row>
    <row r="150">
      <c r="A150" s="7">
        <f t="shared" si="1"/>
        <v>150</v>
      </c>
      <c r="B150" s="7" t="str">
        <f>'Respuestas de formulario 1'!A2791</f>
        <v/>
      </c>
      <c r="C150" s="7" t="str">
        <f>'Respuestas de formulario 1'!B2791</f>
        <v/>
      </c>
      <c r="D150" s="7" t="str">
        <f>'Respuestas de formulario 1'!C2791</f>
        <v/>
      </c>
      <c r="E150" s="7" t="str">
        <f>'Respuestas de formulario 1'!D2791</f>
        <v/>
      </c>
      <c r="F150" s="7" t="str">
        <f>'Respuestas de formulario 1'!E2791</f>
        <v/>
      </c>
      <c r="G150" s="7" t="str">
        <f>'Respuestas de formulario 1'!F2791</f>
        <v/>
      </c>
      <c r="H150" s="7" t="str">
        <f>'Respuestas de formulario 1'!G2791</f>
        <v/>
      </c>
      <c r="I150" s="7" t="str">
        <f>'Respuestas de formulario 1'!H2791</f>
        <v/>
      </c>
      <c r="J150" s="7" t="str">
        <f>'Respuestas de formulario 1'!I2791</f>
        <v/>
      </c>
      <c r="K150" s="7" t="str">
        <f>'Respuestas de formulario 1'!J2791</f>
        <v/>
      </c>
    </row>
    <row r="151">
      <c r="A151" s="7">
        <f t="shared" si="1"/>
        <v>151</v>
      </c>
      <c r="B151" s="7" t="str">
        <f>'Respuestas de formulario 1'!A2792</f>
        <v/>
      </c>
      <c r="C151" s="7" t="str">
        <f>'Respuestas de formulario 1'!B2792</f>
        <v/>
      </c>
      <c r="D151" s="7" t="str">
        <f>'Respuestas de formulario 1'!C2792</f>
        <v/>
      </c>
      <c r="E151" s="7" t="str">
        <f>'Respuestas de formulario 1'!D2792</f>
        <v/>
      </c>
      <c r="F151" s="7" t="str">
        <f>'Respuestas de formulario 1'!E2792</f>
        <v/>
      </c>
      <c r="G151" s="7" t="str">
        <f>'Respuestas de formulario 1'!F2792</f>
        <v/>
      </c>
      <c r="H151" s="7" t="str">
        <f>'Respuestas de formulario 1'!G2792</f>
        <v/>
      </c>
      <c r="I151" s="7" t="str">
        <f>'Respuestas de formulario 1'!H2792</f>
        <v/>
      </c>
      <c r="J151" s="7" t="str">
        <f>'Respuestas de formulario 1'!I2792</f>
        <v/>
      </c>
      <c r="K151" s="7" t="str">
        <f>'Respuestas de formulario 1'!J2792</f>
        <v/>
      </c>
    </row>
    <row r="152">
      <c r="A152" s="7">
        <f t="shared" si="1"/>
        <v>152</v>
      </c>
      <c r="B152" s="7" t="str">
        <f>'Respuestas de formulario 1'!A2793</f>
        <v/>
      </c>
      <c r="C152" s="7" t="str">
        <f>'Respuestas de formulario 1'!B2793</f>
        <v/>
      </c>
      <c r="D152" s="7" t="str">
        <f>'Respuestas de formulario 1'!C2793</f>
        <v/>
      </c>
      <c r="E152" s="7" t="str">
        <f>'Respuestas de formulario 1'!D2793</f>
        <v/>
      </c>
      <c r="F152" s="7" t="str">
        <f>'Respuestas de formulario 1'!E2793</f>
        <v/>
      </c>
      <c r="G152" s="7" t="str">
        <f>'Respuestas de formulario 1'!F2793</f>
        <v/>
      </c>
      <c r="H152" s="7" t="str">
        <f>'Respuestas de formulario 1'!G2793</f>
        <v/>
      </c>
      <c r="I152" s="7" t="str">
        <f>'Respuestas de formulario 1'!H2793</f>
        <v/>
      </c>
      <c r="J152" s="7" t="str">
        <f>'Respuestas de formulario 1'!I2793</f>
        <v/>
      </c>
      <c r="K152" s="7" t="str">
        <f>'Respuestas de formulario 1'!J2793</f>
        <v/>
      </c>
    </row>
    <row r="153">
      <c r="A153" s="7">
        <f t="shared" si="1"/>
        <v>153</v>
      </c>
      <c r="B153" s="7" t="str">
        <f>'Respuestas de formulario 1'!A2794</f>
        <v/>
      </c>
      <c r="C153" s="7" t="str">
        <f>'Respuestas de formulario 1'!B2794</f>
        <v/>
      </c>
      <c r="D153" s="7" t="str">
        <f>'Respuestas de formulario 1'!C2794</f>
        <v/>
      </c>
      <c r="E153" s="7" t="str">
        <f>'Respuestas de formulario 1'!D2794</f>
        <v/>
      </c>
      <c r="F153" s="7" t="str">
        <f>'Respuestas de formulario 1'!E2794</f>
        <v/>
      </c>
      <c r="G153" s="7" t="str">
        <f>'Respuestas de formulario 1'!F2794</f>
        <v/>
      </c>
      <c r="H153" s="7" t="str">
        <f>'Respuestas de formulario 1'!G2794</f>
        <v/>
      </c>
      <c r="I153" s="7" t="str">
        <f>'Respuestas de formulario 1'!H2794</f>
        <v/>
      </c>
      <c r="J153" s="7" t="str">
        <f>'Respuestas de formulario 1'!I2794</f>
        <v/>
      </c>
      <c r="K153" s="7" t="str">
        <f>'Respuestas de formulario 1'!J2794</f>
        <v/>
      </c>
    </row>
    <row r="154">
      <c r="A154" s="7">
        <f t="shared" si="1"/>
        <v>154</v>
      </c>
      <c r="B154" s="7" t="str">
        <f>'Respuestas de formulario 1'!A2795</f>
        <v/>
      </c>
      <c r="C154" s="7" t="str">
        <f>'Respuestas de formulario 1'!B2795</f>
        <v/>
      </c>
      <c r="D154" s="7" t="str">
        <f>'Respuestas de formulario 1'!C2795</f>
        <v/>
      </c>
      <c r="E154" s="7" t="str">
        <f>'Respuestas de formulario 1'!D2795</f>
        <v/>
      </c>
      <c r="F154" s="7" t="str">
        <f>'Respuestas de formulario 1'!E2795</f>
        <v/>
      </c>
      <c r="G154" s="7" t="str">
        <f>'Respuestas de formulario 1'!F2795</f>
        <v/>
      </c>
      <c r="H154" s="7" t="str">
        <f>'Respuestas de formulario 1'!G2795</f>
        <v/>
      </c>
      <c r="I154" s="7" t="str">
        <f>'Respuestas de formulario 1'!H2795</f>
        <v/>
      </c>
      <c r="J154" s="7" t="str">
        <f>'Respuestas de formulario 1'!I2795</f>
        <v/>
      </c>
      <c r="K154" s="7" t="str">
        <f>'Respuestas de formulario 1'!J2795</f>
        <v/>
      </c>
    </row>
    <row r="155">
      <c r="A155" s="7">
        <f t="shared" si="1"/>
        <v>155</v>
      </c>
      <c r="B155" s="7" t="str">
        <f>'Respuestas de formulario 1'!A2796</f>
        <v/>
      </c>
      <c r="C155" s="7" t="str">
        <f>'Respuestas de formulario 1'!B2796</f>
        <v/>
      </c>
      <c r="D155" s="7" t="str">
        <f>'Respuestas de formulario 1'!C2796</f>
        <v/>
      </c>
      <c r="E155" s="7" t="str">
        <f>'Respuestas de formulario 1'!D2796</f>
        <v/>
      </c>
      <c r="F155" s="7" t="str">
        <f>'Respuestas de formulario 1'!E2796</f>
        <v/>
      </c>
      <c r="G155" s="7" t="str">
        <f>'Respuestas de formulario 1'!F2796</f>
        <v/>
      </c>
      <c r="H155" s="7" t="str">
        <f>'Respuestas de formulario 1'!G2796</f>
        <v/>
      </c>
      <c r="I155" s="7" t="str">
        <f>'Respuestas de formulario 1'!H2796</f>
        <v/>
      </c>
      <c r="J155" s="7" t="str">
        <f>'Respuestas de formulario 1'!I2796</f>
        <v/>
      </c>
      <c r="K155" s="7" t="str">
        <f>'Respuestas de formulario 1'!J2796</f>
        <v/>
      </c>
    </row>
    <row r="156">
      <c r="A156" s="7">
        <f t="shared" si="1"/>
        <v>156</v>
      </c>
      <c r="B156" s="7" t="str">
        <f>'Respuestas de formulario 1'!A2797</f>
        <v/>
      </c>
      <c r="C156" s="7" t="str">
        <f>'Respuestas de formulario 1'!B2797</f>
        <v/>
      </c>
      <c r="D156" s="7" t="str">
        <f>'Respuestas de formulario 1'!C2797</f>
        <v/>
      </c>
      <c r="E156" s="7" t="str">
        <f>'Respuestas de formulario 1'!D2797</f>
        <v/>
      </c>
      <c r="F156" s="7" t="str">
        <f>'Respuestas de formulario 1'!E2797</f>
        <v/>
      </c>
      <c r="G156" s="7" t="str">
        <f>'Respuestas de formulario 1'!F2797</f>
        <v/>
      </c>
      <c r="H156" s="7" t="str">
        <f>'Respuestas de formulario 1'!G2797</f>
        <v/>
      </c>
      <c r="I156" s="7" t="str">
        <f>'Respuestas de formulario 1'!H2797</f>
        <v/>
      </c>
      <c r="J156" s="7" t="str">
        <f>'Respuestas de formulario 1'!I2797</f>
        <v/>
      </c>
      <c r="K156" s="7" t="str">
        <f>'Respuestas de formulario 1'!J2797</f>
        <v/>
      </c>
    </row>
    <row r="157">
      <c r="A157" s="7">
        <f t="shared" si="1"/>
        <v>157</v>
      </c>
      <c r="B157" s="7" t="str">
        <f>'Respuestas de formulario 1'!A2798</f>
        <v/>
      </c>
      <c r="C157" s="7" t="str">
        <f>'Respuestas de formulario 1'!B2798</f>
        <v/>
      </c>
      <c r="D157" s="7" t="str">
        <f>'Respuestas de formulario 1'!C2798</f>
        <v/>
      </c>
      <c r="E157" s="7" t="str">
        <f>'Respuestas de formulario 1'!D2798</f>
        <v/>
      </c>
      <c r="F157" s="7" t="str">
        <f>'Respuestas de formulario 1'!E2798</f>
        <v/>
      </c>
      <c r="G157" s="7" t="str">
        <f>'Respuestas de formulario 1'!F2798</f>
        <v/>
      </c>
      <c r="H157" s="7" t="str">
        <f>'Respuestas de formulario 1'!G2798</f>
        <v/>
      </c>
      <c r="I157" s="7" t="str">
        <f>'Respuestas de formulario 1'!H2798</f>
        <v/>
      </c>
      <c r="J157" s="7" t="str">
        <f>'Respuestas de formulario 1'!I2798</f>
        <v/>
      </c>
      <c r="K157" s="7" t="str">
        <f>'Respuestas de formulario 1'!J2798</f>
        <v/>
      </c>
    </row>
    <row r="158">
      <c r="A158" s="7">
        <f t="shared" si="1"/>
        <v>158</v>
      </c>
      <c r="B158" s="7" t="str">
        <f>'Respuestas de formulario 1'!A2799</f>
        <v/>
      </c>
      <c r="C158" s="7" t="str">
        <f>'Respuestas de formulario 1'!B2799</f>
        <v/>
      </c>
      <c r="D158" s="7" t="str">
        <f>'Respuestas de formulario 1'!C2799</f>
        <v/>
      </c>
      <c r="E158" s="7" t="str">
        <f>'Respuestas de formulario 1'!D2799</f>
        <v/>
      </c>
      <c r="F158" s="7" t="str">
        <f>'Respuestas de formulario 1'!E2799</f>
        <v/>
      </c>
      <c r="G158" s="7" t="str">
        <f>'Respuestas de formulario 1'!F2799</f>
        <v/>
      </c>
      <c r="H158" s="7" t="str">
        <f>'Respuestas de formulario 1'!G2799</f>
        <v/>
      </c>
      <c r="I158" s="7" t="str">
        <f>'Respuestas de formulario 1'!H2799</f>
        <v/>
      </c>
      <c r="J158" s="7" t="str">
        <f>'Respuestas de formulario 1'!I2799</f>
        <v/>
      </c>
      <c r="K158" s="7" t="str">
        <f>'Respuestas de formulario 1'!J2799</f>
        <v/>
      </c>
    </row>
    <row r="159">
      <c r="A159" s="7">
        <f t="shared" si="1"/>
        <v>159</v>
      </c>
      <c r="B159" s="7" t="str">
        <f>'Respuestas de formulario 1'!A2800</f>
        <v/>
      </c>
      <c r="C159" s="7" t="str">
        <f>'Respuestas de formulario 1'!B2800</f>
        <v/>
      </c>
      <c r="D159" s="7" t="str">
        <f>'Respuestas de formulario 1'!C2800</f>
        <v/>
      </c>
      <c r="E159" s="7" t="str">
        <f>'Respuestas de formulario 1'!D2800</f>
        <v/>
      </c>
      <c r="F159" s="7" t="str">
        <f>'Respuestas de formulario 1'!E2800</f>
        <v/>
      </c>
      <c r="G159" s="7" t="str">
        <f>'Respuestas de formulario 1'!F2800</f>
        <v/>
      </c>
      <c r="H159" s="7" t="str">
        <f>'Respuestas de formulario 1'!G2800</f>
        <v/>
      </c>
      <c r="I159" s="7" t="str">
        <f>'Respuestas de formulario 1'!H2800</f>
        <v/>
      </c>
      <c r="J159" s="7" t="str">
        <f>'Respuestas de formulario 1'!I2800</f>
        <v/>
      </c>
      <c r="K159" s="7" t="str">
        <f>'Respuestas de formulario 1'!J2800</f>
        <v/>
      </c>
    </row>
    <row r="160">
      <c r="A160" s="7">
        <f t="shared" si="1"/>
        <v>160</v>
      </c>
      <c r="B160" s="7" t="str">
        <f>'Respuestas de formulario 1'!A2801</f>
        <v/>
      </c>
      <c r="C160" s="7" t="str">
        <f>'Respuestas de formulario 1'!B2801</f>
        <v/>
      </c>
      <c r="D160" s="7" t="str">
        <f>'Respuestas de formulario 1'!C2801</f>
        <v/>
      </c>
      <c r="E160" s="7" t="str">
        <f>'Respuestas de formulario 1'!D2801</f>
        <v/>
      </c>
      <c r="F160" s="7" t="str">
        <f>'Respuestas de formulario 1'!E2801</f>
        <v/>
      </c>
      <c r="G160" s="7" t="str">
        <f>'Respuestas de formulario 1'!F2801</f>
        <v/>
      </c>
      <c r="H160" s="7" t="str">
        <f>'Respuestas de formulario 1'!G2801</f>
        <v/>
      </c>
      <c r="I160" s="7" t="str">
        <f>'Respuestas de formulario 1'!H2801</f>
        <v/>
      </c>
      <c r="J160" s="7" t="str">
        <f>'Respuestas de formulario 1'!I2801</f>
        <v/>
      </c>
      <c r="K160" s="7" t="str">
        <f>'Respuestas de formulario 1'!J2801</f>
        <v/>
      </c>
    </row>
    <row r="161">
      <c r="A161" s="7">
        <f t="shared" si="1"/>
        <v>161</v>
      </c>
      <c r="B161" s="7" t="str">
        <f>'Respuestas de formulario 1'!A2802</f>
        <v/>
      </c>
      <c r="C161" s="7" t="str">
        <f>'Respuestas de formulario 1'!B2802</f>
        <v/>
      </c>
      <c r="D161" s="7" t="str">
        <f>'Respuestas de formulario 1'!C2802</f>
        <v/>
      </c>
      <c r="E161" s="7" t="str">
        <f>'Respuestas de formulario 1'!D2802</f>
        <v/>
      </c>
      <c r="F161" s="7" t="str">
        <f>'Respuestas de formulario 1'!E2802</f>
        <v/>
      </c>
      <c r="G161" s="7" t="str">
        <f>'Respuestas de formulario 1'!F2802</f>
        <v/>
      </c>
      <c r="H161" s="7" t="str">
        <f>'Respuestas de formulario 1'!G2802</f>
        <v/>
      </c>
      <c r="I161" s="7" t="str">
        <f>'Respuestas de formulario 1'!H2802</f>
        <v/>
      </c>
      <c r="J161" s="7" t="str">
        <f>'Respuestas de formulario 1'!I2802</f>
        <v/>
      </c>
      <c r="K161" s="7" t="str">
        <f>'Respuestas de formulario 1'!J2802</f>
        <v/>
      </c>
    </row>
    <row r="162">
      <c r="A162" s="7">
        <f t="shared" si="1"/>
        <v>162</v>
      </c>
      <c r="B162" s="7" t="str">
        <f>'Respuestas de formulario 1'!A2803</f>
        <v/>
      </c>
      <c r="C162" s="7" t="str">
        <f>'Respuestas de formulario 1'!B2803</f>
        <v/>
      </c>
      <c r="D162" s="7" t="str">
        <f>'Respuestas de formulario 1'!C2803</f>
        <v/>
      </c>
      <c r="E162" s="7" t="str">
        <f>'Respuestas de formulario 1'!D2803</f>
        <v/>
      </c>
      <c r="F162" s="7" t="str">
        <f>'Respuestas de formulario 1'!E2803</f>
        <v/>
      </c>
      <c r="G162" s="7" t="str">
        <f>'Respuestas de formulario 1'!F2803</f>
        <v/>
      </c>
      <c r="H162" s="7" t="str">
        <f>'Respuestas de formulario 1'!G2803</f>
        <v/>
      </c>
      <c r="I162" s="7" t="str">
        <f>'Respuestas de formulario 1'!H2803</f>
        <v/>
      </c>
      <c r="J162" s="7" t="str">
        <f>'Respuestas de formulario 1'!I2803</f>
        <v/>
      </c>
      <c r="K162" s="7" t="str">
        <f>'Respuestas de formulario 1'!J2803</f>
        <v/>
      </c>
    </row>
    <row r="163">
      <c r="A163" s="7">
        <f t="shared" si="1"/>
        <v>163</v>
      </c>
      <c r="B163" s="7" t="str">
        <f>'Respuestas de formulario 1'!A2804</f>
        <v/>
      </c>
      <c r="C163" s="7" t="str">
        <f>'Respuestas de formulario 1'!B2804</f>
        <v/>
      </c>
      <c r="D163" s="7" t="str">
        <f>'Respuestas de formulario 1'!C2804</f>
        <v/>
      </c>
      <c r="E163" s="7" t="str">
        <f>'Respuestas de formulario 1'!D2804</f>
        <v/>
      </c>
      <c r="F163" s="7" t="str">
        <f>'Respuestas de formulario 1'!E2804</f>
        <v/>
      </c>
      <c r="G163" s="7" t="str">
        <f>'Respuestas de formulario 1'!F2804</f>
        <v/>
      </c>
      <c r="H163" s="7" t="str">
        <f>'Respuestas de formulario 1'!G2804</f>
        <v/>
      </c>
      <c r="I163" s="7" t="str">
        <f>'Respuestas de formulario 1'!H2804</f>
        <v/>
      </c>
      <c r="J163" s="7" t="str">
        <f>'Respuestas de formulario 1'!I2804</f>
        <v/>
      </c>
      <c r="K163" s="7" t="str">
        <f>'Respuestas de formulario 1'!J2804</f>
        <v/>
      </c>
    </row>
    <row r="164">
      <c r="A164" s="7">
        <f t="shared" si="1"/>
        <v>164</v>
      </c>
      <c r="B164" s="7" t="str">
        <f>'Respuestas de formulario 1'!A2805</f>
        <v/>
      </c>
      <c r="C164" s="7" t="str">
        <f>'Respuestas de formulario 1'!B2805</f>
        <v/>
      </c>
      <c r="D164" s="7" t="str">
        <f>'Respuestas de formulario 1'!C2805</f>
        <v/>
      </c>
      <c r="E164" s="7" t="str">
        <f>'Respuestas de formulario 1'!D2805</f>
        <v/>
      </c>
      <c r="F164" s="7" t="str">
        <f>'Respuestas de formulario 1'!E2805</f>
        <v/>
      </c>
      <c r="G164" s="7" t="str">
        <f>'Respuestas de formulario 1'!F2805</f>
        <v/>
      </c>
      <c r="H164" s="7" t="str">
        <f>'Respuestas de formulario 1'!G2805</f>
        <v/>
      </c>
      <c r="I164" s="7" t="str">
        <f>'Respuestas de formulario 1'!H2805</f>
        <v/>
      </c>
      <c r="J164" s="7" t="str">
        <f>'Respuestas de formulario 1'!I2805</f>
        <v/>
      </c>
      <c r="K164" s="7" t="str">
        <f>'Respuestas de formulario 1'!J2805</f>
        <v/>
      </c>
    </row>
    <row r="165">
      <c r="A165" s="7">
        <f t="shared" si="1"/>
        <v>165</v>
      </c>
      <c r="B165" s="7" t="str">
        <f>'Respuestas de formulario 1'!A2806</f>
        <v/>
      </c>
      <c r="C165" s="7" t="str">
        <f>'Respuestas de formulario 1'!B2806</f>
        <v/>
      </c>
      <c r="D165" s="7" t="str">
        <f>'Respuestas de formulario 1'!C2806</f>
        <v/>
      </c>
      <c r="E165" s="7" t="str">
        <f>'Respuestas de formulario 1'!D2806</f>
        <v/>
      </c>
      <c r="F165" s="7" t="str">
        <f>'Respuestas de formulario 1'!E2806</f>
        <v/>
      </c>
      <c r="G165" s="7" t="str">
        <f>'Respuestas de formulario 1'!F2806</f>
        <v/>
      </c>
      <c r="H165" s="7" t="str">
        <f>'Respuestas de formulario 1'!G2806</f>
        <v/>
      </c>
      <c r="I165" s="7" t="str">
        <f>'Respuestas de formulario 1'!H2806</f>
        <v/>
      </c>
      <c r="J165" s="7" t="str">
        <f>'Respuestas de formulario 1'!I2806</f>
        <v/>
      </c>
      <c r="K165" s="7" t="str">
        <f>'Respuestas de formulario 1'!J2806</f>
        <v/>
      </c>
    </row>
    <row r="166">
      <c r="A166" s="7">
        <f t="shared" si="1"/>
        <v>166</v>
      </c>
      <c r="B166" s="7" t="str">
        <f>'Respuestas de formulario 1'!A2807</f>
        <v/>
      </c>
      <c r="C166" s="7" t="str">
        <f>'Respuestas de formulario 1'!B2807</f>
        <v/>
      </c>
      <c r="D166" s="7" t="str">
        <f>'Respuestas de formulario 1'!C2807</f>
        <v/>
      </c>
      <c r="E166" s="7" t="str">
        <f>'Respuestas de formulario 1'!D2807</f>
        <v/>
      </c>
      <c r="F166" s="7" t="str">
        <f>'Respuestas de formulario 1'!E2807</f>
        <v/>
      </c>
      <c r="G166" s="7" t="str">
        <f>'Respuestas de formulario 1'!F2807</f>
        <v/>
      </c>
      <c r="H166" s="7" t="str">
        <f>'Respuestas de formulario 1'!G2807</f>
        <v/>
      </c>
      <c r="I166" s="7" t="str">
        <f>'Respuestas de formulario 1'!H2807</f>
        <v/>
      </c>
      <c r="J166" s="7" t="str">
        <f>'Respuestas de formulario 1'!I2807</f>
        <v/>
      </c>
      <c r="K166" s="7" t="str">
        <f>'Respuestas de formulario 1'!J2807</f>
        <v/>
      </c>
    </row>
    <row r="167">
      <c r="A167" s="7">
        <f t="shared" si="1"/>
        <v>167</v>
      </c>
      <c r="B167" s="7" t="str">
        <f>'Respuestas de formulario 1'!A2808</f>
        <v/>
      </c>
      <c r="C167" s="7" t="str">
        <f>'Respuestas de formulario 1'!B2808</f>
        <v/>
      </c>
      <c r="D167" s="7" t="str">
        <f>'Respuestas de formulario 1'!C2808</f>
        <v/>
      </c>
      <c r="E167" s="7" t="str">
        <f>'Respuestas de formulario 1'!D2808</f>
        <v/>
      </c>
      <c r="F167" s="7" t="str">
        <f>'Respuestas de formulario 1'!E2808</f>
        <v/>
      </c>
      <c r="G167" s="7" t="str">
        <f>'Respuestas de formulario 1'!F2808</f>
        <v/>
      </c>
      <c r="H167" s="7" t="str">
        <f>'Respuestas de formulario 1'!G2808</f>
        <v/>
      </c>
      <c r="I167" s="7" t="str">
        <f>'Respuestas de formulario 1'!H2808</f>
        <v/>
      </c>
      <c r="J167" s="7" t="str">
        <f>'Respuestas de formulario 1'!I2808</f>
        <v/>
      </c>
      <c r="K167" s="7" t="str">
        <f>'Respuestas de formulario 1'!J2808</f>
        <v/>
      </c>
    </row>
    <row r="168">
      <c r="A168" s="7">
        <f t="shared" si="1"/>
        <v>168</v>
      </c>
      <c r="B168" s="7" t="str">
        <f>'Respuestas de formulario 1'!A2809</f>
        <v/>
      </c>
      <c r="C168" s="7" t="str">
        <f>'Respuestas de formulario 1'!B2809</f>
        <v/>
      </c>
      <c r="D168" s="7" t="str">
        <f>'Respuestas de formulario 1'!C2809</f>
        <v/>
      </c>
      <c r="E168" s="7" t="str">
        <f>'Respuestas de formulario 1'!D2809</f>
        <v/>
      </c>
      <c r="F168" s="7" t="str">
        <f>'Respuestas de formulario 1'!E2809</f>
        <v/>
      </c>
      <c r="G168" s="7" t="str">
        <f>'Respuestas de formulario 1'!F2809</f>
        <v/>
      </c>
      <c r="H168" s="7" t="str">
        <f>'Respuestas de formulario 1'!G2809</f>
        <v/>
      </c>
      <c r="I168" s="7" t="str">
        <f>'Respuestas de formulario 1'!H2809</f>
        <v/>
      </c>
      <c r="J168" s="7" t="str">
        <f>'Respuestas de formulario 1'!I2809</f>
        <v/>
      </c>
      <c r="K168" s="7" t="str">
        <f>'Respuestas de formulario 1'!J2809</f>
        <v/>
      </c>
    </row>
    <row r="169">
      <c r="A169" s="7">
        <f t="shared" si="1"/>
        <v>169</v>
      </c>
      <c r="B169" s="7" t="str">
        <f>'Respuestas de formulario 1'!A2810</f>
        <v/>
      </c>
      <c r="C169" s="7" t="str">
        <f>'Respuestas de formulario 1'!B2810</f>
        <v/>
      </c>
      <c r="D169" s="7" t="str">
        <f>'Respuestas de formulario 1'!C2810</f>
        <v/>
      </c>
      <c r="E169" s="7" t="str">
        <f>'Respuestas de formulario 1'!D2810</f>
        <v/>
      </c>
      <c r="F169" s="7" t="str">
        <f>'Respuestas de formulario 1'!E2810</f>
        <v/>
      </c>
      <c r="G169" s="7" t="str">
        <f>'Respuestas de formulario 1'!F2810</f>
        <v/>
      </c>
      <c r="H169" s="7" t="str">
        <f>'Respuestas de formulario 1'!G2810</f>
        <v/>
      </c>
      <c r="I169" s="7" t="str">
        <f>'Respuestas de formulario 1'!H2810</f>
        <v/>
      </c>
      <c r="J169" s="7" t="str">
        <f>'Respuestas de formulario 1'!I2810</f>
        <v/>
      </c>
      <c r="K169" s="7" t="str">
        <f>'Respuestas de formulario 1'!J2810</f>
        <v/>
      </c>
    </row>
    <row r="170">
      <c r="A170" s="7">
        <f t="shared" si="1"/>
        <v>170</v>
      </c>
      <c r="B170" s="7" t="str">
        <f>'Respuestas de formulario 1'!A2811</f>
        <v/>
      </c>
      <c r="C170" s="7" t="str">
        <f>'Respuestas de formulario 1'!B2811</f>
        <v/>
      </c>
      <c r="D170" s="7" t="str">
        <f>'Respuestas de formulario 1'!C2811</f>
        <v/>
      </c>
      <c r="E170" s="7" t="str">
        <f>'Respuestas de formulario 1'!D2811</f>
        <v/>
      </c>
      <c r="F170" s="7" t="str">
        <f>'Respuestas de formulario 1'!E2811</f>
        <v/>
      </c>
      <c r="G170" s="7" t="str">
        <f>'Respuestas de formulario 1'!F2811</f>
        <v/>
      </c>
      <c r="H170" s="7" t="str">
        <f>'Respuestas de formulario 1'!G2811</f>
        <v/>
      </c>
      <c r="I170" s="7" t="str">
        <f>'Respuestas de formulario 1'!H2811</f>
        <v/>
      </c>
      <c r="J170" s="7" t="str">
        <f>'Respuestas de formulario 1'!I2811</f>
        <v/>
      </c>
      <c r="K170" s="7" t="str">
        <f>'Respuestas de formulario 1'!J2811</f>
        <v/>
      </c>
    </row>
    <row r="171">
      <c r="A171" s="7">
        <f t="shared" si="1"/>
        <v>171</v>
      </c>
      <c r="B171" s="7" t="str">
        <f>'Respuestas de formulario 1'!A2812</f>
        <v/>
      </c>
      <c r="C171" s="7" t="str">
        <f>'Respuestas de formulario 1'!B2812</f>
        <v/>
      </c>
      <c r="D171" s="7" t="str">
        <f>'Respuestas de formulario 1'!C2812</f>
        <v/>
      </c>
      <c r="E171" s="7" t="str">
        <f>'Respuestas de formulario 1'!D2812</f>
        <v/>
      </c>
      <c r="F171" s="7" t="str">
        <f>'Respuestas de formulario 1'!E2812</f>
        <v/>
      </c>
      <c r="G171" s="7" t="str">
        <f>'Respuestas de formulario 1'!F2812</f>
        <v/>
      </c>
      <c r="H171" s="7" t="str">
        <f>'Respuestas de formulario 1'!G2812</f>
        <v/>
      </c>
      <c r="I171" s="7" t="str">
        <f>'Respuestas de formulario 1'!H2812</f>
        <v/>
      </c>
      <c r="J171" s="7" t="str">
        <f>'Respuestas de formulario 1'!I2812</f>
        <v/>
      </c>
      <c r="K171" s="7" t="str">
        <f>'Respuestas de formulario 1'!J2812</f>
        <v/>
      </c>
    </row>
    <row r="172">
      <c r="A172" s="7">
        <f t="shared" si="1"/>
        <v>172</v>
      </c>
      <c r="B172" s="7" t="str">
        <f>'Respuestas de formulario 1'!A2813</f>
        <v/>
      </c>
      <c r="C172" s="7" t="str">
        <f>'Respuestas de formulario 1'!B2813</f>
        <v/>
      </c>
      <c r="D172" s="7" t="str">
        <f>'Respuestas de formulario 1'!C2813</f>
        <v/>
      </c>
      <c r="E172" s="7" t="str">
        <f>'Respuestas de formulario 1'!D2813</f>
        <v/>
      </c>
      <c r="F172" s="7" t="str">
        <f>'Respuestas de formulario 1'!E2813</f>
        <v/>
      </c>
      <c r="G172" s="7" t="str">
        <f>'Respuestas de formulario 1'!F2813</f>
        <v/>
      </c>
      <c r="H172" s="7" t="str">
        <f>'Respuestas de formulario 1'!G2813</f>
        <v/>
      </c>
      <c r="I172" s="7" t="str">
        <f>'Respuestas de formulario 1'!H2813</f>
        <v/>
      </c>
      <c r="J172" s="7" t="str">
        <f>'Respuestas de formulario 1'!I2813</f>
        <v/>
      </c>
      <c r="K172" s="7" t="str">
        <f>'Respuestas de formulario 1'!J2813</f>
        <v/>
      </c>
    </row>
    <row r="173">
      <c r="A173" s="7">
        <f t="shared" si="1"/>
        <v>173</v>
      </c>
      <c r="B173" s="7" t="str">
        <f>'Respuestas de formulario 1'!A2814</f>
        <v/>
      </c>
      <c r="C173" s="7" t="str">
        <f>'Respuestas de formulario 1'!B2814</f>
        <v/>
      </c>
      <c r="D173" s="7" t="str">
        <f>'Respuestas de formulario 1'!C2814</f>
        <v/>
      </c>
      <c r="E173" s="7" t="str">
        <f>'Respuestas de formulario 1'!D2814</f>
        <v/>
      </c>
      <c r="F173" s="7" t="str">
        <f>'Respuestas de formulario 1'!E2814</f>
        <v/>
      </c>
      <c r="G173" s="7" t="str">
        <f>'Respuestas de formulario 1'!F2814</f>
        <v/>
      </c>
      <c r="H173" s="7" t="str">
        <f>'Respuestas de formulario 1'!G2814</f>
        <v/>
      </c>
      <c r="I173" s="7" t="str">
        <f>'Respuestas de formulario 1'!H2814</f>
        <v/>
      </c>
      <c r="J173" s="7" t="str">
        <f>'Respuestas de formulario 1'!I2814</f>
        <v/>
      </c>
      <c r="K173" s="7" t="str">
        <f>'Respuestas de formulario 1'!J2814</f>
        <v/>
      </c>
    </row>
    <row r="174">
      <c r="A174" s="7">
        <f t="shared" si="1"/>
        <v>174</v>
      </c>
      <c r="B174" s="7" t="str">
        <f>'Respuestas de formulario 1'!A2815</f>
        <v/>
      </c>
      <c r="C174" s="7" t="str">
        <f>'Respuestas de formulario 1'!B2815</f>
        <v/>
      </c>
      <c r="D174" s="7" t="str">
        <f>'Respuestas de formulario 1'!C2815</f>
        <v/>
      </c>
      <c r="E174" s="7" t="str">
        <f>'Respuestas de formulario 1'!D2815</f>
        <v/>
      </c>
      <c r="F174" s="7" t="str">
        <f>'Respuestas de formulario 1'!E2815</f>
        <v/>
      </c>
      <c r="G174" s="7" t="str">
        <f>'Respuestas de formulario 1'!F2815</f>
        <v/>
      </c>
      <c r="H174" s="7" t="str">
        <f>'Respuestas de formulario 1'!G2815</f>
        <v/>
      </c>
      <c r="I174" s="7" t="str">
        <f>'Respuestas de formulario 1'!H2815</f>
        <v/>
      </c>
      <c r="J174" s="7" t="str">
        <f>'Respuestas de formulario 1'!I2815</f>
        <v/>
      </c>
      <c r="K174" s="7" t="str">
        <f>'Respuestas de formulario 1'!J2815</f>
        <v/>
      </c>
    </row>
    <row r="175">
      <c r="A175" s="7">
        <f t="shared" si="1"/>
        <v>175</v>
      </c>
      <c r="B175" s="7" t="str">
        <f>'Respuestas de formulario 1'!A2816</f>
        <v/>
      </c>
      <c r="C175" s="7" t="str">
        <f>'Respuestas de formulario 1'!B2816</f>
        <v/>
      </c>
      <c r="D175" s="7" t="str">
        <f>'Respuestas de formulario 1'!C2816</f>
        <v/>
      </c>
      <c r="E175" s="7" t="str">
        <f>'Respuestas de formulario 1'!D2816</f>
        <v/>
      </c>
      <c r="F175" s="7" t="str">
        <f>'Respuestas de formulario 1'!E2816</f>
        <v/>
      </c>
      <c r="G175" s="7" t="str">
        <f>'Respuestas de formulario 1'!F2816</f>
        <v/>
      </c>
      <c r="H175" s="7" t="str">
        <f>'Respuestas de formulario 1'!G2816</f>
        <v/>
      </c>
      <c r="I175" s="7" t="str">
        <f>'Respuestas de formulario 1'!H2816</f>
        <v/>
      </c>
      <c r="J175" s="7" t="str">
        <f>'Respuestas de formulario 1'!I2816</f>
        <v/>
      </c>
      <c r="K175" s="7" t="str">
        <f>'Respuestas de formulario 1'!J2816</f>
        <v/>
      </c>
    </row>
    <row r="176">
      <c r="A176" s="7">
        <f t="shared" si="1"/>
        <v>176</v>
      </c>
      <c r="B176" s="7" t="str">
        <f>'Respuestas de formulario 1'!A2817</f>
        <v/>
      </c>
      <c r="C176" s="7" t="str">
        <f>'Respuestas de formulario 1'!B2817</f>
        <v/>
      </c>
      <c r="D176" s="7" t="str">
        <f>'Respuestas de formulario 1'!C2817</f>
        <v/>
      </c>
      <c r="E176" s="7" t="str">
        <f>'Respuestas de formulario 1'!D2817</f>
        <v/>
      </c>
      <c r="F176" s="7" t="str">
        <f>'Respuestas de formulario 1'!E2817</f>
        <v/>
      </c>
      <c r="G176" s="7" t="str">
        <f>'Respuestas de formulario 1'!F2817</f>
        <v/>
      </c>
      <c r="H176" s="7" t="str">
        <f>'Respuestas de formulario 1'!G2817</f>
        <v/>
      </c>
      <c r="I176" s="7" t="str">
        <f>'Respuestas de formulario 1'!H2817</f>
        <v/>
      </c>
      <c r="J176" s="7" t="str">
        <f>'Respuestas de formulario 1'!I2817</f>
        <v/>
      </c>
      <c r="K176" s="7" t="str">
        <f>'Respuestas de formulario 1'!J2817</f>
        <v/>
      </c>
    </row>
    <row r="177">
      <c r="A177" s="7">
        <f t="shared" si="1"/>
        <v>177</v>
      </c>
      <c r="B177" s="7" t="str">
        <f>'Respuestas de formulario 1'!A2818</f>
        <v/>
      </c>
      <c r="C177" s="7" t="str">
        <f>'Respuestas de formulario 1'!B2818</f>
        <v/>
      </c>
      <c r="D177" s="7" t="str">
        <f>'Respuestas de formulario 1'!C2818</f>
        <v/>
      </c>
      <c r="E177" s="7" t="str">
        <f>'Respuestas de formulario 1'!D2818</f>
        <v/>
      </c>
      <c r="F177" s="7" t="str">
        <f>'Respuestas de formulario 1'!E2818</f>
        <v/>
      </c>
      <c r="G177" s="7" t="str">
        <f>'Respuestas de formulario 1'!F2818</f>
        <v/>
      </c>
      <c r="H177" s="7" t="str">
        <f>'Respuestas de formulario 1'!G2818</f>
        <v/>
      </c>
      <c r="I177" s="7" t="str">
        <f>'Respuestas de formulario 1'!H2818</f>
        <v/>
      </c>
      <c r="J177" s="7" t="str">
        <f>'Respuestas de formulario 1'!I2818</f>
        <v/>
      </c>
      <c r="K177" s="7" t="str">
        <f>'Respuestas de formulario 1'!J2818</f>
        <v/>
      </c>
    </row>
    <row r="178">
      <c r="A178" s="7">
        <f t="shared" si="1"/>
        <v>178</v>
      </c>
      <c r="B178" s="7" t="str">
        <f>'Respuestas de formulario 1'!A2819</f>
        <v/>
      </c>
      <c r="C178" s="7" t="str">
        <f>'Respuestas de formulario 1'!B2819</f>
        <v/>
      </c>
      <c r="D178" s="7" t="str">
        <f>'Respuestas de formulario 1'!C2819</f>
        <v/>
      </c>
      <c r="E178" s="7" t="str">
        <f>'Respuestas de formulario 1'!D2819</f>
        <v/>
      </c>
      <c r="F178" s="7" t="str">
        <f>'Respuestas de formulario 1'!E2819</f>
        <v/>
      </c>
      <c r="G178" s="7" t="str">
        <f>'Respuestas de formulario 1'!F2819</f>
        <v/>
      </c>
      <c r="H178" s="7" t="str">
        <f>'Respuestas de formulario 1'!G2819</f>
        <v/>
      </c>
      <c r="I178" s="7" t="str">
        <f>'Respuestas de formulario 1'!H2819</f>
        <v/>
      </c>
      <c r="J178" s="7" t="str">
        <f>'Respuestas de formulario 1'!I2819</f>
        <v/>
      </c>
      <c r="K178" s="7" t="str">
        <f>'Respuestas de formulario 1'!J2819</f>
        <v/>
      </c>
    </row>
    <row r="179">
      <c r="A179" s="7">
        <f t="shared" si="1"/>
        <v>179</v>
      </c>
      <c r="B179" s="7" t="str">
        <f>'Respuestas de formulario 1'!A2820</f>
        <v/>
      </c>
      <c r="C179" s="7" t="str">
        <f>'Respuestas de formulario 1'!B2820</f>
        <v/>
      </c>
      <c r="D179" s="7" t="str">
        <f>'Respuestas de formulario 1'!C2820</f>
        <v/>
      </c>
      <c r="E179" s="7" t="str">
        <f>'Respuestas de formulario 1'!D2820</f>
        <v/>
      </c>
      <c r="F179" s="7" t="str">
        <f>'Respuestas de formulario 1'!E2820</f>
        <v/>
      </c>
      <c r="G179" s="7" t="str">
        <f>'Respuestas de formulario 1'!F2820</f>
        <v/>
      </c>
      <c r="H179" s="7" t="str">
        <f>'Respuestas de formulario 1'!G2820</f>
        <v/>
      </c>
      <c r="I179" s="7" t="str">
        <f>'Respuestas de formulario 1'!H2820</f>
        <v/>
      </c>
      <c r="J179" s="7" t="str">
        <f>'Respuestas de formulario 1'!I2820</f>
        <v/>
      </c>
      <c r="K179" s="7" t="str">
        <f>'Respuestas de formulario 1'!J2820</f>
        <v/>
      </c>
    </row>
    <row r="180">
      <c r="A180" s="7">
        <f t="shared" si="1"/>
        <v>180</v>
      </c>
      <c r="B180" s="7" t="str">
        <f>'Respuestas de formulario 1'!A2821</f>
        <v/>
      </c>
      <c r="C180" s="7" t="str">
        <f>'Respuestas de formulario 1'!B2821</f>
        <v/>
      </c>
      <c r="D180" s="7" t="str">
        <f>'Respuestas de formulario 1'!C2821</f>
        <v/>
      </c>
      <c r="E180" s="7" t="str">
        <f>'Respuestas de formulario 1'!D2821</f>
        <v/>
      </c>
      <c r="F180" s="7" t="str">
        <f>'Respuestas de formulario 1'!E2821</f>
        <v/>
      </c>
      <c r="G180" s="7" t="str">
        <f>'Respuestas de formulario 1'!F2821</f>
        <v/>
      </c>
      <c r="H180" s="7" t="str">
        <f>'Respuestas de formulario 1'!G2821</f>
        <v/>
      </c>
      <c r="I180" s="7" t="str">
        <f>'Respuestas de formulario 1'!H2821</f>
        <v/>
      </c>
      <c r="J180" s="7" t="str">
        <f>'Respuestas de formulario 1'!I2821</f>
        <v/>
      </c>
      <c r="K180" s="7" t="str">
        <f>'Respuestas de formulario 1'!J2821</f>
        <v/>
      </c>
    </row>
    <row r="181">
      <c r="A181" s="7">
        <f t="shared" si="1"/>
        <v>181</v>
      </c>
      <c r="B181" s="7" t="str">
        <f>'Respuestas de formulario 1'!A2822</f>
        <v/>
      </c>
      <c r="C181" s="7" t="str">
        <f>'Respuestas de formulario 1'!B2822</f>
        <v/>
      </c>
      <c r="D181" s="7" t="str">
        <f>'Respuestas de formulario 1'!C2822</f>
        <v/>
      </c>
      <c r="E181" s="7" t="str">
        <f>'Respuestas de formulario 1'!D2822</f>
        <v/>
      </c>
      <c r="F181" s="7" t="str">
        <f>'Respuestas de formulario 1'!E2822</f>
        <v/>
      </c>
      <c r="G181" s="7" t="str">
        <f>'Respuestas de formulario 1'!F2822</f>
        <v/>
      </c>
      <c r="H181" s="7" t="str">
        <f>'Respuestas de formulario 1'!G2822</f>
        <v/>
      </c>
      <c r="I181" s="7" t="str">
        <f>'Respuestas de formulario 1'!H2822</f>
        <v/>
      </c>
      <c r="J181" s="7" t="str">
        <f>'Respuestas de formulario 1'!I2822</f>
        <v/>
      </c>
      <c r="K181" s="7" t="str">
        <f>'Respuestas de formulario 1'!J2822</f>
        <v/>
      </c>
    </row>
    <row r="182">
      <c r="A182" s="7">
        <f t="shared" si="1"/>
        <v>182</v>
      </c>
      <c r="B182" s="7" t="str">
        <f>'Respuestas de formulario 1'!A2823</f>
        <v/>
      </c>
      <c r="C182" s="7" t="str">
        <f>'Respuestas de formulario 1'!B2823</f>
        <v/>
      </c>
      <c r="D182" s="7" t="str">
        <f>'Respuestas de formulario 1'!C2823</f>
        <v/>
      </c>
      <c r="E182" s="7" t="str">
        <f>'Respuestas de formulario 1'!D2823</f>
        <v/>
      </c>
      <c r="F182" s="7" t="str">
        <f>'Respuestas de formulario 1'!E2823</f>
        <v/>
      </c>
      <c r="G182" s="7" t="str">
        <f>'Respuestas de formulario 1'!F2823</f>
        <v/>
      </c>
      <c r="H182" s="7" t="str">
        <f>'Respuestas de formulario 1'!G2823</f>
        <v/>
      </c>
      <c r="I182" s="7" t="str">
        <f>'Respuestas de formulario 1'!H2823</f>
        <v/>
      </c>
      <c r="J182" s="7" t="str">
        <f>'Respuestas de formulario 1'!I2823</f>
        <v/>
      </c>
      <c r="K182" s="7" t="str">
        <f>'Respuestas de formulario 1'!J2823</f>
        <v/>
      </c>
    </row>
    <row r="183">
      <c r="A183" s="7">
        <f t="shared" si="1"/>
        <v>183</v>
      </c>
      <c r="B183" s="7" t="str">
        <f>'Respuestas de formulario 1'!A2824</f>
        <v/>
      </c>
      <c r="C183" s="7" t="str">
        <f>'Respuestas de formulario 1'!B2824</f>
        <v/>
      </c>
      <c r="D183" s="7" t="str">
        <f>'Respuestas de formulario 1'!C2824</f>
        <v/>
      </c>
      <c r="E183" s="7" t="str">
        <f>'Respuestas de formulario 1'!D2824</f>
        <v/>
      </c>
      <c r="F183" s="7" t="str">
        <f>'Respuestas de formulario 1'!E2824</f>
        <v/>
      </c>
      <c r="G183" s="7" t="str">
        <f>'Respuestas de formulario 1'!F2824</f>
        <v/>
      </c>
      <c r="H183" s="7" t="str">
        <f>'Respuestas de formulario 1'!G2824</f>
        <v/>
      </c>
      <c r="I183" s="7" t="str">
        <f>'Respuestas de formulario 1'!H2824</f>
        <v/>
      </c>
      <c r="J183" s="7" t="str">
        <f>'Respuestas de formulario 1'!I2824</f>
        <v/>
      </c>
      <c r="K183" s="7" t="str">
        <f>'Respuestas de formulario 1'!J2824</f>
        <v/>
      </c>
    </row>
    <row r="184">
      <c r="A184" s="7">
        <f t="shared" si="1"/>
        <v>184</v>
      </c>
      <c r="B184" s="7" t="str">
        <f>'Respuestas de formulario 1'!A2825</f>
        <v/>
      </c>
      <c r="C184" s="7" t="str">
        <f>'Respuestas de formulario 1'!B2825</f>
        <v/>
      </c>
      <c r="D184" s="7" t="str">
        <f>'Respuestas de formulario 1'!C2825</f>
        <v/>
      </c>
      <c r="E184" s="7" t="str">
        <f>'Respuestas de formulario 1'!D2825</f>
        <v/>
      </c>
      <c r="F184" s="7" t="str">
        <f>'Respuestas de formulario 1'!E2825</f>
        <v/>
      </c>
      <c r="G184" s="7" t="str">
        <f>'Respuestas de formulario 1'!F2825</f>
        <v/>
      </c>
      <c r="H184" s="7" t="str">
        <f>'Respuestas de formulario 1'!G2825</f>
        <v/>
      </c>
      <c r="I184" s="7" t="str">
        <f>'Respuestas de formulario 1'!H2825</f>
        <v/>
      </c>
      <c r="J184" s="7" t="str">
        <f>'Respuestas de formulario 1'!I2825</f>
        <v/>
      </c>
      <c r="K184" s="7" t="str">
        <f>'Respuestas de formulario 1'!J2825</f>
        <v/>
      </c>
    </row>
    <row r="185">
      <c r="A185" s="7">
        <f t="shared" si="1"/>
        <v>185</v>
      </c>
      <c r="B185" s="7" t="str">
        <f>'Respuestas de formulario 1'!A2826</f>
        <v/>
      </c>
      <c r="C185" s="7" t="str">
        <f>'Respuestas de formulario 1'!B2826</f>
        <v/>
      </c>
      <c r="D185" s="7" t="str">
        <f>'Respuestas de formulario 1'!C2826</f>
        <v/>
      </c>
      <c r="E185" s="7" t="str">
        <f>'Respuestas de formulario 1'!D2826</f>
        <v/>
      </c>
      <c r="F185" s="7" t="str">
        <f>'Respuestas de formulario 1'!E2826</f>
        <v/>
      </c>
      <c r="G185" s="7" t="str">
        <f>'Respuestas de formulario 1'!F2826</f>
        <v/>
      </c>
      <c r="H185" s="7" t="str">
        <f>'Respuestas de formulario 1'!G2826</f>
        <v/>
      </c>
      <c r="I185" s="7" t="str">
        <f>'Respuestas de formulario 1'!H2826</f>
        <v/>
      </c>
      <c r="J185" s="7" t="str">
        <f>'Respuestas de formulario 1'!I2826</f>
        <v/>
      </c>
      <c r="K185" s="7" t="str">
        <f>'Respuestas de formulario 1'!J2826</f>
        <v/>
      </c>
    </row>
    <row r="186">
      <c r="A186" s="7">
        <f t="shared" si="1"/>
        <v>186</v>
      </c>
      <c r="B186" s="7" t="str">
        <f>'Respuestas de formulario 1'!A2827</f>
        <v/>
      </c>
      <c r="C186" s="7" t="str">
        <f>'Respuestas de formulario 1'!B2827</f>
        <v/>
      </c>
      <c r="D186" s="7" t="str">
        <f>'Respuestas de formulario 1'!C2827</f>
        <v/>
      </c>
      <c r="E186" s="7" t="str">
        <f>'Respuestas de formulario 1'!D2827</f>
        <v/>
      </c>
      <c r="F186" s="7" t="str">
        <f>'Respuestas de formulario 1'!E2827</f>
        <v/>
      </c>
      <c r="G186" s="7" t="str">
        <f>'Respuestas de formulario 1'!F2827</f>
        <v/>
      </c>
      <c r="H186" s="7" t="str">
        <f>'Respuestas de formulario 1'!G2827</f>
        <v/>
      </c>
      <c r="I186" s="7" t="str">
        <f>'Respuestas de formulario 1'!H2827</f>
        <v/>
      </c>
      <c r="J186" s="7" t="str">
        <f>'Respuestas de formulario 1'!I2827</f>
        <v/>
      </c>
      <c r="K186" s="7" t="str">
        <f>'Respuestas de formulario 1'!J2827</f>
        <v/>
      </c>
    </row>
    <row r="187">
      <c r="A187" s="7">
        <f t="shared" si="1"/>
        <v>187</v>
      </c>
      <c r="B187" s="7" t="str">
        <f>'Respuestas de formulario 1'!A2828</f>
        <v/>
      </c>
      <c r="C187" s="7" t="str">
        <f>'Respuestas de formulario 1'!B2828</f>
        <v/>
      </c>
      <c r="D187" s="7" t="str">
        <f>'Respuestas de formulario 1'!C2828</f>
        <v/>
      </c>
      <c r="E187" s="7" t="str">
        <f>'Respuestas de formulario 1'!D2828</f>
        <v/>
      </c>
      <c r="F187" s="7" t="str">
        <f>'Respuestas de formulario 1'!E2828</f>
        <v/>
      </c>
      <c r="G187" s="7" t="str">
        <f>'Respuestas de formulario 1'!F2828</f>
        <v/>
      </c>
      <c r="H187" s="7" t="str">
        <f>'Respuestas de formulario 1'!G2828</f>
        <v/>
      </c>
      <c r="I187" s="7" t="str">
        <f>'Respuestas de formulario 1'!H2828</f>
        <v/>
      </c>
      <c r="J187" s="7" t="str">
        <f>'Respuestas de formulario 1'!I2828</f>
        <v/>
      </c>
      <c r="K187" s="7" t="str">
        <f>'Respuestas de formulario 1'!J2828</f>
        <v/>
      </c>
    </row>
    <row r="188">
      <c r="A188" s="7">
        <f t="shared" si="1"/>
        <v>188</v>
      </c>
      <c r="B188" s="7" t="str">
        <f>'Respuestas de formulario 1'!A2829</f>
        <v/>
      </c>
      <c r="C188" s="7" t="str">
        <f>'Respuestas de formulario 1'!B2829</f>
        <v/>
      </c>
      <c r="D188" s="7" t="str">
        <f>'Respuestas de formulario 1'!C2829</f>
        <v/>
      </c>
      <c r="E188" s="7" t="str">
        <f>'Respuestas de formulario 1'!D2829</f>
        <v/>
      </c>
      <c r="F188" s="7" t="str">
        <f>'Respuestas de formulario 1'!E2829</f>
        <v/>
      </c>
      <c r="G188" s="7" t="str">
        <f>'Respuestas de formulario 1'!F2829</f>
        <v/>
      </c>
      <c r="H188" s="7" t="str">
        <f>'Respuestas de formulario 1'!G2829</f>
        <v/>
      </c>
      <c r="I188" s="7" t="str">
        <f>'Respuestas de formulario 1'!H2829</f>
        <v/>
      </c>
      <c r="J188" s="7" t="str">
        <f>'Respuestas de formulario 1'!I2829</f>
        <v/>
      </c>
      <c r="K188" s="7" t="str">
        <f>'Respuestas de formulario 1'!J2829</f>
        <v/>
      </c>
    </row>
    <row r="189">
      <c r="A189" s="7">
        <f t="shared" si="1"/>
        <v>189</v>
      </c>
      <c r="B189" s="7" t="str">
        <f>'Respuestas de formulario 1'!A2830</f>
        <v/>
      </c>
      <c r="C189" s="7" t="str">
        <f>'Respuestas de formulario 1'!B2830</f>
        <v/>
      </c>
      <c r="D189" s="7" t="str">
        <f>'Respuestas de formulario 1'!C2830</f>
        <v/>
      </c>
      <c r="E189" s="7" t="str">
        <f>'Respuestas de formulario 1'!D2830</f>
        <v/>
      </c>
      <c r="F189" s="7" t="str">
        <f>'Respuestas de formulario 1'!E2830</f>
        <v/>
      </c>
      <c r="G189" s="7" t="str">
        <f>'Respuestas de formulario 1'!F2830</f>
        <v/>
      </c>
      <c r="H189" s="7" t="str">
        <f>'Respuestas de formulario 1'!G2830</f>
        <v/>
      </c>
      <c r="I189" s="7" t="str">
        <f>'Respuestas de formulario 1'!H2830</f>
        <v/>
      </c>
      <c r="J189" s="7" t="str">
        <f>'Respuestas de formulario 1'!I2830</f>
        <v/>
      </c>
      <c r="K189" s="7" t="str">
        <f>'Respuestas de formulario 1'!J2830</f>
        <v/>
      </c>
    </row>
    <row r="190">
      <c r="A190" s="7">
        <f t="shared" si="1"/>
        <v>190</v>
      </c>
      <c r="B190" s="7" t="str">
        <f>'Respuestas de formulario 1'!A2831</f>
        <v/>
      </c>
      <c r="C190" s="7" t="str">
        <f>'Respuestas de formulario 1'!B2831</f>
        <v/>
      </c>
      <c r="D190" s="7" t="str">
        <f>'Respuestas de formulario 1'!C2831</f>
        <v/>
      </c>
      <c r="E190" s="7" t="str">
        <f>'Respuestas de formulario 1'!D2831</f>
        <v/>
      </c>
      <c r="F190" s="7" t="str">
        <f>'Respuestas de formulario 1'!E2831</f>
        <v/>
      </c>
      <c r="G190" s="7" t="str">
        <f>'Respuestas de formulario 1'!F2831</f>
        <v/>
      </c>
      <c r="H190" s="7" t="str">
        <f>'Respuestas de formulario 1'!G2831</f>
        <v/>
      </c>
      <c r="I190" s="7" t="str">
        <f>'Respuestas de formulario 1'!H2831</f>
        <v/>
      </c>
      <c r="J190" s="7" t="str">
        <f>'Respuestas de formulario 1'!I2831</f>
        <v/>
      </c>
      <c r="K190" s="7" t="str">
        <f>'Respuestas de formulario 1'!J2831</f>
        <v/>
      </c>
    </row>
    <row r="191">
      <c r="A191" s="7">
        <f t="shared" si="1"/>
        <v>191</v>
      </c>
      <c r="B191" s="7" t="str">
        <f>'Respuestas de formulario 1'!A2832</f>
        <v/>
      </c>
      <c r="C191" s="7" t="str">
        <f>'Respuestas de formulario 1'!B2832</f>
        <v/>
      </c>
      <c r="D191" s="7" t="str">
        <f>'Respuestas de formulario 1'!C2832</f>
        <v/>
      </c>
      <c r="E191" s="7" t="str">
        <f>'Respuestas de formulario 1'!D2832</f>
        <v/>
      </c>
      <c r="F191" s="7" t="str">
        <f>'Respuestas de formulario 1'!E2832</f>
        <v/>
      </c>
      <c r="G191" s="7" t="str">
        <f>'Respuestas de formulario 1'!F2832</f>
        <v/>
      </c>
      <c r="H191" s="7" t="str">
        <f>'Respuestas de formulario 1'!G2832</f>
        <v/>
      </c>
      <c r="I191" s="7" t="str">
        <f>'Respuestas de formulario 1'!H2832</f>
        <v/>
      </c>
      <c r="J191" s="7" t="str">
        <f>'Respuestas de formulario 1'!I2832</f>
        <v/>
      </c>
      <c r="K191" s="7" t="str">
        <f>'Respuestas de formulario 1'!J2832</f>
        <v/>
      </c>
    </row>
    <row r="192">
      <c r="A192" s="7">
        <f t="shared" si="1"/>
        <v>192</v>
      </c>
      <c r="B192" s="7" t="str">
        <f>'Respuestas de formulario 1'!A2833</f>
        <v/>
      </c>
      <c r="C192" s="7" t="str">
        <f>'Respuestas de formulario 1'!B2833</f>
        <v/>
      </c>
      <c r="D192" s="7" t="str">
        <f>'Respuestas de formulario 1'!C2833</f>
        <v/>
      </c>
      <c r="E192" s="7" t="str">
        <f>'Respuestas de formulario 1'!D2833</f>
        <v/>
      </c>
      <c r="F192" s="7" t="str">
        <f>'Respuestas de formulario 1'!E2833</f>
        <v/>
      </c>
      <c r="G192" s="7" t="str">
        <f>'Respuestas de formulario 1'!F2833</f>
        <v/>
      </c>
      <c r="H192" s="7" t="str">
        <f>'Respuestas de formulario 1'!G2833</f>
        <v/>
      </c>
      <c r="I192" s="7" t="str">
        <f>'Respuestas de formulario 1'!H2833</f>
        <v/>
      </c>
      <c r="J192" s="7" t="str">
        <f>'Respuestas de formulario 1'!I2833</f>
        <v/>
      </c>
      <c r="K192" s="7" t="str">
        <f>'Respuestas de formulario 1'!J2833</f>
        <v/>
      </c>
    </row>
    <row r="193">
      <c r="A193" s="7">
        <f t="shared" si="1"/>
        <v>193</v>
      </c>
      <c r="B193" s="7" t="str">
        <f>'Respuestas de formulario 1'!A2834</f>
        <v/>
      </c>
      <c r="C193" s="7" t="str">
        <f>'Respuestas de formulario 1'!B2834</f>
        <v/>
      </c>
      <c r="D193" s="7" t="str">
        <f>'Respuestas de formulario 1'!C2834</f>
        <v/>
      </c>
      <c r="E193" s="7" t="str">
        <f>'Respuestas de formulario 1'!D2834</f>
        <v/>
      </c>
      <c r="F193" s="7" t="str">
        <f>'Respuestas de formulario 1'!E2834</f>
        <v/>
      </c>
      <c r="G193" s="7" t="str">
        <f>'Respuestas de formulario 1'!F2834</f>
        <v/>
      </c>
      <c r="H193" s="7" t="str">
        <f>'Respuestas de formulario 1'!G2834</f>
        <v/>
      </c>
      <c r="I193" s="7" t="str">
        <f>'Respuestas de formulario 1'!H2834</f>
        <v/>
      </c>
      <c r="J193" s="7" t="str">
        <f>'Respuestas de formulario 1'!I2834</f>
        <v/>
      </c>
      <c r="K193" s="7" t="str">
        <f>'Respuestas de formulario 1'!J2834</f>
        <v/>
      </c>
    </row>
    <row r="194">
      <c r="A194" s="7">
        <f t="shared" si="1"/>
        <v>194</v>
      </c>
      <c r="B194" s="7" t="str">
        <f>'Respuestas de formulario 1'!A2835</f>
        <v/>
      </c>
      <c r="C194" s="7" t="str">
        <f>'Respuestas de formulario 1'!B2835</f>
        <v/>
      </c>
      <c r="D194" s="7" t="str">
        <f>'Respuestas de formulario 1'!C2835</f>
        <v/>
      </c>
      <c r="E194" s="7" t="str">
        <f>'Respuestas de formulario 1'!D2835</f>
        <v/>
      </c>
      <c r="F194" s="7" t="str">
        <f>'Respuestas de formulario 1'!E2835</f>
        <v/>
      </c>
      <c r="G194" s="7" t="str">
        <f>'Respuestas de formulario 1'!F2835</f>
        <v/>
      </c>
      <c r="H194" s="7" t="str">
        <f>'Respuestas de formulario 1'!G2835</f>
        <v/>
      </c>
      <c r="I194" s="7" t="str">
        <f>'Respuestas de formulario 1'!H2835</f>
        <v/>
      </c>
      <c r="J194" s="7" t="str">
        <f>'Respuestas de formulario 1'!I2835</f>
        <v/>
      </c>
      <c r="K194" s="7" t="str">
        <f>'Respuestas de formulario 1'!J2835</f>
        <v/>
      </c>
    </row>
    <row r="195">
      <c r="A195" s="7">
        <f t="shared" si="1"/>
        <v>195</v>
      </c>
      <c r="B195" s="7" t="str">
        <f>'Respuestas de formulario 1'!A2836</f>
        <v/>
      </c>
      <c r="C195" s="7" t="str">
        <f>'Respuestas de formulario 1'!B2836</f>
        <v/>
      </c>
      <c r="D195" s="7" t="str">
        <f>'Respuestas de formulario 1'!C2836</f>
        <v/>
      </c>
      <c r="E195" s="7" t="str">
        <f>'Respuestas de formulario 1'!D2836</f>
        <v/>
      </c>
      <c r="F195" s="7" t="str">
        <f>'Respuestas de formulario 1'!E2836</f>
        <v/>
      </c>
      <c r="G195" s="7" t="str">
        <f>'Respuestas de formulario 1'!F2836</f>
        <v/>
      </c>
      <c r="H195" s="7" t="str">
        <f>'Respuestas de formulario 1'!G2836</f>
        <v/>
      </c>
      <c r="I195" s="7" t="str">
        <f>'Respuestas de formulario 1'!H2836</f>
        <v/>
      </c>
      <c r="J195" s="7" t="str">
        <f>'Respuestas de formulario 1'!I2836</f>
        <v/>
      </c>
      <c r="K195" s="7" t="str">
        <f>'Respuestas de formulario 1'!J2836</f>
        <v/>
      </c>
    </row>
    <row r="196">
      <c r="A196" s="7">
        <f t="shared" si="1"/>
        <v>196</v>
      </c>
      <c r="B196" s="7" t="str">
        <f>'Respuestas de formulario 1'!A2837</f>
        <v/>
      </c>
      <c r="C196" s="7" t="str">
        <f>'Respuestas de formulario 1'!B2837</f>
        <v/>
      </c>
      <c r="D196" s="7" t="str">
        <f>'Respuestas de formulario 1'!C2837</f>
        <v/>
      </c>
      <c r="E196" s="7" t="str">
        <f>'Respuestas de formulario 1'!D2837</f>
        <v/>
      </c>
      <c r="F196" s="7" t="str">
        <f>'Respuestas de formulario 1'!E2837</f>
        <v/>
      </c>
      <c r="G196" s="7" t="str">
        <f>'Respuestas de formulario 1'!F2837</f>
        <v/>
      </c>
      <c r="H196" s="7" t="str">
        <f>'Respuestas de formulario 1'!G2837</f>
        <v/>
      </c>
      <c r="I196" s="7" t="str">
        <f>'Respuestas de formulario 1'!H2837</f>
        <v/>
      </c>
      <c r="J196" s="7" t="str">
        <f>'Respuestas de formulario 1'!I2837</f>
        <v/>
      </c>
      <c r="K196" s="7" t="str">
        <f>'Respuestas de formulario 1'!J2837</f>
        <v/>
      </c>
    </row>
    <row r="197">
      <c r="A197" s="7">
        <f t="shared" si="1"/>
        <v>197</v>
      </c>
      <c r="B197" s="7" t="str">
        <f>'Respuestas de formulario 1'!A2838</f>
        <v/>
      </c>
      <c r="C197" s="7" t="str">
        <f>'Respuestas de formulario 1'!B2838</f>
        <v/>
      </c>
      <c r="D197" s="7" t="str">
        <f>'Respuestas de formulario 1'!C2838</f>
        <v/>
      </c>
      <c r="E197" s="7" t="str">
        <f>'Respuestas de formulario 1'!D2838</f>
        <v/>
      </c>
      <c r="F197" s="7" t="str">
        <f>'Respuestas de formulario 1'!E2838</f>
        <v/>
      </c>
      <c r="G197" s="7" t="str">
        <f>'Respuestas de formulario 1'!F2838</f>
        <v/>
      </c>
      <c r="H197" s="7" t="str">
        <f>'Respuestas de formulario 1'!G2838</f>
        <v/>
      </c>
      <c r="I197" s="7" t="str">
        <f>'Respuestas de formulario 1'!H2838</f>
        <v/>
      </c>
      <c r="J197" s="7" t="str">
        <f>'Respuestas de formulario 1'!I2838</f>
        <v/>
      </c>
      <c r="K197" s="7" t="str">
        <f>'Respuestas de formulario 1'!J2838</f>
        <v/>
      </c>
    </row>
    <row r="198">
      <c r="A198" s="7">
        <f t="shared" si="1"/>
        <v>198</v>
      </c>
      <c r="B198" s="7" t="str">
        <f>'Respuestas de formulario 1'!A2839</f>
        <v/>
      </c>
      <c r="C198" s="7" t="str">
        <f>'Respuestas de formulario 1'!B2839</f>
        <v/>
      </c>
      <c r="D198" s="7" t="str">
        <f>'Respuestas de formulario 1'!C2839</f>
        <v/>
      </c>
      <c r="E198" s="7" t="str">
        <f>'Respuestas de formulario 1'!D2839</f>
        <v/>
      </c>
      <c r="F198" s="7" t="str">
        <f>'Respuestas de formulario 1'!E2839</f>
        <v/>
      </c>
      <c r="G198" s="7" t="str">
        <f>'Respuestas de formulario 1'!F2839</f>
        <v/>
      </c>
      <c r="H198" s="7" t="str">
        <f>'Respuestas de formulario 1'!G2839</f>
        <v/>
      </c>
      <c r="I198" s="7" t="str">
        <f>'Respuestas de formulario 1'!H2839</f>
        <v/>
      </c>
      <c r="J198" s="7" t="str">
        <f>'Respuestas de formulario 1'!I2839</f>
        <v/>
      </c>
      <c r="K198" s="7" t="str">
        <f>'Respuestas de formulario 1'!J2839</f>
        <v/>
      </c>
    </row>
    <row r="199">
      <c r="A199" s="7">
        <f t="shared" si="1"/>
        <v>199</v>
      </c>
      <c r="B199" s="7" t="str">
        <f>'Respuestas de formulario 1'!A2840</f>
        <v/>
      </c>
      <c r="C199" s="7" t="str">
        <f>'Respuestas de formulario 1'!B2840</f>
        <v/>
      </c>
      <c r="D199" s="7" t="str">
        <f>'Respuestas de formulario 1'!C2840</f>
        <v/>
      </c>
      <c r="E199" s="7" t="str">
        <f>'Respuestas de formulario 1'!D2840</f>
        <v/>
      </c>
      <c r="F199" s="7" t="str">
        <f>'Respuestas de formulario 1'!E2840</f>
        <v/>
      </c>
      <c r="G199" s="7" t="str">
        <f>'Respuestas de formulario 1'!F2840</f>
        <v/>
      </c>
      <c r="H199" s="7" t="str">
        <f>'Respuestas de formulario 1'!G2840</f>
        <v/>
      </c>
      <c r="I199" s="7" t="str">
        <f>'Respuestas de formulario 1'!H2840</f>
        <v/>
      </c>
      <c r="J199" s="7" t="str">
        <f>'Respuestas de formulario 1'!I2840</f>
        <v/>
      </c>
      <c r="K199" s="7" t="str">
        <f>'Respuestas de formulario 1'!J2840</f>
        <v/>
      </c>
    </row>
    <row r="200">
      <c r="A200" s="7">
        <f t="shared" si="1"/>
        <v>200</v>
      </c>
      <c r="B200" s="7" t="str">
        <f>'Respuestas de formulario 1'!A2841</f>
        <v/>
      </c>
      <c r="C200" s="7" t="str">
        <f>'Respuestas de formulario 1'!B2841</f>
        <v/>
      </c>
      <c r="D200" s="7" t="str">
        <f>'Respuestas de formulario 1'!C2841</f>
        <v/>
      </c>
      <c r="E200" s="7" t="str">
        <f>'Respuestas de formulario 1'!D2841</f>
        <v/>
      </c>
      <c r="F200" s="7" t="str">
        <f>'Respuestas de formulario 1'!E2841</f>
        <v/>
      </c>
      <c r="G200" s="7" t="str">
        <f>'Respuestas de formulario 1'!F2841</f>
        <v/>
      </c>
      <c r="H200" s="7" t="str">
        <f>'Respuestas de formulario 1'!G2841</f>
        <v/>
      </c>
      <c r="I200" s="7" t="str">
        <f>'Respuestas de formulario 1'!H2841</f>
        <v/>
      </c>
      <c r="J200" s="7" t="str">
        <f>'Respuestas de formulario 1'!I2841</f>
        <v/>
      </c>
      <c r="K200" s="7" t="str">
        <f>'Respuestas de formulario 1'!J2841</f>
        <v/>
      </c>
    </row>
    <row r="201">
      <c r="A201" s="7">
        <f t="shared" si="1"/>
        <v>201</v>
      </c>
      <c r="B201" s="7" t="str">
        <f>'Respuestas de formulario 1'!A2842</f>
        <v/>
      </c>
      <c r="C201" s="7" t="str">
        <f>'Respuestas de formulario 1'!B2842</f>
        <v/>
      </c>
      <c r="D201" s="7" t="str">
        <f>'Respuestas de formulario 1'!C2842</f>
        <v/>
      </c>
      <c r="E201" s="7" t="str">
        <f>'Respuestas de formulario 1'!D2842</f>
        <v/>
      </c>
      <c r="F201" s="7" t="str">
        <f>'Respuestas de formulario 1'!E2842</f>
        <v/>
      </c>
      <c r="G201" s="7" t="str">
        <f>'Respuestas de formulario 1'!F2842</f>
        <v/>
      </c>
      <c r="H201" s="7" t="str">
        <f>'Respuestas de formulario 1'!G2842</f>
        <v/>
      </c>
      <c r="I201" s="7" t="str">
        <f>'Respuestas de formulario 1'!H2842</f>
        <v/>
      </c>
      <c r="J201" s="7" t="str">
        <f>'Respuestas de formulario 1'!I2842</f>
        <v/>
      </c>
      <c r="K201" s="7" t="str">
        <f>'Respuestas de formulario 1'!J2842</f>
        <v/>
      </c>
    </row>
    <row r="202">
      <c r="A202" s="7">
        <f t="shared" si="1"/>
        <v>202</v>
      </c>
      <c r="B202" s="7" t="str">
        <f>'Respuestas de formulario 1'!A2843</f>
        <v/>
      </c>
      <c r="C202" s="7" t="str">
        <f>'Respuestas de formulario 1'!B2843</f>
        <v/>
      </c>
      <c r="D202" s="7" t="str">
        <f>'Respuestas de formulario 1'!C2843</f>
        <v/>
      </c>
      <c r="E202" s="7" t="str">
        <f>'Respuestas de formulario 1'!D2843</f>
        <v/>
      </c>
      <c r="F202" s="7" t="str">
        <f>'Respuestas de formulario 1'!E2843</f>
        <v/>
      </c>
      <c r="G202" s="7" t="str">
        <f>'Respuestas de formulario 1'!F2843</f>
        <v/>
      </c>
      <c r="H202" s="7" t="str">
        <f>'Respuestas de formulario 1'!G2843</f>
        <v/>
      </c>
      <c r="I202" s="7" t="str">
        <f>'Respuestas de formulario 1'!H2843</f>
        <v/>
      </c>
      <c r="J202" s="7" t="str">
        <f>'Respuestas de formulario 1'!I2843</f>
        <v/>
      </c>
      <c r="K202" s="7" t="str">
        <f>'Respuestas de formulario 1'!J2843</f>
        <v/>
      </c>
    </row>
    <row r="203">
      <c r="A203" s="7">
        <f t="shared" si="1"/>
        <v>203</v>
      </c>
      <c r="B203" s="7" t="str">
        <f>'Respuestas de formulario 1'!A2844</f>
        <v/>
      </c>
      <c r="C203" s="7" t="str">
        <f>'Respuestas de formulario 1'!B2844</f>
        <v/>
      </c>
      <c r="D203" s="7" t="str">
        <f>'Respuestas de formulario 1'!C2844</f>
        <v/>
      </c>
      <c r="E203" s="7" t="str">
        <f>'Respuestas de formulario 1'!D2844</f>
        <v/>
      </c>
      <c r="F203" s="7" t="str">
        <f>'Respuestas de formulario 1'!E2844</f>
        <v/>
      </c>
      <c r="G203" s="7" t="str">
        <f>'Respuestas de formulario 1'!F2844</f>
        <v/>
      </c>
      <c r="H203" s="7" t="str">
        <f>'Respuestas de formulario 1'!G2844</f>
        <v/>
      </c>
      <c r="I203" s="7" t="str">
        <f>'Respuestas de formulario 1'!H2844</f>
        <v/>
      </c>
      <c r="J203" s="7" t="str">
        <f>'Respuestas de formulario 1'!I2844</f>
        <v/>
      </c>
      <c r="K203" s="7" t="str">
        <f>'Respuestas de formulario 1'!J2844</f>
        <v/>
      </c>
    </row>
    <row r="204">
      <c r="A204" s="7">
        <f t="shared" si="1"/>
        <v>204</v>
      </c>
      <c r="B204" s="7" t="str">
        <f>'Respuestas de formulario 1'!A2845</f>
        <v/>
      </c>
      <c r="C204" s="7" t="str">
        <f>'Respuestas de formulario 1'!B2845</f>
        <v/>
      </c>
      <c r="D204" s="7" t="str">
        <f>'Respuestas de formulario 1'!C2845</f>
        <v/>
      </c>
      <c r="E204" s="7" t="str">
        <f>'Respuestas de formulario 1'!D2845</f>
        <v/>
      </c>
      <c r="F204" s="7" t="str">
        <f>'Respuestas de formulario 1'!E2845</f>
        <v/>
      </c>
      <c r="G204" s="7" t="str">
        <f>'Respuestas de formulario 1'!F2845</f>
        <v/>
      </c>
      <c r="H204" s="7" t="str">
        <f>'Respuestas de formulario 1'!G2845</f>
        <v/>
      </c>
      <c r="I204" s="7" t="str">
        <f>'Respuestas de formulario 1'!H2845</f>
        <v/>
      </c>
      <c r="J204" s="7" t="str">
        <f>'Respuestas de formulario 1'!I2845</f>
        <v/>
      </c>
      <c r="K204" s="7" t="str">
        <f>'Respuestas de formulario 1'!J2845</f>
        <v/>
      </c>
    </row>
    <row r="205">
      <c r="A205" s="7">
        <f t="shared" si="1"/>
        <v>205</v>
      </c>
      <c r="B205" s="7" t="str">
        <f>'Respuestas de formulario 1'!A2846</f>
        <v/>
      </c>
      <c r="C205" s="7" t="str">
        <f>'Respuestas de formulario 1'!B2846</f>
        <v/>
      </c>
      <c r="D205" s="7" t="str">
        <f>'Respuestas de formulario 1'!C2846</f>
        <v/>
      </c>
      <c r="E205" s="7" t="str">
        <f>'Respuestas de formulario 1'!D2846</f>
        <v/>
      </c>
      <c r="F205" s="7" t="str">
        <f>'Respuestas de formulario 1'!E2846</f>
        <v/>
      </c>
      <c r="G205" s="7" t="str">
        <f>'Respuestas de formulario 1'!F2846</f>
        <v/>
      </c>
      <c r="H205" s="7" t="str">
        <f>'Respuestas de formulario 1'!G2846</f>
        <v/>
      </c>
      <c r="I205" s="7" t="str">
        <f>'Respuestas de formulario 1'!H2846</f>
        <v/>
      </c>
      <c r="J205" s="7" t="str">
        <f>'Respuestas de formulario 1'!I2846</f>
        <v/>
      </c>
      <c r="K205" s="7" t="str">
        <f>'Respuestas de formulario 1'!J2846</f>
        <v/>
      </c>
    </row>
    <row r="206">
      <c r="A206" s="7">
        <f t="shared" si="1"/>
        <v>206</v>
      </c>
      <c r="B206" s="7" t="str">
        <f>'Respuestas de formulario 1'!A2847</f>
        <v/>
      </c>
      <c r="C206" s="7" t="str">
        <f>'Respuestas de formulario 1'!B2847</f>
        <v/>
      </c>
      <c r="D206" s="7" t="str">
        <f>'Respuestas de formulario 1'!C2847</f>
        <v/>
      </c>
      <c r="E206" s="7" t="str">
        <f>'Respuestas de formulario 1'!D2847</f>
        <v/>
      </c>
      <c r="F206" s="7" t="str">
        <f>'Respuestas de formulario 1'!E2847</f>
        <v/>
      </c>
      <c r="G206" s="7" t="str">
        <f>'Respuestas de formulario 1'!F2847</f>
        <v/>
      </c>
      <c r="H206" s="7" t="str">
        <f>'Respuestas de formulario 1'!G2847</f>
        <v/>
      </c>
      <c r="I206" s="7" t="str">
        <f>'Respuestas de formulario 1'!H2847</f>
        <v/>
      </c>
      <c r="J206" s="7" t="str">
        <f>'Respuestas de formulario 1'!I2847</f>
        <v/>
      </c>
      <c r="K206" s="7" t="str">
        <f>'Respuestas de formulario 1'!J2847</f>
        <v/>
      </c>
    </row>
    <row r="207">
      <c r="A207" s="7">
        <f t="shared" si="1"/>
        <v>207</v>
      </c>
      <c r="B207" s="7" t="str">
        <f>'Respuestas de formulario 1'!A2848</f>
        <v/>
      </c>
      <c r="C207" s="7" t="str">
        <f>'Respuestas de formulario 1'!B2848</f>
        <v/>
      </c>
      <c r="D207" s="7" t="str">
        <f>'Respuestas de formulario 1'!C2848</f>
        <v/>
      </c>
      <c r="E207" s="7" t="str">
        <f>'Respuestas de formulario 1'!D2848</f>
        <v/>
      </c>
      <c r="F207" s="7" t="str">
        <f>'Respuestas de formulario 1'!E2848</f>
        <v/>
      </c>
      <c r="G207" s="7" t="str">
        <f>'Respuestas de formulario 1'!F2848</f>
        <v/>
      </c>
      <c r="H207" s="7" t="str">
        <f>'Respuestas de formulario 1'!G2848</f>
        <v/>
      </c>
      <c r="I207" s="7" t="str">
        <f>'Respuestas de formulario 1'!H2848</f>
        <v/>
      </c>
      <c r="J207" s="7" t="str">
        <f>'Respuestas de formulario 1'!I2848</f>
        <v/>
      </c>
      <c r="K207" s="7" t="str">
        <f>'Respuestas de formulario 1'!J2848</f>
        <v/>
      </c>
    </row>
    <row r="208">
      <c r="A208" s="7">
        <f t="shared" si="1"/>
        <v>208</v>
      </c>
      <c r="B208" s="7" t="str">
        <f>'Respuestas de formulario 1'!A2849</f>
        <v/>
      </c>
      <c r="C208" s="7" t="str">
        <f>'Respuestas de formulario 1'!B2849</f>
        <v/>
      </c>
      <c r="D208" s="7" t="str">
        <f>'Respuestas de formulario 1'!C2849</f>
        <v/>
      </c>
      <c r="E208" s="7" t="str">
        <f>'Respuestas de formulario 1'!D2849</f>
        <v/>
      </c>
      <c r="F208" s="7" t="str">
        <f>'Respuestas de formulario 1'!E2849</f>
        <v/>
      </c>
      <c r="G208" s="7" t="str">
        <f>'Respuestas de formulario 1'!F2849</f>
        <v/>
      </c>
      <c r="H208" s="7" t="str">
        <f>'Respuestas de formulario 1'!G2849</f>
        <v/>
      </c>
      <c r="I208" s="7" t="str">
        <f>'Respuestas de formulario 1'!H2849</f>
        <v/>
      </c>
      <c r="J208" s="7" t="str">
        <f>'Respuestas de formulario 1'!I2849</f>
        <v/>
      </c>
      <c r="K208" s="7" t="str">
        <f>'Respuestas de formulario 1'!J2849</f>
        <v/>
      </c>
    </row>
    <row r="209">
      <c r="A209" s="7">
        <f t="shared" si="1"/>
        <v>209</v>
      </c>
      <c r="B209" s="7" t="str">
        <f>'Respuestas de formulario 1'!A2850</f>
        <v/>
      </c>
      <c r="C209" s="7" t="str">
        <f>'Respuestas de formulario 1'!B2850</f>
        <v/>
      </c>
      <c r="D209" s="7" t="str">
        <f>'Respuestas de formulario 1'!C2850</f>
        <v/>
      </c>
      <c r="E209" s="7" t="str">
        <f>'Respuestas de formulario 1'!D2850</f>
        <v/>
      </c>
      <c r="F209" s="7" t="str">
        <f>'Respuestas de formulario 1'!E2850</f>
        <v/>
      </c>
      <c r="G209" s="7" t="str">
        <f>'Respuestas de formulario 1'!F2850</f>
        <v/>
      </c>
      <c r="H209" s="7" t="str">
        <f>'Respuestas de formulario 1'!G2850</f>
        <v/>
      </c>
      <c r="I209" s="7" t="str">
        <f>'Respuestas de formulario 1'!H2850</f>
        <v/>
      </c>
      <c r="J209" s="7" t="str">
        <f>'Respuestas de formulario 1'!I2850</f>
        <v/>
      </c>
      <c r="K209" s="7" t="str">
        <f>'Respuestas de formulario 1'!J2850</f>
        <v/>
      </c>
    </row>
    <row r="210">
      <c r="A210" s="7">
        <f t="shared" si="1"/>
        <v>210</v>
      </c>
      <c r="B210" s="7" t="str">
        <f>'Respuestas de formulario 1'!A2851</f>
        <v/>
      </c>
      <c r="C210" s="7" t="str">
        <f>'Respuestas de formulario 1'!B2851</f>
        <v/>
      </c>
      <c r="D210" s="7" t="str">
        <f>'Respuestas de formulario 1'!C2851</f>
        <v/>
      </c>
      <c r="E210" s="7" t="str">
        <f>'Respuestas de formulario 1'!D2851</f>
        <v/>
      </c>
      <c r="F210" s="7" t="str">
        <f>'Respuestas de formulario 1'!E2851</f>
        <v/>
      </c>
      <c r="G210" s="7" t="str">
        <f>'Respuestas de formulario 1'!F2851</f>
        <v/>
      </c>
      <c r="H210" s="7" t="str">
        <f>'Respuestas de formulario 1'!G2851</f>
        <v/>
      </c>
      <c r="I210" s="7" t="str">
        <f>'Respuestas de formulario 1'!H2851</f>
        <v/>
      </c>
      <c r="J210" s="7" t="str">
        <f>'Respuestas de formulario 1'!I2851</f>
        <v/>
      </c>
      <c r="K210" s="7" t="str">
        <f>'Respuestas de formulario 1'!J2851</f>
        <v/>
      </c>
    </row>
    <row r="211">
      <c r="A211" s="7">
        <f t="shared" si="1"/>
        <v>211</v>
      </c>
      <c r="B211" s="7" t="str">
        <f>'Respuestas de formulario 1'!A2852</f>
        <v/>
      </c>
      <c r="C211" s="7" t="str">
        <f>'Respuestas de formulario 1'!B2852</f>
        <v/>
      </c>
      <c r="D211" s="7" t="str">
        <f>'Respuestas de formulario 1'!C2852</f>
        <v/>
      </c>
      <c r="E211" s="7" t="str">
        <f>'Respuestas de formulario 1'!D2852</f>
        <v/>
      </c>
      <c r="F211" s="7" t="str">
        <f>'Respuestas de formulario 1'!E2852</f>
        <v/>
      </c>
      <c r="G211" s="7" t="str">
        <f>'Respuestas de formulario 1'!F2852</f>
        <v/>
      </c>
      <c r="H211" s="7" t="str">
        <f>'Respuestas de formulario 1'!G2852</f>
        <v/>
      </c>
      <c r="I211" s="7" t="str">
        <f>'Respuestas de formulario 1'!H2852</f>
        <v/>
      </c>
      <c r="J211" s="7" t="str">
        <f>'Respuestas de formulario 1'!I2852</f>
        <v/>
      </c>
      <c r="K211" s="7" t="str">
        <f>'Respuestas de formulario 1'!J2852</f>
        <v/>
      </c>
    </row>
    <row r="212">
      <c r="A212" s="7">
        <f t="shared" si="1"/>
        <v>212</v>
      </c>
      <c r="B212" s="7" t="str">
        <f>'Respuestas de formulario 1'!A2853</f>
        <v/>
      </c>
      <c r="C212" s="7" t="str">
        <f>'Respuestas de formulario 1'!B2853</f>
        <v/>
      </c>
      <c r="D212" s="7" t="str">
        <f>'Respuestas de formulario 1'!C2853</f>
        <v/>
      </c>
      <c r="E212" s="7" t="str">
        <f>'Respuestas de formulario 1'!D2853</f>
        <v/>
      </c>
      <c r="F212" s="7" t="str">
        <f>'Respuestas de formulario 1'!E2853</f>
        <v/>
      </c>
      <c r="G212" s="7" t="str">
        <f>'Respuestas de formulario 1'!F2853</f>
        <v/>
      </c>
      <c r="H212" s="7" t="str">
        <f>'Respuestas de formulario 1'!G2853</f>
        <v/>
      </c>
      <c r="I212" s="7" t="str">
        <f>'Respuestas de formulario 1'!H2853</f>
        <v/>
      </c>
      <c r="J212" s="7" t="str">
        <f>'Respuestas de formulario 1'!I2853</f>
        <v/>
      </c>
      <c r="K212" s="7" t="str">
        <f>'Respuestas de formulario 1'!J2853</f>
        <v/>
      </c>
    </row>
    <row r="213">
      <c r="A213" s="7">
        <f t="shared" si="1"/>
        <v>213</v>
      </c>
      <c r="B213" s="7" t="str">
        <f>'Respuestas de formulario 1'!A2854</f>
        <v/>
      </c>
      <c r="C213" s="7" t="str">
        <f>'Respuestas de formulario 1'!B2854</f>
        <v/>
      </c>
      <c r="D213" s="7" t="str">
        <f>'Respuestas de formulario 1'!C2854</f>
        <v/>
      </c>
      <c r="E213" s="7" t="str">
        <f>'Respuestas de formulario 1'!D2854</f>
        <v/>
      </c>
      <c r="F213" s="7" t="str">
        <f>'Respuestas de formulario 1'!E2854</f>
        <v/>
      </c>
      <c r="G213" s="7" t="str">
        <f>'Respuestas de formulario 1'!F2854</f>
        <v/>
      </c>
      <c r="H213" s="7" t="str">
        <f>'Respuestas de formulario 1'!G2854</f>
        <v/>
      </c>
      <c r="I213" s="7" t="str">
        <f>'Respuestas de formulario 1'!H2854</f>
        <v/>
      </c>
      <c r="J213" s="7" t="str">
        <f>'Respuestas de formulario 1'!I2854</f>
        <v/>
      </c>
      <c r="K213" s="7" t="str">
        <f>'Respuestas de formulario 1'!J2854</f>
        <v/>
      </c>
    </row>
    <row r="214">
      <c r="A214" s="7">
        <f t="shared" si="1"/>
        <v>214</v>
      </c>
      <c r="B214" s="7" t="str">
        <f>'Respuestas de formulario 1'!A2855</f>
        <v/>
      </c>
      <c r="C214" s="7" t="str">
        <f>'Respuestas de formulario 1'!B2855</f>
        <v/>
      </c>
      <c r="D214" s="7" t="str">
        <f>'Respuestas de formulario 1'!C2855</f>
        <v/>
      </c>
      <c r="E214" s="7" t="str">
        <f>'Respuestas de formulario 1'!D2855</f>
        <v/>
      </c>
      <c r="F214" s="7" t="str">
        <f>'Respuestas de formulario 1'!E2855</f>
        <v/>
      </c>
      <c r="G214" s="7" t="str">
        <f>'Respuestas de formulario 1'!F2855</f>
        <v/>
      </c>
      <c r="H214" s="7" t="str">
        <f>'Respuestas de formulario 1'!G2855</f>
        <v/>
      </c>
      <c r="I214" s="7" t="str">
        <f>'Respuestas de formulario 1'!H2855</f>
        <v/>
      </c>
      <c r="J214" s="7" t="str">
        <f>'Respuestas de formulario 1'!I2855</f>
        <v/>
      </c>
      <c r="K214" s="7" t="str">
        <f>'Respuestas de formulario 1'!J2855</f>
        <v/>
      </c>
    </row>
    <row r="215">
      <c r="A215" s="7">
        <f t="shared" si="1"/>
        <v>215</v>
      </c>
      <c r="B215" s="7" t="str">
        <f>'Respuestas de formulario 1'!A2856</f>
        <v/>
      </c>
      <c r="C215" s="7" t="str">
        <f>'Respuestas de formulario 1'!B2856</f>
        <v/>
      </c>
      <c r="D215" s="7" t="str">
        <f>'Respuestas de formulario 1'!C2856</f>
        <v/>
      </c>
      <c r="E215" s="7" t="str">
        <f>'Respuestas de formulario 1'!D2856</f>
        <v/>
      </c>
      <c r="F215" s="7" t="str">
        <f>'Respuestas de formulario 1'!E2856</f>
        <v/>
      </c>
      <c r="G215" s="7" t="str">
        <f>'Respuestas de formulario 1'!F2856</f>
        <v/>
      </c>
      <c r="H215" s="7" t="str">
        <f>'Respuestas de formulario 1'!G2856</f>
        <v/>
      </c>
      <c r="I215" s="7" t="str">
        <f>'Respuestas de formulario 1'!H2856</f>
        <v/>
      </c>
      <c r="J215" s="7" t="str">
        <f>'Respuestas de formulario 1'!I2856</f>
        <v/>
      </c>
      <c r="K215" s="7" t="str">
        <f>'Respuestas de formulario 1'!J2856</f>
        <v/>
      </c>
    </row>
    <row r="216">
      <c r="A216" s="7">
        <f t="shared" si="1"/>
        <v>216</v>
      </c>
      <c r="B216" s="7" t="str">
        <f>'Respuestas de formulario 1'!A2857</f>
        <v/>
      </c>
      <c r="C216" s="7" t="str">
        <f>'Respuestas de formulario 1'!B2857</f>
        <v/>
      </c>
      <c r="D216" s="7" t="str">
        <f>'Respuestas de formulario 1'!C2857</f>
        <v/>
      </c>
      <c r="E216" s="7" t="str">
        <f>'Respuestas de formulario 1'!D2857</f>
        <v/>
      </c>
      <c r="F216" s="7" t="str">
        <f>'Respuestas de formulario 1'!E2857</f>
        <v/>
      </c>
      <c r="G216" s="7" t="str">
        <f>'Respuestas de formulario 1'!F2857</f>
        <v/>
      </c>
      <c r="H216" s="7" t="str">
        <f>'Respuestas de formulario 1'!G2857</f>
        <v/>
      </c>
      <c r="I216" s="7" t="str">
        <f>'Respuestas de formulario 1'!H2857</f>
        <v/>
      </c>
      <c r="J216" s="7" t="str">
        <f>'Respuestas de formulario 1'!I2857</f>
        <v/>
      </c>
      <c r="K216" s="7" t="str">
        <f>'Respuestas de formulario 1'!J2857</f>
        <v/>
      </c>
    </row>
    <row r="217">
      <c r="A217" s="7">
        <f t="shared" si="1"/>
        <v>217</v>
      </c>
      <c r="B217" s="7" t="str">
        <f>'Respuestas de formulario 1'!A2858</f>
        <v/>
      </c>
      <c r="C217" s="7" t="str">
        <f>'Respuestas de formulario 1'!B2858</f>
        <v/>
      </c>
      <c r="D217" s="7" t="str">
        <f>'Respuestas de formulario 1'!C2858</f>
        <v/>
      </c>
      <c r="E217" s="7" t="str">
        <f>'Respuestas de formulario 1'!D2858</f>
        <v/>
      </c>
      <c r="F217" s="7" t="str">
        <f>'Respuestas de formulario 1'!E2858</f>
        <v/>
      </c>
      <c r="G217" s="7" t="str">
        <f>'Respuestas de formulario 1'!F2858</f>
        <v/>
      </c>
      <c r="H217" s="7" t="str">
        <f>'Respuestas de formulario 1'!G2858</f>
        <v/>
      </c>
      <c r="I217" s="7" t="str">
        <f>'Respuestas de formulario 1'!H2858</f>
        <v/>
      </c>
      <c r="J217" s="7" t="str">
        <f>'Respuestas de formulario 1'!I2858</f>
        <v/>
      </c>
      <c r="K217" s="7" t="str">
        <f>'Respuestas de formulario 1'!J2858</f>
        <v/>
      </c>
    </row>
    <row r="218">
      <c r="A218" s="7">
        <f t="shared" si="1"/>
        <v>218</v>
      </c>
      <c r="B218" s="7" t="str">
        <f>'Respuestas de formulario 1'!A2859</f>
        <v/>
      </c>
      <c r="C218" s="7" t="str">
        <f>'Respuestas de formulario 1'!B2859</f>
        <v/>
      </c>
      <c r="D218" s="7" t="str">
        <f>'Respuestas de formulario 1'!C2859</f>
        <v/>
      </c>
      <c r="E218" s="7" t="str">
        <f>'Respuestas de formulario 1'!D2859</f>
        <v/>
      </c>
      <c r="F218" s="7" t="str">
        <f>'Respuestas de formulario 1'!E2859</f>
        <v/>
      </c>
      <c r="G218" s="7" t="str">
        <f>'Respuestas de formulario 1'!F2859</f>
        <v/>
      </c>
      <c r="H218" s="7" t="str">
        <f>'Respuestas de formulario 1'!G2859</f>
        <v/>
      </c>
      <c r="I218" s="7" t="str">
        <f>'Respuestas de formulario 1'!H2859</f>
        <v/>
      </c>
      <c r="J218" s="7" t="str">
        <f>'Respuestas de formulario 1'!I2859</f>
        <v/>
      </c>
      <c r="K218" s="7" t="str">
        <f>'Respuestas de formulario 1'!J2859</f>
        <v/>
      </c>
    </row>
    <row r="219">
      <c r="A219" s="7">
        <f t="shared" si="1"/>
        <v>219</v>
      </c>
      <c r="B219" s="7" t="str">
        <f>'Respuestas de formulario 1'!A2860</f>
        <v/>
      </c>
      <c r="C219" s="7" t="str">
        <f>'Respuestas de formulario 1'!B2860</f>
        <v/>
      </c>
      <c r="D219" s="7" t="str">
        <f>'Respuestas de formulario 1'!C2860</f>
        <v/>
      </c>
      <c r="E219" s="7" t="str">
        <f>'Respuestas de formulario 1'!D2860</f>
        <v/>
      </c>
      <c r="F219" s="7" t="str">
        <f>'Respuestas de formulario 1'!E2860</f>
        <v/>
      </c>
      <c r="G219" s="7" t="str">
        <f>'Respuestas de formulario 1'!F2860</f>
        <v/>
      </c>
      <c r="H219" s="7" t="str">
        <f>'Respuestas de formulario 1'!G2860</f>
        <v/>
      </c>
      <c r="I219" s="7" t="str">
        <f>'Respuestas de formulario 1'!H2860</f>
        <v/>
      </c>
      <c r="J219" s="7" t="str">
        <f>'Respuestas de formulario 1'!I2860</f>
        <v/>
      </c>
      <c r="K219" s="7" t="str">
        <f>'Respuestas de formulario 1'!J2860</f>
        <v/>
      </c>
    </row>
    <row r="220">
      <c r="A220" s="7">
        <f t="shared" si="1"/>
        <v>220</v>
      </c>
      <c r="B220" s="7" t="str">
        <f>'Respuestas de formulario 1'!A2861</f>
        <v/>
      </c>
      <c r="C220" s="7" t="str">
        <f>'Respuestas de formulario 1'!B2861</f>
        <v/>
      </c>
      <c r="D220" s="7" t="str">
        <f>'Respuestas de formulario 1'!C2861</f>
        <v/>
      </c>
      <c r="E220" s="7" t="str">
        <f>'Respuestas de formulario 1'!D2861</f>
        <v/>
      </c>
      <c r="F220" s="7" t="str">
        <f>'Respuestas de formulario 1'!E2861</f>
        <v/>
      </c>
      <c r="G220" s="7" t="str">
        <f>'Respuestas de formulario 1'!F2861</f>
        <v/>
      </c>
      <c r="H220" s="7" t="str">
        <f>'Respuestas de formulario 1'!G2861</f>
        <v/>
      </c>
      <c r="I220" s="7" t="str">
        <f>'Respuestas de formulario 1'!H2861</f>
        <v/>
      </c>
      <c r="J220" s="7" t="str">
        <f>'Respuestas de formulario 1'!I2861</f>
        <v/>
      </c>
      <c r="K220" s="7" t="str">
        <f>'Respuestas de formulario 1'!J2861</f>
        <v/>
      </c>
    </row>
    <row r="221">
      <c r="A221" s="7">
        <f t="shared" si="1"/>
        <v>221</v>
      </c>
      <c r="B221" s="7" t="str">
        <f>'Respuestas de formulario 1'!A2862</f>
        <v/>
      </c>
      <c r="C221" s="7" t="str">
        <f>'Respuestas de formulario 1'!B2862</f>
        <v/>
      </c>
      <c r="D221" s="7" t="str">
        <f>'Respuestas de formulario 1'!C2862</f>
        <v/>
      </c>
      <c r="E221" s="7" t="str">
        <f>'Respuestas de formulario 1'!D2862</f>
        <v/>
      </c>
      <c r="F221" s="7" t="str">
        <f>'Respuestas de formulario 1'!E2862</f>
        <v/>
      </c>
      <c r="G221" s="7" t="str">
        <f>'Respuestas de formulario 1'!F2862</f>
        <v/>
      </c>
      <c r="H221" s="7" t="str">
        <f>'Respuestas de formulario 1'!G2862</f>
        <v/>
      </c>
      <c r="I221" s="7" t="str">
        <f>'Respuestas de formulario 1'!H2862</f>
        <v/>
      </c>
      <c r="J221" s="7" t="str">
        <f>'Respuestas de formulario 1'!I2862</f>
        <v/>
      </c>
      <c r="K221" s="7" t="str">
        <f>'Respuestas de formulario 1'!J2862</f>
        <v/>
      </c>
    </row>
    <row r="222">
      <c r="A222" s="7">
        <f t="shared" si="1"/>
        <v>222</v>
      </c>
      <c r="B222" s="7" t="str">
        <f>'Respuestas de formulario 1'!A2863</f>
        <v/>
      </c>
      <c r="C222" s="7" t="str">
        <f>'Respuestas de formulario 1'!B2863</f>
        <v/>
      </c>
      <c r="D222" s="7" t="str">
        <f>'Respuestas de formulario 1'!C2863</f>
        <v/>
      </c>
      <c r="E222" s="7" t="str">
        <f>'Respuestas de formulario 1'!D2863</f>
        <v/>
      </c>
      <c r="F222" s="7" t="str">
        <f>'Respuestas de formulario 1'!E2863</f>
        <v/>
      </c>
      <c r="G222" s="7" t="str">
        <f>'Respuestas de formulario 1'!F2863</f>
        <v/>
      </c>
      <c r="H222" s="7" t="str">
        <f>'Respuestas de formulario 1'!G2863</f>
        <v/>
      </c>
      <c r="I222" s="7" t="str">
        <f>'Respuestas de formulario 1'!H2863</f>
        <v/>
      </c>
      <c r="J222" s="7" t="str">
        <f>'Respuestas de formulario 1'!I2863</f>
        <v/>
      </c>
      <c r="K222" s="7" t="str">
        <f>'Respuestas de formulario 1'!J2863</f>
        <v/>
      </c>
    </row>
    <row r="223">
      <c r="A223" s="7">
        <f t="shared" si="1"/>
        <v>223</v>
      </c>
      <c r="B223" s="7" t="str">
        <f>'Respuestas de formulario 1'!A2864</f>
        <v/>
      </c>
      <c r="C223" s="7" t="str">
        <f>'Respuestas de formulario 1'!B2864</f>
        <v/>
      </c>
      <c r="D223" s="7" t="str">
        <f>'Respuestas de formulario 1'!C2864</f>
        <v/>
      </c>
      <c r="E223" s="7" t="str">
        <f>'Respuestas de formulario 1'!D2864</f>
        <v/>
      </c>
      <c r="F223" s="7" t="str">
        <f>'Respuestas de formulario 1'!E2864</f>
        <v/>
      </c>
      <c r="G223" s="7" t="str">
        <f>'Respuestas de formulario 1'!F2864</f>
        <v/>
      </c>
      <c r="H223" s="7" t="str">
        <f>'Respuestas de formulario 1'!G2864</f>
        <v/>
      </c>
      <c r="I223" s="7" t="str">
        <f>'Respuestas de formulario 1'!H2864</f>
        <v/>
      </c>
      <c r="J223" s="7" t="str">
        <f>'Respuestas de formulario 1'!I2864</f>
        <v/>
      </c>
      <c r="K223" s="7" t="str">
        <f>'Respuestas de formulario 1'!J2864</f>
        <v/>
      </c>
    </row>
    <row r="224">
      <c r="A224" s="7">
        <f t="shared" si="1"/>
        <v>224</v>
      </c>
      <c r="B224" s="7" t="str">
        <f>'Respuestas de formulario 1'!A2865</f>
        <v/>
      </c>
      <c r="C224" s="7" t="str">
        <f>'Respuestas de formulario 1'!B2865</f>
        <v/>
      </c>
      <c r="D224" s="7" t="str">
        <f>'Respuestas de formulario 1'!C2865</f>
        <v/>
      </c>
      <c r="E224" s="7" t="str">
        <f>'Respuestas de formulario 1'!D2865</f>
        <v/>
      </c>
      <c r="F224" s="7" t="str">
        <f>'Respuestas de formulario 1'!E2865</f>
        <v/>
      </c>
      <c r="G224" s="7" t="str">
        <f>'Respuestas de formulario 1'!F2865</f>
        <v/>
      </c>
      <c r="H224" s="7" t="str">
        <f>'Respuestas de formulario 1'!G2865</f>
        <v/>
      </c>
      <c r="I224" s="7" t="str">
        <f>'Respuestas de formulario 1'!H2865</f>
        <v/>
      </c>
      <c r="J224" s="7" t="str">
        <f>'Respuestas de formulario 1'!I2865</f>
        <v/>
      </c>
      <c r="K224" s="7" t="str">
        <f>'Respuestas de formulario 1'!J2865</f>
        <v/>
      </c>
    </row>
    <row r="225">
      <c r="A225" s="7">
        <f t="shared" si="1"/>
        <v>225</v>
      </c>
      <c r="B225" s="7" t="str">
        <f>'Respuestas de formulario 1'!A2866</f>
        <v/>
      </c>
      <c r="C225" s="7" t="str">
        <f>'Respuestas de formulario 1'!B2866</f>
        <v/>
      </c>
      <c r="D225" s="7" t="str">
        <f>'Respuestas de formulario 1'!C2866</f>
        <v/>
      </c>
      <c r="E225" s="7" t="str">
        <f>'Respuestas de formulario 1'!D2866</f>
        <v/>
      </c>
      <c r="F225" s="7" t="str">
        <f>'Respuestas de formulario 1'!E2866</f>
        <v/>
      </c>
      <c r="G225" s="7" t="str">
        <f>'Respuestas de formulario 1'!F2866</f>
        <v/>
      </c>
      <c r="H225" s="7" t="str">
        <f>'Respuestas de formulario 1'!G2866</f>
        <v/>
      </c>
      <c r="I225" s="7" t="str">
        <f>'Respuestas de formulario 1'!H2866</f>
        <v/>
      </c>
      <c r="J225" s="7" t="str">
        <f>'Respuestas de formulario 1'!I2866</f>
        <v/>
      </c>
      <c r="K225" s="7" t="str">
        <f>'Respuestas de formulario 1'!J2866</f>
        <v/>
      </c>
    </row>
    <row r="226">
      <c r="A226" s="7">
        <f t="shared" si="1"/>
        <v>226</v>
      </c>
      <c r="B226" s="7" t="str">
        <f>'Respuestas de formulario 1'!A2867</f>
        <v/>
      </c>
      <c r="C226" s="7" t="str">
        <f>'Respuestas de formulario 1'!B2867</f>
        <v/>
      </c>
      <c r="D226" s="7" t="str">
        <f>'Respuestas de formulario 1'!C2867</f>
        <v/>
      </c>
      <c r="E226" s="7" t="str">
        <f>'Respuestas de formulario 1'!D2867</f>
        <v/>
      </c>
      <c r="F226" s="7" t="str">
        <f>'Respuestas de formulario 1'!E2867</f>
        <v/>
      </c>
      <c r="G226" s="7" t="str">
        <f>'Respuestas de formulario 1'!F2867</f>
        <v/>
      </c>
      <c r="H226" s="7" t="str">
        <f>'Respuestas de formulario 1'!G2867</f>
        <v/>
      </c>
      <c r="I226" s="7" t="str">
        <f>'Respuestas de formulario 1'!H2867</f>
        <v/>
      </c>
      <c r="J226" s="7" t="str">
        <f>'Respuestas de formulario 1'!I2867</f>
        <v/>
      </c>
      <c r="K226" s="7" t="str">
        <f>'Respuestas de formulario 1'!J2867</f>
        <v/>
      </c>
    </row>
    <row r="227">
      <c r="A227" s="7">
        <f t="shared" si="1"/>
        <v>227</v>
      </c>
      <c r="B227" s="7" t="str">
        <f>'Respuestas de formulario 1'!A2868</f>
        <v/>
      </c>
      <c r="C227" s="7" t="str">
        <f>'Respuestas de formulario 1'!B2868</f>
        <v/>
      </c>
      <c r="D227" s="7" t="str">
        <f>'Respuestas de formulario 1'!C2868</f>
        <v/>
      </c>
      <c r="E227" s="7" t="str">
        <f>'Respuestas de formulario 1'!D2868</f>
        <v/>
      </c>
      <c r="F227" s="7" t="str">
        <f>'Respuestas de formulario 1'!E2868</f>
        <v/>
      </c>
      <c r="G227" s="7" t="str">
        <f>'Respuestas de formulario 1'!F2868</f>
        <v/>
      </c>
      <c r="H227" s="7" t="str">
        <f>'Respuestas de formulario 1'!G2868</f>
        <v/>
      </c>
      <c r="I227" s="7" t="str">
        <f>'Respuestas de formulario 1'!H2868</f>
        <v/>
      </c>
      <c r="J227" s="7" t="str">
        <f>'Respuestas de formulario 1'!I2868</f>
        <v/>
      </c>
      <c r="K227" s="7" t="str">
        <f>'Respuestas de formulario 1'!J2868</f>
        <v/>
      </c>
    </row>
    <row r="228">
      <c r="A228" s="7">
        <f t="shared" si="1"/>
        <v>228</v>
      </c>
      <c r="B228" s="7" t="str">
        <f>'Respuestas de formulario 1'!A2869</f>
        <v/>
      </c>
      <c r="C228" s="7" t="str">
        <f>'Respuestas de formulario 1'!B2869</f>
        <v/>
      </c>
      <c r="D228" s="7" t="str">
        <f>'Respuestas de formulario 1'!C2869</f>
        <v/>
      </c>
      <c r="E228" s="7" t="str">
        <f>'Respuestas de formulario 1'!D2869</f>
        <v/>
      </c>
      <c r="F228" s="7" t="str">
        <f>'Respuestas de formulario 1'!E2869</f>
        <v/>
      </c>
      <c r="G228" s="7" t="str">
        <f>'Respuestas de formulario 1'!F2869</f>
        <v/>
      </c>
      <c r="H228" s="7" t="str">
        <f>'Respuestas de formulario 1'!G2869</f>
        <v/>
      </c>
      <c r="I228" s="7" t="str">
        <f>'Respuestas de formulario 1'!H2869</f>
        <v/>
      </c>
      <c r="J228" s="7" t="str">
        <f>'Respuestas de formulario 1'!I2869</f>
        <v/>
      </c>
      <c r="K228" s="7" t="str">
        <f>'Respuestas de formulario 1'!J2869</f>
        <v/>
      </c>
    </row>
    <row r="229">
      <c r="A229" s="7">
        <f t="shared" si="1"/>
        <v>229</v>
      </c>
      <c r="B229" s="7" t="str">
        <f>'Respuestas de formulario 1'!A2870</f>
        <v/>
      </c>
      <c r="C229" s="7" t="str">
        <f>'Respuestas de formulario 1'!B2870</f>
        <v/>
      </c>
      <c r="D229" s="7" t="str">
        <f>'Respuestas de formulario 1'!C2870</f>
        <v/>
      </c>
      <c r="E229" s="7" t="str">
        <f>'Respuestas de formulario 1'!D2870</f>
        <v/>
      </c>
      <c r="F229" s="7" t="str">
        <f>'Respuestas de formulario 1'!E2870</f>
        <v/>
      </c>
      <c r="G229" s="7" t="str">
        <f>'Respuestas de formulario 1'!F2870</f>
        <v/>
      </c>
      <c r="H229" s="7" t="str">
        <f>'Respuestas de formulario 1'!G2870</f>
        <v/>
      </c>
      <c r="I229" s="7" t="str">
        <f>'Respuestas de formulario 1'!H2870</f>
        <v/>
      </c>
      <c r="J229" s="7" t="str">
        <f>'Respuestas de formulario 1'!I2870</f>
        <v/>
      </c>
      <c r="K229" s="7" t="str">
        <f>'Respuestas de formulario 1'!J2870</f>
        <v/>
      </c>
    </row>
    <row r="230">
      <c r="A230" s="7">
        <f t="shared" si="1"/>
        <v>230</v>
      </c>
      <c r="B230" s="7" t="str">
        <f>'Respuestas de formulario 1'!A2871</f>
        <v/>
      </c>
      <c r="C230" s="7" t="str">
        <f>'Respuestas de formulario 1'!B2871</f>
        <v/>
      </c>
      <c r="D230" s="7" t="str">
        <f>'Respuestas de formulario 1'!C2871</f>
        <v/>
      </c>
      <c r="E230" s="7" t="str">
        <f>'Respuestas de formulario 1'!D2871</f>
        <v/>
      </c>
      <c r="F230" s="7" t="str">
        <f>'Respuestas de formulario 1'!E2871</f>
        <v/>
      </c>
      <c r="G230" s="7" t="str">
        <f>'Respuestas de formulario 1'!F2871</f>
        <v/>
      </c>
      <c r="H230" s="7" t="str">
        <f>'Respuestas de formulario 1'!G2871</f>
        <v/>
      </c>
      <c r="I230" s="7" t="str">
        <f>'Respuestas de formulario 1'!H2871</f>
        <v/>
      </c>
      <c r="J230" s="7" t="str">
        <f>'Respuestas de formulario 1'!I2871</f>
        <v/>
      </c>
      <c r="K230" s="7" t="str">
        <f>'Respuestas de formulario 1'!J2871</f>
        <v/>
      </c>
    </row>
    <row r="231">
      <c r="A231" s="7">
        <f t="shared" si="1"/>
        <v>231</v>
      </c>
      <c r="B231" s="7" t="str">
        <f>'Respuestas de formulario 1'!A2872</f>
        <v/>
      </c>
      <c r="C231" s="7" t="str">
        <f>'Respuestas de formulario 1'!B2872</f>
        <v/>
      </c>
      <c r="D231" s="7" t="str">
        <f>'Respuestas de formulario 1'!C2872</f>
        <v/>
      </c>
      <c r="E231" s="7" t="str">
        <f>'Respuestas de formulario 1'!D2872</f>
        <v/>
      </c>
      <c r="F231" s="7" t="str">
        <f>'Respuestas de formulario 1'!E2872</f>
        <v/>
      </c>
      <c r="G231" s="7" t="str">
        <f>'Respuestas de formulario 1'!F2872</f>
        <v/>
      </c>
      <c r="H231" s="7" t="str">
        <f>'Respuestas de formulario 1'!G2872</f>
        <v/>
      </c>
      <c r="I231" s="7" t="str">
        <f>'Respuestas de formulario 1'!H2872</f>
        <v/>
      </c>
      <c r="J231" s="7" t="str">
        <f>'Respuestas de formulario 1'!I2872</f>
        <v/>
      </c>
      <c r="K231" s="7" t="str">
        <f>'Respuestas de formulario 1'!J2872</f>
        <v/>
      </c>
    </row>
    <row r="232">
      <c r="A232" s="7">
        <f t="shared" si="1"/>
        <v>232</v>
      </c>
      <c r="B232" s="7" t="str">
        <f>'Respuestas de formulario 1'!A2873</f>
        <v/>
      </c>
      <c r="C232" s="7" t="str">
        <f>'Respuestas de formulario 1'!B2873</f>
        <v/>
      </c>
      <c r="D232" s="7" t="str">
        <f>'Respuestas de formulario 1'!C2873</f>
        <v/>
      </c>
      <c r="E232" s="7" t="str">
        <f>'Respuestas de formulario 1'!D2873</f>
        <v/>
      </c>
      <c r="F232" s="7" t="str">
        <f>'Respuestas de formulario 1'!E2873</f>
        <v/>
      </c>
      <c r="G232" s="7" t="str">
        <f>'Respuestas de formulario 1'!F2873</f>
        <v/>
      </c>
      <c r="H232" s="7" t="str">
        <f>'Respuestas de formulario 1'!G2873</f>
        <v/>
      </c>
      <c r="I232" s="7" t="str">
        <f>'Respuestas de formulario 1'!H2873</f>
        <v/>
      </c>
      <c r="J232" s="7" t="str">
        <f>'Respuestas de formulario 1'!I2873</f>
        <v/>
      </c>
      <c r="K232" s="7" t="str">
        <f>'Respuestas de formulario 1'!J2873</f>
        <v/>
      </c>
    </row>
    <row r="233">
      <c r="A233" s="7">
        <f t="shared" si="1"/>
        <v>233</v>
      </c>
      <c r="B233" s="7" t="str">
        <f>'Respuestas de formulario 1'!A2874</f>
        <v/>
      </c>
      <c r="C233" s="7" t="str">
        <f>'Respuestas de formulario 1'!B2874</f>
        <v/>
      </c>
      <c r="D233" s="7" t="str">
        <f>'Respuestas de formulario 1'!C2874</f>
        <v/>
      </c>
      <c r="E233" s="7" t="str">
        <f>'Respuestas de formulario 1'!D2874</f>
        <v/>
      </c>
      <c r="F233" s="7" t="str">
        <f>'Respuestas de formulario 1'!E2874</f>
        <v/>
      </c>
      <c r="G233" s="7" t="str">
        <f>'Respuestas de formulario 1'!F2874</f>
        <v/>
      </c>
      <c r="H233" s="7" t="str">
        <f>'Respuestas de formulario 1'!G2874</f>
        <v/>
      </c>
      <c r="I233" s="7" t="str">
        <f>'Respuestas de formulario 1'!H2874</f>
        <v/>
      </c>
      <c r="J233" s="7" t="str">
        <f>'Respuestas de formulario 1'!I2874</f>
        <v/>
      </c>
      <c r="K233" s="7" t="str">
        <f>'Respuestas de formulario 1'!J2874</f>
        <v/>
      </c>
    </row>
    <row r="234">
      <c r="A234" s="7">
        <f t="shared" si="1"/>
        <v>234</v>
      </c>
      <c r="B234" s="7" t="str">
        <f>'Respuestas de formulario 1'!A2875</f>
        <v/>
      </c>
      <c r="C234" s="7" t="str">
        <f>'Respuestas de formulario 1'!B2875</f>
        <v/>
      </c>
      <c r="D234" s="7" t="str">
        <f>'Respuestas de formulario 1'!C2875</f>
        <v/>
      </c>
      <c r="E234" s="7" t="str">
        <f>'Respuestas de formulario 1'!D2875</f>
        <v/>
      </c>
      <c r="F234" s="7" t="str">
        <f>'Respuestas de formulario 1'!E2875</f>
        <v/>
      </c>
      <c r="G234" s="7" t="str">
        <f>'Respuestas de formulario 1'!F2875</f>
        <v/>
      </c>
      <c r="H234" s="7" t="str">
        <f>'Respuestas de formulario 1'!G2875</f>
        <v/>
      </c>
      <c r="I234" s="7" t="str">
        <f>'Respuestas de formulario 1'!H2875</f>
        <v/>
      </c>
      <c r="J234" s="7" t="str">
        <f>'Respuestas de formulario 1'!I2875</f>
        <v/>
      </c>
      <c r="K234" s="7" t="str">
        <f>'Respuestas de formulario 1'!J2875</f>
        <v/>
      </c>
    </row>
    <row r="235">
      <c r="A235" s="7">
        <f t="shared" si="1"/>
        <v>235</v>
      </c>
      <c r="B235" s="7" t="str">
        <f>'Respuestas de formulario 1'!A2876</f>
        <v/>
      </c>
      <c r="C235" s="7" t="str">
        <f>'Respuestas de formulario 1'!B2876</f>
        <v/>
      </c>
      <c r="D235" s="7" t="str">
        <f>'Respuestas de formulario 1'!C2876</f>
        <v/>
      </c>
      <c r="E235" s="7" t="str">
        <f>'Respuestas de formulario 1'!D2876</f>
        <v/>
      </c>
      <c r="F235" s="7" t="str">
        <f>'Respuestas de formulario 1'!E2876</f>
        <v/>
      </c>
      <c r="G235" s="7" t="str">
        <f>'Respuestas de formulario 1'!F2876</f>
        <v/>
      </c>
      <c r="H235" s="7" t="str">
        <f>'Respuestas de formulario 1'!G2876</f>
        <v/>
      </c>
      <c r="I235" s="7" t="str">
        <f>'Respuestas de formulario 1'!H2876</f>
        <v/>
      </c>
      <c r="J235" s="7" t="str">
        <f>'Respuestas de formulario 1'!I2876</f>
        <v/>
      </c>
      <c r="K235" s="7" t="str">
        <f>'Respuestas de formulario 1'!J2876</f>
        <v/>
      </c>
    </row>
    <row r="236">
      <c r="A236" s="7">
        <f t="shared" si="1"/>
        <v>236</v>
      </c>
      <c r="B236" s="7" t="str">
        <f>'Respuestas de formulario 1'!A2877</f>
        <v/>
      </c>
      <c r="C236" s="7" t="str">
        <f>'Respuestas de formulario 1'!B2877</f>
        <v/>
      </c>
      <c r="D236" s="7" t="str">
        <f>'Respuestas de formulario 1'!C2877</f>
        <v/>
      </c>
      <c r="E236" s="7" t="str">
        <f>'Respuestas de formulario 1'!D2877</f>
        <v/>
      </c>
      <c r="F236" s="7" t="str">
        <f>'Respuestas de formulario 1'!E2877</f>
        <v/>
      </c>
      <c r="G236" s="7" t="str">
        <f>'Respuestas de formulario 1'!F2877</f>
        <v/>
      </c>
      <c r="H236" s="7" t="str">
        <f>'Respuestas de formulario 1'!G2877</f>
        <v/>
      </c>
      <c r="I236" s="7" t="str">
        <f>'Respuestas de formulario 1'!H2877</f>
        <v/>
      </c>
      <c r="J236" s="7" t="str">
        <f>'Respuestas de formulario 1'!I2877</f>
        <v/>
      </c>
      <c r="K236" s="7" t="str">
        <f>'Respuestas de formulario 1'!J2877</f>
        <v/>
      </c>
    </row>
    <row r="237">
      <c r="A237" s="7">
        <f t="shared" si="1"/>
        <v>237</v>
      </c>
      <c r="B237" s="7" t="str">
        <f>'Respuestas de formulario 1'!A2878</f>
        <v/>
      </c>
      <c r="C237" s="7" t="str">
        <f>'Respuestas de formulario 1'!B2878</f>
        <v/>
      </c>
      <c r="D237" s="7" t="str">
        <f>'Respuestas de formulario 1'!C2878</f>
        <v/>
      </c>
      <c r="E237" s="7" t="str">
        <f>'Respuestas de formulario 1'!D2878</f>
        <v/>
      </c>
      <c r="F237" s="7" t="str">
        <f>'Respuestas de formulario 1'!E2878</f>
        <v/>
      </c>
      <c r="G237" s="7" t="str">
        <f>'Respuestas de formulario 1'!F2878</f>
        <v/>
      </c>
      <c r="H237" s="7" t="str">
        <f>'Respuestas de formulario 1'!G2878</f>
        <v/>
      </c>
      <c r="I237" s="7" t="str">
        <f>'Respuestas de formulario 1'!H2878</f>
        <v/>
      </c>
      <c r="J237" s="7" t="str">
        <f>'Respuestas de formulario 1'!I2878</f>
        <v/>
      </c>
      <c r="K237" s="7" t="str">
        <f>'Respuestas de formulario 1'!J2878</f>
        <v/>
      </c>
    </row>
    <row r="238">
      <c r="A238" s="7">
        <f t="shared" si="1"/>
        <v>238</v>
      </c>
      <c r="B238" s="7" t="str">
        <f>'Respuestas de formulario 1'!A2879</f>
        <v/>
      </c>
      <c r="C238" s="7" t="str">
        <f>'Respuestas de formulario 1'!B2879</f>
        <v/>
      </c>
      <c r="D238" s="7" t="str">
        <f>'Respuestas de formulario 1'!C2879</f>
        <v/>
      </c>
      <c r="E238" s="7" t="str">
        <f>'Respuestas de formulario 1'!D2879</f>
        <v/>
      </c>
      <c r="F238" s="7" t="str">
        <f>'Respuestas de formulario 1'!E2879</f>
        <v/>
      </c>
      <c r="G238" s="7" t="str">
        <f>'Respuestas de formulario 1'!F2879</f>
        <v/>
      </c>
      <c r="H238" s="7" t="str">
        <f>'Respuestas de formulario 1'!G2879</f>
        <v/>
      </c>
      <c r="I238" s="7" t="str">
        <f>'Respuestas de formulario 1'!H2879</f>
        <v/>
      </c>
      <c r="J238" s="7" t="str">
        <f>'Respuestas de formulario 1'!I2879</f>
        <v/>
      </c>
      <c r="K238" s="7" t="str">
        <f>'Respuestas de formulario 1'!J2879</f>
        <v/>
      </c>
    </row>
    <row r="239">
      <c r="A239" s="7">
        <f t="shared" si="1"/>
        <v>239</v>
      </c>
      <c r="B239" s="7" t="str">
        <f>'Respuestas de formulario 1'!A2880</f>
        <v/>
      </c>
      <c r="C239" s="7" t="str">
        <f>'Respuestas de formulario 1'!B2880</f>
        <v/>
      </c>
      <c r="D239" s="7" t="str">
        <f>'Respuestas de formulario 1'!C2880</f>
        <v/>
      </c>
      <c r="E239" s="7" t="str">
        <f>'Respuestas de formulario 1'!D2880</f>
        <v/>
      </c>
      <c r="F239" s="7" t="str">
        <f>'Respuestas de formulario 1'!E2880</f>
        <v/>
      </c>
      <c r="G239" s="7" t="str">
        <f>'Respuestas de formulario 1'!F2880</f>
        <v/>
      </c>
      <c r="H239" s="7" t="str">
        <f>'Respuestas de formulario 1'!G2880</f>
        <v/>
      </c>
      <c r="I239" s="7" t="str">
        <f>'Respuestas de formulario 1'!H2880</f>
        <v/>
      </c>
      <c r="J239" s="7" t="str">
        <f>'Respuestas de formulario 1'!I2880</f>
        <v/>
      </c>
      <c r="K239" s="7" t="str">
        <f>'Respuestas de formulario 1'!J2880</f>
        <v/>
      </c>
    </row>
    <row r="240">
      <c r="A240" s="7">
        <f t="shared" si="1"/>
        <v>240</v>
      </c>
      <c r="B240" s="7" t="str">
        <f>'Respuestas de formulario 1'!A2881</f>
        <v/>
      </c>
      <c r="C240" s="7" t="str">
        <f>'Respuestas de formulario 1'!B2881</f>
        <v/>
      </c>
      <c r="D240" s="7" t="str">
        <f>'Respuestas de formulario 1'!C2881</f>
        <v/>
      </c>
      <c r="E240" s="7" t="str">
        <f>'Respuestas de formulario 1'!D2881</f>
        <v/>
      </c>
      <c r="F240" s="7" t="str">
        <f>'Respuestas de formulario 1'!E2881</f>
        <v/>
      </c>
      <c r="G240" s="7" t="str">
        <f>'Respuestas de formulario 1'!F2881</f>
        <v/>
      </c>
      <c r="H240" s="7" t="str">
        <f>'Respuestas de formulario 1'!G2881</f>
        <v/>
      </c>
      <c r="I240" s="7" t="str">
        <f>'Respuestas de formulario 1'!H2881</f>
        <v/>
      </c>
      <c r="J240" s="7" t="str">
        <f>'Respuestas de formulario 1'!I2881</f>
        <v/>
      </c>
      <c r="K240" s="7" t="str">
        <f>'Respuestas de formulario 1'!J2881</f>
        <v/>
      </c>
    </row>
    <row r="241">
      <c r="A241" s="7">
        <f t="shared" si="1"/>
        <v>241</v>
      </c>
      <c r="B241" s="7" t="str">
        <f>'Respuestas de formulario 1'!A2882</f>
        <v/>
      </c>
      <c r="C241" s="7" t="str">
        <f>'Respuestas de formulario 1'!B2882</f>
        <v/>
      </c>
      <c r="D241" s="7" t="str">
        <f>'Respuestas de formulario 1'!C2882</f>
        <v/>
      </c>
      <c r="E241" s="7" t="str">
        <f>'Respuestas de formulario 1'!D2882</f>
        <v/>
      </c>
      <c r="F241" s="7" t="str">
        <f>'Respuestas de formulario 1'!E2882</f>
        <v/>
      </c>
      <c r="G241" s="7" t="str">
        <f>'Respuestas de formulario 1'!F2882</f>
        <v/>
      </c>
      <c r="H241" s="7" t="str">
        <f>'Respuestas de formulario 1'!G2882</f>
        <v/>
      </c>
      <c r="I241" s="7" t="str">
        <f>'Respuestas de formulario 1'!H2882</f>
        <v/>
      </c>
      <c r="J241" s="7" t="str">
        <f>'Respuestas de formulario 1'!I2882</f>
        <v/>
      </c>
      <c r="K241" s="7" t="str">
        <f>'Respuestas de formulario 1'!J2882</f>
        <v/>
      </c>
    </row>
    <row r="242">
      <c r="A242" s="7">
        <f t="shared" si="1"/>
        <v>242</v>
      </c>
      <c r="B242" s="7" t="str">
        <f>'Respuestas de formulario 1'!A2883</f>
        <v/>
      </c>
      <c r="C242" s="7" t="str">
        <f>'Respuestas de formulario 1'!B2883</f>
        <v/>
      </c>
      <c r="D242" s="7" t="str">
        <f>'Respuestas de formulario 1'!C2883</f>
        <v/>
      </c>
      <c r="E242" s="7" t="str">
        <f>'Respuestas de formulario 1'!D2883</f>
        <v/>
      </c>
      <c r="F242" s="7" t="str">
        <f>'Respuestas de formulario 1'!E2883</f>
        <v/>
      </c>
      <c r="G242" s="7" t="str">
        <f>'Respuestas de formulario 1'!F2883</f>
        <v/>
      </c>
      <c r="H242" s="7" t="str">
        <f>'Respuestas de formulario 1'!G2883</f>
        <v/>
      </c>
      <c r="I242" s="7" t="str">
        <f>'Respuestas de formulario 1'!H2883</f>
        <v/>
      </c>
      <c r="J242" s="7" t="str">
        <f>'Respuestas de formulario 1'!I2883</f>
        <v/>
      </c>
      <c r="K242" s="7" t="str">
        <f>'Respuestas de formulario 1'!J2883</f>
        <v/>
      </c>
    </row>
    <row r="243">
      <c r="A243" s="7">
        <f t="shared" si="1"/>
        <v>243</v>
      </c>
      <c r="B243" s="7" t="str">
        <f>'Respuestas de formulario 1'!A2884</f>
        <v/>
      </c>
      <c r="C243" s="7" t="str">
        <f>'Respuestas de formulario 1'!B2884</f>
        <v/>
      </c>
      <c r="D243" s="7" t="str">
        <f>'Respuestas de formulario 1'!C2884</f>
        <v/>
      </c>
      <c r="E243" s="7" t="str">
        <f>'Respuestas de formulario 1'!D2884</f>
        <v/>
      </c>
      <c r="F243" s="7" t="str">
        <f>'Respuestas de formulario 1'!E2884</f>
        <v/>
      </c>
      <c r="G243" s="7" t="str">
        <f>'Respuestas de formulario 1'!F2884</f>
        <v/>
      </c>
      <c r="H243" s="7" t="str">
        <f>'Respuestas de formulario 1'!G2884</f>
        <v/>
      </c>
      <c r="I243" s="7" t="str">
        <f>'Respuestas de formulario 1'!H2884</f>
        <v/>
      </c>
      <c r="J243" s="7" t="str">
        <f>'Respuestas de formulario 1'!I2884</f>
        <v/>
      </c>
      <c r="K243" s="7" t="str">
        <f>'Respuestas de formulario 1'!J2884</f>
        <v/>
      </c>
    </row>
    <row r="244">
      <c r="A244" s="7">
        <f t="shared" si="1"/>
        <v>244</v>
      </c>
      <c r="B244" s="7" t="str">
        <f>'Respuestas de formulario 1'!A2885</f>
        <v/>
      </c>
      <c r="C244" s="7" t="str">
        <f>'Respuestas de formulario 1'!B2885</f>
        <v/>
      </c>
      <c r="D244" s="7" t="str">
        <f>'Respuestas de formulario 1'!C2885</f>
        <v/>
      </c>
      <c r="E244" s="7" t="str">
        <f>'Respuestas de formulario 1'!D2885</f>
        <v/>
      </c>
      <c r="F244" s="7" t="str">
        <f>'Respuestas de formulario 1'!E2885</f>
        <v/>
      </c>
      <c r="G244" s="7" t="str">
        <f>'Respuestas de formulario 1'!F2885</f>
        <v/>
      </c>
      <c r="H244" s="7" t="str">
        <f>'Respuestas de formulario 1'!G2885</f>
        <v/>
      </c>
      <c r="I244" s="7" t="str">
        <f>'Respuestas de formulario 1'!H2885</f>
        <v/>
      </c>
      <c r="J244" s="7" t="str">
        <f>'Respuestas de formulario 1'!I2885</f>
        <v/>
      </c>
      <c r="K244" s="7" t="str">
        <f>'Respuestas de formulario 1'!J2885</f>
        <v/>
      </c>
    </row>
    <row r="245">
      <c r="A245" s="7">
        <f t="shared" si="1"/>
        <v>245</v>
      </c>
      <c r="B245" s="7" t="str">
        <f>'Respuestas de formulario 1'!A2886</f>
        <v/>
      </c>
      <c r="C245" s="7" t="str">
        <f>'Respuestas de formulario 1'!B2886</f>
        <v/>
      </c>
      <c r="D245" s="7" t="str">
        <f>'Respuestas de formulario 1'!C2886</f>
        <v/>
      </c>
      <c r="E245" s="7" t="str">
        <f>'Respuestas de formulario 1'!D2886</f>
        <v/>
      </c>
      <c r="F245" s="7" t="str">
        <f>'Respuestas de formulario 1'!E2886</f>
        <v/>
      </c>
      <c r="G245" s="7" t="str">
        <f>'Respuestas de formulario 1'!F2886</f>
        <v/>
      </c>
      <c r="H245" s="7" t="str">
        <f>'Respuestas de formulario 1'!G2886</f>
        <v/>
      </c>
      <c r="I245" s="7" t="str">
        <f>'Respuestas de formulario 1'!H2886</f>
        <v/>
      </c>
      <c r="J245" s="7" t="str">
        <f>'Respuestas de formulario 1'!I2886</f>
        <v/>
      </c>
      <c r="K245" s="7" t="str">
        <f>'Respuestas de formulario 1'!J2886</f>
        <v/>
      </c>
    </row>
    <row r="246">
      <c r="A246" s="7">
        <f t="shared" si="1"/>
        <v>246</v>
      </c>
      <c r="B246" s="7" t="str">
        <f>'Respuestas de formulario 1'!A2887</f>
        <v/>
      </c>
      <c r="C246" s="7" t="str">
        <f>'Respuestas de formulario 1'!B2887</f>
        <v/>
      </c>
      <c r="D246" s="7" t="str">
        <f>'Respuestas de formulario 1'!C2887</f>
        <v/>
      </c>
      <c r="E246" s="7" t="str">
        <f>'Respuestas de formulario 1'!D2887</f>
        <v/>
      </c>
      <c r="F246" s="7" t="str">
        <f>'Respuestas de formulario 1'!E2887</f>
        <v/>
      </c>
      <c r="G246" s="7" t="str">
        <f>'Respuestas de formulario 1'!F2887</f>
        <v/>
      </c>
      <c r="H246" s="7" t="str">
        <f>'Respuestas de formulario 1'!G2887</f>
        <v/>
      </c>
      <c r="I246" s="7" t="str">
        <f>'Respuestas de formulario 1'!H2887</f>
        <v/>
      </c>
      <c r="J246" s="7" t="str">
        <f>'Respuestas de formulario 1'!I2887</f>
        <v/>
      </c>
      <c r="K246" s="7" t="str">
        <f>'Respuestas de formulario 1'!J2887</f>
        <v/>
      </c>
    </row>
    <row r="247">
      <c r="A247" s="7">
        <f t="shared" si="1"/>
        <v>247</v>
      </c>
      <c r="B247" s="7" t="str">
        <f>'Respuestas de formulario 1'!A2888</f>
        <v/>
      </c>
      <c r="C247" s="7" t="str">
        <f>'Respuestas de formulario 1'!B2888</f>
        <v/>
      </c>
      <c r="D247" s="7" t="str">
        <f>'Respuestas de formulario 1'!C2888</f>
        <v/>
      </c>
      <c r="E247" s="7" t="str">
        <f>'Respuestas de formulario 1'!D2888</f>
        <v/>
      </c>
      <c r="F247" s="7" t="str">
        <f>'Respuestas de formulario 1'!E2888</f>
        <v/>
      </c>
      <c r="G247" s="7" t="str">
        <f>'Respuestas de formulario 1'!F2888</f>
        <v/>
      </c>
      <c r="H247" s="7" t="str">
        <f>'Respuestas de formulario 1'!G2888</f>
        <v/>
      </c>
      <c r="I247" s="7" t="str">
        <f>'Respuestas de formulario 1'!H2888</f>
        <v/>
      </c>
      <c r="J247" s="7" t="str">
        <f>'Respuestas de formulario 1'!I2888</f>
        <v/>
      </c>
      <c r="K247" s="7" t="str">
        <f>'Respuestas de formulario 1'!J2888</f>
        <v/>
      </c>
    </row>
    <row r="248">
      <c r="A248" s="7">
        <f t="shared" si="1"/>
        <v>248</v>
      </c>
      <c r="B248" s="7" t="str">
        <f>'Respuestas de formulario 1'!A2889</f>
        <v/>
      </c>
      <c r="C248" s="7" t="str">
        <f>'Respuestas de formulario 1'!B2889</f>
        <v/>
      </c>
      <c r="D248" s="7" t="str">
        <f>'Respuestas de formulario 1'!C2889</f>
        <v/>
      </c>
      <c r="E248" s="7" t="str">
        <f>'Respuestas de formulario 1'!D2889</f>
        <v/>
      </c>
      <c r="F248" s="7" t="str">
        <f>'Respuestas de formulario 1'!E2889</f>
        <v/>
      </c>
      <c r="G248" s="7" t="str">
        <f>'Respuestas de formulario 1'!F2889</f>
        <v/>
      </c>
      <c r="H248" s="7" t="str">
        <f>'Respuestas de formulario 1'!G2889</f>
        <v/>
      </c>
      <c r="I248" s="7" t="str">
        <f>'Respuestas de formulario 1'!H2889</f>
        <v/>
      </c>
      <c r="J248" s="7" t="str">
        <f>'Respuestas de formulario 1'!I2889</f>
        <v/>
      </c>
      <c r="K248" s="7" t="str">
        <f>'Respuestas de formulario 1'!J2889</f>
        <v/>
      </c>
    </row>
    <row r="249">
      <c r="A249" s="7">
        <f t="shared" si="1"/>
        <v>249</v>
      </c>
      <c r="B249" s="7" t="str">
        <f>'Respuestas de formulario 1'!A2890</f>
        <v/>
      </c>
      <c r="C249" s="7" t="str">
        <f>'Respuestas de formulario 1'!B2890</f>
        <v/>
      </c>
      <c r="D249" s="7" t="str">
        <f>'Respuestas de formulario 1'!C2890</f>
        <v/>
      </c>
      <c r="E249" s="7" t="str">
        <f>'Respuestas de formulario 1'!D2890</f>
        <v/>
      </c>
      <c r="F249" s="7" t="str">
        <f>'Respuestas de formulario 1'!E2890</f>
        <v/>
      </c>
      <c r="G249" s="7" t="str">
        <f>'Respuestas de formulario 1'!F2890</f>
        <v/>
      </c>
      <c r="H249" s="7" t="str">
        <f>'Respuestas de formulario 1'!G2890</f>
        <v/>
      </c>
      <c r="I249" s="7" t="str">
        <f>'Respuestas de formulario 1'!H2890</f>
        <v/>
      </c>
      <c r="J249" s="7" t="str">
        <f>'Respuestas de formulario 1'!I2890</f>
        <v/>
      </c>
      <c r="K249" s="7" t="str">
        <f>'Respuestas de formulario 1'!J2890</f>
        <v/>
      </c>
    </row>
    <row r="250">
      <c r="A250" s="7">
        <f t="shared" si="1"/>
        <v>250</v>
      </c>
      <c r="B250" s="7" t="str">
        <f>'Respuestas de formulario 1'!A2891</f>
        <v/>
      </c>
      <c r="C250" s="7" t="str">
        <f>'Respuestas de formulario 1'!B2891</f>
        <v/>
      </c>
      <c r="D250" s="7" t="str">
        <f>'Respuestas de formulario 1'!C2891</f>
        <v/>
      </c>
      <c r="E250" s="7" t="str">
        <f>'Respuestas de formulario 1'!D2891</f>
        <v/>
      </c>
      <c r="F250" s="7" t="str">
        <f>'Respuestas de formulario 1'!E2891</f>
        <v/>
      </c>
      <c r="G250" s="7" t="str">
        <f>'Respuestas de formulario 1'!F2891</f>
        <v/>
      </c>
      <c r="H250" s="7" t="str">
        <f>'Respuestas de formulario 1'!G2891</f>
        <v/>
      </c>
      <c r="I250" s="7" t="str">
        <f>'Respuestas de formulario 1'!H2891</f>
        <v/>
      </c>
      <c r="J250" s="7" t="str">
        <f>'Respuestas de formulario 1'!I2891</f>
        <v/>
      </c>
      <c r="K250" s="7" t="str">
        <f>'Respuestas de formulario 1'!J2891</f>
        <v/>
      </c>
    </row>
    <row r="251">
      <c r="A251" s="7">
        <f t="shared" si="1"/>
        <v>251</v>
      </c>
      <c r="B251" s="7" t="str">
        <f>'Respuestas de formulario 1'!A2892</f>
        <v/>
      </c>
      <c r="C251" s="7" t="str">
        <f>'Respuestas de formulario 1'!B2892</f>
        <v/>
      </c>
      <c r="D251" s="7" t="str">
        <f>'Respuestas de formulario 1'!C2892</f>
        <v/>
      </c>
      <c r="E251" s="7" t="str">
        <f>'Respuestas de formulario 1'!D2892</f>
        <v/>
      </c>
      <c r="F251" s="7" t="str">
        <f>'Respuestas de formulario 1'!E2892</f>
        <v/>
      </c>
      <c r="G251" s="7" t="str">
        <f>'Respuestas de formulario 1'!F2892</f>
        <v/>
      </c>
      <c r="H251" s="7" t="str">
        <f>'Respuestas de formulario 1'!G2892</f>
        <v/>
      </c>
      <c r="I251" s="7" t="str">
        <f>'Respuestas de formulario 1'!H2892</f>
        <v/>
      </c>
      <c r="J251" s="7" t="str">
        <f>'Respuestas de formulario 1'!I2892</f>
        <v/>
      </c>
      <c r="K251" s="7" t="str">
        <f>'Respuestas de formulario 1'!J2892</f>
        <v/>
      </c>
    </row>
    <row r="252">
      <c r="A252" s="7">
        <f t="shared" si="1"/>
        <v>252</v>
      </c>
      <c r="B252" s="7" t="str">
        <f>'Respuestas de formulario 1'!A2893</f>
        <v/>
      </c>
      <c r="C252" s="7" t="str">
        <f>'Respuestas de formulario 1'!B2893</f>
        <v/>
      </c>
      <c r="D252" s="7" t="str">
        <f>'Respuestas de formulario 1'!C2893</f>
        <v/>
      </c>
      <c r="E252" s="7" t="str">
        <f>'Respuestas de formulario 1'!D2893</f>
        <v/>
      </c>
      <c r="F252" s="7" t="str">
        <f>'Respuestas de formulario 1'!E2893</f>
        <v/>
      </c>
      <c r="G252" s="7" t="str">
        <f>'Respuestas de formulario 1'!F2893</f>
        <v/>
      </c>
      <c r="H252" s="7" t="str">
        <f>'Respuestas de formulario 1'!G2893</f>
        <v/>
      </c>
      <c r="I252" s="7" t="str">
        <f>'Respuestas de formulario 1'!H2893</f>
        <v/>
      </c>
      <c r="J252" s="7" t="str">
        <f>'Respuestas de formulario 1'!I2893</f>
        <v/>
      </c>
      <c r="K252" s="7" t="str">
        <f>'Respuestas de formulario 1'!J2893</f>
        <v/>
      </c>
    </row>
    <row r="253">
      <c r="A253" s="7">
        <f t="shared" si="1"/>
        <v>253</v>
      </c>
      <c r="B253" s="7" t="str">
        <f>'Respuestas de formulario 1'!A2894</f>
        <v/>
      </c>
      <c r="C253" s="7" t="str">
        <f>'Respuestas de formulario 1'!B2894</f>
        <v/>
      </c>
      <c r="D253" s="7" t="str">
        <f>'Respuestas de formulario 1'!C2894</f>
        <v/>
      </c>
      <c r="E253" s="7" t="str">
        <f>'Respuestas de formulario 1'!D2894</f>
        <v/>
      </c>
      <c r="F253" s="7" t="str">
        <f>'Respuestas de formulario 1'!E2894</f>
        <v/>
      </c>
      <c r="G253" s="7" t="str">
        <f>'Respuestas de formulario 1'!F2894</f>
        <v/>
      </c>
      <c r="H253" s="7" t="str">
        <f>'Respuestas de formulario 1'!G2894</f>
        <v/>
      </c>
      <c r="I253" s="7" t="str">
        <f>'Respuestas de formulario 1'!H2894</f>
        <v/>
      </c>
      <c r="J253" s="7" t="str">
        <f>'Respuestas de formulario 1'!I2894</f>
        <v/>
      </c>
      <c r="K253" s="7" t="str">
        <f>'Respuestas de formulario 1'!J2894</f>
        <v/>
      </c>
    </row>
    <row r="254">
      <c r="A254" s="7">
        <f t="shared" si="1"/>
        <v>254</v>
      </c>
      <c r="B254" s="7" t="str">
        <f>'Respuestas de formulario 1'!A2895</f>
        <v/>
      </c>
      <c r="C254" s="7" t="str">
        <f>'Respuestas de formulario 1'!B2895</f>
        <v/>
      </c>
      <c r="D254" s="7" t="str">
        <f>'Respuestas de formulario 1'!C2895</f>
        <v/>
      </c>
      <c r="E254" s="7" t="str">
        <f>'Respuestas de formulario 1'!D2895</f>
        <v/>
      </c>
      <c r="F254" s="7" t="str">
        <f>'Respuestas de formulario 1'!E2895</f>
        <v/>
      </c>
      <c r="G254" s="7" t="str">
        <f>'Respuestas de formulario 1'!F2895</f>
        <v/>
      </c>
      <c r="H254" s="7" t="str">
        <f>'Respuestas de formulario 1'!G2895</f>
        <v/>
      </c>
      <c r="I254" s="7" t="str">
        <f>'Respuestas de formulario 1'!H2895</f>
        <v/>
      </c>
      <c r="J254" s="7" t="str">
        <f>'Respuestas de formulario 1'!I2895</f>
        <v/>
      </c>
      <c r="K254" s="7" t="str">
        <f>'Respuestas de formulario 1'!J2895</f>
        <v/>
      </c>
    </row>
    <row r="255">
      <c r="A255" s="7">
        <f t="shared" si="1"/>
        <v>255</v>
      </c>
      <c r="B255" s="7" t="str">
        <f>'Respuestas de formulario 1'!A2896</f>
        <v/>
      </c>
      <c r="C255" s="7" t="str">
        <f>'Respuestas de formulario 1'!B2896</f>
        <v/>
      </c>
      <c r="D255" s="7" t="str">
        <f>'Respuestas de formulario 1'!C2896</f>
        <v/>
      </c>
      <c r="E255" s="7" t="str">
        <f>'Respuestas de formulario 1'!D2896</f>
        <v/>
      </c>
      <c r="F255" s="7" t="str">
        <f>'Respuestas de formulario 1'!E2896</f>
        <v/>
      </c>
      <c r="G255" s="7" t="str">
        <f>'Respuestas de formulario 1'!F2896</f>
        <v/>
      </c>
      <c r="H255" s="7" t="str">
        <f>'Respuestas de formulario 1'!G2896</f>
        <v/>
      </c>
      <c r="I255" s="7" t="str">
        <f>'Respuestas de formulario 1'!H2896</f>
        <v/>
      </c>
      <c r="J255" s="7" t="str">
        <f>'Respuestas de formulario 1'!I2896</f>
        <v/>
      </c>
      <c r="K255" s="7" t="str">
        <f>'Respuestas de formulario 1'!J2896</f>
        <v/>
      </c>
    </row>
    <row r="256">
      <c r="A256" s="7">
        <f t="shared" si="1"/>
        <v>256</v>
      </c>
      <c r="B256" s="7" t="str">
        <f>'Respuestas de formulario 1'!A2897</f>
        <v/>
      </c>
      <c r="C256" s="7" t="str">
        <f>'Respuestas de formulario 1'!B2897</f>
        <v/>
      </c>
      <c r="D256" s="7" t="str">
        <f>'Respuestas de formulario 1'!C2897</f>
        <v/>
      </c>
      <c r="E256" s="7" t="str">
        <f>'Respuestas de formulario 1'!D2897</f>
        <v/>
      </c>
      <c r="F256" s="7" t="str">
        <f>'Respuestas de formulario 1'!E2897</f>
        <v/>
      </c>
      <c r="G256" s="7" t="str">
        <f>'Respuestas de formulario 1'!F2897</f>
        <v/>
      </c>
      <c r="H256" s="7" t="str">
        <f>'Respuestas de formulario 1'!G2897</f>
        <v/>
      </c>
      <c r="I256" s="7" t="str">
        <f>'Respuestas de formulario 1'!H2897</f>
        <v/>
      </c>
      <c r="J256" s="7" t="str">
        <f>'Respuestas de formulario 1'!I2897</f>
        <v/>
      </c>
      <c r="K256" s="7" t="str">
        <f>'Respuestas de formulario 1'!J2897</f>
        <v/>
      </c>
    </row>
    <row r="257">
      <c r="A257" s="7">
        <f t="shared" si="1"/>
        <v>257</v>
      </c>
      <c r="B257" s="7" t="str">
        <f>'Respuestas de formulario 1'!A2898</f>
        <v/>
      </c>
      <c r="C257" s="7" t="str">
        <f>'Respuestas de formulario 1'!B2898</f>
        <v/>
      </c>
      <c r="D257" s="7" t="str">
        <f>'Respuestas de formulario 1'!C2898</f>
        <v/>
      </c>
      <c r="E257" s="7" t="str">
        <f>'Respuestas de formulario 1'!D2898</f>
        <v/>
      </c>
      <c r="F257" s="7" t="str">
        <f>'Respuestas de formulario 1'!E2898</f>
        <v/>
      </c>
      <c r="G257" s="7" t="str">
        <f>'Respuestas de formulario 1'!F2898</f>
        <v/>
      </c>
      <c r="H257" s="7" t="str">
        <f>'Respuestas de formulario 1'!G2898</f>
        <v/>
      </c>
      <c r="I257" s="7" t="str">
        <f>'Respuestas de formulario 1'!H2898</f>
        <v/>
      </c>
      <c r="J257" s="7" t="str">
        <f>'Respuestas de formulario 1'!I2898</f>
        <v/>
      </c>
      <c r="K257" s="7" t="str">
        <f>'Respuestas de formulario 1'!J2898</f>
        <v/>
      </c>
    </row>
    <row r="258">
      <c r="A258" s="7">
        <f t="shared" si="1"/>
        <v>258</v>
      </c>
      <c r="B258" s="7" t="str">
        <f>'Respuestas de formulario 1'!A2899</f>
        <v/>
      </c>
      <c r="C258" s="7" t="str">
        <f>'Respuestas de formulario 1'!B2899</f>
        <v/>
      </c>
      <c r="D258" s="7" t="str">
        <f>'Respuestas de formulario 1'!C2899</f>
        <v/>
      </c>
      <c r="E258" s="7" t="str">
        <f>'Respuestas de formulario 1'!D2899</f>
        <v/>
      </c>
      <c r="F258" s="7" t="str">
        <f>'Respuestas de formulario 1'!E2899</f>
        <v/>
      </c>
      <c r="G258" s="7" t="str">
        <f>'Respuestas de formulario 1'!F2899</f>
        <v/>
      </c>
      <c r="H258" s="7" t="str">
        <f>'Respuestas de formulario 1'!G2899</f>
        <v/>
      </c>
      <c r="I258" s="7" t="str">
        <f>'Respuestas de formulario 1'!H2899</f>
        <v/>
      </c>
      <c r="J258" s="7" t="str">
        <f>'Respuestas de formulario 1'!I2899</f>
        <v/>
      </c>
      <c r="K258" s="7" t="str">
        <f>'Respuestas de formulario 1'!J2899</f>
        <v/>
      </c>
    </row>
    <row r="259">
      <c r="A259" s="7">
        <f t="shared" si="1"/>
        <v>259</v>
      </c>
      <c r="B259" s="7" t="str">
        <f>'Respuestas de formulario 1'!A2900</f>
        <v/>
      </c>
      <c r="C259" s="7" t="str">
        <f>'Respuestas de formulario 1'!B2900</f>
        <v/>
      </c>
      <c r="D259" s="7" t="str">
        <f>'Respuestas de formulario 1'!C2900</f>
        <v/>
      </c>
      <c r="E259" s="7" t="str">
        <f>'Respuestas de formulario 1'!D2900</f>
        <v/>
      </c>
      <c r="F259" s="7" t="str">
        <f>'Respuestas de formulario 1'!E2900</f>
        <v/>
      </c>
      <c r="G259" s="7" t="str">
        <f>'Respuestas de formulario 1'!F2900</f>
        <v/>
      </c>
      <c r="H259" s="7" t="str">
        <f>'Respuestas de formulario 1'!G2900</f>
        <v/>
      </c>
      <c r="I259" s="7" t="str">
        <f>'Respuestas de formulario 1'!H2900</f>
        <v/>
      </c>
      <c r="J259" s="7" t="str">
        <f>'Respuestas de formulario 1'!I2900</f>
        <v/>
      </c>
      <c r="K259" s="7" t="str">
        <f>'Respuestas de formulario 1'!J2900</f>
        <v/>
      </c>
    </row>
    <row r="260">
      <c r="A260" s="7">
        <f t="shared" si="1"/>
        <v>260</v>
      </c>
      <c r="B260" s="7" t="str">
        <f>'Respuestas de formulario 1'!A2901</f>
        <v/>
      </c>
      <c r="C260" s="7" t="str">
        <f>'Respuestas de formulario 1'!B2901</f>
        <v/>
      </c>
      <c r="D260" s="7" t="str">
        <f>'Respuestas de formulario 1'!C2901</f>
        <v/>
      </c>
      <c r="E260" s="7" t="str">
        <f>'Respuestas de formulario 1'!D2901</f>
        <v/>
      </c>
      <c r="F260" s="7" t="str">
        <f>'Respuestas de formulario 1'!E2901</f>
        <v/>
      </c>
      <c r="G260" s="7" t="str">
        <f>'Respuestas de formulario 1'!F2901</f>
        <v/>
      </c>
      <c r="H260" s="7" t="str">
        <f>'Respuestas de formulario 1'!G2901</f>
        <v/>
      </c>
      <c r="I260" s="7" t="str">
        <f>'Respuestas de formulario 1'!H2901</f>
        <v/>
      </c>
      <c r="J260" s="7" t="str">
        <f>'Respuestas de formulario 1'!I2901</f>
        <v/>
      </c>
      <c r="K260" s="7" t="str">
        <f>'Respuestas de formulario 1'!J2901</f>
        <v/>
      </c>
    </row>
    <row r="261">
      <c r="A261" s="7">
        <f t="shared" si="1"/>
        <v>261</v>
      </c>
      <c r="B261" s="7" t="str">
        <f>'Respuestas de formulario 1'!A2902</f>
        <v/>
      </c>
      <c r="C261" s="7" t="str">
        <f>'Respuestas de formulario 1'!B2902</f>
        <v/>
      </c>
      <c r="D261" s="7" t="str">
        <f>'Respuestas de formulario 1'!C2902</f>
        <v/>
      </c>
      <c r="E261" s="7" t="str">
        <f>'Respuestas de formulario 1'!D2902</f>
        <v/>
      </c>
      <c r="F261" s="7" t="str">
        <f>'Respuestas de formulario 1'!E2902</f>
        <v/>
      </c>
      <c r="G261" s="7" t="str">
        <f>'Respuestas de formulario 1'!F2902</f>
        <v/>
      </c>
      <c r="H261" s="7" t="str">
        <f>'Respuestas de formulario 1'!G2902</f>
        <v/>
      </c>
      <c r="I261" s="7" t="str">
        <f>'Respuestas de formulario 1'!H2902</f>
        <v/>
      </c>
      <c r="J261" s="7" t="str">
        <f>'Respuestas de formulario 1'!I2902</f>
        <v/>
      </c>
      <c r="K261" s="7" t="str">
        <f>'Respuestas de formulario 1'!J2902</f>
        <v/>
      </c>
    </row>
    <row r="262">
      <c r="A262" s="7">
        <f t="shared" si="1"/>
        <v>262</v>
      </c>
      <c r="B262" s="7" t="str">
        <f>'Respuestas de formulario 1'!A2903</f>
        <v/>
      </c>
      <c r="C262" s="7" t="str">
        <f>'Respuestas de formulario 1'!B2903</f>
        <v/>
      </c>
      <c r="D262" s="7" t="str">
        <f>'Respuestas de formulario 1'!C2903</f>
        <v/>
      </c>
      <c r="E262" s="7" t="str">
        <f>'Respuestas de formulario 1'!D2903</f>
        <v/>
      </c>
      <c r="F262" s="7" t="str">
        <f>'Respuestas de formulario 1'!E2903</f>
        <v/>
      </c>
      <c r="G262" s="7" t="str">
        <f>'Respuestas de formulario 1'!F2903</f>
        <v/>
      </c>
      <c r="H262" s="7" t="str">
        <f>'Respuestas de formulario 1'!G2903</f>
        <v/>
      </c>
      <c r="I262" s="7" t="str">
        <f>'Respuestas de formulario 1'!H2903</f>
        <v/>
      </c>
      <c r="J262" s="7" t="str">
        <f>'Respuestas de formulario 1'!I2903</f>
        <v/>
      </c>
      <c r="K262" s="7" t="str">
        <f>'Respuestas de formulario 1'!J2903</f>
        <v/>
      </c>
    </row>
    <row r="263">
      <c r="A263" s="7">
        <f t="shared" si="1"/>
        <v>263</v>
      </c>
      <c r="B263" s="7" t="str">
        <f>'Respuestas de formulario 1'!A2904</f>
        <v/>
      </c>
      <c r="C263" s="7" t="str">
        <f>'Respuestas de formulario 1'!B2904</f>
        <v/>
      </c>
      <c r="D263" s="7" t="str">
        <f>'Respuestas de formulario 1'!C2904</f>
        <v/>
      </c>
      <c r="E263" s="7" t="str">
        <f>'Respuestas de formulario 1'!D2904</f>
        <v/>
      </c>
      <c r="F263" s="7" t="str">
        <f>'Respuestas de formulario 1'!E2904</f>
        <v/>
      </c>
      <c r="G263" s="7" t="str">
        <f>'Respuestas de formulario 1'!F2904</f>
        <v/>
      </c>
      <c r="H263" s="7" t="str">
        <f>'Respuestas de formulario 1'!G2904</f>
        <v/>
      </c>
      <c r="I263" s="7" t="str">
        <f>'Respuestas de formulario 1'!H2904</f>
        <v/>
      </c>
      <c r="J263" s="7" t="str">
        <f>'Respuestas de formulario 1'!I2904</f>
        <v/>
      </c>
      <c r="K263" s="7" t="str">
        <f>'Respuestas de formulario 1'!J2904</f>
        <v/>
      </c>
    </row>
    <row r="264">
      <c r="A264" s="7">
        <f t="shared" si="1"/>
        <v>264</v>
      </c>
      <c r="B264" s="7" t="str">
        <f>'Respuestas de formulario 1'!A2905</f>
        <v/>
      </c>
      <c r="C264" s="7" t="str">
        <f>'Respuestas de formulario 1'!B2905</f>
        <v/>
      </c>
      <c r="D264" s="7" t="str">
        <f>'Respuestas de formulario 1'!C2905</f>
        <v/>
      </c>
      <c r="E264" s="7" t="str">
        <f>'Respuestas de formulario 1'!D2905</f>
        <v/>
      </c>
      <c r="F264" s="7" t="str">
        <f>'Respuestas de formulario 1'!E2905</f>
        <v/>
      </c>
      <c r="G264" s="7" t="str">
        <f>'Respuestas de formulario 1'!F2905</f>
        <v/>
      </c>
      <c r="H264" s="7" t="str">
        <f>'Respuestas de formulario 1'!G2905</f>
        <v/>
      </c>
      <c r="I264" s="7" t="str">
        <f>'Respuestas de formulario 1'!H2905</f>
        <v/>
      </c>
      <c r="J264" s="7" t="str">
        <f>'Respuestas de formulario 1'!I2905</f>
        <v/>
      </c>
      <c r="K264" s="7" t="str">
        <f>'Respuestas de formulario 1'!J2905</f>
        <v/>
      </c>
    </row>
    <row r="265">
      <c r="A265" s="7">
        <f t="shared" si="1"/>
        <v>265</v>
      </c>
      <c r="B265" s="7" t="str">
        <f>'Respuestas de formulario 1'!A2906</f>
        <v/>
      </c>
      <c r="C265" s="7" t="str">
        <f>'Respuestas de formulario 1'!B2906</f>
        <v/>
      </c>
      <c r="D265" s="7" t="str">
        <f>'Respuestas de formulario 1'!C2906</f>
        <v/>
      </c>
      <c r="E265" s="7" t="str">
        <f>'Respuestas de formulario 1'!D2906</f>
        <v/>
      </c>
      <c r="F265" s="7" t="str">
        <f>'Respuestas de formulario 1'!E2906</f>
        <v/>
      </c>
      <c r="G265" s="7" t="str">
        <f>'Respuestas de formulario 1'!F2906</f>
        <v/>
      </c>
      <c r="H265" s="7" t="str">
        <f>'Respuestas de formulario 1'!G2906</f>
        <v/>
      </c>
      <c r="I265" s="7" t="str">
        <f>'Respuestas de formulario 1'!H2906</f>
        <v/>
      </c>
      <c r="J265" s="7" t="str">
        <f>'Respuestas de formulario 1'!I2906</f>
        <v/>
      </c>
      <c r="K265" s="7" t="str">
        <f>'Respuestas de formulario 1'!J2906</f>
        <v/>
      </c>
    </row>
    <row r="266">
      <c r="A266" s="7">
        <f t="shared" si="1"/>
        <v>266</v>
      </c>
      <c r="B266" s="7" t="str">
        <f>'Respuestas de formulario 1'!A2907</f>
        <v/>
      </c>
      <c r="C266" s="7" t="str">
        <f>'Respuestas de formulario 1'!B2907</f>
        <v/>
      </c>
      <c r="D266" s="7" t="str">
        <f>'Respuestas de formulario 1'!C2907</f>
        <v/>
      </c>
      <c r="E266" s="7" t="str">
        <f>'Respuestas de formulario 1'!D2907</f>
        <v/>
      </c>
      <c r="F266" s="7" t="str">
        <f>'Respuestas de formulario 1'!E2907</f>
        <v/>
      </c>
      <c r="G266" s="7" t="str">
        <f>'Respuestas de formulario 1'!F2907</f>
        <v/>
      </c>
      <c r="H266" s="7" t="str">
        <f>'Respuestas de formulario 1'!G2907</f>
        <v/>
      </c>
      <c r="I266" s="7" t="str">
        <f>'Respuestas de formulario 1'!H2907</f>
        <v/>
      </c>
      <c r="J266" s="7" t="str">
        <f>'Respuestas de formulario 1'!I2907</f>
        <v/>
      </c>
      <c r="K266" s="7" t="str">
        <f>'Respuestas de formulario 1'!J2907</f>
        <v/>
      </c>
    </row>
    <row r="267">
      <c r="A267" s="7">
        <f t="shared" si="1"/>
        <v>267</v>
      </c>
      <c r="B267" s="7" t="str">
        <f>'Respuestas de formulario 1'!A2908</f>
        <v/>
      </c>
      <c r="C267" s="7" t="str">
        <f>'Respuestas de formulario 1'!B2908</f>
        <v/>
      </c>
      <c r="D267" s="7" t="str">
        <f>'Respuestas de formulario 1'!C2908</f>
        <v/>
      </c>
      <c r="E267" s="7" t="str">
        <f>'Respuestas de formulario 1'!D2908</f>
        <v/>
      </c>
      <c r="F267" s="7" t="str">
        <f>'Respuestas de formulario 1'!E2908</f>
        <v/>
      </c>
      <c r="G267" s="7" t="str">
        <f>'Respuestas de formulario 1'!F2908</f>
        <v/>
      </c>
      <c r="H267" s="7" t="str">
        <f>'Respuestas de formulario 1'!G2908</f>
        <v/>
      </c>
      <c r="I267" s="7" t="str">
        <f>'Respuestas de formulario 1'!H2908</f>
        <v/>
      </c>
      <c r="J267" s="7" t="str">
        <f>'Respuestas de formulario 1'!I2908</f>
        <v/>
      </c>
      <c r="K267" s="7" t="str">
        <f>'Respuestas de formulario 1'!J2908</f>
        <v/>
      </c>
    </row>
    <row r="268">
      <c r="A268" s="7">
        <f t="shared" si="1"/>
        <v>268</v>
      </c>
      <c r="B268" s="7" t="str">
        <f>'Respuestas de formulario 1'!A2909</f>
        <v/>
      </c>
      <c r="C268" s="7" t="str">
        <f>'Respuestas de formulario 1'!B2909</f>
        <v/>
      </c>
      <c r="D268" s="7" t="str">
        <f>'Respuestas de formulario 1'!C2909</f>
        <v/>
      </c>
      <c r="E268" s="7" t="str">
        <f>'Respuestas de formulario 1'!D2909</f>
        <v/>
      </c>
      <c r="F268" s="7" t="str">
        <f>'Respuestas de formulario 1'!E2909</f>
        <v/>
      </c>
      <c r="G268" s="7" t="str">
        <f>'Respuestas de formulario 1'!F2909</f>
        <v/>
      </c>
      <c r="H268" s="7" t="str">
        <f>'Respuestas de formulario 1'!G2909</f>
        <v/>
      </c>
      <c r="I268" s="7" t="str">
        <f>'Respuestas de formulario 1'!H2909</f>
        <v/>
      </c>
      <c r="J268" s="7" t="str">
        <f>'Respuestas de formulario 1'!I2909</f>
        <v/>
      </c>
      <c r="K268" s="7" t="str">
        <f>'Respuestas de formulario 1'!J2909</f>
        <v/>
      </c>
    </row>
    <row r="269">
      <c r="A269" s="7">
        <f t="shared" si="1"/>
        <v>269</v>
      </c>
      <c r="B269" s="7" t="str">
        <f>'Respuestas de formulario 1'!A2910</f>
        <v/>
      </c>
      <c r="C269" s="7" t="str">
        <f>'Respuestas de formulario 1'!B2910</f>
        <v/>
      </c>
      <c r="D269" s="7" t="str">
        <f>'Respuestas de formulario 1'!C2910</f>
        <v/>
      </c>
      <c r="E269" s="7" t="str">
        <f>'Respuestas de formulario 1'!D2910</f>
        <v/>
      </c>
      <c r="F269" s="7" t="str">
        <f>'Respuestas de formulario 1'!E2910</f>
        <v/>
      </c>
      <c r="G269" s="7" t="str">
        <f>'Respuestas de formulario 1'!F2910</f>
        <v/>
      </c>
      <c r="H269" s="7" t="str">
        <f>'Respuestas de formulario 1'!G2910</f>
        <v/>
      </c>
      <c r="I269" s="7" t="str">
        <f>'Respuestas de formulario 1'!H2910</f>
        <v/>
      </c>
      <c r="J269" s="7" t="str">
        <f>'Respuestas de formulario 1'!I2910</f>
        <v/>
      </c>
      <c r="K269" s="7" t="str">
        <f>'Respuestas de formulario 1'!J2910</f>
        <v/>
      </c>
    </row>
    <row r="270">
      <c r="A270" s="7">
        <f t="shared" si="1"/>
        <v>270</v>
      </c>
      <c r="B270" s="7" t="str">
        <f>'Respuestas de formulario 1'!A2911</f>
        <v/>
      </c>
      <c r="C270" s="7" t="str">
        <f>'Respuestas de formulario 1'!B2911</f>
        <v/>
      </c>
      <c r="D270" s="7" t="str">
        <f>'Respuestas de formulario 1'!C2911</f>
        <v/>
      </c>
      <c r="E270" s="7" t="str">
        <f>'Respuestas de formulario 1'!D2911</f>
        <v/>
      </c>
      <c r="F270" s="7" t="str">
        <f>'Respuestas de formulario 1'!E2911</f>
        <v/>
      </c>
      <c r="G270" s="7" t="str">
        <f>'Respuestas de formulario 1'!F2911</f>
        <v/>
      </c>
      <c r="H270" s="7" t="str">
        <f>'Respuestas de formulario 1'!G2911</f>
        <v/>
      </c>
      <c r="I270" s="7" t="str">
        <f>'Respuestas de formulario 1'!H2911</f>
        <v/>
      </c>
      <c r="J270" s="7" t="str">
        <f>'Respuestas de formulario 1'!I2911</f>
        <v/>
      </c>
      <c r="K270" s="7" t="str">
        <f>'Respuestas de formulario 1'!J2911</f>
        <v/>
      </c>
    </row>
    <row r="271">
      <c r="A271" s="7">
        <f t="shared" si="1"/>
        <v>271</v>
      </c>
      <c r="B271" s="7" t="str">
        <f>'Respuestas de formulario 1'!A2912</f>
        <v/>
      </c>
      <c r="C271" s="7" t="str">
        <f>'Respuestas de formulario 1'!B2912</f>
        <v/>
      </c>
      <c r="D271" s="7" t="str">
        <f>'Respuestas de formulario 1'!C2912</f>
        <v/>
      </c>
      <c r="E271" s="7" t="str">
        <f>'Respuestas de formulario 1'!D2912</f>
        <v/>
      </c>
      <c r="F271" s="7" t="str">
        <f>'Respuestas de formulario 1'!E2912</f>
        <v/>
      </c>
      <c r="G271" s="7" t="str">
        <f>'Respuestas de formulario 1'!F2912</f>
        <v/>
      </c>
      <c r="H271" s="7" t="str">
        <f>'Respuestas de formulario 1'!G2912</f>
        <v/>
      </c>
      <c r="I271" s="7" t="str">
        <f>'Respuestas de formulario 1'!H2912</f>
        <v/>
      </c>
      <c r="J271" s="7" t="str">
        <f>'Respuestas de formulario 1'!I2912</f>
        <v/>
      </c>
      <c r="K271" s="7" t="str">
        <f>'Respuestas de formulario 1'!J2912</f>
        <v/>
      </c>
    </row>
    <row r="272">
      <c r="A272" s="7">
        <f t="shared" si="1"/>
        <v>272</v>
      </c>
      <c r="B272" s="7" t="str">
        <f>'Respuestas de formulario 1'!A2913</f>
        <v/>
      </c>
      <c r="C272" s="7" t="str">
        <f>'Respuestas de formulario 1'!B2913</f>
        <v/>
      </c>
      <c r="D272" s="7" t="str">
        <f>'Respuestas de formulario 1'!C2913</f>
        <v/>
      </c>
      <c r="E272" s="7" t="str">
        <f>'Respuestas de formulario 1'!D2913</f>
        <v/>
      </c>
      <c r="F272" s="7" t="str">
        <f>'Respuestas de formulario 1'!E2913</f>
        <v/>
      </c>
      <c r="G272" s="7" t="str">
        <f>'Respuestas de formulario 1'!F2913</f>
        <v/>
      </c>
      <c r="H272" s="7" t="str">
        <f>'Respuestas de formulario 1'!G2913</f>
        <v/>
      </c>
      <c r="I272" s="7" t="str">
        <f>'Respuestas de formulario 1'!H2913</f>
        <v/>
      </c>
      <c r="J272" s="7" t="str">
        <f>'Respuestas de formulario 1'!I2913</f>
        <v/>
      </c>
      <c r="K272" s="7" t="str">
        <f>'Respuestas de formulario 1'!J2913</f>
        <v/>
      </c>
    </row>
    <row r="273">
      <c r="A273" s="7">
        <f t="shared" si="1"/>
        <v>273</v>
      </c>
      <c r="B273" s="7" t="str">
        <f>'Respuestas de formulario 1'!A2914</f>
        <v/>
      </c>
      <c r="C273" s="7" t="str">
        <f>'Respuestas de formulario 1'!B2914</f>
        <v/>
      </c>
      <c r="D273" s="7" t="str">
        <f>'Respuestas de formulario 1'!C2914</f>
        <v/>
      </c>
      <c r="E273" s="7" t="str">
        <f>'Respuestas de formulario 1'!D2914</f>
        <v/>
      </c>
      <c r="F273" s="7" t="str">
        <f>'Respuestas de formulario 1'!E2914</f>
        <v/>
      </c>
      <c r="G273" s="7" t="str">
        <f>'Respuestas de formulario 1'!F2914</f>
        <v/>
      </c>
      <c r="H273" s="7" t="str">
        <f>'Respuestas de formulario 1'!G2914</f>
        <v/>
      </c>
      <c r="I273" s="7" t="str">
        <f>'Respuestas de formulario 1'!H2914</f>
        <v/>
      </c>
      <c r="J273" s="7" t="str">
        <f>'Respuestas de formulario 1'!I2914</f>
        <v/>
      </c>
      <c r="K273" s="7" t="str">
        <f>'Respuestas de formulario 1'!J2914</f>
        <v/>
      </c>
    </row>
    <row r="274">
      <c r="A274" s="7">
        <f t="shared" si="1"/>
        <v>274</v>
      </c>
      <c r="B274" s="7" t="str">
        <f>'Respuestas de formulario 1'!A2915</f>
        <v/>
      </c>
      <c r="C274" s="7" t="str">
        <f>'Respuestas de formulario 1'!B2915</f>
        <v/>
      </c>
      <c r="D274" s="7" t="str">
        <f>'Respuestas de formulario 1'!C2915</f>
        <v/>
      </c>
      <c r="E274" s="7" t="str">
        <f>'Respuestas de formulario 1'!D2915</f>
        <v/>
      </c>
      <c r="F274" s="7" t="str">
        <f>'Respuestas de formulario 1'!E2915</f>
        <v/>
      </c>
      <c r="G274" s="7" t="str">
        <f>'Respuestas de formulario 1'!F2915</f>
        <v/>
      </c>
      <c r="H274" s="7" t="str">
        <f>'Respuestas de formulario 1'!G2915</f>
        <v/>
      </c>
      <c r="I274" s="7" t="str">
        <f>'Respuestas de formulario 1'!H2915</f>
        <v/>
      </c>
      <c r="J274" s="7" t="str">
        <f>'Respuestas de formulario 1'!I2915</f>
        <v/>
      </c>
      <c r="K274" s="7" t="str">
        <f>'Respuestas de formulario 1'!J2915</f>
        <v/>
      </c>
    </row>
    <row r="275">
      <c r="A275" s="7">
        <f t="shared" si="1"/>
        <v>275</v>
      </c>
      <c r="B275" s="7" t="str">
        <f>'Respuestas de formulario 1'!A2916</f>
        <v/>
      </c>
      <c r="C275" s="7" t="str">
        <f>'Respuestas de formulario 1'!B2916</f>
        <v/>
      </c>
      <c r="D275" s="7" t="str">
        <f>'Respuestas de formulario 1'!C2916</f>
        <v/>
      </c>
      <c r="E275" s="7" t="str">
        <f>'Respuestas de formulario 1'!D2916</f>
        <v/>
      </c>
      <c r="F275" s="7" t="str">
        <f>'Respuestas de formulario 1'!E2916</f>
        <v/>
      </c>
      <c r="G275" s="7" t="str">
        <f>'Respuestas de formulario 1'!F2916</f>
        <v/>
      </c>
      <c r="H275" s="7" t="str">
        <f>'Respuestas de formulario 1'!G2916</f>
        <v/>
      </c>
      <c r="I275" s="7" t="str">
        <f>'Respuestas de formulario 1'!H2916</f>
        <v/>
      </c>
      <c r="J275" s="7" t="str">
        <f>'Respuestas de formulario 1'!I2916</f>
        <v/>
      </c>
      <c r="K275" s="7" t="str">
        <f>'Respuestas de formulario 1'!J2916</f>
        <v/>
      </c>
    </row>
    <row r="276">
      <c r="A276" s="7">
        <f t="shared" si="1"/>
        <v>276</v>
      </c>
      <c r="B276" s="7" t="str">
        <f>'Respuestas de formulario 1'!A2917</f>
        <v/>
      </c>
      <c r="C276" s="7" t="str">
        <f>'Respuestas de formulario 1'!B2917</f>
        <v/>
      </c>
      <c r="D276" s="7" t="str">
        <f>'Respuestas de formulario 1'!C2917</f>
        <v/>
      </c>
      <c r="E276" s="7" t="str">
        <f>'Respuestas de formulario 1'!D2917</f>
        <v/>
      </c>
      <c r="F276" s="7" t="str">
        <f>'Respuestas de formulario 1'!E2917</f>
        <v/>
      </c>
      <c r="G276" s="7" t="str">
        <f>'Respuestas de formulario 1'!F2917</f>
        <v/>
      </c>
      <c r="H276" s="7" t="str">
        <f>'Respuestas de formulario 1'!G2917</f>
        <v/>
      </c>
      <c r="I276" s="7" t="str">
        <f>'Respuestas de formulario 1'!H2917</f>
        <v/>
      </c>
      <c r="J276" s="7" t="str">
        <f>'Respuestas de formulario 1'!I2917</f>
        <v/>
      </c>
      <c r="K276" s="7" t="str">
        <f>'Respuestas de formulario 1'!J2917</f>
        <v/>
      </c>
    </row>
    <row r="277">
      <c r="A277" s="7">
        <f t="shared" si="1"/>
        <v>277</v>
      </c>
      <c r="B277" s="7" t="str">
        <f>'Respuestas de formulario 1'!A2918</f>
        <v/>
      </c>
      <c r="C277" s="7" t="str">
        <f>'Respuestas de formulario 1'!B2918</f>
        <v/>
      </c>
      <c r="D277" s="7" t="str">
        <f>'Respuestas de formulario 1'!C2918</f>
        <v/>
      </c>
      <c r="E277" s="7" t="str">
        <f>'Respuestas de formulario 1'!D2918</f>
        <v/>
      </c>
      <c r="F277" s="7" t="str">
        <f>'Respuestas de formulario 1'!E2918</f>
        <v/>
      </c>
      <c r="G277" s="7" t="str">
        <f>'Respuestas de formulario 1'!F2918</f>
        <v/>
      </c>
      <c r="H277" s="7" t="str">
        <f>'Respuestas de formulario 1'!G2918</f>
        <v/>
      </c>
      <c r="I277" s="7" t="str">
        <f>'Respuestas de formulario 1'!H2918</f>
        <v/>
      </c>
      <c r="J277" s="7" t="str">
        <f>'Respuestas de formulario 1'!I2918</f>
        <v/>
      </c>
      <c r="K277" s="7" t="str">
        <f>'Respuestas de formulario 1'!J2918</f>
        <v/>
      </c>
    </row>
    <row r="278">
      <c r="A278" s="7">
        <f t="shared" si="1"/>
        <v>278</v>
      </c>
      <c r="B278" s="7" t="str">
        <f>'Respuestas de formulario 1'!A2919</f>
        <v/>
      </c>
      <c r="C278" s="7" t="str">
        <f>'Respuestas de formulario 1'!B2919</f>
        <v/>
      </c>
      <c r="D278" s="7" t="str">
        <f>'Respuestas de formulario 1'!C2919</f>
        <v/>
      </c>
      <c r="E278" s="7" t="str">
        <f>'Respuestas de formulario 1'!D2919</f>
        <v/>
      </c>
      <c r="F278" s="7" t="str">
        <f>'Respuestas de formulario 1'!E2919</f>
        <v/>
      </c>
      <c r="G278" s="7" t="str">
        <f>'Respuestas de formulario 1'!F2919</f>
        <v/>
      </c>
      <c r="H278" s="7" t="str">
        <f>'Respuestas de formulario 1'!G2919</f>
        <v/>
      </c>
      <c r="I278" s="7" t="str">
        <f>'Respuestas de formulario 1'!H2919</f>
        <v/>
      </c>
      <c r="J278" s="7" t="str">
        <f>'Respuestas de formulario 1'!I2919</f>
        <v/>
      </c>
      <c r="K278" s="7" t="str">
        <f>'Respuestas de formulario 1'!J2919</f>
        <v/>
      </c>
    </row>
    <row r="279">
      <c r="A279" s="7">
        <f t="shared" si="1"/>
        <v>279</v>
      </c>
      <c r="B279" s="7" t="str">
        <f>'Respuestas de formulario 1'!A2920</f>
        <v/>
      </c>
      <c r="C279" s="7" t="str">
        <f>'Respuestas de formulario 1'!B2920</f>
        <v/>
      </c>
      <c r="D279" s="7" t="str">
        <f>'Respuestas de formulario 1'!C2920</f>
        <v/>
      </c>
      <c r="E279" s="7" t="str">
        <f>'Respuestas de formulario 1'!D2920</f>
        <v/>
      </c>
      <c r="F279" s="7" t="str">
        <f>'Respuestas de formulario 1'!E2920</f>
        <v/>
      </c>
      <c r="G279" s="7" t="str">
        <f>'Respuestas de formulario 1'!F2920</f>
        <v/>
      </c>
      <c r="H279" s="7" t="str">
        <f>'Respuestas de formulario 1'!G2920</f>
        <v/>
      </c>
      <c r="I279" s="7" t="str">
        <f>'Respuestas de formulario 1'!H2920</f>
        <v/>
      </c>
      <c r="J279" s="7" t="str">
        <f>'Respuestas de formulario 1'!I2920</f>
        <v/>
      </c>
      <c r="K279" s="7" t="str">
        <f>'Respuestas de formulario 1'!J2920</f>
        <v/>
      </c>
    </row>
    <row r="280">
      <c r="A280" s="7">
        <f t="shared" si="1"/>
        <v>280</v>
      </c>
      <c r="B280" s="7" t="str">
        <f>'Respuestas de formulario 1'!A2921</f>
        <v/>
      </c>
      <c r="C280" s="7" t="str">
        <f>'Respuestas de formulario 1'!B2921</f>
        <v/>
      </c>
      <c r="D280" s="7" t="str">
        <f>'Respuestas de formulario 1'!C2921</f>
        <v/>
      </c>
      <c r="E280" s="7" t="str">
        <f>'Respuestas de formulario 1'!D2921</f>
        <v/>
      </c>
      <c r="F280" s="7" t="str">
        <f>'Respuestas de formulario 1'!E2921</f>
        <v/>
      </c>
      <c r="G280" s="7" t="str">
        <f>'Respuestas de formulario 1'!F2921</f>
        <v/>
      </c>
      <c r="H280" s="7" t="str">
        <f>'Respuestas de formulario 1'!G2921</f>
        <v/>
      </c>
      <c r="I280" s="7" t="str">
        <f>'Respuestas de formulario 1'!H2921</f>
        <v/>
      </c>
      <c r="J280" s="7" t="str">
        <f>'Respuestas de formulario 1'!I2921</f>
        <v/>
      </c>
      <c r="K280" s="7" t="str">
        <f>'Respuestas de formulario 1'!J2921</f>
        <v/>
      </c>
    </row>
    <row r="281">
      <c r="A281" s="7">
        <f t="shared" si="1"/>
        <v>281</v>
      </c>
      <c r="B281" s="7" t="str">
        <f>'Respuestas de formulario 1'!A2922</f>
        <v/>
      </c>
      <c r="C281" s="7" t="str">
        <f>'Respuestas de formulario 1'!B2922</f>
        <v/>
      </c>
      <c r="D281" s="7" t="str">
        <f>'Respuestas de formulario 1'!C2922</f>
        <v/>
      </c>
      <c r="E281" s="7" t="str">
        <f>'Respuestas de formulario 1'!D2922</f>
        <v/>
      </c>
      <c r="F281" s="7" t="str">
        <f>'Respuestas de formulario 1'!E2922</f>
        <v/>
      </c>
      <c r="G281" s="7" t="str">
        <f>'Respuestas de formulario 1'!F2922</f>
        <v/>
      </c>
      <c r="H281" s="7" t="str">
        <f>'Respuestas de formulario 1'!G2922</f>
        <v/>
      </c>
      <c r="I281" s="7" t="str">
        <f>'Respuestas de formulario 1'!H2922</f>
        <v/>
      </c>
      <c r="J281" s="7" t="str">
        <f>'Respuestas de formulario 1'!I2922</f>
        <v/>
      </c>
      <c r="K281" s="7" t="str">
        <f>'Respuestas de formulario 1'!J2922</f>
        <v/>
      </c>
    </row>
    <row r="282">
      <c r="A282" s="7">
        <f t="shared" si="1"/>
        <v>282</v>
      </c>
      <c r="B282" s="7" t="str">
        <f>'Respuestas de formulario 1'!A2923</f>
        <v/>
      </c>
      <c r="C282" s="7" t="str">
        <f>'Respuestas de formulario 1'!B2923</f>
        <v/>
      </c>
      <c r="D282" s="7" t="str">
        <f>'Respuestas de formulario 1'!C2923</f>
        <v/>
      </c>
      <c r="E282" s="7" t="str">
        <f>'Respuestas de formulario 1'!D2923</f>
        <v/>
      </c>
      <c r="F282" s="7" t="str">
        <f>'Respuestas de formulario 1'!E2923</f>
        <v/>
      </c>
      <c r="G282" s="7" t="str">
        <f>'Respuestas de formulario 1'!F2923</f>
        <v/>
      </c>
      <c r="H282" s="7" t="str">
        <f>'Respuestas de formulario 1'!G2923</f>
        <v/>
      </c>
      <c r="I282" s="7" t="str">
        <f>'Respuestas de formulario 1'!H2923</f>
        <v/>
      </c>
      <c r="J282" s="7" t="str">
        <f>'Respuestas de formulario 1'!I2923</f>
        <v/>
      </c>
      <c r="K282" s="7" t="str">
        <f>'Respuestas de formulario 1'!J2923</f>
        <v/>
      </c>
    </row>
    <row r="283">
      <c r="A283" s="7">
        <f t="shared" si="1"/>
        <v>283</v>
      </c>
      <c r="B283" s="7" t="str">
        <f>'Respuestas de formulario 1'!A2924</f>
        <v/>
      </c>
      <c r="C283" s="7" t="str">
        <f>'Respuestas de formulario 1'!B2924</f>
        <v/>
      </c>
      <c r="D283" s="7" t="str">
        <f>'Respuestas de formulario 1'!C2924</f>
        <v/>
      </c>
      <c r="E283" s="7" t="str">
        <f>'Respuestas de formulario 1'!D2924</f>
        <v/>
      </c>
      <c r="F283" s="7" t="str">
        <f>'Respuestas de formulario 1'!E2924</f>
        <v/>
      </c>
      <c r="G283" s="7" t="str">
        <f>'Respuestas de formulario 1'!F2924</f>
        <v/>
      </c>
      <c r="H283" s="7" t="str">
        <f>'Respuestas de formulario 1'!G2924</f>
        <v/>
      </c>
      <c r="I283" s="7" t="str">
        <f>'Respuestas de formulario 1'!H2924</f>
        <v/>
      </c>
      <c r="J283" s="7" t="str">
        <f>'Respuestas de formulario 1'!I2924</f>
        <v/>
      </c>
      <c r="K283" s="7" t="str">
        <f>'Respuestas de formulario 1'!J2924</f>
        <v/>
      </c>
    </row>
    <row r="284">
      <c r="A284" s="7">
        <f t="shared" si="1"/>
        <v>284</v>
      </c>
      <c r="B284" s="7" t="str">
        <f>'Respuestas de formulario 1'!A2925</f>
        <v/>
      </c>
      <c r="C284" s="7" t="str">
        <f>'Respuestas de formulario 1'!B2925</f>
        <v/>
      </c>
      <c r="D284" s="7" t="str">
        <f>'Respuestas de formulario 1'!C2925</f>
        <v/>
      </c>
      <c r="E284" s="7" t="str">
        <f>'Respuestas de formulario 1'!D2925</f>
        <v/>
      </c>
      <c r="F284" s="7" t="str">
        <f>'Respuestas de formulario 1'!E2925</f>
        <v/>
      </c>
      <c r="G284" s="7" t="str">
        <f>'Respuestas de formulario 1'!F2925</f>
        <v/>
      </c>
      <c r="H284" s="7" t="str">
        <f>'Respuestas de formulario 1'!G2925</f>
        <v/>
      </c>
      <c r="I284" s="7" t="str">
        <f>'Respuestas de formulario 1'!H2925</f>
        <v/>
      </c>
      <c r="J284" s="7" t="str">
        <f>'Respuestas de formulario 1'!I2925</f>
        <v/>
      </c>
      <c r="K284" s="7" t="str">
        <f>'Respuestas de formulario 1'!J2925</f>
        <v/>
      </c>
    </row>
    <row r="285">
      <c r="A285" s="7">
        <f t="shared" si="1"/>
        <v>285</v>
      </c>
      <c r="B285" s="7" t="str">
        <f>'Respuestas de formulario 1'!A2926</f>
        <v/>
      </c>
      <c r="C285" s="7" t="str">
        <f>'Respuestas de formulario 1'!B2926</f>
        <v/>
      </c>
      <c r="D285" s="7" t="str">
        <f>'Respuestas de formulario 1'!C2926</f>
        <v/>
      </c>
      <c r="E285" s="7" t="str">
        <f>'Respuestas de formulario 1'!D2926</f>
        <v/>
      </c>
      <c r="F285" s="7" t="str">
        <f>'Respuestas de formulario 1'!E2926</f>
        <v/>
      </c>
      <c r="G285" s="7" t="str">
        <f>'Respuestas de formulario 1'!F2926</f>
        <v/>
      </c>
      <c r="H285" s="7" t="str">
        <f>'Respuestas de formulario 1'!G2926</f>
        <v/>
      </c>
      <c r="I285" s="7" t="str">
        <f>'Respuestas de formulario 1'!H2926</f>
        <v/>
      </c>
      <c r="J285" s="7" t="str">
        <f>'Respuestas de formulario 1'!I2926</f>
        <v/>
      </c>
      <c r="K285" s="7" t="str">
        <f>'Respuestas de formulario 1'!J2926</f>
        <v/>
      </c>
    </row>
    <row r="286">
      <c r="A286" s="7">
        <f t="shared" si="1"/>
        <v>286</v>
      </c>
      <c r="B286" s="7" t="str">
        <f>'Respuestas de formulario 1'!A2927</f>
        <v/>
      </c>
      <c r="C286" s="7" t="str">
        <f>'Respuestas de formulario 1'!B2927</f>
        <v/>
      </c>
      <c r="D286" s="7" t="str">
        <f>'Respuestas de formulario 1'!C2927</f>
        <v/>
      </c>
      <c r="E286" s="7" t="str">
        <f>'Respuestas de formulario 1'!D2927</f>
        <v/>
      </c>
      <c r="F286" s="7" t="str">
        <f>'Respuestas de formulario 1'!E2927</f>
        <v/>
      </c>
      <c r="G286" s="7" t="str">
        <f>'Respuestas de formulario 1'!F2927</f>
        <v/>
      </c>
      <c r="H286" s="7" t="str">
        <f>'Respuestas de formulario 1'!G2927</f>
        <v/>
      </c>
      <c r="I286" s="7" t="str">
        <f>'Respuestas de formulario 1'!H2927</f>
        <v/>
      </c>
      <c r="J286" s="7" t="str">
        <f>'Respuestas de formulario 1'!I2927</f>
        <v/>
      </c>
      <c r="K286" s="7" t="str">
        <f>'Respuestas de formulario 1'!J2927</f>
        <v/>
      </c>
    </row>
    <row r="287">
      <c r="A287" s="7">
        <f t="shared" si="1"/>
        <v>287</v>
      </c>
      <c r="B287" s="7" t="str">
        <f>'Respuestas de formulario 1'!A2928</f>
        <v/>
      </c>
      <c r="C287" s="7" t="str">
        <f>'Respuestas de formulario 1'!B2928</f>
        <v/>
      </c>
      <c r="D287" s="7" t="str">
        <f>'Respuestas de formulario 1'!C2928</f>
        <v/>
      </c>
      <c r="E287" s="7" t="str">
        <f>'Respuestas de formulario 1'!D2928</f>
        <v/>
      </c>
      <c r="F287" s="7" t="str">
        <f>'Respuestas de formulario 1'!E2928</f>
        <v/>
      </c>
      <c r="G287" s="7" t="str">
        <f>'Respuestas de formulario 1'!F2928</f>
        <v/>
      </c>
      <c r="H287" s="7" t="str">
        <f>'Respuestas de formulario 1'!G2928</f>
        <v/>
      </c>
      <c r="I287" s="7" t="str">
        <f>'Respuestas de formulario 1'!H2928</f>
        <v/>
      </c>
      <c r="J287" s="7" t="str">
        <f>'Respuestas de formulario 1'!I2928</f>
        <v/>
      </c>
      <c r="K287" s="7" t="str">
        <f>'Respuestas de formulario 1'!J2928</f>
        <v/>
      </c>
    </row>
    <row r="288">
      <c r="A288" s="7">
        <f t="shared" si="1"/>
        <v>288</v>
      </c>
      <c r="B288" s="7" t="str">
        <f>'Respuestas de formulario 1'!A2929</f>
        <v/>
      </c>
      <c r="C288" s="7" t="str">
        <f>'Respuestas de formulario 1'!B2929</f>
        <v/>
      </c>
      <c r="D288" s="7" t="str">
        <f>'Respuestas de formulario 1'!C2929</f>
        <v/>
      </c>
      <c r="E288" s="7" t="str">
        <f>'Respuestas de formulario 1'!D2929</f>
        <v/>
      </c>
      <c r="F288" s="7" t="str">
        <f>'Respuestas de formulario 1'!E2929</f>
        <v/>
      </c>
      <c r="G288" s="7" t="str">
        <f>'Respuestas de formulario 1'!F2929</f>
        <v/>
      </c>
      <c r="H288" s="7" t="str">
        <f>'Respuestas de formulario 1'!G2929</f>
        <v/>
      </c>
      <c r="I288" s="7" t="str">
        <f>'Respuestas de formulario 1'!H2929</f>
        <v/>
      </c>
      <c r="J288" s="7" t="str">
        <f>'Respuestas de formulario 1'!I2929</f>
        <v/>
      </c>
      <c r="K288" s="7" t="str">
        <f>'Respuestas de formulario 1'!J2929</f>
        <v/>
      </c>
    </row>
    <row r="289">
      <c r="A289" s="7">
        <f t="shared" si="1"/>
        <v>289</v>
      </c>
      <c r="B289" s="7" t="str">
        <f>'Respuestas de formulario 1'!A2930</f>
        <v/>
      </c>
      <c r="C289" s="7" t="str">
        <f>'Respuestas de formulario 1'!B2930</f>
        <v/>
      </c>
      <c r="D289" s="7" t="str">
        <f>'Respuestas de formulario 1'!C2930</f>
        <v/>
      </c>
      <c r="E289" s="7" t="str">
        <f>'Respuestas de formulario 1'!D2930</f>
        <v/>
      </c>
      <c r="F289" s="7" t="str">
        <f>'Respuestas de formulario 1'!E2930</f>
        <v/>
      </c>
      <c r="G289" s="7" t="str">
        <f>'Respuestas de formulario 1'!F2930</f>
        <v/>
      </c>
      <c r="H289" s="7" t="str">
        <f>'Respuestas de formulario 1'!G2930</f>
        <v/>
      </c>
      <c r="I289" s="7" t="str">
        <f>'Respuestas de formulario 1'!H2930</f>
        <v/>
      </c>
      <c r="J289" s="7" t="str">
        <f>'Respuestas de formulario 1'!I2930</f>
        <v/>
      </c>
      <c r="K289" s="7" t="str">
        <f>'Respuestas de formulario 1'!J2930</f>
        <v/>
      </c>
    </row>
    <row r="290">
      <c r="A290" s="7">
        <f t="shared" si="1"/>
        <v>290</v>
      </c>
      <c r="B290" s="7" t="str">
        <f>'Respuestas de formulario 1'!A2931</f>
        <v/>
      </c>
      <c r="C290" s="7" t="str">
        <f>'Respuestas de formulario 1'!B2931</f>
        <v/>
      </c>
      <c r="D290" s="7" t="str">
        <f>'Respuestas de formulario 1'!C2931</f>
        <v/>
      </c>
      <c r="E290" s="7" t="str">
        <f>'Respuestas de formulario 1'!D2931</f>
        <v/>
      </c>
      <c r="F290" s="7" t="str">
        <f>'Respuestas de formulario 1'!E2931</f>
        <v/>
      </c>
      <c r="G290" s="7" t="str">
        <f>'Respuestas de formulario 1'!F2931</f>
        <v/>
      </c>
      <c r="H290" s="7" t="str">
        <f>'Respuestas de formulario 1'!G2931</f>
        <v/>
      </c>
      <c r="I290" s="7" t="str">
        <f>'Respuestas de formulario 1'!H2931</f>
        <v/>
      </c>
      <c r="J290" s="7" t="str">
        <f>'Respuestas de formulario 1'!I2931</f>
        <v/>
      </c>
      <c r="K290" s="7" t="str">
        <f>'Respuestas de formulario 1'!J2931</f>
        <v/>
      </c>
    </row>
    <row r="291">
      <c r="A291" s="7">
        <f t="shared" si="1"/>
        <v>291</v>
      </c>
      <c r="B291" s="7" t="str">
        <f>'Respuestas de formulario 1'!A2932</f>
        <v/>
      </c>
      <c r="C291" s="7" t="str">
        <f>'Respuestas de formulario 1'!B2932</f>
        <v/>
      </c>
      <c r="D291" s="7" t="str">
        <f>'Respuestas de formulario 1'!C2932</f>
        <v/>
      </c>
      <c r="E291" s="7" t="str">
        <f>'Respuestas de formulario 1'!D2932</f>
        <v/>
      </c>
      <c r="F291" s="7" t="str">
        <f>'Respuestas de formulario 1'!E2932</f>
        <v/>
      </c>
      <c r="G291" s="7" t="str">
        <f>'Respuestas de formulario 1'!F2932</f>
        <v/>
      </c>
      <c r="H291" s="7" t="str">
        <f>'Respuestas de formulario 1'!G2932</f>
        <v/>
      </c>
      <c r="I291" s="7" t="str">
        <f>'Respuestas de formulario 1'!H2932</f>
        <v/>
      </c>
      <c r="J291" s="7" t="str">
        <f>'Respuestas de formulario 1'!I2932</f>
        <v/>
      </c>
      <c r="K291" s="7" t="str">
        <f>'Respuestas de formulario 1'!J2932</f>
        <v/>
      </c>
    </row>
    <row r="292">
      <c r="A292" s="7">
        <f t="shared" si="1"/>
        <v>292</v>
      </c>
      <c r="B292" s="7" t="str">
        <f>'Respuestas de formulario 1'!A2933</f>
        <v/>
      </c>
      <c r="C292" s="7" t="str">
        <f>'Respuestas de formulario 1'!B2933</f>
        <v/>
      </c>
      <c r="D292" s="7" t="str">
        <f>'Respuestas de formulario 1'!C2933</f>
        <v/>
      </c>
      <c r="E292" s="7" t="str">
        <f>'Respuestas de formulario 1'!D2933</f>
        <v/>
      </c>
      <c r="F292" s="7" t="str">
        <f>'Respuestas de formulario 1'!E2933</f>
        <v/>
      </c>
      <c r="G292" s="7" t="str">
        <f>'Respuestas de formulario 1'!F2933</f>
        <v/>
      </c>
      <c r="H292" s="7" t="str">
        <f>'Respuestas de formulario 1'!G2933</f>
        <v/>
      </c>
      <c r="I292" s="7" t="str">
        <f>'Respuestas de formulario 1'!H2933</f>
        <v/>
      </c>
      <c r="J292" s="7" t="str">
        <f>'Respuestas de formulario 1'!I2933</f>
        <v/>
      </c>
      <c r="K292" s="7" t="str">
        <f>'Respuestas de formulario 1'!J2933</f>
        <v/>
      </c>
    </row>
    <row r="293">
      <c r="A293" s="7">
        <f t="shared" si="1"/>
        <v>293</v>
      </c>
      <c r="B293" s="7" t="str">
        <f>'Respuestas de formulario 1'!A2934</f>
        <v/>
      </c>
      <c r="C293" s="7" t="str">
        <f>'Respuestas de formulario 1'!B2934</f>
        <v/>
      </c>
      <c r="D293" s="7" t="str">
        <f>'Respuestas de formulario 1'!C2934</f>
        <v/>
      </c>
      <c r="E293" s="7" t="str">
        <f>'Respuestas de formulario 1'!D2934</f>
        <v/>
      </c>
      <c r="F293" s="7" t="str">
        <f>'Respuestas de formulario 1'!E2934</f>
        <v/>
      </c>
      <c r="G293" s="7" t="str">
        <f>'Respuestas de formulario 1'!F2934</f>
        <v/>
      </c>
      <c r="H293" s="7" t="str">
        <f>'Respuestas de formulario 1'!G2934</f>
        <v/>
      </c>
      <c r="I293" s="7" t="str">
        <f>'Respuestas de formulario 1'!H2934</f>
        <v/>
      </c>
      <c r="J293" s="7" t="str">
        <f>'Respuestas de formulario 1'!I2934</f>
        <v/>
      </c>
      <c r="K293" s="7" t="str">
        <f>'Respuestas de formulario 1'!J2934</f>
        <v/>
      </c>
    </row>
    <row r="294">
      <c r="A294" s="7">
        <f t="shared" si="1"/>
        <v>294</v>
      </c>
      <c r="B294" s="7" t="str">
        <f>'Respuestas de formulario 1'!A2935</f>
        <v/>
      </c>
      <c r="C294" s="7" t="str">
        <f>'Respuestas de formulario 1'!B2935</f>
        <v/>
      </c>
      <c r="D294" s="7" t="str">
        <f>'Respuestas de formulario 1'!C2935</f>
        <v/>
      </c>
      <c r="E294" s="7" t="str">
        <f>'Respuestas de formulario 1'!D2935</f>
        <v/>
      </c>
      <c r="F294" s="7" t="str">
        <f>'Respuestas de formulario 1'!E2935</f>
        <v/>
      </c>
      <c r="G294" s="7" t="str">
        <f>'Respuestas de formulario 1'!F2935</f>
        <v/>
      </c>
      <c r="H294" s="7" t="str">
        <f>'Respuestas de formulario 1'!G2935</f>
        <v/>
      </c>
      <c r="I294" s="7" t="str">
        <f>'Respuestas de formulario 1'!H2935</f>
        <v/>
      </c>
      <c r="J294" s="7" t="str">
        <f>'Respuestas de formulario 1'!I2935</f>
        <v/>
      </c>
      <c r="K294" s="7" t="str">
        <f>'Respuestas de formulario 1'!J2935</f>
        <v/>
      </c>
    </row>
    <row r="295">
      <c r="A295" s="7">
        <f t="shared" si="1"/>
        <v>295</v>
      </c>
      <c r="B295" s="7" t="str">
        <f>'Respuestas de formulario 1'!A2936</f>
        <v/>
      </c>
      <c r="C295" s="7" t="str">
        <f>'Respuestas de formulario 1'!B2936</f>
        <v/>
      </c>
      <c r="D295" s="7" t="str">
        <f>'Respuestas de formulario 1'!C2936</f>
        <v/>
      </c>
      <c r="E295" s="7" t="str">
        <f>'Respuestas de formulario 1'!D2936</f>
        <v/>
      </c>
      <c r="F295" s="7" t="str">
        <f>'Respuestas de formulario 1'!E2936</f>
        <v/>
      </c>
      <c r="G295" s="7" t="str">
        <f>'Respuestas de formulario 1'!F2936</f>
        <v/>
      </c>
      <c r="H295" s="7" t="str">
        <f>'Respuestas de formulario 1'!G2936</f>
        <v/>
      </c>
      <c r="I295" s="7" t="str">
        <f>'Respuestas de formulario 1'!H2936</f>
        <v/>
      </c>
      <c r="J295" s="7" t="str">
        <f>'Respuestas de formulario 1'!I2936</f>
        <v/>
      </c>
      <c r="K295" s="7" t="str">
        <f>'Respuestas de formulario 1'!J2936</f>
        <v/>
      </c>
    </row>
    <row r="296">
      <c r="A296" s="7">
        <f t="shared" si="1"/>
        <v>296</v>
      </c>
      <c r="B296" s="7" t="str">
        <f>'Respuestas de formulario 1'!A2937</f>
        <v/>
      </c>
      <c r="C296" s="7" t="str">
        <f>'Respuestas de formulario 1'!B2937</f>
        <v/>
      </c>
      <c r="D296" s="7" t="str">
        <f>'Respuestas de formulario 1'!C2937</f>
        <v/>
      </c>
      <c r="E296" s="7" t="str">
        <f>'Respuestas de formulario 1'!D2937</f>
        <v/>
      </c>
      <c r="F296" s="7" t="str">
        <f>'Respuestas de formulario 1'!E2937</f>
        <v/>
      </c>
      <c r="G296" s="7" t="str">
        <f>'Respuestas de formulario 1'!F2937</f>
        <v/>
      </c>
      <c r="H296" s="7" t="str">
        <f>'Respuestas de formulario 1'!G2937</f>
        <v/>
      </c>
      <c r="I296" s="7" t="str">
        <f>'Respuestas de formulario 1'!H2937</f>
        <v/>
      </c>
      <c r="J296" s="7" t="str">
        <f>'Respuestas de formulario 1'!I2937</f>
        <v/>
      </c>
      <c r="K296" s="7" t="str">
        <f>'Respuestas de formulario 1'!J2937</f>
        <v/>
      </c>
    </row>
    <row r="297">
      <c r="A297" s="7">
        <f t="shared" si="1"/>
        <v>297</v>
      </c>
      <c r="B297" s="7" t="str">
        <f>'Respuestas de formulario 1'!A2938</f>
        <v/>
      </c>
      <c r="C297" s="7" t="str">
        <f>'Respuestas de formulario 1'!B2938</f>
        <v/>
      </c>
      <c r="D297" s="7" t="str">
        <f>'Respuestas de formulario 1'!C2938</f>
        <v/>
      </c>
      <c r="E297" s="7" t="str">
        <f>'Respuestas de formulario 1'!D2938</f>
        <v/>
      </c>
      <c r="F297" s="7" t="str">
        <f>'Respuestas de formulario 1'!E2938</f>
        <v/>
      </c>
      <c r="G297" s="7" t="str">
        <f>'Respuestas de formulario 1'!F2938</f>
        <v/>
      </c>
      <c r="H297" s="7" t="str">
        <f>'Respuestas de formulario 1'!G2938</f>
        <v/>
      </c>
      <c r="I297" s="7" t="str">
        <f>'Respuestas de formulario 1'!H2938</f>
        <v/>
      </c>
      <c r="J297" s="7" t="str">
        <f>'Respuestas de formulario 1'!I2938</f>
        <v/>
      </c>
      <c r="K297" s="7" t="str">
        <f>'Respuestas de formulario 1'!J2938</f>
        <v/>
      </c>
    </row>
    <row r="298">
      <c r="A298" s="7">
        <f t="shared" si="1"/>
        <v>298</v>
      </c>
      <c r="B298" s="7" t="str">
        <f>'Respuestas de formulario 1'!A2939</f>
        <v/>
      </c>
      <c r="C298" s="7" t="str">
        <f>'Respuestas de formulario 1'!B2939</f>
        <v/>
      </c>
      <c r="D298" s="7" t="str">
        <f>'Respuestas de formulario 1'!C2939</f>
        <v/>
      </c>
      <c r="E298" s="7" t="str">
        <f>'Respuestas de formulario 1'!D2939</f>
        <v/>
      </c>
      <c r="F298" s="7" t="str">
        <f>'Respuestas de formulario 1'!E2939</f>
        <v/>
      </c>
      <c r="G298" s="7" t="str">
        <f>'Respuestas de formulario 1'!F2939</f>
        <v/>
      </c>
      <c r="H298" s="7" t="str">
        <f>'Respuestas de formulario 1'!G2939</f>
        <v/>
      </c>
      <c r="I298" s="7" t="str">
        <f>'Respuestas de formulario 1'!H2939</f>
        <v/>
      </c>
      <c r="J298" s="7" t="str">
        <f>'Respuestas de formulario 1'!I2939</f>
        <v/>
      </c>
      <c r="K298" s="7" t="str">
        <f>'Respuestas de formulario 1'!J2939</f>
        <v/>
      </c>
    </row>
    <row r="299">
      <c r="A299" s="7">
        <f t="shared" si="1"/>
        <v>299</v>
      </c>
      <c r="B299" s="7" t="str">
        <f>'Respuestas de formulario 1'!A2940</f>
        <v/>
      </c>
      <c r="C299" s="7" t="str">
        <f>'Respuestas de formulario 1'!B2940</f>
        <v/>
      </c>
      <c r="D299" s="7" t="str">
        <f>'Respuestas de formulario 1'!C2940</f>
        <v/>
      </c>
      <c r="E299" s="7" t="str">
        <f>'Respuestas de formulario 1'!D2940</f>
        <v/>
      </c>
      <c r="F299" s="7" t="str">
        <f>'Respuestas de formulario 1'!E2940</f>
        <v/>
      </c>
      <c r="G299" s="7" t="str">
        <f>'Respuestas de formulario 1'!F2940</f>
        <v/>
      </c>
      <c r="H299" s="7" t="str">
        <f>'Respuestas de formulario 1'!G2940</f>
        <v/>
      </c>
      <c r="I299" s="7" t="str">
        <f>'Respuestas de formulario 1'!H2940</f>
        <v/>
      </c>
      <c r="J299" s="7" t="str">
        <f>'Respuestas de formulario 1'!I2940</f>
        <v/>
      </c>
      <c r="K299" s="7" t="str">
        <f>'Respuestas de formulario 1'!J2940</f>
        <v/>
      </c>
    </row>
    <row r="300">
      <c r="A300" s="7">
        <f t="shared" si="1"/>
        <v>300</v>
      </c>
      <c r="B300" s="7" t="str">
        <f>'Respuestas de formulario 1'!A2941</f>
        <v/>
      </c>
      <c r="C300" s="7" t="str">
        <f>'Respuestas de formulario 1'!B2941</f>
        <v/>
      </c>
      <c r="D300" s="7" t="str">
        <f>'Respuestas de formulario 1'!C2941</f>
        <v/>
      </c>
      <c r="E300" s="7" t="str">
        <f>'Respuestas de formulario 1'!D2941</f>
        <v/>
      </c>
      <c r="F300" s="7" t="str">
        <f>'Respuestas de formulario 1'!E2941</f>
        <v/>
      </c>
      <c r="G300" s="7" t="str">
        <f>'Respuestas de formulario 1'!F2941</f>
        <v/>
      </c>
      <c r="H300" s="7" t="str">
        <f>'Respuestas de formulario 1'!G2941</f>
        <v/>
      </c>
      <c r="I300" s="7" t="str">
        <f>'Respuestas de formulario 1'!H2941</f>
        <v/>
      </c>
      <c r="J300" s="7" t="str">
        <f>'Respuestas de formulario 1'!I2941</f>
        <v/>
      </c>
      <c r="K300" s="7" t="str">
        <f>'Respuestas de formulario 1'!J2941</f>
        <v/>
      </c>
    </row>
    <row r="301">
      <c r="A301" s="7">
        <f t="shared" si="1"/>
        <v>301</v>
      </c>
      <c r="B301" s="7" t="str">
        <f>'Respuestas de formulario 1'!A2942</f>
        <v/>
      </c>
      <c r="C301" s="7" t="str">
        <f>'Respuestas de formulario 1'!B2942</f>
        <v/>
      </c>
      <c r="D301" s="7" t="str">
        <f>'Respuestas de formulario 1'!C2942</f>
        <v/>
      </c>
      <c r="E301" s="7" t="str">
        <f>'Respuestas de formulario 1'!D2942</f>
        <v/>
      </c>
      <c r="F301" s="7" t="str">
        <f>'Respuestas de formulario 1'!E2942</f>
        <v/>
      </c>
      <c r="G301" s="7" t="str">
        <f>'Respuestas de formulario 1'!F2942</f>
        <v/>
      </c>
      <c r="H301" s="7" t="str">
        <f>'Respuestas de formulario 1'!G2942</f>
        <v/>
      </c>
      <c r="I301" s="7" t="str">
        <f>'Respuestas de formulario 1'!H2942</f>
        <v/>
      </c>
      <c r="J301" s="7" t="str">
        <f>'Respuestas de formulario 1'!I2942</f>
        <v/>
      </c>
      <c r="K301" s="7" t="str">
        <f>'Respuestas de formulario 1'!J2942</f>
        <v/>
      </c>
    </row>
    <row r="302">
      <c r="A302" s="7">
        <f t="shared" si="1"/>
        <v>302</v>
      </c>
      <c r="B302" s="7" t="str">
        <f>'Respuestas de formulario 1'!A2943</f>
        <v/>
      </c>
      <c r="C302" s="7" t="str">
        <f>'Respuestas de formulario 1'!B2943</f>
        <v/>
      </c>
      <c r="D302" s="7" t="str">
        <f>'Respuestas de formulario 1'!C2943</f>
        <v/>
      </c>
      <c r="E302" s="7" t="str">
        <f>'Respuestas de formulario 1'!D2943</f>
        <v/>
      </c>
      <c r="F302" s="7" t="str">
        <f>'Respuestas de formulario 1'!E2943</f>
        <v/>
      </c>
      <c r="G302" s="7" t="str">
        <f>'Respuestas de formulario 1'!F2943</f>
        <v/>
      </c>
      <c r="H302" s="7" t="str">
        <f>'Respuestas de formulario 1'!G2943</f>
        <v/>
      </c>
      <c r="I302" s="7" t="str">
        <f>'Respuestas de formulario 1'!H2943</f>
        <v/>
      </c>
      <c r="J302" s="7" t="str">
        <f>'Respuestas de formulario 1'!I2943</f>
        <v/>
      </c>
      <c r="K302" s="7" t="str">
        <f>'Respuestas de formulario 1'!J2943</f>
        <v/>
      </c>
    </row>
    <row r="303">
      <c r="A303" s="7">
        <f t="shared" si="1"/>
        <v>303</v>
      </c>
      <c r="B303" s="7" t="str">
        <f>'Respuestas de formulario 1'!A2944</f>
        <v/>
      </c>
      <c r="C303" s="7" t="str">
        <f>'Respuestas de formulario 1'!B2944</f>
        <v/>
      </c>
      <c r="D303" s="7" t="str">
        <f>'Respuestas de formulario 1'!C2944</f>
        <v/>
      </c>
      <c r="E303" s="7" t="str">
        <f>'Respuestas de formulario 1'!D2944</f>
        <v/>
      </c>
      <c r="F303" s="7" t="str">
        <f>'Respuestas de formulario 1'!E2944</f>
        <v/>
      </c>
      <c r="G303" s="7" t="str">
        <f>'Respuestas de formulario 1'!F2944</f>
        <v/>
      </c>
      <c r="H303" s="7" t="str">
        <f>'Respuestas de formulario 1'!G2944</f>
        <v/>
      </c>
      <c r="I303" s="7" t="str">
        <f>'Respuestas de formulario 1'!H2944</f>
        <v/>
      </c>
      <c r="J303" s="7" t="str">
        <f>'Respuestas de formulario 1'!I2944</f>
        <v/>
      </c>
      <c r="K303" s="7" t="str">
        <f>'Respuestas de formulario 1'!J2944</f>
        <v/>
      </c>
    </row>
    <row r="304">
      <c r="A304" s="7">
        <f t="shared" si="1"/>
        <v>304</v>
      </c>
      <c r="B304" s="7" t="str">
        <f>'Respuestas de formulario 1'!A2945</f>
        <v/>
      </c>
      <c r="C304" s="7" t="str">
        <f>'Respuestas de formulario 1'!B2945</f>
        <v/>
      </c>
      <c r="D304" s="7" t="str">
        <f>'Respuestas de formulario 1'!C2945</f>
        <v/>
      </c>
      <c r="E304" s="7" t="str">
        <f>'Respuestas de formulario 1'!D2945</f>
        <v/>
      </c>
      <c r="F304" s="7" t="str">
        <f>'Respuestas de formulario 1'!E2945</f>
        <v/>
      </c>
      <c r="G304" s="7" t="str">
        <f>'Respuestas de formulario 1'!F2945</f>
        <v/>
      </c>
      <c r="H304" s="7" t="str">
        <f>'Respuestas de formulario 1'!G2945</f>
        <v/>
      </c>
      <c r="I304" s="7" t="str">
        <f>'Respuestas de formulario 1'!H2945</f>
        <v/>
      </c>
      <c r="J304" s="7" t="str">
        <f>'Respuestas de formulario 1'!I2945</f>
        <v/>
      </c>
      <c r="K304" s="7" t="str">
        <f>'Respuestas de formulario 1'!J2945</f>
        <v/>
      </c>
    </row>
    <row r="305">
      <c r="A305" s="7">
        <f t="shared" si="1"/>
        <v>305</v>
      </c>
      <c r="B305" s="7" t="str">
        <f>'Respuestas de formulario 1'!A2946</f>
        <v/>
      </c>
      <c r="C305" s="7" t="str">
        <f>'Respuestas de formulario 1'!B2946</f>
        <v/>
      </c>
      <c r="D305" s="7" t="str">
        <f>'Respuestas de formulario 1'!C2946</f>
        <v/>
      </c>
      <c r="E305" s="7" t="str">
        <f>'Respuestas de formulario 1'!D2946</f>
        <v/>
      </c>
      <c r="F305" s="7" t="str">
        <f>'Respuestas de formulario 1'!E2946</f>
        <v/>
      </c>
      <c r="G305" s="7" t="str">
        <f>'Respuestas de formulario 1'!F2946</f>
        <v/>
      </c>
      <c r="H305" s="7" t="str">
        <f>'Respuestas de formulario 1'!G2946</f>
        <v/>
      </c>
      <c r="I305" s="7" t="str">
        <f>'Respuestas de formulario 1'!H2946</f>
        <v/>
      </c>
      <c r="J305" s="7" t="str">
        <f>'Respuestas de formulario 1'!I2946</f>
        <v/>
      </c>
      <c r="K305" s="7" t="str">
        <f>'Respuestas de formulario 1'!J2946</f>
        <v/>
      </c>
    </row>
    <row r="306">
      <c r="A306" s="7">
        <f t="shared" si="1"/>
        <v>306</v>
      </c>
      <c r="B306" s="7" t="str">
        <f>'Respuestas de formulario 1'!A2947</f>
        <v/>
      </c>
      <c r="C306" s="7" t="str">
        <f>'Respuestas de formulario 1'!B2947</f>
        <v/>
      </c>
      <c r="D306" s="7" t="str">
        <f>'Respuestas de formulario 1'!C2947</f>
        <v/>
      </c>
      <c r="E306" s="7" t="str">
        <f>'Respuestas de formulario 1'!D2947</f>
        <v/>
      </c>
      <c r="F306" s="7" t="str">
        <f>'Respuestas de formulario 1'!E2947</f>
        <v/>
      </c>
      <c r="G306" s="7" t="str">
        <f>'Respuestas de formulario 1'!F2947</f>
        <v/>
      </c>
      <c r="H306" s="7" t="str">
        <f>'Respuestas de formulario 1'!G2947</f>
        <v/>
      </c>
      <c r="I306" s="7" t="str">
        <f>'Respuestas de formulario 1'!H2947</f>
        <v/>
      </c>
      <c r="J306" s="7" t="str">
        <f>'Respuestas de formulario 1'!I2947</f>
        <v/>
      </c>
      <c r="K306" s="7" t="str">
        <f>'Respuestas de formulario 1'!J2947</f>
        <v/>
      </c>
    </row>
    <row r="307">
      <c r="A307" s="7">
        <f t="shared" si="1"/>
        <v>307</v>
      </c>
      <c r="B307" s="7" t="str">
        <f>'Respuestas de formulario 1'!A2948</f>
        <v/>
      </c>
      <c r="C307" s="7" t="str">
        <f>'Respuestas de formulario 1'!B2948</f>
        <v/>
      </c>
      <c r="D307" s="7" t="str">
        <f>'Respuestas de formulario 1'!C2948</f>
        <v/>
      </c>
      <c r="E307" s="7" t="str">
        <f>'Respuestas de formulario 1'!D2948</f>
        <v/>
      </c>
      <c r="F307" s="7" t="str">
        <f>'Respuestas de formulario 1'!E2948</f>
        <v/>
      </c>
      <c r="G307" s="7" t="str">
        <f>'Respuestas de formulario 1'!F2948</f>
        <v/>
      </c>
      <c r="H307" s="7" t="str">
        <f>'Respuestas de formulario 1'!G2948</f>
        <v/>
      </c>
      <c r="I307" s="7" t="str">
        <f>'Respuestas de formulario 1'!H2948</f>
        <v/>
      </c>
      <c r="J307" s="7" t="str">
        <f>'Respuestas de formulario 1'!I2948</f>
        <v/>
      </c>
      <c r="K307" s="7" t="str">
        <f>'Respuestas de formulario 1'!J2948</f>
        <v/>
      </c>
    </row>
    <row r="308">
      <c r="A308" s="7">
        <f t="shared" si="1"/>
        <v>308</v>
      </c>
      <c r="B308" s="7" t="str">
        <f>'Respuestas de formulario 1'!A2949</f>
        <v/>
      </c>
      <c r="C308" s="7" t="str">
        <f>'Respuestas de formulario 1'!B2949</f>
        <v/>
      </c>
      <c r="D308" s="7" t="str">
        <f>'Respuestas de formulario 1'!C2949</f>
        <v/>
      </c>
      <c r="E308" s="7" t="str">
        <f>'Respuestas de formulario 1'!D2949</f>
        <v/>
      </c>
      <c r="F308" s="7" t="str">
        <f>'Respuestas de formulario 1'!E2949</f>
        <v/>
      </c>
      <c r="G308" s="7" t="str">
        <f>'Respuestas de formulario 1'!F2949</f>
        <v/>
      </c>
      <c r="H308" s="7" t="str">
        <f>'Respuestas de formulario 1'!G2949</f>
        <v/>
      </c>
      <c r="I308" s="7" t="str">
        <f>'Respuestas de formulario 1'!H2949</f>
        <v/>
      </c>
      <c r="J308" s="7" t="str">
        <f>'Respuestas de formulario 1'!I2949</f>
        <v/>
      </c>
      <c r="K308" s="7" t="str">
        <f>'Respuestas de formulario 1'!J2949</f>
        <v/>
      </c>
    </row>
    <row r="309">
      <c r="A309" s="7">
        <f t="shared" si="1"/>
        <v>309</v>
      </c>
      <c r="B309" s="7" t="str">
        <f>'Respuestas de formulario 1'!A2950</f>
        <v/>
      </c>
      <c r="C309" s="7" t="str">
        <f>'Respuestas de formulario 1'!B2950</f>
        <v/>
      </c>
      <c r="D309" s="7" t="str">
        <f>'Respuestas de formulario 1'!C2950</f>
        <v/>
      </c>
      <c r="E309" s="7" t="str">
        <f>'Respuestas de formulario 1'!D2950</f>
        <v/>
      </c>
      <c r="F309" s="7" t="str">
        <f>'Respuestas de formulario 1'!E2950</f>
        <v/>
      </c>
      <c r="G309" s="7" t="str">
        <f>'Respuestas de formulario 1'!F2950</f>
        <v/>
      </c>
      <c r="H309" s="7" t="str">
        <f>'Respuestas de formulario 1'!G2950</f>
        <v/>
      </c>
      <c r="I309" s="7" t="str">
        <f>'Respuestas de formulario 1'!H2950</f>
        <v/>
      </c>
      <c r="J309" s="7" t="str">
        <f>'Respuestas de formulario 1'!I2950</f>
        <v/>
      </c>
      <c r="K309" s="7" t="str">
        <f>'Respuestas de formulario 1'!J2950</f>
        <v/>
      </c>
    </row>
    <row r="310">
      <c r="A310" s="7">
        <f t="shared" si="1"/>
        <v>310</v>
      </c>
      <c r="B310" s="7" t="str">
        <f>'Respuestas de formulario 1'!A2951</f>
        <v/>
      </c>
      <c r="C310" s="7" t="str">
        <f>'Respuestas de formulario 1'!B2951</f>
        <v/>
      </c>
      <c r="D310" s="7" t="str">
        <f>'Respuestas de formulario 1'!C2951</f>
        <v/>
      </c>
      <c r="E310" s="7" t="str">
        <f>'Respuestas de formulario 1'!D2951</f>
        <v/>
      </c>
      <c r="F310" s="7" t="str">
        <f>'Respuestas de formulario 1'!E2951</f>
        <v/>
      </c>
      <c r="G310" s="7" t="str">
        <f>'Respuestas de formulario 1'!F2951</f>
        <v/>
      </c>
      <c r="H310" s="7" t="str">
        <f>'Respuestas de formulario 1'!G2951</f>
        <v/>
      </c>
      <c r="I310" s="7" t="str">
        <f>'Respuestas de formulario 1'!H2951</f>
        <v/>
      </c>
      <c r="J310" s="7" t="str">
        <f>'Respuestas de formulario 1'!I2951</f>
        <v/>
      </c>
      <c r="K310" s="7" t="str">
        <f>'Respuestas de formulario 1'!J2951</f>
        <v/>
      </c>
    </row>
    <row r="311">
      <c r="A311" s="7">
        <f t="shared" si="1"/>
        <v>311</v>
      </c>
      <c r="B311" s="7" t="str">
        <f>'Respuestas de formulario 1'!A2952</f>
        <v/>
      </c>
      <c r="C311" s="7" t="str">
        <f>'Respuestas de formulario 1'!B2952</f>
        <v/>
      </c>
      <c r="D311" s="7" t="str">
        <f>'Respuestas de formulario 1'!C2952</f>
        <v/>
      </c>
      <c r="E311" s="7" t="str">
        <f>'Respuestas de formulario 1'!D2952</f>
        <v/>
      </c>
      <c r="F311" s="7" t="str">
        <f>'Respuestas de formulario 1'!E2952</f>
        <v/>
      </c>
      <c r="G311" s="7" t="str">
        <f>'Respuestas de formulario 1'!F2952</f>
        <v/>
      </c>
      <c r="H311" s="7" t="str">
        <f>'Respuestas de formulario 1'!G2952</f>
        <v/>
      </c>
      <c r="I311" s="7" t="str">
        <f>'Respuestas de formulario 1'!H2952</f>
        <v/>
      </c>
      <c r="J311" s="7" t="str">
        <f>'Respuestas de formulario 1'!I2952</f>
        <v/>
      </c>
      <c r="K311" s="7" t="str">
        <f>'Respuestas de formulario 1'!J2952</f>
        <v/>
      </c>
    </row>
    <row r="312">
      <c r="A312" s="7">
        <f t="shared" si="1"/>
        <v>312</v>
      </c>
      <c r="B312" s="7" t="str">
        <f>'Respuestas de formulario 1'!A2953</f>
        <v/>
      </c>
      <c r="C312" s="7" t="str">
        <f>'Respuestas de formulario 1'!B2953</f>
        <v/>
      </c>
      <c r="D312" s="7" t="str">
        <f>'Respuestas de formulario 1'!C2953</f>
        <v/>
      </c>
      <c r="E312" s="7" t="str">
        <f>'Respuestas de formulario 1'!D2953</f>
        <v/>
      </c>
      <c r="F312" s="7" t="str">
        <f>'Respuestas de formulario 1'!E2953</f>
        <v/>
      </c>
      <c r="G312" s="7" t="str">
        <f>'Respuestas de formulario 1'!F2953</f>
        <v/>
      </c>
      <c r="H312" s="7" t="str">
        <f>'Respuestas de formulario 1'!G2953</f>
        <v/>
      </c>
      <c r="I312" s="7" t="str">
        <f>'Respuestas de formulario 1'!H2953</f>
        <v/>
      </c>
      <c r="J312" s="7" t="str">
        <f>'Respuestas de formulario 1'!I2953</f>
        <v/>
      </c>
      <c r="K312" s="7" t="str">
        <f>'Respuestas de formulario 1'!J2953</f>
        <v/>
      </c>
    </row>
    <row r="313">
      <c r="A313" s="7">
        <f t="shared" si="1"/>
        <v>313</v>
      </c>
      <c r="B313" s="7" t="str">
        <f>'Respuestas de formulario 1'!A2954</f>
        <v/>
      </c>
      <c r="C313" s="7" t="str">
        <f>'Respuestas de formulario 1'!B2954</f>
        <v/>
      </c>
      <c r="D313" s="7" t="str">
        <f>'Respuestas de formulario 1'!C2954</f>
        <v/>
      </c>
      <c r="E313" s="7" t="str">
        <f>'Respuestas de formulario 1'!D2954</f>
        <v/>
      </c>
      <c r="F313" s="7" t="str">
        <f>'Respuestas de formulario 1'!E2954</f>
        <v/>
      </c>
      <c r="G313" s="7" t="str">
        <f>'Respuestas de formulario 1'!F2954</f>
        <v/>
      </c>
      <c r="H313" s="7" t="str">
        <f>'Respuestas de formulario 1'!G2954</f>
        <v/>
      </c>
      <c r="I313" s="7" t="str">
        <f>'Respuestas de formulario 1'!H2954</f>
        <v/>
      </c>
      <c r="J313" s="7" t="str">
        <f>'Respuestas de formulario 1'!I2954</f>
        <v/>
      </c>
      <c r="K313" s="7" t="str">
        <f>'Respuestas de formulario 1'!J2954</f>
        <v/>
      </c>
    </row>
    <row r="314">
      <c r="A314" s="7">
        <f t="shared" si="1"/>
        <v>314</v>
      </c>
      <c r="B314" s="7" t="str">
        <f>'Respuestas de formulario 1'!A2955</f>
        <v/>
      </c>
      <c r="C314" s="7" t="str">
        <f>'Respuestas de formulario 1'!B2955</f>
        <v/>
      </c>
      <c r="D314" s="7" t="str">
        <f>'Respuestas de formulario 1'!C2955</f>
        <v/>
      </c>
      <c r="E314" s="7" t="str">
        <f>'Respuestas de formulario 1'!D2955</f>
        <v/>
      </c>
      <c r="F314" s="7" t="str">
        <f>'Respuestas de formulario 1'!E2955</f>
        <v/>
      </c>
      <c r="G314" s="7" t="str">
        <f>'Respuestas de formulario 1'!F2955</f>
        <v/>
      </c>
      <c r="H314" s="7" t="str">
        <f>'Respuestas de formulario 1'!G2955</f>
        <v/>
      </c>
      <c r="I314" s="7" t="str">
        <f>'Respuestas de formulario 1'!H2955</f>
        <v/>
      </c>
      <c r="J314" s="7" t="str">
        <f>'Respuestas de formulario 1'!I2955</f>
        <v/>
      </c>
      <c r="K314" s="7" t="str">
        <f>'Respuestas de formulario 1'!J2955</f>
        <v/>
      </c>
    </row>
    <row r="315">
      <c r="A315" s="7">
        <f t="shared" si="1"/>
        <v>315</v>
      </c>
      <c r="B315" s="7" t="str">
        <f>'Respuestas de formulario 1'!A2956</f>
        <v/>
      </c>
      <c r="C315" s="7" t="str">
        <f>'Respuestas de formulario 1'!B2956</f>
        <v/>
      </c>
      <c r="D315" s="7" t="str">
        <f>'Respuestas de formulario 1'!C2956</f>
        <v/>
      </c>
      <c r="E315" s="7" t="str">
        <f>'Respuestas de formulario 1'!D2956</f>
        <v/>
      </c>
      <c r="F315" s="7" t="str">
        <f>'Respuestas de formulario 1'!E2956</f>
        <v/>
      </c>
      <c r="G315" s="7" t="str">
        <f>'Respuestas de formulario 1'!F2956</f>
        <v/>
      </c>
      <c r="H315" s="7" t="str">
        <f>'Respuestas de formulario 1'!G2956</f>
        <v/>
      </c>
      <c r="I315" s="7" t="str">
        <f>'Respuestas de formulario 1'!H2956</f>
        <v/>
      </c>
      <c r="J315" s="7" t="str">
        <f>'Respuestas de formulario 1'!I2956</f>
        <v/>
      </c>
      <c r="K315" s="7" t="str">
        <f>'Respuestas de formulario 1'!J2956</f>
        <v/>
      </c>
    </row>
    <row r="316">
      <c r="A316" s="7">
        <f t="shared" si="1"/>
        <v>316</v>
      </c>
      <c r="B316" s="7" t="str">
        <f>'Respuestas de formulario 1'!A2957</f>
        <v/>
      </c>
      <c r="C316" s="7" t="str">
        <f>'Respuestas de formulario 1'!B2957</f>
        <v/>
      </c>
      <c r="D316" s="7" t="str">
        <f>'Respuestas de formulario 1'!C2957</f>
        <v/>
      </c>
      <c r="E316" s="7" t="str">
        <f>'Respuestas de formulario 1'!D2957</f>
        <v/>
      </c>
      <c r="F316" s="7" t="str">
        <f>'Respuestas de formulario 1'!E2957</f>
        <v/>
      </c>
      <c r="G316" s="7" t="str">
        <f>'Respuestas de formulario 1'!F2957</f>
        <v/>
      </c>
      <c r="H316" s="7" t="str">
        <f>'Respuestas de formulario 1'!G2957</f>
        <v/>
      </c>
      <c r="I316" s="7" t="str">
        <f>'Respuestas de formulario 1'!H2957</f>
        <v/>
      </c>
      <c r="J316" s="7" t="str">
        <f>'Respuestas de formulario 1'!I2957</f>
        <v/>
      </c>
      <c r="K316" s="7" t="str">
        <f>'Respuestas de formulario 1'!J2957</f>
        <v/>
      </c>
    </row>
    <row r="317">
      <c r="A317" s="7">
        <f t="shared" si="1"/>
        <v>317</v>
      </c>
      <c r="B317" s="7" t="str">
        <f>'Respuestas de formulario 1'!A2958</f>
        <v/>
      </c>
      <c r="C317" s="7" t="str">
        <f>'Respuestas de formulario 1'!B2958</f>
        <v/>
      </c>
      <c r="D317" s="7" t="str">
        <f>'Respuestas de formulario 1'!C2958</f>
        <v/>
      </c>
      <c r="E317" s="7" t="str">
        <f>'Respuestas de formulario 1'!D2958</f>
        <v/>
      </c>
      <c r="F317" s="7" t="str">
        <f>'Respuestas de formulario 1'!E2958</f>
        <v/>
      </c>
      <c r="G317" s="7" t="str">
        <f>'Respuestas de formulario 1'!F2958</f>
        <v/>
      </c>
      <c r="H317" s="7" t="str">
        <f>'Respuestas de formulario 1'!G2958</f>
        <v/>
      </c>
      <c r="I317" s="7" t="str">
        <f>'Respuestas de formulario 1'!H2958</f>
        <v/>
      </c>
      <c r="J317" s="7" t="str">
        <f>'Respuestas de formulario 1'!I2958</f>
        <v/>
      </c>
      <c r="K317" s="7" t="str">
        <f>'Respuestas de formulario 1'!J2958</f>
        <v/>
      </c>
    </row>
    <row r="318">
      <c r="A318" s="7">
        <f t="shared" si="1"/>
        <v>318</v>
      </c>
      <c r="B318" s="7" t="str">
        <f>'Respuestas de formulario 1'!A2959</f>
        <v/>
      </c>
      <c r="C318" s="7" t="str">
        <f>'Respuestas de formulario 1'!B2959</f>
        <v/>
      </c>
      <c r="D318" s="7" t="str">
        <f>'Respuestas de formulario 1'!C2959</f>
        <v/>
      </c>
      <c r="E318" s="7" t="str">
        <f>'Respuestas de formulario 1'!D2959</f>
        <v/>
      </c>
      <c r="F318" s="7" t="str">
        <f>'Respuestas de formulario 1'!E2959</f>
        <v/>
      </c>
      <c r="G318" s="7" t="str">
        <f>'Respuestas de formulario 1'!F2959</f>
        <v/>
      </c>
      <c r="H318" s="7" t="str">
        <f>'Respuestas de formulario 1'!G2959</f>
        <v/>
      </c>
      <c r="I318" s="7" t="str">
        <f>'Respuestas de formulario 1'!H2959</f>
        <v/>
      </c>
      <c r="J318" s="7" t="str">
        <f>'Respuestas de formulario 1'!I2959</f>
        <v/>
      </c>
      <c r="K318" s="7" t="str">
        <f>'Respuestas de formulario 1'!J2959</f>
        <v/>
      </c>
    </row>
    <row r="319">
      <c r="A319" s="7">
        <f t="shared" si="1"/>
        <v>319</v>
      </c>
      <c r="B319" s="7" t="str">
        <f>'Respuestas de formulario 1'!A2960</f>
        <v/>
      </c>
      <c r="C319" s="7" t="str">
        <f>'Respuestas de formulario 1'!B2960</f>
        <v/>
      </c>
      <c r="D319" s="7" t="str">
        <f>'Respuestas de formulario 1'!C2960</f>
        <v/>
      </c>
      <c r="E319" s="7" t="str">
        <f>'Respuestas de formulario 1'!D2960</f>
        <v/>
      </c>
      <c r="F319" s="7" t="str">
        <f>'Respuestas de formulario 1'!E2960</f>
        <v/>
      </c>
      <c r="G319" s="7" t="str">
        <f>'Respuestas de formulario 1'!F2960</f>
        <v/>
      </c>
      <c r="H319" s="7" t="str">
        <f>'Respuestas de formulario 1'!G2960</f>
        <v/>
      </c>
      <c r="I319" s="7" t="str">
        <f>'Respuestas de formulario 1'!H2960</f>
        <v/>
      </c>
      <c r="J319" s="7" t="str">
        <f>'Respuestas de formulario 1'!I2960</f>
        <v/>
      </c>
      <c r="K319" s="7" t="str">
        <f>'Respuestas de formulario 1'!J2960</f>
        <v/>
      </c>
    </row>
    <row r="320">
      <c r="A320" s="7">
        <f t="shared" si="1"/>
        <v>320</v>
      </c>
      <c r="B320" s="7" t="str">
        <f>'Respuestas de formulario 1'!A2961</f>
        <v/>
      </c>
      <c r="C320" s="7" t="str">
        <f>'Respuestas de formulario 1'!B2961</f>
        <v/>
      </c>
      <c r="D320" s="7" t="str">
        <f>'Respuestas de formulario 1'!C2961</f>
        <v/>
      </c>
      <c r="E320" s="7" t="str">
        <f>'Respuestas de formulario 1'!D2961</f>
        <v/>
      </c>
      <c r="F320" s="7" t="str">
        <f>'Respuestas de formulario 1'!E2961</f>
        <v/>
      </c>
      <c r="G320" s="7" t="str">
        <f>'Respuestas de formulario 1'!F2961</f>
        <v/>
      </c>
      <c r="H320" s="7" t="str">
        <f>'Respuestas de formulario 1'!G2961</f>
        <v/>
      </c>
      <c r="I320" s="7" t="str">
        <f>'Respuestas de formulario 1'!H2961</f>
        <v/>
      </c>
      <c r="J320" s="7" t="str">
        <f>'Respuestas de formulario 1'!I2961</f>
        <v/>
      </c>
      <c r="K320" s="7" t="str">
        <f>'Respuestas de formulario 1'!J2961</f>
        <v/>
      </c>
    </row>
    <row r="321">
      <c r="A321" s="7">
        <f t="shared" si="1"/>
        <v>321</v>
      </c>
      <c r="B321" s="7" t="str">
        <f>'Respuestas de formulario 1'!A2962</f>
        <v/>
      </c>
      <c r="C321" s="7" t="str">
        <f>'Respuestas de formulario 1'!B2962</f>
        <v/>
      </c>
      <c r="D321" s="7" t="str">
        <f>'Respuestas de formulario 1'!C2962</f>
        <v/>
      </c>
      <c r="E321" s="7" t="str">
        <f>'Respuestas de formulario 1'!D2962</f>
        <v/>
      </c>
      <c r="F321" s="7" t="str">
        <f>'Respuestas de formulario 1'!E2962</f>
        <v/>
      </c>
      <c r="G321" s="7" t="str">
        <f>'Respuestas de formulario 1'!F2962</f>
        <v/>
      </c>
      <c r="H321" s="7" t="str">
        <f>'Respuestas de formulario 1'!G2962</f>
        <v/>
      </c>
      <c r="I321" s="7" t="str">
        <f>'Respuestas de formulario 1'!H2962</f>
        <v/>
      </c>
      <c r="J321" s="7" t="str">
        <f>'Respuestas de formulario 1'!I2962</f>
        <v/>
      </c>
      <c r="K321" s="7" t="str">
        <f>'Respuestas de formulario 1'!J2962</f>
        <v/>
      </c>
    </row>
    <row r="322">
      <c r="A322" s="7">
        <f t="shared" si="1"/>
        <v>322</v>
      </c>
      <c r="B322" s="7" t="str">
        <f>'Respuestas de formulario 1'!A2963</f>
        <v/>
      </c>
      <c r="C322" s="7" t="str">
        <f>'Respuestas de formulario 1'!B2963</f>
        <v/>
      </c>
      <c r="D322" s="7" t="str">
        <f>'Respuestas de formulario 1'!C2963</f>
        <v/>
      </c>
      <c r="E322" s="7" t="str">
        <f>'Respuestas de formulario 1'!D2963</f>
        <v/>
      </c>
      <c r="F322" s="7" t="str">
        <f>'Respuestas de formulario 1'!E2963</f>
        <v/>
      </c>
      <c r="G322" s="7" t="str">
        <f>'Respuestas de formulario 1'!F2963</f>
        <v/>
      </c>
      <c r="H322" s="7" t="str">
        <f>'Respuestas de formulario 1'!G2963</f>
        <v/>
      </c>
      <c r="I322" s="7" t="str">
        <f>'Respuestas de formulario 1'!H2963</f>
        <v/>
      </c>
      <c r="J322" s="7" t="str">
        <f>'Respuestas de formulario 1'!I2963</f>
        <v/>
      </c>
      <c r="K322" s="7" t="str">
        <f>'Respuestas de formulario 1'!J2963</f>
        <v/>
      </c>
    </row>
    <row r="323">
      <c r="A323" s="7">
        <f t="shared" si="1"/>
        <v>323</v>
      </c>
      <c r="B323" s="7" t="str">
        <f>'Respuestas de formulario 1'!A2964</f>
        <v/>
      </c>
      <c r="C323" s="7" t="str">
        <f>'Respuestas de formulario 1'!B2964</f>
        <v/>
      </c>
      <c r="D323" s="7" t="str">
        <f>'Respuestas de formulario 1'!C2964</f>
        <v/>
      </c>
      <c r="E323" s="7" t="str">
        <f>'Respuestas de formulario 1'!D2964</f>
        <v/>
      </c>
      <c r="F323" s="7" t="str">
        <f>'Respuestas de formulario 1'!E2964</f>
        <v/>
      </c>
      <c r="G323" s="7" t="str">
        <f>'Respuestas de formulario 1'!F2964</f>
        <v/>
      </c>
      <c r="H323" s="7" t="str">
        <f>'Respuestas de formulario 1'!G2964</f>
        <v/>
      </c>
      <c r="I323" s="7" t="str">
        <f>'Respuestas de formulario 1'!H2964</f>
        <v/>
      </c>
      <c r="J323" s="7" t="str">
        <f>'Respuestas de formulario 1'!I2964</f>
        <v/>
      </c>
      <c r="K323" s="7" t="str">
        <f>'Respuestas de formulario 1'!J2964</f>
        <v/>
      </c>
    </row>
    <row r="324">
      <c r="A324" s="7">
        <f t="shared" si="1"/>
        <v>324</v>
      </c>
      <c r="B324" s="7" t="str">
        <f>'Respuestas de formulario 1'!A2965</f>
        <v/>
      </c>
      <c r="C324" s="7" t="str">
        <f>'Respuestas de formulario 1'!B2965</f>
        <v/>
      </c>
      <c r="D324" s="7" t="str">
        <f>'Respuestas de formulario 1'!C2965</f>
        <v/>
      </c>
      <c r="E324" s="7" t="str">
        <f>'Respuestas de formulario 1'!D2965</f>
        <v/>
      </c>
      <c r="F324" s="7" t="str">
        <f>'Respuestas de formulario 1'!E2965</f>
        <v/>
      </c>
      <c r="G324" s="7" t="str">
        <f>'Respuestas de formulario 1'!F2965</f>
        <v/>
      </c>
      <c r="H324" s="7" t="str">
        <f>'Respuestas de formulario 1'!G2965</f>
        <v/>
      </c>
      <c r="I324" s="7" t="str">
        <f>'Respuestas de formulario 1'!H2965</f>
        <v/>
      </c>
      <c r="J324" s="7" t="str">
        <f>'Respuestas de formulario 1'!I2965</f>
        <v/>
      </c>
      <c r="K324" s="7" t="str">
        <f>'Respuestas de formulario 1'!J2965</f>
        <v/>
      </c>
    </row>
    <row r="325">
      <c r="A325" s="7">
        <f t="shared" si="1"/>
        <v>325</v>
      </c>
      <c r="B325" s="7" t="str">
        <f>'Respuestas de formulario 1'!A2966</f>
        <v/>
      </c>
      <c r="C325" s="7" t="str">
        <f>'Respuestas de formulario 1'!B2966</f>
        <v/>
      </c>
      <c r="D325" s="7" t="str">
        <f>'Respuestas de formulario 1'!C2966</f>
        <v/>
      </c>
      <c r="E325" s="7" t="str">
        <f>'Respuestas de formulario 1'!D2966</f>
        <v/>
      </c>
      <c r="F325" s="7" t="str">
        <f>'Respuestas de formulario 1'!E2966</f>
        <v/>
      </c>
      <c r="G325" s="7" t="str">
        <f>'Respuestas de formulario 1'!F2966</f>
        <v/>
      </c>
      <c r="H325" s="7" t="str">
        <f>'Respuestas de formulario 1'!G2966</f>
        <v/>
      </c>
      <c r="I325" s="7" t="str">
        <f>'Respuestas de formulario 1'!H2966</f>
        <v/>
      </c>
      <c r="J325" s="7" t="str">
        <f>'Respuestas de formulario 1'!I2966</f>
        <v/>
      </c>
      <c r="K325" s="7" t="str">
        <f>'Respuestas de formulario 1'!J2966</f>
        <v/>
      </c>
    </row>
    <row r="326">
      <c r="A326" s="7">
        <f t="shared" si="1"/>
        <v>326</v>
      </c>
      <c r="B326" s="7" t="str">
        <f>'Respuestas de formulario 1'!A2967</f>
        <v/>
      </c>
      <c r="C326" s="7" t="str">
        <f>'Respuestas de formulario 1'!B2967</f>
        <v/>
      </c>
      <c r="D326" s="7" t="str">
        <f>'Respuestas de formulario 1'!C2967</f>
        <v/>
      </c>
      <c r="E326" s="7" t="str">
        <f>'Respuestas de formulario 1'!D2967</f>
        <v/>
      </c>
      <c r="F326" s="7" t="str">
        <f>'Respuestas de formulario 1'!E2967</f>
        <v/>
      </c>
      <c r="G326" s="7" t="str">
        <f>'Respuestas de formulario 1'!F2967</f>
        <v/>
      </c>
      <c r="H326" s="7" t="str">
        <f>'Respuestas de formulario 1'!G2967</f>
        <v/>
      </c>
      <c r="I326" s="7" t="str">
        <f>'Respuestas de formulario 1'!H2967</f>
        <v/>
      </c>
      <c r="J326" s="7" t="str">
        <f>'Respuestas de formulario 1'!I2967</f>
        <v/>
      </c>
      <c r="K326" s="7" t="str">
        <f>'Respuestas de formulario 1'!J2967</f>
        <v/>
      </c>
    </row>
    <row r="327">
      <c r="A327" s="7">
        <f t="shared" si="1"/>
        <v>327</v>
      </c>
      <c r="B327" s="7" t="str">
        <f>'Respuestas de formulario 1'!A2968</f>
        <v/>
      </c>
      <c r="C327" s="7" t="str">
        <f>'Respuestas de formulario 1'!B2968</f>
        <v/>
      </c>
      <c r="D327" s="7" t="str">
        <f>'Respuestas de formulario 1'!C2968</f>
        <v/>
      </c>
      <c r="E327" s="7" t="str">
        <f>'Respuestas de formulario 1'!D2968</f>
        <v/>
      </c>
      <c r="F327" s="7" t="str">
        <f>'Respuestas de formulario 1'!E2968</f>
        <v/>
      </c>
      <c r="G327" s="7" t="str">
        <f>'Respuestas de formulario 1'!F2968</f>
        <v/>
      </c>
      <c r="H327" s="7" t="str">
        <f>'Respuestas de formulario 1'!G2968</f>
        <v/>
      </c>
      <c r="I327" s="7" t="str">
        <f>'Respuestas de formulario 1'!H2968</f>
        <v/>
      </c>
      <c r="J327" s="7" t="str">
        <f>'Respuestas de formulario 1'!I2968</f>
        <v/>
      </c>
      <c r="K327" s="7" t="str">
        <f>'Respuestas de formulario 1'!J2968</f>
        <v/>
      </c>
    </row>
    <row r="328">
      <c r="A328" s="7">
        <f t="shared" si="1"/>
        <v>328</v>
      </c>
      <c r="B328" s="7" t="str">
        <f>'Respuestas de formulario 1'!A2969</f>
        <v/>
      </c>
      <c r="C328" s="7" t="str">
        <f>'Respuestas de formulario 1'!B2969</f>
        <v/>
      </c>
      <c r="D328" s="7" t="str">
        <f>'Respuestas de formulario 1'!C2969</f>
        <v/>
      </c>
      <c r="E328" s="7" t="str">
        <f>'Respuestas de formulario 1'!D2969</f>
        <v/>
      </c>
      <c r="F328" s="7" t="str">
        <f>'Respuestas de formulario 1'!E2969</f>
        <v/>
      </c>
      <c r="G328" s="7" t="str">
        <f>'Respuestas de formulario 1'!F2969</f>
        <v/>
      </c>
      <c r="H328" s="7" t="str">
        <f>'Respuestas de formulario 1'!G2969</f>
        <v/>
      </c>
      <c r="I328" s="7" t="str">
        <f>'Respuestas de formulario 1'!H2969</f>
        <v/>
      </c>
      <c r="J328" s="7" t="str">
        <f>'Respuestas de formulario 1'!I2969</f>
        <v/>
      </c>
      <c r="K328" s="7" t="str">
        <f>'Respuestas de formulario 1'!J2969</f>
        <v/>
      </c>
    </row>
    <row r="329">
      <c r="A329" s="7">
        <f t="shared" si="1"/>
        <v>329</v>
      </c>
      <c r="B329" s="7" t="str">
        <f>'Respuestas de formulario 1'!A2970</f>
        <v/>
      </c>
      <c r="C329" s="7" t="str">
        <f>'Respuestas de formulario 1'!B2970</f>
        <v/>
      </c>
      <c r="D329" s="7" t="str">
        <f>'Respuestas de formulario 1'!C2970</f>
        <v/>
      </c>
      <c r="E329" s="7" t="str">
        <f>'Respuestas de formulario 1'!D2970</f>
        <v/>
      </c>
      <c r="F329" s="7" t="str">
        <f>'Respuestas de formulario 1'!E2970</f>
        <v/>
      </c>
      <c r="G329" s="7" t="str">
        <f>'Respuestas de formulario 1'!F2970</f>
        <v/>
      </c>
      <c r="H329" s="7" t="str">
        <f>'Respuestas de formulario 1'!G2970</f>
        <v/>
      </c>
      <c r="I329" s="7" t="str">
        <f>'Respuestas de formulario 1'!H2970</f>
        <v/>
      </c>
      <c r="J329" s="7" t="str">
        <f>'Respuestas de formulario 1'!I2970</f>
        <v/>
      </c>
      <c r="K329" s="7" t="str">
        <f>'Respuestas de formulario 1'!J2970</f>
        <v/>
      </c>
    </row>
    <row r="330">
      <c r="A330" s="7">
        <f t="shared" si="1"/>
        <v>330</v>
      </c>
      <c r="B330" s="7" t="str">
        <f>'Respuestas de formulario 1'!A2971</f>
        <v/>
      </c>
      <c r="C330" s="7" t="str">
        <f>'Respuestas de formulario 1'!B2971</f>
        <v/>
      </c>
      <c r="D330" s="7" t="str">
        <f>'Respuestas de formulario 1'!C2971</f>
        <v/>
      </c>
      <c r="E330" s="7" t="str">
        <f>'Respuestas de formulario 1'!D2971</f>
        <v/>
      </c>
      <c r="F330" s="7" t="str">
        <f>'Respuestas de formulario 1'!E2971</f>
        <v/>
      </c>
      <c r="G330" s="7" t="str">
        <f>'Respuestas de formulario 1'!F2971</f>
        <v/>
      </c>
      <c r="H330" s="7" t="str">
        <f>'Respuestas de formulario 1'!G2971</f>
        <v/>
      </c>
      <c r="I330" s="7" t="str">
        <f>'Respuestas de formulario 1'!H2971</f>
        <v/>
      </c>
      <c r="J330" s="7" t="str">
        <f>'Respuestas de formulario 1'!I2971</f>
        <v/>
      </c>
      <c r="K330" s="7" t="str">
        <f>'Respuestas de formulario 1'!J2971</f>
        <v/>
      </c>
    </row>
    <row r="331">
      <c r="A331" s="7">
        <f t="shared" si="1"/>
        <v>331</v>
      </c>
      <c r="B331" s="7" t="str">
        <f>'Respuestas de formulario 1'!A2972</f>
        <v/>
      </c>
      <c r="C331" s="7" t="str">
        <f>'Respuestas de formulario 1'!B2972</f>
        <v/>
      </c>
      <c r="D331" s="7" t="str">
        <f>'Respuestas de formulario 1'!C2972</f>
        <v/>
      </c>
      <c r="E331" s="7" t="str">
        <f>'Respuestas de formulario 1'!D2972</f>
        <v/>
      </c>
      <c r="F331" s="7" t="str">
        <f>'Respuestas de formulario 1'!E2972</f>
        <v/>
      </c>
      <c r="G331" s="7" t="str">
        <f>'Respuestas de formulario 1'!F2972</f>
        <v/>
      </c>
      <c r="H331" s="7" t="str">
        <f>'Respuestas de formulario 1'!G2972</f>
        <v/>
      </c>
      <c r="I331" s="7" t="str">
        <f>'Respuestas de formulario 1'!H2972</f>
        <v/>
      </c>
      <c r="J331" s="7" t="str">
        <f>'Respuestas de formulario 1'!I2972</f>
        <v/>
      </c>
      <c r="K331" s="7" t="str">
        <f>'Respuestas de formulario 1'!J2972</f>
        <v/>
      </c>
    </row>
    <row r="332">
      <c r="A332" s="7">
        <f t="shared" si="1"/>
        <v>332</v>
      </c>
      <c r="B332" s="7" t="str">
        <f>'Respuestas de formulario 1'!A2973</f>
        <v/>
      </c>
      <c r="C332" s="7" t="str">
        <f>'Respuestas de formulario 1'!B2973</f>
        <v/>
      </c>
      <c r="D332" s="7" t="str">
        <f>'Respuestas de formulario 1'!C2973</f>
        <v/>
      </c>
      <c r="E332" s="7" t="str">
        <f>'Respuestas de formulario 1'!D2973</f>
        <v/>
      </c>
      <c r="F332" s="7" t="str">
        <f>'Respuestas de formulario 1'!E2973</f>
        <v/>
      </c>
      <c r="G332" s="7" t="str">
        <f>'Respuestas de formulario 1'!F2973</f>
        <v/>
      </c>
      <c r="H332" s="7" t="str">
        <f>'Respuestas de formulario 1'!G2973</f>
        <v/>
      </c>
      <c r="I332" s="7" t="str">
        <f>'Respuestas de formulario 1'!H2973</f>
        <v/>
      </c>
      <c r="J332" s="7" t="str">
        <f>'Respuestas de formulario 1'!I2973</f>
        <v/>
      </c>
      <c r="K332" s="7" t="str">
        <f>'Respuestas de formulario 1'!J2973</f>
        <v/>
      </c>
    </row>
    <row r="333">
      <c r="A333" s="7">
        <f t="shared" si="1"/>
        <v>333</v>
      </c>
      <c r="B333" s="7" t="str">
        <f>'Respuestas de formulario 1'!A2974</f>
        <v/>
      </c>
      <c r="C333" s="7" t="str">
        <f>'Respuestas de formulario 1'!B2974</f>
        <v/>
      </c>
      <c r="D333" s="7" t="str">
        <f>'Respuestas de formulario 1'!C2974</f>
        <v/>
      </c>
      <c r="E333" s="7" t="str">
        <f>'Respuestas de formulario 1'!D2974</f>
        <v/>
      </c>
      <c r="F333" s="7" t="str">
        <f>'Respuestas de formulario 1'!E2974</f>
        <v/>
      </c>
      <c r="G333" s="7" t="str">
        <f>'Respuestas de formulario 1'!F2974</f>
        <v/>
      </c>
      <c r="H333" s="7" t="str">
        <f>'Respuestas de formulario 1'!G2974</f>
        <v/>
      </c>
      <c r="I333" s="7" t="str">
        <f>'Respuestas de formulario 1'!H2974</f>
        <v/>
      </c>
      <c r="J333" s="7" t="str">
        <f>'Respuestas de formulario 1'!I2974</f>
        <v/>
      </c>
      <c r="K333" s="7" t="str">
        <f>'Respuestas de formulario 1'!J2974</f>
        <v/>
      </c>
    </row>
    <row r="334">
      <c r="A334" s="7">
        <f t="shared" si="1"/>
        <v>334</v>
      </c>
      <c r="B334" s="7" t="str">
        <f>'Respuestas de formulario 1'!A2975</f>
        <v/>
      </c>
      <c r="C334" s="7" t="str">
        <f>'Respuestas de formulario 1'!B2975</f>
        <v/>
      </c>
      <c r="D334" s="7" t="str">
        <f>'Respuestas de formulario 1'!C2975</f>
        <v/>
      </c>
      <c r="E334" s="7" t="str">
        <f>'Respuestas de formulario 1'!D2975</f>
        <v/>
      </c>
      <c r="F334" s="7" t="str">
        <f>'Respuestas de formulario 1'!E2975</f>
        <v/>
      </c>
      <c r="G334" s="7" t="str">
        <f>'Respuestas de formulario 1'!F2975</f>
        <v/>
      </c>
      <c r="H334" s="7" t="str">
        <f>'Respuestas de formulario 1'!G2975</f>
        <v/>
      </c>
      <c r="I334" s="7" t="str">
        <f>'Respuestas de formulario 1'!H2975</f>
        <v/>
      </c>
      <c r="J334" s="7" t="str">
        <f>'Respuestas de formulario 1'!I2975</f>
        <v/>
      </c>
      <c r="K334" s="7" t="str">
        <f>'Respuestas de formulario 1'!J2975</f>
        <v/>
      </c>
    </row>
    <row r="335">
      <c r="A335" s="7">
        <f t="shared" si="1"/>
        <v>335</v>
      </c>
      <c r="B335" s="7" t="str">
        <f>'Respuestas de formulario 1'!A2976</f>
        <v/>
      </c>
      <c r="C335" s="7" t="str">
        <f>'Respuestas de formulario 1'!B2976</f>
        <v/>
      </c>
      <c r="D335" s="7" t="str">
        <f>'Respuestas de formulario 1'!C2976</f>
        <v/>
      </c>
      <c r="E335" s="7" t="str">
        <f>'Respuestas de formulario 1'!D2976</f>
        <v/>
      </c>
      <c r="F335" s="7" t="str">
        <f>'Respuestas de formulario 1'!E2976</f>
        <v/>
      </c>
      <c r="G335" s="7" t="str">
        <f>'Respuestas de formulario 1'!F2976</f>
        <v/>
      </c>
      <c r="H335" s="7" t="str">
        <f>'Respuestas de formulario 1'!G2976</f>
        <v/>
      </c>
      <c r="I335" s="7" t="str">
        <f>'Respuestas de formulario 1'!H2976</f>
        <v/>
      </c>
      <c r="J335" s="7" t="str">
        <f>'Respuestas de formulario 1'!I2976</f>
        <v/>
      </c>
      <c r="K335" s="7" t="str">
        <f>'Respuestas de formulario 1'!J2976</f>
        <v/>
      </c>
    </row>
    <row r="336">
      <c r="A336" s="7">
        <f t="shared" si="1"/>
        <v>336</v>
      </c>
      <c r="B336" s="7" t="str">
        <f>'Respuestas de formulario 1'!A2977</f>
        <v/>
      </c>
      <c r="C336" s="7" t="str">
        <f>'Respuestas de formulario 1'!B2977</f>
        <v/>
      </c>
      <c r="D336" s="7" t="str">
        <f>'Respuestas de formulario 1'!C2977</f>
        <v/>
      </c>
      <c r="E336" s="7" t="str">
        <f>'Respuestas de formulario 1'!D2977</f>
        <v/>
      </c>
      <c r="F336" s="7" t="str">
        <f>'Respuestas de formulario 1'!E2977</f>
        <v/>
      </c>
      <c r="G336" s="7" t="str">
        <f>'Respuestas de formulario 1'!F2977</f>
        <v/>
      </c>
      <c r="H336" s="7" t="str">
        <f>'Respuestas de formulario 1'!G2977</f>
        <v/>
      </c>
      <c r="I336" s="7" t="str">
        <f>'Respuestas de formulario 1'!H2977</f>
        <v/>
      </c>
      <c r="J336" s="7" t="str">
        <f>'Respuestas de formulario 1'!I2977</f>
        <v/>
      </c>
      <c r="K336" s="7" t="str">
        <f>'Respuestas de formulario 1'!J2977</f>
        <v/>
      </c>
    </row>
    <row r="337">
      <c r="A337" s="7">
        <f t="shared" si="1"/>
        <v>337</v>
      </c>
      <c r="B337" s="7" t="str">
        <f>'Respuestas de formulario 1'!A2978</f>
        <v/>
      </c>
      <c r="C337" s="7" t="str">
        <f>'Respuestas de formulario 1'!B2978</f>
        <v/>
      </c>
      <c r="D337" s="7" t="str">
        <f>'Respuestas de formulario 1'!C2978</f>
        <v/>
      </c>
      <c r="E337" s="7" t="str">
        <f>'Respuestas de formulario 1'!D2978</f>
        <v/>
      </c>
      <c r="F337" s="7" t="str">
        <f>'Respuestas de formulario 1'!E2978</f>
        <v/>
      </c>
      <c r="G337" s="7" t="str">
        <f>'Respuestas de formulario 1'!F2978</f>
        <v/>
      </c>
      <c r="H337" s="7" t="str">
        <f>'Respuestas de formulario 1'!G2978</f>
        <v/>
      </c>
      <c r="I337" s="7" t="str">
        <f>'Respuestas de formulario 1'!H2978</f>
        <v/>
      </c>
      <c r="J337" s="7" t="str">
        <f>'Respuestas de formulario 1'!I2978</f>
        <v/>
      </c>
      <c r="K337" s="7" t="str">
        <f>'Respuestas de formulario 1'!J2978</f>
        <v/>
      </c>
    </row>
    <row r="338">
      <c r="A338" s="7">
        <f t="shared" si="1"/>
        <v>338</v>
      </c>
      <c r="B338" s="7" t="str">
        <f>'Respuestas de formulario 1'!A2979</f>
        <v/>
      </c>
      <c r="C338" s="7" t="str">
        <f>'Respuestas de formulario 1'!B2979</f>
        <v/>
      </c>
      <c r="D338" s="7" t="str">
        <f>'Respuestas de formulario 1'!C2979</f>
        <v/>
      </c>
      <c r="E338" s="7" t="str">
        <f>'Respuestas de formulario 1'!D2979</f>
        <v/>
      </c>
      <c r="F338" s="7" t="str">
        <f>'Respuestas de formulario 1'!E2979</f>
        <v/>
      </c>
      <c r="G338" s="7" t="str">
        <f>'Respuestas de formulario 1'!F2979</f>
        <v/>
      </c>
      <c r="H338" s="7" t="str">
        <f>'Respuestas de formulario 1'!G2979</f>
        <v/>
      </c>
      <c r="I338" s="7" t="str">
        <f>'Respuestas de formulario 1'!H2979</f>
        <v/>
      </c>
      <c r="J338" s="7" t="str">
        <f>'Respuestas de formulario 1'!I2979</f>
        <v/>
      </c>
      <c r="K338" s="7" t="str">
        <f>'Respuestas de formulario 1'!J2979</f>
        <v/>
      </c>
    </row>
    <row r="339">
      <c r="A339" s="7">
        <f t="shared" si="1"/>
        <v>339</v>
      </c>
      <c r="B339" s="7" t="str">
        <f>'Respuestas de formulario 1'!A2980</f>
        <v/>
      </c>
      <c r="C339" s="7" t="str">
        <f>'Respuestas de formulario 1'!B2980</f>
        <v/>
      </c>
      <c r="D339" s="7" t="str">
        <f>'Respuestas de formulario 1'!C2980</f>
        <v/>
      </c>
      <c r="E339" s="7" t="str">
        <f>'Respuestas de formulario 1'!D2980</f>
        <v/>
      </c>
      <c r="F339" s="7" t="str">
        <f>'Respuestas de formulario 1'!E2980</f>
        <v/>
      </c>
      <c r="G339" s="7" t="str">
        <f>'Respuestas de formulario 1'!F2980</f>
        <v/>
      </c>
      <c r="H339" s="7" t="str">
        <f>'Respuestas de formulario 1'!G2980</f>
        <v/>
      </c>
      <c r="I339" s="7" t="str">
        <f>'Respuestas de formulario 1'!H2980</f>
        <v/>
      </c>
      <c r="J339" s="7" t="str">
        <f>'Respuestas de formulario 1'!I2980</f>
        <v/>
      </c>
      <c r="K339" s="7" t="str">
        <f>'Respuestas de formulario 1'!J2980</f>
        <v/>
      </c>
    </row>
    <row r="340">
      <c r="A340" s="7">
        <f t="shared" si="1"/>
        <v>340</v>
      </c>
      <c r="B340" s="7" t="str">
        <f>'Respuestas de formulario 1'!A2981</f>
        <v/>
      </c>
      <c r="C340" s="7" t="str">
        <f>'Respuestas de formulario 1'!B2981</f>
        <v/>
      </c>
      <c r="D340" s="7" t="str">
        <f>'Respuestas de formulario 1'!C2981</f>
        <v/>
      </c>
      <c r="E340" s="7" t="str">
        <f>'Respuestas de formulario 1'!D2981</f>
        <v/>
      </c>
      <c r="F340" s="7" t="str">
        <f>'Respuestas de formulario 1'!E2981</f>
        <v/>
      </c>
      <c r="G340" s="7" t="str">
        <f>'Respuestas de formulario 1'!F2981</f>
        <v/>
      </c>
      <c r="H340" s="7" t="str">
        <f>'Respuestas de formulario 1'!G2981</f>
        <v/>
      </c>
      <c r="I340" s="7" t="str">
        <f>'Respuestas de formulario 1'!H2981</f>
        <v/>
      </c>
      <c r="J340" s="7" t="str">
        <f>'Respuestas de formulario 1'!I2981</f>
        <v/>
      </c>
      <c r="K340" s="7" t="str">
        <f>'Respuestas de formulario 1'!J2981</f>
        <v/>
      </c>
    </row>
    <row r="341">
      <c r="A341" s="7">
        <f t="shared" si="1"/>
        <v>341</v>
      </c>
      <c r="B341" s="7" t="str">
        <f>'Respuestas de formulario 1'!A2982</f>
        <v/>
      </c>
      <c r="C341" s="7" t="str">
        <f>'Respuestas de formulario 1'!B2982</f>
        <v/>
      </c>
      <c r="D341" s="7" t="str">
        <f>'Respuestas de formulario 1'!C2982</f>
        <v/>
      </c>
      <c r="E341" s="7" t="str">
        <f>'Respuestas de formulario 1'!D2982</f>
        <v/>
      </c>
      <c r="F341" s="7" t="str">
        <f>'Respuestas de formulario 1'!E2982</f>
        <v/>
      </c>
      <c r="G341" s="7" t="str">
        <f>'Respuestas de formulario 1'!F2982</f>
        <v/>
      </c>
      <c r="H341" s="7" t="str">
        <f>'Respuestas de formulario 1'!G2982</f>
        <v/>
      </c>
      <c r="I341" s="7" t="str">
        <f>'Respuestas de formulario 1'!H2982</f>
        <v/>
      </c>
      <c r="J341" s="7" t="str">
        <f>'Respuestas de formulario 1'!I2982</f>
        <v/>
      </c>
      <c r="K341" s="7" t="str">
        <f>'Respuestas de formulario 1'!J2982</f>
        <v/>
      </c>
    </row>
    <row r="342">
      <c r="A342" s="7">
        <f t="shared" si="1"/>
        <v>342</v>
      </c>
      <c r="B342" s="7" t="str">
        <f>'Respuestas de formulario 1'!A2983</f>
        <v/>
      </c>
      <c r="C342" s="7" t="str">
        <f>'Respuestas de formulario 1'!B2983</f>
        <v/>
      </c>
      <c r="D342" s="7" t="str">
        <f>'Respuestas de formulario 1'!C2983</f>
        <v/>
      </c>
      <c r="E342" s="7" t="str">
        <f>'Respuestas de formulario 1'!D2983</f>
        <v/>
      </c>
      <c r="F342" s="7" t="str">
        <f>'Respuestas de formulario 1'!E2983</f>
        <v/>
      </c>
      <c r="G342" s="7" t="str">
        <f>'Respuestas de formulario 1'!F2983</f>
        <v/>
      </c>
      <c r="H342" s="7" t="str">
        <f>'Respuestas de formulario 1'!G2983</f>
        <v/>
      </c>
      <c r="I342" s="7" t="str">
        <f>'Respuestas de formulario 1'!H2983</f>
        <v/>
      </c>
      <c r="J342" s="7" t="str">
        <f>'Respuestas de formulario 1'!I2983</f>
        <v/>
      </c>
      <c r="K342" s="7" t="str">
        <f>'Respuestas de formulario 1'!J2983</f>
        <v/>
      </c>
    </row>
    <row r="343">
      <c r="A343" s="7">
        <f t="shared" si="1"/>
        <v>343</v>
      </c>
      <c r="B343" s="7" t="str">
        <f>'Respuestas de formulario 1'!A2984</f>
        <v/>
      </c>
      <c r="C343" s="7" t="str">
        <f>'Respuestas de formulario 1'!B2984</f>
        <v/>
      </c>
      <c r="D343" s="7" t="str">
        <f>'Respuestas de formulario 1'!C2984</f>
        <v/>
      </c>
      <c r="E343" s="7" t="str">
        <f>'Respuestas de formulario 1'!D2984</f>
        <v/>
      </c>
      <c r="F343" s="7" t="str">
        <f>'Respuestas de formulario 1'!E2984</f>
        <v/>
      </c>
      <c r="G343" s="7" t="str">
        <f>'Respuestas de formulario 1'!F2984</f>
        <v/>
      </c>
      <c r="H343" s="7" t="str">
        <f>'Respuestas de formulario 1'!G2984</f>
        <v/>
      </c>
      <c r="I343" s="7" t="str">
        <f>'Respuestas de formulario 1'!H2984</f>
        <v/>
      </c>
      <c r="J343" s="7" t="str">
        <f>'Respuestas de formulario 1'!I2984</f>
        <v/>
      </c>
      <c r="K343" s="7" t="str">
        <f>'Respuestas de formulario 1'!J2984</f>
        <v/>
      </c>
    </row>
    <row r="344">
      <c r="A344" s="7">
        <f t="shared" si="1"/>
        <v>344</v>
      </c>
      <c r="B344" s="7" t="str">
        <f>'Respuestas de formulario 1'!A2985</f>
        <v/>
      </c>
      <c r="C344" s="7" t="str">
        <f>'Respuestas de formulario 1'!B2985</f>
        <v/>
      </c>
      <c r="D344" s="7" t="str">
        <f>'Respuestas de formulario 1'!C2985</f>
        <v/>
      </c>
      <c r="E344" s="7" t="str">
        <f>'Respuestas de formulario 1'!D2985</f>
        <v/>
      </c>
      <c r="F344" s="7" t="str">
        <f>'Respuestas de formulario 1'!E2985</f>
        <v/>
      </c>
      <c r="G344" s="7" t="str">
        <f>'Respuestas de formulario 1'!F2985</f>
        <v/>
      </c>
      <c r="H344" s="7" t="str">
        <f>'Respuestas de formulario 1'!G2985</f>
        <v/>
      </c>
      <c r="I344" s="7" t="str">
        <f>'Respuestas de formulario 1'!H2985</f>
        <v/>
      </c>
      <c r="J344" s="7" t="str">
        <f>'Respuestas de formulario 1'!I2985</f>
        <v/>
      </c>
      <c r="K344" s="7" t="str">
        <f>'Respuestas de formulario 1'!J2985</f>
        <v/>
      </c>
    </row>
    <row r="345">
      <c r="A345" s="7">
        <f t="shared" si="1"/>
        <v>345</v>
      </c>
      <c r="B345" s="7" t="str">
        <f>'Respuestas de formulario 1'!A2986</f>
        <v/>
      </c>
      <c r="C345" s="7" t="str">
        <f>'Respuestas de formulario 1'!B2986</f>
        <v/>
      </c>
      <c r="D345" s="7" t="str">
        <f>'Respuestas de formulario 1'!C2986</f>
        <v/>
      </c>
      <c r="E345" s="7" t="str">
        <f>'Respuestas de formulario 1'!D2986</f>
        <v/>
      </c>
      <c r="F345" s="7" t="str">
        <f>'Respuestas de formulario 1'!E2986</f>
        <v/>
      </c>
      <c r="G345" s="7" t="str">
        <f>'Respuestas de formulario 1'!F2986</f>
        <v/>
      </c>
      <c r="H345" s="7" t="str">
        <f>'Respuestas de formulario 1'!G2986</f>
        <v/>
      </c>
      <c r="I345" s="7" t="str">
        <f>'Respuestas de formulario 1'!H2986</f>
        <v/>
      </c>
      <c r="J345" s="7" t="str">
        <f>'Respuestas de formulario 1'!I2986</f>
        <v/>
      </c>
      <c r="K345" s="7" t="str">
        <f>'Respuestas de formulario 1'!J2986</f>
        <v/>
      </c>
    </row>
    <row r="346">
      <c r="A346" s="7">
        <f t="shared" si="1"/>
        <v>346</v>
      </c>
      <c r="B346" s="7" t="str">
        <f>'Respuestas de formulario 1'!A2987</f>
        <v/>
      </c>
      <c r="C346" s="7" t="str">
        <f>'Respuestas de formulario 1'!B2987</f>
        <v/>
      </c>
      <c r="D346" s="7" t="str">
        <f>'Respuestas de formulario 1'!C2987</f>
        <v/>
      </c>
      <c r="E346" s="7" t="str">
        <f>'Respuestas de formulario 1'!D2987</f>
        <v/>
      </c>
      <c r="F346" s="7" t="str">
        <f>'Respuestas de formulario 1'!E2987</f>
        <v/>
      </c>
      <c r="G346" s="7" t="str">
        <f>'Respuestas de formulario 1'!F2987</f>
        <v/>
      </c>
      <c r="H346" s="7" t="str">
        <f>'Respuestas de formulario 1'!G2987</f>
        <v/>
      </c>
      <c r="I346" s="7" t="str">
        <f>'Respuestas de formulario 1'!H2987</f>
        <v/>
      </c>
      <c r="J346" s="7" t="str">
        <f>'Respuestas de formulario 1'!I2987</f>
        <v/>
      </c>
      <c r="K346" s="7" t="str">
        <f>'Respuestas de formulario 1'!J2987</f>
        <v/>
      </c>
    </row>
    <row r="347">
      <c r="A347" s="7">
        <f t="shared" si="1"/>
        <v>347</v>
      </c>
      <c r="B347" s="7" t="str">
        <f>'Respuestas de formulario 1'!A2988</f>
        <v/>
      </c>
      <c r="C347" s="7" t="str">
        <f>'Respuestas de formulario 1'!B2988</f>
        <v/>
      </c>
      <c r="D347" s="7" t="str">
        <f>'Respuestas de formulario 1'!C2988</f>
        <v/>
      </c>
      <c r="E347" s="7" t="str">
        <f>'Respuestas de formulario 1'!D2988</f>
        <v/>
      </c>
      <c r="F347" s="7" t="str">
        <f>'Respuestas de formulario 1'!E2988</f>
        <v/>
      </c>
      <c r="G347" s="7" t="str">
        <f>'Respuestas de formulario 1'!F2988</f>
        <v/>
      </c>
      <c r="H347" s="7" t="str">
        <f>'Respuestas de formulario 1'!G2988</f>
        <v/>
      </c>
      <c r="I347" s="7" t="str">
        <f>'Respuestas de formulario 1'!H2988</f>
        <v/>
      </c>
      <c r="J347" s="7" t="str">
        <f>'Respuestas de formulario 1'!I2988</f>
        <v/>
      </c>
      <c r="K347" s="7" t="str">
        <f>'Respuestas de formulario 1'!J2988</f>
        <v/>
      </c>
    </row>
    <row r="348">
      <c r="A348" s="7">
        <f t="shared" si="1"/>
        <v>348</v>
      </c>
      <c r="B348" s="7" t="str">
        <f>'Respuestas de formulario 1'!A2989</f>
        <v/>
      </c>
      <c r="C348" s="7" t="str">
        <f>'Respuestas de formulario 1'!B2989</f>
        <v/>
      </c>
      <c r="D348" s="7" t="str">
        <f>'Respuestas de formulario 1'!C2989</f>
        <v/>
      </c>
      <c r="E348" s="7" t="str">
        <f>'Respuestas de formulario 1'!D2989</f>
        <v/>
      </c>
      <c r="F348" s="7" t="str">
        <f>'Respuestas de formulario 1'!E2989</f>
        <v/>
      </c>
      <c r="G348" s="7" t="str">
        <f>'Respuestas de formulario 1'!F2989</f>
        <v/>
      </c>
      <c r="H348" s="7" t="str">
        <f>'Respuestas de formulario 1'!G2989</f>
        <v/>
      </c>
      <c r="I348" s="7" t="str">
        <f>'Respuestas de formulario 1'!H2989</f>
        <v/>
      </c>
      <c r="J348" s="7" t="str">
        <f>'Respuestas de formulario 1'!I2989</f>
        <v/>
      </c>
      <c r="K348" s="7" t="str">
        <f>'Respuestas de formulario 1'!J2989</f>
        <v/>
      </c>
    </row>
    <row r="349">
      <c r="A349" s="7">
        <f t="shared" si="1"/>
        <v>349</v>
      </c>
      <c r="B349" s="7" t="str">
        <f>'Respuestas de formulario 1'!A2990</f>
        <v/>
      </c>
      <c r="C349" s="7" t="str">
        <f>'Respuestas de formulario 1'!B2990</f>
        <v/>
      </c>
      <c r="D349" s="7" t="str">
        <f>'Respuestas de formulario 1'!C2990</f>
        <v/>
      </c>
      <c r="E349" s="7" t="str">
        <f>'Respuestas de formulario 1'!D2990</f>
        <v/>
      </c>
      <c r="F349" s="7" t="str">
        <f>'Respuestas de formulario 1'!E2990</f>
        <v/>
      </c>
      <c r="G349" s="7" t="str">
        <f>'Respuestas de formulario 1'!F2990</f>
        <v/>
      </c>
      <c r="H349" s="7" t="str">
        <f>'Respuestas de formulario 1'!G2990</f>
        <v/>
      </c>
      <c r="I349" s="7" t="str">
        <f>'Respuestas de formulario 1'!H2990</f>
        <v/>
      </c>
      <c r="J349" s="7" t="str">
        <f>'Respuestas de formulario 1'!I2990</f>
        <v/>
      </c>
      <c r="K349" s="7" t="str">
        <f>'Respuestas de formulario 1'!J2990</f>
        <v/>
      </c>
    </row>
    <row r="350">
      <c r="A350" s="7">
        <f t="shared" si="1"/>
        <v>350</v>
      </c>
      <c r="B350" s="7" t="str">
        <f>'Respuestas de formulario 1'!A2991</f>
        <v/>
      </c>
      <c r="C350" s="7" t="str">
        <f>'Respuestas de formulario 1'!B2991</f>
        <v/>
      </c>
      <c r="D350" s="7" t="str">
        <f>'Respuestas de formulario 1'!C2991</f>
        <v/>
      </c>
      <c r="E350" s="7" t="str">
        <f>'Respuestas de formulario 1'!D2991</f>
        <v/>
      </c>
      <c r="F350" s="7" t="str">
        <f>'Respuestas de formulario 1'!E2991</f>
        <v/>
      </c>
      <c r="G350" s="7" t="str">
        <f>'Respuestas de formulario 1'!F2991</f>
        <v/>
      </c>
      <c r="H350" s="7" t="str">
        <f>'Respuestas de formulario 1'!G2991</f>
        <v/>
      </c>
      <c r="I350" s="7" t="str">
        <f>'Respuestas de formulario 1'!H2991</f>
        <v/>
      </c>
      <c r="J350" s="7" t="str">
        <f>'Respuestas de formulario 1'!I2991</f>
        <v/>
      </c>
      <c r="K350" s="7" t="str">
        <f>'Respuestas de formulario 1'!J2991</f>
        <v/>
      </c>
    </row>
    <row r="351">
      <c r="A351" s="7">
        <f t="shared" si="1"/>
        <v>351</v>
      </c>
      <c r="B351" s="7" t="str">
        <f>'Respuestas de formulario 1'!A2992</f>
        <v/>
      </c>
      <c r="C351" s="7" t="str">
        <f>'Respuestas de formulario 1'!B2992</f>
        <v/>
      </c>
      <c r="D351" s="7" t="str">
        <f>'Respuestas de formulario 1'!C2992</f>
        <v/>
      </c>
      <c r="E351" s="7" t="str">
        <f>'Respuestas de formulario 1'!D2992</f>
        <v/>
      </c>
      <c r="F351" s="7" t="str">
        <f>'Respuestas de formulario 1'!E2992</f>
        <v/>
      </c>
      <c r="G351" s="7" t="str">
        <f>'Respuestas de formulario 1'!F2992</f>
        <v/>
      </c>
      <c r="H351" s="7" t="str">
        <f>'Respuestas de formulario 1'!G2992</f>
        <v/>
      </c>
      <c r="I351" s="7" t="str">
        <f>'Respuestas de formulario 1'!H2992</f>
        <v/>
      </c>
      <c r="J351" s="7" t="str">
        <f>'Respuestas de formulario 1'!I2992</f>
        <v/>
      </c>
      <c r="K351" s="7" t="str">
        <f>'Respuestas de formulario 1'!J2992</f>
        <v/>
      </c>
    </row>
    <row r="352">
      <c r="A352" s="7">
        <f t="shared" si="1"/>
        <v>352</v>
      </c>
      <c r="B352" s="7" t="str">
        <f>'Respuestas de formulario 1'!A2993</f>
        <v/>
      </c>
      <c r="C352" s="7" t="str">
        <f>'Respuestas de formulario 1'!B2993</f>
        <v/>
      </c>
      <c r="D352" s="7" t="str">
        <f>'Respuestas de formulario 1'!C2993</f>
        <v/>
      </c>
      <c r="E352" s="7" t="str">
        <f>'Respuestas de formulario 1'!D2993</f>
        <v/>
      </c>
      <c r="F352" s="7" t="str">
        <f>'Respuestas de formulario 1'!E2993</f>
        <v/>
      </c>
      <c r="G352" s="7" t="str">
        <f>'Respuestas de formulario 1'!F2993</f>
        <v/>
      </c>
      <c r="H352" s="7" t="str">
        <f>'Respuestas de formulario 1'!G2993</f>
        <v/>
      </c>
      <c r="I352" s="7" t="str">
        <f>'Respuestas de formulario 1'!H2993</f>
        <v/>
      </c>
      <c r="J352" s="7" t="str">
        <f>'Respuestas de formulario 1'!I2993</f>
        <v/>
      </c>
      <c r="K352" s="7" t="str">
        <f>'Respuestas de formulario 1'!J2993</f>
        <v/>
      </c>
    </row>
    <row r="353">
      <c r="A353" s="7">
        <f t="shared" si="1"/>
        <v>353</v>
      </c>
      <c r="B353" s="7" t="str">
        <f>'Respuestas de formulario 1'!A2994</f>
        <v/>
      </c>
      <c r="C353" s="7" t="str">
        <f>'Respuestas de formulario 1'!B2994</f>
        <v/>
      </c>
      <c r="D353" s="7" t="str">
        <f>'Respuestas de formulario 1'!C2994</f>
        <v/>
      </c>
      <c r="E353" s="7" t="str">
        <f>'Respuestas de formulario 1'!D2994</f>
        <v/>
      </c>
      <c r="F353" s="7" t="str">
        <f>'Respuestas de formulario 1'!E2994</f>
        <v/>
      </c>
      <c r="G353" s="7" t="str">
        <f>'Respuestas de formulario 1'!F2994</f>
        <v/>
      </c>
      <c r="H353" s="7" t="str">
        <f>'Respuestas de formulario 1'!G2994</f>
        <v/>
      </c>
      <c r="I353" s="7" t="str">
        <f>'Respuestas de formulario 1'!H2994</f>
        <v/>
      </c>
      <c r="J353" s="7" t="str">
        <f>'Respuestas de formulario 1'!I2994</f>
        <v/>
      </c>
      <c r="K353" s="7" t="str">
        <f>'Respuestas de formulario 1'!J2994</f>
        <v/>
      </c>
    </row>
    <row r="354">
      <c r="A354" s="7">
        <f t="shared" si="1"/>
        <v>354</v>
      </c>
      <c r="B354" s="7" t="str">
        <f>'Respuestas de formulario 1'!A2995</f>
        <v/>
      </c>
      <c r="C354" s="7" t="str">
        <f>'Respuestas de formulario 1'!B2995</f>
        <v/>
      </c>
      <c r="D354" s="7" t="str">
        <f>'Respuestas de formulario 1'!C2995</f>
        <v/>
      </c>
      <c r="E354" s="7" t="str">
        <f>'Respuestas de formulario 1'!D2995</f>
        <v/>
      </c>
      <c r="F354" s="7" t="str">
        <f>'Respuestas de formulario 1'!E2995</f>
        <v/>
      </c>
      <c r="G354" s="7" t="str">
        <f>'Respuestas de formulario 1'!F2995</f>
        <v/>
      </c>
      <c r="H354" s="7" t="str">
        <f>'Respuestas de formulario 1'!G2995</f>
        <v/>
      </c>
      <c r="I354" s="7" t="str">
        <f>'Respuestas de formulario 1'!H2995</f>
        <v/>
      </c>
      <c r="J354" s="7" t="str">
        <f>'Respuestas de formulario 1'!I2995</f>
        <v/>
      </c>
      <c r="K354" s="7" t="str">
        <f>'Respuestas de formulario 1'!J2995</f>
        <v/>
      </c>
    </row>
    <row r="355">
      <c r="A355" s="7">
        <f t="shared" si="1"/>
        <v>355</v>
      </c>
      <c r="B355" s="7" t="str">
        <f>'Respuestas de formulario 1'!A2996</f>
        <v/>
      </c>
      <c r="C355" s="7" t="str">
        <f>'Respuestas de formulario 1'!B2996</f>
        <v/>
      </c>
      <c r="D355" s="7" t="str">
        <f>'Respuestas de formulario 1'!C2996</f>
        <v/>
      </c>
      <c r="E355" s="7" t="str">
        <f>'Respuestas de formulario 1'!D2996</f>
        <v/>
      </c>
      <c r="F355" s="7" t="str">
        <f>'Respuestas de formulario 1'!E2996</f>
        <v/>
      </c>
      <c r="G355" s="7" t="str">
        <f>'Respuestas de formulario 1'!F2996</f>
        <v/>
      </c>
      <c r="H355" s="7" t="str">
        <f>'Respuestas de formulario 1'!G2996</f>
        <v/>
      </c>
      <c r="I355" s="7" t="str">
        <f>'Respuestas de formulario 1'!H2996</f>
        <v/>
      </c>
      <c r="J355" s="7" t="str">
        <f>'Respuestas de formulario 1'!I2996</f>
        <v/>
      </c>
      <c r="K355" s="7" t="str">
        <f>'Respuestas de formulario 1'!J2996</f>
        <v/>
      </c>
    </row>
    <row r="356">
      <c r="A356" s="7">
        <f t="shared" si="1"/>
        <v>356</v>
      </c>
      <c r="B356" s="7" t="str">
        <f>'Respuestas de formulario 1'!A2997</f>
        <v/>
      </c>
      <c r="C356" s="7" t="str">
        <f>'Respuestas de formulario 1'!B2997</f>
        <v/>
      </c>
      <c r="D356" s="7" t="str">
        <f>'Respuestas de formulario 1'!C2997</f>
        <v/>
      </c>
      <c r="E356" s="7" t="str">
        <f>'Respuestas de formulario 1'!D2997</f>
        <v/>
      </c>
      <c r="F356" s="7" t="str">
        <f>'Respuestas de formulario 1'!E2997</f>
        <v/>
      </c>
      <c r="G356" s="7" t="str">
        <f>'Respuestas de formulario 1'!F2997</f>
        <v/>
      </c>
      <c r="H356" s="7" t="str">
        <f>'Respuestas de formulario 1'!G2997</f>
        <v/>
      </c>
      <c r="I356" s="7" t="str">
        <f>'Respuestas de formulario 1'!H2997</f>
        <v/>
      </c>
      <c r="J356" s="7" t="str">
        <f>'Respuestas de formulario 1'!I2997</f>
        <v/>
      </c>
      <c r="K356" s="7" t="str">
        <f>'Respuestas de formulario 1'!J2997</f>
        <v/>
      </c>
    </row>
    <row r="357">
      <c r="A357" s="7">
        <f t="shared" si="1"/>
        <v>357</v>
      </c>
      <c r="B357" s="7" t="str">
        <f>'Respuestas de formulario 1'!A2998</f>
        <v/>
      </c>
      <c r="C357" s="7" t="str">
        <f>'Respuestas de formulario 1'!B2998</f>
        <v/>
      </c>
      <c r="D357" s="7" t="str">
        <f>'Respuestas de formulario 1'!C2998</f>
        <v/>
      </c>
      <c r="E357" s="7" t="str">
        <f>'Respuestas de formulario 1'!D2998</f>
        <v/>
      </c>
      <c r="F357" s="7" t="str">
        <f>'Respuestas de formulario 1'!E2998</f>
        <v/>
      </c>
      <c r="G357" s="7" t="str">
        <f>'Respuestas de formulario 1'!F2998</f>
        <v/>
      </c>
      <c r="H357" s="7" t="str">
        <f>'Respuestas de formulario 1'!G2998</f>
        <v/>
      </c>
      <c r="I357" s="7" t="str">
        <f>'Respuestas de formulario 1'!H2998</f>
        <v/>
      </c>
      <c r="J357" s="7" t="str">
        <f>'Respuestas de formulario 1'!I2998</f>
        <v/>
      </c>
      <c r="K357" s="7" t="str">
        <f>'Respuestas de formulario 1'!J2998</f>
        <v/>
      </c>
    </row>
    <row r="358">
      <c r="A358" s="7">
        <f t="shared" si="1"/>
        <v>358</v>
      </c>
      <c r="B358" s="7" t="str">
        <f>'Respuestas de formulario 1'!A2999</f>
        <v/>
      </c>
      <c r="C358" s="7" t="str">
        <f>'Respuestas de formulario 1'!B2999</f>
        <v/>
      </c>
      <c r="D358" s="7" t="str">
        <f>'Respuestas de formulario 1'!C2999</f>
        <v/>
      </c>
      <c r="E358" s="7" t="str">
        <f>'Respuestas de formulario 1'!D2999</f>
        <v/>
      </c>
      <c r="F358" s="7" t="str">
        <f>'Respuestas de formulario 1'!E2999</f>
        <v/>
      </c>
      <c r="G358" s="7" t="str">
        <f>'Respuestas de formulario 1'!F2999</f>
        <v/>
      </c>
      <c r="H358" s="7" t="str">
        <f>'Respuestas de formulario 1'!G2999</f>
        <v/>
      </c>
      <c r="I358" s="7" t="str">
        <f>'Respuestas de formulario 1'!H2999</f>
        <v/>
      </c>
      <c r="J358" s="7" t="str">
        <f>'Respuestas de formulario 1'!I2999</f>
        <v/>
      </c>
      <c r="K358" s="7" t="str">
        <f>'Respuestas de formulario 1'!J2999</f>
        <v/>
      </c>
    </row>
    <row r="359">
      <c r="A359" s="7">
        <f t="shared" si="1"/>
        <v>359</v>
      </c>
      <c r="B359" s="7" t="str">
        <f>'Respuestas de formulario 1'!A3000</f>
        <v/>
      </c>
      <c r="C359" s="7" t="str">
        <f>'Respuestas de formulario 1'!B3000</f>
        <v/>
      </c>
      <c r="D359" s="7" t="str">
        <f>'Respuestas de formulario 1'!C3000</f>
        <v/>
      </c>
      <c r="E359" s="7" t="str">
        <f>'Respuestas de formulario 1'!D3000</f>
        <v/>
      </c>
      <c r="F359" s="7" t="str">
        <f>'Respuestas de formulario 1'!E3000</f>
        <v/>
      </c>
      <c r="G359" s="7" t="str">
        <f>'Respuestas de formulario 1'!F3000</f>
        <v/>
      </c>
      <c r="H359" s="7" t="str">
        <f>'Respuestas de formulario 1'!G3000</f>
        <v/>
      </c>
      <c r="I359" s="7" t="str">
        <f>'Respuestas de formulario 1'!H3000</f>
        <v/>
      </c>
      <c r="J359" s="7" t="str">
        <f>'Respuestas de formulario 1'!I3000</f>
        <v/>
      </c>
      <c r="K359" s="7" t="str">
        <f>'Respuestas de formulario 1'!J3000</f>
        <v/>
      </c>
    </row>
    <row r="360">
      <c r="A360" s="7">
        <f t="shared" si="1"/>
        <v>360</v>
      </c>
      <c r="B360" s="7" t="str">
        <f>'Respuestas de formulario 1'!A3001</f>
        <v/>
      </c>
      <c r="C360" s="7" t="str">
        <f>'Respuestas de formulario 1'!B3001</f>
        <v/>
      </c>
      <c r="D360" s="7" t="str">
        <f>'Respuestas de formulario 1'!C3001</f>
        <v/>
      </c>
      <c r="E360" s="7" t="str">
        <f>'Respuestas de formulario 1'!D3001</f>
        <v/>
      </c>
      <c r="F360" s="7" t="str">
        <f>'Respuestas de formulario 1'!E3001</f>
        <v/>
      </c>
      <c r="G360" s="7" t="str">
        <f>'Respuestas de formulario 1'!F3001</f>
        <v/>
      </c>
      <c r="H360" s="7" t="str">
        <f>'Respuestas de formulario 1'!G3001</f>
        <v/>
      </c>
      <c r="I360" s="7" t="str">
        <f>'Respuestas de formulario 1'!H3001</f>
        <v/>
      </c>
      <c r="J360" s="7" t="str">
        <f>'Respuestas de formulario 1'!I3001</f>
        <v/>
      </c>
      <c r="K360" s="7" t="str">
        <f>'Respuestas de formulario 1'!J3001</f>
        <v/>
      </c>
    </row>
    <row r="361">
      <c r="A361" s="7">
        <f t="shared" si="1"/>
        <v>361</v>
      </c>
      <c r="B361" s="7" t="str">
        <f>'Respuestas de formulario 1'!A3002</f>
        <v/>
      </c>
      <c r="C361" s="7" t="str">
        <f>'Respuestas de formulario 1'!B3002</f>
        <v/>
      </c>
      <c r="D361" s="7" t="str">
        <f>'Respuestas de formulario 1'!C3002</f>
        <v/>
      </c>
      <c r="E361" s="7" t="str">
        <f>'Respuestas de formulario 1'!D3002</f>
        <v/>
      </c>
      <c r="F361" s="7" t="str">
        <f>'Respuestas de formulario 1'!E3002</f>
        <v/>
      </c>
      <c r="G361" s="7" t="str">
        <f>'Respuestas de formulario 1'!F3002</f>
        <v/>
      </c>
      <c r="H361" s="7" t="str">
        <f>'Respuestas de formulario 1'!G3002</f>
        <v/>
      </c>
      <c r="I361" s="7" t="str">
        <f>'Respuestas de formulario 1'!H3002</f>
        <v/>
      </c>
      <c r="J361" s="7" t="str">
        <f>'Respuestas de formulario 1'!I3002</f>
        <v/>
      </c>
      <c r="K361" s="7" t="str">
        <f>'Respuestas de formulario 1'!J3002</f>
        <v/>
      </c>
    </row>
    <row r="362">
      <c r="A362" s="7">
        <f t="shared" si="1"/>
        <v>362</v>
      </c>
      <c r="B362" s="7" t="str">
        <f>'Respuestas de formulario 1'!A3003</f>
        <v/>
      </c>
      <c r="C362" s="7" t="str">
        <f>'Respuestas de formulario 1'!B3003</f>
        <v/>
      </c>
      <c r="D362" s="7" t="str">
        <f>'Respuestas de formulario 1'!C3003</f>
        <v/>
      </c>
      <c r="E362" s="7" t="str">
        <f>'Respuestas de formulario 1'!D3003</f>
        <v/>
      </c>
      <c r="F362" s="7" t="str">
        <f>'Respuestas de formulario 1'!E3003</f>
        <v/>
      </c>
      <c r="G362" s="7" t="str">
        <f>'Respuestas de formulario 1'!F3003</f>
        <v/>
      </c>
      <c r="H362" s="7" t="str">
        <f>'Respuestas de formulario 1'!G3003</f>
        <v/>
      </c>
      <c r="I362" s="7" t="str">
        <f>'Respuestas de formulario 1'!H3003</f>
        <v/>
      </c>
      <c r="J362" s="7" t="str">
        <f>'Respuestas de formulario 1'!I3003</f>
        <v/>
      </c>
      <c r="K362" s="7" t="str">
        <f>'Respuestas de formulario 1'!J3003</f>
        <v/>
      </c>
    </row>
    <row r="363">
      <c r="A363" s="7">
        <f t="shared" si="1"/>
        <v>363</v>
      </c>
      <c r="B363" s="7" t="str">
        <f>'Respuestas de formulario 1'!A3004</f>
        <v/>
      </c>
      <c r="C363" s="7" t="str">
        <f>'Respuestas de formulario 1'!B3004</f>
        <v/>
      </c>
      <c r="D363" s="7" t="str">
        <f>'Respuestas de formulario 1'!C3004</f>
        <v/>
      </c>
      <c r="E363" s="7" t="str">
        <f>'Respuestas de formulario 1'!D3004</f>
        <v/>
      </c>
      <c r="F363" s="7" t="str">
        <f>'Respuestas de formulario 1'!E3004</f>
        <v/>
      </c>
      <c r="G363" s="7" t="str">
        <f>'Respuestas de formulario 1'!F3004</f>
        <v/>
      </c>
      <c r="H363" s="7" t="str">
        <f>'Respuestas de formulario 1'!G3004</f>
        <v/>
      </c>
      <c r="I363" s="7" t="str">
        <f>'Respuestas de formulario 1'!H3004</f>
        <v/>
      </c>
      <c r="J363" s="7" t="str">
        <f>'Respuestas de formulario 1'!I3004</f>
        <v/>
      </c>
      <c r="K363" s="7" t="str">
        <f>'Respuestas de formulario 1'!J3004</f>
        <v/>
      </c>
    </row>
    <row r="364">
      <c r="A364" s="7">
        <f t="shared" si="1"/>
        <v>364</v>
      </c>
      <c r="B364" s="7" t="str">
        <f>'Respuestas de formulario 1'!A3005</f>
        <v/>
      </c>
      <c r="C364" s="7" t="str">
        <f>'Respuestas de formulario 1'!B3005</f>
        <v/>
      </c>
      <c r="D364" s="7" t="str">
        <f>'Respuestas de formulario 1'!C3005</f>
        <v/>
      </c>
      <c r="E364" s="7" t="str">
        <f>'Respuestas de formulario 1'!D3005</f>
        <v/>
      </c>
      <c r="F364" s="7" t="str">
        <f>'Respuestas de formulario 1'!E3005</f>
        <v/>
      </c>
      <c r="G364" s="7" t="str">
        <f>'Respuestas de formulario 1'!F3005</f>
        <v/>
      </c>
      <c r="H364" s="7" t="str">
        <f>'Respuestas de formulario 1'!G3005</f>
        <v/>
      </c>
      <c r="I364" s="7" t="str">
        <f>'Respuestas de formulario 1'!H3005</f>
        <v/>
      </c>
      <c r="J364" s="7" t="str">
        <f>'Respuestas de formulario 1'!I3005</f>
        <v/>
      </c>
      <c r="K364" s="7" t="str">
        <f>'Respuestas de formulario 1'!J3005</f>
        <v/>
      </c>
    </row>
    <row r="365">
      <c r="A365" s="7">
        <f t="shared" si="1"/>
        <v>365</v>
      </c>
      <c r="B365" s="7" t="str">
        <f>'Respuestas de formulario 1'!A3006</f>
        <v/>
      </c>
      <c r="C365" s="7" t="str">
        <f>'Respuestas de formulario 1'!B3006</f>
        <v/>
      </c>
      <c r="D365" s="7" t="str">
        <f>'Respuestas de formulario 1'!C3006</f>
        <v/>
      </c>
      <c r="E365" s="7" t="str">
        <f>'Respuestas de formulario 1'!D3006</f>
        <v/>
      </c>
      <c r="F365" s="7" t="str">
        <f>'Respuestas de formulario 1'!E3006</f>
        <v/>
      </c>
      <c r="G365" s="7" t="str">
        <f>'Respuestas de formulario 1'!F3006</f>
        <v/>
      </c>
      <c r="H365" s="7" t="str">
        <f>'Respuestas de formulario 1'!G3006</f>
        <v/>
      </c>
      <c r="I365" s="7" t="str">
        <f>'Respuestas de formulario 1'!H3006</f>
        <v/>
      </c>
      <c r="J365" s="7" t="str">
        <f>'Respuestas de formulario 1'!I3006</f>
        <v/>
      </c>
      <c r="K365" s="7" t="str">
        <f>'Respuestas de formulario 1'!J3006</f>
        <v/>
      </c>
    </row>
    <row r="366">
      <c r="A366" s="7">
        <f t="shared" si="1"/>
        <v>366</v>
      </c>
      <c r="B366" s="7" t="str">
        <f>'Respuestas de formulario 1'!A3007</f>
        <v/>
      </c>
      <c r="C366" s="7" t="str">
        <f>'Respuestas de formulario 1'!B3007</f>
        <v/>
      </c>
      <c r="D366" s="7" t="str">
        <f>'Respuestas de formulario 1'!C3007</f>
        <v/>
      </c>
      <c r="E366" s="7" t="str">
        <f>'Respuestas de formulario 1'!D3007</f>
        <v/>
      </c>
      <c r="F366" s="7" t="str">
        <f>'Respuestas de formulario 1'!E3007</f>
        <v/>
      </c>
      <c r="G366" s="7" t="str">
        <f>'Respuestas de formulario 1'!F3007</f>
        <v/>
      </c>
      <c r="H366" s="7" t="str">
        <f>'Respuestas de formulario 1'!G3007</f>
        <v/>
      </c>
      <c r="I366" s="7" t="str">
        <f>'Respuestas de formulario 1'!H3007</f>
        <v/>
      </c>
      <c r="J366" s="7" t="str">
        <f>'Respuestas de formulario 1'!I3007</f>
        <v/>
      </c>
      <c r="K366" s="7" t="str">
        <f>'Respuestas de formulario 1'!J3007</f>
        <v/>
      </c>
    </row>
    <row r="367">
      <c r="A367" s="7">
        <f t="shared" si="1"/>
        <v>367</v>
      </c>
      <c r="B367" s="7" t="str">
        <f>'Respuestas de formulario 1'!A3008</f>
        <v/>
      </c>
      <c r="C367" s="7" t="str">
        <f>'Respuestas de formulario 1'!B3008</f>
        <v/>
      </c>
      <c r="D367" s="7" t="str">
        <f>'Respuestas de formulario 1'!C3008</f>
        <v/>
      </c>
      <c r="E367" s="7" t="str">
        <f>'Respuestas de formulario 1'!D3008</f>
        <v/>
      </c>
      <c r="F367" s="7" t="str">
        <f>'Respuestas de formulario 1'!E3008</f>
        <v/>
      </c>
      <c r="G367" s="7" t="str">
        <f>'Respuestas de formulario 1'!F3008</f>
        <v/>
      </c>
      <c r="H367" s="7" t="str">
        <f>'Respuestas de formulario 1'!G3008</f>
        <v/>
      </c>
      <c r="I367" s="7" t="str">
        <f>'Respuestas de formulario 1'!H3008</f>
        <v/>
      </c>
      <c r="J367" s="7" t="str">
        <f>'Respuestas de formulario 1'!I3008</f>
        <v/>
      </c>
      <c r="K367" s="7" t="str">
        <f>'Respuestas de formulario 1'!J3008</f>
        <v/>
      </c>
    </row>
    <row r="368">
      <c r="A368" s="7">
        <f t="shared" si="1"/>
        <v>368</v>
      </c>
      <c r="B368" s="7" t="str">
        <f>'Respuestas de formulario 1'!A3009</f>
        <v/>
      </c>
      <c r="C368" s="7" t="str">
        <f>'Respuestas de formulario 1'!B3009</f>
        <v/>
      </c>
      <c r="D368" s="7" t="str">
        <f>'Respuestas de formulario 1'!C3009</f>
        <v/>
      </c>
      <c r="E368" s="7" t="str">
        <f>'Respuestas de formulario 1'!D3009</f>
        <v/>
      </c>
      <c r="F368" s="7" t="str">
        <f>'Respuestas de formulario 1'!E3009</f>
        <v/>
      </c>
      <c r="G368" s="7" t="str">
        <f>'Respuestas de formulario 1'!F3009</f>
        <v/>
      </c>
      <c r="H368" s="7" t="str">
        <f>'Respuestas de formulario 1'!G3009</f>
        <v/>
      </c>
      <c r="I368" s="7" t="str">
        <f>'Respuestas de formulario 1'!H3009</f>
        <v/>
      </c>
      <c r="J368" s="7" t="str">
        <f>'Respuestas de formulario 1'!I3009</f>
        <v/>
      </c>
      <c r="K368" s="7" t="str">
        <f>'Respuestas de formulario 1'!J3009</f>
        <v/>
      </c>
    </row>
    <row r="369">
      <c r="A369" s="7">
        <f t="shared" si="1"/>
        <v>369</v>
      </c>
      <c r="B369" s="7" t="str">
        <f>'Respuestas de formulario 1'!A3010</f>
        <v/>
      </c>
      <c r="C369" s="7" t="str">
        <f>'Respuestas de formulario 1'!B3010</f>
        <v/>
      </c>
      <c r="D369" s="7" t="str">
        <f>'Respuestas de formulario 1'!C3010</f>
        <v/>
      </c>
      <c r="E369" s="7" t="str">
        <f>'Respuestas de formulario 1'!D3010</f>
        <v/>
      </c>
      <c r="F369" s="7" t="str">
        <f>'Respuestas de formulario 1'!E3010</f>
        <v/>
      </c>
      <c r="G369" s="7" t="str">
        <f>'Respuestas de formulario 1'!F3010</f>
        <v/>
      </c>
      <c r="H369" s="7" t="str">
        <f>'Respuestas de formulario 1'!G3010</f>
        <v/>
      </c>
      <c r="I369" s="7" t="str">
        <f>'Respuestas de formulario 1'!H3010</f>
        <v/>
      </c>
      <c r="J369" s="7" t="str">
        <f>'Respuestas de formulario 1'!I3010</f>
        <v/>
      </c>
      <c r="K369" s="7" t="str">
        <f>'Respuestas de formulario 1'!J3010</f>
        <v/>
      </c>
    </row>
    <row r="370">
      <c r="A370" s="7">
        <f t="shared" si="1"/>
        <v>370</v>
      </c>
      <c r="B370" s="7" t="str">
        <f>'Respuestas de formulario 1'!A3011</f>
        <v/>
      </c>
      <c r="C370" s="7" t="str">
        <f>'Respuestas de formulario 1'!B3011</f>
        <v/>
      </c>
      <c r="D370" s="7" t="str">
        <f>'Respuestas de formulario 1'!C3011</f>
        <v/>
      </c>
      <c r="E370" s="7" t="str">
        <f>'Respuestas de formulario 1'!D3011</f>
        <v/>
      </c>
      <c r="F370" s="7" t="str">
        <f>'Respuestas de formulario 1'!E3011</f>
        <v/>
      </c>
      <c r="G370" s="7" t="str">
        <f>'Respuestas de formulario 1'!F3011</f>
        <v/>
      </c>
      <c r="H370" s="7" t="str">
        <f>'Respuestas de formulario 1'!G3011</f>
        <v/>
      </c>
      <c r="I370" s="7" t="str">
        <f>'Respuestas de formulario 1'!H3011</f>
        <v/>
      </c>
      <c r="J370" s="7" t="str">
        <f>'Respuestas de formulario 1'!I3011</f>
        <v/>
      </c>
      <c r="K370" s="7" t="str">
        <f>'Respuestas de formulario 1'!J3011</f>
        <v/>
      </c>
    </row>
    <row r="371">
      <c r="A371" s="7">
        <f t="shared" si="1"/>
        <v>371</v>
      </c>
      <c r="B371" s="7" t="str">
        <f>'Respuestas de formulario 1'!A3012</f>
        <v/>
      </c>
      <c r="C371" s="7" t="str">
        <f>'Respuestas de formulario 1'!B3012</f>
        <v/>
      </c>
      <c r="D371" s="7" t="str">
        <f>'Respuestas de formulario 1'!C3012</f>
        <v/>
      </c>
      <c r="E371" s="7" t="str">
        <f>'Respuestas de formulario 1'!D3012</f>
        <v/>
      </c>
      <c r="F371" s="7" t="str">
        <f>'Respuestas de formulario 1'!E3012</f>
        <v/>
      </c>
      <c r="G371" s="7" t="str">
        <f>'Respuestas de formulario 1'!F3012</f>
        <v/>
      </c>
      <c r="H371" s="7" t="str">
        <f>'Respuestas de formulario 1'!G3012</f>
        <v/>
      </c>
      <c r="I371" s="7" t="str">
        <f>'Respuestas de formulario 1'!H3012</f>
        <v/>
      </c>
      <c r="J371" s="7" t="str">
        <f>'Respuestas de formulario 1'!I3012</f>
        <v/>
      </c>
      <c r="K371" s="7" t="str">
        <f>'Respuestas de formulario 1'!J3012</f>
        <v/>
      </c>
    </row>
    <row r="372">
      <c r="A372" s="7">
        <f t="shared" si="1"/>
        <v>372</v>
      </c>
      <c r="B372" s="7" t="str">
        <f>'Respuestas de formulario 1'!A3013</f>
        <v/>
      </c>
      <c r="C372" s="7" t="str">
        <f>'Respuestas de formulario 1'!B3013</f>
        <v/>
      </c>
      <c r="D372" s="7" t="str">
        <f>'Respuestas de formulario 1'!C3013</f>
        <v/>
      </c>
      <c r="E372" s="7" t="str">
        <f>'Respuestas de formulario 1'!D3013</f>
        <v/>
      </c>
      <c r="F372" s="7" t="str">
        <f>'Respuestas de formulario 1'!E3013</f>
        <v/>
      </c>
      <c r="G372" s="7" t="str">
        <f>'Respuestas de formulario 1'!F3013</f>
        <v/>
      </c>
      <c r="H372" s="7" t="str">
        <f>'Respuestas de formulario 1'!G3013</f>
        <v/>
      </c>
      <c r="I372" s="7" t="str">
        <f>'Respuestas de formulario 1'!H3013</f>
        <v/>
      </c>
      <c r="J372" s="7" t="str">
        <f>'Respuestas de formulario 1'!I3013</f>
        <v/>
      </c>
      <c r="K372" s="7" t="str">
        <f>'Respuestas de formulario 1'!J3013</f>
        <v/>
      </c>
    </row>
    <row r="373">
      <c r="A373" s="7">
        <f t="shared" si="1"/>
        <v>373</v>
      </c>
      <c r="B373" s="7" t="str">
        <f>'Respuestas de formulario 1'!A3014</f>
        <v/>
      </c>
      <c r="C373" s="7" t="str">
        <f>'Respuestas de formulario 1'!B3014</f>
        <v/>
      </c>
      <c r="D373" s="7" t="str">
        <f>'Respuestas de formulario 1'!C3014</f>
        <v/>
      </c>
      <c r="E373" s="7" t="str">
        <f>'Respuestas de formulario 1'!D3014</f>
        <v/>
      </c>
      <c r="F373" s="7" t="str">
        <f>'Respuestas de formulario 1'!E3014</f>
        <v/>
      </c>
      <c r="G373" s="7" t="str">
        <f>'Respuestas de formulario 1'!F3014</f>
        <v/>
      </c>
      <c r="H373" s="7" t="str">
        <f>'Respuestas de formulario 1'!G3014</f>
        <v/>
      </c>
      <c r="I373" s="7" t="str">
        <f>'Respuestas de formulario 1'!H3014</f>
        <v/>
      </c>
      <c r="J373" s="7" t="str">
        <f>'Respuestas de formulario 1'!I3014</f>
        <v/>
      </c>
      <c r="K373" s="7" t="str">
        <f>'Respuestas de formulario 1'!J3014</f>
        <v/>
      </c>
    </row>
    <row r="374">
      <c r="A374" s="7">
        <f t="shared" si="1"/>
        <v>374</v>
      </c>
      <c r="B374" s="7" t="str">
        <f>'Respuestas de formulario 1'!A3015</f>
        <v/>
      </c>
      <c r="C374" s="7" t="str">
        <f>'Respuestas de formulario 1'!B3015</f>
        <v/>
      </c>
      <c r="D374" s="7" t="str">
        <f>'Respuestas de formulario 1'!C3015</f>
        <v/>
      </c>
      <c r="E374" s="7" t="str">
        <f>'Respuestas de formulario 1'!D3015</f>
        <v/>
      </c>
      <c r="F374" s="7" t="str">
        <f>'Respuestas de formulario 1'!E3015</f>
        <v/>
      </c>
      <c r="G374" s="7" t="str">
        <f>'Respuestas de formulario 1'!F3015</f>
        <v/>
      </c>
      <c r="H374" s="7" t="str">
        <f>'Respuestas de formulario 1'!G3015</f>
        <v/>
      </c>
      <c r="I374" s="7" t="str">
        <f>'Respuestas de formulario 1'!H3015</f>
        <v/>
      </c>
      <c r="J374" s="7" t="str">
        <f>'Respuestas de formulario 1'!I3015</f>
        <v/>
      </c>
      <c r="K374" s="7" t="str">
        <f>'Respuestas de formulario 1'!J3015</f>
        <v/>
      </c>
    </row>
    <row r="375">
      <c r="A375" s="7">
        <f t="shared" si="1"/>
        <v>375</v>
      </c>
      <c r="B375" s="7" t="str">
        <f>'Respuestas de formulario 1'!A3016</f>
        <v/>
      </c>
      <c r="C375" s="7" t="str">
        <f>'Respuestas de formulario 1'!B3016</f>
        <v/>
      </c>
      <c r="D375" s="7" t="str">
        <f>'Respuestas de formulario 1'!C3016</f>
        <v/>
      </c>
      <c r="E375" s="7" t="str">
        <f>'Respuestas de formulario 1'!D3016</f>
        <v/>
      </c>
      <c r="F375" s="7" t="str">
        <f>'Respuestas de formulario 1'!E3016</f>
        <v/>
      </c>
      <c r="G375" s="7" t="str">
        <f>'Respuestas de formulario 1'!F3016</f>
        <v/>
      </c>
      <c r="H375" s="7" t="str">
        <f>'Respuestas de formulario 1'!G3016</f>
        <v/>
      </c>
      <c r="I375" s="7" t="str">
        <f>'Respuestas de formulario 1'!H3016</f>
        <v/>
      </c>
      <c r="J375" s="7" t="str">
        <f>'Respuestas de formulario 1'!I3016</f>
        <v/>
      </c>
      <c r="K375" s="7" t="str">
        <f>'Respuestas de formulario 1'!J3016</f>
        <v/>
      </c>
    </row>
    <row r="376">
      <c r="A376" s="7">
        <f t="shared" si="1"/>
        <v>376</v>
      </c>
      <c r="B376" s="7" t="str">
        <f>'Respuestas de formulario 1'!A3017</f>
        <v/>
      </c>
      <c r="C376" s="7" t="str">
        <f>'Respuestas de formulario 1'!B3017</f>
        <v/>
      </c>
      <c r="D376" s="7" t="str">
        <f>'Respuestas de formulario 1'!C3017</f>
        <v/>
      </c>
      <c r="E376" s="7" t="str">
        <f>'Respuestas de formulario 1'!D3017</f>
        <v/>
      </c>
      <c r="F376" s="7" t="str">
        <f>'Respuestas de formulario 1'!E3017</f>
        <v/>
      </c>
      <c r="G376" s="7" t="str">
        <f>'Respuestas de formulario 1'!F3017</f>
        <v/>
      </c>
      <c r="H376" s="7" t="str">
        <f>'Respuestas de formulario 1'!G3017</f>
        <v/>
      </c>
      <c r="I376" s="7" t="str">
        <f>'Respuestas de formulario 1'!H3017</f>
        <v/>
      </c>
      <c r="J376" s="7" t="str">
        <f>'Respuestas de formulario 1'!I3017</f>
        <v/>
      </c>
      <c r="K376" s="7" t="str">
        <f>'Respuestas de formulario 1'!J3017</f>
        <v/>
      </c>
    </row>
    <row r="377">
      <c r="A377" s="7">
        <f t="shared" si="1"/>
        <v>377</v>
      </c>
      <c r="B377" s="7" t="str">
        <f>'Respuestas de formulario 1'!A3018</f>
        <v/>
      </c>
      <c r="C377" s="7" t="str">
        <f>'Respuestas de formulario 1'!B3018</f>
        <v/>
      </c>
      <c r="D377" s="7" t="str">
        <f>'Respuestas de formulario 1'!C3018</f>
        <v/>
      </c>
      <c r="E377" s="7" t="str">
        <f>'Respuestas de formulario 1'!D3018</f>
        <v/>
      </c>
      <c r="F377" s="7" t="str">
        <f>'Respuestas de formulario 1'!E3018</f>
        <v/>
      </c>
      <c r="G377" s="7" t="str">
        <f>'Respuestas de formulario 1'!F3018</f>
        <v/>
      </c>
      <c r="H377" s="7" t="str">
        <f>'Respuestas de formulario 1'!G3018</f>
        <v/>
      </c>
      <c r="I377" s="7" t="str">
        <f>'Respuestas de formulario 1'!H3018</f>
        <v/>
      </c>
      <c r="J377" s="7" t="str">
        <f>'Respuestas de formulario 1'!I3018</f>
        <v/>
      </c>
      <c r="K377" s="7" t="str">
        <f>'Respuestas de formulario 1'!J3018</f>
        <v/>
      </c>
    </row>
    <row r="378">
      <c r="A378" s="7">
        <f t="shared" si="1"/>
        <v>378</v>
      </c>
      <c r="B378" s="7" t="str">
        <f>'Respuestas de formulario 1'!A3019</f>
        <v/>
      </c>
      <c r="C378" s="7" t="str">
        <f>'Respuestas de formulario 1'!B3019</f>
        <v/>
      </c>
      <c r="D378" s="7" t="str">
        <f>'Respuestas de formulario 1'!C3019</f>
        <v/>
      </c>
      <c r="E378" s="7" t="str">
        <f>'Respuestas de formulario 1'!D3019</f>
        <v/>
      </c>
      <c r="F378" s="7" t="str">
        <f>'Respuestas de formulario 1'!E3019</f>
        <v/>
      </c>
      <c r="G378" s="7" t="str">
        <f>'Respuestas de formulario 1'!F3019</f>
        <v/>
      </c>
      <c r="H378" s="7" t="str">
        <f>'Respuestas de formulario 1'!G3019</f>
        <v/>
      </c>
      <c r="I378" s="7" t="str">
        <f>'Respuestas de formulario 1'!H3019</f>
        <v/>
      </c>
      <c r="J378" s="7" t="str">
        <f>'Respuestas de formulario 1'!I3019</f>
        <v/>
      </c>
      <c r="K378" s="7" t="str">
        <f>'Respuestas de formulario 1'!J3019</f>
        <v/>
      </c>
    </row>
    <row r="379">
      <c r="A379" s="7">
        <f t="shared" si="1"/>
        <v>379</v>
      </c>
      <c r="B379" s="7" t="str">
        <f>'Respuestas de formulario 1'!A3020</f>
        <v/>
      </c>
      <c r="C379" s="7" t="str">
        <f>'Respuestas de formulario 1'!B3020</f>
        <v/>
      </c>
      <c r="D379" s="7" t="str">
        <f>'Respuestas de formulario 1'!C3020</f>
        <v/>
      </c>
      <c r="E379" s="7" t="str">
        <f>'Respuestas de formulario 1'!D3020</f>
        <v/>
      </c>
      <c r="F379" s="7" t="str">
        <f>'Respuestas de formulario 1'!E3020</f>
        <v/>
      </c>
      <c r="G379" s="7" t="str">
        <f>'Respuestas de formulario 1'!F3020</f>
        <v/>
      </c>
      <c r="H379" s="7" t="str">
        <f>'Respuestas de formulario 1'!G3020</f>
        <v/>
      </c>
      <c r="I379" s="7" t="str">
        <f>'Respuestas de formulario 1'!H3020</f>
        <v/>
      </c>
      <c r="J379" s="7" t="str">
        <f>'Respuestas de formulario 1'!I3020</f>
        <v/>
      </c>
      <c r="K379" s="7" t="str">
        <f>'Respuestas de formulario 1'!J3020</f>
        <v/>
      </c>
    </row>
    <row r="380">
      <c r="A380" s="7">
        <f t="shared" si="1"/>
        <v>380</v>
      </c>
      <c r="B380" s="7" t="str">
        <f>'Respuestas de formulario 1'!A3021</f>
        <v/>
      </c>
      <c r="C380" s="7" t="str">
        <f>'Respuestas de formulario 1'!B3021</f>
        <v/>
      </c>
      <c r="D380" s="7" t="str">
        <f>'Respuestas de formulario 1'!C3021</f>
        <v/>
      </c>
      <c r="E380" s="7" t="str">
        <f>'Respuestas de formulario 1'!D3021</f>
        <v/>
      </c>
      <c r="F380" s="7" t="str">
        <f>'Respuestas de formulario 1'!E3021</f>
        <v/>
      </c>
      <c r="G380" s="7" t="str">
        <f>'Respuestas de formulario 1'!F3021</f>
        <v/>
      </c>
      <c r="H380" s="7" t="str">
        <f>'Respuestas de formulario 1'!G3021</f>
        <v/>
      </c>
      <c r="I380" s="7" t="str">
        <f>'Respuestas de formulario 1'!H3021</f>
        <v/>
      </c>
      <c r="J380" s="7" t="str">
        <f>'Respuestas de formulario 1'!I3021</f>
        <v/>
      </c>
      <c r="K380" s="7" t="str">
        <f>'Respuestas de formulario 1'!J3021</f>
        <v/>
      </c>
    </row>
    <row r="381">
      <c r="A381" s="7">
        <f t="shared" si="1"/>
        <v>381</v>
      </c>
      <c r="B381" s="7" t="str">
        <f>'Respuestas de formulario 1'!A3022</f>
        <v/>
      </c>
      <c r="C381" s="7" t="str">
        <f>'Respuestas de formulario 1'!B3022</f>
        <v/>
      </c>
      <c r="D381" s="7" t="str">
        <f>'Respuestas de formulario 1'!C3022</f>
        <v/>
      </c>
      <c r="E381" s="7" t="str">
        <f>'Respuestas de formulario 1'!D3022</f>
        <v/>
      </c>
      <c r="F381" s="7" t="str">
        <f>'Respuestas de formulario 1'!E3022</f>
        <v/>
      </c>
      <c r="G381" s="7" t="str">
        <f>'Respuestas de formulario 1'!F3022</f>
        <v/>
      </c>
      <c r="H381" s="7" t="str">
        <f>'Respuestas de formulario 1'!G3022</f>
        <v/>
      </c>
      <c r="I381" s="7" t="str">
        <f>'Respuestas de formulario 1'!H3022</f>
        <v/>
      </c>
      <c r="J381" s="7" t="str">
        <f>'Respuestas de formulario 1'!I3022</f>
        <v/>
      </c>
      <c r="K381" s="7" t="str">
        <f>'Respuestas de formulario 1'!J3022</f>
        <v/>
      </c>
    </row>
    <row r="382">
      <c r="A382" s="7">
        <f t="shared" si="1"/>
        <v>382</v>
      </c>
      <c r="B382" s="7" t="str">
        <f>'Respuestas de formulario 1'!A3023</f>
        <v/>
      </c>
      <c r="C382" s="7" t="str">
        <f>'Respuestas de formulario 1'!B3023</f>
        <v/>
      </c>
      <c r="D382" s="7" t="str">
        <f>'Respuestas de formulario 1'!C3023</f>
        <v/>
      </c>
      <c r="E382" s="7" t="str">
        <f>'Respuestas de formulario 1'!D3023</f>
        <v/>
      </c>
      <c r="F382" s="7" t="str">
        <f>'Respuestas de formulario 1'!E3023</f>
        <v/>
      </c>
      <c r="G382" s="7" t="str">
        <f>'Respuestas de formulario 1'!F3023</f>
        <v/>
      </c>
      <c r="H382" s="7" t="str">
        <f>'Respuestas de formulario 1'!G3023</f>
        <v/>
      </c>
      <c r="I382" s="7" t="str">
        <f>'Respuestas de formulario 1'!H3023</f>
        <v/>
      </c>
      <c r="J382" s="7" t="str">
        <f>'Respuestas de formulario 1'!I3023</f>
        <v/>
      </c>
      <c r="K382" s="7" t="str">
        <f>'Respuestas de formulario 1'!J3023</f>
        <v/>
      </c>
    </row>
    <row r="383">
      <c r="A383" s="7">
        <f t="shared" si="1"/>
        <v>383</v>
      </c>
      <c r="B383" s="7" t="str">
        <f>'Respuestas de formulario 1'!A3024</f>
        <v/>
      </c>
      <c r="C383" s="7" t="str">
        <f>'Respuestas de formulario 1'!B3024</f>
        <v/>
      </c>
      <c r="D383" s="7" t="str">
        <f>'Respuestas de formulario 1'!C3024</f>
        <v/>
      </c>
      <c r="E383" s="7" t="str">
        <f>'Respuestas de formulario 1'!D3024</f>
        <v/>
      </c>
      <c r="F383" s="7" t="str">
        <f>'Respuestas de formulario 1'!E3024</f>
        <v/>
      </c>
      <c r="G383" s="7" t="str">
        <f>'Respuestas de formulario 1'!F3024</f>
        <v/>
      </c>
      <c r="H383" s="7" t="str">
        <f>'Respuestas de formulario 1'!G3024</f>
        <v/>
      </c>
      <c r="I383" s="7" t="str">
        <f>'Respuestas de formulario 1'!H3024</f>
        <v/>
      </c>
      <c r="J383" s="7" t="str">
        <f>'Respuestas de formulario 1'!I3024</f>
        <v/>
      </c>
      <c r="K383" s="7" t="str">
        <f>'Respuestas de formulario 1'!J3024</f>
        <v/>
      </c>
    </row>
    <row r="384">
      <c r="A384" s="7">
        <f t="shared" si="1"/>
        <v>384</v>
      </c>
      <c r="B384" s="7" t="str">
        <f>'Respuestas de formulario 1'!A3025</f>
        <v/>
      </c>
      <c r="C384" s="7" t="str">
        <f>'Respuestas de formulario 1'!B3025</f>
        <v/>
      </c>
      <c r="D384" s="7" t="str">
        <f>'Respuestas de formulario 1'!C3025</f>
        <v/>
      </c>
      <c r="E384" s="7" t="str">
        <f>'Respuestas de formulario 1'!D3025</f>
        <v/>
      </c>
      <c r="F384" s="7" t="str">
        <f>'Respuestas de formulario 1'!E3025</f>
        <v/>
      </c>
      <c r="G384" s="7" t="str">
        <f>'Respuestas de formulario 1'!F3025</f>
        <v/>
      </c>
      <c r="H384" s="7" t="str">
        <f>'Respuestas de formulario 1'!G3025</f>
        <v/>
      </c>
      <c r="I384" s="7" t="str">
        <f>'Respuestas de formulario 1'!H3025</f>
        <v/>
      </c>
      <c r="J384" s="7" t="str">
        <f>'Respuestas de formulario 1'!I3025</f>
        <v/>
      </c>
      <c r="K384" s="7" t="str">
        <f>'Respuestas de formulario 1'!J3025</f>
        <v/>
      </c>
    </row>
    <row r="385">
      <c r="A385" s="7">
        <f t="shared" si="1"/>
        <v>385</v>
      </c>
      <c r="B385" s="7" t="str">
        <f>'Respuestas de formulario 1'!A3026</f>
        <v/>
      </c>
      <c r="C385" s="7" t="str">
        <f>'Respuestas de formulario 1'!B3026</f>
        <v/>
      </c>
      <c r="D385" s="7" t="str">
        <f>'Respuestas de formulario 1'!C3026</f>
        <v/>
      </c>
      <c r="E385" s="7" t="str">
        <f>'Respuestas de formulario 1'!D3026</f>
        <v/>
      </c>
      <c r="F385" s="7" t="str">
        <f>'Respuestas de formulario 1'!E3026</f>
        <v/>
      </c>
      <c r="G385" s="7" t="str">
        <f>'Respuestas de formulario 1'!F3026</f>
        <v/>
      </c>
      <c r="H385" s="7" t="str">
        <f>'Respuestas de formulario 1'!G3026</f>
        <v/>
      </c>
      <c r="I385" s="7" t="str">
        <f>'Respuestas de formulario 1'!H3026</f>
        <v/>
      </c>
      <c r="J385" s="7" t="str">
        <f>'Respuestas de formulario 1'!I3026</f>
        <v/>
      </c>
      <c r="K385" s="7" t="str">
        <f>'Respuestas de formulario 1'!J3026</f>
        <v/>
      </c>
    </row>
    <row r="386">
      <c r="A386" s="7">
        <f t="shared" si="1"/>
        <v>386</v>
      </c>
      <c r="B386" s="7" t="str">
        <f>'Respuestas de formulario 1'!A3027</f>
        <v/>
      </c>
      <c r="C386" s="7" t="str">
        <f>'Respuestas de formulario 1'!B3027</f>
        <v/>
      </c>
      <c r="D386" s="7" t="str">
        <f>'Respuestas de formulario 1'!C3027</f>
        <v/>
      </c>
      <c r="E386" s="7" t="str">
        <f>'Respuestas de formulario 1'!D3027</f>
        <v/>
      </c>
      <c r="F386" s="7" t="str">
        <f>'Respuestas de formulario 1'!E3027</f>
        <v/>
      </c>
      <c r="G386" s="7" t="str">
        <f>'Respuestas de formulario 1'!F3027</f>
        <v/>
      </c>
      <c r="H386" s="7" t="str">
        <f>'Respuestas de formulario 1'!G3027</f>
        <v/>
      </c>
      <c r="I386" s="7" t="str">
        <f>'Respuestas de formulario 1'!H3027</f>
        <v/>
      </c>
      <c r="J386" s="7" t="str">
        <f>'Respuestas de formulario 1'!I3027</f>
        <v/>
      </c>
      <c r="K386" s="7" t="str">
        <f>'Respuestas de formulario 1'!J3027</f>
        <v/>
      </c>
    </row>
    <row r="387">
      <c r="A387" s="7">
        <f t="shared" si="1"/>
        <v>387</v>
      </c>
      <c r="B387" s="7" t="str">
        <f>'Respuestas de formulario 1'!A3028</f>
        <v/>
      </c>
      <c r="C387" s="7" t="str">
        <f>'Respuestas de formulario 1'!B3028</f>
        <v/>
      </c>
      <c r="D387" s="7" t="str">
        <f>'Respuestas de formulario 1'!C3028</f>
        <v/>
      </c>
      <c r="E387" s="7" t="str">
        <f>'Respuestas de formulario 1'!D3028</f>
        <v/>
      </c>
      <c r="F387" s="7" t="str">
        <f>'Respuestas de formulario 1'!E3028</f>
        <v/>
      </c>
      <c r="G387" s="7" t="str">
        <f>'Respuestas de formulario 1'!F3028</f>
        <v/>
      </c>
      <c r="H387" s="7" t="str">
        <f>'Respuestas de formulario 1'!G3028</f>
        <v/>
      </c>
      <c r="I387" s="7" t="str">
        <f>'Respuestas de formulario 1'!H3028</f>
        <v/>
      </c>
      <c r="J387" s="7" t="str">
        <f>'Respuestas de formulario 1'!I3028</f>
        <v/>
      </c>
      <c r="K387" s="7" t="str">
        <f>'Respuestas de formulario 1'!J3028</f>
        <v/>
      </c>
    </row>
    <row r="388">
      <c r="A388" s="7">
        <f t="shared" si="1"/>
        <v>388</v>
      </c>
      <c r="B388" s="7" t="str">
        <f>'Respuestas de formulario 1'!A3029</f>
        <v/>
      </c>
      <c r="C388" s="7" t="str">
        <f>'Respuestas de formulario 1'!B3029</f>
        <v/>
      </c>
      <c r="D388" s="7" t="str">
        <f>'Respuestas de formulario 1'!C3029</f>
        <v/>
      </c>
      <c r="E388" s="7" t="str">
        <f>'Respuestas de formulario 1'!D3029</f>
        <v/>
      </c>
      <c r="F388" s="7" t="str">
        <f>'Respuestas de formulario 1'!E3029</f>
        <v/>
      </c>
      <c r="G388" s="7" t="str">
        <f>'Respuestas de formulario 1'!F3029</f>
        <v/>
      </c>
      <c r="H388" s="7" t="str">
        <f>'Respuestas de formulario 1'!G3029</f>
        <v/>
      </c>
      <c r="I388" s="7" t="str">
        <f>'Respuestas de formulario 1'!H3029</f>
        <v/>
      </c>
      <c r="J388" s="7" t="str">
        <f>'Respuestas de formulario 1'!I3029</f>
        <v/>
      </c>
      <c r="K388" s="7" t="str">
        <f>'Respuestas de formulario 1'!J3029</f>
        <v/>
      </c>
    </row>
    <row r="389">
      <c r="A389" s="7">
        <f t="shared" si="1"/>
        <v>389</v>
      </c>
      <c r="B389" s="7" t="str">
        <f>'Respuestas de formulario 1'!A3030</f>
        <v/>
      </c>
      <c r="C389" s="7" t="str">
        <f>'Respuestas de formulario 1'!B3030</f>
        <v/>
      </c>
      <c r="D389" s="7" t="str">
        <f>'Respuestas de formulario 1'!C3030</f>
        <v/>
      </c>
      <c r="E389" s="7" t="str">
        <f>'Respuestas de formulario 1'!D3030</f>
        <v/>
      </c>
      <c r="F389" s="7" t="str">
        <f>'Respuestas de formulario 1'!E3030</f>
        <v/>
      </c>
      <c r="G389" s="7" t="str">
        <f>'Respuestas de formulario 1'!F3030</f>
        <v/>
      </c>
      <c r="H389" s="7" t="str">
        <f>'Respuestas de formulario 1'!G3030</f>
        <v/>
      </c>
      <c r="I389" s="7" t="str">
        <f>'Respuestas de formulario 1'!H3030</f>
        <v/>
      </c>
      <c r="J389" s="7" t="str">
        <f>'Respuestas de formulario 1'!I3030</f>
        <v/>
      </c>
      <c r="K389" s="7" t="str">
        <f>'Respuestas de formulario 1'!J3030</f>
        <v/>
      </c>
    </row>
    <row r="390">
      <c r="A390" s="7">
        <f t="shared" si="1"/>
        <v>390</v>
      </c>
      <c r="B390" s="7" t="str">
        <f>'Respuestas de formulario 1'!A3031</f>
        <v/>
      </c>
      <c r="C390" s="7" t="str">
        <f>'Respuestas de formulario 1'!B3031</f>
        <v/>
      </c>
      <c r="D390" s="7" t="str">
        <f>'Respuestas de formulario 1'!C3031</f>
        <v/>
      </c>
      <c r="E390" s="7" t="str">
        <f>'Respuestas de formulario 1'!D3031</f>
        <v/>
      </c>
      <c r="F390" s="7" t="str">
        <f>'Respuestas de formulario 1'!E3031</f>
        <v/>
      </c>
      <c r="G390" s="7" t="str">
        <f>'Respuestas de formulario 1'!F3031</f>
        <v/>
      </c>
      <c r="H390" s="7" t="str">
        <f>'Respuestas de formulario 1'!G3031</f>
        <v/>
      </c>
      <c r="I390" s="7" t="str">
        <f>'Respuestas de formulario 1'!H3031</f>
        <v/>
      </c>
      <c r="J390" s="7" t="str">
        <f>'Respuestas de formulario 1'!I3031</f>
        <v/>
      </c>
      <c r="K390" s="7" t="str">
        <f>'Respuestas de formulario 1'!J3031</f>
        <v/>
      </c>
    </row>
    <row r="391">
      <c r="A391" s="7">
        <f t="shared" si="1"/>
        <v>391</v>
      </c>
      <c r="B391" s="7" t="str">
        <f>'Respuestas de formulario 1'!A3032</f>
        <v/>
      </c>
      <c r="C391" s="7" t="str">
        <f>'Respuestas de formulario 1'!B3032</f>
        <v/>
      </c>
      <c r="D391" s="7" t="str">
        <f>'Respuestas de formulario 1'!C3032</f>
        <v/>
      </c>
      <c r="E391" s="7" t="str">
        <f>'Respuestas de formulario 1'!D3032</f>
        <v/>
      </c>
      <c r="F391" s="7" t="str">
        <f>'Respuestas de formulario 1'!E3032</f>
        <v/>
      </c>
      <c r="G391" s="7" t="str">
        <f>'Respuestas de formulario 1'!F3032</f>
        <v/>
      </c>
      <c r="H391" s="7" t="str">
        <f>'Respuestas de formulario 1'!G3032</f>
        <v/>
      </c>
      <c r="I391" s="7" t="str">
        <f>'Respuestas de formulario 1'!H3032</f>
        <v/>
      </c>
      <c r="J391" s="7" t="str">
        <f>'Respuestas de formulario 1'!I3032</f>
        <v/>
      </c>
      <c r="K391" s="7" t="str">
        <f>'Respuestas de formulario 1'!J3032</f>
        <v/>
      </c>
    </row>
    <row r="392">
      <c r="A392" s="7">
        <f t="shared" si="1"/>
        <v>392</v>
      </c>
      <c r="B392" s="7" t="str">
        <f>'Respuestas de formulario 1'!A3033</f>
        <v/>
      </c>
      <c r="C392" s="7" t="str">
        <f>'Respuestas de formulario 1'!B3033</f>
        <v/>
      </c>
      <c r="D392" s="7" t="str">
        <f>'Respuestas de formulario 1'!C3033</f>
        <v/>
      </c>
      <c r="E392" s="7" t="str">
        <f>'Respuestas de formulario 1'!D3033</f>
        <v/>
      </c>
      <c r="F392" s="7" t="str">
        <f>'Respuestas de formulario 1'!E3033</f>
        <v/>
      </c>
      <c r="G392" s="7" t="str">
        <f>'Respuestas de formulario 1'!F3033</f>
        <v/>
      </c>
      <c r="H392" s="7" t="str">
        <f>'Respuestas de formulario 1'!G3033</f>
        <v/>
      </c>
      <c r="I392" s="7" t="str">
        <f>'Respuestas de formulario 1'!H3033</f>
        <v/>
      </c>
      <c r="J392" s="7" t="str">
        <f>'Respuestas de formulario 1'!I3033</f>
        <v/>
      </c>
      <c r="K392" s="7" t="str">
        <f>'Respuestas de formulario 1'!J3033</f>
        <v/>
      </c>
    </row>
    <row r="393">
      <c r="A393" s="7">
        <f t="shared" si="1"/>
        <v>393</v>
      </c>
      <c r="B393" s="7" t="str">
        <f>'Respuestas de formulario 1'!A3034</f>
        <v/>
      </c>
      <c r="C393" s="7" t="str">
        <f>'Respuestas de formulario 1'!B3034</f>
        <v/>
      </c>
      <c r="D393" s="7" t="str">
        <f>'Respuestas de formulario 1'!C3034</f>
        <v/>
      </c>
      <c r="E393" s="7" t="str">
        <f>'Respuestas de formulario 1'!D3034</f>
        <v/>
      </c>
      <c r="F393" s="7" t="str">
        <f>'Respuestas de formulario 1'!E3034</f>
        <v/>
      </c>
      <c r="G393" s="7" t="str">
        <f>'Respuestas de formulario 1'!F3034</f>
        <v/>
      </c>
      <c r="H393" s="7" t="str">
        <f>'Respuestas de formulario 1'!G3034</f>
        <v/>
      </c>
      <c r="I393" s="7" t="str">
        <f>'Respuestas de formulario 1'!H3034</f>
        <v/>
      </c>
      <c r="J393" s="7" t="str">
        <f>'Respuestas de formulario 1'!I3034</f>
        <v/>
      </c>
      <c r="K393" s="7" t="str">
        <f>'Respuestas de formulario 1'!J3034</f>
        <v/>
      </c>
    </row>
    <row r="394">
      <c r="A394" s="7">
        <f t="shared" si="1"/>
        <v>394</v>
      </c>
      <c r="B394" s="7" t="str">
        <f>'Respuestas de formulario 1'!A3035</f>
        <v/>
      </c>
      <c r="C394" s="7" t="str">
        <f>'Respuestas de formulario 1'!B3035</f>
        <v/>
      </c>
      <c r="D394" s="7" t="str">
        <f>'Respuestas de formulario 1'!C3035</f>
        <v/>
      </c>
      <c r="E394" s="7" t="str">
        <f>'Respuestas de formulario 1'!D3035</f>
        <v/>
      </c>
      <c r="F394" s="7" t="str">
        <f>'Respuestas de formulario 1'!E3035</f>
        <v/>
      </c>
      <c r="G394" s="7" t="str">
        <f>'Respuestas de formulario 1'!F3035</f>
        <v/>
      </c>
      <c r="H394" s="7" t="str">
        <f>'Respuestas de formulario 1'!G3035</f>
        <v/>
      </c>
      <c r="I394" s="7" t="str">
        <f>'Respuestas de formulario 1'!H3035</f>
        <v/>
      </c>
      <c r="J394" s="7" t="str">
        <f>'Respuestas de formulario 1'!I3035</f>
        <v/>
      </c>
      <c r="K394" s="7" t="str">
        <f>'Respuestas de formulario 1'!J3035</f>
        <v/>
      </c>
    </row>
    <row r="395">
      <c r="A395" s="7">
        <f t="shared" si="1"/>
        <v>395</v>
      </c>
      <c r="B395" s="7" t="str">
        <f>'Respuestas de formulario 1'!A3036</f>
        <v/>
      </c>
      <c r="C395" s="7" t="str">
        <f>'Respuestas de formulario 1'!B3036</f>
        <v/>
      </c>
      <c r="D395" s="7" t="str">
        <f>'Respuestas de formulario 1'!C3036</f>
        <v/>
      </c>
      <c r="E395" s="7" t="str">
        <f>'Respuestas de formulario 1'!D3036</f>
        <v/>
      </c>
      <c r="F395" s="7" t="str">
        <f>'Respuestas de formulario 1'!E3036</f>
        <v/>
      </c>
      <c r="G395" s="7" t="str">
        <f>'Respuestas de formulario 1'!F3036</f>
        <v/>
      </c>
      <c r="H395" s="7" t="str">
        <f>'Respuestas de formulario 1'!G3036</f>
        <v/>
      </c>
      <c r="I395" s="7" t="str">
        <f>'Respuestas de formulario 1'!H3036</f>
        <v/>
      </c>
      <c r="J395" s="7" t="str">
        <f>'Respuestas de formulario 1'!I3036</f>
        <v/>
      </c>
      <c r="K395" s="7" t="str">
        <f>'Respuestas de formulario 1'!J3036</f>
        <v/>
      </c>
    </row>
    <row r="396">
      <c r="A396" s="7">
        <f t="shared" si="1"/>
        <v>396</v>
      </c>
      <c r="B396" s="7" t="str">
        <f>'Respuestas de formulario 1'!A3037</f>
        <v/>
      </c>
      <c r="C396" s="7" t="str">
        <f>'Respuestas de formulario 1'!B3037</f>
        <v/>
      </c>
      <c r="D396" s="7" t="str">
        <f>'Respuestas de formulario 1'!C3037</f>
        <v/>
      </c>
      <c r="E396" s="7" t="str">
        <f>'Respuestas de formulario 1'!D3037</f>
        <v/>
      </c>
      <c r="F396" s="7" t="str">
        <f>'Respuestas de formulario 1'!E3037</f>
        <v/>
      </c>
      <c r="G396" s="7" t="str">
        <f>'Respuestas de formulario 1'!F3037</f>
        <v/>
      </c>
      <c r="H396" s="7" t="str">
        <f>'Respuestas de formulario 1'!G3037</f>
        <v/>
      </c>
      <c r="I396" s="7" t="str">
        <f>'Respuestas de formulario 1'!H3037</f>
        <v/>
      </c>
      <c r="J396" s="7" t="str">
        <f>'Respuestas de formulario 1'!I3037</f>
        <v/>
      </c>
      <c r="K396" s="7" t="str">
        <f>'Respuestas de formulario 1'!J3037</f>
        <v/>
      </c>
    </row>
    <row r="397">
      <c r="A397" s="7">
        <f t="shared" si="1"/>
        <v>397</v>
      </c>
      <c r="B397" s="7" t="str">
        <f>'Respuestas de formulario 1'!A3038</f>
        <v/>
      </c>
      <c r="C397" s="7" t="str">
        <f>'Respuestas de formulario 1'!B3038</f>
        <v/>
      </c>
      <c r="D397" s="7" t="str">
        <f>'Respuestas de formulario 1'!C3038</f>
        <v/>
      </c>
      <c r="E397" s="7" t="str">
        <f>'Respuestas de formulario 1'!D3038</f>
        <v/>
      </c>
      <c r="F397" s="7" t="str">
        <f>'Respuestas de formulario 1'!E3038</f>
        <v/>
      </c>
      <c r="G397" s="7" t="str">
        <f>'Respuestas de formulario 1'!F3038</f>
        <v/>
      </c>
      <c r="H397" s="7" t="str">
        <f>'Respuestas de formulario 1'!G3038</f>
        <v/>
      </c>
      <c r="I397" s="7" t="str">
        <f>'Respuestas de formulario 1'!H3038</f>
        <v/>
      </c>
      <c r="J397" s="7" t="str">
        <f>'Respuestas de formulario 1'!I3038</f>
        <v/>
      </c>
      <c r="K397" s="7" t="str">
        <f>'Respuestas de formulario 1'!J3038</f>
        <v/>
      </c>
    </row>
    <row r="398">
      <c r="A398" s="7">
        <f t="shared" si="1"/>
        <v>398</v>
      </c>
      <c r="B398" s="7" t="str">
        <f>'Respuestas de formulario 1'!A3039</f>
        <v/>
      </c>
      <c r="C398" s="7" t="str">
        <f>'Respuestas de formulario 1'!B3039</f>
        <v/>
      </c>
      <c r="D398" s="7" t="str">
        <f>'Respuestas de formulario 1'!C3039</f>
        <v/>
      </c>
      <c r="E398" s="7" t="str">
        <f>'Respuestas de formulario 1'!D3039</f>
        <v/>
      </c>
      <c r="F398" s="7" t="str">
        <f>'Respuestas de formulario 1'!E3039</f>
        <v/>
      </c>
      <c r="G398" s="7" t="str">
        <f>'Respuestas de formulario 1'!F3039</f>
        <v/>
      </c>
      <c r="H398" s="7" t="str">
        <f>'Respuestas de formulario 1'!G3039</f>
        <v/>
      </c>
      <c r="I398" s="7" t="str">
        <f>'Respuestas de formulario 1'!H3039</f>
        <v/>
      </c>
      <c r="J398" s="7" t="str">
        <f>'Respuestas de formulario 1'!I3039</f>
        <v/>
      </c>
      <c r="K398" s="7" t="str">
        <f>'Respuestas de formulario 1'!J3039</f>
        <v/>
      </c>
    </row>
    <row r="399">
      <c r="A399" s="7">
        <f t="shared" si="1"/>
        <v>399</v>
      </c>
      <c r="B399" s="7" t="str">
        <f>'Respuestas de formulario 1'!A3040</f>
        <v/>
      </c>
      <c r="C399" s="7" t="str">
        <f>'Respuestas de formulario 1'!B3040</f>
        <v/>
      </c>
      <c r="D399" s="7" t="str">
        <f>'Respuestas de formulario 1'!C3040</f>
        <v/>
      </c>
      <c r="E399" s="7" t="str">
        <f>'Respuestas de formulario 1'!D3040</f>
        <v/>
      </c>
      <c r="F399" s="7" t="str">
        <f>'Respuestas de formulario 1'!E3040</f>
        <v/>
      </c>
      <c r="G399" s="7" t="str">
        <f>'Respuestas de formulario 1'!F3040</f>
        <v/>
      </c>
      <c r="H399" s="7" t="str">
        <f>'Respuestas de formulario 1'!G3040</f>
        <v/>
      </c>
      <c r="I399" s="7" t="str">
        <f>'Respuestas de formulario 1'!H3040</f>
        <v/>
      </c>
      <c r="J399" s="7" t="str">
        <f>'Respuestas de formulario 1'!I3040</f>
        <v/>
      </c>
      <c r="K399" s="7" t="str">
        <f>'Respuestas de formulario 1'!J3040</f>
        <v/>
      </c>
    </row>
    <row r="400">
      <c r="A400" s="7">
        <f t="shared" si="1"/>
        <v>400</v>
      </c>
      <c r="B400" s="7" t="str">
        <f>'Respuestas de formulario 1'!A3041</f>
        <v/>
      </c>
      <c r="C400" s="7" t="str">
        <f>'Respuestas de formulario 1'!B3041</f>
        <v/>
      </c>
      <c r="D400" s="7" t="str">
        <f>'Respuestas de formulario 1'!C3041</f>
        <v/>
      </c>
      <c r="E400" s="7" t="str">
        <f>'Respuestas de formulario 1'!D3041</f>
        <v/>
      </c>
      <c r="F400" s="7" t="str">
        <f>'Respuestas de formulario 1'!E3041</f>
        <v/>
      </c>
      <c r="G400" s="7" t="str">
        <f>'Respuestas de formulario 1'!F3041</f>
        <v/>
      </c>
      <c r="H400" s="7" t="str">
        <f>'Respuestas de formulario 1'!G3041</f>
        <v/>
      </c>
      <c r="I400" s="7" t="str">
        <f>'Respuestas de formulario 1'!H3041</f>
        <v/>
      </c>
      <c r="J400" s="7" t="str">
        <f>'Respuestas de formulario 1'!I3041</f>
        <v/>
      </c>
      <c r="K400" s="7" t="str">
        <f>'Respuestas de formulario 1'!J3041</f>
        <v/>
      </c>
    </row>
    <row r="401">
      <c r="A401" s="7">
        <f t="shared" si="1"/>
        <v>401</v>
      </c>
      <c r="B401" s="7" t="str">
        <f>'Respuestas de formulario 1'!A3042</f>
        <v/>
      </c>
      <c r="C401" s="7" t="str">
        <f>'Respuestas de formulario 1'!B3042</f>
        <v/>
      </c>
      <c r="D401" s="7" t="str">
        <f>'Respuestas de formulario 1'!C3042</f>
        <v/>
      </c>
      <c r="E401" s="7" t="str">
        <f>'Respuestas de formulario 1'!D3042</f>
        <v/>
      </c>
      <c r="F401" s="7" t="str">
        <f>'Respuestas de formulario 1'!E3042</f>
        <v/>
      </c>
      <c r="G401" s="7" t="str">
        <f>'Respuestas de formulario 1'!F3042</f>
        <v/>
      </c>
      <c r="H401" s="7" t="str">
        <f>'Respuestas de formulario 1'!G3042</f>
        <v/>
      </c>
      <c r="I401" s="7" t="str">
        <f>'Respuestas de formulario 1'!H3042</f>
        <v/>
      </c>
      <c r="J401" s="7" t="str">
        <f>'Respuestas de formulario 1'!I3042</f>
        <v/>
      </c>
      <c r="K401" s="7" t="str">
        <f>'Respuestas de formulario 1'!J3042</f>
        <v/>
      </c>
    </row>
    <row r="402">
      <c r="A402" s="7">
        <f t="shared" si="1"/>
        <v>402</v>
      </c>
      <c r="B402" s="7" t="str">
        <f>'Respuestas de formulario 1'!A3043</f>
        <v/>
      </c>
      <c r="C402" s="7" t="str">
        <f>'Respuestas de formulario 1'!B3043</f>
        <v/>
      </c>
      <c r="D402" s="7" t="str">
        <f>'Respuestas de formulario 1'!C3043</f>
        <v/>
      </c>
      <c r="E402" s="7" t="str">
        <f>'Respuestas de formulario 1'!D3043</f>
        <v/>
      </c>
      <c r="F402" s="7" t="str">
        <f>'Respuestas de formulario 1'!E3043</f>
        <v/>
      </c>
      <c r="G402" s="7" t="str">
        <f>'Respuestas de formulario 1'!F3043</f>
        <v/>
      </c>
      <c r="H402" s="7" t="str">
        <f>'Respuestas de formulario 1'!G3043</f>
        <v/>
      </c>
      <c r="I402" s="7" t="str">
        <f>'Respuestas de formulario 1'!H3043</f>
        <v/>
      </c>
      <c r="J402" s="7" t="str">
        <f>'Respuestas de formulario 1'!I3043</f>
        <v/>
      </c>
      <c r="K402" s="7" t="str">
        <f>'Respuestas de formulario 1'!J3043</f>
        <v/>
      </c>
    </row>
    <row r="403">
      <c r="A403" s="7">
        <f t="shared" si="1"/>
        <v>403</v>
      </c>
      <c r="B403" s="7" t="str">
        <f>'Respuestas de formulario 1'!A3044</f>
        <v/>
      </c>
      <c r="C403" s="7" t="str">
        <f>'Respuestas de formulario 1'!B3044</f>
        <v/>
      </c>
      <c r="D403" s="7" t="str">
        <f>'Respuestas de formulario 1'!C3044</f>
        <v/>
      </c>
      <c r="E403" s="7" t="str">
        <f>'Respuestas de formulario 1'!D3044</f>
        <v/>
      </c>
      <c r="F403" s="7" t="str">
        <f>'Respuestas de formulario 1'!E3044</f>
        <v/>
      </c>
      <c r="G403" s="7" t="str">
        <f>'Respuestas de formulario 1'!F3044</f>
        <v/>
      </c>
      <c r="H403" s="7" t="str">
        <f>'Respuestas de formulario 1'!G3044</f>
        <v/>
      </c>
      <c r="I403" s="7" t="str">
        <f>'Respuestas de formulario 1'!H3044</f>
        <v/>
      </c>
      <c r="J403" s="7" t="str">
        <f>'Respuestas de formulario 1'!I3044</f>
        <v/>
      </c>
      <c r="K403" s="7" t="str">
        <f>'Respuestas de formulario 1'!J3044</f>
        <v/>
      </c>
    </row>
    <row r="404">
      <c r="A404" s="7">
        <f t="shared" si="1"/>
        <v>404</v>
      </c>
      <c r="B404" s="7" t="str">
        <f>'Respuestas de formulario 1'!A3045</f>
        <v/>
      </c>
      <c r="C404" s="7" t="str">
        <f>'Respuestas de formulario 1'!B3045</f>
        <v/>
      </c>
      <c r="D404" s="7" t="str">
        <f>'Respuestas de formulario 1'!C3045</f>
        <v/>
      </c>
      <c r="E404" s="7" t="str">
        <f>'Respuestas de formulario 1'!D3045</f>
        <v/>
      </c>
      <c r="F404" s="7" t="str">
        <f>'Respuestas de formulario 1'!E3045</f>
        <v/>
      </c>
      <c r="G404" s="7" t="str">
        <f>'Respuestas de formulario 1'!F3045</f>
        <v/>
      </c>
      <c r="H404" s="7" t="str">
        <f>'Respuestas de formulario 1'!G3045</f>
        <v/>
      </c>
      <c r="I404" s="7" t="str">
        <f>'Respuestas de formulario 1'!H3045</f>
        <v/>
      </c>
      <c r="J404" s="7" t="str">
        <f>'Respuestas de formulario 1'!I3045</f>
        <v/>
      </c>
      <c r="K404" s="7" t="str">
        <f>'Respuestas de formulario 1'!J3045</f>
        <v/>
      </c>
    </row>
    <row r="405">
      <c r="A405" s="7">
        <f t="shared" si="1"/>
        <v>405</v>
      </c>
      <c r="B405" s="7" t="str">
        <f>'Respuestas de formulario 1'!A3046</f>
        <v/>
      </c>
      <c r="C405" s="7" t="str">
        <f>'Respuestas de formulario 1'!B3046</f>
        <v/>
      </c>
      <c r="D405" s="7" t="str">
        <f>'Respuestas de formulario 1'!C3046</f>
        <v/>
      </c>
      <c r="E405" s="7" t="str">
        <f>'Respuestas de formulario 1'!D3046</f>
        <v/>
      </c>
      <c r="F405" s="7" t="str">
        <f>'Respuestas de formulario 1'!E3046</f>
        <v/>
      </c>
      <c r="G405" s="7" t="str">
        <f>'Respuestas de formulario 1'!F3046</f>
        <v/>
      </c>
      <c r="H405" s="7" t="str">
        <f>'Respuestas de formulario 1'!G3046</f>
        <v/>
      </c>
      <c r="I405" s="7" t="str">
        <f>'Respuestas de formulario 1'!H3046</f>
        <v/>
      </c>
      <c r="J405" s="7" t="str">
        <f>'Respuestas de formulario 1'!I3046</f>
        <v/>
      </c>
      <c r="K405" s="7" t="str">
        <f>'Respuestas de formulario 1'!J3046</f>
        <v/>
      </c>
    </row>
    <row r="406">
      <c r="A406" s="7">
        <f t="shared" si="1"/>
        <v>406</v>
      </c>
      <c r="B406" s="7" t="str">
        <f>'Respuestas de formulario 1'!A3047</f>
        <v/>
      </c>
      <c r="C406" s="7" t="str">
        <f>'Respuestas de formulario 1'!B3047</f>
        <v/>
      </c>
      <c r="D406" s="7" t="str">
        <f>'Respuestas de formulario 1'!C3047</f>
        <v/>
      </c>
      <c r="E406" s="7" t="str">
        <f>'Respuestas de formulario 1'!D3047</f>
        <v/>
      </c>
      <c r="F406" s="7" t="str">
        <f>'Respuestas de formulario 1'!E3047</f>
        <v/>
      </c>
      <c r="G406" s="7" t="str">
        <f>'Respuestas de formulario 1'!F3047</f>
        <v/>
      </c>
      <c r="H406" s="7" t="str">
        <f>'Respuestas de formulario 1'!G3047</f>
        <v/>
      </c>
      <c r="I406" s="7" t="str">
        <f>'Respuestas de formulario 1'!H3047</f>
        <v/>
      </c>
      <c r="J406" s="7" t="str">
        <f>'Respuestas de formulario 1'!I3047</f>
        <v/>
      </c>
      <c r="K406" s="7" t="str">
        <f>'Respuestas de formulario 1'!J3047</f>
        <v/>
      </c>
    </row>
    <row r="407">
      <c r="A407" s="7">
        <f t="shared" si="1"/>
        <v>407</v>
      </c>
      <c r="B407" s="7" t="str">
        <f>'Respuestas de formulario 1'!A3048</f>
        <v/>
      </c>
      <c r="C407" s="7" t="str">
        <f>'Respuestas de formulario 1'!B3048</f>
        <v/>
      </c>
      <c r="D407" s="7" t="str">
        <f>'Respuestas de formulario 1'!C3048</f>
        <v/>
      </c>
      <c r="E407" s="7" t="str">
        <f>'Respuestas de formulario 1'!D3048</f>
        <v/>
      </c>
      <c r="F407" s="7" t="str">
        <f>'Respuestas de formulario 1'!E3048</f>
        <v/>
      </c>
      <c r="G407" s="7" t="str">
        <f>'Respuestas de formulario 1'!F3048</f>
        <v/>
      </c>
      <c r="H407" s="7" t="str">
        <f>'Respuestas de formulario 1'!G3048</f>
        <v/>
      </c>
      <c r="I407" s="7" t="str">
        <f>'Respuestas de formulario 1'!H3048</f>
        <v/>
      </c>
      <c r="J407" s="7" t="str">
        <f>'Respuestas de formulario 1'!I3048</f>
        <v/>
      </c>
      <c r="K407" s="7" t="str">
        <f>'Respuestas de formulario 1'!J3048</f>
        <v/>
      </c>
    </row>
    <row r="408">
      <c r="A408" s="7">
        <f t="shared" si="1"/>
        <v>408</v>
      </c>
      <c r="B408" s="7" t="str">
        <f>'Respuestas de formulario 1'!A3049</f>
        <v/>
      </c>
      <c r="C408" s="7" t="str">
        <f>'Respuestas de formulario 1'!B3049</f>
        <v/>
      </c>
      <c r="D408" s="7" t="str">
        <f>'Respuestas de formulario 1'!C3049</f>
        <v/>
      </c>
      <c r="E408" s="7" t="str">
        <f>'Respuestas de formulario 1'!D3049</f>
        <v/>
      </c>
      <c r="F408" s="7" t="str">
        <f>'Respuestas de formulario 1'!E3049</f>
        <v/>
      </c>
      <c r="G408" s="7" t="str">
        <f>'Respuestas de formulario 1'!F3049</f>
        <v/>
      </c>
      <c r="H408" s="7" t="str">
        <f>'Respuestas de formulario 1'!G3049</f>
        <v/>
      </c>
      <c r="I408" s="7" t="str">
        <f>'Respuestas de formulario 1'!H3049</f>
        <v/>
      </c>
      <c r="J408" s="7" t="str">
        <f>'Respuestas de formulario 1'!I3049</f>
        <v/>
      </c>
      <c r="K408" s="7" t="str">
        <f>'Respuestas de formulario 1'!J3049</f>
        <v/>
      </c>
    </row>
    <row r="409">
      <c r="A409" s="7">
        <f t="shared" si="1"/>
        <v>409</v>
      </c>
      <c r="B409" s="7" t="str">
        <f>'Respuestas de formulario 1'!A3050</f>
        <v/>
      </c>
      <c r="C409" s="7" t="str">
        <f>'Respuestas de formulario 1'!B3050</f>
        <v/>
      </c>
      <c r="D409" s="7" t="str">
        <f>'Respuestas de formulario 1'!C3050</f>
        <v/>
      </c>
      <c r="E409" s="7" t="str">
        <f>'Respuestas de formulario 1'!D3050</f>
        <v/>
      </c>
      <c r="F409" s="7" t="str">
        <f>'Respuestas de formulario 1'!E3050</f>
        <v/>
      </c>
      <c r="G409" s="7" t="str">
        <f>'Respuestas de formulario 1'!F3050</f>
        <v/>
      </c>
      <c r="H409" s="7" t="str">
        <f>'Respuestas de formulario 1'!G3050</f>
        <v/>
      </c>
      <c r="I409" s="7" t="str">
        <f>'Respuestas de formulario 1'!H3050</f>
        <v/>
      </c>
      <c r="J409" s="7" t="str">
        <f>'Respuestas de formulario 1'!I3050</f>
        <v/>
      </c>
      <c r="K409" s="7" t="str">
        <f>'Respuestas de formulario 1'!J3050</f>
        <v/>
      </c>
    </row>
    <row r="410">
      <c r="A410" s="7">
        <f t="shared" si="1"/>
        <v>410</v>
      </c>
      <c r="B410" s="7" t="str">
        <f>'Respuestas de formulario 1'!A3051</f>
        <v/>
      </c>
      <c r="C410" s="7" t="str">
        <f>'Respuestas de formulario 1'!B3051</f>
        <v/>
      </c>
      <c r="D410" s="7" t="str">
        <f>'Respuestas de formulario 1'!C3051</f>
        <v/>
      </c>
      <c r="E410" s="7" t="str">
        <f>'Respuestas de formulario 1'!D3051</f>
        <v/>
      </c>
      <c r="F410" s="7" t="str">
        <f>'Respuestas de formulario 1'!E3051</f>
        <v/>
      </c>
      <c r="G410" s="7" t="str">
        <f>'Respuestas de formulario 1'!F3051</f>
        <v/>
      </c>
      <c r="H410" s="7" t="str">
        <f>'Respuestas de formulario 1'!G3051</f>
        <v/>
      </c>
      <c r="I410" s="7" t="str">
        <f>'Respuestas de formulario 1'!H3051</f>
        <v/>
      </c>
      <c r="J410" s="7" t="str">
        <f>'Respuestas de formulario 1'!I3051</f>
        <v/>
      </c>
      <c r="K410" s="7" t="str">
        <f>'Respuestas de formulario 1'!J3051</f>
        <v/>
      </c>
    </row>
    <row r="411">
      <c r="A411" s="7">
        <f t="shared" si="1"/>
        <v>411</v>
      </c>
      <c r="B411" s="7" t="str">
        <f>'Respuestas de formulario 1'!A3052</f>
        <v/>
      </c>
      <c r="C411" s="7" t="str">
        <f>'Respuestas de formulario 1'!B3052</f>
        <v/>
      </c>
      <c r="D411" s="7" t="str">
        <f>'Respuestas de formulario 1'!C3052</f>
        <v/>
      </c>
      <c r="E411" s="7" t="str">
        <f>'Respuestas de formulario 1'!D3052</f>
        <v/>
      </c>
      <c r="F411" s="7" t="str">
        <f>'Respuestas de formulario 1'!E3052</f>
        <v/>
      </c>
      <c r="G411" s="7" t="str">
        <f>'Respuestas de formulario 1'!F3052</f>
        <v/>
      </c>
      <c r="H411" s="7" t="str">
        <f>'Respuestas de formulario 1'!G3052</f>
        <v/>
      </c>
      <c r="I411" s="7" t="str">
        <f>'Respuestas de formulario 1'!H3052</f>
        <v/>
      </c>
      <c r="J411" s="7" t="str">
        <f>'Respuestas de formulario 1'!I3052</f>
        <v/>
      </c>
      <c r="K411" s="7" t="str">
        <f>'Respuestas de formulario 1'!J3052</f>
        <v/>
      </c>
    </row>
    <row r="412">
      <c r="A412" s="7">
        <f t="shared" si="1"/>
        <v>412</v>
      </c>
      <c r="B412" s="7" t="str">
        <f>'Respuestas de formulario 1'!A3053</f>
        <v/>
      </c>
      <c r="C412" s="7" t="str">
        <f>'Respuestas de formulario 1'!B3053</f>
        <v/>
      </c>
      <c r="D412" s="7" t="str">
        <f>'Respuestas de formulario 1'!C3053</f>
        <v/>
      </c>
      <c r="E412" s="7" t="str">
        <f>'Respuestas de formulario 1'!D3053</f>
        <v/>
      </c>
      <c r="F412" s="7" t="str">
        <f>'Respuestas de formulario 1'!E3053</f>
        <v/>
      </c>
      <c r="G412" s="7" t="str">
        <f>'Respuestas de formulario 1'!F3053</f>
        <v/>
      </c>
      <c r="H412" s="7" t="str">
        <f>'Respuestas de formulario 1'!G3053</f>
        <v/>
      </c>
      <c r="I412" s="7" t="str">
        <f>'Respuestas de formulario 1'!H3053</f>
        <v/>
      </c>
      <c r="J412" s="7" t="str">
        <f>'Respuestas de formulario 1'!I3053</f>
        <v/>
      </c>
      <c r="K412" s="7" t="str">
        <f>'Respuestas de formulario 1'!J3053</f>
        <v/>
      </c>
    </row>
    <row r="413">
      <c r="A413" s="7">
        <f t="shared" si="1"/>
        <v>413</v>
      </c>
      <c r="B413" s="7" t="str">
        <f>'Respuestas de formulario 1'!A3054</f>
        <v/>
      </c>
      <c r="C413" s="7" t="str">
        <f>'Respuestas de formulario 1'!B3054</f>
        <v/>
      </c>
      <c r="D413" s="7" t="str">
        <f>'Respuestas de formulario 1'!C3054</f>
        <v/>
      </c>
      <c r="E413" s="7" t="str">
        <f>'Respuestas de formulario 1'!D3054</f>
        <v/>
      </c>
      <c r="F413" s="7" t="str">
        <f>'Respuestas de formulario 1'!E3054</f>
        <v/>
      </c>
      <c r="G413" s="7" t="str">
        <f>'Respuestas de formulario 1'!F3054</f>
        <v/>
      </c>
      <c r="H413" s="7" t="str">
        <f>'Respuestas de formulario 1'!G3054</f>
        <v/>
      </c>
      <c r="I413" s="7" t="str">
        <f>'Respuestas de formulario 1'!H3054</f>
        <v/>
      </c>
      <c r="J413" s="7" t="str">
        <f>'Respuestas de formulario 1'!I3054</f>
        <v/>
      </c>
      <c r="K413" s="7" t="str">
        <f>'Respuestas de formulario 1'!J3054</f>
        <v/>
      </c>
    </row>
    <row r="414">
      <c r="A414" s="7">
        <f t="shared" si="1"/>
        <v>414</v>
      </c>
      <c r="B414" s="7" t="str">
        <f>'Respuestas de formulario 1'!A3055</f>
        <v/>
      </c>
      <c r="C414" s="7" t="str">
        <f>'Respuestas de formulario 1'!B3055</f>
        <v/>
      </c>
      <c r="D414" s="7" t="str">
        <f>'Respuestas de formulario 1'!C3055</f>
        <v/>
      </c>
      <c r="E414" s="7" t="str">
        <f>'Respuestas de formulario 1'!D3055</f>
        <v/>
      </c>
      <c r="F414" s="7" t="str">
        <f>'Respuestas de formulario 1'!E3055</f>
        <v/>
      </c>
      <c r="G414" s="7" t="str">
        <f>'Respuestas de formulario 1'!F3055</f>
        <v/>
      </c>
      <c r="H414" s="7" t="str">
        <f>'Respuestas de formulario 1'!G3055</f>
        <v/>
      </c>
      <c r="I414" s="7" t="str">
        <f>'Respuestas de formulario 1'!H3055</f>
        <v/>
      </c>
      <c r="J414" s="7" t="str">
        <f>'Respuestas de formulario 1'!I3055</f>
        <v/>
      </c>
      <c r="K414" s="7" t="str">
        <f>'Respuestas de formulario 1'!J3055</f>
        <v/>
      </c>
    </row>
    <row r="415">
      <c r="A415" s="7">
        <f t="shared" si="1"/>
        <v>415</v>
      </c>
      <c r="B415" s="7" t="str">
        <f>'Respuestas de formulario 1'!A3056</f>
        <v/>
      </c>
      <c r="C415" s="7" t="str">
        <f>'Respuestas de formulario 1'!B3056</f>
        <v/>
      </c>
      <c r="D415" s="7" t="str">
        <f>'Respuestas de formulario 1'!C3056</f>
        <v/>
      </c>
      <c r="E415" s="7" t="str">
        <f>'Respuestas de formulario 1'!D3056</f>
        <v/>
      </c>
      <c r="F415" s="7" t="str">
        <f>'Respuestas de formulario 1'!E3056</f>
        <v/>
      </c>
      <c r="G415" s="7" t="str">
        <f>'Respuestas de formulario 1'!F3056</f>
        <v/>
      </c>
      <c r="H415" s="7" t="str">
        <f>'Respuestas de formulario 1'!G3056</f>
        <v/>
      </c>
      <c r="I415" s="7" t="str">
        <f>'Respuestas de formulario 1'!H3056</f>
        <v/>
      </c>
      <c r="J415" s="7" t="str">
        <f>'Respuestas de formulario 1'!I3056</f>
        <v/>
      </c>
      <c r="K415" s="7" t="str">
        <f>'Respuestas de formulario 1'!J3056</f>
        <v/>
      </c>
    </row>
    <row r="416">
      <c r="A416" s="7">
        <f t="shared" si="1"/>
        <v>416</v>
      </c>
      <c r="B416" s="7" t="str">
        <f>'Respuestas de formulario 1'!A3057</f>
        <v/>
      </c>
      <c r="C416" s="7" t="str">
        <f>'Respuestas de formulario 1'!B3057</f>
        <v/>
      </c>
      <c r="D416" s="7" t="str">
        <f>'Respuestas de formulario 1'!C3057</f>
        <v/>
      </c>
      <c r="E416" s="7" t="str">
        <f>'Respuestas de formulario 1'!D3057</f>
        <v/>
      </c>
      <c r="F416" s="7" t="str">
        <f>'Respuestas de formulario 1'!E3057</f>
        <v/>
      </c>
      <c r="G416" s="7" t="str">
        <f>'Respuestas de formulario 1'!F3057</f>
        <v/>
      </c>
      <c r="H416" s="7" t="str">
        <f>'Respuestas de formulario 1'!G3057</f>
        <v/>
      </c>
      <c r="I416" s="7" t="str">
        <f>'Respuestas de formulario 1'!H3057</f>
        <v/>
      </c>
      <c r="J416" s="7" t="str">
        <f>'Respuestas de formulario 1'!I3057</f>
        <v/>
      </c>
      <c r="K416" s="7" t="str">
        <f>'Respuestas de formulario 1'!J3057</f>
        <v/>
      </c>
    </row>
    <row r="417">
      <c r="A417" s="7">
        <f t="shared" si="1"/>
        <v>417</v>
      </c>
      <c r="B417" s="7" t="str">
        <f>'Respuestas de formulario 1'!A3058</f>
        <v/>
      </c>
      <c r="C417" s="7" t="str">
        <f>'Respuestas de formulario 1'!B3058</f>
        <v/>
      </c>
      <c r="D417" s="7" t="str">
        <f>'Respuestas de formulario 1'!C3058</f>
        <v/>
      </c>
      <c r="E417" s="7" t="str">
        <f>'Respuestas de formulario 1'!D3058</f>
        <v/>
      </c>
      <c r="F417" s="7" t="str">
        <f>'Respuestas de formulario 1'!E3058</f>
        <v/>
      </c>
      <c r="G417" s="7" t="str">
        <f>'Respuestas de formulario 1'!F3058</f>
        <v/>
      </c>
      <c r="H417" s="7" t="str">
        <f>'Respuestas de formulario 1'!G3058</f>
        <v/>
      </c>
      <c r="I417" s="7" t="str">
        <f>'Respuestas de formulario 1'!H3058</f>
        <v/>
      </c>
      <c r="J417" s="7" t="str">
        <f>'Respuestas de formulario 1'!I3058</f>
        <v/>
      </c>
      <c r="K417" s="7" t="str">
        <f>'Respuestas de formulario 1'!J3058</f>
        <v/>
      </c>
    </row>
    <row r="418">
      <c r="A418" s="7">
        <f t="shared" si="1"/>
        <v>418</v>
      </c>
      <c r="B418" s="7" t="str">
        <f>'Respuestas de formulario 1'!A3059</f>
        <v/>
      </c>
      <c r="C418" s="7" t="str">
        <f>'Respuestas de formulario 1'!B3059</f>
        <v/>
      </c>
      <c r="D418" s="7" t="str">
        <f>'Respuestas de formulario 1'!C3059</f>
        <v/>
      </c>
      <c r="E418" s="7" t="str">
        <f>'Respuestas de formulario 1'!D3059</f>
        <v/>
      </c>
      <c r="F418" s="7" t="str">
        <f>'Respuestas de formulario 1'!E3059</f>
        <v/>
      </c>
      <c r="G418" s="7" t="str">
        <f>'Respuestas de formulario 1'!F3059</f>
        <v/>
      </c>
      <c r="H418" s="7" t="str">
        <f>'Respuestas de formulario 1'!G3059</f>
        <v/>
      </c>
      <c r="I418" s="7" t="str">
        <f>'Respuestas de formulario 1'!H3059</f>
        <v/>
      </c>
      <c r="J418" s="7" t="str">
        <f>'Respuestas de formulario 1'!I3059</f>
        <v/>
      </c>
      <c r="K418" s="7" t="str">
        <f>'Respuestas de formulario 1'!J3059</f>
        <v/>
      </c>
    </row>
    <row r="419">
      <c r="A419" s="7">
        <f t="shared" si="1"/>
        <v>419</v>
      </c>
      <c r="B419" s="7" t="str">
        <f>'Respuestas de formulario 1'!A3060</f>
        <v/>
      </c>
      <c r="C419" s="7" t="str">
        <f>'Respuestas de formulario 1'!B3060</f>
        <v/>
      </c>
      <c r="D419" s="7" t="str">
        <f>'Respuestas de formulario 1'!C3060</f>
        <v/>
      </c>
      <c r="E419" s="7" t="str">
        <f>'Respuestas de formulario 1'!D3060</f>
        <v/>
      </c>
      <c r="F419" s="7" t="str">
        <f>'Respuestas de formulario 1'!E3060</f>
        <v/>
      </c>
      <c r="G419" s="7" t="str">
        <f>'Respuestas de formulario 1'!F3060</f>
        <v/>
      </c>
      <c r="H419" s="7" t="str">
        <f>'Respuestas de formulario 1'!G3060</f>
        <v/>
      </c>
      <c r="I419" s="7" t="str">
        <f>'Respuestas de formulario 1'!H3060</f>
        <v/>
      </c>
      <c r="J419" s="7" t="str">
        <f>'Respuestas de formulario 1'!I3060</f>
        <v/>
      </c>
      <c r="K419" s="7" t="str">
        <f>'Respuestas de formulario 1'!J3060</f>
        <v/>
      </c>
    </row>
    <row r="420">
      <c r="A420" s="7">
        <f t="shared" si="1"/>
        <v>420</v>
      </c>
      <c r="B420" s="7" t="str">
        <f>'Respuestas de formulario 1'!A3061</f>
        <v/>
      </c>
      <c r="C420" s="7" t="str">
        <f>'Respuestas de formulario 1'!B3061</f>
        <v/>
      </c>
      <c r="D420" s="7" t="str">
        <f>'Respuestas de formulario 1'!C3061</f>
        <v/>
      </c>
      <c r="E420" s="7" t="str">
        <f>'Respuestas de formulario 1'!D3061</f>
        <v/>
      </c>
      <c r="F420" s="7" t="str">
        <f>'Respuestas de formulario 1'!E3061</f>
        <v/>
      </c>
      <c r="G420" s="7" t="str">
        <f>'Respuestas de formulario 1'!F3061</f>
        <v/>
      </c>
      <c r="H420" s="7" t="str">
        <f>'Respuestas de formulario 1'!G3061</f>
        <v/>
      </c>
      <c r="I420" s="7" t="str">
        <f>'Respuestas de formulario 1'!H3061</f>
        <v/>
      </c>
      <c r="J420" s="7" t="str">
        <f>'Respuestas de formulario 1'!I3061</f>
        <v/>
      </c>
      <c r="K420" s="7" t="str">
        <f>'Respuestas de formulario 1'!J3061</f>
        <v/>
      </c>
    </row>
    <row r="421">
      <c r="A421" s="7">
        <f t="shared" si="1"/>
        <v>421</v>
      </c>
      <c r="B421" s="7" t="str">
        <f>'Respuestas de formulario 1'!A3062</f>
        <v/>
      </c>
      <c r="C421" s="7" t="str">
        <f>'Respuestas de formulario 1'!B3062</f>
        <v/>
      </c>
      <c r="D421" s="7" t="str">
        <f>'Respuestas de formulario 1'!C3062</f>
        <v/>
      </c>
      <c r="E421" s="7" t="str">
        <f>'Respuestas de formulario 1'!D3062</f>
        <v/>
      </c>
      <c r="F421" s="7" t="str">
        <f>'Respuestas de formulario 1'!E3062</f>
        <v/>
      </c>
      <c r="G421" s="7" t="str">
        <f>'Respuestas de formulario 1'!F3062</f>
        <v/>
      </c>
      <c r="H421" s="7" t="str">
        <f>'Respuestas de formulario 1'!G3062</f>
        <v/>
      </c>
      <c r="I421" s="7" t="str">
        <f>'Respuestas de formulario 1'!H3062</f>
        <v/>
      </c>
      <c r="J421" s="7" t="str">
        <f>'Respuestas de formulario 1'!I3062</f>
        <v/>
      </c>
      <c r="K421" s="7" t="str">
        <f>'Respuestas de formulario 1'!J3062</f>
        <v/>
      </c>
    </row>
    <row r="422">
      <c r="A422" s="7">
        <f t="shared" si="1"/>
        <v>422</v>
      </c>
      <c r="B422" s="7" t="str">
        <f>'Respuestas de formulario 1'!A3063</f>
        <v/>
      </c>
      <c r="C422" s="7" t="str">
        <f>'Respuestas de formulario 1'!B3063</f>
        <v/>
      </c>
      <c r="D422" s="7" t="str">
        <f>'Respuestas de formulario 1'!C3063</f>
        <v/>
      </c>
      <c r="E422" s="7" t="str">
        <f>'Respuestas de formulario 1'!D3063</f>
        <v/>
      </c>
      <c r="F422" s="7" t="str">
        <f>'Respuestas de formulario 1'!E3063</f>
        <v/>
      </c>
      <c r="G422" s="7" t="str">
        <f>'Respuestas de formulario 1'!F3063</f>
        <v/>
      </c>
      <c r="H422" s="7" t="str">
        <f>'Respuestas de formulario 1'!G3063</f>
        <v/>
      </c>
      <c r="I422" s="7" t="str">
        <f>'Respuestas de formulario 1'!H3063</f>
        <v/>
      </c>
      <c r="J422" s="7" t="str">
        <f>'Respuestas de formulario 1'!I3063</f>
        <v/>
      </c>
      <c r="K422" s="7" t="str">
        <f>'Respuestas de formulario 1'!J3063</f>
        <v/>
      </c>
    </row>
    <row r="423">
      <c r="A423" s="7">
        <f t="shared" si="1"/>
        <v>423</v>
      </c>
      <c r="B423" s="7" t="str">
        <f>'Respuestas de formulario 1'!A3064</f>
        <v/>
      </c>
      <c r="C423" s="7" t="str">
        <f>'Respuestas de formulario 1'!B3064</f>
        <v/>
      </c>
      <c r="D423" s="7" t="str">
        <f>'Respuestas de formulario 1'!C3064</f>
        <v/>
      </c>
      <c r="E423" s="7" t="str">
        <f>'Respuestas de formulario 1'!D3064</f>
        <v/>
      </c>
      <c r="F423" s="7" t="str">
        <f>'Respuestas de formulario 1'!E3064</f>
        <v/>
      </c>
      <c r="G423" s="7" t="str">
        <f>'Respuestas de formulario 1'!F3064</f>
        <v/>
      </c>
      <c r="H423" s="7" t="str">
        <f>'Respuestas de formulario 1'!G3064</f>
        <v/>
      </c>
      <c r="I423" s="7" t="str">
        <f>'Respuestas de formulario 1'!H3064</f>
        <v/>
      </c>
      <c r="J423" s="7" t="str">
        <f>'Respuestas de formulario 1'!I3064</f>
        <v/>
      </c>
      <c r="K423" s="7" t="str">
        <f>'Respuestas de formulario 1'!J3064</f>
        <v/>
      </c>
    </row>
    <row r="424">
      <c r="A424" s="7">
        <f t="shared" si="1"/>
        <v>424</v>
      </c>
      <c r="B424" s="7" t="str">
        <f>'Respuestas de formulario 1'!A3065</f>
        <v/>
      </c>
      <c r="C424" s="7" t="str">
        <f>'Respuestas de formulario 1'!B3065</f>
        <v/>
      </c>
      <c r="D424" s="7" t="str">
        <f>'Respuestas de formulario 1'!C3065</f>
        <v/>
      </c>
      <c r="E424" s="7" t="str">
        <f>'Respuestas de formulario 1'!D3065</f>
        <v/>
      </c>
      <c r="F424" s="7" t="str">
        <f>'Respuestas de formulario 1'!E3065</f>
        <v/>
      </c>
      <c r="G424" s="7" t="str">
        <f>'Respuestas de formulario 1'!F3065</f>
        <v/>
      </c>
      <c r="H424" s="7" t="str">
        <f>'Respuestas de formulario 1'!G3065</f>
        <v/>
      </c>
      <c r="I424" s="7" t="str">
        <f>'Respuestas de formulario 1'!H3065</f>
        <v/>
      </c>
      <c r="J424" s="7" t="str">
        <f>'Respuestas de formulario 1'!I3065</f>
        <v/>
      </c>
      <c r="K424" s="7" t="str">
        <f>'Respuestas de formulario 1'!J3065</f>
        <v/>
      </c>
    </row>
    <row r="425">
      <c r="A425" s="7">
        <f t="shared" si="1"/>
        <v>425</v>
      </c>
      <c r="B425" s="7" t="str">
        <f>'Respuestas de formulario 1'!A3066</f>
        <v/>
      </c>
      <c r="C425" s="7" t="str">
        <f>'Respuestas de formulario 1'!B3066</f>
        <v/>
      </c>
      <c r="D425" s="7" t="str">
        <f>'Respuestas de formulario 1'!C3066</f>
        <v/>
      </c>
      <c r="E425" s="7" t="str">
        <f>'Respuestas de formulario 1'!D3066</f>
        <v/>
      </c>
      <c r="F425" s="7" t="str">
        <f>'Respuestas de formulario 1'!E3066</f>
        <v/>
      </c>
      <c r="G425" s="7" t="str">
        <f>'Respuestas de formulario 1'!F3066</f>
        <v/>
      </c>
      <c r="H425" s="7" t="str">
        <f>'Respuestas de formulario 1'!G3066</f>
        <v/>
      </c>
      <c r="I425" s="7" t="str">
        <f>'Respuestas de formulario 1'!H3066</f>
        <v/>
      </c>
      <c r="J425" s="7" t="str">
        <f>'Respuestas de formulario 1'!I3066</f>
        <v/>
      </c>
      <c r="K425" s="7" t="str">
        <f>'Respuestas de formulario 1'!J3066</f>
        <v/>
      </c>
    </row>
    <row r="426">
      <c r="A426" s="7">
        <f t="shared" si="1"/>
        <v>426</v>
      </c>
      <c r="B426" s="7" t="str">
        <f>'Respuestas de formulario 1'!A3067</f>
        <v/>
      </c>
      <c r="C426" s="7" t="str">
        <f>'Respuestas de formulario 1'!B3067</f>
        <v/>
      </c>
      <c r="D426" s="7" t="str">
        <f>'Respuestas de formulario 1'!C3067</f>
        <v/>
      </c>
      <c r="E426" s="7" t="str">
        <f>'Respuestas de formulario 1'!D3067</f>
        <v/>
      </c>
      <c r="F426" s="7" t="str">
        <f>'Respuestas de formulario 1'!E3067</f>
        <v/>
      </c>
      <c r="G426" s="7" t="str">
        <f>'Respuestas de formulario 1'!F3067</f>
        <v/>
      </c>
      <c r="H426" s="7" t="str">
        <f>'Respuestas de formulario 1'!G3067</f>
        <v/>
      </c>
      <c r="I426" s="7" t="str">
        <f>'Respuestas de formulario 1'!H3067</f>
        <v/>
      </c>
      <c r="J426" s="7" t="str">
        <f>'Respuestas de formulario 1'!I3067</f>
        <v/>
      </c>
      <c r="K426" s="7" t="str">
        <f>'Respuestas de formulario 1'!J3067</f>
        <v/>
      </c>
    </row>
    <row r="427">
      <c r="A427" s="7">
        <f t="shared" si="1"/>
        <v>427</v>
      </c>
      <c r="B427" s="7" t="str">
        <f>'Respuestas de formulario 1'!A3068</f>
        <v/>
      </c>
      <c r="C427" s="7" t="str">
        <f>'Respuestas de formulario 1'!B3068</f>
        <v/>
      </c>
      <c r="D427" s="7" t="str">
        <f>'Respuestas de formulario 1'!C3068</f>
        <v/>
      </c>
      <c r="E427" s="7" t="str">
        <f>'Respuestas de formulario 1'!D3068</f>
        <v/>
      </c>
      <c r="F427" s="7" t="str">
        <f>'Respuestas de formulario 1'!E3068</f>
        <v/>
      </c>
      <c r="G427" s="7" t="str">
        <f>'Respuestas de formulario 1'!F3068</f>
        <v/>
      </c>
      <c r="H427" s="7" t="str">
        <f>'Respuestas de formulario 1'!G3068</f>
        <v/>
      </c>
      <c r="I427" s="7" t="str">
        <f>'Respuestas de formulario 1'!H3068</f>
        <v/>
      </c>
      <c r="J427" s="7" t="str">
        <f>'Respuestas de formulario 1'!I3068</f>
        <v/>
      </c>
      <c r="K427" s="7" t="str">
        <f>'Respuestas de formulario 1'!J3068</f>
        <v/>
      </c>
    </row>
    <row r="428">
      <c r="A428" s="7">
        <f t="shared" si="1"/>
        <v>428</v>
      </c>
      <c r="B428" s="7" t="str">
        <f>'Respuestas de formulario 1'!A3069</f>
        <v/>
      </c>
      <c r="C428" s="7" t="str">
        <f>'Respuestas de formulario 1'!B3069</f>
        <v/>
      </c>
      <c r="D428" s="7" t="str">
        <f>'Respuestas de formulario 1'!C3069</f>
        <v/>
      </c>
      <c r="E428" s="7" t="str">
        <f>'Respuestas de formulario 1'!D3069</f>
        <v/>
      </c>
      <c r="F428" s="7" t="str">
        <f>'Respuestas de formulario 1'!E3069</f>
        <v/>
      </c>
      <c r="G428" s="7" t="str">
        <f>'Respuestas de formulario 1'!F3069</f>
        <v/>
      </c>
      <c r="H428" s="7" t="str">
        <f>'Respuestas de formulario 1'!G3069</f>
        <v/>
      </c>
      <c r="I428" s="7" t="str">
        <f>'Respuestas de formulario 1'!H3069</f>
        <v/>
      </c>
      <c r="J428" s="7" t="str">
        <f>'Respuestas de formulario 1'!I3069</f>
        <v/>
      </c>
      <c r="K428" s="7" t="str">
        <f>'Respuestas de formulario 1'!J3069</f>
        <v/>
      </c>
    </row>
    <row r="429">
      <c r="A429" s="7">
        <f t="shared" si="1"/>
        <v>429</v>
      </c>
      <c r="B429" s="7" t="str">
        <f>'Respuestas de formulario 1'!A3070</f>
        <v/>
      </c>
      <c r="C429" s="7" t="str">
        <f>'Respuestas de formulario 1'!B3070</f>
        <v/>
      </c>
      <c r="D429" s="7" t="str">
        <f>'Respuestas de formulario 1'!C3070</f>
        <v/>
      </c>
      <c r="E429" s="7" t="str">
        <f>'Respuestas de formulario 1'!D3070</f>
        <v/>
      </c>
      <c r="F429" s="7" t="str">
        <f>'Respuestas de formulario 1'!E3070</f>
        <v/>
      </c>
      <c r="G429" s="7" t="str">
        <f>'Respuestas de formulario 1'!F3070</f>
        <v/>
      </c>
      <c r="H429" s="7" t="str">
        <f>'Respuestas de formulario 1'!G3070</f>
        <v/>
      </c>
      <c r="I429" s="7" t="str">
        <f>'Respuestas de formulario 1'!H3070</f>
        <v/>
      </c>
      <c r="J429" s="7" t="str">
        <f>'Respuestas de formulario 1'!I3070</f>
        <v/>
      </c>
      <c r="K429" s="7" t="str">
        <f>'Respuestas de formulario 1'!J3070</f>
        <v/>
      </c>
    </row>
    <row r="430">
      <c r="A430" s="7">
        <f t="shared" si="1"/>
        <v>430</v>
      </c>
      <c r="B430" s="7" t="str">
        <f>'Respuestas de formulario 1'!A3071</f>
        <v/>
      </c>
      <c r="C430" s="7" t="str">
        <f>'Respuestas de formulario 1'!B3071</f>
        <v/>
      </c>
      <c r="D430" s="7" t="str">
        <f>'Respuestas de formulario 1'!C3071</f>
        <v/>
      </c>
      <c r="E430" s="7" t="str">
        <f>'Respuestas de formulario 1'!D3071</f>
        <v/>
      </c>
      <c r="F430" s="7" t="str">
        <f>'Respuestas de formulario 1'!E3071</f>
        <v/>
      </c>
      <c r="G430" s="7" t="str">
        <f>'Respuestas de formulario 1'!F3071</f>
        <v/>
      </c>
      <c r="H430" s="7" t="str">
        <f>'Respuestas de formulario 1'!G3071</f>
        <v/>
      </c>
      <c r="I430" s="7" t="str">
        <f>'Respuestas de formulario 1'!H3071</f>
        <v/>
      </c>
      <c r="J430" s="7" t="str">
        <f>'Respuestas de formulario 1'!I3071</f>
        <v/>
      </c>
      <c r="K430" s="7" t="str">
        <f>'Respuestas de formulario 1'!J3071</f>
        <v/>
      </c>
    </row>
    <row r="431">
      <c r="A431" s="7">
        <f t="shared" si="1"/>
        <v>431</v>
      </c>
      <c r="B431" s="7" t="str">
        <f>'Respuestas de formulario 1'!A3072</f>
        <v/>
      </c>
      <c r="C431" s="7" t="str">
        <f>'Respuestas de formulario 1'!B3072</f>
        <v/>
      </c>
      <c r="D431" s="7" t="str">
        <f>'Respuestas de formulario 1'!C3072</f>
        <v/>
      </c>
      <c r="E431" s="7" t="str">
        <f>'Respuestas de formulario 1'!D3072</f>
        <v/>
      </c>
      <c r="F431" s="7" t="str">
        <f>'Respuestas de formulario 1'!E3072</f>
        <v/>
      </c>
      <c r="G431" s="7" t="str">
        <f>'Respuestas de formulario 1'!F3072</f>
        <v/>
      </c>
      <c r="H431" s="7" t="str">
        <f>'Respuestas de formulario 1'!G3072</f>
        <v/>
      </c>
      <c r="I431" s="7" t="str">
        <f>'Respuestas de formulario 1'!H3072</f>
        <v/>
      </c>
      <c r="J431" s="7" t="str">
        <f>'Respuestas de formulario 1'!I3072</f>
        <v/>
      </c>
      <c r="K431" s="7" t="str">
        <f>'Respuestas de formulario 1'!J3072</f>
        <v/>
      </c>
    </row>
    <row r="432">
      <c r="A432" s="7">
        <f t="shared" si="1"/>
        <v>432</v>
      </c>
      <c r="B432" s="7" t="str">
        <f>'Respuestas de formulario 1'!A3073</f>
        <v/>
      </c>
      <c r="C432" s="7" t="str">
        <f>'Respuestas de formulario 1'!B3073</f>
        <v/>
      </c>
      <c r="D432" s="7" t="str">
        <f>'Respuestas de formulario 1'!C3073</f>
        <v/>
      </c>
      <c r="E432" s="7" t="str">
        <f>'Respuestas de formulario 1'!D3073</f>
        <v/>
      </c>
      <c r="F432" s="7" t="str">
        <f>'Respuestas de formulario 1'!E3073</f>
        <v/>
      </c>
      <c r="G432" s="7" t="str">
        <f>'Respuestas de formulario 1'!F3073</f>
        <v/>
      </c>
      <c r="H432" s="7" t="str">
        <f>'Respuestas de formulario 1'!G3073</f>
        <v/>
      </c>
      <c r="I432" s="7" t="str">
        <f>'Respuestas de formulario 1'!H3073</f>
        <v/>
      </c>
      <c r="J432" s="7" t="str">
        <f>'Respuestas de formulario 1'!I3073</f>
        <v/>
      </c>
      <c r="K432" s="7" t="str">
        <f>'Respuestas de formulario 1'!J3073</f>
        <v/>
      </c>
    </row>
    <row r="433">
      <c r="A433" s="7">
        <f t="shared" si="1"/>
        <v>433</v>
      </c>
      <c r="B433" s="7" t="str">
        <f>'Respuestas de formulario 1'!A3074</f>
        <v/>
      </c>
      <c r="C433" s="7" t="str">
        <f>'Respuestas de formulario 1'!B3074</f>
        <v/>
      </c>
      <c r="D433" s="7" t="str">
        <f>'Respuestas de formulario 1'!C3074</f>
        <v/>
      </c>
      <c r="E433" s="7" t="str">
        <f>'Respuestas de formulario 1'!D3074</f>
        <v/>
      </c>
      <c r="F433" s="7" t="str">
        <f>'Respuestas de formulario 1'!E3074</f>
        <v/>
      </c>
      <c r="G433" s="7" t="str">
        <f>'Respuestas de formulario 1'!F3074</f>
        <v/>
      </c>
      <c r="H433" s="7" t="str">
        <f>'Respuestas de formulario 1'!G3074</f>
        <v/>
      </c>
      <c r="I433" s="7" t="str">
        <f>'Respuestas de formulario 1'!H3074</f>
        <v/>
      </c>
      <c r="J433" s="7" t="str">
        <f>'Respuestas de formulario 1'!I3074</f>
        <v/>
      </c>
      <c r="K433" s="7" t="str">
        <f>'Respuestas de formulario 1'!J3074</f>
        <v/>
      </c>
    </row>
    <row r="434">
      <c r="A434" s="7">
        <f t="shared" si="1"/>
        <v>434</v>
      </c>
      <c r="B434" s="7" t="str">
        <f>'Respuestas de formulario 1'!A3075</f>
        <v/>
      </c>
      <c r="C434" s="7" t="str">
        <f>'Respuestas de formulario 1'!B3075</f>
        <v/>
      </c>
      <c r="D434" s="7" t="str">
        <f>'Respuestas de formulario 1'!C3075</f>
        <v/>
      </c>
      <c r="E434" s="7" t="str">
        <f>'Respuestas de formulario 1'!D3075</f>
        <v/>
      </c>
      <c r="F434" s="7" t="str">
        <f>'Respuestas de formulario 1'!E3075</f>
        <v/>
      </c>
      <c r="G434" s="7" t="str">
        <f>'Respuestas de formulario 1'!F3075</f>
        <v/>
      </c>
      <c r="H434" s="7" t="str">
        <f>'Respuestas de formulario 1'!G3075</f>
        <v/>
      </c>
      <c r="I434" s="7" t="str">
        <f>'Respuestas de formulario 1'!H3075</f>
        <v/>
      </c>
      <c r="J434" s="7" t="str">
        <f>'Respuestas de formulario 1'!I3075</f>
        <v/>
      </c>
      <c r="K434" s="7" t="str">
        <f>'Respuestas de formulario 1'!J3075</f>
        <v/>
      </c>
    </row>
    <row r="435">
      <c r="A435" s="7">
        <f t="shared" si="1"/>
        <v>435</v>
      </c>
      <c r="B435" s="7" t="str">
        <f>'Respuestas de formulario 1'!A3076</f>
        <v/>
      </c>
      <c r="C435" s="7" t="str">
        <f>'Respuestas de formulario 1'!B3076</f>
        <v/>
      </c>
      <c r="D435" s="7" t="str">
        <f>'Respuestas de formulario 1'!C3076</f>
        <v/>
      </c>
      <c r="E435" s="7" t="str">
        <f>'Respuestas de formulario 1'!D3076</f>
        <v/>
      </c>
      <c r="F435" s="7" t="str">
        <f>'Respuestas de formulario 1'!E3076</f>
        <v/>
      </c>
      <c r="G435" s="7" t="str">
        <f>'Respuestas de formulario 1'!F3076</f>
        <v/>
      </c>
      <c r="H435" s="7" t="str">
        <f>'Respuestas de formulario 1'!G3076</f>
        <v/>
      </c>
      <c r="I435" s="7" t="str">
        <f>'Respuestas de formulario 1'!H3076</f>
        <v/>
      </c>
      <c r="J435" s="7" t="str">
        <f>'Respuestas de formulario 1'!I3076</f>
        <v/>
      </c>
      <c r="K435" s="7" t="str">
        <f>'Respuestas de formulario 1'!J3076</f>
        <v/>
      </c>
    </row>
    <row r="436">
      <c r="A436" s="7">
        <f t="shared" si="1"/>
        <v>436</v>
      </c>
      <c r="B436" s="7" t="str">
        <f>'Respuestas de formulario 1'!A3077</f>
        <v/>
      </c>
      <c r="C436" s="7" t="str">
        <f>'Respuestas de formulario 1'!B3077</f>
        <v/>
      </c>
      <c r="D436" s="7" t="str">
        <f>'Respuestas de formulario 1'!C3077</f>
        <v/>
      </c>
      <c r="E436" s="7" t="str">
        <f>'Respuestas de formulario 1'!D3077</f>
        <v/>
      </c>
      <c r="F436" s="7" t="str">
        <f>'Respuestas de formulario 1'!E3077</f>
        <v/>
      </c>
      <c r="G436" s="7" t="str">
        <f>'Respuestas de formulario 1'!F3077</f>
        <v/>
      </c>
      <c r="H436" s="7" t="str">
        <f>'Respuestas de formulario 1'!G3077</f>
        <v/>
      </c>
      <c r="I436" s="7" t="str">
        <f>'Respuestas de formulario 1'!H3077</f>
        <v/>
      </c>
      <c r="J436" s="7" t="str">
        <f>'Respuestas de formulario 1'!I3077</f>
        <v/>
      </c>
      <c r="K436" s="7" t="str">
        <f>'Respuestas de formulario 1'!J3077</f>
        <v/>
      </c>
    </row>
    <row r="437">
      <c r="A437" s="7">
        <f t="shared" si="1"/>
        <v>437</v>
      </c>
      <c r="B437" s="7" t="str">
        <f>'Respuestas de formulario 1'!A3078</f>
        <v/>
      </c>
      <c r="C437" s="7" t="str">
        <f>'Respuestas de formulario 1'!B3078</f>
        <v/>
      </c>
      <c r="D437" s="7" t="str">
        <f>'Respuestas de formulario 1'!C3078</f>
        <v/>
      </c>
      <c r="E437" s="7" t="str">
        <f>'Respuestas de formulario 1'!D3078</f>
        <v/>
      </c>
      <c r="F437" s="7" t="str">
        <f>'Respuestas de formulario 1'!E3078</f>
        <v/>
      </c>
      <c r="G437" s="7" t="str">
        <f>'Respuestas de formulario 1'!F3078</f>
        <v/>
      </c>
      <c r="H437" s="7" t="str">
        <f>'Respuestas de formulario 1'!G3078</f>
        <v/>
      </c>
      <c r="I437" s="7" t="str">
        <f>'Respuestas de formulario 1'!H3078</f>
        <v/>
      </c>
      <c r="J437" s="7" t="str">
        <f>'Respuestas de formulario 1'!I3078</f>
        <v/>
      </c>
      <c r="K437" s="7" t="str">
        <f>'Respuestas de formulario 1'!J3078</f>
        <v/>
      </c>
    </row>
    <row r="438">
      <c r="A438" s="7">
        <f t="shared" si="1"/>
        <v>438</v>
      </c>
      <c r="B438" s="7" t="str">
        <f>'Respuestas de formulario 1'!A3079</f>
        <v/>
      </c>
      <c r="C438" s="7" t="str">
        <f>'Respuestas de formulario 1'!B3079</f>
        <v/>
      </c>
      <c r="D438" s="7" t="str">
        <f>'Respuestas de formulario 1'!C3079</f>
        <v/>
      </c>
      <c r="E438" s="7" t="str">
        <f>'Respuestas de formulario 1'!D3079</f>
        <v/>
      </c>
      <c r="F438" s="7" t="str">
        <f>'Respuestas de formulario 1'!E3079</f>
        <v/>
      </c>
      <c r="G438" s="7" t="str">
        <f>'Respuestas de formulario 1'!F3079</f>
        <v/>
      </c>
      <c r="H438" s="7" t="str">
        <f>'Respuestas de formulario 1'!G3079</f>
        <v/>
      </c>
      <c r="I438" s="7" t="str">
        <f>'Respuestas de formulario 1'!H3079</f>
        <v/>
      </c>
      <c r="J438" s="7" t="str">
        <f>'Respuestas de formulario 1'!I3079</f>
        <v/>
      </c>
      <c r="K438" s="7" t="str">
        <f>'Respuestas de formulario 1'!J3079</f>
        <v/>
      </c>
    </row>
    <row r="439">
      <c r="A439" s="7">
        <f t="shared" si="1"/>
        <v>439</v>
      </c>
      <c r="B439" s="7" t="str">
        <f>'Respuestas de formulario 1'!A3080</f>
        <v/>
      </c>
      <c r="C439" s="7" t="str">
        <f>'Respuestas de formulario 1'!B3080</f>
        <v/>
      </c>
      <c r="D439" s="7" t="str">
        <f>'Respuestas de formulario 1'!C3080</f>
        <v/>
      </c>
      <c r="E439" s="7" t="str">
        <f>'Respuestas de formulario 1'!D3080</f>
        <v/>
      </c>
      <c r="F439" s="7" t="str">
        <f>'Respuestas de formulario 1'!E3080</f>
        <v/>
      </c>
      <c r="G439" s="7" t="str">
        <f>'Respuestas de formulario 1'!F3080</f>
        <v/>
      </c>
      <c r="H439" s="7" t="str">
        <f>'Respuestas de formulario 1'!G3080</f>
        <v/>
      </c>
      <c r="I439" s="7" t="str">
        <f>'Respuestas de formulario 1'!H3080</f>
        <v/>
      </c>
      <c r="J439" s="7" t="str">
        <f>'Respuestas de formulario 1'!I3080</f>
        <v/>
      </c>
      <c r="K439" s="7" t="str">
        <f>'Respuestas de formulario 1'!J3080</f>
        <v/>
      </c>
    </row>
    <row r="440">
      <c r="A440" s="7">
        <f t="shared" si="1"/>
        <v>440</v>
      </c>
      <c r="B440" s="7" t="str">
        <f>'Respuestas de formulario 1'!A3081</f>
        <v/>
      </c>
      <c r="C440" s="7" t="str">
        <f>'Respuestas de formulario 1'!B3081</f>
        <v/>
      </c>
      <c r="D440" s="7" t="str">
        <f>'Respuestas de formulario 1'!C3081</f>
        <v/>
      </c>
      <c r="E440" s="7" t="str">
        <f>'Respuestas de formulario 1'!D3081</f>
        <v/>
      </c>
      <c r="F440" s="7" t="str">
        <f>'Respuestas de formulario 1'!E3081</f>
        <v/>
      </c>
      <c r="G440" s="7" t="str">
        <f>'Respuestas de formulario 1'!F3081</f>
        <v/>
      </c>
      <c r="H440" s="7" t="str">
        <f>'Respuestas de formulario 1'!G3081</f>
        <v/>
      </c>
      <c r="I440" s="7" t="str">
        <f>'Respuestas de formulario 1'!H3081</f>
        <v/>
      </c>
      <c r="J440" s="7" t="str">
        <f>'Respuestas de formulario 1'!I3081</f>
        <v/>
      </c>
      <c r="K440" s="7" t="str">
        <f>'Respuestas de formulario 1'!J3081</f>
        <v/>
      </c>
    </row>
    <row r="441">
      <c r="A441" s="7">
        <f t="shared" si="1"/>
        <v>441</v>
      </c>
      <c r="B441" s="7" t="str">
        <f>'Respuestas de formulario 1'!A3082</f>
        <v/>
      </c>
      <c r="C441" s="7" t="str">
        <f>'Respuestas de formulario 1'!B3082</f>
        <v/>
      </c>
      <c r="D441" s="7" t="str">
        <f>'Respuestas de formulario 1'!C3082</f>
        <v/>
      </c>
      <c r="E441" s="7" t="str">
        <f>'Respuestas de formulario 1'!D3082</f>
        <v/>
      </c>
      <c r="F441" s="7" t="str">
        <f>'Respuestas de formulario 1'!E3082</f>
        <v/>
      </c>
      <c r="G441" s="7" t="str">
        <f>'Respuestas de formulario 1'!F3082</f>
        <v/>
      </c>
      <c r="H441" s="7" t="str">
        <f>'Respuestas de formulario 1'!G3082</f>
        <v/>
      </c>
      <c r="I441" s="7" t="str">
        <f>'Respuestas de formulario 1'!H3082</f>
        <v/>
      </c>
      <c r="J441" s="7" t="str">
        <f>'Respuestas de formulario 1'!I3082</f>
        <v/>
      </c>
      <c r="K441" s="7" t="str">
        <f>'Respuestas de formulario 1'!J3082</f>
        <v/>
      </c>
    </row>
    <row r="442">
      <c r="A442" s="7">
        <f t="shared" si="1"/>
        <v>442</v>
      </c>
      <c r="B442" s="7" t="str">
        <f>'Respuestas de formulario 1'!A3083</f>
        <v/>
      </c>
      <c r="C442" s="7" t="str">
        <f>'Respuestas de formulario 1'!B3083</f>
        <v/>
      </c>
      <c r="D442" s="7" t="str">
        <f>'Respuestas de formulario 1'!C3083</f>
        <v/>
      </c>
      <c r="E442" s="7" t="str">
        <f>'Respuestas de formulario 1'!D3083</f>
        <v/>
      </c>
      <c r="F442" s="7" t="str">
        <f>'Respuestas de formulario 1'!E3083</f>
        <v/>
      </c>
      <c r="G442" s="7" t="str">
        <f>'Respuestas de formulario 1'!F3083</f>
        <v/>
      </c>
      <c r="H442" s="7" t="str">
        <f>'Respuestas de formulario 1'!G3083</f>
        <v/>
      </c>
      <c r="I442" s="7" t="str">
        <f>'Respuestas de formulario 1'!H3083</f>
        <v/>
      </c>
      <c r="J442" s="7" t="str">
        <f>'Respuestas de formulario 1'!I3083</f>
        <v/>
      </c>
      <c r="K442" s="7" t="str">
        <f>'Respuestas de formulario 1'!J3083</f>
        <v/>
      </c>
    </row>
    <row r="443">
      <c r="A443" s="7">
        <f t="shared" si="1"/>
        <v>443</v>
      </c>
      <c r="B443" s="7" t="str">
        <f>'Respuestas de formulario 1'!A3084</f>
        <v/>
      </c>
      <c r="C443" s="7" t="str">
        <f>'Respuestas de formulario 1'!B3084</f>
        <v/>
      </c>
      <c r="D443" s="7" t="str">
        <f>'Respuestas de formulario 1'!C3084</f>
        <v/>
      </c>
      <c r="E443" s="7" t="str">
        <f>'Respuestas de formulario 1'!D3084</f>
        <v/>
      </c>
      <c r="F443" s="7" t="str">
        <f>'Respuestas de formulario 1'!E3084</f>
        <v/>
      </c>
      <c r="G443" s="7" t="str">
        <f>'Respuestas de formulario 1'!F3084</f>
        <v/>
      </c>
      <c r="H443" s="7" t="str">
        <f>'Respuestas de formulario 1'!G3084</f>
        <v/>
      </c>
      <c r="I443" s="7" t="str">
        <f>'Respuestas de formulario 1'!H3084</f>
        <v/>
      </c>
      <c r="J443" s="7" t="str">
        <f>'Respuestas de formulario 1'!I3084</f>
        <v/>
      </c>
      <c r="K443" s="7" t="str">
        <f>'Respuestas de formulario 1'!J3084</f>
        <v/>
      </c>
    </row>
    <row r="444">
      <c r="A444" s="7">
        <f t="shared" si="1"/>
        <v>444</v>
      </c>
      <c r="B444" s="7" t="str">
        <f>'Respuestas de formulario 1'!A3085</f>
        <v/>
      </c>
      <c r="C444" s="7" t="str">
        <f>'Respuestas de formulario 1'!B3085</f>
        <v/>
      </c>
      <c r="D444" s="7" t="str">
        <f>'Respuestas de formulario 1'!C3085</f>
        <v/>
      </c>
      <c r="E444" s="7" t="str">
        <f>'Respuestas de formulario 1'!D3085</f>
        <v/>
      </c>
      <c r="F444" s="7" t="str">
        <f>'Respuestas de formulario 1'!E3085</f>
        <v/>
      </c>
      <c r="G444" s="7" t="str">
        <f>'Respuestas de formulario 1'!F3085</f>
        <v/>
      </c>
      <c r="H444" s="7" t="str">
        <f>'Respuestas de formulario 1'!G3085</f>
        <v/>
      </c>
      <c r="I444" s="7" t="str">
        <f>'Respuestas de formulario 1'!H3085</f>
        <v/>
      </c>
      <c r="J444" s="7" t="str">
        <f>'Respuestas de formulario 1'!I3085</f>
        <v/>
      </c>
      <c r="K444" s="7" t="str">
        <f>'Respuestas de formulario 1'!J3085</f>
        <v/>
      </c>
    </row>
    <row r="445">
      <c r="A445" s="7">
        <f t="shared" si="1"/>
        <v>445</v>
      </c>
      <c r="B445" s="7" t="str">
        <f>'Respuestas de formulario 1'!A3086</f>
        <v/>
      </c>
      <c r="C445" s="7" t="str">
        <f>'Respuestas de formulario 1'!B3086</f>
        <v/>
      </c>
      <c r="D445" s="7" t="str">
        <f>'Respuestas de formulario 1'!C3086</f>
        <v/>
      </c>
      <c r="E445" s="7" t="str">
        <f>'Respuestas de formulario 1'!D3086</f>
        <v/>
      </c>
      <c r="F445" s="7" t="str">
        <f>'Respuestas de formulario 1'!E3086</f>
        <v/>
      </c>
      <c r="G445" s="7" t="str">
        <f>'Respuestas de formulario 1'!F3086</f>
        <v/>
      </c>
      <c r="H445" s="7" t="str">
        <f>'Respuestas de formulario 1'!G3086</f>
        <v/>
      </c>
      <c r="I445" s="7" t="str">
        <f>'Respuestas de formulario 1'!H3086</f>
        <v/>
      </c>
      <c r="J445" s="7" t="str">
        <f>'Respuestas de formulario 1'!I3086</f>
        <v/>
      </c>
      <c r="K445" s="7" t="str">
        <f>'Respuestas de formulario 1'!J3086</f>
        <v/>
      </c>
    </row>
    <row r="446">
      <c r="A446" s="7">
        <f t="shared" si="1"/>
        <v>446</v>
      </c>
      <c r="B446" s="7" t="str">
        <f>'Respuestas de formulario 1'!A3087</f>
        <v/>
      </c>
      <c r="C446" s="7" t="str">
        <f>'Respuestas de formulario 1'!B3087</f>
        <v/>
      </c>
      <c r="D446" s="7" t="str">
        <f>'Respuestas de formulario 1'!C3087</f>
        <v/>
      </c>
      <c r="E446" s="7" t="str">
        <f>'Respuestas de formulario 1'!D3087</f>
        <v/>
      </c>
      <c r="F446" s="7" t="str">
        <f>'Respuestas de formulario 1'!E3087</f>
        <v/>
      </c>
      <c r="G446" s="7" t="str">
        <f>'Respuestas de formulario 1'!F3087</f>
        <v/>
      </c>
      <c r="H446" s="7" t="str">
        <f>'Respuestas de formulario 1'!G3087</f>
        <v/>
      </c>
      <c r="I446" s="7" t="str">
        <f>'Respuestas de formulario 1'!H3087</f>
        <v/>
      </c>
      <c r="J446" s="7" t="str">
        <f>'Respuestas de formulario 1'!I3087</f>
        <v/>
      </c>
      <c r="K446" s="7" t="str">
        <f>'Respuestas de formulario 1'!J3087</f>
        <v/>
      </c>
    </row>
    <row r="447">
      <c r="A447" s="7">
        <f t="shared" si="1"/>
        <v>447</v>
      </c>
      <c r="B447" s="7" t="str">
        <f>'Respuestas de formulario 1'!A3088</f>
        <v/>
      </c>
      <c r="C447" s="7" t="str">
        <f>'Respuestas de formulario 1'!B3088</f>
        <v/>
      </c>
      <c r="D447" s="7" t="str">
        <f>'Respuestas de formulario 1'!C3088</f>
        <v/>
      </c>
      <c r="E447" s="7" t="str">
        <f>'Respuestas de formulario 1'!D3088</f>
        <v/>
      </c>
      <c r="F447" s="7" t="str">
        <f>'Respuestas de formulario 1'!E3088</f>
        <v/>
      </c>
      <c r="G447" s="7" t="str">
        <f>'Respuestas de formulario 1'!F3088</f>
        <v/>
      </c>
      <c r="H447" s="7" t="str">
        <f>'Respuestas de formulario 1'!G3088</f>
        <v/>
      </c>
      <c r="I447" s="7" t="str">
        <f>'Respuestas de formulario 1'!H3088</f>
        <v/>
      </c>
      <c r="J447" s="7" t="str">
        <f>'Respuestas de formulario 1'!I3088</f>
        <v/>
      </c>
      <c r="K447" s="7" t="str">
        <f>'Respuestas de formulario 1'!J3088</f>
        <v/>
      </c>
    </row>
    <row r="448">
      <c r="A448" s="7">
        <f t="shared" si="1"/>
        <v>448</v>
      </c>
      <c r="B448" s="7" t="str">
        <f>'Respuestas de formulario 1'!A3089</f>
        <v/>
      </c>
      <c r="C448" s="7" t="str">
        <f>'Respuestas de formulario 1'!B3089</f>
        <v/>
      </c>
      <c r="D448" s="7" t="str">
        <f>'Respuestas de formulario 1'!C3089</f>
        <v/>
      </c>
      <c r="E448" s="7" t="str">
        <f>'Respuestas de formulario 1'!D3089</f>
        <v/>
      </c>
      <c r="F448" s="7" t="str">
        <f>'Respuestas de formulario 1'!E3089</f>
        <v/>
      </c>
      <c r="G448" s="7" t="str">
        <f>'Respuestas de formulario 1'!F3089</f>
        <v/>
      </c>
      <c r="H448" s="7" t="str">
        <f>'Respuestas de formulario 1'!G3089</f>
        <v/>
      </c>
      <c r="I448" s="7" t="str">
        <f>'Respuestas de formulario 1'!H3089</f>
        <v/>
      </c>
      <c r="J448" s="7" t="str">
        <f>'Respuestas de formulario 1'!I3089</f>
        <v/>
      </c>
      <c r="K448" s="7" t="str">
        <f>'Respuestas de formulario 1'!J3089</f>
        <v/>
      </c>
    </row>
    <row r="449">
      <c r="A449" s="7">
        <f t="shared" si="1"/>
        <v>449</v>
      </c>
      <c r="B449" s="7" t="str">
        <f>'Respuestas de formulario 1'!A3090</f>
        <v/>
      </c>
      <c r="C449" s="7" t="str">
        <f>'Respuestas de formulario 1'!B3090</f>
        <v/>
      </c>
      <c r="D449" s="7" t="str">
        <f>'Respuestas de formulario 1'!C3090</f>
        <v/>
      </c>
      <c r="E449" s="7" t="str">
        <f>'Respuestas de formulario 1'!D3090</f>
        <v/>
      </c>
      <c r="F449" s="7" t="str">
        <f>'Respuestas de formulario 1'!E3090</f>
        <v/>
      </c>
      <c r="G449" s="7" t="str">
        <f>'Respuestas de formulario 1'!F3090</f>
        <v/>
      </c>
      <c r="H449" s="7" t="str">
        <f>'Respuestas de formulario 1'!G3090</f>
        <v/>
      </c>
      <c r="I449" s="7" t="str">
        <f>'Respuestas de formulario 1'!H3090</f>
        <v/>
      </c>
      <c r="J449" s="7" t="str">
        <f>'Respuestas de formulario 1'!I3090</f>
        <v/>
      </c>
      <c r="K449" s="7" t="str">
        <f>'Respuestas de formulario 1'!J3090</f>
        <v/>
      </c>
    </row>
    <row r="450">
      <c r="A450" s="7">
        <f t="shared" si="1"/>
        <v>450</v>
      </c>
      <c r="B450" s="7" t="str">
        <f>'Respuestas de formulario 1'!A3091</f>
        <v/>
      </c>
      <c r="C450" s="7" t="str">
        <f>'Respuestas de formulario 1'!B3091</f>
        <v/>
      </c>
      <c r="D450" s="7" t="str">
        <f>'Respuestas de formulario 1'!C3091</f>
        <v/>
      </c>
      <c r="E450" s="7" t="str">
        <f>'Respuestas de formulario 1'!D3091</f>
        <v/>
      </c>
      <c r="F450" s="7" t="str">
        <f>'Respuestas de formulario 1'!E3091</f>
        <v/>
      </c>
      <c r="G450" s="7" t="str">
        <f>'Respuestas de formulario 1'!F3091</f>
        <v/>
      </c>
      <c r="H450" s="7" t="str">
        <f>'Respuestas de formulario 1'!G3091</f>
        <v/>
      </c>
      <c r="I450" s="7" t="str">
        <f>'Respuestas de formulario 1'!H3091</f>
        <v/>
      </c>
      <c r="J450" s="7" t="str">
        <f>'Respuestas de formulario 1'!I3091</f>
        <v/>
      </c>
      <c r="K450" s="7" t="str">
        <f>'Respuestas de formulario 1'!J3091</f>
        <v/>
      </c>
    </row>
    <row r="451">
      <c r="A451" s="7">
        <f t="shared" si="1"/>
        <v>451</v>
      </c>
      <c r="B451" s="7" t="str">
        <f>'Respuestas de formulario 1'!A3092</f>
        <v/>
      </c>
      <c r="C451" s="7" t="str">
        <f>'Respuestas de formulario 1'!B3092</f>
        <v/>
      </c>
      <c r="D451" s="7" t="str">
        <f>'Respuestas de formulario 1'!C3092</f>
        <v/>
      </c>
      <c r="E451" s="7" t="str">
        <f>'Respuestas de formulario 1'!D3092</f>
        <v/>
      </c>
      <c r="F451" s="7" t="str">
        <f>'Respuestas de formulario 1'!E3092</f>
        <v/>
      </c>
      <c r="G451" s="7" t="str">
        <f>'Respuestas de formulario 1'!F3092</f>
        <v/>
      </c>
      <c r="H451" s="7" t="str">
        <f>'Respuestas de formulario 1'!G3092</f>
        <v/>
      </c>
      <c r="I451" s="7" t="str">
        <f>'Respuestas de formulario 1'!H3092</f>
        <v/>
      </c>
      <c r="J451" s="7" t="str">
        <f>'Respuestas de formulario 1'!I3092</f>
        <v/>
      </c>
      <c r="K451" s="7" t="str">
        <f>'Respuestas de formulario 1'!J3092</f>
        <v/>
      </c>
    </row>
    <row r="452">
      <c r="A452" s="7">
        <f t="shared" si="1"/>
        <v>452</v>
      </c>
      <c r="B452" s="7" t="str">
        <f>'Respuestas de formulario 1'!A3093</f>
        <v/>
      </c>
      <c r="C452" s="7" t="str">
        <f>'Respuestas de formulario 1'!B3093</f>
        <v/>
      </c>
      <c r="D452" s="7" t="str">
        <f>'Respuestas de formulario 1'!C3093</f>
        <v/>
      </c>
      <c r="E452" s="7" t="str">
        <f>'Respuestas de formulario 1'!D3093</f>
        <v/>
      </c>
      <c r="F452" s="7" t="str">
        <f>'Respuestas de formulario 1'!E3093</f>
        <v/>
      </c>
      <c r="G452" s="7" t="str">
        <f>'Respuestas de formulario 1'!F3093</f>
        <v/>
      </c>
      <c r="H452" s="7" t="str">
        <f>'Respuestas de formulario 1'!G3093</f>
        <v/>
      </c>
      <c r="I452" s="7" t="str">
        <f>'Respuestas de formulario 1'!H3093</f>
        <v/>
      </c>
      <c r="J452" s="7" t="str">
        <f>'Respuestas de formulario 1'!I3093</f>
        <v/>
      </c>
      <c r="K452" s="7" t="str">
        <f>'Respuestas de formulario 1'!J3093</f>
        <v/>
      </c>
    </row>
    <row r="453">
      <c r="A453" s="7">
        <f t="shared" si="1"/>
        <v>453</v>
      </c>
      <c r="B453" s="7" t="str">
        <f>'Respuestas de formulario 1'!A3094</f>
        <v/>
      </c>
      <c r="C453" s="7" t="str">
        <f>'Respuestas de formulario 1'!B3094</f>
        <v/>
      </c>
      <c r="D453" s="7" t="str">
        <f>'Respuestas de formulario 1'!C3094</f>
        <v/>
      </c>
      <c r="E453" s="7" t="str">
        <f>'Respuestas de formulario 1'!D3094</f>
        <v/>
      </c>
      <c r="F453" s="7" t="str">
        <f>'Respuestas de formulario 1'!E3094</f>
        <v/>
      </c>
      <c r="G453" s="7" t="str">
        <f>'Respuestas de formulario 1'!F3094</f>
        <v/>
      </c>
      <c r="H453" s="7" t="str">
        <f>'Respuestas de formulario 1'!G3094</f>
        <v/>
      </c>
      <c r="I453" s="7" t="str">
        <f>'Respuestas de formulario 1'!H3094</f>
        <v/>
      </c>
      <c r="J453" s="7" t="str">
        <f>'Respuestas de formulario 1'!I3094</f>
        <v/>
      </c>
      <c r="K453" s="7" t="str">
        <f>'Respuestas de formulario 1'!J3094</f>
        <v/>
      </c>
    </row>
    <row r="454">
      <c r="A454" s="7">
        <f t="shared" si="1"/>
        <v>454</v>
      </c>
      <c r="B454" s="7" t="str">
        <f>'Respuestas de formulario 1'!A3095</f>
        <v/>
      </c>
      <c r="C454" s="7" t="str">
        <f>'Respuestas de formulario 1'!B3095</f>
        <v/>
      </c>
      <c r="D454" s="7" t="str">
        <f>'Respuestas de formulario 1'!C3095</f>
        <v/>
      </c>
      <c r="E454" s="7" t="str">
        <f>'Respuestas de formulario 1'!D3095</f>
        <v/>
      </c>
      <c r="F454" s="7" t="str">
        <f>'Respuestas de formulario 1'!E3095</f>
        <v/>
      </c>
      <c r="G454" s="7" t="str">
        <f>'Respuestas de formulario 1'!F3095</f>
        <v/>
      </c>
      <c r="H454" s="7" t="str">
        <f>'Respuestas de formulario 1'!G3095</f>
        <v/>
      </c>
      <c r="I454" s="7" t="str">
        <f>'Respuestas de formulario 1'!H3095</f>
        <v/>
      </c>
      <c r="J454" s="7" t="str">
        <f>'Respuestas de formulario 1'!I3095</f>
        <v/>
      </c>
      <c r="K454" s="7" t="str">
        <f>'Respuestas de formulario 1'!J3095</f>
        <v/>
      </c>
    </row>
    <row r="455">
      <c r="A455" s="7">
        <f t="shared" si="1"/>
        <v>455</v>
      </c>
      <c r="B455" s="7" t="str">
        <f>'Respuestas de formulario 1'!A3096</f>
        <v/>
      </c>
      <c r="C455" s="7" t="str">
        <f>'Respuestas de formulario 1'!B3096</f>
        <v/>
      </c>
      <c r="D455" s="7" t="str">
        <f>'Respuestas de formulario 1'!C3096</f>
        <v/>
      </c>
      <c r="E455" s="7" t="str">
        <f>'Respuestas de formulario 1'!D3096</f>
        <v/>
      </c>
      <c r="F455" s="7" t="str">
        <f>'Respuestas de formulario 1'!E3096</f>
        <v/>
      </c>
      <c r="G455" s="7" t="str">
        <f>'Respuestas de formulario 1'!F3096</f>
        <v/>
      </c>
      <c r="H455" s="7" t="str">
        <f>'Respuestas de formulario 1'!G3096</f>
        <v/>
      </c>
      <c r="I455" s="7" t="str">
        <f>'Respuestas de formulario 1'!H3096</f>
        <v/>
      </c>
      <c r="J455" s="7" t="str">
        <f>'Respuestas de formulario 1'!I3096</f>
        <v/>
      </c>
      <c r="K455" s="7" t="str">
        <f>'Respuestas de formulario 1'!J3096</f>
        <v/>
      </c>
    </row>
    <row r="456">
      <c r="A456" s="7">
        <f t="shared" si="1"/>
        <v>456</v>
      </c>
      <c r="B456" s="7" t="str">
        <f>'Respuestas de formulario 1'!A3097</f>
        <v/>
      </c>
      <c r="C456" s="7" t="str">
        <f>'Respuestas de formulario 1'!B3097</f>
        <v/>
      </c>
      <c r="D456" s="7" t="str">
        <f>'Respuestas de formulario 1'!C3097</f>
        <v/>
      </c>
      <c r="E456" s="7" t="str">
        <f>'Respuestas de formulario 1'!D3097</f>
        <v/>
      </c>
      <c r="F456" s="7" t="str">
        <f>'Respuestas de formulario 1'!E3097</f>
        <v/>
      </c>
      <c r="G456" s="7" t="str">
        <f>'Respuestas de formulario 1'!F3097</f>
        <v/>
      </c>
      <c r="H456" s="7" t="str">
        <f>'Respuestas de formulario 1'!G3097</f>
        <v/>
      </c>
      <c r="I456" s="7" t="str">
        <f>'Respuestas de formulario 1'!H3097</f>
        <v/>
      </c>
      <c r="J456" s="7" t="str">
        <f>'Respuestas de formulario 1'!I3097</f>
        <v/>
      </c>
      <c r="K456" s="7" t="str">
        <f>'Respuestas de formulario 1'!J3097</f>
        <v/>
      </c>
    </row>
    <row r="457">
      <c r="A457" s="7">
        <f t="shared" si="1"/>
        <v>457</v>
      </c>
      <c r="B457" s="7" t="str">
        <f>'Respuestas de formulario 1'!A3098</f>
        <v/>
      </c>
      <c r="C457" s="7" t="str">
        <f>'Respuestas de formulario 1'!B3098</f>
        <v/>
      </c>
      <c r="D457" s="7" t="str">
        <f>'Respuestas de formulario 1'!C3098</f>
        <v/>
      </c>
      <c r="E457" s="7" t="str">
        <f>'Respuestas de formulario 1'!D3098</f>
        <v/>
      </c>
      <c r="F457" s="7" t="str">
        <f>'Respuestas de formulario 1'!E3098</f>
        <v/>
      </c>
      <c r="G457" s="7" t="str">
        <f>'Respuestas de formulario 1'!F3098</f>
        <v/>
      </c>
      <c r="H457" s="7" t="str">
        <f>'Respuestas de formulario 1'!G3098</f>
        <v/>
      </c>
      <c r="I457" s="7" t="str">
        <f>'Respuestas de formulario 1'!H3098</f>
        <v/>
      </c>
      <c r="J457" s="7" t="str">
        <f>'Respuestas de formulario 1'!I3098</f>
        <v/>
      </c>
      <c r="K457" s="7" t="str">
        <f>'Respuestas de formulario 1'!J3098</f>
        <v/>
      </c>
    </row>
    <row r="458">
      <c r="A458" s="7">
        <f t="shared" si="1"/>
        <v>458</v>
      </c>
      <c r="B458" s="7" t="str">
        <f>'Respuestas de formulario 1'!A3099</f>
        <v/>
      </c>
      <c r="C458" s="7" t="str">
        <f>'Respuestas de formulario 1'!B3099</f>
        <v/>
      </c>
      <c r="D458" s="7" t="str">
        <f>'Respuestas de formulario 1'!C3099</f>
        <v/>
      </c>
      <c r="E458" s="7" t="str">
        <f>'Respuestas de formulario 1'!D3099</f>
        <v/>
      </c>
      <c r="F458" s="7" t="str">
        <f>'Respuestas de formulario 1'!E3099</f>
        <v/>
      </c>
      <c r="G458" s="7" t="str">
        <f>'Respuestas de formulario 1'!F3099</f>
        <v/>
      </c>
      <c r="H458" s="7" t="str">
        <f>'Respuestas de formulario 1'!G3099</f>
        <v/>
      </c>
      <c r="I458" s="7" t="str">
        <f>'Respuestas de formulario 1'!H3099</f>
        <v/>
      </c>
      <c r="J458" s="7" t="str">
        <f>'Respuestas de formulario 1'!I3099</f>
        <v/>
      </c>
      <c r="K458" s="7" t="str">
        <f>'Respuestas de formulario 1'!J3099</f>
        <v/>
      </c>
    </row>
    <row r="459">
      <c r="A459" s="7">
        <f t="shared" si="1"/>
        <v>459</v>
      </c>
      <c r="B459" s="7" t="str">
        <f>'Respuestas de formulario 1'!A3100</f>
        <v/>
      </c>
      <c r="C459" s="7" t="str">
        <f>'Respuestas de formulario 1'!B3100</f>
        <v/>
      </c>
      <c r="D459" s="7" t="str">
        <f>'Respuestas de formulario 1'!C3100</f>
        <v/>
      </c>
      <c r="E459" s="7" t="str">
        <f>'Respuestas de formulario 1'!D3100</f>
        <v/>
      </c>
      <c r="F459" s="7" t="str">
        <f>'Respuestas de formulario 1'!E3100</f>
        <v/>
      </c>
      <c r="G459" s="7" t="str">
        <f>'Respuestas de formulario 1'!F3100</f>
        <v/>
      </c>
      <c r="H459" s="7" t="str">
        <f>'Respuestas de formulario 1'!G3100</f>
        <v/>
      </c>
      <c r="I459" s="7" t="str">
        <f>'Respuestas de formulario 1'!H3100</f>
        <v/>
      </c>
      <c r="J459" s="7" t="str">
        <f>'Respuestas de formulario 1'!I3100</f>
        <v/>
      </c>
      <c r="K459" s="7" t="str">
        <f>'Respuestas de formulario 1'!J3100</f>
        <v/>
      </c>
    </row>
    <row r="460">
      <c r="A460" s="7">
        <f t="shared" si="1"/>
        <v>460</v>
      </c>
      <c r="B460" s="7" t="str">
        <f>'Respuestas de formulario 1'!A3101</f>
        <v/>
      </c>
      <c r="C460" s="7" t="str">
        <f>'Respuestas de formulario 1'!B3101</f>
        <v/>
      </c>
      <c r="D460" s="7" t="str">
        <f>'Respuestas de formulario 1'!C3101</f>
        <v/>
      </c>
      <c r="E460" s="7" t="str">
        <f>'Respuestas de formulario 1'!D3101</f>
        <v/>
      </c>
      <c r="F460" s="7" t="str">
        <f>'Respuestas de formulario 1'!E3101</f>
        <v/>
      </c>
      <c r="G460" s="7" t="str">
        <f>'Respuestas de formulario 1'!F3101</f>
        <v/>
      </c>
      <c r="H460" s="7" t="str">
        <f>'Respuestas de formulario 1'!G3101</f>
        <v/>
      </c>
      <c r="I460" s="7" t="str">
        <f>'Respuestas de formulario 1'!H3101</f>
        <v/>
      </c>
      <c r="J460" s="7" t="str">
        <f>'Respuestas de formulario 1'!I3101</f>
        <v/>
      </c>
      <c r="K460" s="7" t="str">
        <f>'Respuestas de formulario 1'!J3101</f>
        <v/>
      </c>
    </row>
    <row r="461">
      <c r="A461" s="7">
        <f t="shared" si="1"/>
        <v>461</v>
      </c>
      <c r="B461" s="7" t="str">
        <f>'Respuestas de formulario 1'!A3102</f>
        <v/>
      </c>
      <c r="C461" s="7" t="str">
        <f>'Respuestas de formulario 1'!B3102</f>
        <v/>
      </c>
      <c r="D461" s="7" t="str">
        <f>'Respuestas de formulario 1'!C3102</f>
        <v/>
      </c>
      <c r="E461" s="7" t="str">
        <f>'Respuestas de formulario 1'!D3102</f>
        <v/>
      </c>
      <c r="F461" s="7" t="str">
        <f>'Respuestas de formulario 1'!E3102</f>
        <v/>
      </c>
      <c r="G461" s="7" t="str">
        <f>'Respuestas de formulario 1'!F3102</f>
        <v/>
      </c>
      <c r="H461" s="7" t="str">
        <f>'Respuestas de formulario 1'!G3102</f>
        <v/>
      </c>
      <c r="I461" s="7" t="str">
        <f>'Respuestas de formulario 1'!H3102</f>
        <v/>
      </c>
      <c r="J461" s="7" t="str">
        <f>'Respuestas de formulario 1'!I3102</f>
        <v/>
      </c>
      <c r="K461" s="7" t="str">
        <f>'Respuestas de formulario 1'!J3102</f>
        <v/>
      </c>
    </row>
    <row r="462">
      <c r="A462" s="7">
        <f t="shared" si="1"/>
        <v>462</v>
      </c>
      <c r="B462" s="7" t="str">
        <f>'Respuestas de formulario 1'!A3103</f>
        <v/>
      </c>
      <c r="C462" s="7" t="str">
        <f>'Respuestas de formulario 1'!B3103</f>
        <v/>
      </c>
      <c r="D462" s="7" t="str">
        <f>'Respuestas de formulario 1'!C3103</f>
        <v/>
      </c>
      <c r="E462" s="7" t="str">
        <f>'Respuestas de formulario 1'!D3103</f>
        <v/>
      </c>
      <c r="F462" s="7" t="str">
        <f>'Respuestas de formulario 1'!E3103</f>
        <v/>
      </c>
      <c r="G462" s="7" t="str">
        <f>'Respuestas de formulario 1'!F3103</f>
        <v/>
      </c>
      <c r="H462" s="7" t="str">
        <f>'Respuestas de formulario 1'!G3103</f>
        <v/>
      </c>
      <c r="I462" s="7" t="str">
        <f>'Respuestas de formulario 1'!H3103</f>
        <v/>
      </c>
      <c r="J462" s="7" t="str">
        <f>'Respuestas de formulario 1'!I3103</f>
        <v/>
      </c>
      <c r="K462" s="7" t="str">
        <f>'Respuestas de formulario 1'!J3103</f>
        <v/>
      </c>
    </row>
    <row r="463">
      <c r="A463" s="7">
        <f t="shared" si="1"/>
        <v>463</v>
      </c>
      <c r="B463" s="7" t="str">
        <f>'Respuestas de formulario 1'!A3104</f>
        <v/>
      </c>
      <c r="C463" s="7" t="str">
        <f>'Respuestas de formulario 1'!B3104</f>
        <v/>
      </c>
      <c r="D463" s="7" t="str">
        <f>'Respuestas de formulario 1'!C3104</f>
        <v/>
      </c>
      <c r="E463" s="7" t="str">
        <f>'Respuestas de formulario 1'!D3104</f>
        <v/>
      </c>
      <c r="F463" s="7" t="str">
        <f>'Respuestas de formulario 1'!E3104</f>
        <v/>
      </c>
      <c r="G463" s="7" t="str">
        <f>'Respuestas de formulario 1'!F3104</f>
        <v/>
      </c>
      <c r="H463" s="7" t="str">
        <f>'Respuestas de formulario 1'!G3104</f>
        <v/>
      </c>
      <c r="I463" s="7" t="str">
        <f>'Respuestas de formulario 1'!H3104</f>
        <v/>
      </c>
      <c r="J463" s="7" t="str">
        <f>'Respuestas de formulario 1'!I3104</f>
        <v/>
      </c>
      <c r="K463" s="7" t="str">
        <f>'Respuestas de formulario 1'!J3104</f>
        <v/>
      </c>
    </row>
    <row r="464">
      <c r="A464" s="7">
        <f t="shared" si="1"/>
        <v>464</v>
      </c>
      <c r="B464" s="7" t="str">
        <f>'Respuestas de formulario 1'!A3105</f>
        <v/>
      </c>
      <c r="C464" s="7" t="str">
        <f>'Respuestas de formulario 1'!B3105</f>
        <v/>
      </c>
      <c r="D464" s="7" t="str">
        <f>'Respuestas de formulario 1'!C3105</f>
        <v/>
      </c>
      <c r="E464" s="7" t="str">
        <f>'Respuestas de formulario 1'!D3105</f>
        <v/>
      </c>
      <c r="F464" s="7" t="str">
        <f>'Respuestas de formulario 1'!E3105</f>
        <v/>
      </c>
      <c r="G464" s="7" t="str">
        <f>'Respuestas de formulario 1'!F3105</f>
        <v/>
      </c>
      <c r="H464" s="7" t="str">
        <f>'Respuestas de formulario 1'!G3105</f>
        <v/>
      </c>
      <c r="I464" s="7" t="str">
        <f>'Respuestas de formulario 1'!H3105</f>
        <v/>
      </c>
      <c r="J464" s="7" t="str">
        <f>'Respuestas de formulario 1'!I3105</f>
        <v/>
      </c>
      <c r="K464" s="7" t="str">
        <f>'Respuestas de formulario 1'!J3105</f>
        <v/>
      </c>
    </row>
    <row r="465">
      <c r="A465" s="7">
        <f t="shared" si="1"/>
        <v>465</v>
      </c>
      <c r="B465" s="7" t="str">
        <f>'Respuestas de formulario 1'!A3106</f>
        <v/>
      </c>
      <c r="C465" s="7" t="str">
        <f>'Respuestas de formulario 1'!B3106</f>
        <v/>
      </c>
      <c r="D465" s="7" t="str">
        <f>'Respuestas de formulario 1'!C3106</f>
        <v/>
      </c>
      <c r="E465" s="7" t="str">
        <f>'Respuestas de formulario 1'!D3106</f>
        <v/>
      </c>
      <c r="F465" s="7" t="str">
        <f>'Respuestas de formulario 1'!E3106</f>
        <v/>
      </c>
      <c r="G465" s="7" t="str">
        <f>'Respuestas de formulario 1'!F3106</f>
        <v/>
      </c>
      <c r="H465" s="7" t="str">
        <f>'Respuestas de formulario 1'!G3106</f>
        <v/>
      </c>
      <c r="I465" s="7" t="str">
        <f>'Respuestas de formulario 1'!H3106</f>
        <v/>
      </c>
      <c r="J465" s="7" t="str">
        <f>'Respuestas de formulario 1'!I3106</f>
        <v/>
      </c>
      <c r="K465" s="7" t="str">
        <f>'Respuestas de formulario 1'!J3106</f>
        <v/>
      </c>
    </row>
    <row r="466">
      <c r="A466" s="7">
        <f t="shared" si="1"/>
        <v>466</v>
      </c>
      <c r="B466" s="7" t="str">
        <f>'Respuestas de formulario 1'!A3107</f>
        <v/>
      </c>
      <c r="C466" s="7" t="str">
        <f>'Respuestas de formulario 1'!B3107</f>
        <v/>
      </c>
      <c r="D466" s="7" t="str">
        <f>'Respuestas de formulario 1'!C3107</f>
        <v/>
      </c>
      <c r="E466" s="7" t="str">
        <f>'Respuestas de formulario 1'!D3107</f>
        <v/>
      </c>
      <c r="F466" s="7" t="str">
        <f>'Respuestas de formulario 1'!E3107</f>
        <v/>
      </c>
      <c r="G466" s="7" t="str">
        <f>'Respuestas de formulario 1'!F3107</f>
        <v/>
      </c>
      <c r="H466" s="7" t="str">
        <f>'Respuestas de formulario 1'!G3107</f>
        <v/>
      </c>
      <c r="I466" s="7" t="str">
        <f>'Respuestas de formulario 1'!H3107</f>
        <v/>
      </c>
      <c r="J466" s="7" t="str">
        <f>'Respuestas de formulario 1'!I3107</f>
        <v/>
      </c>
      <c r="K466" s="7" t="str">
        <f>'Respuestas de formulario 1'!J3107</f>
        <v/>
      </c>
    </row>
    <row r="467">
      <c r="A467" s="7">
        <f t="shared" si="1"/>
        <v>467</v>
      </c>
      <c r="B467" s="7" t="str">
        <f>'Respuestas de formulario 1'!A3108</f>
        <v/>
      </c>
      <c r="C467" s="7" t="str">
        <f>'Respuestas de formulario 1'!B3108</f>
        <v/>
      </c>
      <c r="D467" s="7" t="str">
        <f>'Respuestas de formulario 1'!C3108</f>
        <v/>
      </c>
      <c r="E467" s="7" t="str">
        <f>'Respuestas de formulario 1'!D3108</f>
        <v/>
      </c>
      <c r="F467" s="7" t="str">
        <f>'Respuestas de formulario 1'!E3108</f>
        <v/>
      </c>
      <c r="G467" s="7" t="str">
        <f>'Respuestas de formulario 1'!F3108</f>
        <v/>
      </c>
      <c r="H467" s="7" t="str">
        <f>'Respuestas de formulario 1'!G3108</f>
        <v/>
      </c>
      <c r="I467" s="7" t="str">
        <f>'Respuestas de formulario 1'!H3108</f>
        <v/>
      </c>
      <c r="J467" s="7" t="str">
        <f>'Respuestas de formulario 1'!I3108</f>
        <v/>
      </c>
      <c r="K467" s="7" t="str">
        <f>'Respuestas de formulario 1'!J3108</f>
        <v/>
      </c>
    </row>
    <row r="468">
      <c r="A468" s="7">
        <f t="shared" si="1"/>
        <v>468</v>
      </c>
      <c r="B468" s="7" t="str">
        <f>'Respuestas de formulario 1'!A3109</f>
        <v/>
      </c>
      <c r="C468" s="7" t="str">
        <f>'Respuestas de formulario 1'!B3109</f>
        <v/>
      </c>
      <c r="D468" s="7" t="str">
        <f>'Respuestas de formulario 1'!C3109</f>
        <v/>
      </c>
      <c r="E468" s="7" t="str">
        <f>'Respuestas de formulario 1'!D3109</f>
        <v/>
      </c>
      <c r="F468" s="7" t="str">
        <f>'Respuestas de formulario 1'!E3109</f>
        <v/>
      </c>
      <c r="G468" s="7" t="str">
        <f>'Respuestas de formulario 1'!F3109</f>
        <v/>
      </c>
      <c r="H468" s="7" t="str">
        <f>'Respuestas de formulario 1'!G3109</f>
        <v/>
      </c>
      <c r="I468" s="7" t="str">
        <f>'Respuestas de formulario 1'!H3109</f>
        <v/>
      </c>
      <c r="J468" s="7" t="str">
        <f>'Respuestas de formulario 1'!I3109</f>
        <v/>
      </c>
      <c r="K468" s="7" t="str">
        <f>'Respuestas de formulario 1'!J3109</f>
        <v/>
      </c>
    </row>
    <row r="469">
      <c r="A469" s="7">
        <f t="shared" si="1"/>
        <v>469</v>
      </c>
      <c r="B469" s="7" t="str">
        <f>'Respuestas de formulario 1'!A3110</f>
        <v/>
      </c>
      <c r="C469" s="7" t="str">
        <f>'Respuestas de formulario 1'!B3110</f>
        <v/>
      </c>
      <c r="D469" s="7" t="str">
        <f>'Respuestas de formulario 1'!C3110</f>
        <v/>
      </c>
      <c r="E469" s="7" t="str">
        <f>'Respuestas de formulario 1'!D3110</f>
        <v/>
      </c>
      <c r="F469" s="7" t="str">
        <f>'Respuestas de formulario 1'!E3110</f>
        <v/>
      </c>
      <c r="G469" s="7" t="str">
        <f>'Respuestas de formulario 1'!F3110</f>
        <v/>
      </c>
      <c r="H469" s="7" t="str">
        <f>'Respuestas de formulario 1'!G3110</f>
        <v/>
      </c>
      <c r="I469" s="7" t="str">
        <f>'Respuestas de formulario 1'!H3110</f>
        <v/>
      </c>
      <c r="J469" s="7" t="str">
        <f>'Respuestas de formulario 1'!I3110</f>
        <v/>
      </c>
      <c r="K469" s="7" t="str">
        <f>'Respuestas de formulario 1'!J3110</f>
        <v/>
      </c>
    </row>
    <row r="470">
      <c r="A470" s="7">
        <f t="shared" si="1"/>
        <v>470</v>
      </c>
      <c r="B470" s="7" t="str">
        <f>'Respuestas de formulario 1'!A3111</f>
        <v/>
      </c>
      <c r="C470" s="7" t="str">
        <f>'Respuestas de formulario 1'!B3111</f>
        <v/>
      </c>
      <c r="D470" s="7" t="str">
        <f>'Respuestas de formulario 1'!C3111</f>
        <v/>
      </c>
      <c r="E470" s="7" t="str">
        <f>'Respuestas de formulario 1'!D3111</f>
        <v/>
      </c>
      <c r="F470" s="7" t="str">
        <f>'Respuestas de formulario 1'!E3111</f>
        <v/>
      </c>
      <c r="G470" s="7" t="str">
        <f>'Respuestas de formulario 1'!F3111</f>
        <v/>
      </c>
      <c r="H470" s="7" t="str">
        <f>'Respuestas de formulario 1'!G3111</f>
        <v/>
      </c>
      <c r="I470" s="7" t="str">
        <f>'Respuestas de formulario 1'!H3111</f>
        <v/>
      </c>
      <c r="J470" s="7" t="str">
        <f>'Respuestas de formulario 1'!I3111</f>
        <v/>
      </c>
      <c r="K470" s="7" t="str">
        <f>'Respuestas de formulario 1'!J3111</f>
        <v/>
      </c>
    </row>
    <row r="471">
      <c r="A471" s="7">
        <f t="shared" si="1"/>
        <v>471</v>
      </c>
      <c r="B471" s="7" t="str">
        <f>'Respuestas de formulario 1'!A3112</f>
        <v/>
      </c>
      <c r="C471" s="7" t="str">
        <f>'Respuestas de formulario 1'!B3112</f>
        <v/>
      </c>
      <c r="D471" s="7" t="str">
        <f>'Respuestas de formulario 1'!C3112</f>
        <v/>
      </c>
      <c r="E471" s="7" t="str">
        <f>'Respuestas de formulario 1'!D3112</f>
        <v/>
      </c>
      <c r="F471" s="7" t="str">
        <f>'Respuestas de formulario 1'!E3112</f>
        <v/>
      </c>
      <c r="G471" s="7" t="str">
        <f>'Respuestas de formulario 1'!F3112</f>
        <v/>
      </c>
      <c r="H471" s="7" t="str">
        <f>'Respuestas de formulario 1'!G3112</f>
        <v/>
      </c>
      <c r="I471" s="7" t="str">
        <f>'Respuestas de formulario 1'!H3112</f>
        <v/>
      </c>
      <c r="J471" s="7" t="str">
        <f>'Respuestas de formulario 1'!I3112</f>
        <v/>
      </c>
      <c r="K471" s="7" t="str">
        <f>'Respuestas de formulario 1'!J3112</f>
        <v/>
      </c>
    </row>
    <row r="472">
      <c r="A472" s="7">
        <f t="shared" si="1"/>
        <v>472</v>
      </c>
      <c r="B472" s="7" t="str">
        <f>'Respuestas de formulario 1'!A3113</f>
        <v/>
      </c>
      <c r="C472" s="7" t="str">
        <f>'Respuestas de formulario 1'!B3113</f>
        <v/>
      </c>
      <c r="D472" s="7" t="str">
        <f>'Respuestas de formulario 1'!C3113</f>
        <v/>
      </c>
      <c r="E472" s="7" t="str">
        <f>'Respuestas de formulario 1'!D3113</f>
        <v/>
      </c>
      <c r="F472" s="7" t="str">
        <f>'Respuestas de formulario 1'!E3113</f>
        <v/>
      </c>
      <c r="G472" s="7" t="str">
        <f>'Respuestas de formulario 1'!F3113</f>
        <v/>
      </c>
      <c r="H472" s="7" t="str">
        <f>'Respuestas de formulario 1'!G3113</f>
        <v/>
      </c>
      <c r="I472" s="7" t="str">
        <f>'Respuestas de formulario 1'!H3113</f>
        <v/>
      </c>
      <c r="J472" s="7" t="str">
        <f>'Respuestas de formulario 1'!I3113</f>
        <v/>
      </c>
      <c r="K472" s="7" t="str">
        <f>'Respuestas de formulario 1'!J3113</f>
        <v/>
      </c>
    </row>
    <row r="473">
      <c r="A473" s="7">
        <f t="shared" si="1"/>
        <v>473</v>
      </c>
      <c r="B473" s="7" t="str">
        <f>'Respuestas de formulario 1'!A3114</f>
        <v/>
      </c>
      <c r="C473" s="7" t="str">
        <f>'Respuestas de formulario 1'!B3114</f>
        <v/>
      </c>
      <c r="D473" s="7" t="str">
        <f>'Respuestas de formulario 1'!C3114</f>
        <v/>
      </c>
      <c r="E473" s="7" t="str">
        <f>'Respuestas de formulario 1'!D3114</f>
        <v/>
      </c>
      <c r="F473" s="7" t="str">
        <f>'Respuestas de formulario 1'!E3114</f>
        <v/>
      </c>
      <c r="G473" s="7" t="str">
        <f>'Respuestas de formulario 1'!F3114</f>
        <v/>
      </c>
      <c r="H473" s="7" t="str">
        <f>'Respuestas de formulario 1'!G3114</f>
        <v/>
      </c>
      <c r="I473" s="7" t="str">
        <f>'Respuestas de formulario 1'!H3114</f>
        <v/>
      </c>
      <c r="J473" s="7" t="str">
        <f>'Respuestas de formulario 1'!I3114</f>
        <v/>
      </c>
      <c r="K473" s="7" t="str">
        <f>'Respuestas de formulario 1'!J3114</f>
        <v/>
      </c>
    </row>
    <row r="474">
      <c r="A474" s="7">
        <f t="shared" si="1"/>
        <v>474</v>
      </c>
      <c r="B474" s="7" t="str">
        <f>'Respuestas de formulario 1'!A3115</f>
        <v/>
      </c>
      <c r="C474" s="7" t="str">
        <f>'Respuestas de formulario 1'!B3115</f>
        <v/>
      </c>
      <c r="D474" s="7" t="str">
        <f>'Respuestas de formulario 1'!C3115</f>
        <v/>
      </c>
      <c r="E474" s="7" t="str">
        <f>'Respuestas de formulario 1'!D3115</f>
        <v/>
      </c>
      <c r="F474" s="7" t="str">
        <f>'Respuestas de formulario 1'!E3115</f>
        <v/>
      </c>
      <c r="G474" s="7" t="str">
        <f>'Respuestas de formulario 1'!F3115</f>
        <v/>
      </c>
      <c r="H474" s="7" t="str">
        <f>'Respuestas de formulario 1'!G3115</f>
        <v/>
      </c>
      <c r="I474" s="7" t="str">
        <f>'Respuestas de formulario 1'!H3115</f>
        <v/>
      </c>
      <c r="J474" s="7" t="str">
        <f>'Respuestas de formulario 1'!I3115</f>
        <v/>
      </c>
      <c r="K474" s="7" t="str">
        <f>'Respuestas de formulario 1'!J3115</f>
        <v/>
      </c>
    </row>
    <row r="475">
      <c r="A475" s="7">
        <f t="shared" si="1"/>
        <v>475</v>
      </c>
      <c r="B475" s="7" t="str">
        <f>'Respuestas de formulario 1'!A3116</f>
        <v/>
      </c>
      <c r="C475" s="7" t="str">
        <f>'Respuestas de formulario 1'!B3116</f>
        <v/>
      </c>
      <c r="D475" s="7" t="str">
        <f>'Respuestas de formulario 1'!C3116</f>
        <v/>
      </c>
      <c r="E475" s="7" t="str">
        <f>'Respuestas de formulario 1'!D3116</f>
        <v/>
      </c>
      <c r="F475" s="7" t="str">
        <f>'Respuestas de formulario 1'!E3116</f>
        <v/>
      </c>
      <c r="G475" s="7" t="str">
        <f>'Respuestas de formulario 1'!F3116</f>
        <v/>
      </c>
      <c r="H475" s="7" t="str">
        <f>'Respuestas de formulario 1'!G3116</f>
        <v/>
      </c>
      <c r="I475" s="7" t="str">
        <f>'Respuestas de formulario 1'!H3116</f>
        <v/>
      </c>
      <c r="J475" s="7" t="str">
        <f>'Respuestas de formulario 1'!I3116</f>
        <v/>
      </c>
      <c r="K475" s="7" t="str">
        <f>'Respuestas de formulario 1'!J3116</f>
        <v/>
      </c>
    </row>
    <row r="476">
      <c r="A476" s="7">
        <f t="shared" si="1"/>
        <v>476</v>
      </c>
      <c r="B476" s="7" t="str">
        <f>'Respuestas de formulario 1'!A3117</f>
        <v/>
      </c>
      <c r="C476" s="7" t="str">
        <f>'Respuestas de formulario 1'!B3117</f>
        <v/>
      </c>
      <c r="D476" s="7" t="str">
        <f>'Respuestas de formulario 1'!C3117</f>
        <v/>
      </c>
      <c r="E476" s="7" t="str">
        <f>'Respuestas de formulario 1'!D3117</f>
        <v/>
      </c>
      <c r="F476" s="7" t="str">
        <f>'Respuestas de formulario 1'!E3117</f>
        <v/>
      </c>
      <c r="G476" s="7" t="str">
        <f>'Respuestas de formulario 1'!F3117</f>
        <v/>
      </c>
      <c r="H476" s="7" t="str">
        <f>'Respuestas de formulario 1'!G3117</f>
        <v/>
      </c>
      <c r="I476" s="7" t="str">
        <f>'Respuestas de formulario 1'!H3117</f>
        <v/>
      </c>
      <c r="J476" s="7" t="str">
        <f>'Respuestas de formulario 1'!I3117</f>
        <v/>
      </c>
      <c r="K476" s="7" t="str">
        <f>'Respuestas de formulario 1'!J3117</f>
        <v/>
      </c>
    </row>
    <row r="477">
      <c r="A477" s="7">
        <f t="shared" si="1"/>
        <v>477</v>
      </c>
      <c r="B477" s="7" t="str">
        <f>'Respuestas de formulario 1'!A3118</f>
        <v/>
      </c>
      <c r="C477" s="7" t="str">
        <f>'Respuestas de formulario 1'!B3118</f>
        <v/>
      </c>
      <c r="D477" s="7" t="str">
        <f>'Respuestas de formulario 1'!C3118</f>
        <v/>
      </c>
      <c r="E477" s="7" t="str">
        <f>'Respuestas de formulario 1'!D3118</f>
        <v/>
      </c>
      <c r="F477" s="7" t="str">
        <f>'Respuestas de formulario 1'!E3118</f>
        <v/>
      </c>
      <c r="G477" s="7" t="str">
        <f>'Respuestas de formulario 1'!F3118</f>
        <v/>
      </c>
      <c r="H477" s="7" t="str">
        <f>'Respuestas de formulario 1'!G3118</f>
        <v/>
      </c>
      <c r="I477" s="7" t="str">
        <f>'Respuestas de formulario 1'!H3118</f>
        <v/>
      </c>
      <c r="J477" s="7" t="str">
        <f>'Respuestas de formulario 1'!I3118</f>
        <v/>
      </c>
      <c r="K477" s="7" t="str">
        <f>'Respuestas de formulario 1'!J3118</f>
        <v/>
      </c>
    </row>
    <row r="478">
      <c r="A478" s="7">
        <f t="shared" si="1"/>
        <v>478</v>
      </c>
      <c r="B478" s="7" t="str">
        <f>'Respuestas de formulario 1'!A3119</f>
        <v/>
      </c>
      <c r="C478" s="7" t="str">
        <f>'Respuestas de formulario 1'!B3119</f>
        <v/>
      </c>
      <c r="D478" s="7" t="str">
        <f>'Respuestas de formulario 1'!C3119</f>
        <v/>
      </c>
      <c r="E478" s="7" t="str">
        <f>'Respuestas de formulario 1'!D3119</f>
        <v/>
      </c>
      <c r="F478" s="7" t="str">
        <f>'Respuestas de formulario 1'!E3119</f>
        <v/>
      </c>
      <c r="G478" s="7" t="str">
        <f>'Respuestas de formulario 1'!F3119</f>
        <v/>
      </c>
      <c r="H478" s="7" t="str">
        <f>'Respuestas de formulario 1'!G3119</f>
        <v/>
      </c>
      <c r="I478" s="7" t="str">
        <f>'Respuestas de formulario 1'!H3119</f>
        <v/>
      </c>
      <c r="J478" s="7" t="str">
        <f>'Respuestas de formulario 1'!I3119</f>
        <v/>
      </c>
      <c r="K478" s="7" t="str">
        <f>'Respuestas de formulario 1'!J3119</f>
        <v/>
      </c>
    </row>
    <row r="479">
      <c r="A479" s="7">
        <f t="shared" si="1"/>
        <v>479</v>
      </c>
      <c r="B479" s="7" t="str">
        <f>'Respuestas de formulario 1'!A3120</f>
        <v/>
      </c>
      <c r="C479" s="7" t="str">
        <f>'Respuestas de formulario 1'!B3120</f>
        <v/>
      </c>
      <c r="D479" s="7" t="str">
        <f>'Respuestas de formulario 1'!C3120</f>
        <v/>
      </c>
      <c r="E479" s="7" t="str">
        <f>'Respuestas de formulario 1'!D3120</f>
        <v/>
      </c>
      <c r="F479" s="7" t="str">
        <f>'Respuestas de formulario 1'!E3120</f>
        <v/>
      </c>
      <c r="G479" s="7" t="str">
        <f>'Respuestas de formulario 1'!F3120</f>
        <v/>
      </c>
      <c r="H479" s="7" t="str">
        <f>'Respuestas de formulario 1'!G3120</f>
        <v/>
      </c>
      <c r="I479" s="7" t="str">
        <f>'Respuestas de formulario 1'!H3120</f>
        <v/>
      </c>
      <c r="J479" s="7" t="str">
        <f>'Respuestas de formulario 1'!I3120</f>
        <v/>
      </c>
      <c r="K479" s="7" t="str">
        <f>'Respuestas de formulario 1'!J3120</f>
        <v/>
      </c>
    </row>
    <row r="480">
      <c r="A480" s="7">
        <f t="shared" si="1"/>
        <v>480</v>
      </c>
      <c r="B480" s="7" t="str">
        <f>'Respuestas de formulario 1'!A3121</f>
        <v/>
      </c>
      <c r="C480" s="7" t="str">
        <f>'Respuestas de formulario 1'!B3121</f>
        <v/>
      </c>
      <c r="D480" s="7" t="str">
        <f>'Respuestas de formulario 1'!C3121</f>
        <v/>
      </c>
      <c r="E480" s="7" t="str">
        <f>'Respuestas de formulario 1'!D3121</f>
        <v/>
      </c>
      <c r="F480" s="7" t="str">
        <f>'Respuestas de formulario 1'!E3121</f>
        <v/>
      </c>
      <c r="G480" s="7" t="str">
        <f>'Respuestas de formulario 1'!F3121</f>
        <v/>
      </c>
      <c r="H480" s="7" t="str">
        <f>'Respuestas de formulario 1'!G3121</f>
        <v/>
      </c>
      <c r="I480" s="7" t="str">
        <f>'Respuestas de formulario 1'!H3121</f>
        <v/>
      </c>
      <c r="J480" s="7" t="str">
        <f>'Respuestas de formulario 1'!I3121</f>
        <v/>
      </c>
      <c r="K480" s="7" t="str">
        <f>'Respuestas de formulario 1'!J3121</f>
        <v/>
      </c>
    </row>
    <row r="481">
      <c r="A481" s="7">
        <f t="shared" si="1"/>
        <v>481</v>
      </c>
      <c r="B481" s="7" t="str">
        <f>'Respuestas de formulario 1'!A3122</f>
        <v/>
      </c>
      <c r="C481" s="7" t="str">
        <f>'Respuestas de formulario 1'!B3122</f>
        <v/>
      </c>
      <c r="D481" s="7" t="str">
        <f>'Respuestas de formulario 1'!C3122</f>
        <v/>
      </c>
      <c r="E481" s="7" t="str">
        <f>'Respuestas de formulario 1'!D3122</f>
        <v/>
      </c>
      <c r="F481" s="7" t="str">
        <f>'Respuestas de formulario 1'!E3122</f>
        <v/>
      </c>
      <c r="G481" s="7" t="str">
        <f>'Respuestas de formulario 1'!F3122</f>
        <v/>
      </c>
      <c r="H481" s="7" t="str">
        <f>'Respuestas de formulario 1'!G3122</f>
        <v/>
      </c>
      <c r="I481" s="7" t="str">
        <f>'Respuestas de formulario 1'!H3122</f>
        <v/>
      </c>
      <c r="J481" s="7" t="str">
        <f>'Respuestas de formulario 1'!I3122</f>
        <v/>
      </c>
      <c r="K481" s="7" t="str">
        <f>'Respuestas de formulario 1'!J3122</f>
        <v/>
      </c>
    </row>
    <row r="482">
      <c r="A482" s="7">
        <f t="shared" si="1"/>
        <v>482</v>
      </c>
      <c r="B482" s="7" t="str">
        <f>'Respuestas de formulario 1'!A3123</f>
        <v/>
      </c>
      <c r="C482" s="7" t="str">
        <f>'Respuestas de formulario 1'!B3123</f>
        <v/>
      </c>
      <c r="D482" s="7" t="str">
        <f>'Respuestas de formulario 1'!C3123</f>
        <v/>
      </c>
      <c r="E482" s="7" t="str">
        <f>'Respuestas de formulario 1'!D3123</f>
        <v/>
      </c>
      <c r="F482" s="7" t="str">
        <f>'Respuestas de formulario 1'!E3123</f>
        <v/>
      </c>
      <c r="G482" s="7" t="str">
        <f>'Respuestas de formulario 1'!F3123</f>
        <v/>
      </c>
      <c r="H482" s="7" t="str">
        <f>'Respuestas de formulario 1'!G3123</f>
        <v/>
      </c>
      <c r="I482" s="7" t="str">
        <f>'Respuestas de formulario 1'!H3123</f>
        <v/>
      </c>
      <c r="J482" s="7" t="str">
        <f>'Respuestas de formulario 1'!I3123</f>
        <v/>
      </c>
      <c r="K482" s="7" t="str">
        <f>'Respuestas de formulario 1'!J3123</f>
        <v/>
      </c>
    </row>
    <row r="483">
      <c r="A483" s="7">
        <f t="shared" si="1"/>
        <v>483</v>
      </c>
      <c r="B483" s="7" t="str">
        <f>'Respuestas de formulario 1'!A3124</f>
        <v/>
      </c>
      <c r="C483" s="7" t="str">
        <f>'Respuestas de formulario 1'!B3124</f>
        <v/>
      </c>
      <c r="D483" s="7" t="str">
        <f>'Respuestas de formulario 1'!C3124</f>
        <v/>
      </c>
      <c r="E483" s="7" t="str">
        <f>'Respuestas de formulario 1'!D3124</f>
        <v/>
      </c>
      <c r="F483" s="7" t="str">
        <f>'Respuestas de formulario 1'!E3124</f>
        <v/>
      </c>
      <c r="G483" s="7" t="str">
        <f>'Respuestas de formulario 1'!F3124</f>
        <v/>
      </c>
      <c r="H483" s="7" t="str">
        <f>'Respuestas de formulario 1'!G3124</f>
        <v/>
      </c>
      <c r="I483" s="7" t="str">
        <f>'Respuestas de formulario 1'!H3124</f>
        <v/>
      </c>
      <c r="J483" s="7" t="str">
        <f>'Respuestas de formulario 1'!I3124</f>
        <v/>
      </c>
      <c r="K483" s="7" t="str">
        <f>'Respuestas de formulario 1'!J3124</f>
        <v/>
      </c>
    </row>
    <row r="484">
      <c r="A484" s="7">
        <f t="shared" si="1"/>
        <v>484</v>
      </c>
      <c r="B484" s="7" t="str">
        <f>'Respuestas de formulario 1'!A3125</f>
        <v/>
      </c>
      <c r="C484" s="7" t="str">
        <f>'Respuestas de formulario 1'!B3125</f>
        <v/>
      </c>
      <c r="D484" s="7" t="str">
        <f>'Respuestas de formulario 1'!C3125</f>
        <v/>
      </c>
      <c r="E484" s="7" t="str">
        <f>'Respuestas de formulario 1'!D3125</f>
        <v/>
      </c>
      <c r="F484" s="7" t="str">
        <f>'Respuestas de formulario 1'!E3125</f>
        <v/>
      </c>
      <c r="G484" s="7" t="str">
        <f>'Respuestas de formulario 1'!F3125</f>
        <v/>
      </c>
      <c r="H484" s="7" t="str">
        <f>'Respuestas de formulario 1'!G3125</f>
        <v/>
      </c>
      <c r="I484" s="7" t="str">
        <f>'Respuestas de formulario 1'!H3125</f>
        <v/>
      </c>
      <c r="J484" s="7" t="str">
        <f>'Respuestas de formulario 1'!I3125</f>
        <v/>
      </c>
      <c r="K484" s="7" t="str">
        <f>'Respuestas de formulario 1'!J3125</f>
        <v/>
      </c>
    </row>
    <row r="485">
      <c r="A485" s="7">
        <f t="shared" si="1"/>
        <v>485</v>
      </c>
      <c r="B485" s="7" t="str">
        <f>'Respuestas de formulario 1'!A3126</f>
        <v/>
      </c>
      <c r="C485" s="7" t="str">
        <f>'Respuestas de formulario 1'!B3126</f>
        <v/>
      </c>
      <c r="D485" s="7" t="str">
        <f>'Respuestas de formulario 1'!C3126</f>
        <v/>
      </c>
      <c r="E485" s="7" t="str">
        <f>'Respuestas de formulario 1'!D3126</f>
        <v/>
      </c>
      <c r="F485" s="7" t="str">
        <f>'Respuestas de formulario 1'!E3126</f>
        <v/>
      </c>
      <c r="G485" s="7" t="str">
        <f>'Respuestas de formulario 1'!F3126</f>
        <v/>
      </c>
      <c r="H485" s="7" t="str">
        <f>'Respuestas de formulario 1'!G3126</f>
        <v/>
      </c>
      <c r="I485" s="7" t="str">
        <f>'Respuestas de formulario 1'!H3126</f>
        <v/>
      </c>
      <c r="J485" s="7" t="str">
        <f>'Respuestas de formulario 1'!I3126</f>
        <v/>
      </c>
      <c r="K485" s="7" t="str">
        <f>'Respuestas de formulario 1'!J3126</f>
        <v/>
      </c>
    </row>
    <row r="486">
      <c r="A486" s="7">
        <f t="shared" si="1"/>
        <v>486</v>
      </c>
      <c r="B486" s="7" t="str">
        <f>'Respuestas de formulario 1'!A3127</f>
        <v/>
      </c>
      <c r="C486" s="7" t="str">
        <f>'Respuestas de formulario 1'!B3127</f>
        <v/>
      </c>
      <c r="D486" s="7" t="str">
        <f>'Respuestas de formulario 1'!C3127</f>
        <v/>
      </c>
      <c r="E486" s="7" t="str">
        <f>'Respuestas de formulario 1'!D3127</f>
        <v/>
      </c>
      <c r="F486" s="7" t="str">
        <f>'Respuestas de formulario 1'!E3127</f>
        <v/>
      </c>
      <c r="G486" s="7" t="str">
        <f>'Respuestas de formulario 1'!F3127</f>
        <v/>
      </c>
      <c r="H486" s="7" t="str">
        <f>'Respuestas de formulario 1'!G3127</f>
        <v/>
      </c>
      <c r="I486" s="7" t="str">
        <f>'Respuestas de formulario 1'!H3127</f>
        <v/>
      </c>
      <c r="J486" s="7" t="str">
        <f>'Respuestas de formulario 1'!I3127</f>
        <v/>
      </c>
      <c r="K486" s="7" t="str">
        <f>'Respuestas de formulario 1'!J3127</f>
        <v/>
      </c>
    </row>
    <row r="487">
      <c r="A487" s="7">
        <f t="shared" si="1"/>
        <v>487</v>
      </c>
      <c r="B487" s="7" t="str">
        <f>'Respuestas de formulario 1'!A3128</f>
        <v/>
      </c>
      <c r="C487" s="7" t="str">
        <f>'Respuestas de formulario 1'!B3128</f>
        <v/>
      </c>
      <c r="D487" s="7" t="str">
        <f>'Respuestas de formulario 1'!C3128</f>
        <v/>
      </c>
      <c r="E487" s="7" t="str">
        <f>'Respuestas de formulario 1'!D3128</f>
        <v/>
      </c>
      <c r="F487" s="7" t="str">
        <f>'Respuestas de formulario 1'!E3128</f>
        <v/>
      </c>
      <c r="G487" s="7" t="str">
        <f>'Respuestas de formulario 1'!F3128</f>
        <v/>
      </c>
      <c r="H487" s="7" t="str">
        <f>'Respuestas de formulario 1'!G3128</f>
        <v/>
      </c>
      <c r="I487" s="7" t="str">
        <f>'Respuestas de formulario 1'!H3128</f>
        <v/>
      </c>
      <c r="J487" s="7" t="str">
        <f>'Respuestas de formulario 1'!I3128</f>
        <v/>
      </c>
      <c r="K487" s="7" t="str">
        <f>'Respuestas de formulario 1'!J3128</f>
        <v/>
      </c>
    </row>
    <row r="488">
      <c r="A488" s="7">
        <f t="shared" si="1"/>
        <v>488</v>
      </c>
      <c r="B488" s="7" t="str">
        <f>'Respuestas de formulario 1'!A3129</f>
        <v/>
      </c>
      <c r="C488" s="7" t="str">
        <f>'Respuestas de formulario 1'!B3129</f>
        <v/>
      </c>
      <c r="D488" s="7" t="str">
        <f>'Respuestas de formulario 1'!C3129</f>
        <v/>
      </c>
      <c r="E488" s="7" t="str">
        <f>'Respuestas de formulario 1'!D3129</f>
        <v/>
      </c>
      <c r="F488" s="7" t="str">
        <f>'Respuestas de formulario 1'!E3129</f>
        <v/>
      </c>
      <c r="G488" s="7" t="str">
        <f>'Respuestas de formulario 1'!F3129</f>
        <v/>
      </c>
      <c r="H488" s="7" t="str">
        <f>'Respuestas de formulario 1'!G3129</f>
        <v/>
      </c>
      <c r="I488" s="7" t="str">
        <f>'Respuestas de formulario 1'!H3129</f>
        <v/>
      </c>
      <c r="J488" s="7" t="str">
        <f>'Respuestas de formulario 1'!I3129</f>
        <v/>
      </c>
      <c r="K488" s="7" t="str">
        <f>'Respuestas de formulario 1'!J3129</f>
        <v/>
      </c>
    </row>
    <row r="489">
      <c r="A489" s="7">
        <f t="shared" si="1"/>
        <v>489</v>
      </c>
      <c r="B489" s="7" t="str">
        <f>'Respuestas de formulario 1'!A3130</f>
        <v/>
      </c>
      <c r="C489" s="7" t="str">
        <f>'Respuestas de formulario 1'!B3130</f>
        <v/>
      </c>
      <c r="D489" s="7" t="str">
        <f>'Respuestas de formulario 1'!C3130</f>
        <v/>
      </c>
      <c r="E489" s="7" t="str">
        <f>'Respuestas de formulario 1'!D3130</f>
        <v/>
      </c>
      <c r="F489" s="7" t="str">
        <f>'Respuestas de formulario 1'!E3130</f>
        <v/>
      </c>
      <c r="G489" s="7" t="str">
        <f>'Respuestas de formulario 1'!F3130</f>
        <v/>
      </c>
      <c r="H489" s="7" t="str">
        <f>'Respuestas de formulario 1'!G3130</f>
        <v/>
      </c>
      <c r="I489" s="7" t="str">
        <f>'Respuestas de formulario 1'!H3130</f>
        <v/>
      </c>
      <c r="J489" s="7" t="str">
        <f>'Respuestas de formulario 1'!I3130</f>
        <v/>
      </c>
      <c r="K489" s="7" t="str">
        <f>'Respuestas de formulario 1'!J3130</f>
        <v/>
      </c>
    </row>
    <row r="490">
      <c r="A490" s="7">
        <f t="shared" si="1"/>
        <v>490</v>
      </c>
      <c r="B490" s="7" t="str">
        <f>'Respuestas de formulario 1'!A3131</f>
        <v/>
      </c>
      <c r="C490" s="7" t="str">
        <f>'Respuestas de formulario 1'!B3131</f>
        <v/>
      </c>
      <c r="D490" s="7" t="str">
        <f>'Respuestas de formulario 1'!C3131</f>
        <v/>
      </c>
      <c r="E490" s="7" t="str">
        <f>'Respuestas de formulario 1'!D3131</f>
        <v/>
      </c>
      <c r="F490" s="7" t="str">
        <f>'Respuestas de formulario 1'!E3131</f>
        <v/>
      </c>
      <c r="G490" s="7" t="str">
        <f>'Respuestas de formulario 1'!F3131</f>
        <v/>
      </c>
      <c r="H490" s="7" t="str">
        <f>'Respuestas de formulario 1'!G3131</f>
        <v/>
      </c>
      <c r="I490" s="7" t="str">
        <f>'Respuestas de formulario 1'!H3131</f>
        <v/>
      </c>
      <c r="J490" s="7" t="str">
        <f>'Respuestas de formulario 1'!I3131</f>
        <v/>
      </c>
      <c r="K490" s="7" t="str">
        <f>'Respuestas de formulario 1'!J3131</f>
        <v/>
      </c>
    </row>
    <row r="491">
      <c r="A491" s="7">
        <f t="shared" si="1"/>
        <v>491</v>
      </c>
      <c r="B491" s="7" t="str">
        <f>'Respuestas de formulario 1'!A3132</f>
        <v/>
      </c>
      <c r="C491" s="7" t="str">
        <f>'Respuestas de formulario 1'!B3132</f>
        <v/>
      </c>
      <c r="D491" s="7" t="str">
        <f>'Respuestas de formulario 1'!C3132</f>
        <v/>
      </c>
      <c r="E491" s="7" t="str">
        <f>'Respuestas de formulario 1'!D3132</f>
        <v/>
      </c>
      <c r="F491" s="7" t="str">
        <f>'Respuestas de formulario 1'!E3132</f>
        <v/>
      </c>
      <c r="G491" s="7" t="str">
        <f>'Respuestas de formulario 1'!F3132</f>
        <v/>
      </c>
      <c r="H491" s="7" t="str">
        <f>'Respuestas de formulario 1'!G3132</f>
        <v/>
      </c>
      <c r="I491" s="7" t="str">
        <f>'Respuestas de formulario 1'!H3132</f>
        <v/>
      </c>
      <c r="J491" s="7" t="str">
        <f>'Respuestas de formulario 1'!I3132</f>
        <v/>
      </c>
      <c r="K491" s="7" t="str">
        <f>'Respuestas de formulario 1'!J3132</f>
        <v/>
      </c>
    </row>
    <row r="492">
      <c r="A492" s="7">
        <f t="shared" si="1"/>
        <v>492</v>
      </c>
      <c r="B492" s="7" t="str">
        <f>'Respuestas de formulario 1'!A3133</f>
        <v/>
      </c>
      <c r="C492" s="7" t="str">
        <f>'Respuestas de formulario 1'!B3133</f>
        <v/>
      </c>
      <c r="D492" s="7" t="str">
        <f>'Respuestas de formulario 1'!C3133</f>
        <v/>
      </c>
      <c r="E492" s="7" t="str">
        <f>'Respuestas de formulario 1'!D3133</f>
        <v/>
      </c>
      <c r="F492" s="7" t="str">
        <f>'Respuestas de formulario 1'!E3133</f>
        <v/>
      </c>
      <c r="G492" s="7" t="str">
        <f>'Respuestas de formulario 1'!F3133</f>
        <v/>
      </c>
      <c r="H492" s="7" t="str">
        <f>'Respuestas de formulario 1'!G3133</f>
        <v/>
      </c>
      <c r="I492" s="7" t="str">
        <f>'Respuestas de formulario 1'!H3133</f>
        <v/>
      </c>
      <c r="J492" s="7" t="str">
        <f>'Respuestas de formulario 1'!I3133</f>
        <v/>
      </c>
      <c r="K492" s="7" t="str">
        <f>'Respuestas de formulario 1'!J3133</f>
        <v/>
      </c>
    </row>
    <row r="493">
      <c r="A493" s="7">
        <f t="shared" si="1"/>
        <v>493</v>
      </c>
      <c r="B493" s="7" t="str">
        <f>'Respuestas de formulario 1'!A3134</f>
        <v/>
      </c>
      <c r="C493" s="7" t="str">
        <f>'Respuestas de formulario 1'!B3134</f>
        <v/>
      </c>
      <c r="D493" s="7" t="str">
        <f>'Respuestas de formulario 1'!C3134</f>
        <v/>
      </c>
      <c r="E493" s="7" t="str">
        <f>'Respuestas de formulario 1'!D3134</f>
        <v/>
      </c>
      <c r="F493" s="7" t="str">
        <f>'Respuestas de formulario 1'!E3134</f>
        <v/>
      </c>
      <c r="G493" s="7" t="str">
        <f>'Respuestas de formulario 1'!F3134</f>
        <v/>
      </c>
      <c r="H493" s="7" t="str">
        <f>'Respuestas de formulario 1'!G3134</f>
        <v/>
      </c>
      <c r="I493" s="7" t="str">
        <f>'Respuestas de formulario 1'!H3134</f>
        <v/>
      </c>
      <c r="J493" s="7" t="str">
        <f>'Respuestas de formulario 1'!I3134</f>
        <v/>
      </c>
      <c r="K493" s="7" t="str">
        <f>'Respuestas de formulario 1'!J3134</f>
        <v/>
      </c>
    </row>
    <row r="494">
      <c r="A494" s="7">
        <f t="shared" si="1"/>
        <v>494</v>
      </c>
      <c r="B494" s="7" t="str">
        <f>'Respuestas de formulario 1'!A3135</f>
        <v/>
      </c>
      <c r="C494" s="7" t="str">
        <f>'Respuestas de formulario 1'!B3135</f>
        <v/>
      </c>
      <c r="D494" s="7" t="str">
        <f>'Respuestas de formulario 1'!C3135</f>
        <v/>
      </c>
      <c r="E494" s="7" t="str">
        <f>'Respuestas de formulario 1'!D3135</f>
        <v/>
      </c>
      <c r="F494" s="7" t="str">
        <f>'Respuestas de formulario 1'!E3135</f>
        <v/>
      </c>
      <c r="G494" s="7" t="str">
        <f>'Respuestas de formulario 1'!F3135</f>
        <v/>
      </c>
      <c r="H494" s="7" t="str">
        <f>'Respuestas de formulario 1'!G3135</f>
        <v/>
      </c>
      <c r="I494" s="7" t="str">
        <f>'Respuestas de formulario 1'!H3135</f>
        <v/>
      </c>
      <c r="J494" s="7" t="str">
        <f>'Respuestas de formulario 1'!I3135</f>
        <v/>
      </c>
      <c r="K494" s="7" t="str">
        <f>'Respuestas de formulario 1'!J3135</f>
        <v/>
      </c>
    </row>
    <row r="495">
      <c r="A495" s="7">
        <f t="shared" si="1"/>
        <v>495</v>
      </c>
      <c r="B495" s="7" t="str">
        <f>'Respuestas de formulario 1'!A3136</f>
        <v/>
      </c>
      <c r="C495" s="7" t="str">
        <f>'Respuestas de formulario 1'!B3136</f>
        <v/>
      </c>
      <c r="D495" s="7" t="str">
        <f>'Respuestas de formulario 1'!C3136</f>
        <v/>
      </c>
      <c r="E495" s="7" t="str">
        <f>'Respuestas de formulario 1'!D3136</f>
        <v/>
      </c>
      <c r="F495" s="7" t="str">
        <f>'Respuestas de formulario 1'!E3136</f>
        <v/>
      </c>
      <c r="G495" s="7" t="str">
        <f>'Respuestas de formulario 1'!F3136</f>
        <v/>
      </c>
      <c r="H495" s="7" t="str">
        <f>'Respuestas de formulario 1'!G3136</f>
        <v/>
      </c>
      <c r="I495" s="7" t="str">
        <f>'Respuestas de formulario 1'!H3136</f>
        <v/>
      </c>
      <c r="J495" s="7" t="str">
        <f>'Respuestas de formulario 1'!I3136</f>
        <v/>
      </c>
      <c r="K495" s="7" t="str">
        <f>'Respuestas de formulario 1'!J3136</f>
        <v/>
      </c>
    </row>
    <row r="496">
      <c r="A496" s="7">
        <f t="shared" si="1"/>
        <v>496</v>
      </c>
      <c r="B496" s="7" t="str">
        <f>'Respuestas de formulario 1'!A3137</f>
        <v/>
      </c>
      <c r="C496" s="7" t="str">
        <f>'Respuestas de formulario 1'!B3137</f>
        <v/>
      </c>
      <c r="D496" s="7" t="str">
        <f>'Respuestas de formulario 1'!C3137</f>
        <v/>
      </c>
      <c r="E496" s="7" t="str">
        <f>'Respuestas de formulario 1'!D3137</f>
        <v/>
      </c>
      <c r="F496" s="7" t="str">
        <f>'Respuestas de formulario 1'!E3137</f>
        <v/>
      </c>
      <c r="G496" s="7" t="str">
        <f>'Respuestas de formulario 1'!F3137</f>
        <v/>
      </c>
      <c r="H496" s="7" t="str">
        <f>'Respuestas de formulario 1'!G3137</f>
        <v/>
      </c>
      <c r="I496" s="7" t="str">
        <f>'Respuestas de formulario 1'!H3137</f>
        <v/>
      </c>
      <c r="J496" s="7" t="str">
        <f>'Respuestas de formulario 1'!I3137</f>
        <v/>
      </c>
      <c r="K496" s="7" t="str">
        <f>'Respuestas de formulario 1'!J3137</f>
        <v/>
      </c>
    </row>
    <row r="497">
      <c r="A497" s="7">
        <f t="shared" si="1"/>
        <v>497</v>
      </c>
      <c r="B497" s="7" t="str">
        <f>'Respuestas de formulario 1'!A3138</f>
        <v/>
      </c>
      <c r="C497" s="7" t="str">
        <f>'Respuestas de formulario 1'!B3138</f>
        <v/>
      </c>
      <c r="D497" s="7" t="str">
        <f>'Respuestas de formulario 1'!C3138</f>
        <v/>
      </c>
      <c r="E497" s="7" t="str">
        <f>'Respuestas de formulario 1'!D3138</f>
        <v/>
      </c>
      <c r="F497" s="7" t="str">
        <f>'Respuestas de formulario 1'!E3138</f>
        <v/>
      </c>
      <c r="G497" s="7" t="str">
        <f>'Respuestas de formulario 1'!F3138</f>
        <v/>
      </c>
      <c r="H497" s="7" t="str">
        <f>'Respuestas de formulario 1'!G3138</f>
        <v/>
      </c>
      <c r="I497" s="7" t="str">
        <f>'Respuestas de formulario 1'!H3138</f>
        <v/>
      </c>
      <c r="J497" s="7" t="str">
        <f>'Respuestas de formulario 1'!I3138</f>
        <v/>
      </c>
      <c r="K497" s="7" t="str">
        <f>'Respuestas de formulario 1'!J3138</f>
        <v/>
      </c>
    </row>
    <row r="498">
      <c r="A498" s="7">
        <f t="shared" si="1"/>
        <v>498</v>
      </c>
      <c r="B498" s="7" t="str">
        <f>'Respuestas de formulario 1'!A3139</f>
        <v/>
      </c>
      <c r="C498" s="7" t="str">
        <f>'Respuestas de formulario 1'!B3139</f>
        <v/>
      </c>
      <c r="D498" s="7" t="str">
        <f>'Respuestas de formulario 1'!C3139</f>
        <v/>
      </c>
      <c r="E498" s="7" t="str">
        <f>'Respuestas de formulario 1'!D3139</f>
        <v/>
      </c>
      <c r="F498" s="7" t="str">
        <f>'Respuestas de formulario 1'!E3139</f>
        <v/>
      </c>
      <c r="G498" s="7" t="str">
        <f>'Respuestas de formulario 1'!F3139</f>
        <v/>
      </c>
      <c r="H498" s="7" t="str">
        <f>'Respuestas de formulario 1'!G3139</f>
        <v/>
      </c>
      <c r="I498" s="7" t="str">
        <f>'Respuestas de formulario 1'!H3139</f>
        <v/>
      </c>
      <c r="J498" s="7" t="str">
        <f>'Respuestas de formulario 1'!I3139</f>
        <v/>
      </c>
      <c r="K498" s="7" t="str">
        <f>'Respuestas de formulario 1'!J3139</f>
        <v/>
      </c>
    </row>
    <row r="499">
      <c r="A499" s="7">
        <f t="shared" si="1"/>
        <v>499</v>
      </c>
      <c r="B499" s="7" t="str">
        <f>'Respuestas de formulario 1'!A3140</f>
        <v/>
      </c>
      <c r="C499" s="7" t="str">
        <f>'Respuestas de formulario 1'!B3140</f>
        <v/>
      </c>
      <c r="D499" s="7" t="str">
        <f>'Respuestas de formulario 1'!C3140</f>
        <v/>
      </c>
      <c r="E499" s="7" t="str">
        <f>'Respuestas de formulario 1'!D3140</f>
        <v/>
      </c>
      <c r="F499" s="7" t="str">
        <f>'Respuestas de formulario 1'!E3140</f>
        <v/>
      </c>
      <c r="G499" s="7" t="str">
        <f>'Respuestas de formulario 1'!F3140</f>
        <v/>
      </c>
      <c r="H499" s="7" t="str">
        <f>'Respuestas de formulario 1'!G3140</f>
        <v/>
      </c>
      <c r="I499" s="7" t="str">
        <f>'Respuestas de formulario 1'!H3140</f>
        <v/>
      </c>
      <c r="J499" s="7" t="str">
        <f>'Respuestas de formulario 1'!I3140</f>
        <v/>
      </c>
      <c r="K499" s="7" t="str">
        <f>'Respuestas de formulario 1'!J3140</f>
        <v/>
      </c>
    </row>
    <row r="500">
      <c r="A500" s="7">
        <f t="shared" si="1"/>
        <v>500</v>
      </c>
      <c r="B500" s="7" t="str">
        <f>'Respuestas de formulario 1'!A3141</f>
        <v/>
      </c>
      <c r="C500" s="7" t="str">
        <f>'Respuestas de formulario 1'!B3141</f>
        <v/>
      </c>
      <c r="D500" s="7" t="str">
        <f>'Respuestas de formulario 1'!C3141</f>
        <v/>
      </c>
      <c r="E500" s="7" t="str">
        <f>'Respuestas de formulario 1'!D3141</f>
        <v/>
      </c>
      <c r="F500" s="7" t="str">
        <f>'Respuestas de formulario 1'!E3141</f>
        <v/>
      </c>
      <c r="G500" s="7" t="str">
        <f>'Respuestas de formulario 1'!F3141</f>
        <v/>
      </c>
      <c r="H500" s="7" t="str">
        <f>'Respuestas de formulario 1'!G3141</f>
        <v/>
      </c>
      <c r="I500" s="7" t="str">
        <f>'Respuestas de formulario 1'!H3141</f>
        <v/>
      </c>
      <c r="J500" s="7" t="str">
        <f>'Respuestas de formulario 1'!I3141</f>
        <v/>
      </c>
      <c r="K500" s="7" t="str">
        <f>'Respuestas de formulario 1'!J3141</f>
        <v/>
      </c>
    </row>
    <row r="501">
      <c r="A501" s="7">
        <f t="shared" si="1"/>
        <v>501</v>
      </c>
      <c r="B501" s="7" t="str">
        <f>'Respuestas de formulario 1'!A3142</f>
        <v/>
      </c>
      <c r="C501" s="7" t="str">
        <f>'Respuestas de formulario 1'!B3142</f>
        <v/>
      </c>
      <c r="D501" s="7" t="str">
        <f>'Respuestas de formulario 1'!C3142</f>
        <v/>
      </c>
      <c r="E501" s="7" t="str">
        <f>'Respuestas de formulario 1'!D3142</f>
        <v/>
      </c>
      <c r="F501" s="7" t="str">
        <f>'Respuestas de formulario 1'!E3142</f>
        <v/>
      </c>
      <c r="G501" s="7" t="str">
        <f>'Respuestas de formulario 1'!F3142</f>
        <v/>
      </c>
      <c r="H501" s="7" t="str">
        <f>'Respuestas de formulario 1'!G3142</f>
        <v/>
      </c>
      <c r="I501" s="7" t="str">
        <f>'Respuestas de formulario 1'!H3142</f>
        <v/>
      </c>
      <c r="J501" s="7" t="str">
        <f>'Respuestas de formulario 1'!I3142</f>
        <v/>
      </c>
      <c r="K501" s="7" t="str">
        <f>'Respuestas de formulario 1'!J3142</f>
        <v/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7.5"/>
    <col customWidth="1" min="4" max="4" width="9.38"/>
    <col customWidth="1" min="5" max="5" width="20.38"/>
  </cols>
  <sheetData>
    <row r="8">
      <c r="A8" s="62"/>
      <c r="B8" s="62"/>
      <c r="C8" s="62"/>
      <c r="D8" s="62"/>
      <c r="E8" s="62"/>
    </row>
    <row r="9">
      <c r="A9" s="63" t="s">
        <v>7336</v>
      </c>
      <c r="B9" s="64"/>
      <c r="C9" s="65" t="s">
        <v>5474</v>
      </c>
      <c r="D9" s="66"/>
      <c r="E9" s="67"/>
    </row>
    <row r="10">
      <c r="A10" s="68" t="s">
        <v>7337</v>
      </c>
      <c r="B10" s="69">
        <f t="array" ref="B10">XLOOKUP(C9,INGRESOS_API!P:P,INGRESOS_API!F:F,"")</f>
        <v>24160938</v>
      </c>
      <c r="C10" s="69"/>
      <c r="D10" s="68" t="s">
        <v>7338</v>
      </c>
      <c r="E10" s="69" t="str">
        <f t="array" ref="E10">XLOOKUP(C9,INGRESOS_API!P:P,INGRESOS_API!J:J,"")</f>
        <v>OSPTV</v>
      </c>
    </row>
    <row r="11">
      <c r="A11" s="70" t="s">
        <v>7339</v>
      </c>
      <c r="B11" s="62" t="str">
        <f t="array" ref="B11">XLOOKUP(C9,INGRESOS_API!P:P,INGRESOS_API!G:G,"")</f>
        <v>+543515923208</v>
      </c>
      <c r="C11" s="62"/>
      <c r="D11" s="70" t="s">
        <v>7340</v>
      </c>
      <c r="E11" s="71">
        <f t="array" ref="E11">XLOOKUP(C9,INGRESOS_API!P:P,INGRESOS_API!E:E,"")</f>
        <v>27434</v>
      </c>
    </row>
    <row r="12">
      <c r="E12" s="72"/>
    </row>
    <row r="21">
      <c r="N21" s="73"/>
    </row>
  </sheetData>
  <mergeCells count="1">
    <mergeCell ref="A9:B9"/>
  </mergeCells>
  <dataValidations>
    <dataValidation type="list" allowBlank="1" showErrorMessage="1" sqref="C9">
      <formula1>INGRESOS_API!$P$2:$P$2000</formula1>
    </dataValidation>
  </dataValidations>
  <printOptions gridLines="1" horizontalCentered="1"/>
  <pageMargins bottom="0.75" footer="0.0" header="0.0" left="0.7" right="0.7" top="0.75"/>
  <pageSetup paperSize="14" cellComments="atEnd" orientation="portrait" pageOrder="overThenDown"/>
  <drawing r:id="rId1"/>
</worksheet>
</file>